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f853eeb33bf3fdb8/Documents/"/>
    </mc:Choice>
  </mc:AlternateContent>
  <xr:revisionPtr revIDLastSave="877" documentId="8_{2F218E57-B154-42BC-8D84-8B4569906F6C}" xr6:coauthVersionLast="47" xr6:coauthVersionMax="47" xr10:uidLastSave="{951DF9BB-EC18-4340-BC8E-878844CA42AC}"/>
  <bookViews>
    <workbookView xWindow="69720" yWindow="-120" windowWidth="38640" windowHeight="21120" firstSheet="1" activeTab="3" xr2:uid="{2C2730A7-1CE9-447B-B292-C18A49F201F5}"/>
  </bookViews>
  <sheets>
    <sheet name="README" sheetId="1" r:id="rId1"/>
    <sheet name="Player" sheetId="2" r:id="rId2"/>
    <sheet name="Dashboard" sheetId="14" r:id="rId3"/>
    <sheet name="Checklist" sheetId="3" r:id="rId4"/>
    <sheet name="cost checklist" sheetId="25" r:id="rId5"/>
    <sheet name="Recommended" sheetId="32" r:id="rId6"/>
    <sheet name="Inspector" sheetId="27" r:id="rId7"/>
    <sheet name="Validation" sheetId="30" r:id="rId8"/>
    <sheet name="Targets" sheetId="11" r:id="rId9"/>
    <sheet name="TargetStatus" sheetId="13" r:id="rId10"/>
    <sheet name="CostStatus" sheetId="21" r:id="rId11"/>
    <sheet name="Dependencies" sheetId="10" r:id="rId12"/>
    <sheet name="QuestObjectives" sheetId="29" r:id="rId13"/>
    <sheet name="CostDependency" sheetId="34" r:id="rId14"/>
    <sheet name="CostTemp" sheetId="23" r:id="rId15"/>
    <sheet name="Buildings" sheetId="4" r:id="rId16"/>
    <sheet name="Citadel" sheetId="7" r:id="rId17"/>
    <sheet name="Collections" sheetId="8" r:id="rId18"/>
    <sheet name="Craftifacts" sheetId="9" r:id="rId19"/>
    <sheet name="Quests" sheetId="6" r:id="rId20"/>
    <sheet name="States" sheetId="28" r:id="rId21"/>
    <sheet name="Technologies" sheetId="5" r:id="rId22"/>
    <sheet name="Dep_Import" sheetId="18" r:id="rId23"/>
    <sheet name="Exceptions" sheetId="15" r:id="rId24"/>
    <sheet name="Aliases" sheetId="33" r:id="rId25"/>
  </sheets>
  <definedNames>
    <definedName name="_xlnm._FilterDatabase" localSheetId="2" hidden="1">Dashboard!$O$2:$P$2</definedName>
    <definedName name="_xlnm._FilterDatabase" localSheetId="7" hidden="1">Validation!$D$1:$H$613</definedName>
    <definedName name="AllDependencies">_xlfn.VSTACK(     _xlfn.HSTACK(tblDependencies[TargetID],tblDependencies[DependencyID]),     _xlfn.HSTACK(tblQuestObjectives[QuestTargetID],tblQuestObjectives[ObjectiveID]) )</definedName>
    <definedName name="ClausetoToken">_xlfn.LAMBDA(_xlpm.clause,_xlpm.techNames,_xlfn.LET(_xlpm.p,TRIM(_xlpm.clause),_xlpm.low,LOWER(_xlpm.p),_xlpm.isTech,IFERROR(ISNUMBER(_xlfn.XMATCH(_xlpm.p,_xlpm.techNames,0)),FALSE),_xlpm.isComplete,OR(ISNUMBER(SEARCH("requires completing",_xlpm.low)),ISNUMBER(SEARCH("completing the quest",_xlpm.low)),ISNUMBER(SEARCH("completing quest",_xlpm.low)),ISNUMBER(SEARCH("complete the quest",_xlpm.low))),_xlpm.isAccept,OR(ISNUMBER(SEARCH("requires accepting",_xlpm.low)),ISNUMBER(SEARCH("accepting the quest",_xlpm.low)),ISNUMBER(SEARCH("accepting quest",_xlpm.low)),ISNUMBER(SEARCH("accept the quest",_xlpm.low))),_xlpm.colonPos,IFERROR(SEARCH(":",_xlpm.p),0),_xlpm.afterColon,IF(_xlpm.colonPos&gt;0,TRIM(MID(_xlpm.p,_xlpm.colonPos+1,999)),""),_xlpm.completeFallback,TRIM(SUBSTITUTE(SUBSTITUTE(SUBSTITUTE(SUBSTITUTE(SUBSTITUTE(_xlpm.low,"requires completing the quest",""),"requires completing",""),"completing the quest",""),"completing quest",""),"complete the quest","")),_xlpm.acceptFallback,TRIM(SUBSTITUTE(SUBSTITUTE(SUBSTITUTE(SUBSTITUTE(_xlpm.low,"requires accepting the quest",""),"requires accepting",""),"accepting the quest",""),"accept the quest","")),_xlpm.questKeyComplete,ExtractQuestKey(IF(_xlpm.colonPos&gt;0,_xlpm.afterColon,_xlpm.completeFallback)),_xlpm.questKeyAccept,ExtractQuestKey(IF(_xlpm.colonPos&gt;0,_xlpm.afterColon,_xlpm.acceptFallback)),_xlpm.hasLvl,ISNUMBER(SEARCH("lvl.",_xlpm.low)),_xlpm.bNameLvl,IF(_xlpm.hasLvl,TRIM(_xlfn.TEXTBEFORE(_xlpm.p,"lvl.")),""),_xlpm.lvlRaw,IF(_xlpm.hasLvl,TRIM(_xlfn.TEXTAFTER(_xlpm.p,"lvl.")),""),_xlpm.lvlNum,IFERROR(--_xlfn.TEXTBEFORE(_xlpm.lvlRaw," "),IFERROR(--_xlpm.lvlRaw,"")),_xlpm.isBMax,OR(ISNUMBER(SEARCH("max level",_xlpm.low)),ISNUMBER(SEARCH("maximum level",_xlpm.low)),ISNUMBER(SEARCH("at max",_xlpm.low)),ISNUMBER(SEARCH("maxed",_xlpm.low))),_xlpm.bNameMax,TRIM(SUBSTITUTE(SUBSTITUTE(SUBSTITUTE(SUBSTITUTE(SUBSTITUTE(_xlpm.p,"maximum level",""),"max level",""),"at max",""),"maxed",""),"  "," ")),IF(_xlpm.isTech,"TECH:"&amp;_xlpm.p,IF(_xlpm.isComplete,"QUEST_COMPLETE:"&amp;_xlpm.questKeyComplete,IF(_xlpm.isAccept,"QUEST_ACCEPT:"&amp;_xlpm.questKeyAccept,IF(AND(_xlpm.hasLvl,_xlpm.bNameLvl&lt;&gt;"",_xlpm.lvlNum&lt;&gt;""),"BUILDING_LVL:"&amp;_xlpm.bNameLvl&amp;"@"&amp;_xlpm.lvlNum,IF(_xlpm.isBMax,"BUILDING_MAX:"&amp;_xlpm.bNameMax,IF(_xlpm.p&lt;&gt;"","OTHER:"&amp;_xlpm.p,""))))))))</definedName>
    <definedName name="clausetotokencitadel">_xlfn.LAMBDA(_xlpm.clause,_xlpm.techNames,_xlpm.citadelNames,IF(TRIM(_xlpm.clause)="","",_xlfn.LET(_xlpm.c,TRIM(_xlpm.clause),_xlpm.cCraft,TRIM(SUBSTITUTE(SUBSTITUTE(SUBSTITUTE(_xlpm.c,"Craftifacts",""),"Craftifact",""),":","")),_xlpm.isCraft,IFERROR(ISNUMBER(_xlfn.XMATCH(_xlpm.cCraft,craftifactNames,0)),FALSE),_xlpm.low,LOWER(_xlpm.c),_xlpm.hasAt,ISNUMBER(SEARCH("@",_xlpm.c)),_xlpm.atName,IF(_xlpm.hasAt,TRIM(_xlfn.TEXTBEFORE(_xlpm.c,"@")),""),_xlpm.atLvl,IF(_xlpm.hasAt,IFERROR(--TRIM(_xlfn.TEXTAFTER(_xlpm.c,"@")),""),""),_xlpm.hasLvl,ISNUMBER(SEARCH("lvl.",_xlpm.low)),_xlpm.lvlName,IF(_xlpm.hasLvl,TRIM(_xlfn.TEXTBEFORE(_xlpm.c,"lvl.")),""),_xlpm.lvlRaw,IF(_xlpm.hasLvl,TRIM(_xlfn.TEXTAFTER(_xlpm.low,"lvl.")),""),_xlpm.lvlNum,IF(_xlpm.hasLvl,IFERROR(--_xlfn.TEXTBEFORE(_xlpm.lvlRaw," "),IFERROR(--_xlpm.lvlRaw,"")),""),_xlpm.baseName,IF(_xlpm.hasAt,_xlpm.atName,IF(_xlpm.hasLvl,_xlpm.lvlName,"")),_xlpm.reqLvl,IF(_xlpm.hasAt,_xlpm.atLvl,IF(_xlpm.hasLvl,_xlpm.lvlNum,"")),_xlpm.canonLvlName,IF(AND(_xlpm.baseName&lt;&gt;"",_xlpm.reqLvl&lt;&gt;""),_xlpm.baseName&amp;" lvl. "&amp;_xlpm.reqLvl,""),_xlpm.isCitLevel,IF(_xlpm.canonLvlName="",FALSE,IFERROR(ISNUMBER(_xlfn.XMATCH(_xlpm.canonLvlName,_xlpm.citadelNames,0)),FALSE)),_xlpm.isCitPlain,IFERROR(ISNUMBER(_xlfn.XMATCH(_xlpm.c,_xlpm.citadelNames,0)),FALSE),IF(_xlpm.isCraft,"CRAFTIFACT:"&amp;_xlpm.cCraft,IF(_xlpm.isCitLevel,"CITADEL_LVL:"&amp;_xlpm.baseName&amp;"@"&amp;_xlpm.reqLvl,IF(_xlpm.isCitPlain,"CITADEL:"&amp;_xlpm.c,_xlfn.LET(_xlpm.tok,ClausetoToken(_xlpm.c,_xlpm.techNames),_xlpm.k,IFERROR(_xlfn.TEXTBEFORE(_xlpm.tok,":"),""),_xlpm.v,IFERROR(_xlfn.TEXTAFTER(_xlpm.tok,":"),""),_xlpm.vCraft,TRIM(SUBSTITUTE(SUBSTITUTE(SUBSTITUTE(_xlpm.v,"Craftifacts",""),"Craftifact",""),":","")),IF(_xlpm.k="OTHER",IF(IFERROR(ISNUMBER(_xlfn.XMATCH(_xlpm.vCraft,craftifactNames,0)),FALSE),"CRAFTIFACT:"&amp;_xlpm.vCraft,IF(IFERROR(ISNUMBER(_xlfn.XMATCH(_xlpm.v,_xlpm.citadelNames,0)),FALSE),"CITADEL:"&amp;_xlpm.v,_xlpm.tok)),_xlpm.tok))))))))</definedName>
    <definedName name="craftifactNames">#REF!</definedName>
    <definedName name="ExtractQuestKey">_xlfn.LAMBDA(_xlpm.clause,_xlfn.LET(_xlpm.c,TRIM(_xlpm.clause),_xlpm.link,IFERROR(_xlfn.TEXTBEFORE(_xlfn.TEXTAFTER(_xlpm.c,"[["),"]]"),""),_xlpm.disp,IF(_xlpm.link&lt;&gt;"",IF(ISNUMBER(SEARCH("|",_xlpm.link)),TRIM(_xlfn.TEXTAFTER(_xlpm.link,"|",-1)),_xlpm.link),_xlpm.c),_xlpm.payload,IFERROR(TRIM(_xlfn.TEXTAFTER(_xlpm.disp,":")),_xlpm.disp),TRIM(SUBSTITUTE(_xlpm.payload,".",""))))</definedName>
    <definedName name="NormalizePrereqs">_xlfn.LAMBDA(_xlpm.txt,_xlfn.LET(_xlpm.t,_xlpm.txt,TRIM(SUBSTITUTE(SUBSTITUTE(SUBSTITUTE(SUBSTITUTE(SUBSTITUTE(_xlpm.t,CHAR(10),"|"),"&lt;br/&gt;","|"),"&lt;br&gt;","|"),"/","|"),"\","|"))))</definedName>
    <definedName name="Slicer_ChainAwareStatus">#N/A</definedName>
    <definedName name="Slicer_PlayerCompleted">#N/A</definedName>
    <definedName name="Slicer_PlayerPaid">#N/A</definedName>
    <definedName name="Slicer_TargetCompleted">#N/A</definedName>
    <definedName name="Slicer_TargetFunded">#N/A</definedName>
    <definedName name="Slicer_TargetType">#N/A</definedName>
    <definedName name="Slicer_TargetType1">#N/A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4:slicerCache r:id="rId27"/>
        <x14:slicerCache r:id="rId28"/>
        <x14:slicerCache r:id="rId29"/>
        <x14:slicerCache r:id="rId30"/>
        <x14:slicerCache r:id="rId31"/>
        <x14:slicerCache r:id="rId3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561" i="3" l="1"/>
  <c r="I561" i="3" s="1"/>
  <c r="B2012" i="21"/>
  <c r="F2012" i="21"/>
  <c r="H2012" i="21"/>
  <c r="G2" i="25"/>
  <c r="G3" i="25"/>
  <c r="G4" i="25"/>
  <c r="G5" i="25"/>
  <c r="G6" i="25"/>
  <c r="G7" i="25"/>
  <c r="G8" i="25"/>
  <c r="G9" i="25"/>
  <c r="G10" i="25"/>
  <c r="G11"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G153" i="25"/>
  <c r="G154" i="25"/>
  <c r="G155" i="25"/>
  <c r="G156" i="25"/>
  <c r="G157" i="25"/>
  <c r="G158" i="25"/>
  <c r="G159" i="25"/>
  <c r="G160" i="25"/>
  <c r="G161" i="25"/>
  <c r="G162" i="25"/>
  <c r="G163" i="25"/>
  <c r="G164" i="25"/>
  <c r="G165" i="25"/>
  <c r="G166" i="25"/>
  <c r="G167" i="25"/>
  <c r="G168" i="25"/>
  <c r="G169" i="25"/>
  <c r="G170" i="25"/>
  <c r="G171" i="25"/>
  <c r="G172" i="25"/>
  <c r="G173" i="25"/>
  <c r="G174" i="25"/>
  <c r="G175" i="25"/>
  <c r="G176" i="25"/>
  <c r="G177" i="25"/>
  <c r="G178" i="25"/>
  <c r="G179" i="25"/>
  <c r="G180" i="25"/>
  <c r="G181" i="25"/>
  <c r="G182" i="25"/>
  <c r="G183" i="25"/>
  <c r="G184" i="25"/>
  <c r="G185" i="25"/>
  <c r="G186" i="25"/>
  <c r="G187" i="25"/>
  <c r="G188" i="25"/>
  <c r="G189" i="25"/>
  <c r="G190" i="25"/>
  <c r="G191" i="25"/>
  <c r="G192" i="25"/>
  <c r="G193" i="25"/>
  <c r="G194" i="25"/>
  <c r="G195" i="25"/>
  <c r="G196" i="25"/>
  <c r="G197" i="25"/>
  <c r="G198" i="25"/>
  <c r="G199" i="25"/>
  <c r="G200" i="25"/>
  <c r="G201" i="25"/>
  <c r="G202" i="25"/>
  <c r="G203" i="25"/>
  <c r="G204" i="25"/>
  <c r="G205" i="25"/>
  <c r="G206" i="25"/>
  <c r="G207" i="25"/>
  <c r="G208" i="25"/>
  <c r="G209" i="25"/>
  <c r="G210" i="25"/>
  <c r="G211" i="25"/>
  <c r="G212" i="25"/>
  <c r="G213" i="25"/>
  <c r="G214" i="25"/>
  <c r="G215" i="25"/>
  <c r="G216" i="25"/>
  <c r="G217" i="25"/>
  <c r="G218" i="25"/>
  <c r="G219" i="25"/>
  <c r="G220" i="25"/>
  <c r="G221" i="25"/>
  <c r="G222" i="25"/>
  <c r="G223" i="25"/>
  <c r="G224" i="25"/>
  <c r="G225" i="25"/>
  <c r="G226" i="25"/>
  <c r="G227" i="25"/>
  <c r="G228" i="25"/>
  <c r="G229" i="25"/>
  <c r="G230" i="25"/>
  <c r="G231" i="25"/>
  <c r="G232" i="25"/>
  <c r="G233" i="25"/>
  <c r="G234" i="25"/>
  <c r="G235" i="25"/>
  <c r="G236" i="25"/>
  <c r="G237" i="25"/>
  <c r="G238" i="25"/>
  <c r="G239" i="25"/>
  <c r="G240" i="25"/>
  <c r="G241" i="25"/>
  <c r="G242" i="25"/>
  <c r="G243" i="25"/>
  <c r="G244" i="25"/>
  <c r="G245" i="25"/>
  <c r="G246" i="25"/>
  <c r="G247" i="25"/>
  <c r="G248" i="25"/>
  <c r="G249" i="25"/>
  <c r="G250" i="25"/>
  <c r="G251" i="25"/>
  <c r="G252" i="25"/>
  <c r="G253" i="25"/>
  <c r="G254" i="25"/>
  <c r="G255" i="25"/>
  <c r="G256" i="25"/>
  <c r="G257" i="25"/>
  <c r="G258" i="25"/>
  <c r="G259" i="25"/>
  <c r="G260" i="25"/>
  <c r="G261" i="25"/>
  <c r="G262" i="25"/>
  <c r="G263" i="25"/>
  <c r="G264" i="25"/>
  <c r="G265" i="25"/>
  <c r="G266" i="25"/>
  <c r="G267" i="25"/>
  <c r="G268" i="25"/>
  <c r="G269" i="25"/>
  <c r="G270" i="25"/>
  <c r="G271" i="25"/>
  <c r="G272" i="25"/>
  <c r="G273" i="25"/>
  <c r="G274" i="25"/>
  <c r="G275" i="25"/>
  <c r="G276" i="25"/>
  <c r="G277" i="25"/>
  <c r="G278" i="25"/>
  <c r="G279" i="25"/>
  <c r="G280" i="25"/>
  <c r="G281" i="25"/>
  <c r="G282" i="25"/>
  <c r="G283" i="25"/>
  <c r="G284" i="25"/>
  <c r="G285" i="25"/>
  <c r="G286" i="25"/>
  <c r="G287" i="25"/>
  <c r="G288" i="25"/>
  <c r="G289" i="25"/>
  <c r="G290" i="25"/>
  <c r="G291" i="25"/>
  <c r="G292" i="25"/>
  <c r="G293" i="25"/>
  <c r="G294" i="25"/>
  <c r="G295" i="25"/>
  <c r="G296" i="25"/>
  <c r="G297" i="25"/>
  <c r="G298" i="25"/>
  <c r="G299" i="25"/>
  <c r="G300" i="25"/>
  <c r="G301" i="25"/>
  <c r="G302" i="25"/>
  <c r="G303" i="25"/>
  <c r="G304" i="25"/>
  <c r="G305" i="25"/>
  <c r="G306" i="25"/>
  <c r="G307" i="25"/>
  <c r="G308" i="25"/>
  <c r="G309" i="25"/>
  <c r="G310" i="25"/>
  <c r="G311" i="25"/>
  <c r="G312" i="25"/>
  <c r="G313" i="25"/>
  <c r="G314" i="25"/>
  <c r="G315" i="25"/>
  <c r="G316" i="25"/>
  <c r="G317" i="25"/>
  <c r="G318" i="25"/>
  <c r="G319" i="25"/>
  <c r="G320" i="25"/>
  <c r="G321" i="25"/>
  <c r="G322" i="25"/>
  <c r="G323" i="25"/>
  <c r="G324" i="25"/>
  <c r="G325" i="25"/>
  <c r="G326" i="25"/>
  <c r="G327" i="25"/>
  <c r="G328" i="25"/>
  <c r="G329" i="25"/>
  <c r="G330" i="25"/>
  <c r="G331" i="25"/>
  <c r="G332" i="25"/>
  <c r="G333" i="25"/>
  <c r="G334" i="25"/>
  <c r="G335" i="25"/>
  <c r="G336" i="25"/>
  <c r="G337" i="25"/>
  <c r="G338" i="25"/>
  <c r="G339" i="25"/>
  <c r="G340" i="25"/>
  <c r="G341" i="25"/>
  <c r="G342" i="25"/>
  <c r="G343" i="25"/>
  <c r="G344" i="25"/>
  <c r="G345" i="25"/>
  <c r="G346" i="25"/>
  <c r="G347" i="25"/>
  <c r="G348" i="25"/>
  <c r="G349" i="25"/>
  <c r="G350" i="25"/>
  <c r="G351" i="25"/>
  <c r="G352" i="25"/>
  <c r="G353" i="25"/>
  <c r="G354" i="25"/>
  <c r="G355" i="25"/>
  <c r="G356" i="25"/>
  <c r="G357" i="25"/>
  <c r="G358" i="25"/>
  <c r="G359" i="25"/>
  <c r="G360" i="25"/>
  <c r="G361" i="25"/>
  <c r="G362" i="25"/>
  <c r="G363" i="25"/>
  <c r="G364" i="25"/>
  <c r="G365" i="25"/>
  <c r="G366" i="25"/>
  <c r="G367" i="25"/>
  <c r="G368" i="25"/>
  <c r="G369" i="25"/>
  <c r="G370" i="25"/>
  <c r="G371" i="25"/>
  <c r="G372" i="25"/>
  <c r="G373" i="25"/>
  <c r="G374" i="25"/>
  <c r="G375" i="25"/>
  <c r="G376" i="25"/>
  <c r="G377" i="25"/>
  <c r="G378" i="25"/>
  <c r="G379" i="25"/>
  <c r="G380" i="25"/>
  <c r="G381" i="25"/>
  <c r="G382" i="25"/>
  <c r="G383" i="25"/>
  <c r="G384" i="25"/>
  <c r="G385" i="25"/>
  <c r="G386" i="25"/>
  <c r="G387" i="25"/>
  <c r="G388" i="25"/>
  <c r="G389" i="25"/>
  <c r="G390" i="25"/>
  <c r="G391" i="25"/>
  <c r="G392" i="25"/>
  <c r="G393" i="25"/>
  <c r="G394" i="25"/>
  <c r="G395" i="25"/>
  <c r="G396" i="25"/>
  <c r="G397" i="25"/>
  <c r="G398" i="25"/>
  <c r="G399" i="25"/>
  <c r="G400" i="25"/>
  <c r="G401" i="25"/>
  <c r="G402" i="25"/>
  <c r="G403" i="25"/>
  <c r="G404" i="25"/>
  <c r="G405" i="25"/>
  <c r="G406" i="25"/>
  <c r="G407" i="25"/>
  <c r="G408" i="25"/>
  <c r="G409" i="25"/>
  <c r="G410" i="25"/>
  <c r="G411" i="25"/>
  <c r="G412" i="25"/>
  <c r="G413" i="25"/>
  <c r="G414" i="25"/>
  <c r="G415" i="25"/>
  <c r="G416" i="25"/>
  <c r="G417" i="25"/>
  <c r="G418" i="25"/>
  <c r="G419" i="25"/>
  <c r="G420" i="25"/>
  <c r="G421" i="25"/>
  <c r="G422" i="25"/>
  <c r="G423" i="25"/>
  <c r="G424" i="25"/>
  <c r="G425" i="25"/>
  <c r="G426" i="25"/>
  <c r="G427" i="25"/>
  <c r="G428" i="25"/>
  <c r="G429" i="25"/>
  <c r="G430" i="25"/>
  <c r="G431" i="25"/>
  <c r="G432" i="25"/>
  <c r="G433" i="25"/>
  <c r="G434" i="25"/>
  <c r="G435" i="25"/>
  <c r="G436" i="25"/>
  <c r="G437" i="25"/>
  <c r="G438" i="25"/>
  <c r="G439" i="25"/>
  <c r="G440" i="25"/>
  <c r="G441" i="25"/>
  <c r="G442" i="25"/>
  <c r="G443" i="25"/>
  <c r="G444" i="25"/>
  <c r="G445" i="25"/>
  <c r="G446" i="25"/>
  <c r="G447" i="25"/>
  <c r="G448" i="25"/>
  <c r="G449" i="25"/>
  <c r="G450" i="25"/>
  <c r="G451" i="25"/>
  <c r="G452" i="25"/>
  <c r="G453" i="25"/>
  <c r="G454" i="25"/>
  <c r="G455" i="25"/>
  <c r="G456" i="25"/>
  <c r="G457" i="25"/>
  <c r="G458" i="25"/>
  <c r="G459" i="25"/>
  <c r="G460" i="25"/>
  <c r="G461" i="25"/>
  <c r="G462" i="25"/>
  <c r="G463" i="25"/>
  <c r="G464" i="25"/>
  <c r="G465" i="25"/>
  <c r="G466" i="25"/>
  <c r="G467" i="25"/>
  <c r="G468" i="25"/>
  <c r="G469" i="25"/>
  <c r="G470" i="25"/>
  <c r="G471" i="25"/>
  <c r="G472" i="25"/>
  <c r="G473" i="25"/>
  <c r="G474" i="25"/>
  <c r="G475" i="25"/>
  <c r="G476" i="25"/>
  <c r="G477" i="25"/>
  <c r="G478" i="25"/>
  <c r="G479" i="25"/>
  <c r="G480" i="25"/>
  <c r="G481" i="25"/>
  <c r="G482" i="25"/>
  <c r="G483" i="25"/>
  <c r="G484" i="25"/>
  <c r="G485" i="25"/>
  <c r="G486" i="25"/>
  <c r="G487" i="25"/>
  <c r="G488" i="25"/>
  <c r="G489" i="25"/>
  <c r="G490" i="25"/>
  <c r="G491" i="25"/>
  <c r="G492" i="25"/>
  <c r="G493" i="25"/>
  <c r="G494" i="25"/>
  <c r="G495" i="25"/>
  <c r="G496" i="25"/>
  <c r="G497" i="25"/>
  <c r="G498" i="25"/>
  <c r="G499" i="25"/>
  <c r="G500" i="25"/>
  <c r="G501" i="25"/>
  <c r="G502" i="25"/>
  <c r="G503" i="25"/>
  <c r="G504" i="25"/>
  <c r="G505" i="25"/>
  <c r="G506" i="25"/>
  <c r="G507" i="25"/>
  <c r="G508" i="25"/>
  <c r="G509" i="25"/>
  <c r="G510" i="25"/>
  <c r="G511" i="25"/>
  <c r="G512" i="25"/>
  <c r="G513" i="25"/>
  <c r="G514" i="25"/>
  <c r="G515" i="25"/>
  <c r="G516" i="25"/>
  <c r="G517" i="25"/>
  <c r="G518" i="25"/>
  <c r="G519" i="25"/>
  <c r="G520" i="25"/>
  <c r="G521" i="25"/>
  <c r="G522" i="25"/>
  <c r="G523" i="25"/>
  <c r="G524" i="25"/>
  <c r="G525" i="25"/>
  <c r="G526" i="25"/>
  <c r="G527" i="25"/>
  <c r="G528" i="25"/>
  <c r="G529" i="25"/>
  <c r="G530" i="25"/>
  <c r="G531" i="25"/>
  <c r="G532" i="25"/>
  <c r="G533" i="25"/>
  <c r="G534" i="25"/>
  <c r="G535" i="25"/>
  <c r="G536" i="25"/>
  <c r="G537" i="25"/>
  <c r="G538" i="25"/>
  <c r="G539" i="25"/>
  <c r="G540" i="25"/>
  <c r="G541" i="25"/>
  <c r="G542" i="25"/>
  <c r="G543" i="25"/>
  <c r="G544" i="25"/>
  <c r="G545" i="25"/>
  <c r="G546" i="25"/>
  <c r="G547" i="25"/>
  <c r="G548" i="25"/>
  <c r="G549" i="25"/>
  <c r="G550" i="25"/>
  <c r="G551" i="25"/>
  <c r="G552" i="25"/>
  <c r="G553" i="25"/>
  <c r="G554" i="25"/>
  <c r="G555" i="25"/>
  <c r="G556" i="25"/>
  <c r="G557" i="25"/>
  <c r="G558" i="25"/>
  <c r="G559" i="25"/>
  <c r="G560" i="25"/>
  <c r="G561" i="25"/>
  <c r="G562" i="25"/>
  <c r="G563" i="25"/>
  <c r="G564" i="25"/>
  <c r="G565" i="25"/>
  <c r="G566" i="25"/>
  <c r="G567" i="25"/>
  <c r="G568" i="25"/>
  <c r="G569" i="25"/>
  <c r="G570" i="25"/>
  <c r="G571" i="25"/>
  <c r="G572" i="25"/>
  <c r="G573" i="25"/>
  <c r="G574" i="25"/>
  <c r="G575" i="25"/>
  <c r="G576" i="25"/>
  <c r="G577" i="25"/>
  <c r="G578" i="25"/>
  <c r="G579" i="25"/>
  <c r="G580" i="25"/>
  <c r="G581" i="25"/>
  <c r="G582" i="25"/>
  <c r="G583" i="25"/>
  <c r="G584" i="25"/>
  <c r="G585" i="25"/>
  <c r="G586" i="25"/>
  <c r="G587" i="25"/>
  <c r="G588" i="25"/>
  <c r="G589" i="25"/>
  <c r="G590" i="25"/>
  <c r="G591" i="25"/>
  <c r="G592" i="25"/>
  <c r="G593" i="25"/>
  <c r="G594" i="25"/>
  <c r="G595" i="25"/>
  <c r="G596" i="25"/>
  <c r="G597" i="25"/>
  <c r="G598" i="25"/>
  <c r="G599" i="25"/>
  <c r="G600" i="25"/>
  <c r="G601" i="25"/>
  <c r="G602" i="25"/>
  <c r="G603" i="25"/>
  <c r="G604" i="25"/>
  <c r="G605" i="25"/>
  <c r="G606" i="25"/>
  <c r="G607" i="25"/>
  <c r="G608" i="25"/>
  <c r="G609" i="25"/>
  <c r="G610" i="25"/>
  <c r="G611" i="25"/>
  <c r="G612" i="25"/>
  <c r="G613" i="25"/>
  <c r="G614" i="25"/>
  <c r="G615" i="25"/>
  <c r="G616" i="25"/>
  <c r="G617" i="25"/>
  <c r="G618" i="25"/>
  <c r="G619" i="25"/>
  <c r="G620" i="25"/>
  <c r="G621" i="25"/>
  <c r="G622" i="25"/>
  <c r="G623" i="25"/>
  <c r="G624" i="25"/>
  <c r="G625" i="25"/>
  <c r="G626" i="25"/>
  <c r="G627" i="25"/>
  <c r="G628" i="25"/>
  <c r="G629" i="25"/>
  <c r="G630" i="25"/>
  <c r="G631" i="25"/>
  <c r="G632" i="25"/>
  <c r="G633" i="25"/>
  <c r="G634" i="25"/>
  <c r="G635" i="25"/>
  <c r="G636" i="25"/>
  <c r="G637" i="25"/>
  <c r="G638" i="25"/>
  <c r="G639" i="25"/>
  <c r="G640" i="25"/>
  <c r="G641" i="25"/>
  <c r="G642" i="25"/>
  <c r="G643" i="25"/>
  <c r="G644" i="25"/>
  <c r="G645" i="25"/>
  <c r="G646" i="25"/>
  <c r="G647" i="25"/>
  <c r="G648" i="25"/>
  <c r="G649" i="25"/>
  <c r="G650" i="25"/>
  <c r="G651" i="25"/>
  <c r="G652" i="25"/>
  <c r="G653" i="25"/>
  <c r="G654" i="25"/>
  <c r="G655" i="25"/>
  <c r="G656" i="25"/>
  <c r="G657" i="25"/>
  <c r="G658" i="25"/>
  <c r="G659" i="25"/>
  <c r="G660" i="25"/>
  <c r="G661" i="25"/>
  <c r="G662" i="25"/>
  <c r="G663" i="25"/>
  <c r="G664" i="25"/>
  <c r="G665" i="25"/>
  <c r="G666" i="25"/>
  <c r="G667" i="25"/>
  <c r="G668" i="25"/>
  <c r="G669" i="25"/>
  <c r="G670" i="25"/>
  <c r="G671" i="25"/>
  <c r="G672" i="25"/>
  <c r="G673" i="25"/>
  <c r="G674" i="25"/>
  <c r="G675" i="25"/>
  <c r="G676" i="25"/>
  <c r="G677" i="25"/>
  <c r="G678" i="25"/>
  <c r="G679" i="25"/>
  <c r="G680" i="25"/>
  <c r="G681" i="25"/>
  <c r="G682" i="25"/>
  <c r="G683" i="25"/>
  <c r="G684" i="25"/>
  <c r="G685" i="25"/>
  <c r="G686" i="25"/>
  <c r="G687" i="25"/>
  <c r="G688" i="25"/>
  <c r="G689" i="25"/>
  <c r="G690" i="25"/>
  <c r="G691" i="25"/>
  <c r="G692" i="25"/>
  <c r="G693" i="25"/>
  <c r="G694" i="25"/>
  <c r="G695" i="25"/>
  <c r="G696" i="25"/>
  <c r="G697" i="25"/>
  <c r="G698" i="25"/>
  <c r="G699" i="25"/>
  <c r="G700" i="25"/>
  <c r="G701" i="25"/>
  <c r="G702" i="25"/>
  <c r="G703" i="25"/>
  <c r="G704" i="25"/>
  <c r="G705" i="25"/>
  <c r="G706" i="25"/>
  <c r="G707" i="25"/>
  <c r="G708" i="25"/>
  <c r="G709" i="25"/>
  <c r="G710" i="25"/>
  <c r="G711" i="25"/>
  <c r="G712" i="25"/>
  <c r="G713" i="25"/>
  <c r="G714" i="25"/>
  <c r="G715" i="25"/>
  <c r="G716" i="25"/>
  <c r="G717" i="25"/>
  <c r="G718" i="25"/>
  <c r="G719" i="25"/>
  <c r="G720" i="25"/>
  <c r="G721" i="25"/>
  <c r="G722" i="25"/>
  <c r="G723" i="25"/>
  <c r="G724" i="25"/>
  <c r="G725" i="25"/>
  <c r="G726" i="25"/>
  <c r="G727" i="25"/>
  <c r="G728" i="25"/>
  <c r="G729" i="25"/>
  <c r="G730" i="25"/>
  <c r="G731" i="25"/>
  <c r="G732" i="25"/>
  <c r="G733" i="25"/>
  <c r="G734" i="25"/>
  <c r="G735" i="25"/>
  <c r="G736" i="25"/>
  <c r="G737" i="25"/>
  <c r="G738" i="25"/>
  <c r="G739" i="25"/>
  <c r="G740" i="25"/>
  <c r="G741" i="25"/>
  <c r="G742" i="25"/>
  <c r="G743" i="25"/>
  <c r="G744" i="25"/>
  <c r="G745" i="25"/>
  <c r="G746" i="25"/>
  <c r="G747" i="25"/>
  <c r="G748" i="25"/>
  <c r="G749" i="25"/>
  <c r="G750" i="25"/>
  <c r="G751" i="25"/>
  <c r="G752" i="25"/>
  <c r="G753" i="25"/>
  <c r="G754" i="25"/>
  <c r="G755" i="25"/>
  <c r="G756" i="25"/>
  <c r="G757" i="25"/>
  <c r="G758" i="25"/>
  <c r="G759" i="25"/>
  <c r="G760" i="25"/>
  <c r="G761" i="25"/>
  <c r="G762" i="25"/>
  <c r="G763" i="25"/>
  <c r="G764" i="25"/>
  <c r="G765" i="25"/>
  <c r="G766" i="25"/>
  <c r="G767" i="25"/>
  <c r="G768" i="25"/>
  <c r="G769" i="25"/>
  <c r="G770" i="25"/>
  <c r="G771" i="25"/>
  <c r="G772" i="25"/>
  <c r="G773" i="25"/>
  <c r="G774" i="25"/>
  <c r="G775" i="25"/>
  <c r="G776" i="25"/>
  <c r="G777" i="25"/>
  <c r="G778" i="25"/>
  <c r="G779" i="25"/>
  <c r="G780" i="25"/>
  <c r="G781" i="25"/>
  <c r="G782" i="25"/>
  <c r="G783" i="25"/>
  <c r="G784" i="25"/>
  <c r="G785" i="25"/>
  <c r="G786" i="25"/>
  <c r="G787" i="25"/>
  <c r="G788" i="25"/>
  <c r="G789" i="25"/>
  <c r="G790" i="25"/>
  <c r="G791" i="25"/>
  <c r="G792" i="25"/>
  <c r="G793" i="25"/>
  <c r="G794" i="25"/>
  <c r="G795" i="25"/>
  <c r="G796" i="25"/>
  <c r="G797" i="25"/>
  <c r="G798" i="25"/>
  <c r="G799" i="25"/>
  <c r="G800" i="25"/>
  <c r="G801" i="25"/>
  <c r="G802" i="25"/>
  <c r="G803" i="25"/>
  <c r="G804" i="25"/>
  <c r="G805" i="25"/>
  <c r="G806" i="25"/>
  <c r="G807" i="25"/>
  <c r="G808" i="25"/>
  <c r="G809" i="25"/>
  <c r="G810" i="25"/>
  <c r="G811" i="25"/>
  <c r="G812" i="25"/>
  <c r="G813" i="25"/>
  <c r="G814" i="25"/>
  <c r="G815" i="25"/>
  <c r="G816" i="25"/>
  <c r="G817" i="25"/>
  <c r="G818" i="25"/>
  <c r="G819" i="25"/>
  <c r="G820" i="25"/>
  <c r="G821" i="25"/>
  <c r="G822" i="25"/>
  <c r="G823" i="25"/>
  <c r="G824" i="25"/>
  <c r="G825" i="25"/>
  <c r="G826" i="25"/>
  <c r="G827" i="25"/>
  <c r="G828" i="25"/>
  <c r="G829" i="25"/>
  <c r="G830" i="25"/>
  <c r="G831" i="25"/>
  <c r="G832" i="25"/>
  <c r="G833" i="25"/>
  <c r="G834" i="25"/>
  <c r="G835" i="25"/>
  <c r="G836" i="25"/>
  <c r="G837" i="25"/>
  <c r="G838" i="25"/>
  <c r="G839" i="25"/>
  <c r="G840" i="25"/>
  <c r="G841" i="25"/>
  <c r="G842" i="25"/>
  <c r="G843" i="25"/>
  <c r="G844" i="25"/>
  <c r="G845" i="25"/>
  <c r="G846" i="25"/>
  <c r="G847" i="25"/>
  <c r="G848" i="25"/>
  <c r="G849" i="25"/>
  <c r="G850" i="25"/>
  <c r="G851" i="25"/>
  <c r="G852" i="25"/>
  <c r="G853" i="25"/>
  <c r="G854" i="25"/>
  <c r="G855" i="25"/>
  <c r="G856" i="25"/>
  <c r="G857" i="25"/>
  <c r="G858" i="25"/>
  <c r="G859" i="25"/>
  <c r="G860" i="25"/>
  <c r="G861" i="25"/>
  <c r="G862" i="25"/>
  <c r="G863" i="25"/>
  <c r="G864" i="25"/>
  <c r="G865" i="25"/>
  <c r="G866" i="25"/>
  <c r="G867" i="25"/>
  <c r="G868" i="25"/>
  <c r="G869" i="25"/>
  <c r="G870" i="25"/>
  <c r="G871" i="25"/>
  <c r="G872" i="25"/>
  <c r="G873" i="25"/>
  <c r="G874" i="25"/>
  <c r="G875" i="25"/>
  <c r="G876" i="25"/>
  <c r="G877" i="25"/>
  <c r="G878" i="25"/>
  <c r="G879" i="25"/>
  <c r="G880" i="25"/>
  <c r="G881" i="25"/>
  <c r="G882" i="25"/>
  <c r="G883" i="25"/>
  <c r="G884" i="25"/>
  <c r="G885" i="25"/>
  <c r="G886" i="25"/>
  <c r="G887" i="25"/>
  <c r="G888" i="25"/>
  <c r="G889" i="25"/>
  <c r="G890" i="25"/>
  <c r="G891" i="25"/>
  <c r="G892" i="25"/>
  <c r="G893" i="25"/>
  <c r="G894" i="25"/>
  <c r="G895" i="25"/>
  <c r="G896" i="25"/>
  <c r="G897" i="25"/>
  <c r="G898" i="25"/>
  <c r="G899" i="25"/>
  <c r="G900" i="25"/>
  <c r="G901" i="25"/>
  <c r="G902" i="25"/>
  <c r="G903" i="25"/>
  <c r="G904" i="25"/>
  <c r="G905" i="25"/>
  <c r="G906" i="25"/>
  <c r="G907" i="25"/>
  <c r="G908" i="25"/>
  <c r="G909" i="25"/>
  <c r="G910" i="25"/>
  <c r="G911" i="25"/>
  <c r="G912" i="25"/>
  <c r="G913" i="25"/>
  <c r="G914" i="25"/>
  <c r="G915" i="25"/>
  <c r="G916" i="25"/>
  <c r="G917" i="25"/>
  <c r="G918" i="25"/>
  <c r="G919" i="25"/>
  <c r="G920" i="25"/>
  <c r="G921" i="25"/>
  <c r="G922" i="25"/>
  <c r="G923" i="25"/>
  <c r="G924" i="25"/>
  <c r="G925" i="25"/>
  <c r="G926" i="25"/>
  <c r="G927" i="25"/>
  <c r="G928" i="25"/>
  <c r="G929" i="25"/>
  <c r="G930" i="25"/>
  <c r="G931" i="25"/>
  <c r="G932" i="25"/>
  <c r="G933" i="25"/>
  <c r="G934" i="25"/>
  <c r="G935" i="25"/>
  <c r="G936" i="25"/>
  <c r="G937" i="25"/>
  <c r="G938" i="25"/>
  <c r="G939" i="25"/>
  <c r="G940" i="25"/>
  <c r="G941" i="25"/>
  <c r="G942" i="25"/>
  <c r="G943" i="25"/>
  <c r="G944" i="25"/>
  <c r="G945" i="25"/>
  <c r="G946" i="25"/>
  <c r="G947" i="25"/>
  <c r="G948" i="25"/>
  <c r="G949" i="25"/>
  <c r="G950" i="25"/>
  <c r="G951" i="25"/>
  <c r="G952" i="25"/>
  <c r="G953" i="25"/>
  <c r="G954" i="25"/>
  <c r="G955" i="25"/>
  <c r="G956" i="25"/>
  <c r="G957" i="25"/>
  <c r="G958" i="25"/>
  <c r="G959" i="25"/>
  <c r="G960" i="25"/>
  <c r="G961" i="25"/>
  <c r="G962" i="25"/>
  <c r="G963" i="25"/>
  <c r="G964" i="25"/>
  <c r="G965" i="25"/>
  <c r="G966" i="25"/>
  <c r="G967" i="25"/>
  <c r="G968" i="25"/>
  <c r="G969" i="25"/>
  <c r="G970" i="25"/>
  <c r="G971" i="25"/>
  <c r="G972" i="25"/>
  <c r="G973" i="25"/>
  <c r="G974" i="25"/>
  <c r="G975" i="25"/>
  <c r="G976" i="25"/>
  <c r="G977" i="25"/>
  <c r="G978" i="25"/>
  <c r="G979" i="25"/>
  <c r="G980" i="25"/>
  <c r="G981" i="25"/>
  <c r="G982" i="25"/>
  <c r="G983" i="25"/>
  <c r="G984" i="25"/>
  <c r="G985" i="25"/>
  <c r="G986" i="25"/>
  <c r="G987" i="25"/>
  <c r="G988" i="25"/>
  <c r="G989" i="25"/>
  <c r="G990" i="25"/>
  <c r="G991" i="25"/>
  <c r="G992" i="25"/>
  <c r="G993" i="25"/>
  <c r="G994" i="25"/>
  <c r="G995" i="25"/>
  <c r="G996" i="25"/>
  <c r="G997" i="25"/>
  <c r="G998" i="25"/>
  <c r="G999" i="25"/>
  <c r="G1000" i="25"/>
  <c r="G1001" i="25"/>
  <c r="G1002" i="25"/>
  <c r="G1003" i="25"/>
  <c r="G1004" i="25"/>
  <c r="G1005" i="25"/>
  <c r="G1006" i="25"/>
  <c r="G1007" i="25"/>
  <c r="G1008" i="25"/>
  <c r="G1009" i="25"/>
  <c r="G1010" i="25"/>
  <c r="G1011" i="25"/>
  <c r="G1012" i="25"/>
  <c r="G1013" i="25"/>
  <c r="G1014" i="25"/>
  <c r="G1015" i="25"/>
  <c r="G1016" i="25"/>
  <c r="G1017" i="25"/>
  <c r="G1018" i="25"/>
  <c r="G1019" i="25"/>
  <c r="G1020" i="25"/>
  <c r="G1021" i="25"/>
  <c r="G1022" i="25"/>
  <c r="G1023" i="25"/>
  <c r="G1024" i="25"/>
  <c r="G1025" i="25"/>
  <c r="G1026" i="25"/>
  <c r="G1027" i="25"/>
  <c r="G1028" i="25"/>
  <c r="G1029" i="25"/>
  <c r="G1030" i="25"/>
  <c r="G1031" i="25"/>
  <c r="G1032" i="25"/>
  <c r="G1033" i="25"/>
  <c r="G1034" i="25"/>
  <c r="G1035" i="25"/>
  <c r="G1036" i="25"/>
  <c r="G1037" i="25"/>
  <c r="G1038" i="25"/>
  <c r="G1039" i="25"/>
  <c r="G1040" i="25"/>
  <c r="G1041" i="25"/>
  <c r="G1042" i="25"/>
  <c r="G1043" i="25"/>
  <c r="G1044" i="25"/>
  <c r="G1045" i="25"/>
  <c r="G1046" i="25"/>
  <c r="G1047" i="25"/>
  <c r="G1048" i="25"/>
  <c r="G1049" i="25"/>
  <c r="G1050" i="25"/>
  <c r="G1051" i="25"/>
  <c r="G1052" i="25"/>
  <c r="G1053" i="25"/>
  <c r="G1054" i="25"/>
  <c r="G1055" i="25"/>
  <c r="G1056" i="25"/>
  <c r="G1057" i="25"/>
  <c r="G1058" i="25"/>
  <c r="G1059" i="25"/>
  <c r="G1060" i="25"/>
  <c r="G1061" i="25"/>
  <c r="G1062" i="25"/>
  <c r="G1063" i="25"/>
  <c r="G1064" i="25"/>
  <c r="G1065" i="25"/>
  <c r="G1066" i="25"/>
  <c r="G1067" i="25"/>
  <c r="G1068" i="25"/>
  <c r="G1069" i="25"/>
  <c r="G1070" i="25"/>
  <c r="G1071" i="25"/>
  <c r="G1072" i="25"/>
  <c r="G1073" i="25"/>
  <c r="G1074" i="25"/>
  <c r="G1075" i="25"/>
  <c r="G1076" i="25"/>
  <c r="G1077" i="25"/>
  <c r="G1078" i="25"/>
  <c r="G1079" i="25"/>
  <c r="G1080" i="25"/>
  <c r="G1081" i="25"/>
  <c r="G1082" i="25"/>
  <c r="G1083" i="25"/>
  <c r="G1084" i="25"/>
  <c r="G1085" i="25"/>
  <c r="G1086" i="25"/>
  <c r="G1087" i="25"/>
  <c r="G1088" i="25"/>
  <c r="G1089" i="25"/>
  <c r="G1090" i="25"/>
  <c r="G1091" i="25"/>
  <c r="G1092" i="25"/>
  <c r="G1093" i="25"/>
  <c r="G1094" i="25"/>
  <c r="G1095" i="25"/>
  <c r="G1096" i="25"/>
  <c r="G1097" i="25"/>
  <c r="G1098" i="25"/>
  <c r="G1099" i="25"/>
  <c r="G1100" i="25"/>
  <c r="G1101" i="25"/>
  <c r="G1102" i="25"/>
  <c r="G1103" i="25"/>
  <c r="G1104" i="25"/>
  <c r="G1105" i="25"/>
  <c r="G1106" i="25"/>
  <c r="G1107" i="25"/>
  <c r="G1108" i="25"/>
  <c r="G1109" i="25"/>
  <c r="G1110" i="25"/>
  <c r="G1111" i="25"/>
  <c r="G1112" i="25"/>
  <c r="G1113" i="25"/>
  <c r="G1114" i="25"/>
  <c r="G1115" i="25"/>
  <c r="G1116" i="25"/>
  <c r="G1117" i="25"/>
  <c r="G1118" i="25"/>
  <c r="G1119" i="25"/>
  <c r="G1120" i="25"/>
  <c r="G1121" i="25"/>
  <c r="G1122" i="25"/>
  <c r="G1123" i="25"/>
  <c r="G1124" i="25"/>
  <c r="G1125" i="25"/>
  <c r="G1126" i="25"/>
  <c r="G1127" i="25"/>
  <c r="G1128" i="25"/>
  <c r="G1129" i="25"/>
  <c r="G1130" i="25"/>
  <c r="G1131" i="25"/>
  <c r="G1132" i="25"/>
  <c r="G1133" i="25"/>
  <c r="G1134" i="25"/>
  <c r="G1135" i="25"/>
  <c r="G1136" i="25"/>
  <c r="G1137" i="25"/>
  <c r="G1138" i="25"/>
  <c r="G1139" i="25"/>
  <c r="G1140" i="25"/>
  <c r="G1141" i="25"/>
  <c r="G1142" i="25"/>
  <c r="G1143" i="25"/>
  <c r="G1144" i="25"/>
  <c r="G1145" i="25"/>
  <c r="G1146" i="25"/>
  <c r="G1147" i="25"/>
  <c r="G1148" i="25"/>
  <c r="G1149" i="25"/>
  <c r="G1150" i="25"/>
  <c r="G1151" i="25"/>
  <c r="G1152" i="25"/>
  <c r="G1153" i="25"/>
  <c r="G1154" i="25"/>
  <c r="G1155" i="25"/>
  <c r="G1156" i="25"/>
  <c r="G1157" i="25"/>
  <c r="G1158" i="25"/>
  <c r="G1159" i="25"/>
  <c r="G1160" i="25"/>
  <c r="G1161" i="25"/>
  <c r="G1162" i="25"/>
  <c r="G1163" i="25"/>
  <c r="G1164" i="25"/>
  <c r="G1165" i="25"/>
  <c r="G1166" i="25"/>
  <c r="G1167" i="25"/>
  <c r="G1168" i="25"/>
  <c r="G1169" i="25"/>
  <c r="G1170" i="25"/>
  <c r="G1171" i="25"/>
  <c r="G1172" i="25"/>
  <c r="G1173" i="25"/>
  <c r="G1174" i="25"/>
  <c r="G1175" i="25"/>
  <c r="G1176" i="25"/>
  <c r="G1177" i="25"/>
  <c r="G1178" i="25"/>
  <c r="G1179" i="25"/>
  <c r="G1180" i="25"/>
  <c r="G1181" i="25"/>
  <c r="G1182" i="25"/>
  <c r="G1183" i="25"/>
  <c r="G1184" i="25"/>
  <c r="G1185" i="25"/>
  <c r="G1186" i="25"/>
  <c r="G1187" i="25"/>
  <c r="G1188" i="25"/>
  <c r="G1189" i="25"/>
  <c r="G1190" i="25"/>
  <c r="G1191" i="25"/>
  <c r="G1192" i="25"/>
  <c r="G1193" i="25"/>
  <c r="G1194" i="25"/>
  <c r="G1195" i="25"/>
  <c r="G1196" i="25"/>
  <c r="G1197" i="25"/>
  <c r="G1198" i="25"/>
  <c r="G1199" i="25"/>
  <c r="G1200" i="25"/>
  <c r="G1201" i="25"/>
  <c r="G1202" i="25"/>
  <c r="G1203" i="25"/>
  <c r="G1204" i="25"/>
  <c r="G1205" i="25"/>
  <c r="G1206" i="25"/>
  <c r="G1207" i="25"/>
  <c r="G1208" i="25"/>
  <c r="G1209" i="25"/>
  <c r="G1210" i="25"/>
  <c r="G1211" i="25"/>
  <c r="G1212" i="25"/>
  <c r="G1213" i="25"/>
  <c r="G1214" i="25"/>
  <c r="G1215" i="25"/>
  <c r="G1216" i="25"/>
  <c r="G1217" i="25"/>
  <c r="G1218" i="25"/>
  <c r="G1219" i="25"/>
  <c r="G1220" i="25"/>
  <c r="G1221" i="25"/>
  <c r="G1222" i="25"/>
  <c r="G1223" i="25"/>
  <c r="G1224" i="25"/>
  <c r="G1225" i="25"/>
  <c r="G1226" i="25"/>
  <c r="G1227" i="25"/>
  <c r="G1228" i="25"/>
  <c r="G1229" i="25"/>
  <c r="G1230" i="25"/>
  <c r="G1231" i="25"/>
  <c r="G1232" i="25"/>
  <c r="G1233" i="25"/>
  <c r="G1234" i="25"/>
  <c r="G1235" i="25"/>
  <c r="G1236" i="25"/>
  <c r="G1237" i="25"/>
  <c r="G1238" i="25"/>
  <c r="G1239" i="25"/>
  <c r="G1240" i="25"/>
  <c r="G1241" i="25"/>
  <c r="G1242" i="25"/>
  <c r="G1243" i="25"/>
  <c r="G1244" i="25"/>
  <c r="G1245" i="25"/>
  <c r="G1246" i="25"/>
  <c r="G1247" i="25"/>
  <c r="G1248" i="25"/>
  <c r="G1249" i="25"/>
  <c r="G1250" i="25"/>
  <c r="G1251" i="25"/>
  <c r="G1252" i="25"/>
  <c r="G1253" i="25"/>
  <c r="G1254" i="25"/>
  <c r="G1255" i="25"/>
  <c r="G1256" i="25"/>
  <c r="G1257" i="25"/>
  <c r="G1258" i="25"/>
  <c r="G1259" i="25"/>
  <c r="G1260" i="25"/>
  <c r="G1261" i="25"/>
  <c r="G1262" i="25"/>
  <c r="G1263" i="25"/>
  <c r="G1264" i="25"/>
  <c r="G1265" i="25"/>
  <c r="G1266" i="25"/>
  <c r="G1267" i="25"/>
  <c r="G1268" i="25"/>
  <c r="G1269" i="25"/>
  <c r="G1270" i="25"/>
  <c r="G1271" i="25"/>
  <c r="G1272" i="25"/>
  <c r="G1273" i="25"/>
  <c r="G1274" i="25"/>
  <c r="G1275" i="25"/>
  <c r="G1276" i="25"/>
  <c r="G1277" i="25"/>
  <c r="G1278" i="25"/>
  <c r="G1279" i="25"/>
  <c r="G1280" i="25"/>
  <c r="G1281" i="25"/>
  <c r="G1282" i="25"/>
  <c r="G1283" i="25"/>
  <c r="G1284" i="25"/>
  <c r="G1285" i="25"/>
  <c r="G1286" i="25"/>
  <c r="G1287" i="25"/>
  <c r="G1288" i="25"/>
  <c r="G1289" i="25"/>
  <c r="G1290" i="25"/>
  <c r="G1291" i="25"/>
  <c r="G1292" i="25"/>
  <c r="G1293" i="25"/>
  <c r="G1294" i="25"/>
  <c r="G1295" i="25"/>
  <c r="G1296" i="25"/>
  <c r="G1297" i="25"/>
  <c r="G1298" i="25"/>
  <c r="G1299" i="25"/>
  <c r="G1300" i="25"/>
  <c r="G1301" i="25"/>
  <c r="G1302" i="25"/>
  <c r="G1303" i="25"/>
  <c r="G1304" i="25"/>
  <c r="G1305" i="25"/>
  <c r="G1306" i="25"/>
  <c r="G1307" i="25"/>
  <c r="G1308" i="25"/>
  <c r="G1309" i="25"/>
  <c r="G1310" i="25"/>
  <c r="G1311" i="25"/>
  <c r="G1312" i="25"/>
  <c r="G1313" i="25"/>
  <c r="G1314" i="25"/>
  <c r="G1315" i="25"/>
  <c r="G1316" i="25"/>
  <c r="G1317" i="25"/>
  <c r="G1318" i="25"/>
  <c r="G1319" i="25"/>
  <c r="G1320" i="25"/>
  <c r="G1321" i="25"/>
  <c r="G1322" i="25"/>
  <c r="G1323" i="25"/>
  <c r="G1324" i="25"/>
  <c r="G1325" i="25"/>
  <c r="G1326" i="25"/>
  <c r="G1327" i="25"/>
  <c r="G1328" i="25"/>
  <c r="G1329" i="25"/>
  <c r="G1330" i="25"/>
  <c r="G1331" i="25"/>
  <c r="G1332" i="25"/>
  <c r="G1333" i="25"/>
  <c r="G1334" i="25"/>
  <c r="G1335" i="25"/>
  <c r="G1336" i="25"/>
  <c r="G1337" i="25"/>
  <c r="G1338" i="25"/>
  <c r="G1339" i="25"/>
  <c r="G1340" i="25"/>
  <c r="G1341" i="25"/>
  <c r="G1342" i="25"/>
  <c r="G1343" i="25"/>
  <c r="G1344" i="25"/>
  <c r="G1345" i="25"/>
  <c r="G1346" i="25"/>
  <c r="G1347" i="25"/>
  <c r="G1348" i="25"/>
  <c r="G1349" i="25"/>
  <c r="G1350" i="25"/>
  <c r="G1351" i="25"/>
  <c r="G1352" i="25"/>
  <c r="G1353" i="25"/>
  <c r="G1354" i="25"/>
  <c r="G1355" i="25"/>
  <c r="G1356" i="25"/>
  <c r="G1357" i="25"/>
  <c r="G1358" i="25"/>
  <c r="G1359" i="25"/>
  <c r="G1360" i="25"/>
  <c r="G1361" i="25"/>
  <c r="G1362" i="25"/>
  <c r="G1363" i="25"/>
  <c r="G1364" i="25"/>
  <c r="G1365" i="25"/>
  <c r="G1366" i="25"/>
  <c r="G1367" i="25"/>
  <c r="G1368" i="25"/>
  <c r="G1369" i="25"/>
  <c r="G1370" i="25"/>
  <c r="G1371" i="25"/>
  <c r="G1372" i="25"/>
  <c r="G1373" i="25"/>
  <c r="G1374" i="25"/>
  <c r="G1375" i="25"/>
  <c r="G1376" i="25"/>
  <c r="G1377" i="25"/>
  <c r="G1378" i="25"/>
  <c r="G1379" i="25"/>
  <c r="G1380" i="25"/>
  <c r="G1381" i="25"/>
  <c r="G1382" i="25"/>
  <c r="G1383" i="25"/>
  <c r="G1384" i="25"/>
  <c r="G1385" i="25"/>
  <c r="G1386" i="25"/>
  <c r="G1387" i="25"/>
  <c r="G1388" i="25"/>
  <c r="G1389" i="25"/>
  <c r="G1390" i="25"/>
  <c r="G1391" i="25"/>
  <c r="G1392" i="25"/>
  <c r="G1393" i="25"/>
  <c r="G1394" i="25"/>
  <c r="G1395" i="25"/>
  <c r="G1396" i="25"/>
  <c r="G1397" i="25"/>
  <c r="G1398" i="25"/>
  <c r="G1399" i="25"/>
  <c r="G1400" i="25"/>
  <c r="G1401" i="25"/>
  <c r="G1402" i="25"/>
  <c r="G1403" i="25"/>
  <c r="G1404" i="25"/>
  <c r="G1405" i="25"/>
  <c r="G1406" i="25"/>
  <c r="G1407" i="25"/>
  <c r="G1408" i="25"/>
  <c r="G1409" i="25"/>
  <c r="G1410" i="25"/>
  <c r="G1411" i="25"/>
  <c r="G1412" i="25"/>
  <c r="G1413" i="25"/>
  <c r="G1414" i="25"/>
  <c r="G1415" i="25"/>
  <c r="G1416" i="25"/>
  <c r="G1417" i="25"/>
  <c r="G1418" i="25"/>
  <c r="G1419" i="25"/>
  <c r="G1420" i="25"/>
  <c r="G1421" i="25"/>
  <c r="G1422" i="25"/>
  <c r="G1423" i="25"/>
  <c r="G1424" i="25"/>
  <c r="G1425" i="25"/>
  <c r="G1426" i="25"/>
  <c r="G1427" i="25"/>
  <c r="G1428" i="25"/>
  <c r="G1429" i="25"/>
  <c r="G1430" i="25"/>
  <c r="G1431" i="25"/>
  <c r="G1432" i="25"/>
  <c r="G1433" i="25"/>
  <c r="G1434" i="25"/>
  <c r="G1435" i="25"/>
  <c r="G1436" i="25"/>
  <c r="G1437" i="25"/>
  <c r="G1438" i="25"/>
  <c r="G1439" i="25"/>
  <c r="G1440" i="25"/>
  <c r="G1441" i="25"/>
  <c r="G1442" i="25"/>
  <c r="G1443" i="25"/>
  <c r="G1444" i="25"/>
  <c r="G1445" i="25"/>
  <c r="G1446" i="25"/>
  <c r="G1447" i="25"/>
  <c r="G1448" i="25"/>
  <c r="G1449" i="25"/>
  <c r="G1450" i="25"/>
  <c r="G1451" i="25"/>
  <c r="G1452" i="25"/>
  <c r="G1453" i="25"/>
  <c r="G1454" i="25"/>
  <c r="G1455" i="25"/>
  <c r="G1456" i="25"/>
  <c r="G1457" i="25"/>
  <c r="G1458" i="25"/>
  <c r="G1459" i="25"/>
  <c r="G1460" i="25"/>
  <c r="G1461" i="25"/>
  <c r="G1462" i="25"/>
  <c r="G1463" i="25"/>
  <c r="G1464" i="25"/>
  <c r="G1465" i="25"/>
  <c r="G1466" i="25"/>
  <c r="G1467" i="25"/>
  <c r="G1468" i="25"/>
  <c r="G1469" i="25"/>
  <c r="G1470" i="25"/>
  <c r="G1471" i="25"/>
  <c r="G1472" i="25"/>
  <c r="G1473" i="25"/>
  <c r="G1474" i="25"/>
  <c r="G1475" i="25"/>
  <c r="G1476" i="25"/>
  <c r="G1477" i="25"/>
  <c r="G1478" i="25"/>
  <c r="G1479" i="25"/>
  <c r="G1480" i="25"/>
  <c r="G1481" i="25"/>
  <c r="G1482" i="25"/>
  <c r="G1483" i="25"/>
  <c r="G1484" i="25"/>
  <c r="G1485" i="25"/>
  <c r="G1486" i="25"/>
  <c r="G1487" i="25"/>
  <c r="G1488" i="25"/>
  <c r="G1489" i="25"/>
  <c r="G1490" i="25"/>
  <c r="G1491" i="25"/>
  <c r="G1492" i="25"/>
  <c r="G1493" i="25"/>
  <c r="G1494" i="25"/>
  <c r="G1495" i="25"/>
  <c r="G1496" i="25"/>
  <c r="G1497" i="25"/>
  <c r="G1498" i="25"/>
  <c r="G1499" i="25"/>
  <c r="G1500" i="25"/>
  <c r="G1501" i="25"/>
  <c r="G1502" i="25"/>
  <c r="G1503" i="25"/>
  <c r="G1504" i="25"/>
  <c r="G1505" i="25"/>
  <c r="G1506" i="25"/>
  <c r="G1507" i="25"/>
  <c r="G1508" i="25"/>
  <c r="G1509" i="25"/>
  <c r="G1510" i="25"/>
  <c r="G1511" i="25"/>
  <c r="G1512" i="25"/>
  <c r="G1513" i="25"/>
  <c r="G1514" i="25"/>
  <c r="G1515" i="25"/>
  <c r="G1516" i="25"/>
  <c r="G1517" i="25"/>
  <c r="G1518" i="25"/>
  <c r="G1519" i="25"/>
  <c r="G1520" i="25"/>
  <c r="G1521" i="25"/>
  <c r="G1522" i="25"/>
  <c r="G1523" i="25"/>
  <c r="G1524" i="25"/>
  <c r="G1525" i="25"/>
  <c r="G1526" i="25"/>
  <c r="G1527" i="25"/>
  <c r="G1528" i="25"/>
  <c r="G1529" i="25"/>
  <c r="G1530" i="25"/>
  <c r="G1531" i="25"/>
  <c r="G1532" i="25"/>
  <c r="G1533" i="25"/>
  <c r="G1534" i="25"/>
  <c r="G1535" i="25"/>
  <c r="G1536" i="25"/>
  <c r="G1537" i="25"/>
  <c r="G1538" i="25"/>
  <c r="G1539" i="25"/>
  <c r="G1540" i="25"/>
  <c r="G1541" i="25"/>
  <c r="G1542" i="25"/>
  <c r="G1543" i="25"/>
  <c r="G1544" i="25"/>
  <c r="G1545" i="25"/>
  <c r="G1546" i="25"/>
  <c r="G1547" i="25"/>
  <c r="G1548" i="25"/>
  <c r="G1549" i="25"/>
  <c r="G1550" i="25"/>
  <c r="G1551" i="25"/>
  <c r="G1552" i="25"/>
  <c r="G1553" i="25"/>
  <c r="G1554" i="25"/>
  <c r="G1555" i="25"/>
  <c r="G1556" i="25"/>
  <c r="G1557" i="25"/>
  <c r="G1558" i="25"/>
  <c r="G1559" i="25"/>
  <c r="G1560" i="25"/>
  <c r="G1561" i="25"/>
  <c r="G1562" i="25"/>
  <c r="G1563" i="25"/>
  <c r="G1564" i="25"/>
  <c r="G1565" i="25"/>
  <c r="G1566" i="25"/>
  <c r="G1567" i="25"/>
  <c r="G1568" i="25"/>
  <c r="G1569" i="25"/>
  <c r="G1570" i="25"/>
  <c r="G1571" i="25"/>
  <c r="G1572" i="25"/>
  <c r="G1573" i="25"/>
  <c r="G1574" i="25"/>
  <c r="G1575" i="25"/>
  <c r="G1576" i="25"/>
  <c r="G1577" i="25"/>
  <c r="G1578" i="25"/>
  <c r="G1579" i="25"/>
  <c r="G1580" i="25"/>
  <c r="G1581" i="25"/>
  <c r="G1582" i="25"/>
  <c r="G1583" i="25"/>
  <c r="G1584" i="25"/>
  <c r="G1585" i="25"/>
  <c r="G1586" i="25"/>
  <c r="G1587" i="25"/>
  <c r="G1588" i="25"/>
  <c r="G1589" i="25"/>
  <c r="G1590" i="25"/>
  <c r="G1591" i="25"/>
  <c r="G1592" i="25"/>
  <c r="G1593" i="25"/>
  <c r="G1594" i="25"/>
  <c r="G1595" i="25"/>
  <c r="G1596" i="25"/>
  <c r="G1597" i="25"/>
  <c r="G1598" i="25"/>
  <c r="G1599" i="25"/>
  <c r="G1600" i="25"/>
  <c r="G1601" i="25"/>
  <c r="G1602" i="25"/>
  <c r="G1603" i="25"/>
  <c r="G1604" i="25"/>
  <c r="G1605" i="25"/>
  <c r="G1606" i="25"/>
  <c r="G1607" i="25"/>
  <c r="G1608" i="25"/>
  <c r="G1609" i="25"/>
  <c r="G1610" i="25"/>
  <c r="G1611" i="25"/>
  <c r="G1612" i="25"/>
  <c r="G1613" i="25"/>
  <c r="G1614" i="25"/>
  <c r="G1615" i="25"/>
  <c r="G1616" i="25"/>
  <c r="G1617" i="25"/>
  <c r="G1618" i="25"/>
  <c r="G1619" i="25"/>
  <c r="G1620" i="25"/>
  <c r="G1621" i="25"/>
  <c r="G1622" i="25"/>
  <c r="G1623" i="25"/>
  <c r="G1624" i="25"/>
  <c r="G1625" i="25"/>
  <c r="G1626" i="25"/>
  <c r="G1627" i="25"/>
  <c r="G1628" i="25"/>
  <c r="G1629" i="25"/>
  <c r="G1630" i="25"/>
  <c r="G1631" i="25"/>
  <c r="G1632" i="25"/>
  <c r="G1633" i="25"/>
  <c r="G1634" i="25"/>
  <c r="G1635" i="25"/>
  <c r="G1636" i="25"/>
  <c r="G1637" i="25"/>
  <c r="G1638" i="25"/>
  <c r="G1639" i="25"/>
  <c r="G1640" i="25"/>
  <c r="G1641" i="25"/>
  <c r="G1642" i="25"/>
  <c r="G1643" i="25"/>
  <c r="G1644" i="25"/>
  <c r="G1645" i="25"/>
  <c r="G1646" i="25"/>
  <c r="G1647" i="25"/>
  <c r="G1648" i="25"/>
  <c r="G1649" i="25"/>
  <c r="G1650" i="25"/>
  <c r="G1651" i="25"/>
  <c r="G1652" i="25"/>
  <c r="G1653" i="25"/>
  <c r="G1654" i="25"/>
  <c r="G1655" i="25"/>
  <c r="G1656" i="25"/>
  <c r="G1657" i="25"/>
  <c r="G1658" i="25"/>
  <c r="G1659" i="25"/>
  <c r="G1660" i="25"/>
  <c r="G1661" i="25"/>
  <c r="G1662" i="25"/>
  <c r="G1663" i="25"/>
  <c r="G1664" i="25"/>
  <c r="G1665" i="25"/>
  <c r="G1666" i="25"/>
  <c r="G1667" i="25"/>
  <c r="G1668" i="25"/>
  <c r="G1669" i="25"/>
  <c r="G1670" i="25"/>
  <c r="G1671" i="25"/>
  <c r="G1672" i="25"/>
  <c r="G1673" i="25"/>
  <c r="G1674" i="25"/>
  <c r="G1675" i="25"/>
  <c r="G1676" i="25"/>
  <c r="G1677" i="25"/>
  <c r="G1678" i="25"/>
  <c r="G1679" i="25"/>
  <c r="G1680" i="25"/>
  <c r="G1681" i="25"/>
  <c r="G1682" i="25"/>
  <c r="G1683" i="25"/>
  <c r="G1684" i="25"/>
  <c r="G1685" i="25"/>
  <c r="G1686" i="25"/>
  <c r="G1687" i="25"/>
  <c r="G1688" i="25"/>
  <c r="G1689" i="25"/>
  <c r="G1690" i="25"/>
  <c r="G1691" i="25"/>
  <c r="G1692" i="25"/>
  <c r="G1693" i="25"/>
  <c r="G1694" i="25"/>
  <c r="G1695" i="25"/>
  <c r="G1696" i="25"/>
  <c r="G1697" i="25"/>
  <c r="G1698" i="25"/>
  <c r="G1699" i="25"/>
  <c r="G1700" i="25"/>
  <c r="G1701" i="25"/>
  <c r="G1702" i="25"/>
  <c r="G1703" i="25"/>
  <c r="G1704" i="25"/>
  <c r="G1705" i="25"/>
  <c r="G1706" i="25"/>
  <c r="G1707" i="25"/>
  <c r="G1708" i="25"/>
  <c r="G1709" i="25"/>
  <c r="G1710" i="25"/>
  <c r="G1711" i="25"/>
  <c r="G1712" i="25"/>
  <c r="G1713" i="25"/>
  <c r="G1714" i="25"/>
  <c r="G1715" i="25"/>
  <c r="G1716" i="25"/>
  <c r="G1717" i="25"/>
  <c r="G1718" i="25"/>
  <c r="G1719" i="25"/>
  <c r="G1720" i="25"/>
  <c r="G1721" i="25"/>
  <c r="G1722" i="25"/>
  <c r="G1723" i="25"/>
  <c r="G1724" i="25"/>
  <c r="G1725" i="25"/>
  <c r="G1726" i="25"/>
  <c r="G1727" i="25"/>
  <c r="G1728" i="25"/>
  <c r="G1729" i="25"/>
  <c r="G1730" i="25"/>
  <c r="G1731" i="25"/>
  <c r="G1732" i="25"/>
  <c r="G1733" i="25"/>
  <c r="G1734" i="25"/>
  <c r="G1735" i="25"/>
  <c r="G1736" i="25"/>
  <c r="G1737" i="25"/>
  <c r="G1738" i="25"/>
  <c r="G1739" i="25"/>
  <c r="G1740" i="25"/>
  <c r="G1741" i="25"/>
  <c r="G1742" i="25"/>
  <c r="G1743" i="25"/>
  <c r="G1744" i="25"/>
  <c r="G1745" i="25"/>
  <c r="G1746" i="25"/>
  <c r="G1747" i="25"/>
  <c r="G1748" i="25"/>
  <c r="G1749" i="25"/>
  <c r="G1750" i="25"/>
  <c r="G1751" i="25"/>
  <c r="G1752" i="25"/>
  <c r="G1753" i="25"/>
  <c r="G1754" i="25"/>
  <c r="G1755" i="25"/>
  <c r="G1756" i="25"/>
  <c r="G1757" i="25"/>
  <c r="G1758" i="25"/>
  <c r="G1759" i="25"/>
  <c r="G1760" i="25"/>
  <c r="G1761" i="25"/>
  <c r="G1762" i="25"/>
  <c r="G1763" i="25"/>
  <c r="G1764" i="25"/>
  <c r="G1765" i="25"/>
  <c r="G1766" i="25"/>
  <c r="G1767" i="25"/>
  <c r="G1768" i="25"/>
  <c r="G1769" i="25"/>
  <c r="G1770" i="25"/>
  <c r="G1771" i="25"/>
  <c r="G1772" i="25"/>
  <c r="G1773" i="25"/>
  <c r="G1774" i="25"/>
  <c r="G1775" i="25"/>
  <c r="G1776" i="25"/>
  <c r="G1777" i="25"/>
  <c r="G1778" i="25"/>
  <c r="G1779" i="25"/>
  <c r="G1780" i="25"/>
  <c r="G1781" i="25"/>
  <c r="G1782" i="25"/>
  <c r="G1783" i="25"/>
  <c r="G1784" i="25"/>
  <c r="G1785" i="25"/>
  <c r="G1786" i="25"/>
  <c r="G1787" i="25"/>
  <c r="G1788" i="25"/>
  <c r="G1789" i="25"/>
  <c r="G1790" i="25"/>
  <c r="G1791" i="25"/>
  <c r="G1792" i="25"/>
  <c r="G1793" i="25"/>
  <c r="G1794" i="25"/>
  <c r="G1795" i="25"/>
  <c r="G1796" i="25"/>
  <c r="G1797" i="25"/>
  <c r="G1798" i="25"/>
  <c r="G1799" i="25"/>
  <c r="G1800" i="25"/>
  <c r="G1801" i="25"/>
  <c r="G1802" i="25"/>
  <c r="G1803" i="25"/>
  <c r="G1804" i="25"/>
  <c r="G1805" i="25"/>
  <c r="G1806" i="25"/>
  <c r="G1807" i="25"/>
  <c r="G1808" i="25"/>
  <c r="G1809" i="25"/>
  <c r="G1810" i="25"/>
  <c r="G1811" i="25"/>
  <c r="G1812" i="25"/>
  <c r="G1813" i="25"/>
  <c r="G1814" i="25"/>
  <c r="G1815" i="25"/>
  <c r="G1816" i="25"/>
  <c r="G1817" i="25"/>
  <c r="G1818" i="25"/>
  <c r="G1819" i="25"/>
  <c r="G1820" i="25"/>
  <c r="G1821" i="25"/>
  <c r="G1822" i="25"/>
  <c r="G1823" i="25"/>
  <c r="G1824" i="25"/>
  <c r="G1825" i="25"/>
  <c r="G1826" i="25"/>
  <c r="G1827" i="25"/>
  <c r="G1828" i="25"/>
  <c r="G1829" i="25"/>
  <c r="G1830" i="25"/>
  <c r="G1831" i="25"/>
  <c r="G1832" i="25"/>
  <c r="G1833" i="25"/>
  <c r="G1834" i="25"/>
  <c r="G1835" i="25"/>
  <c r="G1836" i="25"/>
  <c r="G1837" i="25"/>
  <c r="G1838" i="25"/>
  <c r="G1839" i="25"/>
  <c r="G1840" i="25"/>
  <c r="G1841" i="25"/>
  <c r="G1842" i="25"/>
  <c r="G1843" i="25"/>
  <c r="G1844" i="25"/>
  <c r="G1845" i="25"/>
  <c r="G1846" i="25"/>
  <c r="G1847" i="25"/>
  <c r="G1848" i="25"/>
  <c r="G1849" i="25"/>
  <c r="G1850" i="25"/>
  <c r="G1851" i="25"/>
  <c r="G1852" i="25"/>
  <c r="G1853" i="25"/>
  <c r="G1854" i="25"/>
  <c r="G1855" i="25"/>
  <c r="G1856" i="25"/>
  <c r="G1857" i="25"/>
  <c r="G1858" i="25"/>
  <c r="G1859" i="25"/>
  <c r="G1860" i="25"/>
  <c r="G1861" i="25"/>
  <c r="G1862" i="25"/>
  <c r="G1863" i="25"/>
  <c r="G1864" i="25"/>
  <c r="G1865" i="25"/>
  <c r="G1866" i="25"/>
  <c r="G1867" i="25"/>
  <c r="G1868" i="25"/>
  <c r="G1869" i="25"/>
  <c r="G1870" i="25"/>
  <c r="G1871" i="25"/>
  <c r="G1872" i="25"/>
  <c r="G1873" i="25"/>
  <c r="G1874" i="25"/>
  <c r="G1875" i="25"/>
  <c r="G1876" i="25"/>
  <c r="G1877" i="25"/>
  <c r="G1878" i="25"/>
  <c r="G1879" i="25"/>
  <c r="G1880" i="25"/>
  <c r="G1881" i="25"/>
  <c r="G1882" i="25"/>
  <c r="G1883" i="25"/>
  <c r="G1884" i="25"/>
  <c r="G1885" i="25"/>
  <c r="G1886" i="25"/>
  <c r="G1887" i="25"/>
  <c r="G1888" i="25"/>
  <c r="G1889" i="25"/>
  <c r="G1890" i="25"/>
  <c r="G1891" i="25"/>
  <c r="G1892" i="25"/>
  <c r="G1893" i="25"/>
  <c r="G1894" i="25"/>
  <c r="G1895" i="25"/>
  <c r="G1896" i="25"/>
  <c r="G1897" i="25"/>
  <c r="G1898" i="25"/>
  <c r="G1899" i="25"/>
  <c r="G1900" i="25"/>
  <c r="G1901" i="25"/>
  <c r="G1902" i="25"/>
  <c r="G1903" i="25"/>
  <c r="G1904" i="25"/>
  <c r="G1905" i="25"/>
  <c r="G1906" i="25"/>
  <c r="G1907" i="25"/>
  <c r="G1908" i="25"/>
  <c r="G1909" i="25"/>
  <c r="G1910" i="25"/>
  <c r="G1911" i="25"/>
  <c r="G1912" i="25"/>
  <c r="G1913" i="25"/>
  <c r="G1914" i="25"/>
  <c r="G1915" i="25"/>
  <c r="G1916" i="25"/>
  <c r="G1917" i="25"/>
  <c r="G1918" i="25"/>
  <c r="G1919" i="25"/>
  <c r="G1920" i="25"/>
  <c r="G1921" i="25"/>
  <c r="G1922" i="25"/>
  <c r="G1923" i="25"/>
  <c r="G1924" i="25"/>
  <c r="G1925" i="25"/>
  <c r="G1926" i="25"/>
  <c r="G1927" i="25"/>
  <c r="G1928" i="25"/>
  <c r="G1929" i="25"/>
  <c r="G1930" i="25"/>
  <c r="G1931" i="25"/>
  <c r="G1932" i="25"/>
  <c r="G1933" i="25"/>
  <c r="G1934" i="25"/>
  <c r="G1935" i="25"/>
  <c r="G1936" i="25"/>
  <c r="G1937" i="25"/>
  <c r="G1938" i="25"/>
  <c r="G1939" i="25"/>
  <c r="G1940" i="25"/>
  <c r="G1941" i="25"/>
  <c r="G1942" i="25"/>
  <c r="G1943" i="25"/>
  <c r="G1944" i="25"/>
  <c r="G1945" i="25"/>
  <c r="G1946" i="25"/>
  <c r="G1947" i="25"/>
  <c r="G1948" i="25"/>
  <c r="G1949" i="25"/>
  <c r="G1950" i="25"/>
  <c r="G1951" i="25"/>
  <c r="G1952" i="25"/>
  <c r="G1953" i="25"/>
  <c r="G1954" i="25"/>
  <c r="G1955" i="25"/>
  <c r="G1956" i="25"/>
  <c r="G1957" i="25"/>
  <c r="G1958" i="25"/>
  <c r="G1959" i="25"/>
  <c r="G1960" i="25"/>
  <c r="G1961" i="25"/>
  <c r="G1962" i="25"/>
  <c r="G1963" i="25"/>
  <c r="G1964" i="25"/>
  <c r="G1965" i="25"/>
  <c r="G1966" i="25"/>
  <c r="G1967" i="25"/>
  <c r="G1968" i="25"/>
  <c r="G1969" i="25"/>
  <c r="G1970" i="25"/>
  <c r="G1971" i="25"/>
  <c r="G1972" i="25"/>
  <c r="G1973" i="25"/>
  <c r="G1974" i="25"/>
  <c r="G1975" i="25"/>
  <c r="G1976" i="25"/>
  <c r="G1977" i="25"/>
  <c r="G1978" i="25"/>
  <c r="G1979" i="25"/>
  <c r="G1980" i="25"/>
  <c r="G1981" i="25"/>
  <c r="G1982" i="25"/>
  <c r="G1983" i="25"/>
  <c r="G1984" i="25"/>
  <c r="G1985" i="25"/>
  <c r="G1986" i="25"/>
  <c r="G1987" i="25"/>
  <c r="G1988" i="25"/>
  <c r="G1989" i="25"/>
  <c r="G1990" i="25"/>
  <c r="G1991" i="25"/>
  <c r="G1992" i="25"/>
  <c r="G1993" i="25"/>
  <c r="G1994" i="25"/>
  <c r="G1995" i="25"/>
  <c r="G1996" i="25"/>
  <c r="G1997" i="25"/>
  <c r="G1998" i="25"/>
  <c r="G1999" i="25"/>
  <c r="G2000" i="25"/>
  <c r="G2001" i="25"/>
  <c r="G2002" i="25"/>
  <c r="G2003" i="25"/>
  <c r="G2004" i="25"/>
  <c r="G2005" i="25"/>
  <c r="G2006" i="25"/>
  <c r="G2007" i="25"/>
  <c r="G2008" i="25"/>
  <c r="G2009" i="25"/>
  <c r="G2010" i="25"/>
  <c r="R2"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R613" i="13"/>
  <c r="R614" i="13"/>
  <c r="R615" i="13"/>
  <c r="R616" i="13"/>
  <c r="R617" i="13"/>
  <c r="R618" i="13"/>
  <c r="R619" i="13"/>
  <c r="B2" i="25"/>
  <c r="C2" i="25" s="1"/>
  <c r="B3" i="25"/>
  <c r="C3" i="25" s="1"/>
  <c r="B4" i="25"/>
  <c r="C4" i="25" s="1"/>
  <c r="B5" i="25"/>
  <c r="C5" i="25" s="1"/>
  <c r="B6" i="25"/>
  <c r="C6" i="25" s="1"/>
  <c r="B7" i="25"/>
  <c r="C7" i="25" s="1"/>
  <c r="B8" i="25"/>
  <c r="C8" i="25" s="1"/>
  <c r="B9" i="25"/>
  <c r="C9" i="25" s="1"/>
  <c r="B10" i="25"/>
  <c r="C10" i="25" s="1"/>
  <c r="B11" i="25"/>
  <c r="C11" i="25" s="1"/>
  <c r="B12" i="25"/>
  <c r="C12" i="25" s="1"/>
  <c r="B13" i="25"/>
  <c r="C13" i="25" s="1"/>
  <c r="B14" i="25"/>
  <c r="C14" i="25" s="1"/>
  <c r="B15" i="25"/>
  <c r="C15" i="25" s="1"/>
  <c r="B16" i="25"/>
  <c r="C16" i="25" s="1"/>
  <c r="B17" i="25"/>
  <c r="C17" i="25" s="1"/>
  <c r="B18" i="25"/>
  <c r="C18" i="25" s="1"/>
  <c r="B19" i="25"/>
  <c r="C19" i="25" s="1"/>
  <c r="B20" i="25"/>
  <c r="C20" i="25" s="1"/>
  <c r="B21" i="25"/>
  <c r="C21" i="25" s="1"/>
  <c r="B22" i="25"/>
  <c r="C22" i="25" s="1"/>
  <c r="B23" i="25"/>
  <c r="C23" i="25" s="1"/>
  <c r="B24" i="25"/>
  <c r="C24" i="25" s="1"/>
  <c r="B25" i="25"/>
  <c r="C25" i="25" s="1"/>
  <c r="B26" i="25"/>
  <c r="C26" i="25" s="1"/>
  <c r="B27" i="25"/>
  <c r="C27" i="25" s="1"/>
  <c r="B28" i="25"/>
  <c r="C28" i="25" s="1"/>
  <c r="B29" i="25"/>
  <c r="C29" i="25" s="1"/>
  <c r="B30" i="25"/>
  <c r="C30" i="25" s="1"/>
  <c r="B31" i="25"/>
  <c r="C31" i="25" s="1"/>
  <c r="B32" i="25"/>
  <c r="C32" i="25" s="1"/>
  <c r="B33" i="25"/>
  <c r="C33" i="25" s="1"/>
  <c r="B34" i="25"/>
  <c r="C34" i="25" s="1"/>
  <c r="B35" i="25"/>
  <c r="C35" i="25" s="1"/>
  <c r="B36" i="25"/>
  <c r="C36" i="25" s="1"/>
  <c r="B37" i="25"/>
  <c r="C37" i="25" s="1"/>
  <c r="B38" i="25"/>
  <c r="C38" i="25" s="1"/>
  <c r="B39" i="25"/>
  <c r="C39" i="25" s="1"/>
  <c r="B40" i="25"/>
  <c r="C40" i="25" s="1"/>
  <c r="B41" i="25"/>
  <c r="C41" i="25" s="1"/>
  <c r="B42" i="25"/>
  <c r="C42" i="25" s="1"/>
  <c r="B43" i="25"/>
  <c r="C43" i="25" s="1"/>
  <c r="B44" i="25"/>
  <c r="C44" i="25" s="1"/>
  <c r="B45" i="25"/>
  <c r="C45" i="25" s="1"/>
  <c r="B46" i="25"/>
  <c r="C46" i="25" s="1"/>
  <c r="B47" i="25"/>
  <c r="C47" i="25" s="1"/>
  <c r="B48" i="25"/>
  <c r="C48" i="25" s="1"/>
  <c r="B49" i="25"/>
  <c r="C49" i="25" s="1"/>
  <c r="B50" i="25"/>
  <c r="C50" i="25" s="1"/>
  <c r="B51" i="25"/>
  <c r="C51" i="25" s="1"/>
  <c r="B52" i="25"/>
  <c r="C52" i="25" s="1"/>
  <c r="B53" i="25"/>
  <c r="C53" i="25" s="1"/>
  <c r="B54" i="25"/>
  <c r="C54" i="25" s="1"/>
  <c r="B55" i="25"/>
  <c r="C55" i="25" s="1"/>
  <c r="B56" i="25"/>
  <c r="C56" i="25" s="1"/>
  <c r="B57" i="25"/>
  <c r="C57" i="25" s="1"/>
  <c r="B58" i="25"/>
  <c r="C58" i="25" s="1"/>
  <c r="B59" i="25"/>
  <c r="C59" i="25" s="1"/>
  <c r="B60" i="25"/>
  <c r="C60" i="25" s="1"/>
  <c r="B61" i="25"/>
  <c r="C61" i="25" s="1"/>
  <c r="B62" i="25"/>
  <c r="C62" i="25" s="1"/>
  <c r="B63" i="25"/>
  <c r="C63" i="25" s="1"/>
  <c r="B64" i="25"/>
  <c r="C64" i="25" s="1"/>
  <c r="B65" i="25"/>
  <c r="C65" i="25" s="1"/>
  <c r="B66" i="25"/>
  <c r="C66" i="25" s="1"/>
  <c r="B67" i="25"/>
  <c r="C67" i="25" s="1"/>
  <c r="B68" i="25"/>
  <c r="C68" i="25" s="1"/>
  <c r="B69" i="25"/>
  <c r="C69" i="25" s="1"/>
  <c r="B70" i="25"/>
  <c r="C70" i="25" s="1"/>
  <c r="B71" i="25"/>
  <c r="C71" i="25" s="1"/>
  <c r="B72" i="25"/>
  <c r="C72" i="25" s="1"/>
  <c r="B73" i="25"/>
  <c r="C73" i="25" s="1"/>
  <c r="B74" i="25"/>
  <c r="C74" i="25" s="1"/>
  <c r="B75" i="25"/>
  <c r="C75" i="25" s="1"/>
  <c r="B76" i="25"/>
  <c r="C76" i="25" s="1"/>
  <c r="B77" i="25"/>
  <c r="C77" i="25" s="1"/>
  <c r="B78" i="25"/>
  <c r="C78" i="25" s="1"/>
  <c r="B79" i="25"/>
  <c r="C79" i="25" s="1"/>
  <c r="B80" i="25"/>
  <c r="C80" i="25" s="1"/>
  <c r="B81" i="25"/>
  <c r="C81" i="25" s="1"/>
  <c r="B82" i="25"/>
  <c r="C82" i="25" s="1"/>
  <c r="B83" i="25"/>
  <c r="C83" i="25" s="1"/>
  <c r="B84" i="25"/>
  <c r="C84" i="25" s="1"/>
  <c r="B85" i="25"/>
  <c r="C85" i="25" s="1"/>
  <c r="B86" i="25"/>
  <c r="C86" i="25" s="1"/>
  <c r="B87" i="25"/>
  <c r="C87" i="25" s="1"/>
  <c r="B88" i="25"/>
  <c r="C88" i="25" s="1"/>
  <c r="B89" i="25"/>
  <c r="C89" i="25" s="1"/>
  <c r="B90" i="25"/>
  <c r="C90" i="25" s="1"/>
  <c r="B91" i="25"/>
  <c r="C91" i="25" s="1"/>
  <c r="B92" i="25"/>
  <c r="C92" i="25" s="1"/>
  <c r="B93" i="25"/>
  <c r="C93" i="25" s="1"/>
  <c r="B94" i="25"/>
  <c r="C94" i="25" s="1"/>
  <c r="B95" i="25"/>
  <c r="C95" i="25" s="1"/>
  <c r="B96" i="25"/>
  <c r="C96" i="25" s="1"/>
  <c r="B97" i="25"/>
  <c r="C97" i="25" s="1"/>
  <c r="B98" i="25"/>
  <c r="C98" i="25" s="1"/>
  <c r="B99" i="25"/>
  <c r="C99" i="25" s="1"/>
  <c r="B100" i="25"/>
  <c r="C100" i="25" s="1"/>
  <c r="B101" i="25"/>
  <c r="C101" i="25" s="1"/>
  <c r="B102" i="25"/>
  <c r="C102" i="25" s="1"/>
  <c r="B103" i="25"/>
  <c r="C103" i="25" s="1"/>
  <c r="B104" i="25"/>
  <c r="C104" i="25" s="1"/>
  <c r="B105" i="25"/>
  <c r="C105" i="25" s="1"/>
  <c r="B106" i="25"/>
  <c r="C106" i="25" s="1"/>
  <c r="B107" i="25"/>
  <c r="C107" i="25" s="1"/>
  <c r="B108" i="25"/>
  <c r="C108" i="25" s="1"/>
  <c r="B109" i="25"/>
  <c r="C109" i="25" s="1"/>
  <c r="B110" i="25"/>
  <c r="C110" i="25" s="1"/>
  <c r="B111" i="25"/>
  <c r="C111" i="25" s="1"/>
  <c r="B112" i="25"/>
  <c r="C112" i="25" s="1"/>
  <c r="B113" i="25"/>
  <c r="C113" i="25" s="1"/>
  <c r="B114" i="25"/>
  <c r="C114" i="25" s="1"/>
  <c r="B115" i="25"/>
  <c r="C115" i="25" s="1"/>
  <c r="B116" i="25"/>
  <c r="C116" i="25" s="1"/>
  <c r="B117" i="25"/>
  <c r="C117" i="25" s="1"/>
  <c r="B118" i="25"/>
  <c r="C118" i="25" s="1"/>
  <c r="B119" i="25"/>
  <c r="C119" i="25" s="1"/>
  <c r="B120" i="25"/>
  <c r="C120" i="25" s="1"/>
  <c r="B121" i="25"/>
  <c r="C121" i="25" s="1"/>
  <c r="B122" i="25"/>
  <c r="C122" i="25" s="1"/>
  <c r="B123" i="25"/>
  <c r="C123" i="25" s="1"/>
  <c r="B124" i="25"/>
  <c r="C124" i="25" s="1"/>
  <c r="B125" i="25"/>
  <c r="C125" i="25" s="1"/>
  <c r="B126" i="25"/>
  <c r="C126" i="25" s="1"/>
  <c r="B127" i="25"/>
  <c r="C127" i="25" s="1"/>
  <c r="B128" i="25"/>
  <c r="C128" i="25" s="1"/>
  <c r="B129" i="25"/>
  <c r="C129" i="25" s="1"/>
  <c r="B130" i="25"/>
  <c r="C130" i="25" s="1"/>
  <c r="B131" i="25"/>
  <c r="C131" i="25" s="1"/>
  <c r="B132" i="25"/>
  <c r="C132" i="25" s="1"/>
  <c r="B133" i="25"/>
  <c r="C133" i="25" s="1"/>
  <c r="B134" i="25"/>
  <c r="C134" i="25" s="1"/>
  <c r="B135" i="25"/>
  <c r="C135" i="25" s="1"/>
  <c r="B136" i="25"/>
  <c r="C136" i="25" s="1"/>
  <c r="B137" i="25"/>
  <c r="C137" i="25" s="1"/>
  <c r="B138" i="25"/>
  <c r="C138" i="25" s="1"/>
  <c r="B139" i="25"/>
  <c r="C139" i="25" s="1"/>
  <c r="B140" i="25"/>
  <c r="C140" i="25" s="1"/>
  <c r="B141" i="25"/>
  <c r="C141" i="25" s="1"/>
  <c r="B142" i="25"/>
  <c r="C142" i="25" s="1"/>
  <c r="B143" i="25"/>
  <c r="C143" i="25" s="1"/>
  <c r="B144" i="25"/>
  <c r="C144" i="25" s="1"/>
  <c r="B145" i="25"/>
  <c r="C145" i="25" s="1"/>
  <c r="B146" i="25"/>
  <c r="C146" i="25" s="1"/>
  <c r="B147" i="25"/>
  <c r="C147" i="25" s="1"/>
  <c r="B148" i="25"/>
  <c r="C148" i="25" s="1"/>
  <c r="B149" i="25"/>
  <c r="C149" i="25" s="1"/>
  <c r="B150" i="25"/>
  <c r="C150" i="25" s="1"/>
  <c r="B151" i="25"/>
  <c r="C151" i="25" s="1"/>
  <c r="B152" i="25"/>
  <c r="C152" i="25" s="1"/>
  <c r="B153" i="25"/>
  <c r="C153" i="25" s="1"/>
  <c r="B154" i="25"/>
  <c r="C154" i="25" s="1"/>
  <c r="B155" i="25"/>
  <c r="C155" i="25" s="1"/>
  <c r="B156" i="25"/>
  <c r="C156" i="25" s="1"/>
  <c r="B157" i="25"/>
  <c r="C157" i="25" s="1"/>
  <c r="B158" i="25"/>
  <c r="C158" i="25" s="1"/>
  <c r="B159" i="25"/>
  <c r="C159" i="25" s="1"/>
  <c r="B160" i="25"/>
  <c r="C160" i="25" s="1"/>
  <c r="B161" i="25"/>
  <c r="C161" i="25" s="1"/>
  <c r="B162" i="25"/>
  <c r="C162" i="25" s="1"/>
  <c r="B163" i="25"/>
  <c r="C163" i="25" s="1"/>
  <c r="B164" i="25"/>
  <c r="C164" i="25" s="1"/>
  <c r="B165" i="25"/>
  <c r="C165" i="25" s="1"/>
  <c r="B166" i="25"/>
  <c r="C166" i="25" s="1"/>
  <c r="B167" i="25"/>
  <c r="C167" i="25" s="1"/>
  <c r="B168" i="25"/>
  <c r="C168" i="25" s="1"/>
  <c r="B169" i="25"/>
  <c r="C169" i="25" s="1"/>
  <c r="B170" i="25"/>
  <c r="C170" i="25" s="1"/>
  <c r="B171" i="25"/>
  <c r="C171" i="25" s="1"/>
  <c r="B172" i="25"/>
  <c r="C172" i="25" s="1"/>
  <c r="B173" i="25"/>
  <c r="C173" i="25" s="1"/>
  <c r="B174" i="25"/>
  <c r="C174" i="25" s="1"/>
  <c r="B175" i="25"/>
  <c r="C175" i="25" s="1"/>
  <c r="B176" i="25"/>
  <c r="C176" i="25" s="1"/>
  <c r="B177" i="25"/>
  <c r="C177" i="25" s="1"/>
  <c r="B178" i="25"/>
  <c r="C178" i="25" s="1"/>
  <c r="B179" i="25"/>
  <c r="C179" i="25" s="1"/>
  <c r="B180" i="25"/>
  <c r="C180" i="25" s="1"/>
  <c r="B181" i="25"/>
  <c r="C181" i="25" s="1"/>
  <c r="B182" i="25"/>
  <c r="C182" i="25" s="1"/>
  <c r="B183" i="25"/>
  <c r="C183" i="25" s="1"/>
  <c r="B184" i="25"/>
  <c r="C184" i="25" s="1"/>
  <c r="B185" i="25"/>
  <c r="C185" i="25" s="1"/>
  <c r="B186" i="25"/>
  <c r="C186" i="25" s="1"/>
  <c r="B187" i="25"/>
  <c r="C187" i="25" s="1"/>
  <c r="B188" i="25"/>
  <c r="C188" i="25" s="1"/>
  <c r="B189" i="25"/>
  <c r="C189" i="25" s="1"/>
  <c r="B190" i="25"/>
  <c r="C190" i="25" s="1"/>
  <c r="B191" i="25"/>
  <c r="C191" i="25" s="1"/>
  <c r="B192" i="25"/>
  <c r="C192" i="25" s="1"/>
  <c r="B193" i="25"/>
  <c r="C193" i="25" s="1"/>
  <c r="B194" i="25"/>
  <c r="C194" i="25" s="1"/>
  <c r="B195" i="25"/>
  <c r="C195" i="25" s="1"/>
  <c r="B196" i="25"/>
  <c r="C196" i="25" s="1"/>
  <c r="B197" i="25"/>
  <c r="C197" i="25" s="1"/>
  <c r="B198" i="25"/>
  <c r="C198" i="25" s="1"/>
  <c r="B199" i="25"/>
  <c r="C199" i="25" s="1"/>
  <c r="B200" i="25"/>
  <c r="C200" i="25" s="1"/>
  <c r="B201" i="25"/>
  <c r="C201" i="25" s="1"/>
  <c r="B202" i="25"/>
  <c r="C202" i="25" s="1"/>
  <c r="B203" i="25"/>
  <c r="C203" i="25" s="1"/>
  <c r="B204" i="25"/>
  <c r="C204" i="25" s="1"/>
  <c r="B205" i="25"/>
  <c r="C205" i="25" s="1"/>
  <c r="B206" i="25"/>
  <c r="C206" i="25" s="1"/>
  <c r="B207" i="25"/>
  <c r="C207" i="25" s="1"/>
  <c r="B208" i="25"/>
  <c r="C208" i="25" s="1"/>
  <c r="B209" i="25"/>
  <c r="C209" i="25" s="1"/>
  <c r="B210" i="25"/>
  <c r="C210" i="25" s="1"/>
  <c r="B211" i="25"/>
  <c r="C211" i="25" s="1"/>
  <c r="B212" i="25"/>
  <c r="C212" i="25" s="1"/>
  <c r="B213" i="25"/>
  <c r="C213" i="25" s="1"/>
  <c r="B214" i="25"/>
  <c r="C214" i="25" s="1"/>
  <c r="B215" i="25"/>
  <c r="C215" i="25" s="1"/>
  <c r="B216" i="25"/>
  <c r="C216" i="25" s="1"/>
  <c r="B217" i="25"/>
  <c r="C217" i="25" s="1"/>
  <c r="B218" i="25"/>
  <c r="C218" i="25" s="1"/>
  <c r="B219" i="25"/>
  <c r="C219" i="25" s="1"/>
  <c r="B220" i="25"/>
  <c r="C220" i="25" s="1"/>
  <c r="B221" i="25"/>
  <c r="C221" i="25" s="1"/>
  <c r="B222" i="25"/>
  <c r="C222" i="25" s="1"/>
  <c r="B223" i="25"/>
  <c r="C223" i="25" s="1"/>
  <c r="B224" i="25"/>
  <c r="C224" i="25" s="1"/>
  <c r="B225" i="25"/>
  <c r="C225" i="25" s="1"/>
  <c r="B226" i="25"/>
  <c r="C226" i="25" s="1"/>
  <c r="B227" i="25"/>
  <c r="C227" i="25" s="1"/>
  <c r="B228" i="25"/>
  <c r="C228" i="25" s="1"/>
  <c r="B229" i="25"/>
  <c r="C229" i="25" s="1"/>
  <c r="B230" i="25"/>
  <c r="C230" i="25" s="1"/>
  <c r="B231" i="25"/>
  <c r="C231" i="25" s="1"/>
  <c r="B232" i="25"/>
  <c r="C232" i="25" s="1"/>
  <c r="B233" i="25"/>
  <c r="C233" i="25" s="1"/>
  <c r="B234" i="25"/>
  <c r="C234" i="25" s="1"/>
  <c r="B235" i="25"/>
  <c r="C235" i="25" s="1"/>
  <c r="B236" i="25"/>
  <c r="C236" i="25" s="1"/>
  <c r="B237" i="25"/>
  <c r="C237" i="25" s="1"/>
  <c r="B238" i="25"/>
  <c r="C238" i="25" s="1"/>
  <c r="B239" i="25"/>
  <c r="C239" i="25" s="1"/>
  <c r="B240" i="25"/>
  <c r="C240" i="25" s="1"/>
  <c r="B241" i="25"/>
  <c r="C241" i="25" s="1"/>
  <c r="B242" i="25"/>
  <c r="C242" i="25" s="1"/>
  <c r="B243" i="25"/>
  <c r="C243" i="25" s="1"/>
  <c r="B244" i="25"/>
  <c r="C244" i="25" s="1"/>
  <c r="B245" i="25"/>
  <c r="C245" i="25" s="1"/>
  <c r="B246" i="25"/>
  <c r="C246" i="25" s="1"/>
  <c r="B247" i="25"/>
  <c r="C247" i="25" s="1"/>
  <c r="B248" i="25"/>
  <c r="C248" i="25" s="1"/>
  <c r="B249" i="25"/>
  <c r="C249" i="25" s="1"/>
  <c r="B250" i="25"/>
  <c r="C250" i="25" s="1"/>
  <c r="B251" i="25"/>
  <c r="C251" i="25" s="1"/>
  <c r="B252" i="25"/>
  <c r="C252" i="25" s="1"/>
  <c r="B253" i="25"/>
  <c r="C253" i="25" s="1"/>
  <c r="B254" i="25"/>
  <c r="C254" i="25" s="1"/>
  <c r="B255" i="25"/>
  <c r="C255" i="25" s="1"/>
  <c r="B256" i="25"/>
  <c r="C256" i="25" s="1"/>
  <c r="B257" i="25"/>
  <c r="C257" i="25" s="1"/>
  <c r="B258" i="25"/>
  <c r="C258" i="25" s="1"/>
  <c r="B259" i="25"/>
  <c r="C259" i="25" s="1"/>
  <c r="B260" i="25"/>
  <c r="C260" i="25" s="1"/>
  <c r="B261" i="25"/>
  <c r="C261" i="25" s="1"/>
  <c r="B262" i="25"/>
  <c r="C262" i="25" s="1"/>
  <c r="B263" i="25"/>
  <c r="C263" i="25" s="1"/>
  <c r="B264" i="25"/>
  <c r="C264" i="25" s="1"/>
  <c r="B265" i="25"/>
  <c r="C265" i="25" s="1"/>
  <c r="B266" i="25"/>
  <c r="C266" i="25" s="1"/>
  <c r="B267" i="25"/>
  <c r="C267" i="25" s="1"/>
  <c r="B268" i="25"/>
  <c r="C268" i="25" s="1"/>
  <c r="B269" i="25"/>
  <c r="C269" i="25" s="1"/>
  <c r="B270" i="25"/>
  <c r="C270" i="25" s="1"/>
  <c r="B271" i="25"/>
  <c r="C271" i="25" s="1"/>
  <c r="B272" i="25"/>
  <c r="C272" i="25" s="1"/>
  <c r="B273" i="25"/>
  <c r="C273" i="25" s="1"/>
  <c r="B274" i="25"/>
  <c r="C274" i="25" s="1"/>
  <c r="B275" i="25"/>
  <c r="C275" i="25" s="1"/>
  <c r="B276" i="25"/>
  <c r="C276" i="25" s="1"/>
  <c r="B277" i="25"/>
  <c r="C277" i="25" s="1"/>
  <c r="B278" i="25"/>
  <c r="C278" i="25" s="1"/>
  <c r="B279" i="25"/>
  <c r="C279" i="25" s="1"/>
  <c r="B280" i="25"/>
  <c r="C280" i="25" s="1"/>
  <c r="B281" i="25"/>
  <c r="C281" i="25" s="1"/>
  <c r="B282" i="25"/>
  <c r="C282" i="25" s="1"/>
  <c r="B283" i="25"/>
  <c r="C283" i="25" s="1"/>
  <c r="B284" i="25"/>
  <c r="C284" i="25" s="1"/>
  <c r="B285" i="25"/>
  <c r="C285" i="25" s="1"/>
  <c r="B286" i="25"/>
  <c r="C286" i="25" s="1"/>
  <c r="B287" i="25"/>
  <c r="C287" i="25" s="1"/>
  <c r="B288" i="25"/>
  <c r="C288" i="25" s="1"/>
  <c r="B289" i="25"/>
  <c r="C289" i="25" s="1"/>
  <c r="B290" i="25"/>
  <c r="C290" i="25" s="1"/>
  <c r="B291" i="25"/>
  <c r="C291" i="25" s="1"/>
  <c r="B292" i="25"/>
  <c r="C292" i="25" s="1"/>
  <c r="B293" i="25"/>
  <c r="C293" i="25" s="1"/>
  <c r="B294" i="25"/>
  <c r="C294" i="25" s="1"/>
  <c r="B295" i="25"/>
  <c r="C295" i="25" s="1"/>
  <c r="B296" i="25"/>
  <c r="C296" i="25" s="1"/>
  <c r="B297" i="25"/>
  <c r="C297" i="25" s="1"/>
  <c r="B298" i="25"/>
  <c r="C298" i="25" s="1"/>
  <c r="B299" i="25"/>
  <c r="C299" i="25" s="1"/>
  <c r="B300" i="25"/>
  <c r="C300" i="25" s="1"/>
  <c r="B301" i="25"/>
  <c r="C301" i="25" s="1"/>
  <c r="B302" i="25"/>
  <c r="C302" i="25" s="1"/>
  <c r="B303" i="25"/>
  <c r="C303" i="25" s="1"/>
  <c r="B304" i="25"/>
  <c r="C304" i="25" s="1"/>
  <c r="B305" i="25"/>
  <c r="C305" i="25" s="1"/>
  <c r="B306" i="25"/>
  <c r="C306" i="25" s="1"/>
  <c r="B307" i="25"/>
  <c r="C307" i="25" s="1"/>
  <c r="B308" i="25"/>
  <c r="C308" i="25" s="1"/>
  <c r="B309" i="25"/>
  <c r="C309" i="25" s="1"/>
  <c r="B310" i="25"/>
  <c r="C310" i="25" s="1"/>
  <c r="B311" i="25"/>
  <c r="C311" i="25" s="1"/>
  <c r="B312" i="25"/>
  <c r="C312" i="25" s="1"/>
  <c r="B313" i="25"/>
  <c r="C313" i="25" s="1"/>
  <c r="B314" i="25"/>
  <c r="C314" i="25" s="1"/>
  <c r="B315" i="25"/>
  <c r="C315" i="25" s="1"/>
  <c r="B316" i="25"/>
  <c r="C316" i="25" s="1"/>
  <c r="B317" i="25"/>
  <c r="C317" i="25" s="1"/>
  <c r="B318" i="25"/>
  <c r="C318" i="25" s="1"/>
  <c r="B319" i="25"/>
  <c r="C319" i="25" s="1"/>
  <c r="B320" i="25"/>
  <c r="C320" i="25" s="1"/>
  <c r="B321" i="25"/>
  <c r="C321" i="25" s="1"/>
  <c r="B322" i="25"/>
  <c r="C322" i="25" s="1"/>
  <c r="B323" i="25"/>
  <c r="C323" i="25" s="1"/>
  <c r="B324" i="25"/>
  <c r="C324" i="25" s="1"/>
  <c r="B325" i="25"/>
  <c r="C325" i="25" s="1"/>
  <c r="B326" i="25"/>
  <c r="C326" i="25" s="1"/>
  <c r="B327" i="25"/>
  <c r="C327" i="25" s="1"/>
  <c r="B328" i="25"/>
  <c r="C328" i="25" s="1"/>
  <c r="B329" i="25"/>
  <c r="C329" i="25" s="1"/>
  <c r="B330" i="25"/>
  <c r="C330" i="25" s="1"/>
  <c r="B331" i="25"/>
  <c r="C331" i="25" s="1"/>
  <c r="B332" i="25"/>
  <c r="C332" i="25" s="1"/>
  <c r="B333" i="25"/>
  <c r="C333" i="25" s="1"/>
  <c r="B334" i="25"/>
  <c r="C334" i="25" s="1"/>
  <c r="B335" i="25"/>
  <c r="C335" i="25" s="1"/>
  <c r="B336" i="25"/>
  <c r="C336" i="25" s="1"/>
  <c r="B337" i="25"/>
  <c r="C337" i="25" s="1"/>
  <c r="B338" i="25"/>
  <c r="C338" i="25" s="1"/>
  <c r="B339" i="25"/>
  <c r="C339" i="25" s="1"/>
  <c r="B340" i="25"/>
  <c r="C340" i="25" s="1"/>
  <c r="B341" i="25"/>
  <c r="C341" i="25" s="1"/>
  <c r="B342" i="25"/>
  <c r="C342" i="25" s="1"/>
  <c r="B343" i="25"/>
  <c r="C343" i="25" s="1"/>
  <c r="B344" i="25"/>
  <c r="C344" i="25" s="1"/>
  <c r="B345" i="25"/>
  <c r="C345" i="25" s="1"/>
  <c r="B346" i="25"/>
  <c r="C346" i="25" s="1"/>
  <c r="B347" i="25"/>
  <c r="C347" i="25" s="1"/>
  <c r="B348" i="25"/>
  <c r="C348" i="25" s="1"/>
  <c r="B349" i="25"/>
  <c r="C349" i="25" s="1"/>
  <c r="B350" i="25"/>
  <c r="C350" i="25" s="1"/>
  <c r="B351" i="25"/>
  <c r="C351" i="25" s="1"/>
  <c r="B352" i="25"/>
  <c r="C352" i="25" s="1"/>
  <c r="B353" i="25"/>
  <c r="C353" i="25" s="1"/>
  <c r="B354" i="25"/>
  <c r="C354" i="25" s="1"/>
  <c r="B355" i="25"/>
  <c r="C355" i="25" s="1"/>
  <c r="B356" i="25"/>
  <c r="C356" i="25" s="1"/>
  <c r="B357" i="25"/>
  <c r="C357" i="25" s="1"/>
  <c r="B358" i="25"/>
  <c r="C358" i="25" s="1"/>
  <c r="B359" i="25"/>
  <c r="C359" i="25" s="1"/>
  <c r="B360" i="25"/>
  <c r="C360" i="25" s="1"/>
  <c r="B361" i="25"/>
  <c r="C361" i="25" s="1"/>
  <c r="B362" i="25"/>
  <c r="C362" i="25" s="1"/>
  <c r="B363" i="25"/>
  <c r="C363" i="25" s="1"/>
  <c r="B364" i="25"/>
  <c r="C364" i="25" s="1"/>
  <c r="B365" i="25"/>
  <c r="C365" i="25" s="1"/>
  <c r="B366" i="25"/>
  <c r="C366" i="25" s="1"/>
  <c r="B367" i="25"/>
  <c r="C367" i="25" s="1"/>
  <c r="B368" i="25"/>
  <c r="C368" i="25" s="1"/>
  <c r="B369" i="25"/>
  <c r="C369" i="25" s="1"/>
  <c r="B370" i="25"/>
  <c r="C370" i="25" s="1"/>
  <c r="B371" i="25"/>
  <c r="C371" i="25" s="1"/>
  <c r="B372" i="25"/>
  <c r="C372" i="25" s="1"/>
  <c r="B373" i="25"/>
  <c r="C373" i="25" s="1"/>
  <c r="B374" i="25"/>
  <c r="C374" i="25" s="1"/>
  <c r="B375" i="25"/>
  <c r="C375" i="25" s="1"/>
  <c r="B376" i="25"/>
  <c r="C376" i="25" s="1"/>
  <c r="B377" i="25"/>
  <c r="C377" i="25" s="1"/>
  <c r="B378" i="25"/>
  <c r="C378" i="25" s="1"/>
  <c r="B379" i="25"/>
  <c r="C379" i="25" s="1"/>
  <c r="B380" i="25"/>
  <c r="C380" i="25" s="1"/>
  <c r="B381" i="25"/>
  <c r="C381" i="25" s="1"/>
  <c r="B382" i="25"/>
  <c r="C382" i="25" s="1"/>
  <c r="B383" i="25"/>
  <c r="C383" i="25" s="1"/>
  <c r="B384" i="25"/>
  <c r="C384" i="25" s="1"/>
  <c r="B385" i="25"/>
  <c r="C385" i="25" s="1"/>
  <c r="B386" i="25"/>
  <c r="C386" i="25" s="1"/>
  <c r="B387" i="25"/>
  <c r="C387" i="25" s="1"/>
  <c r="B388" i="25"/>
  <c r="C388" i="25" s="1"/>
  <c r="B389" i="25"/>
  <c r="C389" i="25" s="1"/>
  <c r="B390" i="25"/>
  <c r="C390" i="25" s="1"/>
  <c r="B391" i="25"/>
  <c r="C391" i="25" s="1"/>
  <c r="B392" i="25"/>
  <c r="C392" i="25" s="1"/>
  <c r="B393" i="25"/>
  <c r="C393" i="25" s="1"/>
  <c r="B394" i="25"/>
  <c r="C394" i="25" s="1"/>
  <c r="B395" i="25"/>
  <c r="C395" i="25" s="1"/>
  <c r="B396" i="25"/>
  <c r="C396" i="25" s="1"/>
  <c r="B397" i="25"/>
  <c r="C397" i="25" s="1"/>
  <c r="B398" i="25"/>
  <c r="C398" i="25" s="1"/>
  <c r="B399" i="25"/>
  <c r="C399" i="25" s="1"/>
  <c r="B400" i="25"/>
  <c r="C400" i="25" s="1"/>
  <c r="B401" i="25"/>
  <c r="C401" i="25" s="1"/>
  <c r="B402" i="25"/>
  <c r="C402" i="25" s="1"/>
  <c r="B403" i="25"/>
  <c r="C403" i="25" s="1"/>
  <c r="B404" i="25"/>
  <c r="C404" i="25" s="1"/>
  <c r="B405" i="25"/>
  <c r="C405" i="25" s="1"/>
  <c r="B406" i="25"/>
  <c r="C406" i="25" s="1"/>
  <c r="B407" i="25"/>
  <c r="C407" i="25" s="1"/>
  <c r="B408" i="25"/>
  <c r="C408" i="25" s="1"/>
  <c r="B409" i="25"/>
  <c r="C409" i="25" s="1"/>
  <c r="B410" i="25"/>
  <c r="C410" i="25" s="1"/>
  <c r="B411" i="25"/>
  <c r="C411" i="25" s="1"/>
  <c r="B412" i="25"/>
  <c r="C412" i="25" s="1"/>
  <c r="B413" i="25"/>
  <c r="C413" i="25" s="1"/>
  <c r="B414" i="25"/>
  <c r="C414" i="25" s="1"/>
  <c r="B415" i="25"/>
  <c r="C415" i="25" s="1"/>
  <c r="B416" i="25"/>
  <c r="C416" i="25" s="1"/>
  <c r="B417" i="25"/>
  <c r="C417" i="25" s="1"/>
  <c r="B418" i="25"/>
  <c r="C418" i="25" s="1"/>
  <c r="B419" i="25"/>
  <c r="C419" i="25" s="1"/>
  <c r="B420" i="25"/>
  <c r="C420" i="25" s="1"/>
  <c r="B421" i="25"/>
  <c r="C421" i="25" s="1"/>
  <c r="B422" i="25"/>
  <c r="C422" i="25" s="1"/>
  <c r="B423" i="25"/>
  <c r="C423" i="25" s="1"/>
  <c r="B424" i="25"/>
  <c r="C424" i="25" s="1"/>
  <c r="B425" i="25"/>
  <c r="C425" i="25" s="1"/>
  <c r="B426" i="25"/>
  <c r="C426" i="25" s="1"/>
  <c r="B427" i="25"/>
  <c r="C427" i="25" s="1"/>
  <c r="B428" i="25"/>
  <c r="C428" i="25" s="1"/>
  <c r="B429" i="25"/>
  <c r="C429" i="25" s="1"/>
  <c r="B430" i="25"/>
  <c r="C430" i="25" s="1"/>
  <c r="B431" i="25"/>
  <c r="C431" i="25" s="1"/>
  <c r="B432" i="25"/>
  <c r="C432" i="25" s="1"/>
  <c r="B433" i="25"/>
  <c r="C433" i="25" s="1"/>
  <c r="B434" i="25"/>
  <c r="C434" i="25" s="1"/>
  <c r="B435" i="25"/>
  <c r="C435" i="25" s="1"/>
  <c r="B436" i="25"/>
  <c r="C436" i="25" s="1"/>
  <c r="B437" i="25"/>
  <c r="C437" i="25" s="1"/>
  <c r="B438" i="25"/>
  <c r="C438" i="25" s="1"/>
  <c r="B439" i="25"/>
  <c r="C439" i="25" s="1"/>
  <c r="B440" i="25"/>
  <c r="C440" i="25" s="1"/>
  <c r="B441" i="25"/>
  <c r="C441" i="25" s="1"/>
  <c r="B442" i="25"/>
  <c r="C442" i="25" s="1"/>
  <c r="B443" i="25"/>
  <c r="C443" i="25" s="1"/>
  <c r="B444" i="25"/>
  <c r="C444" i="25" s="1"/>
  <c r="B445" i="25"/>
  <c r="C445" i="25" s="1"/>
  <c r="B446" i="25"/>
  <c r="C446" i="25" s="1"/>
  <c r="B447" i="25"/>
  <c r="C447" i="25" s="1"/>
  <c r="B448" i="25"/>
  <c r="C448" i="25" s="1"/>
  <c r="B449" i="25"/>
  <c r="C449" i="25" s="1"/>
  <c r="B450" i="25"/>
  <c r="C450" i="25" s="1"/>
  <c r="B451" i="25"/>
  <c r="C451" i="25" s="1"/>
  <c r="B452" i="25"/>
  <c r="C452" i="25" s="1"/>
  <c r="B453" i="25"/>
  <c r="C453" i="25" s="1"/>
  <c r="B454" i="25"/>
  <c r="C454" i="25" s="1"/>
  <c r="B455" i="25"/>
  <c r="C455" i="25" s="1"/>
  <c r="B456" i="25"/>
  <c r="C456" i="25" s="1"/>
  <c r="B457" i="25"/>
  <c r="C457" i="25" s="1"/>
  <c r="B458" i="25"/>
  <c r="C458" i="25" s="1"/>
  <c r="B459" i="25"/>
  <c r="C459" i="25" s="1"/>
  <c r="B460" i="25"/>
  <c r="C460" i="25" s="1"/>
  <c r="B461" i="25"/>
  <c r="C461" i="25" s="1"/>
  <c r="B462" i="25"/>
  <c r="C462" i="25" s="1"/>
  <c r="B463" i="25"/>
  <c r="C463" i="25" s="1"/>
  <c r="B464" i="25"/>
  <c r="C464" i="25" s="1"/>
  <c r="B465" i="25"/>
  <c r="C465" i="25" s="1"/>
  <c r="B466" i="25"/>
  <c r="C466" i="25" s="1"/>
  <c r="B467" i="25"/>
  <c r="C467" i="25" s="1"/>
  <c r="B468" i="25"/>
  <c r="C468" i="25" s="1"/>
  <c r="B469" i="25"/>
  <c r="C469" i="25" s="1"/>
  <c r="B470" i="25"/>
  <c r="C470" i="25" s="1"/>
  <c r="B471" i="25"/>
  <c r="C471" i="25" s="1"/>
  <c r="B472" i="25"/>
  <c r="C472" i="25" s="1"/>
  <c r="B473" i="25"/>
  <c r="C473" i="25" s="1"/>
  <c r="B474" i="25"/>
  <c r="C474" i="25" s="1"/>
  <c r="B475" i="25"/>
  <c r="C475" i="25" s="1"/>
  <c r="B476" i="25"/>
  <c r="C476" i="25" s="1"/>
  <c r="B477" i="25"/>
  <c r="C477" i="25" s="1"/>
  <c r="B478" i="25"/>
  <c r="C478" i="25" s="1"/>
  <c r="B479" i="25"/>
  <c r="C479" i="25" s="1"/>
  <c r="B480" i="25"/>
  <c r="C480" i="25" s="1"/>
  <c r="B481" i="25"/>
  <c r="C481" i="25" s="1"/>
  <c r="B482" i="25"/>
  <c r="C482" i="25" s="1"/>
  <c r="B483" i="25"/>
  <c r="C483" i="25" s="1"/>
  <c r="B484" i="25"/>
  <c r="C484" i="25" s="1"/>
  <c r="B485" i="25"/>
  <c r="C485" i="25" s="1"/>
  <c r="B486" i="25"/>
  <c r="C486" i="25" s="1"/>
  <c r="B487" i="25"/>
  <c r="C487" i="25" s="1"/>
  <c r="B488" i="25"/>
  <c r="C488" i="25" s="1"/>
  <c r="B489" i="25"/>
  <c r="C489" i="25" s="1"/>
  <c r="B490" i="25"/>
  <c r="C490" i="25" s="1"/>
  <c r="B491" i="25"/>
  <c r="C491" i="25" s="1"/>
  <c r="B492" i="25"/>
  <c r="C492" i="25" s="1"/>
  <c r="B493" i="25"/>
  <c r="C493" i="25" s="1"/>
  <c r="B494" i="25"/>
  <c r="C494" i="25" s="1"/>
  <c r="B495" i="25"/>
  <c r="C495" i="25" s="1"/>
  <c r="B496" i="25"/>
  <c r="C496" i="25" s="1"/>
  <c r="B497" i="25"/>
  <c r="C497" i="25" s="1"/>
  <c r="B498" i="25"/>
  <c r="C498" i="25" s="1"/>
  <c r="B499" i="25"/>
  <c r="C499" i="25" s="1"/>
  <c r="B500" i="25"/>
  <c r="C500" i="25" s="1"/>
  <c r="B501" i="25"/>
  <c r="C501" i="25" s="1"/>
  <c r="B502" i="25"/>
  <c r="C502" i="25" s="1"/>
  <c r="B503" i="25"/>
  <c r="C503" i="25" s="1"/>
  <c r="B504" i="25"/>
  <c r="C504" i="25" s="1"/>
  <c r="B505" i="25"/>
  <c r="C505" i="25" s="1"/>
  <c r="B506" i="25"/>
  <c r="C506" i="25" s="1"/>
  <c r="B507" i="25"/>
  <c r="C507" i="25" s="1"/>
  <c r="B508" i="25"/>
  <c r="C508" i="25" s="1"/>
  <c r="B509" i="25"/>
  <c r="C509" i="25" s="1"/>
  <c r="B510" i="25"/>
  <c r="C510" i="25" s="1"/>
  <c r="B511" i="25"/>
  <c r="C511" i="25" s="1"/>
  <c r="B512" i="25"/>
  <c r="C512" i="25" s="1"/>
  <c r="B513" i="25"/>
  <c r="C513" i="25" s="1"/>
  <c r="B514" i="25"/>
  <c r="C514" i="25" s="1"/>
  <c r="B515" i="25"/>
  <c r="C515" i="25" s="1"/>
  <c r="B516" i="25"/>
  <c r="C516" i="25" s="1"/>
  <c r="B517" i="25"/>
  <c r="C517" i="25" s="1"/>
  <c r="B518" i="25"/>
  <c r="C518" i="25" s="1"/>
  <c r="B519" i="25"/>
  <c r="C519" i="25" s="1"/>
  <c r="B520" i="25"/>
  <c r="C520" i="25" s="1"/>
  <c r="B521" i="25"/>
  <c r="C521" i="25" s="1"/>
  <c r="B522" i="25"/>
  <c r="C522" i="25" s="1"/>
  <c r="B523" i="25"/>
  <c r="C523" i="25" s="1"/>
  <c r="B524" i="25"/>
  <c r="C524" i="25" s="1"/>
  <c r="B525" i="25"/>
  <c r="C525" i="25" s="1"/>
  <c r="B526" i="25"/>
  <c r="C526" i="25" s="1"/>
  <c r="B527" i="25"/>
  <c r="C527" i="25" s="1"/>
  <c r="B528" i="25"/>
  <c r="C528" i="25" s="1"/>
  <c r="B529" i="25"/>
  <c r="C529" i="25" s="1"/>
  <c r="B530" i="25"/>
  <c r="C530" i="25" s="1"/>
  <c r="B531" i="25"/>
  <c r="C531" i="25" s="1"/>
  <c r="B532" i="25"/>
  <c r="C532" i="25" s="1"/>
  <c r="B533" i="25"/>
  <c r="C533" i="25" s="1"/>
  <c r="B534" i="25"/>
  <c r="C534" i="25" s="1"/>
  <c r="B535" i="25"/>
  <c r="C535" i="25" s="1"/>
  <c r="B536" i="25"/>
  <c r="C536" i="25" s="1"/>
  <c r="B537" i="25"/>
  <c r="C537" i="25" s="1"/>
  <c r="B538" i="25"/>
  <c r="C538" i="25" s="1"/>
  <c r="B539" i="25"/>
  <c r="C539" i="25" s="1"/>
  <c r="B540" i="25"/>
  <c r="C540" i="25" s="1"/>
  <c r="B541" i="25"/>
  <c r="C541" i="25" s="1"/>
  <c r="B542" i="25"/>
  <c r="C542" i="25" s="1"/>
  <c r="B543" i="25"/>
  <c r="C543" i="25" s="1"/>
  <c r="B544" i="25"/>
  <c r="C544" i="25" s="1"/>
  <c r="B545" i="25"/>
  <c r="C545" i="25" s="1"/>
  <c r="B546" i="25"/>
  <c r="C546" i="25" s="1"/>
  <c r="B547" i="25"/>
  <c r="C547" i="25" s="1"/>
  <c r="B548" i="25"/>
  <c r="C548" i="25" s="1"/>
  <c r="B549" i="25"/>
  <c r="C549" i="25" s="1"/>
  <c r="B550" i="25"/>
  <c r="C550" i="25" s="1"/>
  <c r="B551" i="25"/>
  <c r="C551" i="25" s="1"/>
  <c r="B552" i="25"/>
  <c r="C552" i="25" s="1"/>
  <c r="B553" i="25"/>
  <c r="C553" i="25" s="1"/>
  <c r="B554" i="25"/>
  <c r="C554" i="25" s="1"/>
  <c r="B555" i="25"/>
  <c r="C555" i="25" s="1"/>
  <c r="B556" i="25"/>
  <c r="C556" i="25" s="1"/>
  <c r="B557" i="25"/>
  <c r="C557" i="25" s="1"/>
  <c r="B558" i="25"/>
  <c r="C558" i="25" s="1"/>
  <c r="B559" i="25"/>
  <c r="C559" i="25" s="1"/>
  <c r="B560" i="25"/>
  <c r="C560" i="25" s="1"/>
  <c r="B561" i="25"/>
  <c r="C561" i="25" s="1"/>
  <c r="B562" i="25"/>
  <c r="C562" i="25" s="1"/>
  <c r="B563" i="25"/>
  <c r="C563" i="25" s="1"/>
  <c r="B564" i="25"/>
  <c r="C564" i="25" s="1"/>
  <c r="B565" i="25"/>
  <c r="C565" i="25" s="1"/>
  <c r="B566" i="25"/>
  <c r="C566" i="25" s="1"/>
  <c r="B567" i="25"/>
  <c r="C567" i="25" s="1"/>
  <c r="B568" i="25"/>
  <c r="C568" i="25" s="1"/>
  <c r="B569" i="25"/>
  <c r="C569" i="25" s="1"/>
  <c r="B570" i="25"/>
  <c r="C570" i="25" s="1"/>
  <c r="B571" i="25"/>
  <c r="C571" i="25" s="1"/>
  <c r="B572" i="25"/>
  <c r="C572" i="25" s="1"/>
  <c r="B573" i="25"/>
  <c r="C573" i="25" s="1"/>
  <c r="B574" i="25"/>
  <c r="C574" i="25" s="1"/>
  <c r="B575" i="25"/>
  <c r="C575" i="25" s="1"/>
  <c r="B576" i="25"/>
  <c r="C576" i="25" s="1"/>
  <c r="B577" i="25"/>
  <c r="C577" i="25" s="1"/>
  <c r="B578" i="25"/>
  <c r="C578" i="25" s="1"/>
  <c r="B579" i="25"/>
  <c r="C579" i="25" s="1"/>
  <c r="B580" i="25"/>
  <c r="C580" i="25" s="1"/>
  <c r="B581" i="25"/>
  <c r="C581" i="25" s="1"/>
  <c r="B582" i="25"/>
  <c r="C582" i="25" s="1"/>
  <c r="B583" i="25"/>
  <c r="C583" i="25" s="1"/>
  <c r="B584" i="25"/>
  <c r="C584" i="25" s="1"/>
  <c r="B585" i="25"/>
  <c r="C585" i="25" s="1"/>
  <c r="B586" i="25"/>
  <c r="C586" i="25" s="1"/>
  <c r="B587" i="25"/>
  <c r="C587" i="25" s="1"/>
  <c r="B588" i="25"/>
  <c r="C588" i="25" s="1"/>
  <c r="B589" i="25"/>
  <c r="C589" i="25" s="1"/>
  <c r="B590" i="25"/>
  <c r="C590" i="25" s="1"/>
  <c r="B591" i="25"/>
  <c r="C591" i="25" s="1"/>
  <c r="B592" i="25"/>
  <c r="C592" i="25" s="1"/>
  <c r="B593" i="25"/>
  <c r="C593" i="25" s="1"/>
  <c r="B594" i="25"/>
  <c r="C594" i="25" s="1"/>
  <c r="B595" i="25"/>
  <c r="C595" i="25" s="1"/>
  <c r="B596" i="25"/>
  <c r="C596" i="25" s="1"/>
  <c r="B597" i="25"/>
  <c r="C597" i="25" s="1"/>
  <c r="B598" i="25"/>
  <c r="C598" i="25" s="1"/>
  <c r="B599" i="25"/>
  <c r="C599" i="25" s="1"/>
  <c r="B600" i="25"/>
  <c r="C600" i="25" s="1"/>
  <c r="B601" i="25"/>
  <c r="C601" i="25" s="1"/>
  <c r="B602" i="25"/>
  <c r="C602" i="25" s="1"/>
  <c r="B603" i="25"/>
  <c r="C603" i="25" s="1"/>
  <c r="B604" i="25"/>
  <c r="C604" i="25" s="1"/>
  <c r="B605" i="25"/>
  <c r="C605" i="25" s="1"/>
  <c r="B606" i="25"/>
  <c r="C606" i="25" s="1"/>
  <c r="B607" i="25"/>
  <c r="C607" i="25" s="1"/>
  <c r="B608" i="25"/>
  <c r="C608" i="25" s="1"/>
  <c r="B609" i="25"/>
  <c r="C609" i="25" s="1"/>
  <c r="B610" i="25"/>
  <c r="C610" i="25" s="1"/>
  <c r="B611" i="25"/>
  <c r="C611" i="25" s="1"/>
  <c r="B612" i="25"/>
  <c r="C612" i="25" s="1"/>
  <c r="B613" i="25"/>
  <c r="C613" i="25" s="1"/>
  <c r="B614" i="25"/>
  <c r="C614" i="25" s="1"/>
  <c r="B615" i="25"/>
  <c r="C615" i="25" s="1"/>
  <c r="B616" i="25"/>
  <c r="C616" i="25" s="1"/>
  <c r="B617" i="25"/>
  <c r="C617" i="25" s="1"/>
  <c r="B618" i="25"/>
  <c r="C618" i="25" s="1"/>
  <c r="B619" i="25"/>
  <c r="C619" i="25" s="1"/>
  <c r="B620" i="25"/>
  <c r="C620" i="25" s="1"/>
  <c r="B621" i="25"/>
  <c r="C621" i="25" s="1"/>
  <c r="B622" i="25"/>
  <c r="C622" i="25" s="1"/>
  <c r="B623" i="25"/>
  <c r="C623" i="25" s="1"/>
  <c r="B624" i="25"/>
  <c r="C624" i="25" s="1"/>
  <c r="B625" i="25"/>
  <c r="C625" i="25" s="1"/>
  <c r="B626" i="25"/>
  <c r="C626" i="25" s="1"/>
  <c r="B627" i="25"/>
  <c r="C627" i="25" s="1"/>
  <c r="B628" i="25"/>
  <c r="C628" i="25" s="1"/>
  <c r="B629" i="25"/>
  <c r="C629" i="25" s="1"/>
  <c r="B630" i="25"/>
  <c r="C630" i="25" s="1"/>
  <c r="B631" i="25"/>
  <c r="C631" i="25" s="1"/>
  <c r="B632" i="25"/>
  <c r="C632" i="25" s="1"/>
  <c r="B633" i="25"/>
  <c r="C633" i="25" s="1"/>
  <c r="B634" i="25"/>
  <c r="C634" i="25" s="1"/>
  <c r="B635" i="25"/>
  <c r="C635" i="25" s="1"/>
  <c r="B636" i="25"/>
  <c r="C636" i="25" s="1"/>
  <c r="B637" i="25"/>
  <c r="C637" i="25" s="1"/>
  <c r="B638" i="25"/>
  <c r="C638" i="25" s="1"/>
  <c r="B639" i="25"/>
  <c r="C639" i="25" s="1"/>
  <c r="B640" i="25"/>
  <c r="C640" i="25" s="1"/>
  <c r="B641" i="25"/>
  <c r="C641" i="25" s="1"/>
  <c r="B642" i="25"/>
  <c r="C642" i="25" s="1"/>
  <c r="B643" i="25"/>
  <c r="C643" i="25" s="1"/>
  <c r="B644" i="25"/>
  <c r="C644" i="25" s="1"/>
  <c r="B645" i="25"/>
  <c r="C645" i="25" s="1"/>
  <c r="B646" i="25"/>
  <c r="C646" i="25" s="1"/>
  <c r="B647" i="25"/>
  <c r="C647" i="25" s="1"/>
  <c r="B648" i="25"/>
  <c r="C648" i="25" s="1"/>
  <c r="B649" i="25"/>
  <c r="C649" i="25" s="1"/>
  <c r="B650" i="25"/>
  <c r="C650" i="25" s="1"/>
  <c r="B651" i="25"/>
  <c r="C651" i="25" s="1"/>
  <c r="B652" i="25"/>
  <c r="C652" i="25" s="1"/>
  <c r="B653" i="25"/>
  <c r="C653" i="25" s="1"/>
  <c r="B654" i="25"/>
  <c r="C654" i="25" s="1"/>
  <c r="B655" i="25"/>
  <c r="C655" i="25" s="1"/>
  <c r="B656" i="25"/>
  <c r="C656" i="25" s="1"/>
  <c r="B657" i="25"/>
  <c r="C657" i="25" s="1"/>
  <c r="B658" i="25"/>
  <c r="C658" i="25" s="1"/>
  <c r="B659" i="25"/>
  <c r="C659" i="25" s="1"/>
  <c r="B660" i="25"/>
  <c r="C660" i="25" s="1"/>
  <c r="B661" i="25"/>
  <c r="C661" i="25" s="1"/>
  <c r="B662" i="25"/>
  <c r="C662" i="25" s="1"/>
  <c r="B663" i="25"/>
  <c r="C663" i="25" s="1"/>
  <c r="B664" i="25"/>
  <c r="C664" i="25" s="1"/>
  <c r="B665" i="25"/>
  <c r="C665" i="25" s="1"/>
  <c r="B666" i="25"/>
  <c r="C666" i="25" s="1"/>
  <c r="B667" i="25"/>
  <c r="C667" i="25" s="1"/>
  <c r="B668" i="25"/>
  <c r="C668" i="25" s="1"/>
  <c r="B669" i="25"/>
  <c r="C669" i="25" s="1"/>
  <c r="B670" i="25"/>
  <c r="C670" i="25" s="1"/>
  <c r="B671" i="25"/>
  <c r="C671" i="25" s="1"/>
  <c r="B672" i="25"/>
  <c r="C672" i="25" s="1"/>
  <c r="B673" i="25"/>
  <c r="C673" i="25" s="1"/>
  <c r="B674" i="25"/>
  <c r="C674" i="25" s="1"/>
  <c r="B675" i="25"/>
  <c r="C675" i="25" s="1"/>
  <c r="B676" i="25"/>
  <c r="C676" i="25" s="1"/>
  <c r="B677" i="25"/>
  <c r="C677" i="25" s="1"/>
  <c r="B678" i="25"/>
  <c r="C678" i="25" s="1"/>
  <c r="B679" i="25"/>
  <c r="C679" i="25" s="1"/>
  <c r="B680" i="25"/>
  <c r="C680" i="25" s="1"/>
  <c r="B681" i="25"/>
  <c r="C681" i="25" s="1"/>
  <c r="B682" i="25"/>
  <c r="C682" i="25" s="1"/>
  <c r="B683" i="25"/>
  <c r="C683" i="25" s="1"/>
  <c r="B684" i="25"/>
  <c r="C684" i="25" s="1"/>
  <c r="B685" i="25"/>
  <c r="C685" i="25" s="1"/>
  <c r="B686" i="25"/>
  <c r="C686" i="25" s="1"/>
  <c r="B687" i="25"/>
  <c r="C687" i="25" s="1"/>
  <c r="B688" i="25"/>
  <c r="C688" i="25" s="1"/>
  <c r="B689" i="25"/>
  <c r="C689" i="25" s="1"/>
  <c r="B690" i="25"/>
  <c r="C690" i="25" s="1"/>
  <c r="B691" i="25"/>
  <c r="C691" i="25" s="1"/>
  <c r="B692" i="25"/>
  <c r="C692" i="25" s="1"/>
  <c r="B693" i="25"/>
  <c r="C693" i="25" s="1"/>
  <c r="B694" i="25"/>
  <c r="C694" i="25" s="1"/>
  <c r="B695" i="25"/>
  <c r="C695" i="25" s="1"/>
  <c r="B696" i="25"/>
  <c r="C696" i="25" s="1"/>
  <c r="B697" i="25"/>
  <c r="C697" i="25" s="1"/>
  <c r="B698" i="25"/>
  <c r="C698" i="25" s="1"/>
  <c r="B699" i="25"/>
  <c r="C699" i="25" s="1"/>
  <c r="B700" i="25"/>
  <c r="C700" i="25" s="1"/>
  <c r="B701" i="25"/>
  <c r="C701" i="25" s="1"/>
  <c r="B702" i="25"/>
  <c r="C702" i="25" s="1"/>
  <c r="B703" i="25"/>
  <c r="C703" i="25" s="1"/>
  <c r="B704" i="25"/>
  <c r="C704" i="25" s="1"/>
  <c r="B705" i="25"/>
  <c r="C705" i="25" s="1"/>
  <c r="B706" i="25"/>
  <c r="C706" i="25" s="1"/>
  <c r="B707" i="25"/>
  <c r="C707" i="25" s="1"/>
  <c r="B708" i="25"/>
  <c r="C708" i="25" s="1"/>
  <c r="B709" i="25"/>
  <c r="C709" i="25" s="1"/>
  <c r="B710" i="25"/>
  <c r="C710" i="25" s="1"/>
  <c r="B711" i="25"/>
  <c r="C711" i="25" s="1"/>
  <c r="B712" i="25"/>
  <c r="C712" i="25" s="1"/>
  <c r="B713" i="25"/>
  <c r="C713" i="25" s="1"/>
  <c r="B714" i="25"/>
  <c r="C714" i="25" s="1"/>
  <c r="B715" i="25"/>
  <c r="C715" i="25" s="1"/>
  <c r="B716" i="25"/>
  <c r="C716" i="25" s="1"/>
  <c r="B717" i="25"/>
  <c r="C717" i="25" s="1"/>
  <c r="B718" i="25"/>
  <c r="C718" i="25" s="1"/>
  <c r="B719" i="25"/>
  <c r="C719" i="25" s="1"/>
  <c r="B720" i="25"/>
  <c r="C720" i="25" s="1"/>
  <c r="B721" i="25"/>
  <c r="C721" i="25" s="1"/>
  <c r="B722" i="25"/>
  <c r="C722" i="25" s="1"/>
  <c r="B723" i="25"/>
  <c r="C723" i="25" s="1"/>
  <c r="B724" i="25"/>
  <c r="C724" i="25" s="1"/>
  <c r="B725" i="25"/>
  <c r="C725" i="25" s="1"/>
  <c r="B726" i="25"/>
  <c r="C726" i="25" s="1"/>
  <c r="B727" i="25"/>
  <c r="C727" i="25" s="1"/>
  <c r="B728" i="25"/>
  <c r="C728" i="25" s="1"/>
  <c r="B729" i="25"/>
  <c r="C729" i="25" s="1"/>
  <c r="B730" i="25"/>
  <c r="C730" i="25" s="1"/>
  <c r="B731" i="25"/>
  <c r="C731" i="25" s="1"/>
  <c r="B732" i="25"/>
  <c r="C732" i="25" s="1"/>
  <c r="B733" i="25"/>
  <c r="C733" i="25" s="1"/>
  <c r="B734" i="25"/>
  <c r="C734" i="25" s="1"/>
  <c r="B735" i="25"/>
  <c r="C735" i="25" s="1"/>
  <c r="B736" i="25"/>
  <c r="C736" i="25" s="1"/>
  <c r="B737" i="25"/>
  <c r="C737" i="25" s="1"/>
  <c r="B738" i="25"/>
  <c r="C738" i="25" s="1"/>
  <c r="B739" i="25"/>
  <c r="C739" i="25" s="1"/>
  <c r="B740" i="25"/>
  <c r="C740" i="25" s="1"/>
  <c r="B741" i="25"/>
  <c r="C741" i="25" s="1"/>
  <c r="B742" i="25"/>
  <c r="C742" i="25" s="1"/>
  <c r="B743" i="25"/>
  <c r="C743" i="25" s="1"/>
  <c r="B744" i="25"/>
  <c r="C744" i="25" s="1"/>
  <c r="B745" i="25"/>
  <c r="C745" i="25" s="1"/>
  <c r="B746" i="25"/>
  <c r="C746" i="25" s="1"/>
  <c r="B747" i="25"/>
  <c r="C747" i="25" s="1"/>
  <c r="B748" i="25"/>
  <c r="C748" i="25" s="1"/>
  <c r="B749" i="25"/>
  <c r="C749" i="25" s="1"/>
  <c r="B750" i="25"/>
  <c r="C750" i="25" s="1"/>
  <c r="B751" i="25"/>
  <c r="C751" i="25" s="1"/>
  <c r="B752" i="25"/>
  <c r="C752" i="25" s="1"/>
  <c r="B753" i="25"/>
  <c r="C753" i="25" s="1"/>
  <c r="B754" i="25"/>
  <c r="C754" i="25" s="1"/>
  <c r="B755" i="25"/>
  <c r="C755" i="25" s="1"/>
  <c r="B756" i="25"/>
  <c r="C756" i="25" s="1"/>
  <c r="B757" i="25"/>
  <c r="C757" i="25" s="1"/>
  <c r="B758" i="25"/>
  <c r="C758" i="25" s="1"/>
  <c r="B759" i="25"/>
  <c r="C759" i="25" s="1"/>
  <c r="B760" i="25"/>
  <c r="C760" i="25" s="1"/>
  <c r="B761" i="25"/>
  <c r="C761" i="25" s="1"/>
  <c r="B762" i="25"/>
  <c r="C762" i="25" s="1"/>
  <c r="B763" i="25"/>
  <c r="C763" i="25" s="1"/>
  <c r="B764" i="25"/>
  <c r="C764" i="25" s="1"/>
  <c r="B765" i="25"/>
  <c r="C765" i="25" s="1"/>
  <c r="B766" i="25"/>
  <c r="C766" i="25" s="1"/>
  <c r="B767" i="25"/>
  <c r="C767" i="25" s="1"/>
  <c r="B768" i="25"/>
  <c r="C768" i="25" s="1"/>
  <c r="B769" i="25"/>
  <c r="C769" i="25" s="1"/>
  <c r="B770" i="25"/>
  <c r="C770" i="25" s="1"/>
  <c r="B771" i="25"/>
  <c r="C771" i="25" s="1"/>
  <c r="B772" i="25"/>
  <c r="C772" i="25" s="1"/>
  <c r="B773" i="25"/>
  <c r="C773" i="25" s="1"/>
  <c r="B774" i="25"/>
  <c r="C774" i="25" s="1"/>
  <c r="B775" i="25"/>
  <c r="C775" i="25" s="1"/>
  <c r="B776" i="25"/>
  <c r="C776" i="25" s="1"/>
  <c r="B777" i="25"/>
  <c r="C777" i="25" s="1"/>
  <c r="B778" i="25"/>
  <c r="C778" i="25" s="1"/>
  <c r="B779" i="25"/>
  <c r="C779" i="25" s="1"/>
  <c r="B780" i="25"/>
  <c r="C780" i="25" s="1"/>
  <c r="B781" i="25"/>
  <c r="C781" i="25" s="1"/>
  <c r="B782" i="25"/>
  <c r="C782" i="25" s="1"/>
  <c r="B783" i="25"/>
  <c r="C783" i="25" s="1"/>
  <c r="B784" i="25"/>
  <c r="C784" i="25" s="1"/>
  <c r="B785" i="25"/>
  <c r="C785" i="25" s="1"/>
  <c r="B786" i="25"/>
  <c r="C786" i="25" s="1"/>
  <c r="B787" i="25"/>
  <c r="C787" i="25" s="1"/>
  <c r="B788" i="25"/>
  <c r="C788" i="25" s="1"/>
  <c r="B789" i="25"/>
  <c r="C789" i="25" s="1"/>
  <c r="B790" i="25"/>
  <c r="C790" i="25" s="1"/>
  <c r="B791" i="25"/>
  <c r="C791" i="25" s="1"/>
  <c r="B792" i="25"/>
  <c r="C792" i="25" s="1"/>
  <c r="B793" i="25"/>
  <c r="C793" i="25" s="1"/>
  <c r="B794" i="25"/>
  <c r="C794" i="25" s="1"/>
  <c r="B795" i="25"/>
  <c r="C795" i="25" s="1"/>
  <c r="B796" i="25"/>
  <c r="C796" i="25" s="1"/>
  <c r="B797" i="25"/>
  <c r="C797" i="25" s="1"/>
  <c r="B798" i="25"/>
  <c r="C798" i="25" s="1"/>
  <c r="B799" i="25"/>
  <c r="C799" i="25" s="1"/>
  <c r="B800" i="25"/>
  <c r="C800" i="25" s="1"/>
  <c r="B801" i="25"/>
  <c r="C801" i="25" s="1"/>
  <c r="B802" i="25"/>
  <c r="C802" i="25" s="1"/>
  <c r="B803" i="25"/>
  <c r="C803" i="25" s="1"/>
  <c r="B804" i="25"/>
  <c r="C804" i="25" s="1"/>
  <c r="B805" i="25"/>
  <c r="C805" i="25" s="1"/>
  <c r="B806" i="25"/>
  <c r="C806" i="25" s="1"/>
  <c r="B807" i="25"/>
  <c r="C807" i="25" s="1"/>
  <c r="B808" i="25"/>
  <c r="C808" i="25" s="1"/>
  <c r="B809" i="25"/>
  <c r="C809" i="25" s="1"/>
  <c r="B810" i="25"/>
  <c r="C810" i="25" s="1"/>
  <c r="B811" i="25"/>
  <c r="C811" i="25" s="1"/>
  <c r="B812" i="25"/>
  <c r="C812" i="25" s="1"/>
  <c r="B813" i="25"/>
  <c r="C813" i="25" s="1"/>
  <c r="B814" i="25"/>
  <c r="C814" i="25" s="1"/>
  <c r="B815" i="25"/>
  <c r="C815" i="25" s="1"/>
  <c r="B816" i="25"/>
  <c r="C816" i="25" s="1"/>
  <c r="B817" i="25"/>
  <c r="C817" i="25" s="1"/>
  <c r="B818" i="25"/>
  <c r="C818" i="25" s="1"/>
  <c r="B819" i="25"/>
  <c r="C819" i="25" s="1"/>
  <c r="B820" i="25"/>
  <c r="C820" i="25" s="1"/>
  <c r="B821" i="25"/>
  <c r="C821" i="25" s="1"/>
  <c r="B822" i="25"/>
  <c r="C822" i="25" s="1"/>
  <c r="B823" i="25"/>
  <c r="C823" i="25" s="1"/>
  <c r="B824" i="25"/>
  <c r="C824" i="25" s="1"/>
  <c r="B825" i="25"/>
  <c r="C825" i="25" s="1"/>
  <c r="B826" i="25"/>
  <c r="C826" i="25" s="1"/>
  <c r="B827" i="25"/>
  <c r="C827" i="25" s="1"/>
  <c r="B828" i="25"/>
  <c r="C828" i="25" s="1"/>
  <c r="B829" i="25"/>
  <c r="C829" i="25" s="1"/>
  <c r="B830" i="25"/>
  <c r="C830" i="25" s="1"/>
  <c r="B831" i="25"/>
  <c r="C831" i="25" s="1"/>
  <c r="B832" i="25"/>
  <c r="C832" i="25" s="1"/>
  <c r="B833" i="25"/>
  <c r="C833" i="25" s="1"/>
  <c r="B834" i="25"/>
  <c r="C834" i="25" s="1"/>
  <c r="B835" i="25"/>
  <c r="C835" i="25" s="1"/>
  <c r="B836" i="25"/>
  <c r="C836" i="25" s="1"/>
  <c r="B837" i="25"/>
  <c r="C837" i="25" s="1"/>
  <c r="B838" i="25"/>
  <c r="C838" i="25" s="1"/>
  <c r="B839" i="25"/>
  <c r="C839" i="25" s="1"/>
  <c r="B840" i="25"/>
  <c r="C840" i="25" s="1"/>
  <c r="B841" i="25"/>
  <c r="C841" i="25" s="1"/>
  <c r="B842" i="25"/>
  <c r="C842" i="25" s="1"/>
  <c r="B843" i="25"/>
  <c r="C843" i="25" s="1"/>
  <c r="B844" i="25"/>
  <c r="C844" i="25" s="1"/>
  <c r="B845" i="25"/>
  <c r="C845" i="25" s="1"/>
  <c r="B846" i="25"/>
  <c r="C846" i="25" s="1"/>
  <c r="B847" i="25"/>
  <c r="C847" i="25" s="1"/>
  <c r="B848" i="25"/>
  <c r="C848" i="25" s="1"/>
  <c r="B849" i="25"/>
  <c r="C849" i="25" s="1"/>
  <c r="B850" i="25"/>
  <c r="C850" i="25" s="1"/>
  <c r="B851" i="25"/>
  <c r="C851" i="25" s="1"/>
  <c r="B852" i="25"/>
  <c r="C852" i="25" s="1"/>
  <c r="B853" i="25"/>
  <c r="C853" i="25" s="1"/>
  <c r="B854" i="25"/>
  <c r="C854" i="25" s="1"/>
  <c r="B855" i="25"/>
  <c r="C855" i="25" s="1"/>
  <c r="B856" i="25"/>
  <c r="C856" i="25" s="1"/>
  <c r="B857" i="25"/>
  <c r="C857" i="25" s="1"/>
  <c r="B858" i="25"/>
  <c r="C858" i="25" s="1"/>
  <c r="B859" i="25"/>
  <c r="C859" i="25" s="1"/>
  <c r="B860" i="25"/>
  <c r="C860" i="25" s="1"/>
  <c r="B861" i="25"/>
  <c r="C861" i="25" s="1"/>
  <c r="B862" i="25"/>
  <c r="C862" i="25" s="1"/>
  <c r="B863" i="25"/>
  <c r="C863" i="25" s="1"/>
  <c r="B864" i="25"/>
  <c r="C864" i="25" s="1"/>
  <c r="B865" i="25"/>
  <c r="C865" i="25" s="1"/>
  <c r="B866" i="25"/>
  <c r="C866" i="25" s="1"/>
  <c r="B867" i="25"/>
  <c r="C867" i="25" s="1"/>
  <c r="B868" i="25"/>
  <c r="C868" i="25" s="1"/>
  <c r="B869" i="25"/>
  <c r="C869" i="25" s="1"/>
  <c r="B870" i="25"/>
  <c r="C870" i="25" s="1"/>
  <c r="B871" i="25"/>
  <c r="C871" i="25" s="1"/>
  <c r="B872" i="25"/>
  <c r="C872" i="25" s="1"/>
  <c r="B873" i="25"/>
  <c r="C873" i="25" s="1"/>
  <c r="B874" i="25"/>
  <c r="C874" i="25" s="1"/>
  <c r="B875" i="25"/>
  <c r="C875" i="25" s="1"/>
  <c r="B876" i="25"/>
  <c r="C876" i="25" s="1"/>
  <c r="B877" i="25"/>
  <c r="C877" i="25" s="1"/>
  <c r="B878" i="25"/>
  <c r="C878" i="25" s="1"/>
  <c r="B879" i="25"/>
  <c r="C879" i="25" s="1"/>
  <c r="B880" i="25"/>
  <c r="C880" i="25" s="1"/>
  <c r="B881" i="25"/>
  <c r="C881" i="25" s="1"/>
  <c r="B882" i="25"/>
  <c r="C882" i="25" s="1"/>
  <c r="B883" i="25"/>
  <c r="C883" i="25" s="1"/>
  <c r="B884" i="25"/>
  <c r="C884" i="25" s="1"/>
  <c r="B885" i="25"/>
  <c r="C885" i="25" s="1"/>
  <c r="B886" i="25"/>
  <c r="C886" i="25" s="1"/>
  <c r="B887" i="25"/>
  <c r="C887" i="25" s="1"/>
  <c r="B888" i="25"/>
  <c r="C888" i="25" s="1"/>
  <c r="B889" i="25"/>
  <c r="C889" i="25" s="1"/>
  <c r="B890" i="25"/>
  <c r="C890" i="25" s="1"/>
  <c r="B891" i="25"/>
  <c r="C891" i="25" s="1"/>
  <c r="B892" i="25"/>
  <c r="C892" i="25" s="1"/>
  <c r="B893" i="25"/>
  <c r="C893" i="25" s="1"/>
  <c r="B894" i="25"/>
  <c r="C894" i="25" s="1"/>
  <c r="B895" i="25"/>
  <c r="C895" i="25" s="1"/>
  <c r="B896" i="25"/>
  <c r="C896" i="25" s="1"/>
  <c r="B897" i="25"/>
  <c r="C897" i="25" s="1"/>
  <c r="B898" i="25"/>
  <c r="C898" i="25" s="1"/>
  <c r="B899" i="25"/>
  <c r="C899" i="25" s="1"/>
  <c r="B900" i="25"/>
  <c r="C900" i="25" s="1"/>
  <c r="B901" i="25"/>
  <c r="C901" i="25" s="1"/>
  <c r="B902" i="25"/>
  <c r="C902" i="25" s="1"/>
  <c r="B903" i="25"/>
  <c r="C903" i="25" s="1"/>
  <c r="B904" i="25"/>
  <c r="C904" i="25" s="1"/>
  <c r="B905" i="25"/>
  <c r="C905" i="25" s="1"/>
  <c r="B906" i="25"/>
  <c r="C906" i="25" s="1"/>
  <c r="B907" i="25"/>
  <c r="C907" i="25" s="1"/>
  <c r="B908" i="25"/>
  <c r="C908" i="25" s="1"/>
  <c r="B909" i="25"/>
  <c r="C909" i="25" s="1"/>
  <c r="B910" i="25"/>
  <c r="C910" i="25" s="1"/>
  <c r="B911" i="25"/>
  <c r="C911" i="25" s="1"/>
  <c r="B912" i="25"/>
  <c r="C912" i="25" s="1"/>
  <c r="B913" i="25"/>
  <c r="C913" i="25" s="1"/>
  <c r="B914" i="25"/>
  <c r="C914" i="25" s="1"/>
  <c r="B915" i="25"/>
  <c r="C915" i="25" s="1"/>
  <c r="B916" i="25"/>
  <c r="C916" i="25" s="1"/>
  <c r="B917" i="25"/>
  <c r="C917" i="25" s="1"/>
  <c r="B918" i="25"/>
  <c r="C918" i="25" s="1"/>
  <c r="B919" i="25"/>
  <c r="C919" i="25" s="1"/>
  <c r="B920" i="25"/>
  <c r="C920" i="25" s="1"/>
  <c r="B921" i="25"/>
  <c r="C921" i="25" s="1"/>
  <c r="B922" i="25"/>
  <c r="C922" i="25" s="1"/>
  <c r="B923" i="25"/>
  <c r="C923" i="25" s="1"/>
  <c r="B924" i="25"/>
  <c r="C924" i="25" s="1"/>
  <c r="B925" i="25"/>
  <c r="C925" i="25" s="1"/>
  <c r="B926" i="25"/>
  <c r="C926" i="25" s="1"/>
  <c r="B927" i="25"/>
  <c r="C927" i="25" s="1"/>
  <c r="B928" i="25"/>
  <c r="C928" i="25" s="1"/>
  <c r="B929" i="25"/>
  <c r="C929" i="25" s="1"/>
  <c r="B930" i="25"/>
  <c r="C930" i="25" s="1"/>
  <c r="B931" i="25"/>
  <c r="C931" i="25" s="1"/>
  <c r="B932" i="25"/>
  <c r="C932" i="25" s="1"/>
  <c r="B933" i="25"/>
  <c r="C933" i="25" s="1"/>
  <c r="B934" i="25"/>
  <c r="C934" i="25" s="1"/>
  <c r="B935" i="25"/>
  <c r="C935" i="25" s="1"/>
  <c r="B936" i="25"/>
  <c r="C936" i="25" s="1"/>
  <c r="B937" i="25"/>
  <c r="C937" i="25" s="1"/>
  <c r="B938" i="25"/>
  <c r="C938" i="25" s="1"/>
  <c r="B939" i="25"/>
  <c r="C939" i="25" s="1"/>
  <c r="B940" i="25"/>
  <c r="C940" i="25" s="1"/>
  <c r="B941" i="25"/>
  <c r="C941" i="25" s="1"/>
  <c r="B942" i="25"/>
  <c r="C942" i="25" s="1"/>
  <c r="B943" i="25"/>
  <c r="C943" i="25" s="1"/>
  <c r="B944" i="25"/>
  <c r="C944" i="25" s="1"/>
  <c r="B945" i="25"/>
  <c r="C945" i="25" s="1"/>
  <c r="B946" i="25"/>
  <c r="C946" i="25" s="1"/>
  <c r="B947" i="25"/>
  <c r="C947" i="25" s="1"/>
  <c r="B948" i="25"/>
  <c r="C948" i="25" s="1"/>
  <c r="B949" i="25"/>
  <c r="C949" i="25" s="1"/>
  <c r="B950" i="25"/>
  <c r="C950" i="25" s="1"/>
  <c r="B951" i="25"/>
  <c r="C951" i="25" s="1"/>
  <c r="B952" i="25"/>
  <c r="C952" i="25" s="1"/>
  <c r="B953" i="25"/>
  <c r="C953" i="25" s="1"/>
  <c r="B954" i="25"/>
  <c r="C954" i="25" s="1"/>
  <c r="B955" i="25"/>
  <c r="C955" i="25" s="1"/>
  <c r="B956" i="25"/>
  <c r="C956" i="25" s="1"/>
  <c r="B957" i="25"/>
  <c r="C957" i="25" s="1"/>
  <c r="B958" i="25"/>
  <c r="C958" i="25" s="1"/>
  <c r="B959" i="25"/>
  <c r="C959" i="25" s="1"/>
  <c r="B960" i="25"/>
  <c r="C960" i="25" s="1"/>
  <c r="B961" i="25"/>
  <c r="C961" i="25" s="1"/>
  <c r="B962" i="25"/>
  <c r="C962" i="25" s="1"/>
  <c r="B963" i="25"/>
  <c r="C963" i="25" s="1"/>
  <c r="B964" i="25"/>
  <c r="C964" i="25" s="1"/>
  <c r="B965" i="25"/>
  <c r="C965" i="25" s="1"/>
  <c r="B966" i="25"/>
  <c r="C966" i="25" s="1"/>
  <c r="B967" i="25"/>
  <c r="C967" i="25" s="1"/>
  <c r="B968" i="25"/>
  <c r="C968" i="25" s="1"/>
  <c r="B969" i="25"/>
  <c r="C969" i="25" s="1"/>
  <c r="B970" i="25"/>
  <c r="C970" i="25" s="1"/>
  <c r="B971" i="25"/>
  <c r="C971" i="25" s="1"/>
  <c r="B972" i="25"/>
  <c r="C972" i="25" s="1"/>
  <c r="B973" i="25"/>
  <c r="C973" i="25" s="1"/>
  <c r="B974" i="25"/>
  <c r="C974" i="25" s="1"/>
  <c r="B975" i="25"/>
  <c r="C975" i="25" s="1"/>
  <c r="B976" i="25"/>
  <c r="C976" i="25" s="1"/>
  <c r="B977" i="25"/>
  <c r="C977" i="25" s="1"/>
  <c r="B978" i="25"/>
  <c r="C978" i="25" s="1"/>
  <c r="B979" i="25"/>
  <c r="C979" i="25" s="1"/>
  <c r="B980" i="25"/>
  <c r="C980" i="25" s="1"/>
  <c r="B981" i="25"/>
  <c r="C981" i="25" s="1"/>
  <c r="B982" i="25"/>
  <c r="C982" i="25" s="1"/>
  <c r="B983" i="25"/>
  <c r="C983" i="25" s="1"/>
  <c r="B984" i="25"/>
  <c r="C984" i="25" s="1"/>
  <c r="B985" i="25"/>
  <c r="C985" i="25" s="1"/>
  <c r="B986" i="25"/>
  <c r="C986" i="25" s="1"/>
  <c r="B987" i="25"/>
  <c r="C987" i="25" s="1"/>
  <c r="B988" i="25"/>
  <c r="C988" i="25" s="1"/>
  <c r="B989" i="25"/>
  <c r="C989" i="25" s="1"/>
  <c r="B990" i="25"/>
  <c r="C990" i="25" s="1"/>
  <c r="B991" i="25"/>
  <c r="C991" i="25" s="1"/>
  <c r="B992" i="25"/>
  <c r="C992" i="25" s="1"/>
  <c r="B993" i="25"/>
  <c r="C993" i="25" s="1"/>
  <c r="B994" i="25"/>
  <c r="C994" i="25" s="1"/>
  <c r="B995" i="25"/>
  <c r="C995" i="25" s="1"/>
  <c r="B996" i="25"/>
  <c r="C996" i="25" s="1"/>
  <c r="B997" i="25"/>
  <c r="C997" i="25" s="1"/>
  <c r="B998" i="25"/>
  <c r="C998" i="25" s="1"/>
  <c r="B999" i="25"/>
  <c r="C999" i="25" s="1"/>
  <c r="B1000" i="25"/>
  <c r="C1000" i="25" s="1"/>
  <c r="B1001" i="25"/>
  <c r="C1001" i="25" s="1"/>
  <c r="B1002" i="25"/>
  <c r="C1002" i="25" s="1"/>
  <c r="B1003" i="25"/>
  <c r="C1003" i="25" s="1"/>
  <c r="B1004" i="25"/>
  <c r="C1004" i="25" s="1"/>
  <c r="B1005" i="25"/>
  <c r="C1005" i="25" s="1"/>
  <c r="B1006" i="25"/>
  <c r="C1006" i="25" s="1"/>
  <c r="B1007" i="25"/>
  <c r="C1007" i="25" s="1"/>
  <c r="B1008" i="25"/>
  <c r="C1008" i="25" s="1"/>
  <c r="B1009" i="25"/>
  <c r="C1009" i="25" s="1"/>
  <c r="B1010" i="25"/>
  <c r="C1010" i="25" s="1"/>
  <c r="B1011" i="25"/>
  <c r="C1011" i="25" s="1"/>
  <c r="B1012" i="25"/>
  <c r="C1012" i="25" s="1"/>
  <c r="B1013" i="25"/>
  <c r="C1013" i="25" s="1"/>
  <c r="B1014" i="25"/>
  <c r="C1014" i="25" s="1"/>
  <c r="B1015" i="25"/>
  <c r="C1015" i="25" s="1"/>
  <c r="B1016" i="25"/>
  <c r="C1016" i="25" s="1"/>
  <c r="B1017" i="25"/>
  <c r="C1017" i="25" s="1"/>
  <c r="B1018" i="25"/>
  <c r="C1018" i="25" s="1"/>
  <c r="B1019" i="25"/>
  <c r="C1019" i="25" s="1"/>
  <c r="B1020" i="25"/>
  <c r="C1020" i="25" s="1"/>
  <c r="B1021" i="25"/>
  <c r="C1021" i="25" s="1"/>
  <c r="B1022" i="25"/>
  <c r="C1022" i="25" s="1"/>
  <c r="B1023" i="25"/>
  <c r="C1023" i="25" s="1"/>
  <c r="B1024" i="25"/>
  <c r="C1024" i="25" s="1"/>
  <c r="B1025" i="25"/>
  <c r="C1025" i="25" s="1"/>
  <c r="B1026" i="25"/>
  <c r="C1026" i="25" s="1"/>
  <c r="B1027" i="25"/>
  <c r="C1027" i="25" s="1"/>
  <c r="B1028" i="25"/>
  <c r="C1028" i="25" s="1"/>
  <c r="B1029" i="25"/>
  <c r="C1029" i="25" s="1"/>
  <c r="B1030" i="25"/>
  <c r="C1030" i="25" s="1"/>
  <c r="B1031" i="25"/>
  <c r="C1031" i="25" s="1"/>
  <c r="B1032" i="25"/>
  <c r="C1032" i="25" s="1"/>
  <c r="B1033" i="25"/>
  <c r="C1033" i="25" s="1"/>
  <c r="B1034" i="25"/>
  <c r="C1034" i="25" s="1"/>
  <c r="B1035" i="25"/>
  <c r="C1035" i="25" s="1"/>
  <c r="B1036" i="25"/>
  <c r="C1036" i="25" s="1"/>
  <c r="B1037" i="25"/>
  <c r="C1037" i="25" s="1"/>
  <c r="B1038" i="25"/>
  <c r="C1038" i="25" s="1"/>
  <c r="B1039" i="25"/>
  <c r="C1039" i="25" s="1"/>
  <c r="B1040" i="25"/>
  <c r="C1040" i="25" s="1"/>
  <c r="B1041" i="25"/>
  <c r="C1041" i="25" s="1"/>
  <c r="B1042" i="25"/>
  <c r="C1042" i="25" s="1"/>
  <c r="B1043" i="25"/>
  <c r="C1043" i="25" s="1"/>
  <c r="B1044" i="25"/>
  <c r="C1044" i="25" s="1"/>
  <c r="B1045" i="25"/>
  <c r="C1045" i="25" s="1"/>
  <c r="B1046" i="25"/>
  <c r="C1046" i="25" s="1"/>
  <c r="B1047" i="25"/>
  <c r="C1047" i="25" s="1"/>
  <c r="B1048" i="25"/>
  <c r="C1048" i="25" s="1"/>
  <c r="B1049" i="25"/>
  <c r="C1049" i="25" s="1"/>
  <c r="B1050" i="25"/>
  <c r="C1050" i="25" s="1"/>
  <c r="B1051" i="25"/>
  <c r="C1051" i="25" s="1"/>
  <c r="B1052" i="25"/>
  <c r="C1052" i="25" s="1"/>
  <c r="B1053" i="25"/>
  <c r="C1053" i="25" s="1"/>
  <c r="B1054" i="25"/>
  <c r="C1054" i="25" s="1"/>
  <c r="B1055" i="25"/>
  <c r="C1055" i="25" s="1"/>
  <c r="B1056" i="25"/>
  <c r="C1056" i="25" s="1"/>
  <c r="B1057" i="25"/>
  <c r="C1057" i="25" s="1"/>
  <c r="B1058" i="25"/>
  <c r="C1058" i="25" s="1"/>
  <c r="B1059" i="25"/>
  <c r="C1059" i="25" s="1"/>
  <c r="B1060" i="25"/>
  <c r="C1060" i="25" s="1"/>
  <c r="B1061" i="25"/>
  <c r="C1061" i="25" s="1"/>
  <c r="B1062" i="25"/>
  <c r="C1062" i="25" s="1"/>
  <c r="B1063" i="25"/>
  <c r="C1063" i="25" s="1"/>
  <c r="B1064" i="25"/>
  <c r="C1064" i="25" s="1"/>
  <c r="B1065" i="25"/>
  <c r="C1065" i="25" s="1"/>
  <c r="B1066" i="25"/>
  <c r="C1066" i="25" s="1"/>
  <c r="B1067" i="25"/>
  <c r="C1067" i="25" s="1"/>
  <c r="B1068" i="25"/>
  <c r="C1068" i="25" s="1"/>
  <c r="B1069" i="25"/>
  <c r="C1069" i="25" s="1"/>
  <c r="B1070" i="25"/>
  <c r="C1070" i="25" s="1"/>
  <c r="B1071" i="25"/>
  <c r="C1071" i="25" s="1"/>
  <c r="B1072" i="25"/>
  <c r="C1072" i="25" s="1"/>
  <c r="B1073" i="25"/>
  <c r="C1073" i="25" s="1"/>
  <c r="B1074" i="25"/>
  <c r="C1074" i="25" s="1"/>
  <c r="B1075" i="25"/>
  <c r="C1075" i="25" s="1"/>
  <c r="B1076" i="25"/>
  <c r="C1076" i="25" s="1"/>
  <c r="B1077" i="25"/>
  <c r="C1077" i="25" s="1"/>
  <c r="B1078" i="25"/>
  <c r="C1078" i="25" s="1"/>
  <c r="B1079" i="25"/>
  <c r="C1079" i="25" s="1"/>
  <c r="B1080" i="25"/>
  <c r="C1080" i="25" s="1"/>
  <c r="B1081" i="25"/>
  <c r="C1081" i="25" s="1"/>
  <c r="B1082" i="25"/>
  <c r="C1082" i="25" s="1"/>
  <c r="B1083" i="25"/>
  <c r="C1083" i="25" s="1"/>
  <c r="B1084" i="25"/>
  <c r="C1084" i="25" s="1"/>
  <c r="B1085" i="25"/>
  <c r="C1085" i="25" s="1"/>
  <c r="B1086" i="25"/>
  <c r="C1086" i="25" s="1"/>
  <c r="B1087" i="25"/>
  <c r="C1087" i="25" s="1"/>
  <c r="B1088" i="25"/>
  <c r="C1088" i="25" s="1"/>
  <c r="B1089" i="25"/>
  <c r="C1089" i="25" s="1"/>
  <c r="B1090" i="25"/>
  <c r="C1090" i="25" s="1"/>
  <c r="B1091" i="25"/>
  <c r="C1091" i="25" s="1"/>
  <c r="B1092" i="25"/>
  <c r="C1092" i="25" s="1"/>
  <c r="B1093" i="25"/>
  <c r="C1093" i="25" s="1"/>
  <c r="B1094" i="25"/>
  <c r="C1094" i="25" s="1"/>
  <c r="B1095" i="25"/>
  <c r="C1095" i="25" s="1"/>
  <c r="B1096" i="25"/>
  <c r="C1096" i="25" s="1"/>
  <c r="B1097" i="25"/>
  <c r="C1097" i="25" s="1"/>
  <c r="B1098" i="25"/>
  <c r="C1098" i="25" s="1"/>
  <c r="B1099" i="25"/>
  <c r="C1099" i="25" s="1"/>
  <c r="B1100" i="25"/>
  <c r="C1100" i="25" s="1"/>
  <c r="B1101" i="25"/>
  <c r="C1101" i="25" s="1"/>
  <c r="B1102" i="25"/>
  <c r="C1102" i="25" s="1"/>
  <c r="B1103" i="25"/>
  <c r="C1103" i="25" s="1"/>
  <c r="B1104" i="25"/>
  <c r="C1104" i="25" s="1"/>
  <c r="B1105" i="25"/>
  <c r="C1105" i="25" s="1"/>
  <c r="B1106" i="25"/>
  <c r="C1106" i="25" s="1"/>
  <c r="B1107" i="25"/>
  <c r="C1107" i="25" s="1"/>
  <c r="B1108" i="25"/>
  <c r="C1108" i="25" s="1"/>
  <c r="B1109" i="25"/>
  <c r="C1109" i="25" s="1"/>
  <c r="B1110" i="25"/>
  <c r="C1110" i="25" s="1"/>
  <c r="B1111" i="25"/>
  <c r="C1111" i="25" s="1"/>
  <c r="B1112" i="25"/>
  <c r="C1112" i="25" s="1"/>
  <c r="B1113" i="25"/>
  <c r="C1113" i="25" s="1"/>
  <c r="B1114" i="25"/>
  <c r="C1114" i="25" s="1"/>
  <c r="B1115" i="25"/>
  <c r="C1115" i="25" s="1"/>
  <c r="B1116" i="25"/>
  <c r="C1116" i="25" s="1"/>
  <c r="B1117" i="25"/>
  <c r="C1117" i="25" s="1"/>
  <c r="B1118" i="25"/>
  <c r="C1118" i="25" s="1"/>
  <c r="B1119" i="25"/>
  <c r="C1119" i="25" s="1"/>
  <c r="B1120" i="25"/>
  <c r="C1120" i="25" s="1"/>
  <c r="B1121" i="25"/>
  <c r="C1121" i="25" s="1"/>
  <c r="B1122" i="25"/>
  <c r="C1122" i="25" s="1"/>
  <c r="B1123" i="25"/>
  <c r="C1123" i="25" s="1"/>
  <c r="B1124" i="25"/>
  <c r="C1124" i="25" s="1"/>
  <c r="B1125" i="25"/>
  <c r="C1125" i="25" s="1"/>
  <c r="B1126" i="25"/>
  <c r="C1126" i="25" s="1"/>
  <c r="B1127" i="25"/>
  <c r="C1127" i="25" s="1"/>
  <c r="B1128" i="25"/>
  <c r="C1128" i="25" s="1"/>
  <c r="B1129" i="25"/>
  <c r="C1129" i="25" s="1"/>
  <c r="B1130" i="25"/>
  <c r="C1130" i="25" s="1"/>
  <c r="B1131" i="25"/>
  <c r="C1131" i="25" s="1"/>
  <c r="B1132" i="25"/>
  <c r="C1132" i="25" s="1"/>
  <c r="B1133" i="25"/>
  <c r="C1133" i="25" s="1"/>
  <c r="B1134" i="25"/>
  <c r="C1134" i="25" s="1"/>
  <c r="B1135" i="25"/>
  <c r="C1135" i="25" s="1"/>
  <c r="B1136" i="25"/>
  <c r="C1136" i="25" s="1"/>
  <c r="B1137" i="25"/>
  <c r="C1137" i="25" s="1"/>
  <c r="B1138" i="25"/>
  <c r="C1138" i="25" s="1"/>
  <c r="B1139" i="25"/>
  <c r="C1139" i="25" s="1"/>
  <c r="B1140" i="25"/>
  <c r="C1140" i="25" s="1"/>
  <c r="B1141" i="25"/>
  <c r="C1141" i="25" s="1"/>
  <c r="B1142" i="25"/>
  <c r="C1142" i="25" s="1"/>
  <c r="B1143" i="25"/>
  <c r="C1143" i="25" s="1"/>
  <c r="B1144" i="25"/>
  <c r="C1144" i="25" s="1"/>
  <c r="B1145" i="25"/>
  <c r="C1145" i="25" s="1"/>
  <c r="B1146" i="25"/>
  <c r="C1146" i="25" s="1"/>
  <c r="B1147" i="25"/>
  <c r="C1147" i="25" s="1"/>
  <c r="B1148" i="25"/>
  <c r="C1148" i="25" s="1"/>
  <c r="B1149" i="25"/>
  <c r="C1149" i="25" s="1"/>
  <c r="B1150" i="25"/>
  <c r="C1150" i="25" s="1"/>
  <c r="B1151" i="25"/>
  <c r="C1151" i="25" s="1"/>
  <c r="B1152" i="25"/>
  <c r="C1152" i="25" s="1"/>
  <c r="B1153" i="25"/>
  <c r="C1153" i="25" s="1"/>
  <c r="B1154" i="25"/>
  <c r="C1154" i="25" s="1"/>
  <c r="B1155" i="25"/>
  <c r="C1155" i="25" s="1"/>
  <c r="B1156" i="25"/>
  <c r="C1156" i="25" s="1"/>
  <c r="B1157" i="25"/>
  <c r="C1157" i="25" s="1"/>
  <c r="B1158" i="25"/>
  <c r="C1158" i="25" s="1"/>
  <c r="B1159" i="25"/>
  <c r="C1159" i="25" s="1"/>
  <c r="B1160" i="25"/>
  <c r="C1160" i="25" s="1"/>
  <c r="B1161" i="25"/>
  <c r="C1161" i="25" s="1"/>
  <c r="B1162" i="25"/>
  <c r="C1162" i="25" s="1"/>
  <c r="B1163" i="25"/>
  <c r="C1163" i="25" s="1"/>
  <c r="B1164" i="25"/>
  <c r="C1164" i="25" s="1"/>
  <c r="B1165" i="25"/>
  <c r="C1165" i="25" s="1"/>
  <c r="B1166" i="25"/>
  <c r="C1166" i="25" s="1"/>
  <c r="B1167" i="25"/>
  <c r="C1167" i="25" s="1"/>
  <c r="B1168" i="25"/>
  <c r="C1168" i="25" s="1"/>
  <c r="B1169" i="25"/>
  <c r="C1169" i="25" s="1"/>
  <c r="B1170" i="25"/>
  <c r="C1170" i="25" s="1"/>
  <c r="B1171" i="25"/>
  <c r="C1171" i="25" s="1"/>
  <c r="B1172" i="25"/>
  <c r="C1172" i="25" s="1"/>
  <c r="B1173" i="25"/>
  <c r="C1173" i="25" s="1"/>
  <c r="B1174" i="25"/>
  <c r="C1174" i="25" s="1"/>
  <c r="B1175" i="25"/>
  <c r="C1175" i="25" s="1"/>
  <c r="B1176" i="25"/>
  <c r="C1176" i="25" s="1"/>
  <c r="B1177" i="25"/>
  <c r="C1177" i="25" s="1"/>
  <c r="B1178" i="25"/>
  <c r="C1178" i="25" s="1"/>
  <c r="B1179" i="25"/>
  <c r="C1179" i="25" s="1"/>
  <c r="B1180" i="25"/>
  <c r="C1180" i="25" s="1"/>
  <c r="B1181" i="25"/>
  <c r="C1181" i="25" s="1"/>
  <c r="B1182" i="25"/>
  <c r="C1182" i="25" s="1"/>
  <c r="B1183" i="25"/>
  <c r="C1183" i="25" s="1"/>
  <c r="B1184" i="25"/>
  <c r="C1184" i="25" s="1"/>
  <c r="B1185" i="25"/>
  <c r="C1185" i="25" s="1"/>
  <c r="B1186" i="25"/>
  <c r="C1186" i="25" s="1"/>
  <c r="B1187" i="25"/>
  <c r="C1187" i="25" s="1"/>
  <c r="B1188" i="25"/>
  <c r="C1188" i="25" s="1"/>
  <c r="B1189" i="25"/>
  <c r="C1189" i="25" s="1"/>
  <c r="B1190" i="25"/>
  <c r="C1190" i="25" s="1"/>
  <c r="B1191" i="25"/>
  <c r="C1191" i="25" s="1"/>
  <c r="B1192" i="25"/>
  <c r="C1192" i="25" s="1"/>
  <c r="B1193" i="25"/>
  <c r="C1193" i="25" s="1"/>
  <c r="B1194" i="25"/>
  <c r="C1194" i="25" s="1"/>
  <c r="B1195" i="25"/>
  <c r="C1195" i="25" s="1"/>
  <c r="B1196" i="25"/>
  <c r="C1196" i="25" s="1"/>
  <c r="B1197" i="25"/>
  <c r="C1197" i="25" s="1"/>
  <c r="B1198" i="25"/>
  <c r="C1198" i="25" s="1"/>
  <c r="B1199" i="25"/>
  <c r="C1199" i="25" s="1"/>
  <c r="B1200" i="25"/>
  <c r="C1200" i="25" s="1"/>
  <c r="B1201" i="25"/>
  <c r="C1201" i="25" s="1"/>
  <c r="B1202" i="25"/>
  <c r="C1202" i="25" s="1"/>
  <c r="B1203" i="25"/>
  <c r="C1203" i="25" s="1"/>
  <c r="B1204" i="25"/>
  <c r="C1204" i="25" s="1"/>
  <c r="B1205" i="25"/>
  <c r="C1205" i="25" s="1"/>
  <c r="B1206" i="25"/>
  <c r="C1206" i="25" s="1"/>
  <c r="B1207" i="25"/>
  <c r="C1207" i="25" s="1"/>
  <c r="B1208" i="25"/>
  <c r="C1208" i="25" s="1"/>
  <c r="B1209" i="25"/>
  <c r="C1209" i="25" s="1"/>
  <c r="B1210" i="25"/>
  <c r="C1210" i="25" s="1"/>
  <c r="B1211" i="25"/>
  <c r="C1211" i="25" s="1"/>
  <c r="B1212" i="25"/>
  <c r="C1212" i="25" s="1"/>
  <c r="B1213" i="25"/>
  <c r="C1213" i="25" s="1"/>
  <c r="B1214" i="25"/>
  <c r="C1214" i="25" s="1"/>
  <c r="B1215" i="25"/>
  <c r="C1215" i="25" s="1"/>
  <c r="B1216" i="25"/>
  <c r="C1216" i="25" s="1"/>
  <c r="B1217" i="25"/>
  <c r="C1217" i="25" s="1"/>
  <c r="B1218" i="25"/>
  <c r="C1218" i="25" s="1"/>
  <c r="B1219" i="25"/>
  <c r="C1219" i="25" s="1"/>
  <c r="B1220" i="25"/>
  <c r="C1220" i="25" s="1"/>
  <c r="B1221" i="25"/>
  <c r="C1221" i="25" s="1"/>
  <c r="B1222" i="25"/>
  <c r="C1222" i="25" s="1"/>
  <c r="B1223" i="25"/>
  <c r="C1223" i="25" s="1"/>
  <c r="B1224" i="25"/>
  <c r="C1224" i="25" s="1"/>
  <c r="B1225" i="25"/>
  <c r="C1225" i="25" s="1"/>
  <c r="B1226" i="25"/>
  <c r="C1226" i="25" s="1"/>
  <c r="B1227" i="25"/>
  <c r="C1227" i="25" s="1"/>
  <c r="B1228" i="25"/>
  <c r="C1228" i="25" s="1"/>
  <c r="B1229" i="25"/>
  <c r="C1229" i="25" s="1"/>
  <c r="B1230" i="25"/>
  <c r="C1230" i="25" s="1"/>
  <c r="B1231" i="25"/>
  <c r="C1231" i="25" s="1"/>
  <c r="B1232" i="25"/>
  <c r="C1232" i="25" s="1"/>
  <c r="B1233" i="25"/>
  <c r="C1233" i="25" s="1"/>
  <c r="B1234" i="25"/>
  <c r="C1234" i="25" s="1"/>
  <c r="B1235" i="25"/>
  <c r="C1235" i="25" s="1"/>
  <c r="B1236" i="25"/>
  <c r="C1236" i="25" s="1"/>
  <c r="B1237" i="25"/>
  <c r="C1237" i="25" s="1"/>
  <c r="B1238" i="25"/>
  <c r="C1238" i="25" s="1"/>
  <c r="B1239" i="25"/>
  <c r="C1239" i="25" s="1"/>
  <c r="B1240" i="25"/>
  <c r="C1240" i="25" s="1"/>
  <c r="B1241" i="25"/>
  <c r="C1241" i="25" s="1"/>
  <c r="B1242" i="25"/>
  <c r="C1242" i="25" s="1"/>
  <c r="B1243" i="25"/>
  <c r="C1243" i="25" s="1"/>
  <c r="B1244" i="25"/>
  <c r="C1244" i="25" s="1"/>
  <c r="B1245" i="25"/>
  <c r="C1245" i="25" s="1"/>
  <c r="B1246" i="25"/>
  <c r="C1246" i="25" s="1"/>
  <c r="B1247" i="25"/>
  <c r="C1247" i="25" s="1"/>
  <c r="B1248" i="25"/>
  <c r="C1248" i="25" s="1"/>
  <c r="B1249" i="25"/>
  <c r="C1249" i="25" s="1"/>
  <c r="B1250" i="25"/>
  <c r="C1250" i="25" s="1"/>
  <c r="B1251" i="25"/>
  <c r="C1251" i="25" s="1"/>
  <c r="B1252" i="25"/>
  <c r="C1252" i="25" s="1"/>
  <c r="B1253" i="25"/>
  <c r="C1253" i="25" s="1"/>
  <c r="B1254" i="25"/>
  <c r="C1254" i="25" s="1"/>
  <c r="B1255" i="25"/>
  <c r="C1255" i="25" s="1"/>
  <c r="B1256" i="25"/>
  <c r="C1256" i="25" s="1"/>
  <c r="B1257" i="25"/>
  <c r="C1257" i="25" s="1"/>
  <c r="B1258" i="25"/>
  <c r="C1258" i="25" s="1"/>
  <c r="B1259" i="25"/>
  <c r="C1259" i="25" s="1"/>
  <c r="B1260" i="25"/>
  <c r="C1260" i="25" s="1"/>
  <c r="B1261" i="25"/>
  <c r="C1261" i="25" s="1"/>
  <c r="B1262" i="25"/>
  <c r="C1262" i="25" s="1"/>
  <c r="B1263" i="25"/>
  <c r="C1263" i="25" s="1"/>
  <c r="B1264" i="25"/>
  <c r="C1264" i="25" s="1"/>
  <c r="B1265" i="25"/>
  <c r="C1265" i="25" s="1"/>
  <c r="B1266" i="25"/>
  <c r="C1266" i="25" s="1"/>
  <c r="B1267" i="25"/>
  <c r="C1267" i="25" s="1"/>
  <c r="B1268" i="25"/>
  <c r="C1268" i="25" s="1"/>
  <c r="B1269" i="25"/>
  <c r="C1269" i="25" s="1"/>
  <c r="B1270" i="25"/>
  <c r="C1270" i="25" s="1"/>
  <c r="B1271" i="25"/>
  <c r="C1271" i="25" s="1"/>
  <c r="B1272" i="25"/>
  <c r="C1272" i="25" s="1"/>
  <c r="B1273" i="25"/>
  <c r="C1273" i="25" s="1"/>
  <c r="B1274" i="25"/>
  <c r="C1274" i="25" s="1"/>
  <c r="B1275" i="25"/>
  <c r="C1275" i="25" s="1"/>
  <c r="B1276" i="25"/>
  <c r="C1276" i="25" s="1"/>
  <c r="B1277" i="25"/>
  <c r="C1277" i="25" s="1"/>
  <c r="B1278" i="25"/>
  <c r="C1278" i="25" s="1"/>
  <c r="B1279" i="25"/>
  <c r="C1279" i="25" s="1"/>
  <c r="B1280" i="25"/>
  <c r="C1280" i="25" s="1"/>
  <c r="B1281" i="25"/>
  <c r="C1281" i="25" s="1"/>
  <c r="B1282" i="25"/>
  <c r="C1282" i="25" s="1"/>
  <c r="B1283" i="25"/>
  <c r="C1283" i="25" s="1"/>
  <c r="B1284" i="25"/>
  <c r="C1284" i="25" s="1"/>
  <c r="B1285" i="25"/>
  <c r="C1285" i="25" s="1"/>
  <c r="B1286" i="25"/>
  <c r="C1286" i="25" s="1"/>
  <c r="B1287" i="25"/>
  <c r="C1287" i="25" s="1"/>
  <c r="B1288" i="25"/>
  <c r="C1288" i="25" s="1"/>
  <c r="B1289" i="25"/>
  <c r="C1289" i="25" s="1"/>
  <c r="B1290" i="25"/>
  <c r="C1290" i="25" s="1"/>
  <c r="B1291" i="25"/>
  <c r="C1291" i="25" s="1"/>
  <c r="B1292" i="25"/>
  <c r="C1292" i="25" s="1"/>
  <c r="B1293" i="25"/>
  <c r="C1293" i="25" s="1"/>
  <c r="B1294" i="25"/>
  <c r="C1294" i="25" s="1"/>
  <c r="B1295" i="25"/>
  <c r="C1295" i="25" s="1"/>
  <c r="B1296" i="25"/>
  <c r="C1296" i="25" s="1"/>
  <c r="B1297" i="25"/>
  <c r="C1297" i="25" s="1"/>
  <c r="B1298" i="25"/>
  <c r="C1298" i="25" s="1"/>
  <c r="B1299" i="25"/>
  <c r="C1299" i="25" s="1"/>
  <c r="B1300" i="25"/>
  <c r="C1300" i="25" s="1"/>
  <c r="B1301" i="25"/>
  <c r="C1301" i="25" s="1"/>
  <c r="B1302" i="25"/>
  <c r="C1302" i="25" s="1"/>
  <c r="B1303" i="25"/>
  <c r="C1303" i="25" s="1"/>
  <c r="B1304" i="25"/>
  <c r="C1304" i="25" s="1"/>
  <c r="B1305" i="25"/>
  <c r="C1305" i="25" s="1"/>
  <c r="B1306" i="25"/>
  <c r="C1306" i="25" s="1"/>
  <c r="B1307" i="25"/>
  <c r="C1307" i="25" s="1"/>
  <c r="B1308" i="25"/>
  <c r="C1308" i="25" s="1"/>
  <c r="B1309" i="25"/>
  <c r="C1309" i="25" s="1"/>
  <c r="B1310" i="25"/>
  <c r="C1310" i="25" s="1"/>
  <c r="B1311" i="25"/>
  <c r="C1311" i="25" s="1"/>
  <c r="B1312" i="25"/>
  <c r="C1312" i="25" s="1"/>
  <c r="B1313" i="25"/>
  <c r="C1313" i="25" s="1"/>
  <c r="B1314" i="25"/>
  <c r="C1314" i="25" s="1"/>
  <c r="B1315" i="25"/>
  <c r="C1315" i="25" s="1"/>
  <c r="B1316" i="25"/>
  <c r="C1316" i="25" s="1"/>
  <c r="B1317" i="25"/>
  <c r="C1317" i="25" s="1"/>
  <c r="B1318" i="25"/>
  <c r="C1318" i="25" s="1"/>
  <c r="B1319" i="25"/>
  <c r="C1319" i="25" s="1"/>
  <c r="B1320" i="25"/>
  <c r="C1320" i="25" s="1"/>
  <c r="B1321" i="25"/>
  <c r="C1321" i="25" s="1"/>
  <c r="B1322" i="25"/>
  <c r="C1322" i="25" s="1"/>
  <c r="B1323" i="25"/>
  <c r="C1323" i="25" s="1"/>
  <c r="B1324" i="25"/>
  <c r="C1324" i="25" s="1"/>
  <c r="B1325" i="25"/>
  <c r="C1325" i="25" s="1"/>
  <c r="B1326" i="25"/>
  <c r="C1326" i="25" s="1"/>
  <c r="B1327" i="25"/>
  <c r="C1327" i="25" s="1"/>
  <c r="B1328" i="25"/>
  <c r="C1328" i="25" s="1"/>
  <c r="B1329" i="25"/>
  <c r="C1329" i="25" s="1"/>
  <c r="B1330" i="25"/>
  <c r="C1330" i="25" s="1"/>
  <c r="B1331" i="25"/>
  <c r="C1331" i="25" s="1"/>
  <c r="B1332" i="25"/>
  <c r="C1332" i="25" s="1"/>
  <c r="B1333" i="25"/>
  <c r="C1333" i="25" s="1"/>
  <c r="B1334" i="25"/>
  <c r="C1334" i="25" s="1"/>
  <c r="B1335" i="25"/>
  <c r="C1335" i="25" s="1"/>
  <c r="B1336" i="25"/>
  <c r="C1336" i="25" s="1"/>
  <c r="B1337" i="25"/>
  <c r="C1337" i="25" s="1"/>
  <c r="B1338" i="25"/>
  <c r="C1338" i="25" s="1"/>
  <c r="B1339" i="25"/>
  <c r="C1339" i="25" s="1"/>
  <c r="B1340" i="25"/>
  <c r="C1340" i="25" s="1"/>
  <c r="B1341" i="25"/>
  <c r="C1341" i="25" s="1"/>
  <c r="B1342" i="25"/>
  <c r="C1342" i="25" s="1"/>
  <c r="B1343" i="25"/>
  <c r="C1343" i="25" s="1"/>
  <c r="B1344" i="25"/>
  <c r="C1344" i="25" s="1"/>
  <c r="B1345" i="25"/>
  <c r="C1345" i="25" s="1"/>
  <c r="B1346" i="25"/>
  <c r="C1346" i="25" s="1"/>
  <c r="B1347" i="25"/>
  <c r="C1347" i="25" s="1"/>
  <c r="B1348" i="25"/>
  <c r="C1348" i="25" s="1"/>
  <c r="B1349" i="25"/>
  <c r="C1349" i="25" s="1"/>
  <c r="B1350" i="25"/>
  <c r="C1350" i="25" s="1"/>
  <c r="B1351" i="25"/>
  <c r="C1351" i="25" s="1"/>
  <c r="B1352" i="25"/>
  <c r="C1352" i="25" s="1"/>
  <c r="B1353" i="25"/>
  <c r="C1353" i="25" s="1"/>
  <c r="B1354" i="25"/>
  <c r="C1354" i="25" s="1"/>
  <c r="B1355" i="25"/>
  <c r="C1355" i="25" s="1"/>
  <c r="B1356" i="25"/>
  <c r="C1356" i="25" s="1"/>
  <c r="B1357" i="25"/>
  <c r="C1357" i="25" s="1"/>
  <c r="B1358" i="25"/>
  <c r="C1358" i="25" s="1"/>
  <c r="B1359" i="25"/>
  <c r="C1359" i="25" s="1"/>
  <c r="B1360" i="25"/>
  <c r="C1360" i="25" s="1"/>
  <c r="B1361" i="25"/>
  <c r="C1361" i="25" s="1"/>
  <c r="B1362" i="25"/>
  <c r="C1362" i="25" s="1"/>
  <c r="B1363" i="25"/>
  <c r="C1363" i="25" s="1"/>
  <c r="B1364" i="25"/>
  <c r="C1364" i="25" s="1"/>
  <c r="B1365" i="25"/>
  <c r="C1365" i="25" s="1"/>
  <c r="B1366" i="25"/>
  <c r="C1366" i="25" s="1"/>
  <c r="B1367" i="25"/>
  <c r="C1367" i="25" s="1"/>
  <c r="B1368" i="25"/>
  <c r="C1368" i="25" s="1"/>
  <c r="B1369" i="25"/>
  <c r="C1369" i="25" s="1"/>
  <c r="B1370" i="25"/>
  <c r="C1370" i="25" s="1"/>
  <c r="B1371" i="25"/>
  <c r="C1371" i="25" s="1"/>
  <c r="B1372" i="25"/>
  <c r="C1372" i="25" s="1"/>
  <c r="B1373" i="25"/>
  <c r="C1373" i="25" s="1"/>
  <c r="B1374" i="25"/>
  <c r="C1374" i="25" s="1"/>
  <c r="B1375" i="25"/>
  <c r="C1375" i="25" s="1"/>
  <c r="B1376" i="25"/>
  <c r="C1376" i="25" s="1"/>
  <c r="B1377" i="25"/>
  <c r="C1377" i="25" s="1"/>
  <c r="B1378" i="25"/>
  <c r="C1378" i="25" s="1"/>
  <c r="B1379" i="25"/>
  <c r="C1379" i="25" s="1"/>
  <c r="B1380" i="25"/>
  <c r="C1380" i="25" s="1"/>
  <c r="B1381" i="25"/>
  <c r="C1381" i="25" s="1"/>
  <c r="B1382" i="25"/>
  <c r="C1382" i="25" s="1"/>
  <c r="B1383" i="25"/>
  <c r="C1383" i="25" s="1"/>
  <c r="B1384" i="25"/>
  <c r="C1384" i="25" s="1"/>
  <c r="B1385" i="25"/>
  <c r="C1385" i="25" s="1"/>
  <c r="B1386" i="25"/>
  <c r="C1386" i="25" s="1"/>
  <c r="B1387" i="25"/>
  <c r="C1387" i="25" s="1"/>
  <c r="B1388" i="25"/>
  <c r="C1388" i="25" s="1"/>
  <c r="B1389" i="25"/>
  <c r="C1389" i="25" s="1"/>
  <c r="B1390" i="25"/>
  <c r="C1390" i="25" s="1"/>
  <c r="B1391" i="25"/>
  <c r="C1391" i="25" s="1"/>
  <c r="B1392" i="25"/>
  <c r="C1392" i="25" s="1"/>
  <c r="B1393" i="25"/>
  <c r="C1393" i="25" s="1"/>
  <c r="B1394" i="25"/>
  <c r="C1394" i="25" s="1"/>
  <c r="B1395" i="25"/>
  <c r="C1395" i="25" s="1"/>
  <c r="B1396" i="25"/>
  <c r="C1396" i="25" s="1"/>
  <c r="B1397" i="25"/>
  <c r="C1397" i="25" s="1"/>
  <c r="B1398" i="25"/>
  <c r="C1398" i="25" s="1"/>
  <c r="B1399" i="25"/>
  <c r="C1399" i="25" s="1"/>
  <c r="B1400" i="25"/>
  <c r="C1400" i="25" s="1"/>
  <c r="B1401" i="25"/>
  <c r="C1401" i="25" s="1"/>
  <c r="B1402" i="25"/>
  <c r="C1402" i="25" s="1"/>
  <c r="B1403" i="25"/>
  <c r="C1403" i="25" s="1"/>
  <c r="B1404" i="25"/>
  <c r="C1404" i="25" s="1"/>
  <c r="B1405" i="25"/>
  <c r="C1405" i="25" s="1"/>
  <c r="B1406" i="25"/>
  <c r="C1406" i="25" s="1"/>
  <c r="B1407" i="25"/>
  <c r="C1407" i="25" s="1"/>
  <c r="B1408" i="25"/>
  <c r="C1408" i="25" s="1"/>
  <c r="B1409" i="25"/>
  <c r="C1409" i="25" s="1"/>
  <c r="B1410" i="25"/>
  <c r="C1410" i="25" s="1"/>
  <c r="B1411" i="25"/>
  <c r="C1411" i="25" s="1"/>
  <c r="B1412" i="25"/>
  <c r="C1412" i="25" s="1"/>
  <c r="B1413" i="25"/>
  <c r="C1413" i="25" s="1"/>
  <c r="B1414" i="25"/>
  <c r="C1414" i="25" s="1"/>
  <c r="B1415" i="25"/>
  <c r="C1415" i="25" s="1"/>
  <c r="B1416" i="25"/>
  <c r="C1416" i="25" s="1"/>
  <c r="B1417" i="25"/>
  <c r="C1417" i="25" s="1"/>
  <c r="B1418" i="25"/>
  <c r="C1418" i="25" s="1"/>
  <c r="B1419" i="25"/>
  <c r="C1419" i="25" s="1"/>
  <c r="B1420" i="25"/>
  <c r="C1420" i="25" s="1"/>
  <c r="B1421" i="25"/>
  <c r="C1421" i="25" s="1"/>
  <c r="B1422" i="25"/>
  <c r="C1422" i="25" s="1"/>
  <c r="B1423" i="25"/>
  <c r="C1423" i="25" s="1"/>
  <c r="B1424" i="25"/>
  <c r="C1424" i="25" s="1"/>
  <c r="B1425" i="25"/>
  <c r="C1425" i="25" s="1"/>
  <c r="B1426" i="25"/>
  <c r="C1426" i="25" s="1"/>
  <c r="B1427" i="25"/>
  <c r="C1427" i="25" s="1"/>
  <c r="B1428" i="25"/>
  <c r="C1428" i="25" s="1"/>
  <c r="B1429" i="25"/>
  <c r="C1429" i="25" s="1"/>
  <c r="B1430" i="25"/>
  <c r="C1430" i="25" s="1"/>
  <c r="B1431" i="25"/>
  <c r="C1431" i="25" s="1"/>
  <c r="B1432" i="25"/>
  <c r="C1432" i="25" s="1"/>
  <c r="B1433" i="25"/>
  <c r="C1433" i="25" s="1"/>
  <c r="B1434" i="25"/>
  <c r="C1434" i="25" s="1"/>
  <c r="B1435" i="25"/>
  <c r="C1435" i="25" s="1"/>
  <c r="B1436" i="25"/>
  <c r="C1436" i="25" s="1"/>
  <c r="B1437" i="25"/>
  <c r="C1437" i="25" s="1"/>
  <c r="B1438" i="25"/>
  <c r="C1438" i="25" s="1"/>
  <c r="B1439" i="25"/>
  <c r="C1439" i="25" s="1"/>
  <c r="B1440" i="25"/>
  <c r="C1440" i="25" s="1"/>
  <c r="B1441" i="25"/>
  <c r="C1441" i="25" s="1"/>
  <c r="B1442" i="25"/>
  <c r="C1442" i="25" s="1"/>
  <c r="B1443" i="25"/>
  <c r="C1443" i="25" s="1"/>
  <c r="B1444" i="25"/>
  <c r="C1444" i="25" s="1"/>
  <c r="B1445" i="25"/>
  <c r="C1445" i="25" s="1"/>
  <c r="B1446" i="25"/>
  <c r="C1446" i="25" s="1"/>
  <c r="B1447" i="25"/>
  <c r="C1447" i="25" s="1"/>
  <c r="B1448" i="25"/>
  <c r="C1448" i="25" s="1"/>
  <c r="B1449" i="25"/>
  <c r="C1449" i="25" s="1"/>
  <c r="B1450" i="25"/>
  <c r="C1450" i="25" s="1"/>
  <c r="B1451" i="25"/>
  <c r="C1451" i="25" s="1"/>
  <c r="B1452" i="25"/>
  <c r="C1452" i="25" s="1"/>
  <c r="B1453" i="25"/>
  <c r="C1453" i="25" s="1"/>
  <c r="B1454" i="25"/>
  <c r="C1454" i="25" s="1"/>
  <c r="B1455" i="25"/>
  <c r="C1455" i="25" s="1"/>
  <c r="B1456" i="25"/>
  <c r="C1456" i="25" s="1"/>
  <c r="B1457" i="25"/>
  <c r="C1457" i="25" s="1"/>
  <c r="B1458" i="25"/>
  <c r="C1458" i="25" s="1"/>
  <c r="B1459" i="25"/>
  <c r="C1459" i="25" s="1"/>
  <c r="B1460" i="25"/>
  <c r="C1460" i="25" s="1"/>
  <c r="B1461" i="25"/>
  <c r="C1461" i="25" s="1"/>
  <c r="B1462" i="25"/>
  <c r="C1462" i="25" s="1"/>
  <c r="B1463" i="25"/>
  <c r="C1463" i="25" s="1"/>
  <c r="B1464" i="25"/>
  <c r="C1464" i="25" s="1"/>
  <c r="B1465" i="25"/>
  <c r="C1465" i="25" s="1"/>
  <c r="B1466" i="25"/>
  <c r="C1466" i="25" s="1"/>
  <c r="B1467" i="25"/>
  <c r="C1467" i="25" s="1"/>
  <c r="B1468" i="25"/>
  <c r="C1468" i="25" s="1"/>
  <c r="B1469" i="25"/>
  <c r="C1469" i="25" s="1"/>
  <c r="B1470" i="25"/>
  <c r="C1470" i="25" s="1"/>
  <c r="B1471" i="25"/>
  <c r="C1471" i="25" s="1"/>
  <c r="B1472" i="25"/>
  <c r="C1472" i="25" s="1"/>
  <c r="B1473" i="25"/>
  <c r="C1473" i="25" s="1"/>
  <c r="B1474" i="25"/>
  <c r="C1474" i="25" s="1"/>
  <c r="B1475" i="25"/>
  <c r="C1475" i="25" s="1"/>
  <c r="B1476" i="25"/>
  <c r="C1476" i="25" s="1"/>
  <c r="B1477" i="25"/>
  <c r="C1477" i="25" s="1"/>
  <c r="B1478" i="25"/>
  <c r="C1478" i="25" s="1"/>
  <c r="B1479" i="25"/>
  <c r="C1479" i="25" s="1"/>
  <c r="B1480" i="25"/>
  <c r="C1480" i="25" s="1"/>
  <c r="B1481" i="25"/>
  <c r="C1481" i="25" s="1"/>
  <c r="B1482" i="25"/>
  <c r="C1482" i="25" s="1"/>
  <c r="B1483" i="25"/>
  <c r="C1483" i="25" s="1"/>
  <c r="B1484" i="25"/>
  <c r="C1484" i="25" s="1"/>
  <c r="B1485" i="25"/>
  <c r="C1485" i="25" s="1"/>
  <c r="B1486" i="25"/>
  <c r="C1486" i="25" s="1"/>
  <c r="B1487" i="25"/>
  <c r="C1487" i="25" s="1"/>
  <c r="B1488" i="25"/>
  <c r="C1488" i="25" s="1"/>
  <c r="B1489" i="25"/>
  <c r="C1489" i="25" s="1"/>
  <c r="B1490" i="25"/>
  <c r="C1490" i="25" s="1"/>
  <c r="B1491" i="25"/>
  <c r="C1491" i="25" s="1"/>
  <c r="B1492" i="25"/>
  <c r="C1492" i="25" s="1"/>
  <c r="B1493" i="25"/>
  <c r="C1493" i="25" s="1"/>
  <c r="B1494" i="25"/>
  <c r="C1494" i="25" s="1"/>
  <c r="B1495" i="25"/>
  <c r="C1495" i="25" s="1"/>
  <c r="B1496" i="25"/>
  <c r="C1496" i="25" s="1"/>
  <c r="B1497" i="25"/>
  <c r="C1497" i="25" s="1"/>
  <c r="B1498" i="25"/>
  <c r="C1498" i="25" s="1"/>
  <c r="B1499" i="25"/>
  <c r="C1499" i="25" s="1"/>
  <c r="B1500" i="25"/>
  <c r="C1500" i="25" s="1"/>
  <c r="B1501" i="25"/>
  <c r="C1501" i="25" s="1"/>
  <c r="B1502" i="25"/>
  <c r="C1502" i="25" s="1"/>
  <c r="B1503" i="25"/>
  <c r="C1503" i="25" s="1"/>
  <c r="B1504" i="25"/>
  <c r="C1504" i="25" s="1"/>
  <c r="B1505" i="25"/>
  <c r="C1505" i="25" s="1"/>
  <c r="B1506" i="25"/>
  <c r="C1506" i="25" s="1"/>
  <c r="B1507" i="25"/>
  <c r="C1507" i="25" s="1"/>
  <c r="B1508" i="25"/>
  <c r="C1508" i="25" s="1"/>
  <c r="B1509" i="25"/>
  <c r="C1509" i="25" s="1"/>
  <c r="B1510" i="25"/>
  <c r="C1510" i="25" s="1"/>
  <c r="B1511" i="25"/>
  <c r="C1511" i="25" s="1"/>
  <c r="B1512" i="25"/>
  <c r="C1512" i="25" s="1"/>
  <c r="B1513" i="25"/>
  <c r="C1513" i="25" s="1"/>
  <c r="B1514" i="25"/>
  <c r="C1514" i="25" s="1"/>
  <c r="B1515" i="25"/>
  <c r="C1515" i="25" s="1"/>
  <c r="B1516" i="25"/>
  <c r="C1516" i="25" s="1"/>
  <c r="B1517" i="25"/>
  <c r="C1517" i="25" s="1"/>
  <c r="B1518" i="25"/>
  <c r="C1518" i="25" s="1"/>
  <c r="B1519" i="25"/>
  <c r="C1519" i="25" s="1"/>
  <c r="B1520" i="25"/>
  <c r="C1520" i="25" s="1"/>
  <c r="B1521" i="25"/>
  <c r="C1521" i="25" s="1"/>
  <c r="B1522" i="25"/>
  <c r="C1522" i="25" s="1"/>
  <c r="B1523" i="25"/>
  <c r="C1523" i="25" s="1"/>
  <c r="B1524" i="25"/>
  <c r="C1524" i="25" s="1"/>
  <c r="B1525" i="25"/>
  <c r="C1525" i="25" s="1"/>
  <c r="B1526" i="25"/>
  <c r="C1526" i="25" s="1"/>
  <c r="B1527" i="25"/>
  <c r="C1527" i="25" s="1"/>
  <c r="B1528" i="25"/>
  <c r="C1528" i="25" s="1"/>
  <c r="B1529" i="25"/>
  <c r="C1529" i="25" s="1"/>
  <c r="B1530" i="25"/>
  <c r="C1530" i="25" s="1"/>
  <c r="B1531" i="25"/>
  <c r="C1531" i="25" s="1"/>
  <c r="B1532" i="25"/>
  <c r="C1532" i="25" s="1"/>
  <c r="B1533" i="25"/>
  <c r="C1533" i="25" s="1"/>
  <c r="B1534" i="25"/>
  <c r="C1534" i="25" s="1"/>
  <c r="B1535" i="25"/>
  <c r="C1535" i="25" s="1"/>
  <c r="B1536" i="25"/>
  <c r="C1536" i="25" s="1"/>
  <c r="B1537" i="25"/>
  <c r="C1537" i="25" s="1"/>
  <c r="B1538" i="25"/>
  <c r="C1538" i="25" s="1"/>
  <c r="B1539" i="25"/>
  <c r="C1539" i="25" s="1"/>
  <c r="B1540" i="25"/>
  <c r="C1540" i="25" s="1"/>
  <c r="B1541" i="25"/>
  <c r="C1541" i="25" s="1"/>
  <c r="B1542" i="25"/>
  <c r="C1542" i="25" s="1"/>
  <c r="B1543" i="25"/>
  <c r="C1543" i="25" s="1"/>
  <c r="B1544" i="25"/>
  <c r="C1544" i="25" s="1"/>
  <c r="B1545" i="25"/>
  <c r="C1545" i="25" s="1"/>
  <c r="B1546" i="25"/>
  <c r="C1546" i="25" s="1"/>
  <c r="B1547" i="25"/>
  <c r="C1547" i="25" s="1"/>
  <c r="B1548" i="25"/>
  <c r="C1548" i="25" s="1"/>
  <c r="B1549" i="25"/>
  <c r="C1549" i="25" s="1"/>
  <c r="B1550" i="25"/>
  <c r="C1550" i="25" s="1"/>
  <c r="B1551" i="25"/>
  <c r="C1551" i="25" s="1"/>
  <c r="B1552" i="25"/>
  <c r="C1552" i="25" s="1"/>
  <c r="B1553" i="25"/>
  <c r="C1553" i="25" s="1"/>
  <c r="B1554" i="25"/>
  <c r="C1554" i="25" s="1"/>
  <c r="B1555" i="25"/>
  <c r="C1555" i="25" s="1"/>
  <c r="B1556" i="25"/>
  <c r="C1556" i="25" s="1"/>
  <c r="B1557" i="25"/>
  <c r="C1557" i="25" s="1"/>
  <c r="B1558" i="25"/>
  <c r="C1558" i="25" s="1"/>
  <c r="B1559" i="25"/>
  <c r="C1559" i="25" s="1"/>
  <c r="B1560" i="25"/>
  <c r="C1560" i="25" s="1"/>
  <c r="B1561" i="25"/>
  <c r="C1561" i="25" s="1"/>
  <c r="B1562" i="25"/>
  <c r="C1562" i="25" s="1"/>
  <c r="B1563" i="25"/>
  <c r="C1563" i="25" s="1"/>
  <c r="B1564" i="25"/>
  <c r="C1564" i="25" s="1"/>
  <c r="B1565" i="25"/>
  <c r="C1565" i="25" s="1"/>
  <c r="B1566" i="25"/>
  <c r="C1566" i="25" s="1"/>
  <c r="B1567" i="25"/>
  <c r="C1567" i="25" s="1"/>
  <c r="B1568" i="25"/>
  <c r="C1568" i="25" s="1"/>
  <c r="B1569" i="25"/>
  <c r="C1569" i="25" s="1"/>
  <c r="B1570" i="25"/>
  <c r="C1570" i="25" s="1"/>
  <c r="B1571" i="25"/>
  <c r="C1571" i="25" s="1"/>
  <c r="B1572" i="25"/>
  <c r="C1572" i="25" s="1"/>
  <c r="B1573" i="25"/>
  <c r="C1573" i="25" s="1"/>
  <c r="B1574" i="25"/>
  <c r="C1574" i="25" s="1"/>
  <c r="B1575" i="25"/>
  <c r="C1575" i="25" s="1"/>
  <c r="B1576" i="25"/>
  <c r="C1576" i="25" s="1"/>
  <c r="B1577" i="25"/>
  <c r="C1577" i="25" s="1"/>
  <c r="B1578" i="25"/>
  <c r="C1578" i="25" s="1"/>
  <c r="B1579" i="25"/>
  <c r="C1579" i="25" s="1"/>
  <c r="B1580" i="25"/>
  <c r="C1580" i="25" s="1"/>
  <c r="B1581" i="25"/>
  <c r="C1581" i="25" s="1"/>
  <c r="B1582" i="25"/>
  <c r="C1582" i="25" s="1"/>
  <c r="B1583" i="25"/>
  <c r="C1583" i="25" s="1"/>
  <c r="B1584" i="25"/>
  <c r="C1584" i="25" s="1"/>
  <c r="B1585" i="25"/>
  <c r="C1585" i="25" s="1"/>
  <c r="B1586" i="25"/>
  <c r="C1586" i="25" s="1"/>
  <c r="B1587" i="25"/>
  <c r="C1587" i="25" s="1"/>
  <c r="B1588" i="25"/>
  <c r="C1588" i="25" s="1"/>
  <c r="B1589" i="25"/>
  <c r="C1589" i="25" s="1"/>
  <c r="B1590" i="25"/>
  <c r="C1590" i="25" s="1"/>
  <c r="B1591" i="25"/>
  <c r="C1591" i="25" s="1"/>
  <c r="B1592" i="25"/>
  <c r="C1592" i="25" s="1"/>
  <c r="B1593" i="25"/>
  <c r="C1593" i="25" s="1"/>
  <c r="B1594" i="25"/>
  <c r="C1594" i="25" s="1"/>
  <c r="B1595" i="25"/>
  <c r="C1595" i="25" s="1"/>
  <c r="B1596" i="25"/>
  <c r="C1596" i="25" s="1"/>
  <c r="B1597" i="25"/>
  <c r="C1597" i="25" s="1"/>
  <c r="B1598" i="25"/>
  <c r="C1598" i="25" s="1"/>
  <c r="B1599" i="25"/>
  <c r="C1599" i="25" s="1"/>
  <c r="B1600" i="25"/>
  <c r="C1600" i="25" s="1"/>
  <c r="B1601" i="25"/>
  <c r="C1601" i="25" s="1"/>
  <c r="B1602" i="25"/>
  <c r="C1602" i="25" s="1"/>
  <c r="B1603" i="25"/>
  <c r="C1603" i="25" s="1"/>
  <c r="B1604" i="25"/>
  <c r="C1604" i="25" s="1"/>
  <c r="B1605" i="25"/>
  <c r="C1605" i="25" s="1"/>
  <c r="B1606" i="25"/>
  <c r="C1606" i="25" s="1"/>
  <c r="B1607" i="25"/>
  <c r="C1607" i="25" s="1"/>
  <c r="B1608" i="25"/>
  <c r="C1608" i="25" s="1"/>
  <c r="B1609" i="25"/>
  <c r="C1609" i="25" s="1"/>
  <c r="B1610" i="25"/>
  <c r="C1610" i="25" s="1"/>
  <c r="B1611" i="25"/>
  <c r="C1611" i="25" s="1"/>
  <c r="B1612" i="25"/>
  <c r="C1612" i="25" s="1"/>
  <c r="B1613" i="25"/>
  <c r="C1613" i="25" s="1"/>
  <c r="B1614" i="25"/>
  <c r="C1614" i="25" s="1"/>
  <c r="B1615" i="25"/>
  <c r="C1615" i="25" s="1"/>
  <c r="B1616" i="25"/>
  <c r="C1616" i="25" s="1"/>
  <c r="B1617" i="25"/>
  <c r="C1617" i="25" s="1"/>
  <c r="B1618" i="25"/>
  <c r="C1618" i="25" s="1"/>
  <c r="B1619" i="25"/>
  <c r="C1619" i="25" s="1"/>
  <c r="B1620" i="25"/>
  <c r="C1620" i="25" s="1"/>
  <c r="B1621" i="25"/>
  <c r="C1621" i="25" s="1"/>
  <c r="B1622" i="25"/>
  <c r="C1622" i="25" s="1"/>
  <c r="B1623" i="25"/>
  <c r="C1623" i="25" s="1"/>
  <c r="B1624" i="25"/>
  <c r="C1624" i="25" s="1"/>
  <c r="B1625" i="25"/>
  <c r="C1625" i="25" s="1"/>
  <c r="B1626" i="25"/>
  <c r="C1626" i="25" s="1"/>
  <c r="B1627" i="25"/>
  <c r="C1627" i="25" s="1"/>
  <c r="B1628" i="25"/>
  <c r="C1628" i="25" s="1"/>
  <c r="B1629" i="25"/>
  <c r="C1629" i="25" s="1"/>
  <c r="B1630" i="25"/>
  <c r="C1630" i="25" s="1"/>
  <c r="B1631" i="25"/>
  <c r="C1631" i="25" s="1"/>
  <c r="B1632" i="25"/>
  <c r="C1632" i="25" s="1"/>
  <c r="B1633" i="25"/>
  <c r="C1633" i="25" s="1"/>
  <c r="B1634" i="25"/>
  <c r="C1634" i="25" s="1"/>
  <c r="B1635" i="25"/>
  <c r="C1635" i="25" s="1"/>
  <c r="B1636" i="25"/>
  <c r="C1636" i="25" s="1"/>
  <c r="B1637" i="25"/>
  <c r="C1637" i="25" s="1"/>
  <c r="B1638" i="25"/>
  <c r="C1638" i="25" s="1"/>
  <c r="B1639" i="25"/>
  <c r="C1639" i="25" s="1"/>
  <c r="B1640" i="25"/>
  <c r="C1640" i="25" s="1"/>
  <c r="B1641" i="25"/>
  <c r="C1641" i="25" s="1"/>
  <c r="B1642" i="25"/>
  <c r="C1642" i="25" s="1"/>
  <c r="B1643" i="25"/>
  <c r="C1643" i="25" s="1"/>
  <c r="B1644" i="25"/>
  <c r="C1644" i="25" s="1"/>
  <c r="B1645" i="25"/>
  <c r="C1645" i="25" s="1"/>
  <c r="B1646" i="25"/>
  <c r="C1646" i="25" s="1"/>
  <c r="B1647" i="25"/>
  <c r="C1647" i="25" s="1"/>
  <c r="B1648" i="25"/>
  <c r="C1648" i="25" s="1"/>
  <c r="B1649" i="25"/>
  <c r="C1649" i="25" s="1"/>
  <c r="B1650" i="25"/>
  <c r="C1650" i="25" s="1"/>
  <c r="B1651" i="25"/>
  <c r="C1651" i="25" s="1"/>
  <c r="B1652" i="25"/>
  <c r="C1652" i="25" s="1"/>
  <c r="B1653" i="25"/>
  <c r="C1653" i="25" s="1"/>
  <c r="B1654" i="25"/>
  <c r="C1654" i="25" s="1"/>
  <c r="B1655" i="25"/>
  <c r="C1655" i="25" s="1"/>
  <c r="B1656" i="25"/>
  <c r="C1656" i="25" s="1"/>
  <c r="B1657" i="25"/>
  <c r="C1657" i="25" s="1"/>
  <c r="B1658" i="25"/>
  <c r="C1658" i="25" s="1"/>
  <c r="B1659" i="25"/>
  <c r="C1659" i="25" s="1"/>
  <c r="B1660" i="25"/>
  <c r="C1660" i="25" s="1"/>
  <c r="B1661" i="25"/>
  <c r="C1661" i="25" s="1"/>
  <c r="B1662" i="25"/>
  <c r="C1662" i="25" s="1"/>
  <c r="B1663" i="25"/>
  <c r="C1663" i="25" s="1"/>
  <c r="B1664" i="25"/>
  <c r="C1664" i="25" s="1"/>
  <c r="B1665" i="25"/>
  <c r="C1665" i="25" s="1"/>
  <c r="B1666" i="25"/>
  <c r="C1666" i="25" s="1"/>
  <c r="B1667" i="25"/>
  <c r="C1667" i="25" s="1"/>
  <c r="B1668" i="25"/>
  <c r="C1668" i="25" s="1"/>
  <c r="B1669" i="25"/>
  <c r="C1669" i="25" s="1"/>
  <c r="B1670" i="25"/>
  <c r="C1670" i="25" s="1"/>
  <c r="B1671" i="25"/>
  <c r="C1671" i="25" s="1"/>
  <c r="B1672" i="25"/>
  <c r="C1672" i="25" s="1"/>
  <c r="B1673" i="25"/>
  <c r="C1673" i="25" s="1"/>
  <c r="B1674" i="25"/>
  <c r="C1674" i="25" s="1"/>
  <c r="B1675" i="25"/>
  <c r="C1675" i="25" s="1"/>
  <c r="B1676" i="25"/>
  <c r="C1676" i="25" s="1"/>
  <c r="B1677" i="25"/>
  <c r="C1677" i="25" s="1"/>
  <c r="B1678" i="25"/>
  <c r="C1678" i="25" s="1"/>
  <c r="B1679" i="25"/>
  <c r="C1679" i="25" s="1"/>
  <c r="B1680" i="25"/>
  <c r="C1680" i="25" s="1"/>
  <c r="B1681" i="25"/>
  <c r="C1681" i="25" s="1"/>
  <c r="B1682" i="25"/>
  <c r="C1682" i="25" s="1"/>
  <c r="B1683" i="25"/>
  <c r="C1683" i="25" s="1"/>
  <c r="B1684" i="25"/>
  <c r="C1684" i="25" s="1"/>
  <c r="B1685" i="25"/>
  <c r="C1685" i="25" s="1"/>
  <c r="B1686" i="25"/>
  <c r="C1686" i="25" s="1"/>
  <c r="B1687" i="25"/>
  <c r="C1687" i="25" s="1"/>
  <c r="B1688" i="25"/>
  <c r="C1688" i="25" s="1"/>
  <c r="B1689" i="25"/>
  <c r="C1689" i="25" s="1"/>
  <c r="B1690" i="25"/>
  <c r="C1690" i="25" s="1"/>
  <c r="B1691" i="25"/>
  <c r="C1691" i="25" s="1"/>
  <c r="B1692" i="25"/>
  <c r="C1692" i="25" s="1"/>
  <c r="B1693" i="25"/>
  <c r="C1693" i="25" s="1"/>
  <c r="B1694" i="25"/>
  <c r="C1694" i="25" s="1"/>
  <c r="B1695" i="25"/>
  <c r="C1695" i="25" s="1"/>
  <c r="B1696" i="25"/>
  <c r="C1696" i="25" s="1"/>
  <c r="B1697" i="25"/>
  <c r="C1697" i="25" s="1"/>
  <c r="B1698" i="25"/>
  <c r="C1698" i="25" s="1"/>
  <c r="B1699" i="25"/>
  <c r="C1699" i="25" s="1"/>
  <c r="B1700" i="25"/>
  <c r="C1700" i="25" s="1"/>
  <c r="B1701" i="25"/>
  <c r="C1701" i="25" s="1"/>
  <c r="B1702" i="25"/>
  <c r="C1702" i="25" s="1"/>
  <c r="B1703" i="25"/>
  <c r="C1703" i="25" s="1"/>
  <c r="B1704" i="25"/>
  <c r="C1704" i="25" s="1"/>
  <c r="B1705" i="25"/>
  <c r="C1705" i="25" s="1"/>
  <c r="B1706" i="25"/>
  <c r="C1706" i="25" s="1"/>
  <c r="B1707" i="25"/>
  <c r="C1707" i="25" s="1"/>
  <c r="B1708" i="25"/>
  <c r="C1708" i="25" s="1"/>
  <c r="B1709" i="25"/>
  <c r="C1709" i="25" s="1"/>
  <c r="B1710" i="25"/>
  <c r="C1710" i="25" s="1"/>
  <c r="B1711" i="25"/>
  <c r="C1711" i="25" s="1"/>
  <c r="B1712" i="25"/>
  <c r="C1712" i="25" s="1"/>
  <c r="B1713" i="25"/>
  <c r="C1713" i="25" s="1"/>
  <c r="B1714" i="25"/>
  <c r="C1714" i="25" s="1"/>
  <c r="B1715" i="25"/>
  <c r="C1715" i="25" s="1"/>
  <c r="B1716" i="25"/>
  <c r="C1716" i="25" s="1"/>
  <c r="B1717" i="25"/>
  <c r="C1717" i="25" s="1"/>
  <c r="B1718" i="25"/>
  <c r="C1718" i="25" s="1"/>
  <c r="B1719" i="25"/>
  <c r="C1719" i="25" s="1"/>
  <c r="B1720" i="25"/>
  <c r="C1720" i="25" s="1"/>
  <c r="B1721" i="25"/>
  <c r="C1721" i="25" s="1"/>
  <c r="B1722" i="25"/>
  <c r="C1722" i="25" s="1"/>
  <c r="B1723" i="25"/>
  <c r="C1723" i="25" s="1"/>
  <c r="B1724" i="25"/>
  <c r="C1724" i="25" s="1"/>
  <c r="B1725" i="25"/>
  <c r="C1725" i="25" s="1"/>
  <c r="B1726" i="25"/>
  <c r="C1726" i="25" s="1"/>
  <c r="B1727" i="25"/>
  <c r="C1727" i="25" s="1"/>
  <c r="B1728" i="25"/>
  <c r="C1728" i="25" s="1"/>
  <c r="B1729" i="25"/>
  <c r="C1729" i="25" s="1"/>
  <c r="B1730" i="25"/>
  <c r="C1730" i="25" s="1"/>
  <c r="B1731" i="25"/>
  <c r="C1731" i="25" s="1"/>
  <c r="B1732" i="25"/>
  <c r="C1732" i="25" s="1"/>
  <c r="B1733" i="25"/>
  <c r="C1733" i="25" s="1"/>
  <c r="B1734" i="25"/>
  <c r="C1734" i="25" s="1"/>
  <c r="B1735" i="25"/>
  <c r="C1735" i="25" s="1"/>
  <c r="B1736" i="25"/>
  <c r="C1736" i="25" s="1"/>
  <c r="B1737" i="25"/>
  <c r="C1737" i="25" s="1"/>
  <c r="B1738" i="25"/>
  <c r="C1738" i="25" s="1"/>
  <c r="B1739" i="25"/>
  <c r="C1739" i="25" s="1"/>
  <c r="B1740" i="25"/>
  <c r="C1740" i="25" s="1"/>
  <c r="B1741" i="25"/>
  <c r="C1741" i="25" s="1"/>
  <c r="B1742" i="25"/>
  <c r="C1742" i="25" s="1"/>
  <c r="B1743" i="25"/>
  <c r="C1743" i="25" s="1"/>
  <c r="B1744" i="25"/>
  <c r="C1744" i="25" s="1"/>
  <c r="B1745" i="25"/>
  <c r="C1745" i="25" s="1"/>
  <c r="B1746" i="25"/>
  <c r="C1746" i="25" s="1"/>
  <c r="B1747" i="25"/>
  <c r="C1747" i="25" s="1"/>
  <c r="B1748" i="25"/>
  <c r="C1748" i="25" s="1"/>
  <c r="B1749" i="25"/>
  <c r="C1749" i="25" s="1"/>
  <c r="B1750" i="25"/>
  <c r="C1750" i="25" s="1"/>
  <c r="B1751" i="25"/>
  <c r="C1751" i="25" s="1"/>
  <c r="B1752" i="25"/>
  <c r="C1752" i="25" s="1"/>
  <c r="B1753" i="25"/>
  <c r="C1753" i="25" s="1"/>
  <c r="B1754" i="25"/>
  <c r="C1754" i="25" s="1"/>
  <c r="B1755" i="25"/>
  <c r="C1755" i="25" s="1"/>
  <c r="B1756" i="25"/>
  <c r="C1756" i="25" s="1"/>
  <c r="B1757" i="25"/>
  <c r="C1757" i="25" s="1"/>
  <c r="B1758" i="25"/>
  <c r="C1758" i="25" s="1"/>
  <c r="B1759" i="25"/>
  <c r="C1759" i="25" s="1"/>
  <c r="B1760" i="25"/>
  <c r="C1760" i="25" s="1"/>
  <c r="B1761" i="25"/>
  <c r="C1761" i="25" s="1"/>
  <c r="B1762" i="25"/>
  <c r="C1762" i="25" s="1"/>
  <c r="B1763" i="25"/>
  <c r="C1763" i="25" s="1"/>
  <c r="B1764" i="25"/>
  <c r="C1764" i="25" s="1"/>
  <c r="B1765" i="25"/>
  <c r="C1765" i="25" s="1"/>
  <c r="B1766" i="25"/>
  <c r="C1766" i="25" s="1"/>
  <c r="B1767" i="25"/>
  <c r="C1767" i="25" s="1"/>
  <c r="B1768" i="25"/>
  <c r="C1768" i="25" s="1"/>
  <c r="B1769" i="25"/>
  <c r="C1769" i="25" s="1"/>
  <c r="B1770" i="25"/>
  <c r="C1770" i="25" s="1"/>
  <c r="B1771" i="25"/>
  <c r="C1771" i="25" s="1"/>
  <c r="B1772" i="25"/>
  <c r="C1772" i="25" s="1"/>
  <c r="B1773" i="25"/>
  <c r="C1773" i="25" s="1"/>
  <c r="B1774" i="25"/>
  <c r="C1774" i="25" s="1"/>
  <c r="B1775" i="25"/>
  <c r="C1775" i="25" s="1"/>
  <c r="B1776" i="25"/>
  <c r="C1776" i="25" s="1"/>
  <c r="B1777" i="25"/>
  <c r="C1777" i="25" s="1"/>
  <c r="B1778" i="25"/>
  <c r="C1778" i="25" s="1"/>
  <c r="B1779" i="25"/>
  <c r="C1779" i="25" s="1"/>
  <c r="B1780" i="25"/>
  <c r="C1780" i="25" s="1"/>
  <c r="B1781" i="25"/>
  <c r="C1781" i="25" s="1"/>
  <c r="B1782" i="25"/>
  <c r="C1782" i="25" s="1"/>
  <c r="B1783" i="25"/>
  <c r="C1783" i="25" s="1"/>
  <c r="B1784" i="25"/>
  <c r="C1784" i="25" s="1"/>
  <c r="B1785" i="25"/>
  <c r="C1785" i="25" s="1"/>
  <c r="B1786" i="25"/>
  <c r="C1786" i="25" s="1"/>
  <c r="B1787" i="25"/>
  <c r="C1787" i="25" s="1"/>
  <c r="B1788" i="25"/>
  <c r="C1788" i="25" s="1"/>
  <c r="B1789" i="25"/>
  <c r="C1789" i="25" s="1"/>
  <c r="B1790" i="25"/>
  <c r="C1790" i="25" s="1"/>
  <c r="B1791" i="25"/>
  <c r="C1791" i="25" s="1"/>
  <c r="B1792" i="25"/>
  <c r="C1792" i="25" s="1"/>
  <c r="B1793" i="25"/>
  <c r="C1793" i="25" s="1"/>
  <c r="B1794" i="25"/>
  <c r="C1794" i="25" s="1"/>
  <c r="B1795" i="25"/>
  <c r="C1795" i="25" s="1"/>
  <c r="B1796" i="25"/>
  <c r="C1796" i="25" s="1"/>
  <c r="B1797" i="25"/>
  <c r="C1797" i="25" s="1"/>
  <c r="B1798" i="25"/>
  <c r="C1798" i="25" s="1"/>
  <c r="B1799" i="25"/>
  <c r="C1799" i="25" s="1"/>
  <c r="B1800" i="25"/>
  <c r="C1800" i="25" s="1"/>
  <c r="B1801" i="25"/>
  <c r="C1801" i="25" s="1"/>
  <c r="B1802" i="25"/>
  <c r="C1802" i="25" s="1"/>
  <c r="B1803" i="25"/>
  <c r="C1803" i="25" s="1"/>
  <c r="B1804" i="25"/>
  <c r="C1804" i="25" s="1"/>
  <c r="B1805" i="25"/>
  <c r="C1805" i="25" s="1"/>
  <c r="B1806" i="25"/>
  <c r="C1806" i="25" s="1"/>
  <c r="B1807" i="25"/>
  <c r="C1807" i="25" s="1"/>
  <c r="B1808" i="25"/>
  <c r="C1808" i="25" s="1"/>
  <c r="B1809" i="25"/>
  <c r="C1809" i="25" s="1"/>
  <c r="B1810" i="25"/>
  <c r="C1810" i="25" s="1"/>
  <c r="B1811" i="25"/>
  <c r="C1811" i="25" s="1"/>
  <c r="B1812" i="25"/>
  <c r="C1812" i="25" s="1"/>
  <c r="B1813" i="25"/>
  <c r="C1813" i="25" s="1"/>
  <c r="B1814" i="25"/>
  <c r="C1814" i="25" s="1"/>
  <c r="B1815" i="25"/>
  <c r="C1815" i="25" s="1"/>
  <c r="B1816" i="25"/>
  <c r="C1816" i="25" s="1"/>
  <c r="B1817" i="25"/>
  <c r="C1817" i="25" s="1"/>
  <c r="B1818" i="25"/>
  <c r="C1818" i="25" s="1"/>
  <c r="B1819" i="25"/>
  <c r="C1819" i="25" s="1"/>
  <c r="B1820" i="25"/>
  <c r="C1820" i="25" s="1"/>
  <c r="B1821" i="25"/>
  <c r="C1821" i="25" s="1"/>
  <c r="B1822" i="25"/>
  <c r="C1822" i="25" s="1"/>
  <c r="B1823" i="25"/>
  <c r="C1823" i="25" s="1"/>
  <c r="B1824" i="25"/>
  <c r="C1824" i="25" s="1"/>
  <c r="B1825" i="25"/>
  <c r="C1825" i="25" s="1"/>
  <c r="B1826" i="25"/>
  <c r="C1826" i="25" s="1"/>
  <c r="B1827" i="25"/>
  <c r="C1827" i="25" s="1"/>
  <c r="B1828" i="25"/>
  <c r="C1828" i="25" s="1"/>
  <c r="B1829" i="25"/>
  <c r="C1829" i="25" s="1"/>
  <c r="B1830" i="25"/>
  <c r="C1830" i="25" s="1"/>
  <c r="B1831" i="25"/>
  <c r="C1831" i="25" s="1"/>
  <c r="B1832" i="25"/>
  <c r="C1832" i="25" s="1"/>
  <c r="B1833" i="25"/>
  <c r="C1833" i="25" s="1"/>
  <c r="B1834" i="25"/>
  <c r="C1834" i="25" s="1"/>
  <c r="B1835" i="25"/>
  <c r="C1835" i="25" s="1"/>
  <c r="B1836" i="25"/>
  <c r="C1836" i="25" s="1"/>
  <c r="B1837" i="25"/>
  <c r="C1837" i="25" s="1"/>
  <c r="B1838" i="25"/>
  <c r="C1838" i="25" s="1"/>
  <c r="B1839" i="25"/>
  <c r="C1839" i="25" s="1"/>
  <c r="B1840" i="25"/>
  <c r="C1840" i="25" s="1"/>
  <c r="B1841" i="25"/>
  <c r="C1841" i="25" s="1"/>
  <c r="B1842" i="25"/>
  <c r="C1842" i="25" s="1"/>
  <c r="B1843" i="25"/>
  <c r="C1843" i="25" s="1"/>
  <c r="B1844" i="25"/>
  <c r="C1844" i="25" s="1"/>
  <c r="B1845" i="25"/>
  <c r="C1845" i="25" s="1"/>
  <c r="B1846" i="25"/>
  <c r="C1846" i="25" s="1"/>
  <c r="B1847" i="25"/>
  <c r="C1847" i="25" s="1"/>
  <c r="B1848" i="25"/>
  <c r="C1848" i="25" s="1"/>
  <c r="B1849" i="25"/>
  <c r="C1849" i="25" s="1"/>
  <c r="B1850" i="25"/>
  <c r="C1850" i="25" s="1"/>
  <c r="B1851" i="25"/>
  <c r="C1851" i="25" s="1"/>
  <c r="B1852" i="25"/>
  <c r="C1852" i="25" s="1"/>
  <c r="B1853" i="25"/>
  <c r="C1853" i="25" s="1"/>
  <c r="B1854" i="25"/>
  <c r="C1854" i="25" s="1"/>
  <c r="B1855" i="25"/>
  <c r="C1855" i="25" s="1"/>
  <c r="B1856" i="25"/>
  <c r="C1856" i="25" s="1"/>
  <c r="B1857" i="25"/>
  <c r="C1857" i="25" s="1"/>
  <c r="B1858" i="25"/>
  <c r="C1858" i="25" s="1"/>
  <c r="B1859" i="25"/>
  <c r="C1859" i="25" s="1"/>
  <c r="B1860" i="25"/>
  <c r="C1860" i="25" s="1"/>
  <c r="B1861" i="25"/>
  <c r="C1861" i="25" s="1"/>
  <c r="B1862" i="25"/>
  <c r="C1862" i="25" s="1"/>
  <c r="B1863" i="25"/>
  <c r="C1863" i="25" s="1"/>
  <c r="B1864" i="25"/>
  <c r="C1864" i="25" s="1"/>
  <c r="B1865" i="25"/>
  <c r="C1865" i="25" s="1"/>
  <c r="B1866" i="25"/>
  <c r="C1866" i="25" s="1"/>
  <c r="B1867" i="25"/>
  <c r="C1867" i="25" s="1"/>
  <c r="B1868" i="25"/>
  <c r="C1868" i="25" s="1"/>
  <c r="B1869" i="25"/>
  <c r="C1869" i="25" s="1"/>
  <c r="B1870" i="25"/>
  <c r="C1870" i="25" s="1"/>
  <c r="B1871" i="25"/>
  <c r="C1871" i="25" s="1"/>
  <c r="B1872" i="25"/>
  <c r="C1872" i="25" s="1"/>
  <c r="B1873" i="25"/>
  <c r="C1873" i="25" s="1"/>
  <c r="B1874" i="25"/>
  <c r="C1874" i="25" s="1"/>
  <c r="B1875" i="25"/>
  <c r="C1875" i="25" s="1"/>
  <c r="B1876" i="25"/>
  <c r="C1876" i="25" s="1"/>
  <c r="B1877" i="25"/>
  <c r="C1877" i="25" s="1"/>
  <c r="B1878" i="25"/>
  <c r="C1878" i="25" s="1"/>
  <c r="B1879" i="25"/>
  <c r="C1879" i="25" s="1"/>
  <c r="B1880" i="25"/>
  <c r="C1880" i="25" s="1"/>
  <c r="B1881" i="25"/>
  <c r="C1881" i="25" s="1"/>
  <c r="B1882" i="25"/>
  <c r="C1882" i="25" s="1"/>
  <c r="B1883" i="25"/>
  <c r="C1883" i="25" s="1"/>
  <c r="B1884" i="25"/>
  <c r="C1884" i="25" s="1"/>
  <c r="B1885" i="25"/>
  <c r="C1885" i="25" s="1"/>
  <c r="B1886" i="25"/>
  <c r="C1886" i="25" s="1"/>
  <c r="B1887" i="25"/>
  <c r="C1887" i="25" s="1"/>
  <c r="B1888" i="25"/>
  <c r="C1888" i="25" s="1"/>
  <c r="B1889" i="25"/>
  <c r="C1889" i="25" s="1"/>
  <c r="B1890" i="25"/>
  <c r="C1890" i="25" s="1"/>
  <c r="B1891" i="25"/>
  <c r="C1891" i="25" s="1"/>
  <c r="B1892" i="25"/>
  <c r="C1892" i="25" s="1"/>
  <c r="B1893" i="25"/>
  <c r="C1893" i="25" s="1"/>
  <c r="B1894" i="25"/>
  <c r="C1894" i="25" s="1"/>
  <c r="B1895" i="25"/>
  <c r="C1895" i="25" s="1"/>
  <c r="B1896" i="25"/>
  <c r="C1896" i="25" s="1"/>
  <c r="B1897" i="25"/>
  <c r="C1897" i="25" s="1"/>
  <c r="B1898" i="25"/>
  <c r="C1898" i="25" s="1"/>
  <c r="B1899" i="25"/>
  <c r="C1899" i="25" s="1"/>
  <c r="B1900" i="25"/>
  <c r="C1900" i="25" s="1"/>
  <c r="B1901" i="25"/>
  <c r="C1901" i="25" s="1"/>
  <c r="B1902" i="25"/>
  <c r="C1902" i="25" s="1"/>
  <c r="B1903" i="25"/>
  <c r="C1903" i="25" s="1"/>
  <c r="B1904" i="25"/>
  <c r="C1904" i="25" s="1"/>
  <c r="B1905" i="25"/>
  <c r="C1905" i="25" s="1"/>
  <c r="B1906" i="25"/>
  <c r="C1906" i="25" s="1"/>
  <c r="B1907" i="25"/>
  <c r="C1907" i="25" s="1"/>
  <c r="B1908" i="25"/>
  <c r="C1908" i="25" s="1"/>
  <c r="B1909" i="25"/>
  <c r="C1909" i="25" s="1"/>
  <c r="B1910" i="25"/>
  <c r="C1910" i="25" s="1"/>
  <c r="B1911" i="25"/>
  <c r="C1911" i="25" s="1"/>
  <c r="B1912" i="25"/>
  <c r="C1912" i="25" s="1"/>
  <c r="B1913" i="25"/>
  <c r="C1913" i="25" s="1"/>
  <c r="B1914" i="25"/>
  <c r="C1914" i="25" s="1"/>
  <c r="B1915" i="25"/>
  <c r="C1915" i="25" s="1"/>
  <c r="B1916" i="25"/>
  <c r="C1916" i="25" s="1"/>
  <c r="B1917" i="25"/>
  <c r="C1917" i="25" s="1"/>
  <c r="B1918" i="25"/>
  <c r="C1918" i="25" s="1"/>
  <c r="B1919" i="25"/>
  <c r="C1919" i="25" s="1"/>
  <c r="B1920" i="25"/>
  <c r="C1920" i="25" s="1"/>
  <c r="B1921" i="25"/>
  <c r="C1921" i="25" s="1"/>
  <c r="B1922" i="25"/>
  <c r="C1922" i="25" s="1"/>
  <c r="B1923" i="25"/>
  <c r="C1923" i="25" s="1"/>
  <c r="B1924" i="25"/>
  <c r="C1924" i="25" s="1"/>
  <c r="B1925" i="25"/>
  <c r="C1925" i="25" s="1"/>
  <c r="B1926" i="25"/>
  <c r="C1926" i="25" s="1"/>
  <c r="B1927" i="25"/>
  <c r="C1927" i="25" s="1"/>
  <c r="B1928" i="25"/>
  <c r="C1928" i="25" s="1"/>
  <c r="B1929" i="25"/>
  <c r="C1929" i="25" s="1"/>
  <c r="B1930" i="25"/>
  <c r="C1930" i="25" s="1"/>
  <c r="B1931" i="25"/>
  <c r="C1931" i="25" s="1"/>
  <c r="B1932" i="25"/>
  <c r="C1932" i="25" s="1"/>
  <c r="B1933" i="25"/>
  <c r="C1933" i="25" s="1"/>
  <c r="B1934" i="25"/>
  <c r="C1934" i="25" s="1"/>
  <c r="B1935" i="25"/>
  <c r="C1935" i="25" s="1"/>
  <c r="B1936" i="25"/>
  <c r="C1936" i="25" s="1"/>
  <c r="B1937" i="25"/>
  <c r="C1937" i="25" s="1"/>
  <c r="B1938" i="25"/>
  <c r="C1938" i="25" s="1"/>
  <c r="B1939" i="25"/>
  <c r="C1939" i="25" s="1"/>
  <c r="B1940" i="25"/>
  <c r="C1940" i="25" s="1"/>
  <c r="B1941" i="25"/>
  <c r="C1941" i="25" s="1"/>
  <c r="B1942" i="25"/>
  <c r="C1942" i="25" s="1"/>
  <c r="B1943" i="25"/>
  <c r="C1943" i="25" s="1"/>
  <c r="B1944" i="25"/>
  <c r="C1944" i="25" s="1"/>
  <c r="B1945" i="25"/>
  <c r="C1945" i="25" s="1"/>
  <c r="B1946" i="25"/>
  <c r="C1946" i="25" s="1"/>
  <c r="B1947" i="25"/>
  <c r="C1947" i="25" s="1"/>
  <c r="B1948" i="25"/>
  <c r="C1948" i="25" s="1"/>
  <c r="B1949" i="25"/>
  <c r="C1949" i="25" s="1"/>
  <c r="B1950" i="25"/>
  <c r="C1950" i="25" s="1"/>
  <c r="B1951" i="25"/>
  <c r="C1951" i="25" s="1"/>
  <c r="B1952" i="25"/>
  <c r="C1952" i="25" s="1"/>
  <c r="B1953" i="25"/>
  <c r="C1953" i="25" s="1"/>
  <c r="B1954" i="25"/>
  <c r="C1954" i="25" s="1"/>
  <c r="B1955" i="25"/>
  <c r="C1955" i="25" s="1"/>
  <c r="B1956" i="25"/>
  <c r="C1956" i="25" s="1"/>
  <c r="B1957" i="25"/>
  <c r="C1957" i="25" s="1"/>
  <c r="B1958" i="25"/>
  <c r="C1958" i="25" s="1"/>
  <c r="B1959" i="25"/>
  <c r="C1959" i="25" s="1"/>
  <c r="B1960" i="25"/>
  <c r="C1960" i="25" s="1"/>
  <c r="B1961" i="25"/>
  <c r="C1961" i="25" s="1"/>
  <c r="B1962" i="25"/>
  <c r="C1962" i="25" s="1"/>
  <c r="B1963" i="25"/>
  <c r="C1963" i="25" s="1"/>
  <c r="B1964" i="25"/>
  <c r="C1964" i="25" s="1"/>
  <c r="B1965" i="25"/>
  <c r="C1965" i="25" s="1"/>
  <c r="B1966" i="25"/>
  <c r="C1966" i="25" s="1"/>
  <c r="B1967" i="25"/>
  <c r="C1967" i="25" s="1"/>
  <c r="B1968" i="25"/>
  <c r="C1968" i="25" s="1"/>
  <c r="B1969" i="25"/>
  <c r="C1969" i="25" s="1"/>
  <c r="B1970" i="25"/>
  <c r="C1970" i="25" s="1"/>
  <c r="B1971" i="25"/>
  <c r="C1971" i="25" s="1"/>
  <c r="B1972" i="25"/>
  <c r="C1972" i="25" s="1"/>
  <c r="B1973" i="25"/>
  <c r="C1973" i="25" s="1"/>
  <c r="B1974" i="25"/>
  <c r="C1974" i="25" s="1"/>
  <c r="B1975" i="25"/>
  <c r="C1975" i="25" s="1"/>
  <c r="B1976" i="25"/>
  <c r="C1976" i="25" s="1"/>
  <c r="B1977" i="25"/>
  <c r="C1977" i="25" s="1"/>
  <c r="B1978" i="25"/>
  <c r="C1978" i="25" s="1"/>
  <c r="B1979" i="25"/>
  <c r="C1979" i="25" s="1"/>
  <c r="B1980" i="25"/>
  <c r="C1980" i="25" s="1"/>
  <c r="B1981" i="25"/>
  <c r="C1981" i="25" s="1"/>
  <c r="B1982" i="25"/>
  <c r="C1982" i="25" s="1"/>
  <c r="B1983" i="25"/>
  <c r="C1983" i="25" s="1"/>
  <c r="B1984" i="25"/>
  <c r="C1984" i="25" s="1"/>
  <c r="B1985" i="25"/>
  <c r="C1985" i="25" s="1"/>
  <c r="B1986" i="25"/>
  <c r="C1986" i="25" s="1"/>
  <c r="B1987" i="25"/>
  <c r="C1987" i="25" s="1"/>
  <c r="B1988" i="25"/>
  <c r="C1988" i="25" s="1"/>
  <c r="B1989" i="25"/>
  <c r="C1989" i="25" s="1"/>
  <c r="B1990" i="25"/>
  <c r="C1990" i="25" s="1"/>
  <c r="B1991" i="25"/>
  <c r="C1991" i="25" s="1"/>
  <c r="B1992" i="25"/>
  <c r="C1992" i="25" s="1"/>
  <c r="B1993" i="25"/>
  <c r="C1993" i="25" s="1"/>
  <c r="B1994" i="25"/>
  <c r="C1994" i="25" s="1"/>
  <c r="B1995" i="25"/>
  <c r="C1995" i="25" s="1"/>
  <c r="B1996" i="25"/>
  <c r="C1996" i="25" s="1"/>
  <c r="B1997" i="25"/>
  <c r="C1997" i="25" s="1"/>
  <c r="B1998" i="25"/>
  <c r="C1998" i="25" s="1"/>
  <c r="B1999" i="25"/>
  <c r="C1999" i="25" s="1"/>
  <c r="B2000" i="25"/>
  <c r="C2000" i="25" s="1"/>
  <c r="B2001" i="25"/>
  <c r="C2001" i="25" s="1"/>
  <c r="B2002" i="25"/>
  <c r="C2002" i="25" s="1"/>
  <c r="B2003" i="25"/>
  <c r="C2003" i="25" s="1"/>
  <c r="B2004" i="25"/>
  <c r="C2004" i="25" s="1"/>
  <c r="B2005" i="25"/>
  <c r="C2005" i="25" s="1"/>
  <c r="B2006" i="25"/>
  <c r="C2006" i="25" s="1"/>
  <c r="B2007" i="25"/>
  <c r="C2007" i="25" s="1"/>
  <c r="B2008" i="25"/>
  <c r="C2008" i="25" s="1"/>
  <c r="B2009" i="25"/>
  <c r="C2009" i="25" s="1"/>
  <c r="B2010" i="25"/>
  <c r="C2010" i="25" s="1"/>
  <c r="AA2" i="13" a="1"/>
  <c r="AA4" i="13" a="1"/>
  <c r="AA5" i="13" a="1"/>
  <c r="AA6" i="13" a="1"/>
  <c r="AA7" i="13" a="1"/>
  <c r="AA8" i="13" a="1"/>
  <c r="AA9" i="13" a="1"/>
  <c r="AA10" i="13" a="1"/>
  <c r="AA11" i="13" a="1"/>
  <c r="AA12" i="13" a="1"/>
  <c r="AA13" i="13" a="1"/>
  <c r="AA14" i="13" a="1"/>
  <c r="AA15" i="13" a="1"/>
  <c r="AA16" i="13" a="1"/>
  <c r="AA17" i="13" a="1"/>
  <c r="AA18" i="13" a="1"/>
  <c r="AA19" i="13" a="1"/>
  <c r="AA20" i="13" a="1"/>
  <c r="AA21" i="13" a="1"/>
  <c r="AA22" i="13" a="1"/>
  <c r="AA23" i="13" a="1"/>
  <c r="AA24" i="13" a="1"/>
  <c r="AA25" i="13" a="1"/>
  <c r="AA26" i="13" a="1"/>
  <c r="AA27" i="13" a="1"/>
  <c r="AA28" i="13" a="1"/>
  <c r="AA29" i="13" a="1"/>
  <c r="AA30" i="13" a="1"/>
  <c r="AA31" i="13" a="1"/>
  <c r="AA32" i="13" a="1"/>
  <c r="AA33" i="13" a="1"/>
  <c r="AA34" i="13" a="1"/>
  <c r="AA35" i="13" a="1"/>
  <c r="AA36" i="13" a="1"/>
  <c r="AA37" i="13" a="1"/>
  <c r="AA38" i="13" a="1"/>
  <c r="AA39" i="13" a="1"/>
  <c r="AA40" i="13" a="1"/>
  <c r="AA41" i="13" a="1"/>
  <c r="AA42" i="13" a="1"/>
  <c r="AA43" i="13" a="1"/>
  <c r="AA44" i="13" a="1"/>
  <c r="AA45" i="13" a="1"/>
  <c r="AA46" i="13" a="1"/>
  <c r="AA47" i="13" a="1"/>
  <c r="AA48" i="13" a="1"/>
  <c r="AA49" i="13" a="1"/>
  <c r="AA50" i="13" a="1"/>
  <c r="AA51" i="13" a="1"/>
  <c r="AA52" i="13" a="1"/>
  <c r="AA53" i="13" a="1"/>
  <c r="AA54" i="13" a="1"/>
  <c r="AA55" i="13" a="1"/>
  <c r="AA56" i="13" a="1"/>
  <c r="AA57" i="13" a="1"/>
  <c r="AA58" i="13" a="1"/>
  <c r="AA59" i="13" a="1"/>
  <c r="AA60" i="13" a="1"/>
  <c r="AA61" i="13" a="1"/>
  <c r="AA62" i="13" a="1"/>
  <c r="AA63" i="13" a="1"/>
  <c r="AA64" i="13" a="1"/>
  <c r="AA65" i="13" a="1"/>
  <c r="AA66" i="13" a="1"/>
  <c r="AA67" i="13" a="1"/>
  <c r="AA68" i="13" a="1"/>
  <c r="AA69" i="13" a="1"/>
  <c r="AA70" i="13" a="1"/>
  <c r="AA71" i="13" a="1"/>
  <c r="AA72" i="13" a="1"/>
  <c r="AA73" i="13" a="1"/>
  <c r="AA74" i="13" a="1"/>
  <c r="AA75" i="13" a="1"/>
  <c r="AA76" i="13" a="1"/>
  <c r="AA77" i="13" a="1"/>
  <c r="AA78" i="13" a="1"/>
  <c r="AA79" i="13" a="1"/>
  <c r="AA80" i="13" a="1"/>
  <c r="AA81" i="13" a="1"/>
  <c r="AA82" i="13" a="1"/>
  <c r="AA83" i="13" a="1"/>
  <c r="AA84" i="13" a="1"/>
  <c r="AA85" i="13" a="1"/>
  <c r="AA86" i="13" a="1"/>
  <c r="AA87" i="13" a="1"/>
  <c r="AA88" i="13" a="1"/>
  <c r="AA89" i="13" a="1"/>
  <c r="AA90" i="13" a="1"/>
  <c r="AA91" i="13" a="1"/>
  <c r="AA92" i="13" a="1"/>
  <c r="AA93" i="13" a="1"/>
  <c r="AA94" i="13" a="1"/>
  <c r="AA95" i="13" a="1"/>
  <c r="AA96" i="13" a="1"/>
  <c r="AA97" i="13" a="1"/>
  <c r="AA98" i="13" a="1"/>
  <c r="AA99" i="13" a="1"/>
  <c r="AA100" i="13" a="1"/>
  <c r="AA101" i="13" a="1"/>
  <c r="AA102" i="13" a="1"/>
  <c r="AA103" i="13" a="1"/>
  <c r="AA104" i="13" a="1"/>
  <c r="AA105" i="13" a="1"/>
  <c r="AA106" i="13" a="1"/>
  <c r="AA107" i="13" a="1"/>
  <c r="AA108" i="13" a="1"/>
  <c r="AA109" i="13" a="1"/>
  <c r="AA110" i="13" a="1"/>
  <c r="AA111" i="13" a="1"/>
  <c r="AA112" i="13" a="1"/>
  <c r="AA113" i="13" a="1"/>
  <c r="AA114" i="13" a="1"/>
  <c r="AA115" i="13" a="1"/>
  <c r="AA116" i="13" a="1"/>
  <c r="AA117" i="13" a="1"/>
  <c r="AA118" i="13" a="1"/>
  <c r="AA119" i="13" a="1"/>
  <c r="AA120" i="13" a="1"/>
  <c r="AA121" i="13" a="1"/>
  <c r="AA122" i="13" a="1"/>
  <c r="AA123" i="13" a="1"/>
  <c r="AA124" i="13" a="1"/>
  <c r="AA125" i="13" a="1"/>
  <c r="AA126" i="13" a="1"/>
  <c r="AA127" i="13" a="1"/>
  <c r="AA128" i="13" a="1"/>
  <c r="AA129" i="13" a="1"/>
  <c r="AA130" i="13" a="1"/>
  <c r="AA131" i="13" a="1"/>
  <c r="AA132" i="13" a="1"/>
  <c r="AA133" i="13" a="1"/>
  <c r="AA134" i="13" a="1"/>
  <c r="AA135" i="13" a="1"/>
  <c r="AA136" i="13" a="1"/>
  <c r="AA137" i="13" a="1"/>
  <c r="AA138" i="13" a="1"/>
  <c r="AA139" i="13" a="1"/>
  <c r="AA140" i="13" a="1"/>
  <c r="AA141" i="13" a="1"/>
  <c r="AA142" i="13" a="1"/>
  <c r="AA143" i="13" a="1"/>
  <c r="AA144" i="13" a="1"/>
  <c r="AA145" i="13" a="1"/>
  <c r="AA146" i="13" a="1"/>
  <c r="AA147" i="13" a="1"/>
  <c r="AA148" i="13" a="1"/>
  <c r="AA149" i="13" a="1"/>
  <c r="AA150" i="13" a="1"/>
  <c r="AA151" i="13" a="1"/>
  <c r="AA152" i="13" a="1"/>
  <c r="AA153" i="13" a="1"/>
  <c r="AA154" i="13" a="1"/>
  <c r="AA155" i="13" a="1"/>
  <c r="AA156" i="13" a="1"/>
  <c r="AA157" i="13" a="1"/>
  <c r="AA158" i="13" a="1"/>
  <c r="AA159" i="13" a="1"/>
  <c r="AA160" i="13" a="1"/>
  <c r="AA161" i="13" a="1"/>
  <c r="AA162" i="13" a="1"/>
  <c r="AA163" i="13" a="1"/>
  <c r="AA164" i="13" a="1"/>
  <c r="AA165" i="13" a="1"/>
  <c r="AA166" i="13" a="1"/>
  <c r="AA167" i="13" a="1"/>
  <c r="AA168" i="13" a="1"/>
  <c r="AA169" i="13" a="1"/>
  <c r="AA170" i="13" a="1"/>
  <c r="AA171" i="13" a="1"/>
  <c r="AA172" i="13" a="1"/>
  <c r="AA173" i="13" a="1"/>
  <c r="AA174" i="13" a="1"/>
  <c r="AA175" i="13" a="1"/>
  <c r="AA176" i="13" a="1"/>
  <c r="AA177" i="13" a="1"/>
  <c r="AA178" i="13" a="1"/>
  <c r="AA179" i="13" a="1"/>
  <c r="AA180" i="13" a="1"/>
  <c r="AA181" i="13" a="1"/>
  <c r="AA182" i="13" a="1"/>
  <c r="AA183" i="13" a="1"/>
  <c r="AA184" i="13" a="1"/>
  <c r="AA185" i="13" a="1"/>
  <c r="AA186" i="13" a="1"/>
  <c r="AA187" i="13" a="1"/>
  <c r="AA188" i="13" a="1"/>
  <c r="AA189" i="13" a="1"/>
  <c r="AA190" i="13" a="1"/>
  <c r="AA191" i="13" a="1"/>
  <c r="AA192" i="13" a="1"/>
  <c r="AA193" i="13" a="1"/>
  <c r="AA194" i="13" a="1"/>
  <c r="AA195" i="13" a="1"/>
  <c r="AA196" i="13" a="1"/>
  <c r="AA197" i="13" a="1"/>
  <c r="AA198" i="13" a="1"/>
  <c r="AA199" i="13" a="1"/>
  <c r="AA200" i="13" a="1"/>
  <c r="AA201" i="13" a="1"/>
  <c r="AA202" i="13" a="1"/>
  <c r="AA203" i="13" a="1"/>
  <c r="AA204" i="13" a="1"/>
  <c r="AA205" i="13" a="1"/>
  <c r="AA206" i="13" a="1"/>
  <c r="AA207" i="13" a="1"/>
  <c r="AA208" i="13" a="1"/>
  <c r="AA209" i="13" a="1"/>
  <c r="AA210" i="13" a="1"/>
  <c r="AA211" i="13" a="1"/>
  <c r="AA212" i="13" a="1"/>
  <c r="AA213" i="13" a="1"/>
  <c r="AA214" i="13" a="1"/>
  <c r="AA215" i="13" a="1"/>
  <c r="AA216" i="13" a="1"/>
  <c r="AA217" i="13" a="1"/>
  <c r="AA218" i="13" a="1"/>
  <c r="AA219" i="13" a="1"/>
  <c r="AA220" i="13" a="1"/>
  <c r="AA221" i="13" a="1"/>
  <c r="AA222" i="13" a="1"/>
  <c r="AA223" i="13" a="1"/>
  <c r="AA224" i="13" a="1"/>
  <c r="AA225" i="13" a="1"/>
  <c r="AA226" i="13" a="1"/>
  <c r="AA227" i="13" a="1"/>
  <c r="AA228" i="13" a="1"/>
  <c r="AA229" i="13" a="1"/>
  <c r="AA230" i="13" a="1"/>
  <c r="AA231" i="13" a="1"/>
  <c r="AA232" i="13" a="1"/>
  <c r="AA233" i="13" a="1"/>
  <c r="AA234" i="13" a="1"/>
  <c r="AA235" i="13" a="1"/>
  <c r="AA236" i="13" a="1"/>
  <c r="AA237" i="13" a="1"/>
  <c r="AA238" i="13" a="1"/>
  <c r="AA239" i="13" a="1"/>
  <c r="AA240" i="13" a="1"/>
  <c r="AA241" i="13" a="1"/>
  <c r="AA242" i="13" a="1"/>
  <c r="AA243" i="13" a="1"/>
  <c r="AA244" i="13" a="1"/>
  <c r="AA245" i="13" a="1"/>
  <c r="AA246" i="13" a="1"/>
  <c r="AA247" i="13" a="1"/>
  <c r="AA248" i="13" a="1"/>
  <c r="AA249" i="13" a="1"/>
  <c r="AA250" i="13" a="1"/>
  <c r="AA251" i="13" a="1"/>
  <c r="AA252" i="13" a="1"/>
  <c r="AA253" i="13" a="1"/>
  <c r="AA254" i="13" a="1"/>
  <c r="AA255" i="13" a="1"/>
  <c r="AA256" i="13" a="1"/>
  <c r="AA257" i="13" a="1"/>
  <c r="AA258" i="13" a="1"/>
  <c r="AA259" i="13" a="1"/>
  <c r="AA260" i="13" a="1"/>
  <c r="AA261" i="13" a="1"/>
  <c r="AA262" i="13" a="1"/>
  <c r="AA263" i="13" a="1"/>
  <c r="AA264" i="13" a="1"/>
  <c r="AA265" i="13" a="1"/>
  <c r="AA266" i="13" a="1"/>
  <c r="AA267" i="13" a="1"/>
  <c r="AA268" i="13" a="1"/>
  <c r="AA269" i="13" a="1"/>
  <c r="AA270" i="13" a="1"/>
  <c r="AA271" i="13" a="1"/>
  <c r="AA272" i="13" a="1"/>
  <c r="AA273" i="13" a="1"/>
  <c r="AA274" i="13" a="1"/>
  <c r="AA275" i="13" a="1"/>
  <c r="AA276" i="13" a="1"/>
  <c r="AA277" i="13" a="1"/>
  <c r="AA278" i="13" a="1"/>
  <c r="AA279" i="13" a="1"/>
  <c r="AA280" i="13" a="1"/>
  <c r="AA281" i="13" a="1"/>
  <c r="AA282" i="13" a="1"/>
  <c r="AA283" i="13" a="1"/>
  <c r="AA284" i="13" a="1"/>
  <c r="AA285" i="13" a="1"/>
  <c r="AA286" i="13" a="1"/>
  <c r="AA287" i="13" a="1"/>
  <c r="AA288" i="13" a="1"/>
  <c r="AA289" i="13" a="1"/>
  <c r="AA290" i="13" a="1"/>
  <c r="AA291" i="13" a="1"/>
  <c r="AA292" i="13" a="1"/>
  <c r="AA293" i="13" a="1"/>
  <c r="AA294" i="13" a="1"/>
  <c r="AA295" i="13" a="1"/>
  <c r="AA296" i="13" a="1"/>
  <c r="AA297" i="13" a="1"/>
  <c r="AA298" i="13" a="1"/>
  <c r="AA299" i="13" a="1"/>
  <c r="AA300" i="13" a="1"/>
  <c r="AA301" i="13" a="1"/>
  <c r="AA302" i="13" a="1"/>
  <c r="AA303" i="13" a="1"/>
  <c r="AA304" i="13" a="1"/>
  <c r="AA305" i="13" a="1"/>
  <c r="AA306" i="13" a="1"/>
  <c r="AA307" i="13" a="1"/>
  <c r="AA308" i="13" a="1"/>
  <c r="AA309" i="13" a="1"/>
  <c r="AA310" i="13" a="1"/>
  <c r="AA311" i="13" a="1"/>
  <c r="AA312" i="13" a="1"/>
  <c r="AA313" i="13" a="1"/>
  <c r="AA314" i="13" a="1"/>
  <c r="AA315" i="13" a="1"/>
  <c r="AA316" i="13" a="1"/>
  <c r="AA317" i="13" a="1"/>
  <c r="AA318" i="13" a="1"/>
  <c r="AA319" i="13" a="1"/>
  <c r="AA320" i="13" a="1"/>
  <c r="AA321" i="13" a="1"/>
  <c r="AA322" i="13" a="1"/>
  <c r="AA323" i="13" a="1"/>
  <c r="AA324" i="13" a="1"/>
  <c r="AA325" i="13" a="1"/>
  <c r="AA326" i="13" a="1"/>
  <c r="AA327" i="13" a="1"/>
  <c r="AA328" i="13" a="1"/>
  <c r="AA329" i="13" a="1"/>
  <c r="AA330" i="13" a="1"/>
  <c r="AA331" i="13" a="1"/>
  <c r="AA332" i="13" a="1"/>
  <c r="AA333" i="13" a="1"/>
  <c r="AA334" i="13" a="1"/>
  <c r="AA335" i="13" a="1"/>
  <c r="AA336" i="13" a="1"/>
  <c r="AA337" i="13" a="1"/>
  <c r="AA338" i="13" a="1"/>
  <c r="AA339" i="13" a="1"/>
  <c r="AA340" i="13" a="1"/>
  <c r="AA341" i="13" a="1"/>
  <c r="AA342" i="13" a="1"/>
  <c r="AA343" i="13" a="1"/>
  <c r="AA344" i="13" a="1"/>
  <c r="AA345" i="13" a="1"/>
  <c r="AA346" i="13" a="1"/>
  <c r="AA347" i="13" a="1"/>
  <c r="AA348" i="13" a="1"/>
  <c r="AA349" i="13" a="1"/>
  <c r="AA350" i="13" a="1"/>
  <c r="AA351" i="13" a="1"/>
  <c r="AA352" i="13" a="1"/>
  <c r="AA353" i="13" a="1"/>
  <c r="AA354" i="13" a="1"/>
  <c r="AA355" i="13" a="1"/>
  <c r="AA356" i="13" a="1"/>
  <c r="AA357" i="13" a="1"/>
  <c r="AA358" i="13" a="1"/>
  <c r="AA359" i="13" a="1"/>
  <c r="AA360" i="13" a="1"/>
  <c r="AA361" i="13" a="1"/>
  <c r="AA362" i="13" a="1"/>
  <c r="AA363" i="13" a="1"/>
  <c r="AA364" i="13" a="1"/>
  <c r="AA365" i="13" a="1"/>
  <c r="AA366" i="13" a="1"/>
  <c r="AA367" i="13" a="1"/>
  <c r="AA368" i="13" a="1"/>
  <c r="AA369" i="13" a="1"/>
  <c r="AA370" i="13" a="1"/>
  <c r="AA371" i="13" a="1"/>
  <c r="AA372" i="13" a="1"/>
  <c r="AA373" i="13" a="1"/>
  <c r="AA374" i="13" a="1"/>
  <c r="AA375" i="13" a="1"/>
  <c r="AA376" i="13" a="1"/>
  <c r="AA377" i="13" a="1"/>
  <c r="AA378" i="13" a="1"/>
  <c r="AA379" i="13" a="1"/>
  <c r="AA380" i="13" a="1"/>
  <c r="AA381" i="13" a="1"/>
  <c r="AA382" i="13" a="1"/>
  <c r="AA383" i="13" a="1"/>
  <c r="AA384" i="13" a="1"/>
  <c r="AA385" i="13" a="1"/>
  <c r="AA386" i="13" a="1"/>
  <c r="AA387" i="13" a="1"/>
  <c r="AA388" i="13" a="1"/>
  <c r="AA389" i="13" a="1"/>
  <c r="AA390" i="13" a="1"/>
  <c r="AA391" i="13" a="1"/>
  <c r="AA392" i="13" a="1"/>
  <c r="AA393" i="13" a="1"/>
  <c r="AA394" i="13" a="1"/>
  <c r="AA395" i="13" a="1"/>
  <c r="AA396" i="13" a="1"/>
  <c r="AA397" i="13" a="1"/>
  <c r="AA398" i="13" a="1"/>
  <c r="AA399" i="13" a="1"/>
  <c r="AA400" i="13" a="1"/>
  <c r="AA401" i="13" a="1"/>
  <c r="AA402" i="13" a="1"/>
  <c r="AA403" i="13" a="1"/>
  <c r="AA404" i="13" a="1"/>
  <c r="AA405" i="13" a="1"/>
  <c r="AA406" i="13" a="1"/>
  <c r="AA407" i="13" a="1"/>
  <c r="AA408" i="13" a="1"/>
  <c r="AA409" i="13" a="1"/>
  <c r="AA410" i="13" a="1"/>
  <c r="AA411" i="13" a="1"/>
  <c r="AA412" i="13" a="1"/>
  <c r="AA413" i="13" a="1"/>
  <c r="AA414" i="13" a="1"/>
  <c r="AA415" i="13" a="1"/>
  <c r="AA416" i="13" a="1"/>
  <c r="AA417" i="13" a="1"/>
  <c r="AA418" i="13" a="1"/>
  <c r="AA419" i="13" a="1"/>
  <c r="AA420" i="13" a="1"/>
  <c r="AA421" i="13" a="1"/>
  <c r="AA422" i="13" a="1"/>
  <c r="AA423" i="13" a="1"/>
  <c r="AA424" i="13" a="1"/>
  <c r="AA425" i="13" a="1"/>
  <c r="AA426" i="13" a="1"/>
  <c r="AA427" i="13" a="1"/>
  <c r="AA428" i="13" a="1"/>
  <c r="AA429" i="13" a="1"/>
  <c r="AA430" i="13" a="1"/>
  <c r="AA431" i="13" a="1"/>
  <c r="AA432" i="13" a="1"/>
  <c r="AA433" i="13" a="1"/>
  <c r="AA434" i="13" a="1"/>
  <c r="AA435" i="13" a="1"/>
  <c r="AA436" i="13" a="1"/>
  <c r="AA437" i="13" a="1"/>
  <c r="AA438" i="13" a="1"/>
  <c r="AA439" i="13" a="1"/>
  <c r="AA440" i="13" a="1"/>
  <c r="AA441" i="13" a="1"/>
  <c r="AA442" i="13" a="1"/>
  <c r="AA443" i="13" a="1"/>
  <c r="AA444" i="13" a="1"/>
  <c r="AA445" i="13" a="1"/>
  <c r="AA446" i="13" a="1"/>
  <c r="AA447" i="13" a="1"/>
  <c r="AA448" i="13" a="1"/>
  <c r="AA449" i="13" a="1"/>
  <c r="AA450" i="13" a="1"/>
  <c r="AA451" i="13" a="1"/>
  <c r="AA452" i="13" a="1"/>
  <c r="AA453" i="13" a="1"/>
  <c r="AA454" i="13" a="1"/>
  <c r="AA455" i="13" a="1"/>
  <c r="AA456" i="13" a="1"/>
  <c r="AA457" i="13" a="1"/>
  <c r="AA458" i="13" a="1"/>
  <c r="AA459" i="13" a="1"/>
  <c r="AA460" i="13" a="1"/>
  <c r="AA461" i="13" a="1"/>
  <c r="AA465" i="13" a="1"/>
  <c r="AA466" i="13" a="1"/>
  <c r="AA468" i="13" a="1"/>
  <c r="AA469" i="13" a="1"/>
  <c r="AA470" i="13" a="1"/>
  <c r="AA471" i="13" a="1"/>
  <c r="AA472" i="13" a="1"/>
  <c r="AA473" i="13" a="1"/>
  <c r="AA474" i="13" a="1"/>
  <c r="AA475" i="13" a="1"/>
  <c r="AA476" i="13" a="1"/>
  <c r="AA477" i="13" a="1"/>
  <c r="AA478" i="13" a="1"/>
  <c r="AA479" i="13" a="1"/>
  <c r="AA480" i="13" a="1"/>
  <c r="AA481" i="13" a="1"/>
  <c r="AA482" i="13" a="1"/>
  <c r="AA483" i="13" a="1"/>
  <c r="AA484" i="13" a="1"/>
  <c r="AA485" i="13" a="1"/>
  <c r="AA486" i="13" a="1"/>
  <c r="AA487" i="13" a="1"/>
  <c r="AA488" i="13" a="1"/>
  <c r="AA489" i="13" a="1"/>
  <c r="AA490" i="13" a="1"/>
  <c r="AA491" i="13" a="1"/>
  <c r="AA492" i="13" a="1"/>
  <c r="AA493" i="13" a="1"/>
  <c r="AA494" i="13" a="1"/>
  <c r="AA495" i="13" a="1"/>
  <c r="AA496" i="13" a="1"/>
  <c r="AA497" i="13" a="1"/>
  <c r="AA498" i="13" a="1"/>
  <c r="AA499" i="13" a="1"/>
  <c r="AA500" i="13" a="1"/>
  <c r="AA501" i="13" a="1"/>
  <c r="AA502" i="13" a="1"/>
  <c r="AA503" i="13" a="1"/>
  <c r="AA504" i="13" a="1"/>
  <c r="AA505" i="13" a="1"/>
  <c r="AA506" i="13" a="1"/>
  <c r="AA507" i="13" a="1"/>
  <c r="AA508" i="13" a="1"/>
  <c r="AA509" i="13" a="1"/>
  <c r="AA510" i="13" a="1"/>
  <c r="AA511" i="13" a="1"/>
  <c r="AA512" i="13" a="1"/>
  <c r="AA513" i="13" a="1"/>
  <c r="AA514" i="13" a="1"/>
  <c r="AA515" i="13" a="1"/>
  <c r="AA516" i="13" a="1"/>
  <c r="AA517" i="13" a="1"/>
  <c r="AA518" i="13" a="1"/>
  <c r="AA519" i="13" a="1"/>
  <c r="AA520" i="13" a="1"/>
  <c r="AA521" i="13" a="1"/>
  <c r="AA522" i="13" a="1"/>
  <c r="AA523" i="13" a="1"/>
  <c r="AA524" i="13" a="1"/>
  <c r="AA525" i="13" a="1"/>
  <c r="AA526" i="13" a="1"/>
  <c r="AA527" i="13" a="1"/>
  <c r="AA528" i="13" a="1"/>
  <c r="AA529" i="13" a="1"/>
  <c r="AA530" i="13" a="1"/>
  <c r="AA531" i="13" a="1"/>
  <c r="AA532" i="13" a="1"/>
  <c r="AA533" i="13" a="1"/>
  <c r="AA534" i="13" a="1"/>
  <c r="AA535" i="13" a="1"/>
  <c r="AA536" i="13" a="1"/>
  <c r="AA537" i="13" a="1"/>
  <c r="AA538" i="13" a="1"/>
  <c r="AA539" i="13" a="1"/>
  <c r="AA540" i="13" a="1"/>
  <c r="AA541" i="13" a="1"/>
  <c r="AA542" i="13" a="1"/>
  <c r="AA543" i="13" a="1"/>
  <c r="AA544" i="13" a="1"/>
  <c r="AA545" i="13" a="1"/>
  <c r="AA546" i="13" a="1"/>
  <c r="AA547" i="13" a="1"/>
  <c r="AA548" i="13" a="1"/>
  <c r="AA549" i="13" a="1"/>
  <c r="AA550" i="13" a="1"/>
  <c r="AA551" i="13" a="1"/>
  <c r="AA552" i="13" a="1"/>
  <c r="AA553" i="13" a="1"/>
  <c r="AA554" i="13" a="1"/>
  <c r="AA555" i="13" a="1"/>
  <c r="AA556" i="13" a="1"/>
  <c r="AA557" i="13" a="1"/>
  <c r="AA558" i="13" a="1"/>
  <c r="AA559" i="13" a="1"/>
  <c r="AA560" i="13" a="1"/>
  <c r="AA561" i="13" a="1"/>
  <c r="AA562" i="13" a="1"/>
  <c r="AA563" i="13" a="1"/>
  <c r="AA564" i="13" a="1"/>
  <c r="AA565" i="13" a="1"/>
  <c r="AA566" i="13" a="1"/>
  <c r="AA567" i="13" a="1"/>
  <c r="AA568" i="13" a="1"/>
  <c r="AA569" i="13" a="1"/>
  <c r="AA570" i="13" a="1"/>
  <c r="AA571" i="13" a="1"/>
  <c r="AA572" i="13" a="1"/>
  <c r="AA573" i="13" a="1"/>
  <c r="AA574" i="13" a="1"/>
  <c r="AA575" i="13" a="1"/>
  <c r="AA576" i="13" a="1"/>
  <c r="AA577" i="13" a="1"/>
  <c r="AA578" i="13" a="1"/>
  <c r="AA579" i="13" a="1"/>
  <c r="AA580" i="13" a="1"/>
  <c r="AA581" i="13" a="1"/>
  <c r="AA582" i="13" a="1"/>
  <c r="AA583" i="13" a="1"/>
  <c r="AA584" i="13" a="1"/>
  <c r="AA585" i="13" a="1"/>
  <c r="AA586" i="13" a="1"/>
  <c r="AA587" i="13" a="1"/>
  <c r="AA588" i="13" a="1"/>
  <c r="AA589" i="13" a="1"/>
  <c r="AA590" i="13" a="1"/>
  <c r="AA591" i="13" a="1"/>
  <c r="AA592" i="13" a="1"/>
  <c r="AA593" i="13" a="1"/>
  <c r="AA594" i="13" a="1"/>
  <c r="AA595" i="13" a="1"/>
  <c r="AA596" i="13" a="1"/>
  <c r="AA597" i="13" a="1"/>
  <c r="AA598" i="13" a="1"/>
  <c r="AA599" i="13" a="1"/>
  <c r="AA600" i="13" a="1"/>
  <c r="AA601" i="13" a="1"/>
  <c r="AA602" i="13" a="1"/>
  <c r="AA603" i="13" a="1"/>
  <c r="AA604" i="13" a="1"/>
  <c r="AA605" i="13" a="1"/>
  <c r="AA606" i="13" a="1"/>
  <c r="AA607" i="13" a="1"/>
  <c r="AA608" i="13" a="1"/>
  <c r="AA609" i="13" a="1"/>
  <c r="AA610" i="13" a="1"/>
  <c r="AA611" i="13" a="1"/>
  <c r="AA612" i="13" a="1"/>
  <c r="AA613" i="13" a="1"/>
  <c r="AA614" i="13" a="1"/>
  <c r="AA615" i="13" a="1"/>
  <c r="AA616" i="13" a="1"/>
  <c r="AA617" i="13" a="1"/>
  <c r="AA618" i="13" a="1"/>
  <c r="AA619" i="13" a="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S2" i="13" a="1"/>
  <c r="S3" i="13" a="1"/>
  <c r="S4" i="13" a="1"/>
  <c r="S5" i="13" a="1"/>
  <c r="S6" i="13" a="1"/>
  <c r="S7" i="13" a="1"/>
  <c r="S8" i="13" a="1"/>
  <c r="S9" i="13" a="1"/>
  <c r="S10" i="13" a="1"/>
  <c r="S11" i="13" a="1"/>
  <c r="S12" i="13" a="1"/>
  <c r="S13" i="13" a="1"/>
  <c r="S14" i="13" a="1"/>
  <c r="S15" i="13" a="1"/>
  <c r="S16" i="13" a="1"/>
  <c r="S17" i="13" a="1"/>
  <c r="S18" i="13" a="1"/>
  <c r="S19" i="13" a="1"/>
  <c r="S20" i="13" a="1"/>
  <c r="S21" i="13" a="1"/>
  <c r="S22" i="13" a="1"/>
  <c r="S23" i="13" a="1"/>
  <c r="S24" i="13" a="1"/>
  <c r="S25" i="13" a="1"/>
  <c r="S26" i="13" a="1"/>
  <c r="S27" i="13" a="1"/>
  <c r="S28" i="13" a="1"/>
  <c r="S29" i="13" a="1"/>
  <c r="S30" i="13" a="1"/>
  <c r="S31" i="13" a="1"/>
  <c r="S32" i="13" a="1"/>
  <c r="S33" i="13" a="1"/>
  <c r="S34" i="13" a="1"/>
  <c r="S35" i="13" a="1"/>
  <c r="S36" i="13" a="1"/>
  <c r="S37" i="13" a="1"/>
  <c r="S38" i="13" a="1"/>
  <c r="S39" i="13" a="1"/>
  <c r="S40" i="13" a="1"/>
  <c r="S41" i="13" a="1"/>
  <c r="S42" i="13" a="1"/>
  <c r="S43" i="13" a="1"/>
  <c r="S44" i="13" a="1"/>
  <c r="S45" i="13" a="1"/>
  <c r="S46" i="13" a="1"/>
  <c r="S47" i="13" a="1"/>
  <c r="S48" i="13" a="1"/>
  <c r="S49" i="13" a="1"/>
  <c r="S50" i="13" a="1"/>
  <c r="S51" i="13" a="1"/>
  <c r="S52" i="13" a="1"/>
  <c r="S53" i="13" a="1"/>
  <c r="S54" i="13" a="1"/>
  <c r="S55" i="13" a="1"/>
  <c r="S56" i="13" a="1"/>
  <c r="S57" i="13" a="1"/>
  <c r="S58" i="13" a="1"/>
  <c r="S59" i="13" a="1"/>
  <c r="S60" i="13" a="1"/>
  <c r="S61" i="13" a="1"/>
  <c r="S62" i="13" a="1"/>
  <c r="S63" i="13" a="1"/>
  <c r="S64" i="13" a="1"/>
  <c r="S65" i="13" a="1"/>
  <c r="S66" i="13" a="1"/>
  <c r="S67" i="13" a="1"/>
  <c r="S68" i="13" a="1"/>
  <c r="S69" i="13" a="1"/>
  <c r="S70" i="13" a="1"/>
  <c r="S71" i="13" a="1"/>
  <c r="S72" i="13" a="1"/>
  <c r="S73" i="13" a="1"/>
  <c r="S74" i="13" a="1"/>
  <c r="S75" i="13" a="1"/>
  <c r="S76" i="13" a="1"/>
  <c r="S77" i="13" a="1"/>
  <c r="S78" i="13" a="1"/>
  <c r="S79" i="13" a="1"/>
  <c r="S80" i="13" a="1"/>
  <c r="S81" i="13" a="1"/>
  <c r="S82" i="13" a="1"/>
  <c r="S83" i="13" a="1"/>
  <c r="S84" i="13" a="1"/>
  <c r="S85" i="13" a="1"/>
  <c r="S86" i="13" a="1"/>
  <c r="S87" i="13" a="1"/>
  <c r="S88" i="13" a="1"/>
  <c r="S89" i="13" a="1"/>
  <c r="S90" i="13" a="1"/>
  <c r="S91" i="13" a="1"/>
  <c r="S92" i="13" a="1"/>
  <c r="S93" i="13" a="1"/>
  <c r="S94" i="13" a="1"/>
  <c r="S95" i="13" a="1"/>
  <c r="S96" i="13" a="1"/>
  <c r="S97" i="13" a="1"/>
  <c r="S98" i="13" a="1"/>
  <c r="S99" i="13" a="1"/>
  <c r="S100" i="13" a="1"/>
  <c r="S101" i="13" a="1"/>
  <c r="S102" i="13" a="1"/>
  <c r="S103" i="13" a="1"/>
  <c r="S104" i="13" a="1"/>
  <c r="S105" i="13" a="1"/>
  <c r="S106" i="13" a="1"/>
  <c r="S107" i="13" a="1"/>
  <c r="S108" i="13" a="1"/>
  <c r="S109" i="13" a="1"/>
  <c r="S110" i="13" a="1"/>
  <c r="S111" i="13" a="1"/>
  <c r="S112" i="13" a="1"/>
  <c r="S113" i="13" a="1"/>
  <c r="S114" i="13" a="1"/>
  <c r="S115" i="13" a="1"/>
  <c r="S116" i="13" a="1"/>
  <c r="S117" i="13" a="1"/>
  <c r="S118" i="13" a="1"/>
  <c r="S119" i="13" a="1"/>
  <c r="S120" i="13" a="1"/>
  <c r="S121" i="13" a="1"/>
  <c r="S122" i="13" a="1"/>
  <c r="S123" i="13" a="1"/>
  <c r="S124" i="13" a="1"/>
  <c r="S125" i="13" a="1"/>
  <c r="S126" i="13" a="1"/>
  <c r="S127" i="13" a="1"/>
  <c r="S128" i="13" a="1"/>
  <c r="S129" i="13" a="1"/>
  <c r="S130" i="13" a="1"/>
  <c r="S131" i="13" a="1"/>
  <c r="S132" i="13" a="1"/>
  <c r="S133" i="13" a="1"/>
  <c r="S134" i="13" a="1"/>
  <c r="S135" i="13" a="1"/>
  <c r="S136" i="13" a="1"/>
  <c r="S137" i="13" a="1"/>
  <c r="S138" i="13" a="1"/>
  <c r="S139" i="13" a="1"/>
  <c r="S140" i="13" a="1"/>
  <c r="S141" i="13" a="1"/>
  <c r="S142" i="13" a="1"/>
  <c r="S143" i="13" a="1"/>
  <c r="S144" i="13" a="1"/>
  <c r="S145" i="13" a="1"/>
  <c r="S146" i="13" a="1"/>
  <c r="S147" i="13" a="1"/>
  <c r="S148" i="13" a="1"/>
  <c r="S149" i="13" a="1"/>
  <c r="S150" i="13" a="1"/>
  <c r="S151" i="13" a="1"/>
  <c r="S152" i="13" a="1"/>
  <c r="S153" i="13" a="1"/>
  <c r="S154" i="13" a="1"/>
  <c r="S155" i="13" a="1"/>
  <c r="S156" i="13" a="1"/>
  <c r="S157" i="13" a="1"/>
  <c r="S158" i="13" a="1"/>
  <c r="S159" i="13" a="1"/>
  <c r="S160" i="13" a="1"/>
  <c r="S161" i="13" a="1"/>
  <c r="S162" i="13" a="1"/>
  <c r="S163" i="13" a="1"/>
  <c r="S164" i="13" a="1"/>
  <c r="S165" i="13" a="1"/>
  <c r="S166" i="13" a="1"/>
  <c r="S167" i="13" a="1"/>
  <c r="S168" i="13" a="1"/>
  <c r="S169" i="13" a="1"/>
  <c r="S170" i="13" a="1"/>
  <c r="S171" i="13" a="1"/>
  <c r="S172" i="13" a="1"/>
  <c r="S173" i="13" a="1"/>
  <c r="S174" i="13" a="1"/>
  <c r="S175" i="13" a="1"/>
  <c r="S176" i="13" a="1"/>
  <c r="S177" i="13" a="1"/>
  <c r="S178" i="13" a="1"/>
  <c r="S179" i="13" a="1"/>
  <c r="S180" i="13" a="1"/>
  <c r="S181" i="13" a="1"/>
  <c r="S182" i="13" a="1"/>
  <c r="S183" i="13" a="1"/>
  <c r="S184" i="13" a="1"/>
  <c r="S185" i="13" a="1"/>
  <c r="S186" i="13" a="1"/>
  <c r="S187" i="13" a="1"/>
  <c r="S188" i="13" a="1"/>
  <c r="S189" i="13" a="1"/>
  <c r="S190" i="13" a="1"/>
  <c r="S191" i="13" a="1"/>
  <c r="S192" i="13" a="1"/>
  <c r="S193" i="13" a="1"/>
  <c r="S194" i="13" a="1"/>
  <c r="S195" i="13" a="1"/>
  <c r="S196" i="13" a="1"/>
  <c r="S197" i="13" a="1"/>
  <c r="S198" i="13" a="1"/>
  <c r="S199" i="13" a="1"/>
  <c r="S200" i="13" a="1"/>
  <c r="S201" i="13" a="1"/>
  <c r="S202" i="13" a="1"/>
  <c r="S203" i="13" a="1"/>
  <c r="S204" i="13" a="1"/>
  <c r="S205" i="13" a="1"/>
  <c r="S206" i="13" a="1"/>
  <c r="S207" i="13" a="1"/>
  <c r="S208" i="13" a="1"/>
  <c r="S209" i="13" a="1"/>
  <c r="S210" i="13" a="1"/>
  <c r="S211" i="13" a="1"/>
  <c r="S212" i="13" a="1"/>
  <c r="S213" i="13" a="1"/>
  <c r="S214" i="13" a="1"/>
  <c r="S215" i="13" a="1"/>
  <c r="S216" i="13" a="1"/>
  <c r="S217" i="13" a="1"/>
  <c r="S218" i="13" a="1"/>
  <c r="S219" i="13" a="1"/>
  <c r="S220" i="13" a="1"/>
  <c r="S221" i="13" a="1"/>
  <c r="S222" i="13" a="1"/>
  <c r="S223" i="13" a="1"/>
  <c r="S224" i="13" a="1"/>
  <c r="S225" i="13" a="1"/>
  <c r="S226" i="13" a="1"/>
  <c r="S227" i="13" a="1"/>
  <c r="S228" i="13" a="1"/>
  <c r="S229" i="13" a="1"/>
  <c r="S230" i="13" a="1"/>
  <c r="S231" i="13" a="1"/>
  <c r="S232" i="13" a="1"/>
  <c r="S233" i="13" a="1"/>
  <c r="S234" i="13" a="1"/>
  <c r="S235" i="13" a="1"/>
  <c r="S236" i="13" a="1"/>
  <c r="S237" i="13" a="1"/>
  <c r="S238" i="13" a="1"/>
  <c r="S239" i="13" a="1"/>
  <c r="S240" i="13" a="1"/>
  <c r="S241" i="13" a="1"/>
  <c r="S242" i="13" a="1"/>
  <c r="S243" i="13" a="1"/>
  <c r="S244" i="13" a="1"/>
  <c r="S245" i="13" a="1"/>
  <c r="S246" i="13" a="1"/>
  <c r="S247" i="13" a="1"/>
  <c r="S248" i="13" a="1"/>
  <c r="S249" i="13" a="1"/>
  <c r="S250" i="13" a="1"/>
  <c r="S251" i="13" a="1"/>
  <c r="S252" i="13" a="1"/>
  <c r="S253" i="13" a="1"/>
  <c r="S254" i="13" a="1"/>
  <c r="S255" i="13" a="1"/>
  <c r="S256" i="13" a="1"/>
  <c r="S257" i="13" a="1"/>
  <c r="S258" i="13" a="1"/>
  <c r="S259" i="13" a="1"/>
  <c r="S260" i="13" a="1"/>
  <c r="S261" i="13" a="1"/>
  <c r="S262" i="13" a="1"/>
  <c r="S263" i="13" a="1"/>
  <c r="S264" i="13" a="1"/>
  <c r="S265" i="13" a="1"/>
  <c r="S266" i="13" a="1"/>
  <c r="S267" i="13" a="1"/>
  <c r="S268" i="13" a="1"/>
  <c r="S269" i="13" a="1"/>
  <c r="S270" i="13" a="1"/>
  <c r="S271" i="13" a="1"/>
  <c r="S272" i="13" a="1"/>
  <c r="S273" i="13" a="1"/>
  <c r="S274" i="13" a="1"/>
  <c r="S275" i="13" a="1"/>
  <c r="S276" i="13" a="1"/>
  <c r="S277" i="13" a="1"/>
  <c r="S278" i="13" a="1"/>
  <c r="S279" i="13" a="1"/>
  <c r="S280" i="13" a="1"/>
  <c r="S281" i="13" a="1"/>
  <c r="S282" i="13" a="1"/>
  <c r="S283" i="13" a="1"/>
  <c r="S284" i="13" a="1"/>
  <c r="S285" i="13" a="1"/>
  <c r="S286" i="13" a="1"/>
  <c r="S287" i="13" a="1"/>
  <c r="S288" i="13" a="1"/>
  <c r="S289" i="13" a="1"/>
  <c r="S290" i="13" a="1"/>
  <c r="S291" i="13" a="1"/>
  <c r="S292" i="13" a="1"/>
  <c r="S293" i="13" a="1"/>
  <c r="S294" i="13" a="1"/>
  <c r="S295" i="13" a="1"/>
  <c r="S296" i="13" a="1"/>
  <c r="S297" i="13" a="1"/>
  <c r="S298" i="13" a="1"/>
  <c r="S299" i="13" a="1"/>
  <c r="S300" i="13" a="1"/>
  <c r="S301" i="13" a="1"/>
  <c r="S302" i="13" a="1"/>
  <c r="S303" i="13" a="1"/>
  <c r="S304" i="13" a="1"/>
  <c r="S305" i="13" a="1"/>
  <c r="S306" i="13" a="1"/>
  <c r="S307" i="13" a="1"/>
  <c r="S308" i="13" a="1"/>
  <c r="S309" i="13" a="1"/>
  <c r="S310" i="13" a="1"/>
  <c r="S311" i="13" a="1"/>
  <c r="S312" i="13" a="1"/>
  <c r="S313" i="13" a="1"/>
  <c r="S314" i="13" a="1"/>
  <c r="S315" i="13" a="1"/>
  <c r="S316" i="13" a="1"/>
  <c r="S317" i="13" a="1"/>
  <c r="S318" i="13" a="1"/>
  <c r="S319" i="13" a="1"/>
  <c r="S320" i="13" a="1"/>
  <c r="S321" i="13" a="1"/>
  <c r="S322" i="13" a="1"/>
  <c r="S323" i="13" a="1"/>
  <c r="S324" i="13" a="1"/>
  <c r="S325" i="13" a="1"/>
  <c r="S326" i="13" a="1"/>
  <c r="S327" i="13" a="1"/>
  <c r="S328" i="13" a="1"/>
  <c r="S329" i="13" a="1"/>
  <c r="S330" i="13" a="1"/>
  <c r="S331" i="13" a="1"/>
  <c r="S332" i="13" a="1"/>
  <c r="S333" i="13" a="1"/>
  <c r="S334" i="13" a="1"/>
  <c r="S335" i="13" a="1"/>
  <c r="S336" i="13" a="1"/>
  <c r="S337" i="13" a="1"/>
  <c r="S338" i="13" a="1"/>
  <c r="S339" i="13" a="1"/>
  <c r="S340" i="13" a="1"/>
  <c r="S341" i="13" a="1"/>
  <c r="S342" i="13" a="1"/>
  <c r="S343" i="13" a="1"/>
  <c r="S344" i="13" a="1"/>
  <c r="S345" i="13" a="1"/>
  <c r="S346" i="13" a="1"/>
  <c r="S347" i="13" a="1"/>
  <c r="S348" i="13" a="1"/>
  <c r="S349" i="13" a="1"/>
  <c r="S350" i="13" a="1"/>
  <c r="S351" i="13" a="1"/>
  <c r="S352" i="13" a="1"/>
  <c r="S353" i="13" a="1"/>
  <c r="S354" i="13" a="1"/>
  <c r="S355" i="13" a="1"/>
  <c r="S356" i="13" a="1"/>
  <c r="S357" i="13" a="1"/>
  <c r="S358" i="13" a="1"/>
  <c r="S359" i="13" a="1"/>
  <c r="S360" i="13" a="1"/>
  <c r="S361" i="13" a="1"/>
  <c r="S362" i="13" a="1"/>
  <c r="S363" i="13" a="1"/>
  <c r="S364" i="13" a="1"/>
  <c r="S365" i="13" a="1"/>
  <c r="S366" i="13" a="1"/>
  <c r="S367" i="13" a="1"/>
  <c r="S368" i="13" a="1"/>
  <c r="S369" i="13" a="1"/>
  <c r="S370" i="13" a="1"/>
  <c r="S371" i="13" a="1"/>
  <c r="S372" i="13" a="1"/>
  <c r="S373" i="13" a="1"/>
  <c r="S374" i="13" a="1"/>
  <c r="S375" i="13" a="1"/>
  <c r="S376" i="13" a="1"/>
  <c r="S377" i="13" a="1"/>
  <c r="S378" i="13" a="1"/>
  <c r="S379" i="13" a="1"/>
  <c r="S380" i="13" a="1"/>
  <c r="S381" i="13" a="1"/>
  <c r="S382" i="13" a="1"/>
  <c r="S383" i="13" a="1"/>
  <c r="S384" i="13" a="1"/>
  <c r="S385" i="13" a="1"/>
  <c r="S386" i="13" a="1"/>
  <c r="S387" i="13" a="1"/>
  <c r="S388" i="13" a="1"/>
  <c r="S389" i="13" a="1"/>
  <c r="S390" i="13" a="1"/>
  <c r="S391" i="13" a="1"/>
  <c r="S392" i="13" a="1"/>
  <c r="S393" i="13" a="1"/>
  <c r="S394" i="13" a="1"/>
  <c r="S395" i="13" a="1"/>
  <c r="S396" i="13" a="1"/>
  <c r="S397" i="13" a="1"/>
  <c r="S398" i="13" a="1"/>
  <c r="S399" i="13" a="1"/>
  <c r="S400" i="13" a="1"/>
  <c r="S401" i="13" a="1"/>
  <c r="S402" i="13" a="1"/>
  <c r="S403" i="13" a="1"/>
  <c r="S404" i="13" a="1"/>
  <c r="S405" i="13" a="1"/>
  <c r="S406" i="13" a="1"/>
  <c r="S407" i="13" a="1"/>
  <c r="S408" i="13" a="1"/>
  <c r="S409" i="13" a="1"/>
  <c r="S410" i="13" a="1"/>
  <c r="S411" i="13" a="1"/>
  <c r="S412" i="13" a="1"/>
  <c r="S413" i="13" a="1"/>
  <c r="S414" i="13" a="1"/>
  <c r="S415" i="13" a="1"/>
  <c r="S416" i="13" a="1"/>
  <c r="S417" i="13" a="1"/>
  <c r="S418" i="13" a="1"/>
  <c r="S419" i="13" a="1"/>
  <c r="S420" i="13" a="1"/>
  <c r="S421" i="13" a="1"/>
  <c r="S422" i="13" a="1"/>
  <c r="S423" i="13" a="1"/>
  <c r="S424" i="13" a="1"/>
  <c r="S425" i="13" a="1"/>
  <c r="S426" i="13" a="1"/>
  <c r="S427" i="13" a="1"/>
  <c r="S428" i="13" a="1"/>
  <c r="S429" i="13" a="1"/>
  <c r="S430" i="13" a="1"/>
  <c r="S431" i="13" a="1"/>
  <c r="S432" i="13" a="1"/>
  <c r="S433" i="13" a="1"/>
  <c r="S434" i="13" a="1"/>
  <c r="S435" i="13" a="1"/>
  <c r="S436" i="13" a="1"/>
  <c r="S437" i="13" a="1"/>
  <c r="S438" i="13" a="1"/>
  <c r="S439" i="13" a="1"/>
  <c r="S440" i="13" a="1"/>
  <c r="S441" i="13" a="1"/>
  <c r="S442" i="13" a="1"/>
  <c r="S443" i="13" a="1"/>
  <c r="S444" i="13" a="1"/>
  <c r="S445" i="13" a="1"/>
  <c r="S446" i="13" a="1"/>
  <c r="S447" i="13" a="1"/>
  <c r="S448" i="13" a="1"/>
  <c r="S449" i="13" a="1"/>
  <c r="S450" i="13" a="1"/>
  <c r="S451" i="13" a="1"/>
  <c r="S452" i="13" a="1"/>
  <c r="S453" i="13" a="1"/>
  <c r="S454" i="13" a="1"/>
  <c r="S455" i="13" a="1"/>
  <c r="S456" i="13" a="1"/>
  <c r="S457" i="13" a="1"/>
  <c r="S458" i="13" a="1"/>
  <c r="S459" i="13" a="1"/>
  <c r="S460" i="13" a="1"/>
  <c r="S461" i="13" a="1"/>
  <c r="S462" i="13" a="1"/>
  <c r="S463" i="13" a="1"/>
  <c r="S464" i="13" a="1"/>
  <c r="S465" i="13" a="1"/>
  <c r="S466" i="13" a="1"/>
  <c r="S467" i="13" a="1"/>
  <c r="S468" i="13" a="1"/>
  <c r="S469" i="13" a="1"/>
  <c r="S470" i="13" a="1"/>
  <c r="S471" i="13" a="1"/>
  <c r="S472" i="13" a="1"/>
  <c r="S473" i="13" a="1"/>
  <c r="S474" i="13" a="1"/>
  <c r="S475" i="13" a="1"/>
  <c r="S476" i="13" a="1"/>
  <c r="S477" i="13" a="1"/>
  <c r="S478" i="13" a="1"/>
  <c r="S479" i="13" a="1"/>
  <c r="S480" i="13" a="1"/>
  <c r="S481" i="13" a="1"/>
  <c r="S482" i="13" a="1"/>
  <c r="S483" i="13" a="1"/>
  <c r="S484" i="13" a="1"/>
  <c r="S485" i="13" a="1"/>
  <c r="S486" i="13" a="1"/>
  <c r="S487" i="13" a="1"/>
  <c r="S488" i="13" a="1"/>
  <c r="S489" i="13" a="1"/>
  <c r="S490" i="13" a="1"/>
  <c r="S491" i="13" a="1"/>
  <c r="S492" i="13" a="1"/>
  <c r="S493" i="13" a="1"/>
  <c r="S494" i="13" a="1"/>
  <c r="S495" i="13" a="1"/>
  <c r="S496" i="13" a="1"/>
  <c r="S497" i="13" a="1"/>
  <c r="S498" i="13" a="1"/>
  <c r="S499" i="13" a="1"/>
  <c r="S500" i="13" a="1"/>
  <c r="S501" i="13" a="1"/>
  <c r="S502" i="13" a="1"/>
  <c r="S503" i="13" a="1"/>
  <c r="S504" i="13" a="1"/>
  <c r="S505" i="13" a="1"/>
  <c r="S506" i="13" a="1"/>
  <c r="S507" i="13" a="1"/>
  <c r="S508" i="13" a="1"/>
  <c r="S509" i="13" a="1"/>
  <c r="S510" i="13" a="1"/>
  <c r="S511" i="13" a="1"/>
  <c r="S512" i="13" a="1"/>
  <c r="S513" i="13" a="1"/>
  <c r="S514" i="13" a="1"/>
  <c r="S515" i="13" a="1"/>
  <c r="S516" i="13" a="1"/>
  <c r="S517" i="13" a="1"/>
  <c r="S518" i="13" a="1"/>
  <c r="S519" i="13" a="1"/>
  <c r="S520" i="13" a="1"/>
  <c r="S521" i="13" a="1"/>
  <c r="S522" i="13" a="1"/>
  <c r="S523" i="13" a="1"/>
  <c r="S524" i="13" a="1"/>
  <c r="S525" i="13" a="1"/>
  <c r="S526" i="13" a="1"/>
  <c r="S527" i="13" a="1"/>
  <c r="S528" i="13" a="1"/>
  <c r="S529" i="13" a="1"/>
  <c r="S530" i="13" a="1"/>
  <c r="S531" i="13" a="1"/>
  <c r="S532" i="13" a="1"/>
  <c r="S533" i="13" a="1"/>
  <c r="S534" i="13" a="1"/>
  <c r="S535" i="13" a="1"/>
  <c r="S536" i="13" a="1"/>
  <c r="S537" i="13" a="1"/>
  <c r="S538" i="13" a="1"/>
  <c r="S539" i="13" a="1"/>
  <c r="S540" i="13" a="1"/>
  <c r="S541" i="13" a="1"/>
  <c r="S542" i="13" a="1"/>
  <c r="S543" i="13" a="1"/>
  <c r="S544" i="13" a="1"/>
  <c r="S545" i="13" a="1"/>
  <c r="S546" i="13" a="1"/>
  <c r="S547" i="13" a="1"/>
  <c r="S548" i="13" a="1"/>
  <c r="S549" i="13" a="1"/>
  <c r="S550" i="13" a="1"/>
  <c r="S551" i="13" a="1"/>
  <c r="S552" i="13" a="1"/>
  <c r="S553" i="13" a="1"/>
  <c r="S554" i="13" a="1"/>
  <c r="S555" i="13" a="1"/>
  <c r="S556" i="13" a="1"/>
  <c r="S557" i="13" a="1"/>
  <c r="S558" i="13" a="1"/>
  <c r="S559" i="13" a="1"/>
  <c r="S560" i="13" a="1"/>
  <c r="S561" i="13" a="1"/>
  <c r="S562" i="13" a="1"/>
  <c r="S563" i="13" a="1"/>
  <c r="S564" i="13" a="1"/>
  <c r="S565" i="13" a="1"/>
  <c r="S566" i="13" a="1"/>
  <c r="S567" i="13" a="1"/>
  <c r="S568" i="13" a="1"/>
  <c r="S569" i="13" a="1"/>
  <c r="S570" i="13" a="1"/>
  <c r="S571" i="13" a="1"/>
  <c r="S572" i="13" a="1"/>
  <c r="S573" i="13" a="1"/>
  <c r="S574" i="13" a="1"/>
  <c r="S575" i="13" a="1"/>
  <c r="S576" i="13" a="1"/>
  <c r="S577" i="13" a="1"/>
  <c r="S578" i="13" a="1"/>
  <c r="S579" i="13" a="1"/>
  <c r="S580" i="13" a="1"/>
  <c r="S581" i="13" a="1"/>
  <c r="S582" i="13" a="1"/>
  <c r="S583" i="13" a="1"/>
  <c r="S584" i="13" a="1"/>
  <c r="S585" i="13" a="1"/>
  <c r="S586" i="13" a="1"/>
  <c r="S587" i="13" a="1"/>
  <c r="S588" i="13" a="1"/>
  <c r="S589" i="13" a="1"/>
  <c r="S590" i="13" a="1"/>
  <c r="S591" i="13" a="1"/>
  <c r="S592" i="13" a="1"/>
  <c r="S593" i="13" a="1"/>
  <c r="S594" i="13" a="1"/>
  <c r="S595" i="13" a="1"/>
  <c r="S596" i="13" a="1"/>
  <c r="S597" i="13" a="1"/>
  <c r="S598" i="13" a="1"/>
  <c r="S599" i="13" a="1"/>
  <c r="S600" i="13" a="1"/>
  <c r="S601" i="13" a="1"/>
  <c r="S602" i="13" a="1"/>
  <c r="S603" i="13" a="1"/>
  <c r="S604" i="13" a="1"/>
  <c r="S605" i="13" a="1"/>
  <c r="S606" i="13" a="1"/>
  <c r="S607" i="13" a="1"/>
  <c r="S608" i="13" a="1"/>
  <c r="S609" i="13" a="1"/>
  <c r="S610" i="13" a="1"/>
  <c r="S611" i="13" a="1"/>
  <c r="S612" i="13" a="1"/>
  <c r="S613" i="13" a="1"/>
  <c r="S614" i="13" a="1"/>
  <c r="S615" i="13" a="1"/>
  <c r="S616" i="13" a="1"/>
  <c r="S617" i="13" a="1"/>
  <c r="S618" i="13" a="1"/>
  <c r="S619" i="13" a="1"/>
  <c r="B2011" i="21"/>
  <c r="F2011" i="21"/>
  <c r="H2011" i="21"/>
  <c r="H2" i="11"/>
  <c r="H5" i="11"/>
  <c r="H14" i="11"/>
  <c r="H22" i="11"/>
  <c r="H25" i="11"/>
  <c r="H32" i="11"/>
  <c r="H39" i="11"/>
  <c r="H42" i="11"/>
  <c r="H46" i="11"/>
  <c r="H50" i="11"/>
  <c r="H61" i="11"/>
  <c r="H67" i="11"/>
  <c r="H74" i="11"/>
  <c r="H86" i="11"/>
  <c r="H94" i="11"/>
  <c r="H98" i="11"/>
  <c r="H103" i="11"/>
  <c r="H107" i="11"/>
  <c r="H114" i="11"/>
  <c r="H122" i="11"/>
  <c r="H125"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G2" i="11"/>
  <c r="G5" i="11"/>
  <c r="G14" i="11"/>
  <c r="G22" i="11"/>
  <c r="G25" i="11"/>
  <c r="G32" i="11"/>
  <c r="G39" i="11"/>
  <c r="G42" i="11"/>
  <c r="G46" i="11"/>
  <c r="G50" i="11"/>
  <c r="G61" i="11"/>
  <c r="G67" i="11"/>
  <c r="G74" i="11"/>
  <c r="G86" i="11"/>
  <c r="G94" i="11"/>
  <c r="G98" i="11"/>
  <c r="G103" i="11"/>
  <c r="G107" i="11"/>
  <c r="G114" i="11"/>
  <c r="G122" i="11"/>
  <c r="G125"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Q3" i="11" a="1"/>
  <c r="Q4" i="11" a="1"/>
  <c r="Q5" i="11" a="1"/>
  <c r="Q6" i="11" a="1"/>
  <c r="Q7" i="11" a="1"/>
  <c r="Q8" i="11" a="1"/>
  <c r="Q9" i="11" a="1"/>
  <c r="Q10" i="11" a="1"/>
  <c r="Q11" i="11" a="1"/>
  <c r="Q12" i="11" a="1"/>
  <c r="Q13" i="11" a="1"/>
  <c r="Q14" i="11" a="1"/>
  <c r="Q15" i="11" a="1"/>
  <c r="Q16" i="11" a="1"/>
  <c r="Q17" i="11" a="1"/>
  <c r="Q18" i="11" a="1"/>
  <c r="Q19" i="11" a="1"/>
  <c r="Q20" i="11" a="1"/>
  <c r="Q21" i="11" a="1"/>
  <c r="Q22" i="11" a="1"/>
  <c r="Q23" i="11" a="1"/>
  <c r="Q24" i="11" a="1"/>
  <c r="Q25" i="11" a="1"/>
  <c r="Q26" i="11" a="1"/>
  <c r="Q27" i="11" a="1"/>
  <c r="Q28" i="11" a="1"/>
  <c r="Q29" i="11" a="1"/>
  <c r="Q30" i="11" a="1"/>
  <c r="Q31" i="11" a="1"/>
  <c r="Q32" i="11" a="1"/>
  <c r="Q33" i="11" a="1"/>
  <c r="Q34" i="11" a="1"/>
  <c r="Q35" i="11" a="1"/>
  <c r="Q36" i="11" a="1"/>
  <c r="Q37" i="11" a="1"/>
  <c r="Q38" i="11" a="1"/>
  <c r="Q39" i="11" a="1"/>
  <c r="Q40" i="11" a="1"/>
  <c r="Q41" i="11" a="1"/>
  <c r="Q42" i="11" a="1"/>
  <c r="Q43" i="11" a="1"/>
  <c r="Q44" i="11" a="1"/>
  <c r="Q45" i="11" a="1"/>
  <c r="Q46" i="11" a="1"/>
  <c r="Q47" i="11" a="1"/>
  <c r="Q48" i="11" a="1"/>
  <c r="Q49" i="11" a="1"/>
  <c r="Q50" i="11" a="1"/>
  <c r="Q51" i="11" a="1"/>
  <c r="Q52" i="11" a="1"/>
  <c r="Q53" i="11" a="1"/>
  <c r="Q54" i="11" a="1"/>
  <c r="Q55" i="11" a="1"/>
  <c r="Q56" i="11" a="1"/>
  <c r="Q57" i="11" a="1"/>
  <c r="Q58" i="11" a="1"/>
  <c r="Q59" i="11" a="1"/>
  <c r="Q60" i="11" a="1"/>
  <c r="Q61" i="11" a="1"/>
  <c r="Q62" i="11" a="1"/>
  <c r="Q63" i="11" a="1"/>
  <c r="Q64" i="11" a="1"/>
  <c r="Q65" i="11" a="1"/>
  <c r="Q66" i="11" a="1"/>
  <c r="Q67" i="11" a="1"/>
  <c r="Q68" i="11" a="1"/>
  <c r="Q69" i="11" a="1"/>
  <c r="Q70" i="11" a="1"/>
  <c r="Q71" i="11" a="1"/>
  <c r="Q72" i="11" a="1"/>
  <c r="Q73" i="11" a="1"/>
  <c r="Q74" i="11" a="1"/>
  <c r="Q75" i="11" a="1"/>
  <c r="Q76" i="11" a="1"/>
  <c r="Q77" i="11" a="1"/>
  <c r="Q78" i="11" a="1"/>
  <c r="Q79" i="11" a="1"/>
  <c r="Q80" i="11" a="1"/>
  <c r="Q81" i="11" a="1"/>
  <c r="Q82" i="11" a="1"/>
  <c r="Q83" i="11" a="1"/>
  <c r="Q84" i="11" a="1"/>
  <c r="Q85" i="11" a="1"/>
  <c r="Q86" i="11" a="1"/>
  <c r="Q87" i="11" a="1"/>
  <c r="Q88" i="11" a="1"/>
  <c r="Q89" i="11" a="1"/>
  <c r="Q90" i="11" a="1"/>
  <c r="Q91" i="11" a="1"/>
  <c r="Q92" i="11" a="1"/>
  <c r="Q93" i="11" a="1"/>
  <c r="Q94" i="11" a="1"/>
  <c r="Q95" i="11" a="1"/>
  <c r="Q96" i="11" a="1"/>
  <c r="Q97" i="11" a="1"/>
  <c r="Q98" i="11" a="1"/>
  <c r="Q99" i="11" a="1"/>
  <c r="Q100" i="11" a="1"/>
  <c r="Q101" i="11" a="1"/>
  <c r="Q2" i="11" a="1"/>
  <c r="M3" i="11" a="1"/>
  <c r="M4" i="11" a="1"/>
  <c r="M5" i="11" a="1"/>
  <c r="M6" i="11" a="1"/>
  <c r="M7" i="11" a="1"/>
  <c r="M8" i="11" a="1"/>
  <c r="M9" i="11" a="1"/>
  <c r="M10" i="11" a="1"/>
  <c r="M11" i="11" a="1"/>
  <c r="M12" i="11" a="1"/>
  <c r="M13" i="11" a="1"/>
  <c r="M14" i="11" a="1"/>
  <c r="M15" i="11" a="1"/>
  <c r="M16" i="11" a="1"/>
  <c r="M17" i="11" a="1"/>
  <c r="M18" i="11" a="1"/>
  <c r="M19" i="11" a="1"/>
  <c r="M20" i="11" a="1"/>
  <c r="M21" i="11" a="1"/>
  <c r="M22" i="11" a="1"/>
  <c r="M23" i="11" a="1"/>
  <c r="M24" i="11" a="1"/>
  <c r="M25" i="11" a="1"/>
  <c r="M26" i="11" a="1"/>
  <c r="M27" i="11" a="1"/>
  <c r="M28" i="11" a="1"/>
  <c r="M29" i="11" a="1"/>
  <c r="M30" i="11" a="1"/>
  <c r="M31" i="11" a="1"/>
  <c r="M32" i="11" a="1"/>
  <c r="M33" i="11" a="1"/>
  <c r="M34" i="11" a="1"/>
  <c r="M35" i="11" a="1"/>
  <c r="M36" i="11" a="1"/>
  <c r="M37" i="11" a="1"/>
  <c r="M38" i="11" a="1"/>
  <c r="M39" i="11" a="1"/>
  <c r="M40" i="11" a="1"/>
  <c r="M41" i="11" a="1"/>
  <c r="M42" i="11" a="1"/>
  <c r="M43" i="11" a="1"/>
  <c r="M44" i="11" a="1"/>
  <c r="M45" i="11" a="1"/>
  <c r="M46" i="11" a="1"/>
  <c r="M47" i="11" a="1"/>
  <c r="M48" i="11" a="1"/>
  <c r="M49" i="11" a="1"/>
  <c r="M50" i="11" a="1"/>
  <c r="M51" i="11" a="1"/>
  <c r="M52" i="11" a="1"/>
  <c r="M53" i="11" a="1"/>
  <c r="M54" i="11" a="1"/>
  <c r="M55" i="11" a="1"/>
  <c r="M56" i="11" a="1"/>
  <c r="M57" i="11" a="1"/>
  <c r="M58" i="11" a="1"/>
  <c r="M59" i="11" a="1"/>
  <c r="M60" i="11" a="1"/>
  <c r="M61" i="11" a="1"/>
  <c r="M62" i="11" a="1"/>
  <c r="M63" i="11" a="1"/>
  <c r="M64" i="11" a="1"/>
  <c r="M65" i="11" a="1"/>
  <c r="M66" i="11" a="1"/>
  <c r="M67" i="11" a="1"/>
  <c r="M68" i="11" a="1"/>
  <c r="M69" i="11" a="1"/>
  <c r="M70" i="11" a="1"/>
  <c r="M71" i="11" a="1"/>
  <c r="M72" i="11" a="1"/>
  <c r="M73" i="11" a="1"/>
  <c r="M74" i="11" a="1"/>
  <c r="M75" i="11" a="1"/>
  <c r="M76" i="11" a="1"/>
  <c r="M77" i="11" a="1"/>
  <c r="M78" i="11" a="1"/>
  <c r="M79" i="11" a="1"/>
  <c r="M80" i="11" a="1"/>
  <c r="M81" i="11" a="1"/>
  <c r="M82" i="11" a="1"/>
  <c r="M83" i="11" a="1"/>
  <c r="M84" i="11" a="1"/>
  <c r="M85" i="11" a="1"/>
  <c r="M86" i="11" a="1"/>
  <c r="M87" i="11" a="1"/>
  <c r="M88" i="11" a="1"/>
  <c r="M89" i="11" a="1"/>
  <c r="M90" i="11" a="1"/>
  <c r="M91" i="11" a="1"/>
  <c r="M92" i="11" a="1"/>
  <c r="M93" i="11" a="1"/>
  <c r="M94" i="11" a="1"/>
  <c r="M95" i="11" a="1"/>
  <c r="M96" i="11" a="1"/>
  <c r="M97" i="11" a="1"/>
  <c r="M98" i="11" a="1"/>
  <c r="M99" i="11" a="1"/>
  <c r="M100" i="11" a="1"/>
  <c r="M101" i="11" a="1"/>
  <c r="M2" i="11" a="1"/>
  <c r="B13" i="27"/>
  <c r="B561" i="3"/>
  <c r="I3" i="32" a="1"/>
  <c r="I4" i="32" a="1"/>
  <c r="I5" i="32" a="1"/>
  <c r="I6" i="32" a="1"/>
  <c r="I7" i="32" a="1"/>
  <c r="I8" i="32" a="1"/>
  <c r="I9" i="32" a="1"/>
  <c r="I10" i="32" a="1"/>
  <c r="I11" i="32" a="1"/>
  <c r="I12" i="32" a="1"/>
  <c r="I13" i="32" a="1"/>
  <c r="I14" i="32" a="1"/>
  <c r="I15" i="32" a="1"/>
  <c r="I16" i="32" a="1"/>
  <c r="I17" i="32" a="1"/>
  <c r="I18" i="32" a="1"/>
  <c r="I19" i="32" a="1"/>
  <c r="I20" i="32" a="1"/>
  <c r="I21" i="32" a="1"/>
  <c r="I22" i="32" a="1"/>
  <c r="I23" i="32" a="1"/>
  <c r="I24" i="32" a="1"/>
  <c r="I25" i="32" a="1"/>
  <c r="I26" i="32" a="1"/>
  <c r="I27" i="32" a="1"/>
  <c r="I28" i="32" a="1"/>
  <c r="I29" i="32" a="1"/>
  <c r="I30" i="32" a="1"/>
  <c r="I31" i="32" a="1"/>
  <c r="I32" i="32" a="1"/>
  <c r="I33" i="32" a="1"/>
  <c r="I34" i="32" a="1"/>
  <c r="I35" i="32" a="1"/>
  <c r="I36" i="32" a="1"/>
  <c r="I37" i="32" a="1"/>
  <c r="I38" i="32" a="1"/>
  <c r="I39" i="32" a="1"/>
  <c r="I40" i="32" a="1"/>
  <c r="I41" i="32" a="1"/>
  <c r="I42" i="32" a="1"/>
  <c r="I43" i="32" a="1"/>
  <c r="I44" i="32" a="1"/>
  <c r="I45" i="32" a="1"/>
  <c r="I46" i="32" a="1"/>
  <c r="I47" i="32" a="1"/>
  <c r="I48" i="32" a="1"/>
  <c r="I49" i="32" a="1"/>
  <c r="I50" i="32" a="1"/>
  <c r="I51" i="32" a="1"/>
  <c r="I52" i="32" a="1"/>
  <c r="I53" i="32" a="1"/>
  <c r="I54" i="32" a="1"/>
  <c r="I55" i="32" a="1"/>
  <c r="I56" i="32" a="1"/>
  <c r="I57" i="32" a="1"/>
  <c r="I58" i="32" a="1"/>
  <c r="I59" i="32" a="1"/>
  <c r="I60" i="32" a="1"/>
  <c r="I61" i="32" a="1"/>
  <c r="I62" i="32" a="1"/>
  <c r="I63" i="32" a="1"/>
  <c r="I64" i="32" a="1"/>
  <c r="I65" i="32" a="1"/>
  <c r="I66" i="32" a="1"/>
  <c r="I67" i="32" a="1"/>
  <c r="I68" i="32" a="1"/>
  <c r="I69" i="32" a="1"/>
  <c r="I70" i="32" a="1"/>
  <c r="I71" i="32" a="1"/>
  <c r="I72" i="32" a="1"/>
  <c r="I73" i="32" a="1"/>
  <c r="I74" i="32" a="1"/>
  <c r="I75" i="32" a="1"/>
  <c r="I76" i="32" a="1"/>
  <c r="I77" i="32" a="1"/>
  <c r="I78" i="32" a="1"/>
  <c r="I79" i="32" a="1"/>
  <c r="I80" i="32" a="1"/>
  <c r="I81" i="32" a="1"/>
  <c r="I82" i="32" a="1"/>
  <c r="I83" i="32" a="1"/>
  <c r="I84" i="32" a="1"/>
  <c r="I85" i="32" a="1"/>
  <c r="I86" i="32" a="1"/>
  <c r="I87" i="32" a="1"/>
  <c r="I88" i="32" a="1"/>
  <c r="I89" i="32" a="1"/>
  <c r="I90" i="32" a="1"/>
  <c r="I91" i="32" a="1"/>
  <c r="I92" i="32" a="1"/>
  <c r="I93" i="32" a="1"/>
  <c r="I94" i="32" a="1"/>
  <c r="I95" i="32" a="1"/>
  <c r="I96" i="32" a="1"/>
  <c r="I97" i="32" a="1"/>
  <c r="I98" i="32" a="1"/>
  <c r="I99" i="32" a="1"/>
  <c r="I100" i="32" a="1"/>
  <c r="I101" i="32" a="1"/>
  <c r="I102" i="32" a="1"/>
  <c r="I103" i="32" a="1"/>
  <c r="I104" i="32" a="1"/>
  <c r="H3" i="32" a="1"/>
  <c r="B3" i="32" s="1"/>
  <c r="H4" i="32" a="1"/>
  <c r="H5" i="32" a="1"/>
  <c r="H6" i="32" a="1"/>
  <c r="H7" i="32" a="1"/>
  <c r="H8" i="32" a="1"/>
  <c r="H9" i="32" a="1"/>
  <c r="H10" i="32" a="1"/>
  <c r="H11" i="32" a="1"/>
  <c r="H12" i="32" a="1"/>
  <c r="H13" i="32" a="1"/>
  <c r="H14" i="32" a="1"/>
  <c r="H15" i="32" a="1"/>
  <c r="H16" i="32" a="1"/>
  <c r="H17" i="32" a="1"/>
  <c r="H18" i="32" a="1"/>
  <c r="H19" i="32" a="1"/>
  <c r="H20" i="32" a="1"/>
  <c r="H21" i="32" a="1"/>
  <c r="H22" i="32" a="1"/>
  <c r="H23" i="32" a="1"/>
  <c r="H24" i="32" a="1"/>
  <c r="H25" i="32" a="1"/>
  <c r="H26" i="32" a="1"/>
  <c r="H27" i="32" a="1"/>
  <c r="H28" i="32" a="1"/>
  <c r="H29" i="32" a="1"/>
  <c r="H30" i="32" a="1"/>
  <c r="H31" i="32" a="1"/>
  <c r="H32" i="32" a="1"/>
  <c r="H33" i="32" a="1"/>
  <c r="H34" i="32" a="1"/>
  <c r="H35" i="32" a="1"/>
  <c r="H36" i="32" a="1"/>
  <c r="H37" i="32" a="1"/>
  <c r="H38" i="32" a="1"/>
  <c r="H39" i="32" a="1"/>
  <c r="H40" i="32" a="1"/>
  <c r="H41" i="32" a="1"/>
  <c r="H42" i="32" a="1"/>
  <c r="H43" i="32" a="1"/>
  <c r="H44" i="32" a="1"/>
  <c r="H45" i="32" a="1"/>
  <c r="H46" i="32" a="1"/>
  <c r="H47" i="32" a="1"/>
  <c r="H48" i="32" a="1"/>
  <c r="H49" i="32" a="1"/>
  <c r="H50" i="32" a="1"/>
  <c r="H51" i="32" a="1"/>
  <c r="H52" i="32" a="1"/>
  <c r="H53" i="32" a="1"/>
  <c r="H54" i="32" a="1"/>
  <c r="H55" i="32" a="1"/>
  <c r="H56" i="32" a="1"/>
  <c r="H57" i="32" a="1"/>
  <c r="H58" i="32" a="1"/>
  <c r="H59" i="32" a="1"/>
  <c r="H60" i="32" a="1"/>
  <c r="H61" i="32" a="1"/>
  <c r="H62" i="32" a="1"/>
  <c r="H63" i="32" a="1"/>
  <c r="H64" i="32" a="1"/>
  <c r="H65" i="32" a="1"/>
  <c r="H66" i="32" a="1"/>
  <c r="H67" i="32" a="1"/>
  <c r="H68" i="32" a="1"/>
  <c r="H69" i="32" a="1"/>
  <c r="H70" i="32" a="1"/>
  <c r="H71" i="32" a="1"/>
  <c r="H72" i="32" a="1"/>
  <c r="H73" i="32" a="1"/>
  <c r="H74" i="32" a="1"/>
  <c r="H75" i="32" a="1"/>
  <c r="H76" i="32" a="1"/>
  <c r="H77" i="32" a="1"/>
  <c r="H78" i="32" a="1"/>
  <c r="H79" i="32" a="1"/>
  <c r="H80" i="32" a="1"/>
  <c r="H81" i="32" a="1"/>
  <c r="H82" i="32" a="1"/>
  <c r="H83" i="32" a="1"/>
  <c r="H84" i="32" a="1"/>
  <c r="H85" i="32" a="1"/>
  <c r="H86" i="32" a="1"/>
  <c r="H87" i="32" a="1"/>
  <c r="H88" i="32" a="1"/>
  <c r="H89" i="32" a="1"/>
  <c r="H90" i="32" a="1"/>
  <c r="H91" i="32" a="1"/>
  <c r="H92" i="32" a="1"/>
  <c r="H93" i="32" a="1"/>
  <c r="H94" i="32" a="1"/>
  <c r="H95" i="32" a="1"/>
  <c r="H96" i="32" a="1"/>
  <c r="H97" i="32" a="1"/>
  <c r="H98" i="32" a="1"/>
  <c r="H99" i="32" a="1"/>
  <c r="H100" i="32" a="1"/>
  <c r="H101" i="32" a="1"/>
  <c r="H102" i="32" a="1"/>
  <c r="H103" i="32" a="1"/>
  <c r="H104" i="32" a="1"/>
  <c r="C3" i="32"/>
  <c r="I351" i="3"/>
  <c r="I352" i="3"/>
  <c r="I354" i="3"/>
  <c r="I416" i="3"/>
  <c r="I426" i="3"/>
  <c r="I435" i="3"/>
  <c r="F4" i="32"/>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B441" i="3"/>
  <c r="D441" i="3"/>
  <c r="I441" i="3" s="1"/>
  <c r="B492" i="13"/>
  <c r="E492" i="13"/>
  <c r="O492" i="13" s="1" a="1"/>
  <c r="G492" i="13"/>
  <c r="H492" i="13" s="1"/>
  <c r="T492" i="13"/>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92" i="21"/>
  <c r="B93" i="21"/>
  <c r="B94" i="21"/>
  <c r="B95" i="21"/>
  <c r="B96" i="21"/>
  <c r="B97" i="21"/>
  <c r="B98" i="21"/>
  <c r="B99" i="21"/>
  <c r="B100" i="21"/>
  <c r="B101" i="21"/>
  <c r="B102" i="21"/>
  <c r="B103" i="21"/>
  <c r="B104" i="21"/>
  <c r="B105" i="21"/>
  <c r="B106" i="21"/>
  <c r="B107" i="21"/>
  <c r="B108" i="21"/>
  <c r="B109" i="21"/>
  <c r="B110" i="21"/>
  <c r="B111" i="21"/>
  <c r="B112" i="21"/>
  <c r="B113" i="21"/>
  <c r="B114" i="21"/>
  <c r="B115" i="21"/>
  <c r="B116" i="21"/>
  <c r="B117" i="21"/>
  <c r="B118" i="21"/>
  <c r="B119" i="21"/>
  <c r="B120" i="21"/>
  <c r="B121" i="21"/>
  <c r="B122" i="21"/>
  <c r="B123" i="21"/>
  <c r="B124" i="21"/>
  <c r="B125" i="21"/>
  <c r="B126" i="21"/>
  <c r="B127" i="21"/>
  <c r="B128" i="21"/>
  <c r="B129" i="21"/>
  <c r="B130" i="21"/>
  <c r="B131" i="21"/>
  <c r="B132" i="21"/>
  <c r="B133" i="21"/>
  <c r="B134" i="21"/>
  <c r="B135" i="21"/>
  <c r="B136" i="21"/>
  <c r="B137" i="21"/>
  <c r="B138" i="21"/>
  <c r="B139" i="21"/>
  <c r="B140" i="21"/>
  <c r="B141" i="21"/>
  <c r="B142" i="21"/>
  <c r="B143" i="21"/>
  <c r="B144" i="21"/>
  <c r="B145" i="21"/>
  <c r="B146" i="21"/>
  <c r="B147" i="21"/>
  <c r="B148" i="21"/>
  <c r="B149" i="21"/>
  <c r="B150" i="21"/>
  <c r="B151" i="21"/>
  <c r="B152" i="21"/>
  <c r="B153" i="21"/>
  <c r="B154" i="21"/>
  <c r="B155" i="21"/>
  <c r="B156" i="21"/>
  <c r="B157" i="21"/>
  <c r="B158" i="21"/>
  <c r="B159" i="21"/>
  <c r="B160" i="21"/>
  <c r="B161" i="21"/>
  <c r="B162" i="21"/>
  <c r="B163" i="21"/>
  <c r="B164" i="21"/>
  <c r="B165" i="21"/>
  <c r="B166" i="21"/>
  <c r="B167" i="21"/>
  <c r="B168" i="21"/>
  <c r="B169" i="21"/>
  <c r="B170" i="21"/>
  <c r="B171" i="21"/>
  <c r="B172" i="21"/>
  <c r="B173" i="21"/>
  <c r="B174" i="21"/>
  <c r="B175" i="21"/>
  <c r="B176" i="21"/>
  <c r="B177" i="21"/>
  <c r="B178" i="21"/>
  <c r="B179" i="21"/>
  <c r="B180" i="21"/>
  <c r="B181" i="21"/>
  <c r="B182" i="21"/>
  <c r="B183" i="21"/>
  <c r="B184" i="21"/>
  <c r="B185" i="21"/>
  <c r="B186" i="21"/>
  <c r="B187" i="21"/>
  <c r="B188" i="21"/>
  <c r="B189" i="21"/>
  <c r="B190" i="21"/>
  <c r="B191" i="21"/>
  <c r="B192" i="21"/>
  <c r="B193" i="21"/>
  <c r="B194" i="21"/>
  <c r="B195" i="21"/>
  <c r="B196" i="21"/>
  <c r="B197" i="21"/>
  <c r="B198" i="21"/>
  <c r="B199" i="21"/>
  <c r="B200" i="21"/>
  <c r="B201" i="21"/>
  <c r="B202" i="21"/>
  <c r="B203" i="21"/>
  <c r="B204" i="21"/>
  <c r="B205" i="21"/>
  <c r="B206" i="21"/>
  <c r="B207" i="21"/>
  <c r="B208" i="21"/>
  <c r="B209" i="21"/>
  <c r="B210" i="21"/>
  <c r="B211" i="21"/>
  <c r="B212" i="21"/>
  <c r="B213" i="21"/>
  <c r="B214" i="21"/>
  <c r="B215" i="21"/>
  <c r="B216" i="21"/>
  <c r="B217" i="21"/>
  <c r="B218" i="21"/>
  <c r="B219" i="21"/>
  <c r="B220" i="21"/>
  <c r="B221" i="21"/>
  <c r="B222" i="21"/>
  <c r="B223" i="21"/>
  <c r="B224" i="21"/>
  <c r="B225" i="21"/>
  <c r="B226" i="21"/>
  <c r="B227" i="21"/>
  <c r="B228" i="21"/>
  <c r="B229" i="21"/>
  <c r="B230" i="21"/>
  <c r="B231" i="21"/>
  <c r="B232" i="21"/>
  <c r="B233" i="21"/>
  <c r="B234" i="21"/>
  <c r="B235" i="21"/>
  <c r="B236" i="21"/>
  <c r="B237" i="21"/>
  <c r="B238" i="21"/>
  <c r="B239" i="21"/>
  <c r="B240" i="21"/>
  <c r="B241" i="21"/>
  <c r="B242" i="21"/>
  <c r="B243" i="21"/>
  <c r="B244" i="21"/>
  <c r="B245" i="21"/>
  <c r="B246" i="21"/>
  <c r="B247" i="21"/>
  <c r="B248" i="21"/>
  <c r="B249" i="21"/>
  <c r="B250" i="21"/>
  <c r="B251" i="21"/>
  <c r="B252" i="21"/>
  <c r="B253" i="21"/>
  <c r="B254" i="21"/>
  <c r="B255" i="21"/>
  <c r="B256" i="21"/>
  <c r="B257" i="21"/>
  <c r="B258" i="21"/>
  <c r="B259" i="21"/>
  <c r="B260" i="21"/>
  <c r="B261" i="21"/>
  <c r="B262" i="21"/>
  <c r="B263" i="21"/>
  <c r="B264" i="21"/>
  <c r="B265" i="21"/>
  <c r="B266" i="21"/>
  <c r="B267" i="21"/>
  <c r="B268" i="21"/>
  <c r="B269" i="21"/>
  <c r="B270" i="21"/>
  <c r="B271" i="21"/>
  <c r="B272" i="21"/>
  <c r="B273" i="21"/>
  <c r="B274" i="21"/>
  <c r="B275" i="21"/>
  <c r="B276" i="21"/>
  <c r="B277" i="21"/>
  <c r="B278" i="21"/>
  <c r="B279" i="21"/>
  <c r="B280" i="21"/>
  <c r="B281" i="21"/>
  <c r="B282" i="21"/>
  <c r="B283" i="21"/>
  <c r="B284" i="21"/>
  <c r="B285" i="21"/>
  <c r="B286" i="21"/>
  <c r="B287" i="21"/>
  <c r="B288" i="21"/>
  <c r="B289" i="21"/>
  <c r="B290" i="21"/>
  <c r="B291" i="21"/>
  <c r="B292" i="21"/>
  <c r="B293" i="21"/>
  <c r="B294" i="21"/>
  <c r="B295" i="21"/>
  <c r="B296" i="21"/>
  <c r="B297" i="21"/>
  <c r="B298" i="21"/>
  <c r="B299" i="21"/>
  <c r="B300" i="21"/>
  <c r="B301" i="21"/>
  <c r="B302" i="21"/>
  <c r="B303" i="21"/>
  <c r="B304" i="21"/>
  <c r="B305" i="21"/>
  <c r="B306" i="21"/>
  <c r="B307" i="21"/>
  <c r="B308" i="21"/>
  <c r="B309" i="21"/>
  <c r="B310" i="21"/>
  <c r="B311" i="21"/>
  <c r="B312" i="21"/>
  <c r="B313" i="21"/>
  <c r="B314" i="21"/>
  <c r="B315" i="21"/>
  <c r="B316" i="21"/>
  <c r="B317" i="21"/>
  <c r="B318" i="21"/>
  <c r="B319" i="21"/>
  <c r="B320" i="21"/>
  <c r="B321" i="21"/>
  <c r="B322" i="21"/>
  <c r="B323" i="21"/>
  <c r="B324" i="21"/>
  <c r="B325" i="21"/>
  <c r="B326" i="21"/>
  <c r="B327" i="21"/>
  <c r="B328" i="21"/>
  <c r="B329" i="21"/>
  <c r="B330" i="21"/>
  <c r="B331" i="21"/>
  <c r="B332" i="21"/>
  <c r="B333" i="21"/>
  <c r="B334" i="21"/>
  <c r="B335" i="21"/>
  <c r="B336" i="21"/>
  <c r="B337" i="21"/>
  <c r="B338" i="21"/>
  <c r="B339" i="21"/>
  <c r="B340" i="21"/>
  <c r="B341" i="21"/>
  <c r="B342" i="21"/>
  <c r="B343" i="21"/>
  <c r="B344" i="21"/>
  <c r="B345" i="21"/>
  <c r="B346" i="21"/>
  <c r="B347" i="21"/>
  <c r="B348" i="21"/>
  <c r="B349" i="21"/>
  <c r="B350" i="21"/>
  <c r="B351" i="21"/>
  <c r="B352" i="21"/>
  <c r="B353" i="21"/>
  <c r="B354" i="21"/>
  <c r="B355" i="21"/>
  <c r="B356" i="21"/>
  <c r="B357" i="21"/>
  <c r="B358" i="21"/>
  <c r="B359" i="21"/>
  <c r="B360" i="21"/>
  <c r="B361" i="21"/>
  <c r="B362" i="21"/>
  <c r="B363" i="21"/>
  <c r="B364" i="21"/>
  <c r="B365" i="21"/>
  <c r="B366" i="21"/>
  <c r="B367" i="21"/>
  <c r="B368" i="21"/>
  <c r="B369" i="21"/>
  <c r="B370" i="21"/>
  <c r="B371" i="21"/>
  <c r="B372" i="21"/>
  <c r="B373" i="21"/>
  <c r="B374" i="21"/>
  <c r="B375" i="21"/>
  <c r="B376" i="21"/>
  <c r="B377" i="21"/>
  <c r="B378" i="21"/>
  <c r="B379" i="21"/>
  <c r="B380" i="21"/>
  <c r="B381" i="21"/>
  <c r="B382" i="21"/>
  <c r="B383" i="21"/>
  <c r="B384" i="21"/>
  <c r="B385" i="21"/>
  <c r="B386" i="21"/>
  <c r="B387" i="21"/>
  <c r="B388" i="21"/>
  <c r="B389" i="21"/>
  <c r="B390" i="21"/>
  <c r="B391" i="21"/>
  <c r="B392" i="21"/>
  <c r="B393" i="21"/>
  <c r="B394" i="21"/>
  <c r="B395" i="21"/>
  <c r="B396" i="21"/>
  <c r="B397" i="21"/>
  <c r="B398" i="21"/>
  <c r="B399" i="21"/>
  <c r="B400" i="21"/>
  <c r="B401" i="21"/>
  <c r="B402" i="21"/>
  <c r="B403" i="21"/>
  <c r="B404" i="21"/>
  <c r="B405" i="21"/>
  <c r="B406" i="21"/>
  <c r="B407" i="21"/>
  <c r="B408" i="21"/>
  <c r="B409" i="21"/>
  <c r="B410" i="21"/>
  <c r="B411" i="21"/>
  <c r="B412" i="21"/>
  <c r="B413" i="21"/>
  <c r="B414" i="21"/>
  <c r="B415" i="21"/>
  <c r="B416" i="21"/>
  <c r="B417" i="21"/>
  <c r="B418" i="21"/>
  <c r="B419" i="21"/>
  <c r="B420" i="21"/>
  <c r="B421" i="21"/>
  <c r="B422" i="21"/>
  <c r="B423" i="21"/>
  <c r="B424" i="21"/>
  <c r="B425" i="21"/>
  <c r="B426" i="21"/>
  <c r="B427" i="21"/>
  <c r="B428" i="21"/>
  <c r="B429" i="21"/>
  <c r="B430" i="21"/>
  <c r="B431" i="21"/>
  <c r="B432" i="21"/>
  <c r="B433" i="21"/>
  <c r="B434" i="21"/>
  <c r="B435" i="21"/>
  <c r="B436" i="21"/>
  <c r="B437" i="21"/>
  <c r="B438" i="21"/>
  <c r="B439" i="21"/>
  <c r="B440" i="21"/>
  <c r="B441" i="21"/>
  <c r="B442" i="21"/>
  <c r="B443" i="21"/>
  <c r="B444" i="21"/>
  <c r="B445" i="21"/>
  <c r="B446" i="21"/>
  <c r="B447" i="21"/>
  <c r="B448" i="21"/>
  <c r="B449" i="21"/>
  <c r="B450" i="21"/>
  <c r="B451" i="21"/>
  <c r="B452" i="21"/>
  <c r="B453" i="21"/>
  <c r="B454" i="21"/>
  <c r="B455" i="21"/>
  <c r="B456" i="21"/>
  <c r="B457" i="21"/>
  <c r="B458" i="21"/>
  <c r="B459" i="21"/>
  <c r="B460" i="21"/>
  <c r="B461" i="21"/>
  <c r="B462" i="21"/>
  <c r="B463" i="21"/>
  <c r="B464" i="21"/>
  <c r="B465" i="21"/>
  <c r="B466" i="21"/>
  <c r="B467" i="21"/>
  <c r="B468" i="21"/>
  <c r="B469" i="21"/>
  <c r="B470" i="21"/>
  <c r="B471" i="21"/>
  <c r="B472" i="21"/>
  <c r="B473" i="21"/>
  <c r="B474" i="21"/>
  <c r="B475" i="21"/>
  <c r="B476" i="21"/>
  <c r="B477" i="21"/>
  <c r="B478" i="21"/>
  <c r="B479" i="21"/>
  <c r="B480" i="21"/>
  <c r="B481" i="21"/>
  <c r="B482" i="21"/>
  <c r="B483" i="21"/>
  <c r="B484" i="21"/>
  <c r="B485" i="21"/>
  <c r="B486" i="21"/>
  <c r="B487" i="21"/>
  <c r="B488" i="21"/>
  <c r="B489" i="21"/>
  <c r="B490" i="21"/>
  <c r="B491" i="21"/>
  <c r="B492" i="21"/>
  <c r="B493" i="21"/>
  <c r="B494" i="21"/>
  <c r="B495" i="21"/>
  <c r="B496" i="21"/>
  <c r="B497" i="21"/>
  <c r="B498" i="21"/>
  <c r="B499" i="21"/>
  <c r="B500" i="21"/>
  <c r="B501" i="21"/>
  <c r="B502" i="21"/>
  <c r="B503" i="21"/>
  <c r="B504" i="21"/>
  <c r="B505" i="21"/>
  <c r="B506" i="21"/>
  <c r="B507" i="21"/>
  <c r="B508" i="21"/>
  <c r="B509" i="21"/>
  <c r="B510" i="21"/>
  <c r="B511" i="21"/>
  <c r="B512" i="21"/>
  <c r="B513" i="21"/>
  <c r="B514" i="21"/>
  <c r="B515" i="21"/>
  <c r="B516" i="21"/>
  <c r="B517" i="21"/>
  <c r="B518" i="21"/>
  <c r="B519" i="21"/>
  <c r="B520" i="21"/>
  <c r="B521" i="21"/>
  <c r="B522" i="21"/>
  <c r="B523" i="21"/>
  <c r="B524" i="21"/>
  <c r="B525" i="21"/>
  <c r="B526" i="21"/>
  <c r="B527" i="21"/>
  <c r="B528" i="21"/>
  <c r="B529" i="21"/>
  <c r="B530" i="21"/>
  <c r="B531" i="21"/>
  <c r="B532" i="21"/>
  <c r="B533" i="21"/>
  <c r="B534" i="21"/>
  <c r="B535" i="21"/>
  <c r="B536" i="21"/>
  <c r="B537" i="21"/>
  <c r="B538" i="21"/>
  <c r="B539" i="21"/>
  <c r="B540" i="21"/>
  <c r="B541" i="21"/>
  <c r="B542" i="21"/>
  <c r="B543" i="21"/>
  <c r="B544" i="21"/>
  <c r="B545" i="21"/>
  <c r="B546" i="21"/>
  <c r="B547" i="21"/>
  <c r="B548" i="21"/>
  <c r="B549" i="21"/>
  <c r="B550" i="21"/>
  <c r="B551" i="21"/>
  <c r="B552" i="21"/>
  <c r="B553" i="21"/>
  <c r="B554" i="21"/>
  <c r="B555" i="21"/>
  <c r="B556" i="21"/>
  <c r="B557" i="21"/>
  <c r="B558" i="21"/>
  <c r="B559" i="21"/>
  <c r="B560" i="21"/>
  <c r="B561" i="21"/>
  <c r="B562" i="21"/>
  <c r="B563" i="21"/>
  <c r="B564" i="21"/>
  <c r="B565" i="21"/>
  <c r="B566" i="21"/>
  <c r="B567" i="21"/>
  <c r="B568" i="21"/>
  <c r="B569" i="21"/>
  <c r="B570" i="21"/>
  <c r="B571" i="21"/>
  <c r="B572" i="21"/>
  <c r="B573" i="21"/>
  <c r="B574" i="21"/>
  <c r="B575" i="21"/>
  <c r="B576" i="21"/>
  <c r="B577" i="21"/>
  <c r="B578" i="21"/>
  <c r="B579" i="21"/>
  <c r="B580" i="21"/>
  <c r="B581" i="21"/>
  <c r="B582" i="21"/>
  <c r="B583" i="21"/>
  <c r="B584" i="21"/>
  <c r="B585" i="21"/>
  <c r="B586" i="21"/>
  <c r="B587" i="21"/>
  <c r="B588" i="21"/>
  <c r="B589" i="21"/>
  <c r="B590" i="21"/>
  <c r="B591" i="21"/>
  <c r="B592" i="21"/>
  <c r="B593" i="21"/>
  <c r="B594" i="21"/>
  <c r="B595" i="21"/>
  <c r="B596" i="21"/>
  <c r="B597" i="21"/>
  <c r="B598" i="21"/>
  <c r="B599" i="21"/>
  <c r="B600" i="21"/>
  <c r="B601" i="21"/>
  <c r="B602" i="21"/>
  <c r="B603" i="21"/>
  <c r="B604" i="21"/>
  <c r="B605" i="21"/>
  <c r="B606" i="21"/>
  <c r="B607" i="21"/>
  <c r="B608" i="21"/>
  <c r="B609" i="21"/>
  <c r="B610" i="21"/>
  <c r="B611" i="21"/>
  <c r="B612" i="21"/>
  <c r="B613" i="21"/>
  <c r="B614" i="21"/>
  <c r="B615" i="21"/>
  <c r="B616" i="21"/>
  <c r="B617" i="21"/>
  <c r="B618" i="21"/>
  <c r="B619" i="21"/>
  <c r="B620" i="21"/>
  <c r="B621" i="21"/>
  <c r="B622" i="21"/>
  <c r="B623" i="21"/>
  <c r="B624" i="21"/>
  <c r="B625" i="21"/>
  <c r="B626" i="21"/>
  <c r="B627" i="21"/>
  <c r="B628" i="21"/>
  <c r="B629" i="21"/>
  <c r="B630" i="21"/>
  <c r="B631" i="21"/>
  <c r="B632" i="21"/>
  <c r="B633" i="21"/>
  <c r="B634" i="21"/>
  <c r="B635" i="21"/>
  <c r="B636" i="21"/>
  <c r="B637" i="21"/>
  <c r="B638" i="21"/>
  <c r="B639" i="21"/>
  <c r="B640" i="21"/>
  <c r="B641" i="21"/>
  <c r="B642" i="21"/>
  <c r="B643" i="21"/>
  <c r="B644" i="21"/>
  <c r="B645" i="21"/>
  <c r="B646" i="21"/>
  <c r="B647" i="21"/>
  <c r="B648" i="21"/>
  <c r="B649" i="21"/>
  <c r="B650" i="21"/>
  <c r="B651" i="21"/>
  <c r="B652" i="21"/>
  <c r="B653" i="21"/>
  <c r="B654" i="21"/>
  <c r="B655" i="21"/>
  <c r="B656" i="21"/>
  <c r="B657" i="21"/>
  <c r="B658" i="21"/>
  <c r="B659" i="21"/>
  <c r="B660" i="21"/>
  <c r="B661" i="21"/>
  <c r="B662" i="21"/>
  <c r="B663" i="21"/>
  <c r="B664" i="21"/>
  <c r="B665" i="21"/>
  <c r="B666" i="21"/>
  <c r="B667" i="21"/>
  <c r="B668" i="21"/>
  <c r="B669" i="21"/>
  <c r="B670" i="21"/>
  <c r="B671" i="21"/>
  <c r="B672" i="21"/>
  <c r="B673" i="21"/>
  <c r="B674" i="21"/>
  <c r="B675" i="21"/>
  <c r="B676" i="21"/>
  <c r="B677" i="21"/>
  <c r="B678" i="21"/>
  <c r="B679" i="21"/>
  <c r="B680" i="21"/>
  <c r="B681" i="21"/>
  <c r="B682" i="21"/>
  <c r="B683" i="21"/>
  <c r="B684" i="21"/>
  <c r="B685" i="21"/>
  <c r="B686" i="21"/>
  <c r="B687" i="21"/>
  <c r="B688" i="21"/>
  <c r="B689" i="21"/>
  <c r="B690" i="21"/>
  <c r="B691" i="21"/>
  <c r="B692" i="21"/>
  <c r="B693" i="21"/>
  <c r="B694" i="21"/>
  <c r="B695" i="21"/>
  <c r="B696" i="21"/>
  <c r="B697" i="21"/>
  <c r="B698" i="21"/>
  <c r="B699" i="21"/>
  <c r="B700" i="21"/>
  <c r="B701" i="21"/>
  <c r="B702" i="21"/>
  <c r="B703" i="21"/>
  <c r="B704" i="21"/>
  <c r="B705" i="21"/>
  <c r="B706" i="21"/>
  <c r="B707" i="21"/>
  <c r="B708" i="21"/>
  <c r="B709" i="21"/>
  <c r="B710" i="21"/>
  <c r="B711" i="21"/>
  <c r="B712" i="21"/>
  <c r="B713" i="21"/>
  <c r="B714" i="21"/>
  <c r="B715" i="21"/>
  <c r="B716" i="21"/>
  <c r="B717" i="21"/>
  <c r="B718" i="21"/>
  <c r="B719" i="21"/>
  <c r="B720" i="21"/>
  <c r="B721" i="21"/>
  <c r="B722" i="21"/>
  <c r="B723" i="21"/>
  <c r="B724" i="21"/>
  <c r="B725" i="21"/>
  <c r="B726" i="21"/>
  <c r="B727" i="21"/>
  <c r="B728" i="21"/>
  <c r="B729" i="21"/>
  <c r="B730" i="21"/>
  <c r="B731" i="21"/>
  <c r="B732" i="21"/>
  <c r="B733" i="21"/>
  <c r="B734" i="21"/>
  <c r="B735" i="21"/>
  <c r="B736" i="21"/>
  <c r="B737" i="21"/>
  <c r="B738" i="21"/>
  <c r="B739" i="21"/>
  <c r="B740" i="21"/>
  <c r="B741" i="21"/>
  <c r="B742" i="21"/>
  <c r="B743" i="21"/>
  <c r="B744" i="21"/>
  <c r="B745" i="21"/>
  <c r="B746" i="21"/>
  <c r="B747" i="21"/>
  <c r="B748" i="21"/>
  <c r="B749" i="21"/>
  <c r="B750" i="21"/>
  <c r="B751" i="21"/>
  <c r="B752" i="21"/>
  <c r="B753" i="21"/>
  <c r="B754" i="21"/>
  <c r="B755" i="21"/>
  <c r="B756" i="21"/>
  <c r="B757" i="21"/>
  <c r="B758" i="21"/>
  <c r="B759" i="21"/>
  <c r="B760" i="21"/>
  <c r="B761" i="21"/>
  <c r="B762" i="21"/>
  <c r="B763" i="21"/>
  <c r="B764" i="21"/>
  <c r="B765" i="21"/>
  <c r="B766" i="21"/>
  <c r="B767" i="21"/>
  <c r="B768" i="21"/>
  <c r="B769" i="21"/>
  <c r="B770" i="21"/>
  <c r="B771" i="21"/>
  <c r="B772" i="21"/>
  <c r="B773" i="21"/>
  <c r="B774" i="21"/>
  <c r="B775" i="21"/>
  <c r="B776" i="21"/>
  <c r="B777" i="21"/>
  <c r="B778" i="21"/>
  <c r="B779" i="21"/>
  <c r="B780" i="21"/>
  <c r="B781" i="21"/>
  <c r="B782" i="21"/>
  <c r="B783" i="21"/>
  <c r="B784" i="21"/>
  <c r="B785" i="21"/>
  <c r="B786" i="21"/>
  <c r="B787" i="21"/>
  <c r="B788" i="21"/>
  <c r="B789" i="21"/>
  <c r="B790" i="21"/>
  <c r="B791" i="21"/>
  <c r="B792" i="21"/>
  <c r="B793" i="21"/>
  <c r="B794" i="21"/>
  <c r="B795" i="21"/>
  <c r="B796" i="21"/>
  <c r="B797" i="21"/>
  <c r="B798" i="21"/>
  <c r="B799" i="21"/>
  <c r="B800" i="21"/>
  <c r="B801" i="21"/>
  <c r="B802" i="21"/>
  <c r="B803" i="21"/>
  <c r="B804" i="21"/>
  <c r="B805" i="21"/>
  <c r="B806" i="21"/>
  <c r="B807" i="21"/>
  <c r="B808" i="21"/>
  <c r="B809" i="21"/>
  <c r="B810" i="21"/>
  <c r="B811" i="21"/>
  <c r="B812" i="21"/>
  <c r="B813" i="21"/>
  <c r="B814" i="21"/>
  <c r="B815" i="21"/>
  <c r="B816" i="21"/>
  <c r="B817" i="21"/>
  <c r="B818" i="21"/>
  <c r="B819" i="21"/>
  <c r="B820" i="21"/>
  <c r="B821" i="21"/>
  <c r="B822" i="21"/>
  <c r="B823" i="21"/>
  <c r="B824" i="21"/>
  <c r="B825" i="21"/>
  <c r="B826" i="21"/>
  <c r="B827" i="21"/>
  <c r="B828" i="21"/>
  <c r="B829" i="21"/>
  <c r="B830" i="21"/>
  <c r="B831" i="21"/>
  <c r="B832" i="21"/>
  <c r="B833" i="21"/>
  <c r="B834" i="21"/>
  <c r="B835" i="21"/>
  <c r="B836" i="21"/>
  <c r="B837" i="21"/>
  <c r="B838" i="21"/>
  <c r="B839" i="21"/>
  <c r="B840" i="21"/>
  <c r="B841" i="21"/>
  <c r="B842" i="21"/>
  <c r="B843" i="21"/>
  <c r="B844" i="21"/>
  <c r="B845" i="21"/>
  <c r="B846" i="21"/>
  <c r="B847" i="21"/>
  <c r="B848" i="21"/>
  <c r="B849" i="21"/>
  <c r="B850" i="21"/>
  <c r="B851" i="21"/>
  <c r="B852" i="21"/>
  <c r="B853" i="21"/>
  <c r="B854" i="21"/>
  <c r="B855" i="21"/>
  <c r="B856" i="21"/>
  <c r="B857" i="21"/>
  <c r="B858" i="21"/>
  <c r="B859" i="21"/>
  <c r="B860" i="21"/>
  <c r="B861" i="21"/>
  <c r="B862" i="21"/>
  <c r="B863" i="21"/>
  <c r="B864" i="21"/>
  <c r="B865" i="21"/>
  <c r="B866" i="21"/>
  <c r="B867" i="21"/>
  <c r="B868" i="21"/>
  <c r="B869" i="21"/>
  <c r="B870" i="21"/>
  <c r="B871" i="21"/>
  <c r="B872" i="21"/>
  <c r="B873" i="21"/>
  <c r="B874" i="21"/>
  <c r="B875" i="21"/>
  <c r="B876" i="21"/>
  <c r="B877" i="21"/>
  <c r="B878" i="21"/>
  <c r="B879" i="21"/>
  <c r="B880" i="21"/>
  <c r="B881" i="21"/>
  <c r="B882" i="21"/>
  <c r="B883" i="21"/>
  <c r="B884" i="21"/>
  <c r="B885" i="21"/>
  <c r="B886" i="21"/>
  <c r="B887" i="21"/>
  <c r="B888" i="21"/>
  <c r="B889" i="21"/>
  <c r="B890" i="21"/>
  <c r="B891" i="21"/>
  <c r="B892" i="21"/>
  <c r="B893" i="21"/>
  <c r="B894" i="21"/>
  <c r="B895" i="21"/>
  <c r="B896" i="21"/>
  <c r="B897" i="21"/>
  <c r="B898" i="21"/>
  <c r="B899" i="21"/>
  <c r="B900" i="21"/>
  <c r="B901" i="21"/>
  <c r="B902" i="21"/>
  <c r="B903" i="21"/>
  <c r="B904" i="21"/>
  <c r="B905" i="21"/>
  <c r="B906" i="21"/>
  <c r="B907" i="21"/>
  <c r="B908" i="21"/>
  <c r="B909" i="21"/>
  <c r="B910" i="21"/>
  <c r="B911" i="21"/>
  <c r="B912" i="21"/>
  <c r="B913" i="21"/>
  <c r="B914" i="21"/>
  <c r="B915" i="21"/>
  <c r="B916" i="21"/>
  <c r="B917" i="21"/>
  <c r="B918" i="21"/>
  <c r="B919" i="21"/>
  <c r="B920" i="21"/>
  <c r="B921" i="21"/>
  <c r="B922" i="21"/>
  <c r="B923" i="21"/>
  <c r="B924" i="21"/>
  <c r="B925" i="21"/>
  <c r="B926" i="21"/>
  <c r="B927" i="21"/>
  <c r="B928" i="21"/>
  <c r="B929" i="21"/>
  <c r="B930" i="21"/>
  <c r="B931" i="21"/>
  <c r="B932" i="21"/>
  <c r="B933" i="21"/>
  <c r="B934" i="21"/>
  <c r="B935" i="21"/>
  <c r="B936" i="21"/>
  <c r="B937" i="21"/>
  <c r="B938" i="21"/>
  <c r="B939" i="21"/>
  <c r="B940" i="21"/>
  <c r="B941" i="21"/>
  <c r="B942" i="21"/>
  <c r="B943" i="21"/>
  <c r="B944" i="21"/>
  <c r="B945" i="21"/>
  <c r="B946" i="21"/>
  <c r="B947" i="21"/>
  <c r="B948" i="21"/>
  <c r="B949" i="21"/>
  <c r="B950" i="21"/>
  <c r="B951" i="21"/>
  <c r="B952" i="21"/>
  <c r="B953" i="21"/>
  <c r="B954" i="21"/>
  <c r="B955" i="21"/>
  <c r="B956" i="21"/>
  <c r="B957" i="21"/>
  <c r="B958" i="21"/>
  <c r="B959" i="21"/>
  <c r="B960" i="21"/>
  <c r="B961" i="21"/>
  <c r="B962" i="21"/>
  <c r="B963" i="21"/>
  <c r="B964" i="21"/>
  <c r="B965" i="21"/>
  <c r="B966" i="21"/>
  <c r="B967" i="21"/>
  <c r="B968" i="21"/>
  <c r="B969" i="21"/>
  <c r="B970" i="21"/>
  <c r="B971" i="21"/>
  <c r="B972" i="21"/>
  <c r="B973" i="21"/>
  <c r="B974" i="21"/>
  <c r="B975" i="21"/>
  <c r="B976" i="21"/>
  <c r="B977" i="21"/>
  <c r="B978" i="21"/>
  <c r="B979" i="21"/>
  <c r="B980" i="21"/>
  <c r="B981" i="21"/>
  <c r="B982" i="21"/>
  <c r="B983" i="21"/>
  <c r="B984" i="21"/>
  <c r="B985" i="21"/>
  <c r="B986" i="21"/>
  <c r="B987" i="21"/>
  <c r="B988" i="21"/>
  <c r="B989" i="21"/>
  <c r="B990" i="21"/>
  <c r="B991" i="21"/>
  <c r="B992" i="21"/>
  <c r="B993" i="21"/>
  <c r="B994" i="21"/>
  <c r="B995" i="21"/>
  <c r="B996" i="21"/>
  <c r="B997" i="21"/>
  <c r="B998" i="21"/>
  <c r="B999" i="21"/>
  <c r="B1000" i="21"/>
  <c r="B1001" i="21"/>
  <c r="B1002" i="21"/>
  <c r="B1003" i="21"/>
  <c r="B1004" i="21"/>
  <c r="B1005" i="21"/>
  <c r="B1006" i="21"/>
  <c r="B1007" i="21"/>
  <c r="B1008" i="21"/>
  <c r="B1009" i="21"/>
  <c r="B1010" i="21"/>
  <c r="B1011" i="21"/>
  <c r="B1012" i="21"/>
  <c r="B1013" i="21"/>
  <c r="B1014" i="21"/>
  <c r="B1015" i="21"/>
  <c r="B1016" i="21"/>
  <c r="B1017" i="21"/>
  <c r="B1018" i="21"/>
  <c r="B1019" i="21"/>
  <c r="B1020" i="21"/>
  <c r="B1021" i="21"/>
  <c r="B1022" i="21"/>
  <c r="B1023" i="21"/>
  <c r="B1024" i="21"/>
  <c r="B1025" i="21"/>
  <c r="B1026" i="21"/>
  <c r="B1027" i="21"/>
  <c r="B1028" i="21"/>
  <c r="B1029" i="21"/>
  <c r="B1030" i="21"/>
  <c r="B1031" i="21"/>
  <c r="B1032" i="21"/>
  <c r="B1033" i="21"/>
  <c r="B1034" i="21"/>
  <c r="B1035" i="21"/>
  <c r="B1036" i="21"/>
  <c r="B1037" i="21"/>
  <c r="B1038" i="21"/>
  <c r="B1039" i="21"/>
  <c r="B1040" i="21"/>
  <c r="B1041" i="21"/>
  <c r="B1042" i="21"/>
  <c r="B1043" i="21"/>
  <c r="B1044" i="21"/>
  <c r="B1045" i="21"/>
  <c r="B1046" i="21"/>
  <c r="B1047" i="21"/>
  <c r="B1048" i="21"/>
  <c r="B1049" i="21"/>
  <c r="B1050" i="21"/>
  <c r="B1051" i="21"/>
  <c r="B1052" i="21"/>
  <c r="B1053" i="21"/>
  <c r="B1054" i="21"/>
  <c r="B1055" i="21"/>
  <c r="B1056" i="21"/>
  <c r="B1057" i="21"/>
  <c r="B1058" i="21"/>
  <c r="B1059" i="21"/>
  <c r="B1060" i="21"/>
  <c r="B1061" i="21"/>
  <c r="B1062" i="21"/>
  <c r="B1063" i="21"/>
  <c r="B1064" i="21"/>
  <c r="B1065" i="21"/>
  <c r="B1066" i="21"/>
  <c r="B1067" i="21"/>
  <c r="B1068" i="21"/>
  <c r="B1069" i="21"/>
  <c r="B1070" i="21"/>
  <c r="B1071" i="21"/>
  <c r="B1072" i="21"/>
  <c r="B1073" i="21"/>
  <c r="B1074" i="21"/>
  <c r="B1075" i="21"/>
  <c r="B1076" i="21"/>
  <c r="B1077" i="21"/>
  <c r="B1078" i="21"/>
  <c r="B1079" i="21"/>
  <c r="B1080" i="21"/>
  <c r="B1081" i="21"/>
  <c r="B1082" i="21"/>
  <c r="B1083" i="21"/>
  <c r="B1084" i="21"/>
  <c r="B1085" i="21"/>
  <c r="B1086" i="21"/>
  <c r="B1087" i="21"/>
  <c r="B1088" i="21"/>
  <c r="B1089" i="21"/>
  <c r="B1090" i="21"/>
  <c r="B1091" i="21"/>
  <c r="B1092" i="21"/>
  <c r="B1093" i="21"/>
  <c r="B1094" i="21"/>
  <c r="B1095" i="21"/>
  <c r="B1096" i="21"/>
  <c r="B1097" i="21"/>
  <c r="B1098" i="21"/>
  <c r="B1099" i="21"/>
  <c r="B1100" i="21"/>
  <c r="B1101" i="21"/>
  <c r="B1102" i="21"/>
  <c r="B1103" i="21"/>
  <c r="B1104" i="21"/>
  <c r="B1105" i="21"/>
  <c r="B1106" i="21"/>
  <c r="B1107" i="21"/>
  <c r="B1108" i="21"/>
  <c r="B1109" i="21"/>
  <c r="B1110" i="21"/>
  <c r="B1111" i="21"/>
  <c r="B1112" i="21"/>
  <c r="B1113" i="21"/>
  <c r="B1114" i="21"/>
  <c r="B1115" i="21"/>
  <c r="B1116" i="21"/>
  <c r="B1117" i="21"/>
  <c r="B1118" i="21"/>
  <c r="B1119" i="21"/>
  <c r="B1120" i="21"/>
  <c r="B1121" i="21"/>
  <c r="B1122" i="21"/>
  <c r="B1123" i="21"/>
  <c r="B1124" i="21"/>
  <c r="B1125" i="21"/>
  <c r="B1126" i="21"/>
  <c r="B1127" i="21"/>
  <c r="B1128" i="21"/>
  <c r="B1129" i="21"/>
  <c r="B1130" i="21"/>
  <c r="B1131" i="21"/>
  <c r="B1132" i="21"/>
  <c r="B1133" i="21"/>
  <c r="B1134" i="21"/>
  <c r="B1135" i="21"/>
  <c r="B1136" i="21"/>
  <c r="B1137" i="21"/>
  <c r="B1138" i="21"/>
  <c r="B1139" i="21"/>
  <c r="B1140" i="21"/>
  <c r="B1141" i="21"/>
  <c r="B1142" i="21"/>
  <c r="B1143" i="21"/>
  <c r="B1144" i="21"/>
  <c r="B1145" i="21"/>
  <c r="B1146" i="21"/>
  <c r="B1147" i="21"/>
  <c r="B1148" i="21"/>
  <c r="B1149" i="21"/>
  <c r="B1150" i="21"/>
  <c r="B1151" i="21"/>
  <c r="B1152" i="21"/>
  <c r="B1153" i="21"/>
  <c r="B1154" i="21"/>
  <c r="B1155" i="21"/>
  <c r="B1156" i="21"/>
  <c r="B1157" i="21"/>
  <c r="B1158" i="21"/>
  <c r="B1159" i="21"/>
  <c r="B1160" i="21"/>
  <c r="B1161" i="21"/>
  <c r="B1162" i="21"/>
  <c r="B1163" i="21"/>
  <c r="B1164" i="21"/>
  <c r="B1165" i="21"/>
  <c r="B1166" i="21"/>
  <c r="B1167" i="21"/>
  <c r="B1168" i="21"/>
  <c r="B1169" i="21"/>
  <c r="B1170" i="21"/>
  <c r="B1171" i="21"/>
  <c r="B1172" i="21"/>
  <c r="B1173" i="21"/>
  <c r="B1174" i="21"/>
  <c r="B1175" i="21"/>
  <c r="B1176" i="21"/>
  <c r="B1177" i="21"/>
  <c r="B1178" i="21"/>
  <c r="B1179" i="21"/>
  <c r="B1180" i="21"/>
  <c r="B1181" i="21"/>
  <c r="B1182" i="21"/>
  <c r="B1183" i="21"/>
  <c r="B1184" i="21"/>
  <c r="B1185" i="21"/>
  <c r="B1186" i="21"/>
  <c r="B1187" i="21"/>
  <c r="B1188" i="21"/>
  <c r="B1189" i="21"/>
  <c r="B1190" i="21"/>
  <c r="B1191" i="21"/>
  <c r="B1192" i="21"/>
  <c r="B1193" i="21"/>
  <c r="B1194" i="21"/>
  <c r="B1195" i="21"/>
  <c r="B1196" i="21"/>
  <c r="B1197" i="21"/>
  <c r="B1198" i="21"/>
  <c r="B1199" i="21"/>
  <c r="B1200" i="21"/>
  <c r="B1201" i="21"/>
  <c r="B1202" i="21"/>
  <c r="B1203" i="21"/>
  <c r="B1204" i="21"/>
  <c r="B1205" i="21"/>
  <c r="B1206" i="21"/>
  <c r="B1207" i="21"/>
  <c r="B1208" i="21"/>
  <c r="B1209" i="21"/>
  <c r="B1210" i="21"/>
  <c r="B1211" i="21"/>
  <c r="B1212" i="21"/>
  <c r="B1213" i="21"/>
  <c r="B1214" i="21"/>
  <c r="B1215" i="21"/>
  <c r="B1216" i="21"/>
  <c r="B1217" i="21"/>
  <c r="B1218" i="21"/>
  <c r="B1219" i="21"/>
  <c r="B1220" i="21"/>
  <c r="B1221" i="21"/>
  <c r="B1222" i="21"/>
  <c r="B1223" i="21"/>
  <c r="B1224" i="21"/>
  <c r="B1225" i="21"/>
  <c r="B1226" i="21"/>
  <c r="B1227" i="21"/>
  <c r="B1228" i="21"/>
  <c r="B1229" i="21"/>
  <c r="B1230" i="21"/>
  <c r="B1231" i="21"/>
  <c r="B1232" i="21"/>
  <c r="B1233" i="21"/>
  <c r="B1234" i="21"/>
  <c r="B1235" i="21"/>
  <c r="B1236" i="21"/>
  <c r="B1237" i="21"/>
  <c r="B1238" i="21"/>
  <c r="B1239" i="21"/>
  <c r="B1240" i="21"/>
  <c r="B1241" i="21"/>
  <c r="B1242" i="21"/>
  <c r="B1243" i="21"/>
  <c r="B1244" i="21"/>
  <c r="B1245" i="21"/>
  <c r="B1246" i="21"/>
  <c r="B1247" i="21"/>
  <c r="B1248" i="21"/>
  <c r="B1249" i="21"/>
  <c r="B1250" i="21"/>
  <c r="B1251" i="21"/>
  <c r="B1252" i="21"/>
  <c r="B1253" i="21"/>
  <c r="B1254" i="21"/>
  <c r="B1255" i="21"/>
  <c r="B1256" i="21"/>
  <c r="B1257" i="21"/>
  <c r="B1258" i="21"/>
  <c r="B1259" i="21"/>
  <c r="B1260" i="21"/>
  <c r="B1261" i="21"/>
  <c r="B1262" i="21"/>
  <c r="B1263" i="21"/>
  <c r="B1264" i="21"/>
  <c r="B1265" i="21"/>
  <c r="B1266" i="21"/>
  <c r="B1267" i="21"/>
  <c r="B1268" i="21"/>
  <c r="B1269" i="21"/>
  <c r="B1270" i="21"/>
  <c r="B1271" i="21"/>
  <c r="B1272" i="21"/>
  <c r="B1273" i="21"/>
  <c r="B1274" i="21"/>
  <c r="B1275" i="21"/>
  <c r="B1276" i="21"/>
  <c r="B1277" i="21"/>
  <c r="B1278" i="21"/>
  <c r="B1279" i="21"/>
  <c r="B1280" i="21"/>
  <c r="B1281" i="21"/>
  <c r="B1282" i="21"/>
  <c r="B1283" i="21"/>
  <c r="B1284" i="21"/>
  <c r="B1285" i="21"/>
  <c r="B1286" i="21"/>
  <c r="B1287" i="21"/>
  <c r="B1288" i="21"/>
  <c r="B1289" i="21"/>
  <c r="B1290" i="21"/>
  <c r="B1291" i="21"/>
  <c r="B1292" i="21"/>
  <c r="B1293" i="21"/>
  <c r="B1294" i="21"/>
  <c r="B1295" i="21"/>
  <c r="B1296" i="21"/>
  <c r="B1297" i="21"/>
  <c r="B1298" i="21"/>
  <c r="B1299" i="21"/>
  <c r="B1300" i="21"/>
  <c r="B1301" i="21"/>
  <c r="B1302" i="21"/>
  <c r="B1303" i="21"/>
  <c r="B1304" i="21"/>
  <c r="B1305" i="21"/>
  <c r="B1306" i="21"/>
  <c r="B1307" i="21"/>
  <c r="B1308" i="21"/>
  <c r="B1309" i="21"/>
  <c r="B1310" i="21"/>
  <c r="B1311" i="21"/>
  <c r="B1312" i="21"/>
  <c r="B1313" i="21"/>
  <c r="B1314" i="21"/>
  <c r="B1315" i="21"/>
  <c r="B1316" i="21"/>
  <c r="B1317" i="21"/>
  <c r="B1318" i="21"/>
  <c r="B1319" i="21"/>
  <c r="B1320" i="21"/>
  <c r="B1321" i="21"/>
  <c r="B1322" i="21"/>
  <c r="B1323" i="21"/>
  <c r="B1324" i="21"/>
  <c r="B1325" i="21"/>
  <c r="B1326" i="21"/>
  <c r="B1327" i="21"/>
  <c r="B1328" i="21"/>
  <c r="B1329" i="21"/>
  <c r="B1330" i="21"/>
  <c r="B1331" i="21"/>
  <c r="B1332" i="21"/>
  <c r="B1333" i="21"/>
  <c r="B1334" i="21"/>
  <c r="B1335" i="21"/>
  <c r="B1336" i="21"/>
  <c r="B1337" i="21"/>
  <c r="B1338" i="21"/>
  <c r="B1339" i="21"/>
  <c r="B1340" i="21"/>
  <c r="B1341" i="21"/>
  <c r="B1342" i="21"/>
  <c r="B1343" i="21"/>
  <c r="B1344" i="21"/>
  <c r="B1345" i="21"/>
  <c r="B1346" i="21"/>
  <c r="B1347" i="21"/>
  <c r="B1348" i="21"/>
  <c r="B1349" i="21"/>
  <c r="B1350" i="21"/>
  <c r="B1351" i="21"/>
  <c r="B1352" i="21"/>
  <c r="B1353" i="21"/>
  <c r="B1354" i="21"/>
  <c r="B1355" i="21"/>
  <c r="B1356" i="21"/>
  <c r="B1357" i="21"/>
  <c r="B1358" i="21"/>
  <c r="B1359" i="21"/>
  <c r="B1360" i="21"/>
  <c r="B1361" i="21"/>
  <c r="B1362" i="21"/>
  <c r="B1363" i="21"/>
  <c r="B1364" i="21"/>
  <c r="B1365" i="21"/>
  <c r="B1366" i="21"/>
  <c r="B1367" i="21"/>
  <c r="B1368" i="21"/>
  <c r="B1369" i="21"/>
  <c r="B1370" i="21"/>
  <c r="B1371" i="21"/>
  <c r="B1372" i="21"/>
  <c r="B1373" i="21"/>
  <c r="B1374" i="21"/>
  <c r="B1375" i="21"/>
  <c r="B1376" i="21"/>
  <c r="B1377" i="21"/>
  <c r="B1378" i="21"/>
  <c r="B1379" i="21"/>
  <c r="B1380" i="21"/>
  <c r="B1381" i="21"/>
  <c r="B1382" i="21"/>
  <c r="B1383" i="21"/>
  <c r="B1384" i="21"/>
  <c r="B1385" i="21"/>
  <c r="B1386" i="21"/>
  <c r="B1387" i="21"/>
  <c r="B1388" i="21"/>
  <c r="B1389" i="21"/>
  <c r="B1390" i="21"/>
  <c r="B1391" i="21"/>
  <c r="B1392" i="21"/>
  <c r="B1393" i="21"/>
  <c r="B1394" i="21"/>
  <c r="B1395" i="21"/>
  <c r="B1396" i="21"/>
  <c r="B1397" i="21"/>
  <c r="B1398" i="21"/>
  <c r="B1399" i="21"/>
  <c r="B1400" i="21"/>
  <c r="B1401" i="21"/>
  <c r="B1402" i="21"/>
  <c r="B1403" i="21"/>
  <c r="B1404" i="21"/>
  <c r="B1405" i="21"/>
  <c r="B1406" i="21"/>
  <c r="B1407" i="21"/>
  <c r="B1408" i="21"/>
  <c r="B1409" i="21"/>
  <c r="B1410" i="21"/>
  <c r="B1411" i="21"/>
  <c r="B1412" i="21"/>
  <c r="B1413" i="21"/>
  <c r="B1414" i="21"/>
  <c r="B1415" i="21"/>
  <c r="B1416" i="21"/>
  <c r="B1417" i="21"/>
  <c r="B1418" i="21"/>
  <c r="B1419" i="21"/>
  <c r="B1420" i="21"/>
  <c r="B1421" i="21"/>
  <c r="B1422" i="21"/>
  <c r="B1423" i="21"/>
  <c r="B1424" i="21"/>
  <c r="B1425" i="21"/>
  <c r="B1426" i="21"/>
  <c r="B1427" i="21"/>
  <c r="B1428" i="21"/>
  <c r="B1429" i="21"/>
  <c r="B1430" i="21"/>
  <c r="B1431" i="21"/>
  <c r="B1432" i="21"/>
  <c r="B1433" i="21"/>
  <c r="B1434" i="21"/>
  <c r="B1435" i="21"/>
  <c r="B1436" i="21"/>
  <c r="B1437" i="21"/>
  <c r="B1438" i="21"/>
  <c r="B1439" i="21"/>
  <c r="B1440" i="21"/>
  <c r="B1441" i="21"/>
  <c r="B1442" i="21"/>
  <c r="B1443" i="21"/>
  <c r="B1444" i="21"/>
  <c r="B1445" i="21"/>
  <c r="B1446" i="21"/>
  <c r="B1447" i="21"/>
  <c r="B1448" i="21"/>
  <c r="B1449" i="21"/>
  <c r="B1450" i="21"/>
  <c r="B1451" i="21"/>
  <c r="B1452" i="21"/>
  <c r="B1453" i="21"/>
  <c r="B1454" i="21"/>
  <c r="B1455" i="21"/>
  <c r="B1456" i="21"/>
  <c r="B1457" i="21"/>
  <c r="B1458" i="21"/>
  <c r="B1459" i="21"/>
  <c r="B1460" i="21"/>
  <c r="B1461" i="21"/>
  <c r="B1462" i="21"/>
  <c r="B1463" i="21"/>
  <c r="B1464" i="21"/>
  <c r="B1465" i="21"/>
  <c r="B1466" i="21"/>
  <c r="B1467" i="21"/>
  <c r="B1468" i="21"/>
  <c r="B1469" i="21"/>
  <c r="B1470" i="21"/>
  <c r="B1471" i="21"/>
  <c r="B1472" i="21"/>
  <c r="B1473" i="21"/>
  <c r="B1474" i="21"/>
  <c r="B1475" i="21"/>
  <c r="B1476" i="21"/>
  <c r="B1477" i="21"/>
  <c r="B1478" i="21"/>
  <c r="B1479" i="21"/>
  <c r="B1480" i="21"/>
  <c r="B1481" i="21"/>
  <c r="B1482" i="21"/>
  <c r="B1483" i="21"/>
  <c r="B1484" i="21"/>
  <c r="B1485" i="21"/>
  <c r="B1486" i="21"/>
  <c r="B1487" i="21"/>
  <c r="B1488" i="21"/>
  <c r="B1489" i="21"/>
  <c r="B1490" i="21"/>
  <c r="B1491" i="21"/>
  <c r="B1492" i="21"/>
  <c r="B1493" i="21"/>
  <c r="B1494" i="21"/>
  <c r="B1495" i="21"/>
  <c r="B1496" i="21"/>
  <c r="B1497" i="21"/>
  <c r="B1498" i="21"/>
  <c r="B1499" i="21"/>
  <c r="B1500" i="21"/>
  <c r="B1501" i="21"/>
  <c r="B1502" i="21"/>
  <c r="B1503" i="21"/>
  <c r="B1504" i="21"/>
  <c r="B1505" i="21"/>
  <c r="B1506" i="21"/>
  <c r="B1507" i="21"/>
  <c r="B1508" i="21"/>
  <c r="B1509" i="21"/>
  <c r="B1510" i="21"/>
  <c r="B1511" i="21"/>
  <c r="B1512" i="21"/>
  <c r="B1513" i="21"/>
  <c r="B1514" i="21"/>
  <c r="B1515" i="21"/>
  <c r="B1516" i="21"/>
  <c r="B1517" i="21"/>
  <c r="B1518" i="21"/>
  <c r="B1519" i="21"/>
  <c r="B1520" i="21"/>
  <c r="B1521" i="21"/>
  <c r="B1522" i="21"/>
  <c r="B1523" i="21"/>
  <c r="B1524" i="21"/>
  <c r="B1525" i="21"/>
  <c r="B1526" i="21"/>
  <c r="B1527" i="21"/>
  <c r="B1528" i="21"/>
  <c r="B1529" i="21"/>
  <c r="B1530" i="21"/>
  <c r="B1531" i="21"/>
  <c r="B1532" i="21"/>
  <c r="B1533" i="21"/>
  <c r="B1534" i="21"/>
  <c r="B1535" i="21"/>
  <c r="B1536" i="21"/>
  <c r="B1537" i="21"/>
  <c r="B1538" i="21"/>
  <c r="B1539" i="21"/>
  <c r="B1540" i="21"/>
  <c r="B1541" i="21"/>
  <c r="B1542" i="21"/>
  <c r="B1543" i="21"/>
  <c r="B1544" i="21"/>
  <c r="B1545" i="21"/>
  <c r="B1546" i="21"/>
  <c r="B1547" i="21"/>
  <c r="B1548" i="21"/>
  <c r="B1549" i="21"/>
  <c r="B1550" i="21"/>
  <c r="B1551" i="21"/>
  <c r="B1552" i="21"/>
  <c r="B1553" i="21"/>
  <c r="B1554" i="21"/>
  <c r="B1555" i="21"/>
  <c r="B1556" i="21"/>
  <c r="B1557" i="21"/>
  <c r="B1558" i="21"/>
  <c r="B1559" i="21"/>
  <c r="B1560" i="21"/>
  <c r="B1561" i="21"/>
  <c r="B1562" i="21"/>
  <c r="B1563" i="21"/>
  <c r="B1564" i="21"/>
  <c r="B1565" i="21"/>
  <c r="B1566" i="21"/>
  <c r="B1567" i="21"/>
  <c r="B1568" i="21"/>
  <c r="B1569" i="21"/>
  <c r="B1570" i="21"/>
  <c r="B1571" i="21"/>
  <c r="B1572" i="21"/>
  <c r="B1573" i="21"/>
  <c r="B1574" i="21"/>
  <c r="B1575" i="21"/>
  <c r="B1576" i="21"/>
  <c r="B1577" i="21"/>
  <c r="B1578" i="21"/>
  <c r="B1579" i="21"/>
  <c r="B1580" i="21"/>
  <c r="B1581" i="21"/>
  <c r="B1582" i="21"/>
  <c r="B1583" i="21"/>
  <c r="B1584" i="21"/>
  <c r="B1585" i="21"/>
  <c r="B1586" i="21"/>
  <c r="B1587" i="21"/>
  <c r="B1588" i="21"/>
  <c r="B1589" i="21"/>
  <c r="B1590" i="21"/>
  <c r="B1591" i="21"/>
  <c r="B1592" i="21"/>
  <c r="B1593" i="21"/>
  <c r="B1594" i="21"/>
  <c r="B1595" i="21"/>
  <c r="B1596" i="21"/>
  <c r="B1597" i="21"/>
  <c r="B1598" i="21"/>
  <c r="B1599" i="21"/>
  <c r="B1600" i="21"/>
  <c r="B1601" i="21"/>
  <c r="B1602" i="21"/>
  <c r="B1603" i="21"/>
  <c r="B1604" i="21"/>
  <c r="B1605" i="21"/>
  <c r="B1606" i="21"/>
  <c r="B1607" i="21"/>
  <c r="B1608" i="21"/>
  <c r="B1609" i="21"/>
  <c r="B1610" i="21"/>
  <c r="B1611" i="21"/>
  <c r="B1612" i="21"/>
  <c r="B1613" i="21"/>
  <c r="B1614" i="21"/>
  <c r="B1615" i="21"/>
  <c r="B1616" i="21"/>
  <c r="B1617" i="21"/>
  <c r="B1618" i="21"/>
  <c r="D1618" i="21" s="1"/>
  <c r="B1619" i="21"/>
  <c r="B1620" i="21"/>
  <c r="B1621" i="21"/>
  <c r="B1622" i="21"/>
  <c r="B1623" i="21"/>
  <c r="B1624" i="21"/>
  <c r="B1625" i="21"/>
  <c r="B1626" i="21"/>
  <c r="B1627" i="21"/>
  <c r="B1628" i="21"/>
  <c r="B1629" i="21"/>
  <c r="B1630" i="21"/>
  <c r="B1631" i="21"/>
  <c r="B1632" i="21"/>
  <c r="B1633" i="21"/>
  <c r="B1634" i="21"/>
  <c r="B1635" i="21"/>
  <c r="B1636" i="21"/>
  <c r="B1637" i="21"/>
  <c r="B1638" i="21"/>
  <c r="B1639" i="21"/>
  <c r="B1640" i="21"/>
  <c r="B1641" i="21"/>
  <c r="B1642" i="21"/>
  <c r="B1643" i="21"/>
  <c r="B1644" i="21"/>
  <c r="B1645" i="21"/>
  <c r="B1646" i="21"/>
  <c r="B1647" i="21"/>
  <c r="B1648" i="21"/>
  <c r="B1649" i="21"/>
  <c r="B1650" i="21"/>
  <c r="B1651" i="21"/>
  <c r="B1652" i="21"/>
  <c r="B1653" i="21"/>
  <c r="B1654" i="21"/>
  <c r="B1655" i="21"/>
  <c r="D1655" i="21" s="1"/>
  <c r="B1656" i="21"/>
  <c r="B1657" i="21"/>
  <c r="B1658" i="21"/>
  <c r="B1659" i="21"/>
  <c r="B1660" i="21"/>
  <c r="B1661" i="21"/>
  <c r="B1662" i="21"/>
  <c r="B1663" i="21"/>
  <c r="B1664" i="21"/>
  <c r="B1665" i="21"/>
  <c r="B1666" i="21"/>
  <c r="B1667" i="21"/>
  <c r="B1668" i="21"/>
  <c r="B1669" i="21"/>
  <c r="B1670" i="21"/>
  <c r="B1671" i="21"/>
  <c r="B1672" i="21"/>
  <c r="B1673" i="21"/>
  <c r="B1674" i="21"/>
  <c r="B1675" i="21"/>
  <c r="B1676" i="21"/>
  <c r="B1677" i="21"/>
  <c r="B1678" i="21"/>
  <c r="B1679" i="21"/>
  <c r="B1680" i="21"/>
  <c r="B1681" i="21"/>
  <c r="B1682" i="21"/>
  <c r="B1683" i="21"/>
  <c r="B1684" i="21"/>
  <c r="B1685" i="21"/>
  <c r="B1686" i="21"/>
  <c r="B1687" i="21"/>
  <c r="B1688" i="21"/>
  <c r="B1689" i="21"/>
  <c r="B1690" i="21"/>
  <c r="B1691" i="21"/>
  <c r="B1692" i="21"/>
  <c r="B1693" i="21"/>
  <c r="B1694" i="21"/>
  <c r="B1695" i="21"/>
  <c r="B1696" i="21"/>
  <c r="B1697" i="21"/>
  <c r="B1698" i="21"/>
  <c r="B1699" i="21"/>
  <c r="B1700" i="21"/>
  <c r="B1701" i="21"/>
  <c r="B1702" i="21"/>
  <c r="B1703" i="21"/>
  <c r="B1704" i="21"/>
  <c r="B1705" i="21"/>
  <c r="B1706" i="21"/>
  <c r="B1707" i="21"/>
  <c r="B1708" i="21"/>
  <c r="B1709" i="21"/>
  <c r="B1710" i="21"/>
  <c r="B1711" i="21"/>
  <c r="B1712" i="21"/>
  <c r="B1713" i="21"/>
  <c r="B1714" i="21"/>
  <c r="B1715" i="21"/>
  <c r="B1716" i="21"/>
  <c r="B1717" i="21"/>
  <c r="B1718" i="21"/>
  <c r="B1719" i="21"/>
  <c r="B1720" i="21"/>
  <c r="B1721" i="21"/>
  <c r="B1722" i="21"/>
  <c r="B1723" i="21"/>
  <c r="B1724" i="21"/>
  <c r="B1725" i="21"/>
  <c r="B1726" i="21"/>
  <c r="B1727" i="21"/>
  <c r="B1728" i="21"/>
  <c r="B1729" i="21"/>
  <c r="B1730" i="21"/>
  <c r="B1731" i="21"/>
  <c r="B1732" i="21"/>
  <c r="B1733" i="21"/>
  <c r="B1734" i="21"/>
  <c r="B1735" i="21"/>
  <c r="B1736" i="21"/>
  <c r="B1737" i="21"/>
  <c r="B1738" i="21"/>
  <c r="B1739" i="21"/>
  <c r="B1740" i="21"/>
  <c r="B1741" i="21"/>
  <c r="B1742" i="21"/>
  <c r="B1743" i="21"/>
  <c r="B1744" i="21"/>
  <c r="B1745" i="21"/>
  <c r="B1746" i="21"/>
  <c r="B1747" i="21"/>
  <c r="B1748" i="21"/>
  <c r="B1749" i="21"/>
  <c r="B1750" i="21"/>
  <c r="B1751" i="21"/>
  <c r="B1752" i="21"/>
  <c r="B1753" i="21"/>
  <c r="B1754" i="21"/>
  <c r="B1755" i="21"/>
  <c r="B1756" i="21"/>
  <c r="B1757" i="21"/>
  <c r="B1758" i="21"/>
  <c r="B1759" i="21"/>
  <c r="B1760" i="21"/>
  <c r="B1761" i="21"/>
  <c r="B1762" i="21"/>
  <c r="B1763" i="21"/>
  <c r="B1764" i="21"/>
  <c r="B1765" i="21"/>
  <c r="B1766" i="21"/>
  <c r="B1767" i="21"/>
  <c r="B1768" i="21"/>
  <c r="B1769" i="21"/>
  <c r="B1770" i="21"/>
  <c r="B1771" i="21"/>
  <c r="B1772" i="21"/>
  <c r="B1773" i="21"/>
  <c r="B1774" i="21"/>
  <c r="B1775" i="21"/>
  <c r="B1776" i="21"/>
  <c r="B1777" i="21"/>
  <c r="B1778" i="21"/>
  <c r="B1779" i="21"/>
  <c r="B1780" i="21"/>
  <c r="B1781" i="21"/>
  <c r="B1782" i="21"/>
  <c r="B1783" i="21"/>
  <c r="B1784" i="21"/>
  <c r="B1785" i="21"/>
  <c r="B1786" i="21"/>
  <c r="B1787" i="21"/>
  <c r="B1788" i="21"/>
  <c r="B1789" i="21"/>
  <c r="B1790" i="21"/>
  <c r="B1791" i="21"/>
  <c r="B1792" i="21"/>
  <c r="B1793" i="21"/>
  <c r="B1794" i="21"/>
  <c r="B1795" i="21"/>
  <c r="B1796" i="21"/>
  <c r="B1797" i="21"/>
  <c r="B1798" i="21"/>
  <c r="B1799" i="21"/>
  <c r="B1800" i="21"/>
  <c r="B1801" i="21"/>
  <c r="B1802" i="21"/>
  <c r="B1803" i="21"/>
  <c r="B1804" i="21"/>
  <c r="B1805" i="21"/>
  <c r="B1806" i="21"/>
  <c r="B1807" i="21"/>
  <c r="B1808" i="21"/>
  <c r="B1809" i="21"/>
  <c r="B1810" i="21"/>
  <c r="B1811" i="21"/>
  <c r="B1812" i="21"/>
  <c r="B1813" i="21"/>
  <c r="B1814" i="21"/>
  <c r="B1815" i="21"/>
  <c r="B1816" i="21"/>
  <c r="B1817" i="21"/>
  <c r="B1818" i="21"/>
  <c r="B1819" i="21"/>
  <c r="B1820" i="21"/>
  <c r="B1821" i="21"/>
  <c r="B1822" i="21"/>
  <c r="B1823" i="21"/>
  <c r="B1824" i="21"/>
  <c r="B1825" i="21"/>
  <c r="B1826" i="21"/>
  <c r="B1827" i="21"/>
  <c r="B1828" i="21"/>
  <c r="B1829" i="21"/>
  <c r="B1830" i="21"/>
  <c r="B1831" i="21"/>
  <c r="B1832" i="21"/>
  <c r="B1833" i="21"/>
  <c r="B1834" i="21"/>
  <c r="B1835" i="21"/>
  <c r="B1836" i="21"/>
  <c r="B1837" i="21"/>
  <c r="B1838" i="21"/>
  <c r="B1839" i="21"/>
  <c r="B1840" i="21"/>
  <c r="B1841" i="21"/>
  <c r="B1842" i="21"/>
  <c r="B1843" i="21"/>
  <c r="B1844" i="21"/>
  <c r="B1845" i="21"/>
  <c r="B1846" i="21"/>
  <c r="B1847" i="21"/>
  <c r="B1848" i="21"/>
  <c r="B1849" i="21"/>
  <c r="B1850" i="21"/>
  <c r="B1851" i="21"/>
  <c r="B1852" i="21"/>
  <c r="B1853" i="21"/>
  <c r="B1854" i="21"/>
  <c r="B1855" i="21"/>
  <c r="B1856" i="21"/>
  <c r="B1857" i="21"/>
  <c r="B1858" i="21"/>
  <c r="B1859" i="21"/>
  <c r="B1860" i="21"/>
  <c r="B1861" i="21"/>
  <c r="B1862" i="21"/>
  <c r="B1863" i="21"/>
  <c r="B1864" i="21"/>
  <c r="B1865" i="21"/>
  <c r="B1866" i="21"/>
  <c r="B1867" i="21"/>
  <c r="B1868" i="21"/>
  <c r="B1869" i="21"/>
  <c r="B1870" i="21"/>
  <c r="B1871" i="21"/>
  <c r="B1872" i="21"/>
  <c r="B1873" i="21"/>
  <c r="B1874" i="21"/>
  <c r="B1875" i="21"/>
  <c r="B1876" i="21"/>
  <c r="B1877" i="21"/>
  <c r="B1878" i="21"/>
  <c r="B1879" i="21"/>
  <c r="B1880" i="21"/>
  <c r="B1881" i="21"/>
  <c r="B1882" i="21"/>
  <c r="B1883" i="21"/>
  <c r="B1884" i="21"/>
  <c r="B1885" i="21"/>
  <c r="B1886" i="21"/>
  <c r="B1887" i="21"/>
  <c r="B1888" i="21"/>
  <c r="B1889" i="21"/>
  <c r="B1890" i="21"/>
  <c r="B1891" i="21"/>
  <c r="B1892" i="21"/>
  <c r="B1893" i="21"/>
  <c r="B1894" i="21"/>
  <c r="B1895" i="21"/>
  <c r="B1896" i="21"/>
  <c r="B1897" i="21"/>
  <c r="B1898" i="21"/>
  <c r="B1899" i="21"/>
  <c r="B1900" i="21"/>
  <c r="B1901" i="21"/>
  <c r="B1902" i="21"/>
  <c r="B1903" i="21"/>
  <c r="B1904" i="21"/>
  <c r="B1905" i="21"/>
  <c r="B1906" i="21"/>
  <c r="B1907" i="21"/>
  <c r="B1908" i="21"/>
  <c r="B1909" i="21"/>
  <c r="B1910" i="21"/>
  <c r="B1911" i="21"/>
  <c r="B1912" i="21"/>
  <c r="B1913" i="21"/>
  <c r="B1914" i="21"/>
  <c r="B1915" i="21"/>
  <c r="B1916" i="21"/>
  <c r="B1917" i="21"/>
  <c r="B1918" i="21"/>
  <c r="B1919" i="21"/>
  <c r="B1920" i="21"/>
  <c r="B1921" i="21"/>
  <c r="B1922" i="21"/>
  <c r="B1923" i="21"/>
  <c r="B1924" i="21"/>
  <c r="B1925" i="21"/>
  <c r="B1926" i="21"/>
  <c r="B1927" i="21"/>
  <c r="B1928" i="21"/>
  <c r="B1929" i="21"/>
  <c r="B1930" i="21"/>
  <c r="B1931" i="21"/>
  <c r="B1932" i="21"/>
  <c r="B1933" i="21"/>
  <c r="B1934" i="21"/>
  <c r="B1935" i="21"/>
  <c r="B1936" i="21"/>
  <c r="B1937" i="21"/>
  <c r="B1938" i="21"/>
  <c r="B1939" i="21"/>
  <c r="B1940" i="21"/>
  <c r="B1941" i="21"/>
  <c r="B1942" i="21"/>
  <c r="B1943" i="21"/>
  <c r="B1944" i="21"/>
  <c r="B1945" i="21"/>
  <c r="B1946" i="21"/>
  <c r="B1947" i="21"/>
  <c r="B1948" i="21"/>
  <c r="B1949" i="21"/>
  <c r="B1950" i="21"/>
  <c r="B1951" i="21"/>
  <c r="B1952" i="21"/>
  <c r="B1953" i="21"/>
  <c r="B1954" i="21"/>
  <c r="B1955" i="21"/>
  <c r="B1956" i="21"/>
  <c r="B1957" i="21"/>
  <c r="B1958" i="21"/>
  <c r="B1959" i="21"/>
  <c r="B1960" i="21"/>
  <c r="B1961" i="21"/>
  <c r="B1962" i="21"/>
  <c r="B1963" i="21"/>
  <c r="B1964" i="21"/>
  <c r="B1965" i="21"/>
  <c r="B1966" i="21"/>
  <c r="B1967" i="21"/>
  <c r="B1968" i="21"/>
  <c r="B1969" i="21"/>
  <c r="B1970" i="21"/>
  <c r="B1971" i="21"/>
  <c r="B1972" i="21"/>
  <c r="B1973" i="21"/>
  <c r="B1974" i="21"/>
  <c r="B1975" i="21"/>
  <c r="B1976" i="21"/>
  <c r="B1977" i="21"/>
  <c r="B1978" i="21"/>
  <c r="B1979" i="21"/>
  <c r="B1980" i="21"/>
  <c r="B1981" i="21"/>
  <c r="B1982" i="21"/>
  <c r="B1983" i="21"/>
  <c r="B1984" i="21"/>
  <c r="B1985" i="21"/>
  <c r="B1986" i="21"/>
  <c r="B1987" i="21"/>
  <c r="B1988" i="21"/>
  <c r="B1989" i="21"/>
  <c r="B1990" i="21"/>
  <c r="B1991" i="21"/>
  <c r="B1992" i="21"/>
  <c r="B1993" i="21"/>
  <c r="B1994" i="21"/>
  <c r="B1995" i="21"/>
  <c r="B1996" i="21"/>
  <c r="B1997" i="21"/>
  <c r="B1998" i="21"/>
  <c r="B1999" i="21"/>
  <c r="B2000" i="21"/>
  <c r="B2001" i="21"/>
  <c r="B2002" i="21"/>
  <c r="B2003" i="21"/>
  <c r="B2004" i="21"/>
  <c r="B2005" i="21"/>
  <c r="B2006" i="21"/>
  <c r="B2007" i="21"/>
  <c r="B2008" i="21"/>
  <c r="B2009" i="21"/>
  <c r="B2010" i="21"/>
  <c r="H2"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64" i="21"/>
  <c r="H65" i="21"/>
  <c r="H66" i="21"/>
  <c r="H67" i="21"/>
  <c r="H68" i="21"/>
  <c r="H69" i="21"/>
  <c r="H70" i="21"/>
  <c r="H71" i="21"/>
  <c r="H72" i="21"/>
  <c r="H73" i="21"/>
  <c r="H74" i="21"/>
  <c r="H75" i="21"/>
  <c r="H76" i="21"/>
  <c r="H77" i="21"/>
  <c r="H78" i="21"/>
  <c r="H79" i="21"/>
  <c r="H80" i="21"/>
  <c r="H81" i="21"/>
  <c r="H82" i="21"/>
  <c r="H83" i="21"/>
  <c r="H84" i="21"/>
  <c r="H85" i="21"/>
  <c r="H86" i="21"/>
  <c r="H87" i="21"/>
  <c r="H88" i="21"/>
  <c r="H89" i="21"/>
  <c r="H90" i="21"/>
  <c r="H91" i="21"/>
  <c r="H92" i="21"/>
  <c r="H93" i="21"/>
  <c r="H94" i="21"/>
  <c r="H95" i="21"/>
  <c r="H96" i="21"/>
  <c r="H97" i="21"/>
  <c r="H98" i="21"/>
  <c r="H99" i="21"/>
  <c r="H100" i="21"/>
  <c r="H101" i="21"/>
  <c r="H102" i="21"/>
  <c r="H103" i="21"/>
  <c r="H104" i="21"/>
  <c r="H105" i="21"/>
  <c r="H106" i="21"/>
  <c r="H107" i="21"/>
  <c r="H108" i="21"/>
  <c r="H109" i="21"/>
  <c r="H110" i="21"/>
  <c r="H111" i="21"/>
  <c r="H112" i="21"/>
  <c r="H113" i="21"/>
  <c r="H114" i="21"/>
  <c r="H115" i="21"/>
  <c r="H116" i="21"/>
  <c r="H117" i="21"/>
  <c r="H118" i="21"/>
  <c r="H119" i="21"/>
  <c r="H120" i="21"/>
  <c r="H121" i="21"/>
  <c r="H122" i="21"/>
  <c r="H123" i="21"/>
  <c r="H124" i="21"/>
  <c r="H125" i="21"/>
  <c r="H126" i="21"/>
  <c r="H127" i="21"/>
  <c r="H128" i="21"/>
  <c r="H129" i="21"/>
  <c r="H130" i="21"/>
  <c r="H131" i="21"/>
  <c r="H132" i="21"/>
  <c r="H133" i="21"/>
  <c r="H134" i="21"/>
  <c r="H135" i="21"/>
  <c r="H136" i="21"/>
  <c r="H137" i="21"/>
  <c r="H138" i="21"/>
  <c r="H139" i="21"/>
  <c r="H140" i="21"/>
  <c r="H141" i="21"/>
  <c r="H142" i="21"/>
  <c r="H143" i="21"/>
  <c r="H144" i="21"/>
  <c r="H145" i="21"/>
  <c r="H146" i="21"/>
  <c r="H147" i="21"/>
  <c r="H148" i="21"/>
  <c r="H149" i="21"/>
  <c r="H150" i="21"/>
  <c r="H151" i="21"/>
  <c r="H152" i="21"/>
  <c r="H153" i="21"/>
  <c r="H154" i="21"/>
  <c r="H155" i="21"/>
  <c r="H156" i="21"/>
  <c r="H157" i="21"/>
  <c r="H158" i="21"/>
  <c r="H159" i="21"/>
  <c r="H160" i="21"/>
  <c r="H161" i="21"/>
  <c r="H162" i="21"/>
  <c r="H163" i="21"/>
  <c r="H164" i="21"/>
  <c r="H165" i="21"/>
  <c r="H166" i="21"/>
  <c r="H167" i="21"/>
  <c r="H168" i="21"/>
  <c r="H169" i="21"/>
  <c r="H170" i="21"/>
  <c r="H171" i="21"/>
  <c r="H172" i="21"/>
  <c r="H173" i="21"/>
  <c r="H174" i="21"/>
  <c r="H175" i="21"/>
  <c r="H176" i="21"/>
  <c r="H177" i="21"/>
  <c r="H178" i="21"/>
  <c r="H179" i="21"/>
  <c r="H180" i="21"/>
  <c r="H181" i="21"/>
  <c r="H182" i="21"/>
  <c r="H183" i="21"/>
  <c r="H184" i="21"/>
  <c r="H185" i="21"/>
  <c r="H186" i="21"/>
  <c r="H187" i="21"/>
  <c r="H188" i="21"/>
  <c r="H189" i="21"/>
  <c r="H190" i="21"/>
  <c r="H191" i="21"/>
  <c r="H192" i="21"/>
  <c r="H193" i="21"/>
  <c r="H194" i="21"/>
  <c r="H195" i="21"/>
  <c r="H196" i="21"/>
  <c r="H197" i="21"/>
  <c r="H198" i="21"/>
  <c r="H199" i="21"/>
  <c r="H200" i="21"/>
  <c r="H201" i="21"/>
  <c r="H202" i="21"/>
  <c r="H203" i="21"/>
  <c r="H204" i="21"/>
  <c r="H205" i="21"/>
  <c r="H206" i="21"/>
  <c r="H207" i="21"/>
  <c r="H208" i="21"/>
  <c r="H209" i="21"/>
  <c r="H210" i="21"/>
  <c r="H211" i="21"/>
  <c r="H212" i="21"/>
  <c r="H213" i="21"/>
  <c r="H214" i="21"/>
  <c r="H215" i="21"/>
  <c r="H216" i="21"/>
  <c r="H217" i="21"/>
  <c r="H218" i="21"/>
  <c r="H219" i="21"/>
  <c r="H220" i="21"/>
  <c r="H221" i="21"/>
  <c r="H222" i="21"/>
  <c r="H223" i="21"/>
  <c r="H224" i="21"/>
  <c r="H225" i="21"/>
  <c r="H226" i="21"/>
  <c r="H227" i="21"/>
  <c r="H228" i="21"/>
  <c r="H229" i="21"/>
  <c r="H230" i="21"/>
  <c r="H231" i="21"/>
  <c r="H232" i="21"/>
  <c r="H233" i="21"/>
  <c r="H234" i="21"/>
  <c r="H235" i="21"/>
  <c r="H236" i="21"/>
  <c r="H237" i="21"/>
  <c r="H238" i="21"/>
  <c r="H239" i="21"/>
  <c r="H240" i="21"/>
  <c r="H241" i="21"/>
  <c r="H242" i="21"/>
  <c r="H243" i="21"/>
  <c r="H244" i="21"/>
  <c r="H245" i="21"/>
  <c r="H246" i="21"/>
  <c r="H247" i="21"/>
  <c r="H248" i="21"/>
  <c r="H249" i="21"/>
  <c r="H250" i="21"/>
  <c r="H251" i="21"/>
  <c r="H252" i="21"/>
  <c r="H253" i="21"/>
  <c r="H254" i="21"/>
  <c r="H255" i="21"/>
  <c r="H256" i="21"/>
  <c r="H257" i="21"/>
  <c r="H258" i="21"/>
  <c r="H259" i="21"/>
  <c r="H260" i="21"/>
  <c r="H261" i="21"/>
  <c r="H262" i="21"/>
  <c r="H263" i="21"/>
  <c r="H264" i="21"/>
  <c r="H265" i="21"/>
  <c r="H266" i="21"/>
  <c r="H267" i="21"/>
  <c r="H268" i="21"/>
  <c r="H269" i="21"/>
  <c r="H270" i="21"/>
  <c r="H271" i="21"/>
  <c r="H272" i="21"/>
  <c r="H273" i="21"/>
  <c r="H274" i="21"/>
  <c r="H275" i="21"/>
  <c r="H276" i="21"/>
  <c r="H277" i="21"/>
  <c r="H278" i="21"/>
  <c r="H279" i="21"/>
  <c r="H280" i="21"/>
  <c r="H281" i="21"/>
  <c r="H282" i="21"/>
  <c r="H283" i="21"/>
  <c r="H284" i="21"/>
  <c r="H285" i="21"/>
  <c r="H286" i="21"/>
  <c r="H287" i="21"/>
  <c r="H288" i="21"/>
  <c r="H289" i="21"/>
  <c r="H290" i="21"/>
  <c r="H291" i="21"/>
  <c r="H292" i="21"/>
  <c r="H293" i="21"/>
  <c r="H294" i="21"/>
  <c r="H295" i="21"/>
  <c r="H296" i="21"/>
  <c r="H297" i="21"/>
  <c r="H298" i="21"/>
  <c r="H299" i="21"/>
  <c r="H300" i="21"/>
  <c r="H301" i="21"/>
  <c r="H302" i="21"/>
  <c r="H303" i="21"/>
  <c r="H304" i="21"/>
  <c r="H305" i="21"/>
  <c r="H306" i="21"/>
  <c r="H307" i="21"/>
  <c r="H308" i="21"/>
  <c r="H309" i="21"/>
  <c r="H310" i="21"/>
  <c r="H311" i="21"/>
  <c r="H312" i="21"/>
  <c r="H313" i="21"/>
  <c r="H314" i="21"/>
  <c r="H315" i="21"/>
  <c r="H316" i="21"/>
  <c r="H317" i="21"/>
  <c r="H318" i="21"/>
  <c r="H319" i="21"/>
  <c r="H320" i="21"/>
  <c r="H321" i="21"/>
  <c r="H322" i="21"/>
  <c r="H323" i="21"/>
  <c r="H324" i="21"/>
  <c r="H325" i="21"/>
  <c r="H326" i="21"/>
  <c r="H327" i="21"/>
  <c r="H328" i="21"/>
  <c r="H329" i="21"/>
  <c r="H330" i="21"/>
  <c r="H331" i="21"/>
  <c r="H332" i="21"/>
  <c r="H333" i="21"/>
  <c r="H334" i="21"/>
  <c r="H335" i="21"/>
  <c r="H336" i="21"/>
  <c r="H337" i="21"/>
  <c r="H338" i="21"/>
  <c r="H339" i="21"/>
  <c r="H340" i="21"/>
  <c r="H341" i="21"/>
  <c r="H342" i="21"/>
  <c r="H343" i="21"/>
  <c r="H344" i="21"/>
  <c r="H345" i="21"/>
  <c r="H346" i="21"/>
  <c r="H347" i="21"/>
  <c r="H348" i="21"/>
  <c r="H349" i="21"/>
  <c r="H350" i="21"/>
  <c r="H351" i="21"/>
  <c r="H352" i="21"/>
  <c r="H353" i="21"/>
  <c r="H354" i="21"/>
  <c r="H355" i="21"/>
  <c r="H356" i="21"/>
  <c r="H357" i="21"/>
  <c r="H358" i="21"/>
  <c r="H359" i="21"/>
  <c r="H360" i="21"/>
  <c r="H361" i="21"/>
  <c r="H362" i="21"/>
  <c r="H363" i="21"/>
  <c r="H364" i="21"/>
  <c r="H365" i="21"/>
  <c r="H366" i="21"/>
  <c r="H367" i="21"/>
  <c r="H368" i="21"/>
  <c r="H369" i="21"/>
  <c r="H370" i="21"/>
  <c r="H371" i="21"/>
  <c r="H372" i="21"/>
  <c r="H373" i="21"/>
  <c r="H374" i="21"/>
  <c r="H375" i="21"/>
  <c r="H376" i="21"/>
  <c r="H377" i="21"/>
  <c r="H378" i="21"/>
  <c r="H379" i="21"/>
  <c r="H380" i="21"/>
  <c r="H381" i="21"/>
  <c r="H382" i="21"/>
  <c r="H383" i="21"/>
  <c r="H384" i="21"/>
  <c r="H385" i="21"/>
  <c r="H386" i="21"/>
  <c r="H387" i="21"/>
  <c r="H388" i="21"/>
  <c r="H389" i="21"/>
  <c r="H390" i="21"/>
  <c r="H391" i="21"/>
  <c r="H392" i="21"/>
  <c r="H393" i="21"/>
  <c r="H394" i="21"/>
  <c r="H395" i="21"/>
  <c r="H396" i="21"/>
  <c r="H397" i="21"/>
  <c r="H398" i="21"/>
  <c r="H399" i="21"/>
  <c r="H400" i="21"/>
  <c r="H401" i="21"/>
  <c r="H402" i="21"/>
  <c r="H403" i="21"/>
  <c r="H404" i="21"/>
  <c r="H405" i="21"/>
  <c r="H406" i="21"/>
  <c r="H407" i="21"/>
  <c r="H408" i="21"/>
  <c r="H409" i="21"/>
  <c r="H410" i="21"/>
  <c r="H411" i="21"/>
  <c r="H412" i="21"/>
  <c r="H413" i="21"/>
  <c r="H414" i="21"/>
  <c r="H415" i="21"/>
  <c r="H416" i="21"/>
  <c r="H417" i="21"/>
  <c r="H418" i="21"/>
  <c r="H419" i="21"/>
  <c r="H420" i="21"/>
  <c r="H421" i="21"/>
  <c r="H422" i="21"/>
  <c r="H423" i="21"/>
  <c r="H424" i="21"/>
  <c r="H425" i="21"/>
  <c r="H426" i="21"/>
  <c r="H427" i="21"/>
  <c r="H428" i="21"/>
  <c r="H429" i="21"/>
  <c r="H430" i="21"/>
  <c r="H431" i="21"/>
  <c r="H432" i="21"/>
  <c r="H433" i="21"/>
  <c r="H434" i="21"/>
  <c r="H435" i="21"/>
  <c r="H436" i="21"/>
  <c r="H437" i="21"/>
  <c r="H438" i="21"/>
  <c r="H439" i="21"/>
  <c r="H440" i="21"/>
  <c r="H441" i="21"/>
  <c r="H442" i="21"/>
  <c r="H443" i="21"/>
  <c r="H444" i="21"/>
  <c r="H445" i="21"/>
  <c r="H446" i="21"/>
  <c r="H447" i="21"/>
  <c r="H448" i="21"/>
  <c r="H449" i="21"/>
  <c r="H450" i="21"/>
  <c r="H451" i="21"/>
  <c r="H452" i="21"/>
  <c r="H453" i="21"/>
  <c r="H454" i="21"/>
  <c r="H455" i="21"/>
  <c r="H456" i="21"/>
  <c r="H457" i="21"/>
  <c r="H458" i="21"/>
  <c r="H459" i="21"/>
  <c r="H460" i="21"/>
  <c r="H461" i="21"/>
  <c r="H462" i="21"/>
  <c r="H463" i="21"/>
  <c r="H464" i="21"/>
  <c r="H465" i="21"/>
  <c r="H466" i="21"/>
  <c r="H467" i="21"/>
  <c r="H468" i="21"/>
  <c r="H469" i="21"/>
  <c r="H470" i="21"/>
  <c r="H471" i="21"/>
  <c r="H472" i="21"/>
  <c r="H473" i="21"/>
  <c r="H474" i="21"/>
  <c r="H475" i="21"/>
  <c r="H476" i="21"/>
  <c r="H477" i="21"/>
  <c r="H478" i="21"/>
  <c r="H479" i="21"/>
  <c r="H480" i="21"/>
  <c r="H481" i="21"/>
  <c r="H482" i="21"/>
  <c r="H483" i="21"/>
  <c r="H484" i="21"/>
  <c r="H485" i="21"/>
  <c r="H486" i="21"/>
  <c r="H487" i="21"/>
  <c r="H488" i="21"/>
  <c r="H489" i="21"/>
  <c r="H490" i="21"/>
  <c r="H491" i="21"/>
  <c r="H492" i="21"/>
  <c r="H493" i="21"/>
  <c r="H494" i="21"/>
  <c r="H495" i="21"/>
  <c r="H496" i="21"/>
  <c r="H497" i="21"/>
  <c r="H498" i="21"/>
  <c r="H499" i="21"/>
  <c r="H500" i="21"/>
  <c r="H501" i="21"/>
  <c r="H502" i="21"/>
  <c r="H503" i="21"/>
  <c r="H504" i="21"/>
  <c r="H505" i="21"/>
  <c r="H506" i="21"/>
  <c r="H507" i="21"/>
  <c r="H508" i="21"/>
  <c r="H509" i="21"/>
  <c r="H510" i="21"/>
  <c r="H511" i="21"/>
  <c r="H512" i="21"/>
  <c r="H513" i="21"/>
  <c r="H514" i="21"/>
  <c r="H515" i="21"/>
  <c r="H516" i="21"/>
  <c r="H517" i="21"/>
  <c r="H518" i="21"/>
  <c r="H519" i="21"/>
  <c r="H520" i="21"/>
  <c r="H521" i="21"/>
  <c r="H522" i="21"/>
  <c r="H523" i="21"/>
  <c r="H524" i="21"/>
  <c r="H525" i="21"/>
  <c r="H526" i="21"/>
  <c r="H527" i="21"/>
  <c r="H528" i="21"/>
  <c r="H529" i="21"/>
  <c r="H530" i="21"/>
  <c r="H531" i="21"/>
  <c r="H532" i="21"/>
  <c r="H533" i="21"/>
  <c r="H534" i="21"/>
  <c r="H535" i="21"/>
  <c r="H536" i="21"/>
  <c r="H537" i="21"/>
  <c r="H538" i="21"/>
  <c r="H539" i="21"/>
  <c r="H540" i="21"/>
  <c r="H541" i="21"/>
  <c r="H542" i="21"/>
  <c r="H543" i="21"/>
  <c r="H544" i="21"/>
  <c r="H545" i="21"/>
  <c r="H546" i="21"/>
  <c r="H547" i="21"/>
  <c r="H548" i="21"/>
  <c r="H549" i="21"/>
  <c r="H550" i="21"/>
  <c r="H551" i="21"/>
  <c r="H552" i="21"/>
  <c r="H553" i="21"/>
  <c r="H554" i="21"/>
  <c r="H555" i="21"/>
  <c r="H556" i="21"/>
  <c r="H557" i="21"/>
  <c r="H558" i="21"/>
  <c r="H559" i="21"/>
  <c r="H560" i="21"/>
  <c r="H561" i="21"/>
  <c r="H562" i="21"/>
  <c r="H563" i="21"/>
  <c r="H564" i="21"/>
  <c r="H565" i="21"/>
  <c r="H566" i="21"/>
  <c r="H567" i="21"/>
  <c r="H568" i="21"/>
  <c r="H569" i="21"/>
  <c r="H570" i="21"/>
  <c r="H571" i="21"/>
  <c r="H572" i="21"/>
  <c r="H573" i="21"/>
  <c r="H574" i="21"/>
  <c r="H575" i="21"/>
  <c r="H576" i="21"/>
  <c r="H577" i="21"/>
  <c r="H578" i="21"/>
  <c r="H579" i="21"/>
  <c r="H580" i="21"/>
  <c r="H581" i="21"/>
  <c r="H582" i="21"/>
  <c r="H583" i="21"/>
  <c r="H584" i="21"/>
  <c r="H585" i="21"/>
  <c r="H586" i="21"/>
  <c r="H587" i="21"/>
  <c r="H588" i="21"/>
  <c r="H589" i="21"/>
  <c r="H590" i="21"/>
  <c r="H591" i="21"/>
  <c r="H592" i="21"/>
  <c r="H593" i="21"/>
  <c r="H594" i="21"/>
  <c r="H595" i="21"/>
  <c r="H596" i="21"/>
  <c r="H597" i="21"/>
  <c r="H598" i="21"/>
  <c r="H599" i="21"/>
  <c r="H600" i="21"/>
  <c r="H601" i="21"/>
  <c r="H602" i="21"/>
  <c r="H603" i="21"/>
  <c r="H604" i="21"/>
  <c r="H605" i="21"/>
  <c r="H606" i="21"/>
  <c r="H607" i="21"/>
  <c r="H608" i="21"/>
  <c r="H609" i="21"/>
  <c r="H610" i="21"/>
  <c r="H611" i="21"/>
  <c r="H612" i="21"/>
  <c r="H613" i="21"/>
  <c r="H614" i="21"/>
  <c r="H615" i="21"/>
  <c r="H616" i="21"/>
  <c r="H617" i="21"/>
  <c r="H618" i="21"/>
  <c r="H619" i="21"/>
  <c r="H620" i="21"/>
  <c r="H621" i="21"/>
  <c r="H622" i="21"/>
  <c r="H623" i="21"/>
  <c r="H624" i="21"/>
  <c r="H625" i="21"/>
  <c r="H626" i="21"/>
  <c r="H627" i="21"/>
  <c r="H628" i="21"/>
  <c r="H629" i="21"/>
  <c r="H630" i="21"/>
  <c r="H631" i="21"/>
  <c r="H632" i="21"/>
  <c r="H633" i="21"/>
  <c r="H634" i="21"/>
  <c r="H635" i="21"/>
  <c r="H636" i="21"/>
  <c r="H637" i="21"/>
  <c r="H638" i="21"/>
  <c r="H639" i="21"/>
  <c r="H640" i="21"/>
  <c r="H641" i="21"/>
  <c r="H642" i="21"/>
  <c r="H643" i="21"/>
  <c r="H644" i="21"/>
  <c r="H645" i="21"/>
  <c r="H646" i="21"/>
  <c r="H647" i="21"/>
  <c r="H648" i="21"/>
  <c r="H649" i="21"/>
  <c r="H650" i="21"/>
  <c r="H651" i="21"/>
  <c r="H652" i="21"/>
  <c r="H653" i="21"/>
  <c r="H654" i="21"/>
  <c r="H655" i="21"/>
  <c r="H656" i="21"/>
  <c r="H657" i="21"/>
  <c r="H658" i="21"/>
  <c r="H659" i="21"/>
  <c r="H660" i="21"/>
  <c r="H661" i="21"/>
  <c r="H662" i="21"/>
  <c r="H663" i="21"/>
  <c r="H664" i="21"/>
  <c r="H665" i="21"/>
  <c r="H666" i="21"/>
  <c r="H667" i="21"/>
  <c r="H668" i="21"/>
  <c r="H669" i="21"/>
  <c r="H670" i="21"/>
  <c r="H671" i="21"/>
  <c r="H672" i="21"/>
  <c r="H673" i="21"/>
  <c r="H674" i="21"/>
  <c r="H675" i="21"/>
  <c r="H676" i="21"/>
  <c r="H677" i="21"/>
  <c r="H678" i="21"/>
  <c r="H679" i="21"/>
  <c r="H680" i="21"/>
  <c r="H681" i="21"/>
  <c r="H682" i="21"/>
  <c r="H683" i="21"/>
  <c r="H684" i="21"/>
  <c r="H685" i="21"/>
  <c r="H686" i="21"/>
  <c r="H687" i="21"/>
  <c r="H688" i="21"/>
  <c r="H689" i="21"/>
  <c r="H690" i="21"/>
  <c r="H691" i="21"/>
  <c r="H692" i="21"/>
  <c r="H693" i="21"/>
  <c r="H694" i="21"/>
  <c r="H695" i="21"/>
  <c r="H696" i="21"/>
  <c r="H697" i="21"/>
  <c r="H698" i="21"/>
  <c r="H699" i="21"/>
  <c r="H700" i="21"/>
  <c r="H701" i="21"/>
  <c r="H702" i="21"/>
  <c r="H703" i="21"/>
  <c r="H704" i="21"/>
  <c r="H705" i="21"/>
  <c r="H706" i="21"/>
  <c r="H707" i="21"/>
  <c r="H708" i="21"/>
  <c r="H709" i="21"/>
  <c r="H710" i="21"/>
  <c r="H711" i="21"/>
  <c r="H712" i="21"/>
  <c r="H713" i="21"/>
  <c r="H714" i="21"/>
  <c r="H715" i="21"/>
  <c r="H716" i="21"/>
  <c r="H717" i="21"/>
  <c r="H718" i="21"/>
  <c r="H719" i="21"/>
  <c r="H720" i="21"/>
  <c r="H721" i="21"/>
  <c r="H722" i="21"/>
  <c r="H723" i="21"/>
  <c r="H724" i="21"/>
  <c r="H725" i="21"/>
  <c r="H726" i="21"/>
  <c r="H727" i="21"/>
  <c r="H728" i="21"/>
  <c r="H729" i="21"/>
  <c r="H730" i="21"/>
  <c r="H731" i="21"/>
  <c r="H732" i="21"/>
  <c r="H733" i="21"/>
  <c r="H734" i="21"/>
  <c r="H735" i="21"/>
  <c r="H736" i="21"/>
  <c r="H737" i="21"/>
  <c r="H738" i="21"/>
  <c r="H739" i="21"/>
  <c r="H740" i="21"/>
  <c r="H741" i="21"/>
  <c r="H742" i="21"/>
  <c r="H743" i="21"/>
  <c r="H744" i="21"/>
  <c r="H745" i="21"/>
  <c r="H746" i="21"/>
  <c r="H747" i="21"/>
  <c r="H748" i="21"/>
  <c r="H749" i="21"/>
  <c r="H750" i="21"/>
  <c r="H751" i="21"/>
  <c r="H752" i="21"/>
  <c r="H753" i="21"/>
  <c r="H754" i="21"/>
  <c r="H755" i="21"/>
  <c r="H756" i="21"/>
  <c r="H757" i="21"/>
  <c r="H758" i="21"/>
  <c r="H759" i="21"/>
  <c r="H760" i="21"/>
  <c r="H761" i="21"/>
  <c r="H762" i="21"/>
  <c r="H763" i="21"/>
  <c r="H764" i="21"/>
  <c r="H765" i="21"/>
  <c r="H766" i="21"/>
  <c r="H767" i="21"/>
  <c r="H768" i="21"/>
  <c r="H769" i="21"/>
  <c r="H770" i="21"/>
  <c r="H771" i="21"/>
  <c r="H772" i="21"/>
  <c r="H773" i="21"/>
  <c r="H774" i="21"/>
  <c r="H775" i="21"/>
  <c r="H776" i="21"/>
  <c r="H777" i="21"/>
  <c r="H778" i="21"/>
  <c r="H779" i="21"/>
  <c r="H780" i="21"/>
  <c r="H781" i="21"/>
  <c r="H782" i="21"/>
  <c r="H783" i="21"/>
  <c r="H784" i="21"/>
  <c r="H785" i="21"/>
  <c r="H786" i="21"/>
  <c r="H787" i="21"/>
  <c r="H788" i="21"/>
  <c r="H789" i="21"/>
  <c r="H790" i="21"/>
  <c r="H791" i="21"/>
  <c r="H792" i="21"/>
  <c r="H793" i="21"/>
  <c r="H794" i="21"/>
  <c r="H795" i="21"/>
  <c r="H796" i="21"/>
  <c r="H797" i="21"/>
  <c r="H798" i="21"/>
  <c r="H799" i="21"/>
  <c r="H800" i="21"/>
  <c r="H801" i="21"/>
  <c r="H802" i="21"/>
  <c r="H803" i="21"/>
  <c r="H804" i="21"/>
  <c r="H805" i="21"/>
  <c r="H806" i="21"/>
  <c r="H807" i="21"/>
  <c r="H808" i="21"/>
  <c r="H809" i="21"/>
  <c r="H810" i="21"/>
  <c r="H811" i="21"/>
  <c r="H812" i="21"/>
  <c r="H813" i="21"/>
  <c r="H814" i="21"/>
  <c r="H815" i="21"/>
  <c r="H816" i="21"/>
  <c r="H817" i="21"/>
  <c r="H818" i="21"/>
  <c r="H819" i="21"/>
  <c r="H820" i="21"/>
  <c r="H821" i="21"/>
  <c r="H822" i="21"/>
  <c r="H823" i="21"/>
  <c r="H824" i="21"/>
  <c r="H825" i="21"/>
  <c r="H826" i="21"/>
  <c r="H827" i="21"/>
  <c r="H828" i="21"/>
  <c r="H829" i="21"/>
  <c r="H830" i="21"/>
  <c r="H831" i="21"/>
  <c r="H832" i="21"/>
  <c r="H833" i="21"/>
  <c r="H834" i="21"/>
  <c r="H835" i="21"/>
  <c r="H836" i="21"/>
  <c r="H837" i="21"/>
  <c r="H838" i="21"/>
  <c r="H839" i="21"/>
  <c r="H840" i="21"/>
  <c r="H841" i="21"/>
  <c r="H842" i="21"/>
  <c r="H843" i="21"/>
  <c r="H844" i="21"/>
  <c r="H845" i="21"/>
  <c r="H846" i="21"/>
  <c r="H847" i="21"/>
  <c r="H848" i="21"/>
  <c r="H849" i="21"/>
  <c r="H850" i="21"/>
  <c r="H851" i="21"/>
  <c r="H852" i="21"/>
  <c r="H853" i="21"/>
  <c r="H854" i="21"/>
  <c r="H855" i="21"/>
  <c r="H856" i="21"/>
  <c r="H857" i="21"/>
  <c r="H858" i="21"/>
  <c r="H859" i="21"/>
  <c r="H860" i="21"/>
  <c r="H861" i="21"/>
  <c r="H862" i="21"/>
  <c r="H863" i="21"/>
  <c r="H864" i="21"/>
  <c r="H865" i="21"/>
  <c r="H866" i="21"/>
  <c r="H867" i="21"/>
  <c r="H868" i="21"/>
  <c r="H869" i="21"/>
  <c r="H870" i="21"/>
  <c r="H871" i="21"/>
  <c r="H872" i="21"/>
  <c r="H873" i="21"/>
  <c r="H874" i="21"/>
  <c r="H875" i="21"/>
  <c r="H876" i="21"/>
  <c r="H877" i="21"/>
  <c r="H878" i="21"/>
  <c r="H879" i="21"/>
  <c r="H880" i="21"/>
  <c r="H881" i="21"/>
  <c r="H882" i="21"/>
  <c r="H883" i="21"/>
  <c r="H884" i="21"/>
  <c r="H885" i="21"/>
  <c r="H886" i="21"/>
  <c r="H887" i="21"/>
  <c r="H888" i="21"/>
  <c r="H889" i="21"/>
  <c r="H890" i="21"/>
  <c r="H891" i="21"/>
  <c r="H892" i="21"/>
  <c r="H893" i="21"/>
  <c r="H894" i="21"/>
  <c r="H895" i="21"/>
  <c r="H896" i="21"/>
  <c r="H897" i="21"/>
  <c r="H898" i="21"/>
  <c r="H899" i="21"/>
  <c r="H900" i="21"/>
  <c r="H901" i="21"/>
  <c r="H902" i="21"/>
  <c r="H903" i="21"/>
  <c r="H904" i="21"/>
  <c r="H905" i="21"/>
  <c r="H906" i="21"/>
  <c r="H907" i="21"/>
  <c r="H908" i="21"/>
  <c r="H909" i="21"/>
  <c r="H910" i="21"/>
  <c r="H911" i="21"/>
  <c r="H912" i="21"/>
  <c r="H913" i="21"/>
  <c r="H914" i="21"/>
  <c r="H915" i="21"/>
  <c r="H916" i="21"/>
  <c r="H917" i="21"/>
  <c r="H918" i="21"/>
  <c r="H919" i="21"/>
  <c r="H920" i="21"/>
  <c r="H921" i="21"/>
  <c r="H922" i="21"/>
  <c r="H923" i="21"/>
  <c r="H924" i="21"/>
  <c r="H925" i="21"/>
  <c r="H926" i="21"/>
  <c r="H927" i="21"/>
  <c r="H928" i="21"/>
  <c r="H929" i="21"/>
  <c r="H930" i="21"/>
  <c r="H931" i="21"/>
  <c r="H932" i="21"/>
  <c r="H933" i="21"/>
  <c r="H934" i="21"/>
  <c r="H935" i="21"/>
  <c r="H936" i="21"/>
  <c r="H937" i="21"/>
  <c r="H938" i="21"/>
  <c r="H939" i="21"/>
  <c r="H940" i="21"/>
  <c r="H941" i="21"/>
  <c r="H942" i="21"/>
  <c r="H943" i="21"/>
  <c r="H944" i="21"/>
  <c r="H945" i="21"/>
  <c r="H946" i="21"/>
  <c r="H947" i="21"/>
  <c r="H948" i="21"/>
  <c r="H949" i="21"/>
  <c r="H950" i="21"/>
  <c r="H951" i="21"/>
  <c r="H952" i="21"/>
  <c r="H953" i="21"/>
  <c r="H954" i="21"/>
  <c r="H955" i="21"/>
  <c r="H956" i="21"/>
  <c r="H957" i="21"/>
  <c r="H958" i="21"/>
  <c r="H959" i="21"/>
  <c r="H960" i="21"/>
  <c r="H961" i="21"/>
  <c r="H962" i="21"/>
  <c r="H963" i="21"/>
  <c r="H964" i="21"/>
  <c r="H965" i="21"/>
  <c r="H966" i="21"/>
  <c r="H967" i="21"/>
  <c r="H968" i="21"/>
  <c r="H969" i="21"/>
  <c r="H970" i="21"/>
  <c r="H971" i="21"/>
  <c r="H972" i="21"/>
  <c r="H973" i="21"/>
  <c r="H974" i="21"/>
  <c r="H975" i="21"/>
  <c r="H976" i="21"/>
  <c r="H977" i="21"/>
  <c r="H978" i="21"/>
  <c r="H979" i="21"/>
  <c r="H980" i="21"/>
  <c r="H981" i="21"/>
  <c r="H982" i="21"/>
  <c r="H983" i="21"/>
  <c r="H984" i="21"/>
  <c r="H985" i="21"/>
  <c r="H986" i="21"/>
  <c r="H987" i="21"/>
  <c r="H988" i="21"/>
  <c r="H989" i="21"/>
  <c r="H990" i="21"/>
  <c r="H991" i="21"/>
  <c r="H992" i="21"/>
  <c r="H993" i="21"/>
  <c r="H994" i="21"/>
  <c r="H995" i="21"/>
  <c r="H996" i="21"/>
  <c r="H997" i="21"/>
  <c r="H998" i="21"/>
  <c r="H999" i="21"/>
  <c r="H1000" i="21"/>
  <c r="H1001" i="21"/>
  <c r="H1002" i="21"/>
  <c r="H1003" i="21"/>
  <c r="H1004" i="21"/>
  <c r="H1005" i="21"/>
  <c r="H1006" i="21"/>
  <c r="H1007" i="21"/>
  <c r="H1008" i="21"/>
  <c r="H1009" i="21"/>
  <c r="H1010" i="21"/>
  <c r="H1011" i="21"/>
  <c r="H1012" i="21"/>
  <c r="H1013" i="21"/>
  <c r="H1014" i="21"/>
  <c r="H1015" i="21"/>
  <c r="H1016" i="21"/>
  <c r="H1017" i="21"/>
  <c r="H1018" i="21"/>
  <c r="H1019" i="21"/>
  <c r="H1020" i="21"/>
  <c r="H1021" i="21"/>
  <c r="H1022" i="21"/>
  <c r="H1023" i="21"/>
  <c r="H1024" i="21"/>
  <c r="H1025" i="21"/>
  <c r="H1026" i="21"/>
  <c r="H1027" i="21"/>
  <c r="H1028" i="21"/>
  <c r="H1029" i="21"/>
  <c r="H1030" i="21"/>
  <c r="H1031" i="21"/>
  <c r="H1032" i="21"/>
  <c r="H1033" i="21"/>
  <c r="H1034" i="21"/>
  <c r="H1035" i="21"/>
  <c r="H1036" i="21"/>
  <c r="H1037" i="21"/>
  <c r="H1038" i="21"/>
  <c r="H1039" i="21"/>
  <c r="H1040" i="21"/>
  <c r="H1041" i="21"/>
  <c r="H1042" i="21"/>
  <c r="H1043" i="21"/>
  <c r="H1044" i="21"/>
  <c r="H1045" i="21"/>
  <c r="H1046" i="21"/>
  <c r="H1047" i="21"/>
  <c r="H1048" i="21"/>
  <c r="H1049" i="21"/>
  <c r="H1050" i="21"/>
  <c r="H1051" i="21"/>
  <c r="H1052" i="21"/>
  <c r="H1053" i="21"/>
  <c r="H1054" i="21"/>
  <c r="H1055" i="21"/>
  <c r="H1056" i="21"/>
  <c r="H1057" i="21"/>
  <c r="H1058" i="21"/>
  <c r="H1059" i="21"/>
  <c r="H1060" i="21"/>
  <c r="H1061" i="21"/>
  <c r="H1062" i="21"/>
  <c r="H1063" i="21"/>
  <c r="H1064" i="21"/>
  <c r="H1065" i="21"/>
  <c r="H1066" i="21"/>
  <c r="H1067" i="21"/>
  <c r="H1068" i="21"/>
  <c r="H1069" i="21"/>
  <c r="H1070" i="21"/>
  <c r="H1071" i="21"/>
  <c r="H1072" i="21"/>
  <c r="H1073" i="21"/>
  <c r="H1074" i="21"/>
  <c r="H1075" i="21"/>
  <c r="H1076" i="21"/>
  <c r="H1077" i="21"/>
  <c r="H1078" i="21"/>
  <c r="H1079" i="21"/>
  <c r="H1080" i="21"/>
  <c r="H1081" i="21"/>
  <c r="H1082" i="21"/>
  <c r="H1083" i="21"/>
  <c r="H1084" i="21"/>
  <c r="H1085" i="21"/>
  <c r="H1086" i="21"/>
  <c r="H1087" i="21"/>
  <c r="H1088" i="21"/>
  <c r="H1089" i="21"/>
  <c r="H1090" i="21"/>
  <c r="H1091" i="21"/>
  <c r="H1092" i="21"/>
  <c r="H1093" i="21"/>
  <c r="H1094" i="21"/>
  <c r="H1095" i="21"/>
  <c r="H1096" i="21"/>
  <c r="H1097" i="21"/>
  <c r="H1098" i="21"/>
  <c r="H1099" i="21"/>
  <c r="H1100" i="21"/>
  <c r="H1101" i="21"/>
  <c r="H1102" i="21"/>
  <c r="H1103" i="21"/>
  <c r="H1104" i="21"/>
  <c r="H1105" i="21"/>
  <c r="H1106" i="21"/>
  <c r="H1107" i="21"/>
  <c r="H1108" i="21"/>
  <c r="H1109" i="21"/>
  <c r="H1110" i="21"/>
  <c r="H1111" i="21"/>
  <c r="H1112" i="21"/>
  <c r="H1113" i="21"/>
  <c r="H1114" i="21"/>
  <c r="H1115" i="21"/>
  <c r="H1116" i="21"/>
  <c r="H1117" i="21"/>
  <c r="H1118" i="21"/>
  <c r="H1119" i="21"/>
  <c r="H1120" i="21"/>
  <c r="H1121" i="21"/>
  <c r="H1122" i="21"/>
  <c r="H1123" i="21"/>
  <c r="H1124" i="21"/>
  <c r="H1125" i="21"/>
  <c r="H1126" i="21"/>
  <c r="H1127" i="21"/>
  <c r="H1128" i="21"/>
  <c r="H1129" i="21"/>
  <c r="H1130" i="21"/>
  <c r="H1131" i="21"/>
  <c r="H1132" i="21"/>
  <c r="H1133" i="21"/>
  <c r="H1134" i="21"/>
  <c r="H1135" i="21"/>
  <c r="H1136" i="21"/>
  <c r="H1137" i="21"/>
  <c r="H1138" i="21"/>
  <c r="H1139" i="21"/>
  <c r="H1140" i="21"/>
  <c r="H1141" i="21"/>
  <c r="H1142" i="21"/>
  <c r="H1143" i="21"/>
  <c r="H1144" i="21"/>
  <c r="H1145" i="21"/>
  <c r="H1146" i="21"/>
  <c r="H1147" i="21"/>
  <c r="H1148" i="21"/>
  <c r="H1149" i="21"/>
  <c r="H1150" i="21"/>
  <c r="H1151" i="21"/>
  <c r="H1152" i="21"/>
  <c r="H1153" i="21"/>
  <c r="H1154" i="21"/>
  <c r="H1155" i="21"/>
  <c r="H1156" i="21"/>
  <c r="H1157" i="21"/>
  <c r="H1158" i="21"/>
  <c r="H1159" i="21"/>
  <c r="H1160" i="21"/>
  <c r="H1161" i="21"/>
  <c r="H1162" i="21"/>
  <c r="H1163" i="21"/>
  <c r="H1164" i="21"/>
  <c r="H1165" i="21"/>
  <c r="H1166" i="21"/>
  <c r="H1167" i="21"/>
  <c r="H1168" i="21"/>
  <c r="H1169" i="21"/>
  <c r="H1170" i="21"/>
  <c r="H1171" i="21"/>
  <c r="H1172" i="21"/>
  <c r="H1173" i="21"/>
  <c r="H1174" i="21"/>
  <c r="H1175" i="21"/>
  <c r="H1176" i="21"/>
  <c r="H1177" i="21"/>
  <c r="H1178" i="21"/>
  <c r="H1179" i="21"/>
  <c r="H1180" i="21"/>
  <c r="H1181" i="21"/>
  <c r="H1182" i="21"/>
  <c r="H1183" i="21"/>
  <c r="H1184" i="21"/>
  <c r="H1185" i="21"/>
  <c r="H1186" i="21"/>
  <c r="H1187" i="21"/>
  <c r="H1188" i="21"/>
  <c r="H1189" i="21"/>
  <c r="H1190" i="21"/>
  <c r="H1191" i="21"/>
  <c r="H1192" i="21"/>
  <c r="H1193" i="21"/>
  <c r="H1194" i="21"/>
  <c r="H1195" i="21"/>
  <c r="H1196" i="21"/>
  <c r="H1197" i="21"/>
  <c r="H1198" i="21"/>
  <c r="H1199" i="21"/>
  <c r="H1200" i="21"/>
  <c r="H1201" i="21"/>
  <c r="H1202" i="21"/>
  <c r="H1203" i="21"/>
  <c r="H1204" i="21"/>
  <c r="H1205" i="21"/>
  <c r="H1206" i="21"/>
  <c r="H1207" i="21"/>
  <c r="H1208" i="21"/>
  <c r="H1209" i="21"/>
  <c r="H1210" i="21"/>
  <c r="H1211" i="21"/>
  <c r="H1212" i="21"/>
  <c r="H1213" i="21"/>
  <c r="H1214" i="21"/>
  <c r="H1215" i="21"/>
  <c r="H1216" i="21"/>
  <c r="H1217" i="21"/>
  <c r="H1218" i="21"/>
  <c r="H1219" i="21"/>
  <c r="H1220" i="21"/>
  <c r="H1221" i="21"/>
  <c r="H1222" i="21"/>
  <c r="H1223" i="21"/>
  <c r="H1224" i="21"/>
  <c r="H1225" i="21"/>
  <c r="H1226" i="21"/>
  <c r="H1227" i="21"/>
  <c r="H1228" i="21"/>
  <c r="H1229" i="21"/>
  <c r="H1230" i="21"/>
  <c r="H1231" i="21"/>
  <c r="H1232" i="21"/>
  <c r="H1233" i="21"/>
  <c r="H1234" i="21"/>
  <c r="H1235" i="21"/>
  <c r="H1236" i="21"/>
  <c r="H1237" i="21"/>
  <c r="H1238" i="21"/>
  <c r="H1239" i="21"/>
  <c r="H1240" i="21"/>
  <c r="H1241" i="21"/>
  <c r="H1242" i="21"/>
  <c r="H1243" i="21"/>
  <c r="H1244" i="21"/>
  <c r="H1245" i="21"/>
  <c r="H1246" i="21"/>
  <c r="H1247" i="21"/>
  <c r="H1248" i="21"/>
  <c r="H1249" i="21"/>
  <c r="H1250" i="21"/>
  <c r="H1251" i="21"/>
  <c r="H1252" i="21"/>
  <c r="H1253" i="21"/>
  <c r="H1254" i="21"/>
  <c r="H1255" i="21"/>
  <c r="H1256" i="21"/>
  <c r="H1257" i="21"/>
  <c r="H1258" i="21"/>
  <c r="H1259" i="21"/>
  <c r="H1260" i="21"/>
  <c r="H1261" i="21"/>
  <c r="H1262" i="21"/>
  <c r="H1263" i="21"/>
  <c r="H1264" i="21"/>
  <c r="H1265" i="21"/>
  <c r="H1266" i="21"/>
  <c r="H1267" i="21"/>
  <c r="H1268" i="21"/>
  <c r="H1269" i="21"/>
  <c r="H1270" i="21"/>
  <c r="H1271" i="21"/>
  <c r="H1272" i="21"/>
  <c r="H1273" i="21"/>
  <c r="H1274" i="21"/>
  <c r="H1275" i="21"/>
  <c r="H1276" i="21"/>
  <c r="H1277" i="21"/>
  <c r="H1278" i="21"/>
  <c r="H1279" i="21"/>
  <c r="H1280" i="21"/>
  <c r="H1281" i="21"/>
  <c r="H1282" i="21"/>
  <c r="H1283" i="21"/>
  <c r="H1284" i="21"/>
  <c r="H1285" i="21"/>
  <c r="H1286" i="21"/>
  <c r="H1287" i="21"/>
  <c r="H1288" i="21"/>
  <c r="H1289" i="21"/>
  <c r="H1290" i="21"/>
  <c r="H1291" i="21"/>
  <c r="H1292" i="21"/>
  <c r="H1293" i="21"/>
  <c r="H1294" i="21"/>
  <c r="H1295" i="21"/>
  <c r="H1296" i="21"/>
  <c r="H1297" i="21"/>
  <c r="H1298" i="21"/>
  <c r="H1299" i="21"/>
  <c r="H1300" i="21"/>
  <c r="H1301" i="21"/>
  <c r="H1302" i="21"/>
  <c r="H1303" i="21"/>
  <c r="H1304" i="21"/>
  <c r="H1305" i="21"/>
  <c r="H1306" i="21"/>
  <c r="H1307" i="21"/>
  <c r="H1308" i="21"/>
  <c r="H1309" i="21"/>
  <c r="H1310" i="21"/>
  <c r="H1311" i="21"/>
  <c r="H1312" i="21"/>
  <c r="H1313" i="21"/>
  <c r="H1314" i="21"/>
  <c r="H1315" i="21"/>
  <c r="H1316" i="21"/>
  <c r="H1317" i="21"/>
  <c r="H1318" i="21"/>
  <c r="H1319" i="21"/>
  <c r="H1320" i="21"/>
  <c r="H1321" i="21"/>
  <c r="H1322" i="21"/>
  <c r="H1323" i="21"/>
  <c r="H1324" i="21"/>
  <c r="H1325" i="21"/>
  <c r="H1326" i="21"/>
  <c r="H1327" i="21"/>
  <c r="H1328" i="21"/>
  <c r="H1329" i="21"/>
  <c r="H1330" i="21"/>
  <c r="H1331" i="21"/>
  <c r="H1332" i="21"/>
  <c r="H1333" i="21"/>
  <c r="H1334" i="21"/>
  <c r="H1335" i="21"/>
  <c r="H1336" i="21"/>
  <c r="H1337" i="21"/>
  <c r="H1338" i="21"/>
  <c r="H1339" i="21"/>
  <c r="H1340" i="21"/>
  <c r="H1341" i="21"/>
  <c r="H1342" i="21"/>
  <c r="H1343" i="21"/>
  <c r="H1344" i="21"/>
  <c r="H1345" i="21"/>
  <c r="H1346" i="21"/>
  <c r="H1347" i="21"/>
  <c r="H1348" i="21"/>
  <c r="H1349" i="21"/>
  <c r="H1350" i="21"/>
  <c r="H1351" i="21"/>
  <c r="H1352" i="21"/>
  <c r="H1353" i="21"/>
  <c r="H1354" i="21"/>
  <c r="H1355" i="21"/>
  <c r="H1356" i="21"/>
  <c r="H1357" i="21"/>
  <c r="H1358" i="21"/>
  <c r="H1359" i="21"/>
  <c r="H1360" i="21"/>
  <c r="H1361" i="21"/>
  <c r="H1362" i="21"/>
  <c r="H1363" i="21"/>
  <c r="H1364" i="21"/>
  <c r="H1365" i="21"/>
  <c r="H1366" i="21"/>
  <c r="H1367" i="21"/>
  <c r="H1368" i="21"/>
  <c r="H1369" i="21"/>
  <c r="H1370" i="21"/>
  <c r="H1371" i="21"/>
  <c r="H1372" i="21"/>
  <c r="H1373" i="21"/>
  <c r="H1374" i="21"/>
  <c r="H1375" i="21"/>
  <c r="H1376" i="21"/>
  <c r="H1377" i="21"/>
  <c r="H1378" i="21"/>
  <c r="H1379" i="21"/>
  <c r="H1380" i="21"/>
  <c r="H1381" i="21"/>
  <c r="H1382" i="21"/>
  <c r="H1383" i="21"/>
  <c r="H1384" i="21"/>
  <c r="H1385" i="21"/>
  <c r="H1386" i="21"/>
  <c r="H1387" i="21"/>
  <c r="H1388" i="21"/>
  <c r="H1389" i="21"/>
  <c r="H1390" i="21"/>
  <c r="H1391" i="21"/>
  <c r="H1392" i="21"/>
  <c r="H1393" i="21"/>
  <c r="H1394" i="21"/>
  <c r="H1395" i="21"/>
  <c r="H1396" i="21"/>
  <c r="H1397" i="21"/>
  <c r="H1398" i="21"/>
  <c r="H1399" i="21"/>
  <c r="H1400" i="21"/>
  <c r="H1401" i="21"/>
  <c r="H1402" i="21"/>
  <c r="H1403" i="21"/>
  <c r="H1404" i="21"/>
  <c r="H1405" i="21"/>
  <c r="H1406" i="21"/>
  <c r="H1407" i="21"/>
  <c r="H1408" i="21"/>
  <c r="H1409" i="21"/>
  <c r="H1410" i="21"/>
  <c r="H1411" i="21"/>
  <c r="H1412" i="21"/>
  <c r="H1413" i="21"/>
  <c r="H1414" i="21"/>
  <c r="H1415" i="21"/>
  <c r="H1416" i="21"/>
  <c r="H1417" i="21"/>
  <c r="H1418" i="21"/>
  <c r="H1419" i="21"/>
  <c r="H1420" i="21"/>
  <c r="H1421" i="21"/>
  <c r="H1422" i="21"/>
  <c r="H1423" i="21"/>
  <c r="H1424" i="21"/>
  <c r="H1425" i="21"/>
  <c r="H1426" i="21"/>
  <c r="H1427" i="21"/>
  <c r="H1428" i="21"/>
  <c r="H1429" i="21"/>
  <c r="H1430" i="21"/>
  <c r="H1431" i="21"/>
  <c r="H1432" i="21"/>
  <c r="H1433" i="21"/>
  <c r="H1434" i="21"/>
  <c r="H1435" i="21"/>
  <c r="H1436" i="21"/>
  <c r="H1437" i="21"/>
  <c r="H1438" i="21"/>
  <c r="H1439" i="21"/>
  <c r="H1440" i="21"/>
  <c r="H1441" i="21"/>
  <c r="H1442" i="21"/>
  <c r="H1443" i="21"/>
  <c r="H1444" i="21"/>
  <c r="H1445" i="21"/>
  <c r="H1446" i="21"/>
  <c r="H1447" i="21"/>
  <c r="H1448" i="21"/>
  <c r="H1449" i="21"/>
  <c r="H1450" i="21"/>
  <c r="H1451" i="21"/>
  <c r="H1452" i="21"/>
  <c r="H1453" i="21"/>
  <c r="H1454" i="21"/>
  <c r="H1455" i="21"/>
  <c r="H1456" i="21"/>
  <c r="H1457" i="21"/>
  <c r="H1458" i="21"/>
  <c r="H1459" i="21"/>
  <c r="H1460" i="21"/>
  <c r="H1461" i="21"/>
  <c r="H1462" i="21"/>
  <c r="H1463" i="21"/>
  <c r="H1464" i="21"/>
  <c r="H1465" i="21"/>
  <c r="H1466" i="21"/>
  <c r="H1467" i="21"/>
  <c r="H1468" i="21"/>
  <c r="H1469" i="21"/>
  <c r="H1470" i="21"/>
  <c r="H1471" i="21"/>
  <c r="H1472" i="21"/>
  <c r="H1473" i="21"/>
  <c r="H1474" i="21"/>
  <c r="H1475" i="21"/>
  <c r="H1476" i="21"/>
  <c r="H1477" i="21"/>
  <c r="H1478" i="21"/>
  <c r="H1479" i="21"/>
  <c r="H1480" i="21"/>
  <c r="H1481" i="21"/>
  <c r="H1482" i="21"/>
  <c r="H1483" i="21"/>
  <c r="H1484" i="21"/>
  <c r="H1485" i="21"/>
  <c r="H1486" i="21"/>
  <c r="H1487" i="21"/>
  <c r="H1488" i="21"/>
  <c r="H1489" i="21"/>
  <c r="H1490" i="21"/>
  <c r="H1491" i="21"/>
  <c r="H1492" i="21"/>
  <c r="H1493" i="21"/>
  <c r="H1494" i="21"/>
  <c r="H1495" i="21"/>
  <c r="H1496" i="21"/>
  <c r="H1497" i="21"/>
  <c r="H1498" i="21"/>
  <c r="H1499" i="21"/>
  <c r="H1500" i="21"/>
  <c r="H1501" i="21"/>
  <c r="H1502" i="21"/>
  <c r="H1503" i="21"/>
  <c r="H1504" i="21"/>
  <c r="H1505" i="21"/>
  <c r="H1506" i="21"/>
  <c r="H1507" i="21"/>
  <c r="H1508" i="21"/>
  <c r="H1509" i="21"/>
  <c r="H1510" i="21"/>
  <c r="H1511" i="21"/>
  <c r="H1512" i="21"/>
  <c r="H1513" i="21"/>
  <c r="H1514" i="21"/>
  <c r="H1515" i="21"/>
  <c r="H1516" i="21"/>
  <c r="H1517" i="21"/>
  <c r="H1518" i="21"/>
  <c r="H1519" i="21"/>
  <c r="H1520" i="21"/>
  <c r="H1521" i="21"/>
  <c r="H1522" i="21"/>
  <c r="H1523" i="21"/>
  <c r="H1524" i="21"/>
  <c r="H1525" i="21"/>
  <c r="H1526" i="21"/>
  <c r="H1527" i="21"/>
  <c r="H1528" i="21"/>
  <c r="H1529" i="21"/>
  <c r="H1530" i="21"/>
  <c r="H1531" i="21"/>
  <c r="H1532" i="21"/>
  <c r="H1533" i="21"/>
  <c r="H1534" i="21"/>
  <c r="H1535" i="21"/>
  <c r="H1536" i="21"/>
  <c r="H1537" i="21"/>
  <c r="H1538" i="21"/>
  <c r="H1539" i="21"/>
  <c r="H1540" i="21"/>
  <c r="H1541" i="21"/>
  <c r="H1542" i="21"/>
  <c r="H1543" i="21"/>
  <c r="H1544" i="21"/>
  <c r="H1545" i="21"/>
  <c r="H1546" i="21"/>
  <c r="H1547" i="21"/>
  <c r="H1548" i="21"/>
  <c r="H1549" i="21"/>
  <c r="H1550" i="21"/>
  <c r="H1551" i="21"/>
  <c r="H1552" i="21"/>
  <c r="H1553" i="21"/>
  <c r="H1554" i="21"/>
  <c r="H1555" i="21"/>
  <c r="H1556" i="21"/>
  <c r="H1557" i="21"/>
  <c r="H1558" i="21"/>
  <c r="H1559" i="21"/>
  <c r="H1560" i="21"/>
  <c r="H1561" i="21"/>
  <c r="H1562" i="21"/>
  <c r="H1563" i="21"/>
  <c r="H1564" i="21"/>
  <c r="H1565" i="21"/>
  <c r="H1566" i="21"/>
  <c r="H1567" i="21"/>
  <c r="H1568" i="21"/>
  <c r="H1569" i="21"/>
  <c r="H1570" i="21"/>
  <c r="H1571" i="21"/>
  <c r="H1572" i="21"/>
  <c r="H1573" i="21"/>
  <c r="H1574" i="21"/>
  <c r="H1575" i="21"/>
  <c r="H1576" i="21"/>
  <c r="H1577" i="21"/>
  <c r="H1578" i="21"/>
  <c r="H1579" i="21"/>
  <c r="H1580" i="21"/>
  <c r="H1581" i="21"/>
  <c r="H1582" i="21"/>
  <c r="H1583" i="21"/>
  <c r="H1584" i="21"/>
  <c r="H1585" i="21"/>
  <c r="H1586" i="21"/>
  <c r="H1587" i="21"/>
  <c r="H1588" i="21"/>
  <c r="H1589" i="21"/>
  <c r="H1590" i="21"/>
  <c r="H1591" i="21"/>
  <c r="H1592" i="21"/>
  <c r="H1593" i="21"/>
  <c r="H1594" i="21"/>
  <c r="H1595" i="21"/>
  <c r="H1596" i="21"/>
  <c r="H1597" i="21"/>
  <c r="H1598" i="21"/>
  <c r="H1599" i="21"/>
  <c r="H1600" i="21"/>
  <c r="H1601" i="21"/>
  <c r="H1602" i="21"/>
  <c r="H1603" i="21"/>
  <c r="H1604" i="21"/>
  <c r="H1605" i="21"/>
  <c r="H1606" i="21"/>
  <c r="H1607" i="21"/>
  <c r="H1608" i="21"/>
  <c r="H1609" i="21"/>
  <c r="H1610" i="21"/>
  <c r="H1611" i="21"/>
  <c r="H1612" i="21"/>
  <c r="H1613" i="21"/>
  <c r="H1614" i="21"/>
  <c r="H1615" i="21"/>
  <c r="H1616" i="21"/>
  <c r="H1617" i="21"/>
  <c r="H1618" i="21"/>
  <c r="H1619" i="21"/>
  <c r="H1620" i="21"/>
  <c r="H1621" i="21"/>
  <c r="H1622" i="21"/>
  <c r="H1623" i="21"/>
  <c r="H1624" i="21"/>
  <c r="H1625" i="21"/>
  <c r="H1626" i="21"/>
  <c r="H1627" i="21"/>
  <c r="H1628" i="21"/>
  <c r="H1629" i="21"/>
  <c r="H1630" i="21"/>
  <c r="H1631" i="21"/>
  <c r="H1632" i="21"/>
  <c r="H1633" i="21"/>
  <c r="H1634" i="21"/>
  <c r="H1635" i="21"/>
  <c r="H1636" i="21"/>
  <c r="H1637" i="21"/>
  <c r="H1638" i="21"/>
  <c r="H1639" i="21"/>
  <c r="H1640" i="21"/>
  <c r="H1641" i="21"/>
  <c r="H1642" i="21"/>
  <c r="H1643" i="21"/>
  <c r="H1644" i="21"/>
  <c r="H1645" i="21"/>
  <c r="H1646" i="21"/>
  <c r="H1647" i="21"/>
  <c r="H1648" i="21"/>
  <c r="H1649" i="21"/>
  <c r="H1650" i="21"/>
  <c r="H1651" i="21"/>
  <c r="H1652" i="21"/>
  <c r="H1653" i="21"/>
  <c r="H1654" i="21"/>
  <c r="H1655" i="21"/>
  <c r="H1656" i="21"/>
  <c r="H1657" i="21"/>
  <c r="H1658" i="21"/>
  <c r="H1659" i="21"/>
  <c r="H1660" i="21"/>
  <c r="H1661" i="21"/>
  <c r="H1662" i="21"/>
  <c r="H1663" i="21"/>
  <c r="H1664" i="21"/>
  <c r="H1665" i="21"/>
  <c r="H1666" i="21"/>
  <c r="H1667" i="21"/>
  <c r="H1668" i="21"/>
  <c r="H1669" i="21"/>
  <c r="H1670" i="21"/>
  <c r="H1671" i="21"/>
  <c r="H1672" i="21"/>
  <c r="H1673" i="21"/>
  <c r="H1674" i="21"/>
  <c r="H1675" i="21"/>
  <c r="H1676" i="21"/>
  <c r="H1677" i="21"/>
  <c r="H1678" i="21"/>
  <c r="H1679" i="21"/>
  <c r="H1680" i="21"/>
  <c r="H1681" i="21"/>
  <c r="H1682" i="21"/>
  <c r="H1683" i="21"/>
  <c r="H1684" i="21"/>
  <c r="H1685" i="21"/>
  <c r="H1686" i="21"/>
  <c r="H1687" i="21"/>
  <c r="H1688" i="21"/>
  <c r="H1689" i="21"/>
  <c r="H1690" i="21"/>
  <c r="H1691" i="21"/>
  <c r="H1692" i="21"/>
  <c r="H1693" i="21"/>
  <c r="H1694" i="21"/>
  <c r="H1695" i="21"/>
  <c r="H1696" i="21"/>
  <c r="H1697" i="21"/>
  <c r="H1698" i="21"/>
  <c r="H1699" i="21"/>
  <c r="H1700" i="21"/>
  <c r="H1701" i="21"/>
  <c r="H1702" i="21"/>
  <c r="H1703" i="21"/>
  <c r="H1704" i="21"/>
  <c r="H1705" i="21"/>
  <c r="H1706" i="21"/>
  <c r="H1707" i="21"/>
  <c r="H1708" i="21"/>
  <c r="H1709" i="21"/>
  <c r="H1710" i="21"/>
  <c r="H1711" i="21"/>
  <c r="H1712" i="21"/>
  <c r="H1713" i="21"/>
  <c r="H1714" i="21"/>
  <c r="H1715" i="21"/>
  <c r="H1716" i="21"/>
  <c r="H1717" i="21"/>
  <c r="H1718" i="21"/>
  <c r="H1719" i="21"/>
  <c r="H1720" i="21"/>
  <c r="H1721" i="21"/>
  <c r="H1722" i="21"/>
  <c r="H1723" i="21"/>
  <c r="H1724" i="21"/>
  <c r="H1725" i="21"/>
  <c r="H1726" i="21"/>
  <c r="H1727" i="21"/>
  <c r="H1728" i="21"/>
  <c r="H1729" i="21"/>
  <c r="H1730" i="21"/>
  <c r="H1731" i="21"/>
  <c r="H1732" i="21"/>
  <c r="H1733" i="21"/>
  <c r="H1734" i="21"/>
  <c r="H1735" i="21"/>
  <c r="H1736" i="21"/>
  <c r="H1737" i="21"/>
  <c r="H1738" i="21"/>
  <c r="H1739" i="21"/>
  <c r="H1740" i="21"/>
  <c r="H1741" i="21"/>
  <c r="H1742" i="21"/>
  <c r="H1743" i="21"/>
  <c r="H1744" i="21"/>
  <c r="H1745" i="21"/>
  <c r="H1746" i="21"/>
  <c r="H1747" i="21"/>
  <c r="H1748" i="21"/>
  <c r="H1749" i="21"/>
  <c r="H1750" i="21"/>
  <c r="H1751" i="21"/>
  <c r="H1752" i="21"/>
  <c r="H1753" i="21"/>
  <c r="H1754" i="21"/>
  <c r="H1755" i="21"/>
  <c r="H1756" i="21"/>
  <c r="H1757" i="21"/>
  <c r="H1758" i="21"/>
  <c r="H1759" i="21"/>
  <c r="H1760" i="21"/>
  <c r="H1761" i="21"/>
  <c r="H1762" i="21"/>
  <c r="H1763" i="21"/>
  <c r="H1764" i="21"/>
  <c r="H1765" i="21"/>
  <c r="H1766" i="21"/>
  <c r="H1767" i="21"/>
  <c r="H1768" i="21"/>
  <c r="H1769" i="21"/>
  <c r="H1770" i="21"/>
  <c r="H1771" i="21"/>
  <c r="H1772" i="21"/>
  <c r="H1773" i="21"/>
  <c r="H1774" i="21"/>
  <c r="H1775" i="21"/>
  <c r="H1776" i="21"/>
  <c r="H1777" i="21"/>
  <c r="H1778" i="21"/>
  <c r="H1779" i="21"/>
  <c r="H1780" i="21"/>
  <c r="H1781" i="21"/>
  <c r="H1782" i="21"/>
  <c r="H1783" i="21"/>
  <c r="H1784" i="21"/>
  <c r="H1785" i="21"/>
  <c r="H1786" i="21"/>
  <c r="H1787" i="21"/>
  <c r="H1788" i="21"/>
  <c r="H1789" i="21"/>
  <c r="H1790" i="21"/>
  <c r="H1791" i="21"/>
  <c r="H1792" i="21"/>
  <c r="H1793" i="21"/>
  <c r="H1794" i="21"/>
  <c r="H1795" i="21"/>
  <c r="H1796" i="21"/>
  <c r="H1797" i="21"/>
  <c r="H1798" i="21"/>
  <c r="H1799" i="21"/>
  <c r="H1800" i="21"/>
  <c r="H1801" i="21"/>
  <c r="H1802" i="21"/>
  <c r="H1803" i="21"/>
  <c r="H1804" i="21"/>
  <c r="H1805" i="21"/>
  <c r="H1806" i="21"/>
  <c r="H1807" i="21"/>
  <c r="H1808" i="21"/>
  <c r="H1809" i="21"/>
  <c r="H1810" i="21"/>
  <c r="H1811" i="21"/>
  <c r="H1812" i="21"/>
  <c r="H1813" i="21"/>
  <c r="H1814" i="21"/>
  <c r="H1815" i="21"/>
  <c r="H1816" i="21"/>
  <c r="H1817" i="21"/>
  <c r="H1818" i="21"/>
  <c r="H1819" i="21"/>
  <c r="H1820" i="21"/>
  <c r="H1821" i="21"/>
  <c r="H1822" i="21"/>
  <c r="H1823" i="21"/>
  <c r="H1824" i="21"/>
  <c r="H1825" i="21"/>
  <c r="H1826" i="21"/>
  <c r="H1827" i="21"/>
  <c r="H1828" i="21"/>
  <c r="H1829" i="21"/>
  <c r="H1830" i="21"/>
  <c r="H1831" i="21"/>
  <c r="H1832" i="21"/>
  <c r="H1833" i="21"/>
  <c r="H1834" i="21"/>
  <c r="H1835" i="21"/>
  <c r="H1836" i="21"/>
  <c r="H1837" i="21"/>
  <c r="H1838" i="21"/>
  <c r="H1839" i="21"/>
  <c r="H1840" i="21"/>
  <c r="H1841" i="21"/>
  <c r="H1842" i="21"/>
  <c r="H1843" i="21"/>
  <c r="H1844" i="21"/>
  <c r="H1845" i="21"/>
  <c r="H1846" i="21"/>
  <c r="H1847" i="21"/>
  <c r="H1848" i="21"/>
  <c r="H1849" i="21"/>
  <c r="H1850" i="21"/>
  <c r="H1851" i="21"/>
  <c r="H1852" i="21"/>
  <c r="H1853" i="21"/>
  <c r="H1854" i="21"/>
  <c r="H1855" i="21"/>
  <c r="H1856" i="21"/>
  <c r="H1857" i="21"/>
  <c r="H1858" i="21"/>
  <c r="H1859" i="21"/>
  <c r="H1860" i="21"/>
  <c r="H1861" i="21"/>
  <c r="H1862" i="21"/>
  <c r="H1863" i="21"/>
  <c r="H1864" i="21"/>
  <c r="H1865" i="21"/>
  <c r="H1866" i="21"/>
  <c r="H1867" i="21"/>
  <c r="H1868" i="21"/>
  <c r="H1869" i="21"/>
  <c r="H1870" i="21"/>
  <c r="H1871" i="21"/>
  <c r="H1872" i="21"/>
  <c r="H1873" i="21"/>
  <c r="H1874" i="21"/>
  <c r="H1875" i="21"/>
  <c r="H1876" i="21"/>
  <c r="H1877" i="21"/>
  <c r="H1878" i="21"/>
  <c r="H1879" i="21"/>
  <c r="H1880" i="21"/>
  <c r="H1881" i="21"/>
  <c r="H1882" i="21"/>
  <c r="H1883" i="21"/>
  <c r="H1884" i="21"/>
  <c r="H1885" i="21"/>
  <c r="H1886" i="21"/>
  <c r="H1887" i="21"/>
  <c r="H1888" i="21"/>
  <c r="H1889" i="21"/>
  <c r="H1890" i="21"/>
  <c r="H1891" i="21"/>
  <c r="H1892" i="21"/>
  <c r="H1893" i="21"/>
  <c r="H1894" i="21"/>
  <c r="H1895" i="21"/>
  <c r="H1896" i="21"/>
  <c r="H1897" i="21"/>
  <c r="H1898" i="21"/>
  <c r="H1899" i="21"/>
  <c r="H1900" i="21"/>
  <c r="H1901" i="21"/>
  <c r="H1902" i="21"/>
  <c r="H1903" i="21"/>
  <c r="H1904" i="21"/>
  <c r="H1905" i="21"/>
  <c r="H1906" i="21"/>
  <c r="H1907" i="21"/>
  <c r="H1908" i="21"/>
  <c r="H1909" i="21"/>
  <c r="H1910" i="21"/>
  <c r="H1911" i="21"/>
  <c r="H1912" i="21"/>
  <c r="H1913" i="21"/>
  <c r="H1914" i="21"/>
  <c r="H1915" i="21"/>
  <c r="H1916" i="21"/>
  <c r="H1917" i="21"/>
  <c r="H1918" i="21"/>
  <c r="H1919" i="21"/>
  <c r="H1920" i="21"/>
  <c r="H1921" i="21"/>
  <c r="H1922" i="21"/>
  <c r="H1923" i="21"/>
  <c r="H1924" i="21"/>
  <c r="H1925" i="21"/>
  <c r="H1926" i="21"/>
  <c r="H1927" i="21"/>
  <c r="H1928" i="21"/>
  <c r="H1929" i="21"/>
  <c r="H1930" i="21"/>
  <c r="H1931" i="21"/>
  <c r="H1932" i="21"/>
  <c r="H1933" i="21"/>
  <c r="H1934" i="21"/>
  <c r="H1935" i="21"/>
  <c r="H1936" i="21"/>
  <c r="H1937" i="21"/>
  <c r="H1938" i="21"/>
  <c r="H1939" i="21"/>
  <c r="H1940" i="21"/>
  <c r="H1941" i="21"/>
  <c r="H1942" i="21"/>
  <c r="H1943" i="21"/>
  <c r="H1944" i="21"/>
  <c r="H1945" i="21"/>
  <c r="H1946" i="21"/>
  <c r="H1947" i="21"/>
  <c r="H1948" i="21"/>
  <c r="H1949" i="21"/>
  <c r="H1950" i="21"/>
  <c r="H1951" i="21"/>
  <c r="H1952" i="21"/>
  <c r="H1953" i="21"/>
  <c r="H1954" i="21"/>
  <c r="H1955" i="21"/>
  <c r="H1956" i="21"/>
  <c r="H1957" i="21"/>
  <c r="H1958" i="21"/>
  <c r="H1959" i="21"/>
  <c r="H1960" i="21"/>
  <c r="H1961" i="21"/>
  <c r="H1962" i="21"/>
  <c r="H1963" i="21"/>
  <c r="H1964" i="21"/>
  <c r="H1965" i="21"/>
  <c r="H1966" i="21"/>
  <c r="H1967" i="21"/>
  <c r="H1968" i="21"/>
  <c r="H1969" i="21"/>
  <c r="H1970" i="21"/>
  <c r="H1971" i="21"/>
  <c r="H1972" i="21"/>
  <c r="H1973" i="21"/>
  <c r="H1974" i="21"/>
  <c r="H1975" i="21"/>
  <c r="H1976" i="21"/>
  <c r="H1977" i="21"/>
  <c r="H1978" i="21"/>
  <c r="H1979" i="21"/>
  <c r="H1980" i="21"/>
  <c r="H1981" i="21"/>
  <c r="H1982" i="21"/>
  <c r="H1983" i="21"/>
  <c r="H1984" i="21"/>
  <c r="H1985" i="21"/>
  <c r="H1986" i="21"/>
  <c r="H1987" i="21"/>
  <c r="H1988" i="21"/>
  <c r="H1989" i="21"/>
  <c r="H1990" i="21"/>
  <c r="H1991" i="21"/>
  <c r="H1992" i="21"/>
  <c r="H1993" i="21"/>
  <c r="H1994" i="21"/>
  <c r="H1995" i="21"/>
  <c r="H1996" i="21"/>
  <c r="H1997" i="21"/>
  <c r="H1998" i="21"/>
  <c r="H1999" i="21"/>
  <c r="H2000" i="21"/>
  <c r="H2001" i="21"/>
  <c r="H2002" i="21"/>
  <c r="H2003" i="21"/>
  <c r="H2004" i="21"/>
  <c r="H2005" i="21"/>
  <c r="H2006" i="21"/>
  <c r="H2007" i="21"/>
  <c r="H2008" i="21"/>
  <c r="H2009" i="21"/>
  <c r="H2010" i="21"/>
  <c r="D492" i="11"/>
  <c r="F492" i="13"/>
  <c r="D492" i="13" s="1"/>
  <c r="B118" i="28"/>
  <c r="C118" i="28"/>
  <c r="D118" i="28"/>
  <c r="E118" i="28"/>
  <c r="F118" i="28"/>
  <c r="B619" i="13"/>
  <c r="E619" i="13"/>
  <c r="O619" i="13" s="1" a="1"/>
  <c r="G619" i="13"/>
  <c r="H619" i="13" s="1"/>
  <c r="T619" i="13"/>
  <c r="U619" i="13"/>
  <c r="W619" i="13"/>
  <c r="D619" i="11"/>
  <c r="F619" i="13"/>
  <c r="D619" i="13"/>
  <c r="B352" i="3"/>
  <c r="B618" i="13"/>
  <c r="C148" i="29" s="1"/>
  <c r="E618" i="13"/>
  <c r="O618" i="13" s="1" a="1"/>
  <c r="G618" i="13"/>
  <c r="H618" i="13" s="1"/>
  <c r="T618" i="13"/>
  <c r="U618" i="13"/>
  <c r="W618" i="13"/>
  <c r="D618" i="11"/>
  <c r="F618" i="13"/>
  <c r="D618" i="13" s="1"/>
  <c r="D148" i="29"/>
  <c r="B351" i="3"/>
  <c r="D617" i="11"/>
  <c r="F617" i="13"/>
  <c r="D617" i="13" s="1"/>
  <c r="F147" i="29" s="1"/>
  <c r="D147" i="29"/>
  <c r="B617" i="13"/>
  <c r="E617" i="13"/>
  <c r="O617" i="13" s="1" a="1"/>
  <c r="G617" i="13"/>
  <c r="H617" i="13" s="1"/>
  <c r="T617" i="13"/>
  <c r="U617" i="13"/>
  <c r="W617" i="13"/>
  <c r="B435" i="3"/>
  <c r="D146" i="29"/>
  <c r="B616" i="13"/>
  <c r="C146" i="29"/>
  <c r="E616" i="13"/>
  <c r="O616" i="13" s="1" a="1"/>
  <c r="G616" i="13"/>
  <c r="H616" i="13" s="1"/>
  <c r="T616" i="13"/>
  <c r="U616" i="13"/>
  <c r="W616" i="13"/>
  <c r="D616" i="11"/>
  <c r="F616" i="13"/>
  <c r="D616" i="13" s="1"/>
  <c r="F146" i="29" s="1"/>
  <c r="D145" i="29"/>
  <c r="B615" i="13"/>
  <c r="C145" i="29"/>
  <c r="E615" i="13"/>
  <c r="O615" i="13" s="1" a="1"/>
  <c r="G615" i="13"/>
  <c r="H615" i="13" s="1"/>
  <c r="T615" i="13"/>
  <c r="U615" i="13"/>
  <c r="W615" i="13"/>
  <c r="D615" i="11"/>
  <c r="F615" i="13"/>
  <c r="D615" i="13"/>
  <c r="F145" i="29" s="1"/>
  <c r="B416" i="3"/>
  <c r="D144" i="29"/>
  <c r="B426" i="3"/>
  <c r="B614" i="13"/>
  <c r="C144" i="29" s="1"/>
  <c r="E614" i="13"/>
  <c r="O614" i="13" a="1"/>
  <c r="G614" i="13"/>
  <c r="H614" i="13" s="1"/>
  <c r="T614" i="13"/>
  <c r="U614" i="13"/>
  <c r="W614" i="13"/>
  <c r="D614" i="11"/>
  <c r="F614" i="13"/>
  <c r="D614" i="13"/>
  <c r="F144" i="29" s="1"/>
  <c r="D143" i="29"/>
  <c r="B354" i="3"/>
  <c r="B613" i="13"/>
  <c r="C143" i="29" s="1"/>
  <c r="E613" i="13"/>
  <c r="O613" i="13" s="1" a="1"/>
  <c r="G613" i="13"/>
  <c r="H613" i="13" s="1"/>
  <c r="T613" i="13"/>
  <c r="U613" i="13"/>
  <c r="W613" i="13"/>
  <c r="D613" i="11"/>
  <c r="F613" i="13"/>
  <c r="D613" i="13"/>
  <c r="U2" i="13"/>
  <c r="U3" i="13"/>
  <c r="U4" i="13"/>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79" i="13"/>
  <c r="U80" i="13"/>
  <c r="U81" i="13"/>
  <c r="U82" i="13"/>
  <c r="U83" i="13"/>
  <c r="U84" i="13"/>
  <c r="U85" i="13"/>
  <c r="U86" i="13"/>
  <c r="U87" i="13"/>
  <c r="U88" i="13"/>
  <c r="U89" i="13"/>
  <c r="U90" i="13"/>
  <c r="U91" i="13"/>
  <c r="U92" i="13"/>
  <c r="U93" i="13"/>
  <c r="U94" i="13"/>
  <c r="U95" i="13"/>
  <c r="U96" i="13"/>
  <c r="U97" i="13"/>
  <c r="U98" i="13"/>
  <c r="U99" i="13"/>
  <c r="U100" i="13"/>
  <c r="U101" i="13"/>
  <c r="U102" i="13"/>
  <c r="U103" i="13"/>
  <c r="U104" i="13"/>
  <c r="U105" i="13"/>
  <c r="U106" i="13"/>
  <c r="U107" i="13"/>
  <c r="U108" i="13"/>
  <c r="U109" i="13"/>
  <c r="U110" i="13"/>
  <c r="U111" i="13"/>
  <c r="U112" i="13"/>
  <c r="U113" i="13"/>
  <c r="U114" i="13"/>
  <c r="U115" i="13"/>
  <c r="U116" i="13"/>
  <c r="U117" i="13"/>
  <c r="U118" i="13"/>
  <c r="U119" i="13"/>
  <c r="U120" i="13"/>
  <c r="U121" i="13"/>
  <c r="U122" i="13"/>
  <c r="U123" i="13"/>
  <c r="U124" i="13"/>
  <c r="U125" i="13"/>
  <c r="U126" i="13"/>
  <c r="U127" i="13"/>
  <c r="U128" i="13"/>
  <c r="U129" i="13"/>
  <c r="U130" i="13"/>
  <c r="U131" i="13"/>
  <c r="U132" i="13"/>
  <c r="U133" i="13"/>
  <c r="U134" i="13"/>
  <c r="U135" i="13"/>
  <c r="U136" i="13"/>
  <c r="U137" i="13"/>
  <c r="U138" i="13"/>
  <c r="U139" i="13"/>
  <c r="U140" i="13"/>
  <c r="U141" i="13"/>
  <c r="U142" i="13"/>
  <c r="U143" i="13"/>
  <c r="U144" i="13"/>
  <c r="U145" i="13"/>
  <c r="U146" i="13"/>
  <c r="U147" i="13"/>
  <c r="U148" i="13"/>
  <c r="U149" i="13"/>
  <c r="U150" i="13"/>
  <c r="U151" i="13"/>
  <c r="U152" i="13"/>
  <c r="U153" i="13"/>
  <c r="U154" i="13"/>
  <c r="U155" i="13"/>
  <c r="U156" i="13"/>
  <c r="U157" i="13"/>
  <c r="U158" i="13"/>
  <c r="U159" i="13"/>
  <c r="U160" i="13"/>
  <c r="U161" i="13"/>
  <c r="U162" i="13"/>
  <c r="U163" i="13"/>
  <c r="U164" i="13"/>
  <c r="U165" i="13"/>
  <c r="U166" i="13"/>
  <c r="U167" i="13"/>
  <c r="U168" i="13"/>
  <c r="U169" i="13"/>
  <c r="U170" i="13"/>
  <c r="U171" i="13"/>
  <c r="U172" i="13"/>
  <c r="U173" i="13"/>
  <c r="U174" i="13"/>
  <c r="U175" i="13"/>
  <c r="U176" i="13"/>
  <c r="U177" i="13"/>
  <c r="U178" i="13"/>
  <c r="U179" i="13"/>
  <c r="U180" i="13"/>
  <c r="U181" i="13"/>
  <c r="U182" i="13"/>
  <c r="U183" i="13"/>
  <c r="U184" i="13"/>
  <c r="U185" i="13"/>
  <c r="U186" i="13"/>
  <c r="U187" i="13"/>
  <c r="U188" i="13"/>
  <c r="U189" i="13"/>
  <c r="U190" i="13"/>
  <c r="U191" i="13"/>
  <c r="U192" i="13"/>
  <c r="U193" i="13"/>
  <c r="U194" i="13"/>
  <c r="U195" i="13"/>
  <c r="U196" i="13"/>
  <c r="U197" i="13"/>
  <c r="U198" i="13"/>
  <c r="U199" i="13"/>
  <c r="U200" i="13"/>
  <c r="U201" i="13"/>
  <c r="U202" i="13"/>
  <c r="U203" i="13"/>
  <c r="U204" i="13"/>
  <c r="U205" i="13"/>
  <c r="U206" i="13"/>
  <c r="U207" i="13"/>
  <c r="U208" i="13"/>
  <c r="U209" i="13"/>
  <c r="U210" i="13"/>
  <c r="U211" i="13"/>
  <c r="U212" i="13"/>
  <c r="U213" i="13"/>
  <c r="U214" i="13"/>
  <c r="U215" i="13"/>
  <c r="U216" i="13"/>
  <c r="U217" i="13"/>
  <c r="U218" i="13"/>
  <c r="U219" i="13"/>
  <c r="U220" i="13"/>
  <c r="U221" i="13"/>
  <c r="U222" i="13"/>
  <c r="U223" i="13"/>
  <c r="U224" i="13"/>
  <c r="U225" i="13"/>
  <c r="U226" i="13"/>
  <c r="U227" i="13"/>
  <c r="U228" i="13"/>
  <c r="U229" i="13"/>
  <c r="U230" i="13"/>
  <c r="U231" i="13"/>
  <c r="U232" i="13"/>
  <c r="U233" i="13"/>
  <c r="U234" i="13"/>
  <c r="U235" i="13"/>
  <c r="U236" i="13"/>
  <c r="U237" i="13"/>
  <c r="U238" i="13"/>
  <c r="U239" i="13"/>
  <c r="U240" i="13"/>
  <c r="U241" i="13"/>
  <c r="U242" i="13"/>
  <c r="U243" i="13"/>
  <c r="U244" i="13"/>
  <c r="U245" i="13"/>
  <c r="U246" i="13"/>
  <c r="U247" i="13"/>
  <c r="U248" i="13"/>
  <c r="U249" i="13"/>
  <c r="U250" i="13"/>
  <c r="U251" i="13"/>
  <c r="U252" i="13"/>
  <c r="U253" i="13"/>
  <c r="U254" i="13"/>
  <c r="U255" i="13"/>
  <c r="U256" i="13"/>
  <c r="U257" i="13"/>
  <c r="U258" i="13"/>
  <c r="U259" i="13"/>
  <c r="U260" i="13"/>
  <c r="U261" i="13"/>
  <c r="U262" i="13"/>
  <c r="U263" i="13"/>
  <c r="U264" i="13"/>
  <c r="U265" i="13"/>
  <c r="U266" i="13"/>
  <c r="U267" i="13"/>
  <c r="U268" i="13"/>
  <c r="U269" i="13"/>
  <c r="U270" i="13"/>
  <c r="U271" i="13"/>
  <c r="U272" i="13"/>
  <c r="U273" i="13"/>
  <c r="U274" i="13"/>
  <c r="U275" i="13"/>
  <c r="U276" i="13"/>
  <c r="U277" i="13"/>
  <c r="U278" i="13"/>
  <c r="U279" i="13"/>
  <c r="U280" i="13"/>
  <c r="U281" i="13"/>
  <c r="U282" i="13"/>
  <c r="U283" i="13"/>
  <c r="U284" i="13"/>
  <c r="U285" i="13"/>
  <c r="U286" i="13"/>
  <c r="U287" i="13"/>
  <c r="U288" i="13"/>
  <c r="U289" i="13"/>
  <c r="U290" i="13"/>
  <c r="U291" i="13"/>
  <c r="U292" i="13"/>
  <c r="U293" i="13"/>
  <c r="U294" i="13"/>
  <c r="U295" i="13"/>
  <c r="U296" i="13"/>
  <c r="U297" i="13"/>
  <c r="U298" i="13"/>
  <c r="U299" i="13"/>
  <c r="U300" i="13"/>
  <c r="U301" i="13"/>
  <c r="U302" i="13"/>
  <c r="U303" i="13"/>
  <c r="U304" i="13"/>
  <c r="U305" i="13"/>
  <c r="U306" i="13"/>
  <c r="U307" i="13"/>
  <c r="U308" i="13"/>
  <c r="U309" i="13"/>
  <c r="U310" i="13"/>
  <c r="U311" i="13"/>
  <c r="U312" i="13"/>
  <c r="U313" i="13"/>
  <c r="U314" i="13"/>
  <c r="U315" i="13"/>
  <c r="U316" i="13"/>
  <c r="U317" i="13"/>
  <c r="U318" i="13"/>
  <c r="U319" i="13"/>
  <c r="U320" i="13"/>
  <c r="U321" i="13"/>
  <c r="U322" i="13"/>
  <c r="U323" i="13"/>
  <c r="U324" i="13"/>
  <c r="U325" i="13"/>
  <c r="U326" i="13"/>
  <c r="U327" i="13"/>
  <c r="U328" i="13"/>
  <c r="U329" i="13"/>
  <c r="U330" i="13"/>
  <c r="U331" i="13"/>
  <c r="U332" i="13"/>
  <c r="U333" i="13"/>
  <c r="U334" i="13"/>
  <c r="U335" i="13"/>
  <c r="U336" i="13"/>
  <c r="U337" i="13"/>
  <c r="U338" i="13"/>
  <c r="U339" i="13"/>
  <c r="U340" i="13"/>
  <c r="U341" i="13"/>
  <c r="U342" i="13"/>
  <c r="U343" i="13"/>
  <c r="U344" i="13"/>
  <c r="U345" i="13"/>
  <c r="U346" i="13"/>
  <c r="U347" i="13"/>
  <c r="U348" i="13"/>
  <c r="U349" i="13"/>
  <c r="U350" i="13"/>
  <c r="U351" i="13"/>
  <c r="U352" i="13"/>
  <c r="U353" i="13"/>
  <c r="U354" i="13"/>
  <c r="U355" i="13"/>
  <c r="U356" i="13"/>
  <c r="U357" i="13"/>
  <c r="U358" i="13"/>
  <c r="U359" i="13"/>
  <c r="U360" i="13"/>
  <c r="U361" i="13"/>
  <c r="U362" i="13"/>
  <c r="U363" i="13"/>
  <c r="U364" i="13"/>
  <c r="U365" i="13"/>
  <c r="U366" i="13"/>
  <c r="U367" i="13"/>
  <c r="U368" i="13"/>
  <c r="U369" i="13"/>
  <c r="U370" i="13"/>
  <c r="U371" i="13"/>
  <c r="U372" i="13"/>
  <c r="U373" i="13"/>
  <c r="U374" i="13"/>
  <c r="U375" i="13"/>
  <c r="U376" i="13"/>
  <c r="U377" i="13"/>
  <c r="U378" i="13"/>
  <c r="U379" i="13"/>
  <c r="U380" i="13"/>
  <c r="U381" i="13"/>
  <c r="U382" i="13"/>
  <c r="U383" i="13"/>
  <c r="U384" i="13"/>
  <c r="U385" i="13"/>
  <c r="U386" i="13"/>
  <c r="U387" i="13"/>
  <c r="U388" i="13"/>
  <c r="U389" i="13"/>
  <c r="U390" i="13"/>
  <c r="U391" i="13"/>
  <c r="U392" i="13"/>
  <c r="U393" i="13"/>
  <c r="U394" i="13"/>
  <c r="U395" i="13"/>
  <c r="U396" i="13"/>
  <c r="U397" i="13"/>
  <c r="U398" i="13"/>
  <c r="U399" i="13"/>
  <c r="U400" i="13"/>
  <c r="U401" i="13"/>
  <c r="U402" i="13"/>
  <c r="U403" i="13"/>
  <c r="U404" i="13"/>
  <c r="U405" i="13"/>
  <c r="U406" i="13"/>
  <c r="U407" i="13"/>
  <c r="U408" i="13"/>
  <c r="U409" i="13"/>
  <c r="U410" i="13"/>
  <c r="U411" i="13"/>
  <c r="U412" i="13"/>
  <c r="U413" i="13"/>
  <c r="U414" i="13"/>
  <c r="U415" i="13"/>
  <c r="U416" i="13"/>
  <c r="U417" i="13"/>
  <c r="U418" i="13"/>
  <c r="U419" i="13"/>
  <c r="U420" i="13"/>
  <c r="U421" i="13"/>
  <c r="U422" i="13"/>
  <c r="U423" i="13"/>
  <c r="U424" i="13"/>
  <c r="U425" i="13"/>
  <c r="U426" i="13"/>
  <c r="U427" i="13"/>
  <c r="U428" i="13"/>
  <c r="U429" i="13"/>
  <c r="U430" i="13"/>
  <c r="U431" i="13"/>
  <c r="U432" i="13"/>
  <c r="U433" i="13"/>
  <c r="U434" i="13"/>
  <c r="U435" i="13"/>
  <c r="U436" i="13"/>
  <c r="U437" i="13"/>
  <c r="U438" i="13"/>
  <c r="U439" i="13"/>
  <c r="U440" i="13"/>
  <c r="U441" i="13"/>
  <c r="U442" i="13"/>
  <c r="U443" i="13"/>
  <c r="U444" i="13"/>
  <c r="U445" i="13"/>
  <c r="U446" i="13"/>
  <c r="U447" i="13"/>
  <c r="U448" i="13"/>
  <c r="U449" i="13"/>
  <c r="U450" i="13"/>
  <c r="U451" i="13"/>
  <c r="U452" i="13"/>
  <c r="U453" i="13"/>
  <c r="U454" i="13"/>
  <c r="U455" i="13"/>
  <c r="U456" i="13"/>
  <c r="U457" i="13"/>
  <c r="U458" i="13"/>
  <c r="U459" i="13"/>
  <c r="U460" i="13"/>
  <c r="U461" i="13"/>
  <c r="U462" i="13"/>
  <c r="U463" i="13"/>
  <c r="U464" i="13"/>
  <c r="U465" i="13"/>
  <c r="U466" i="13"/>
  <c r="U467" i="13"/>
  <c r="U468" i="13"/>
  <c r="U469" i="13"/>
  <c r="U470" i="13"/>
  <c r="U471" i="13"/>
  <c r="U472" i="13"/>
  <c r="U473" i="13"/>
  <c r="U474" i="13"/>
  <c r="U475" i="13"/>
  <c r="U476" i="13"/>
  <c r="U477" i="13"/>
  <c r="U478" i="13"/>
  <c r="U479" i="13"/>
  <c r="U480" i="13"/>
  <c r="U481" i="13"/>
  <c r="U482" i="13"/>
  <c r="U483" i="13"/>
  <c r="U484" i="13"/>
  <c r="U485" i="13"/>
  <c r="U486" i="13"/>
  <c r="U487" i="13"/>
  <c r="U488" i="13"/>
  <c r="U489" i="13"/>
  <c r="U490" i="13"/>
  <c r="U491" i="13"/>
  <c r="U493" i="13"/>
  <c r="U494" i="13"/>
  <c r="U495" i="13"/>
  <c r="U496" i="13"/>
  <c r="U497" i="13"/>
  <c r="U498" i="13"/>
  <c r="U499" i="13"/>
  <c r="U500" i="13"/>
  <c r="U501" i="13"/>
  <c r="U502" i="13"/>
  <c r="U503" i="13"/>
  <c r="U504" i="13"/>
  <c r="U505" i="13"/>
  <c r="U506" i="13"/>
  <c r="U507" i="13"/>
  <c r="U508" i="13"/>
  <c r="U509" i="13"/>
  <c r="U510" i="13"/>
  <c r="U511" i="13"/>
  <c r="U512" i="13"/>
  <c r="U513" i="13"/>
  <c r="U514" i="13"/>
  <c r="U515" i="13"/>
  <c r="U516" i="13"/>
  <c r="U517" i="13"/>
  <c r="U518" i="13"/>
  <c r="U519" i="13"/>
  <c r="U520" i="13"/>
  <c r="U521" i="13"/>
  <c r="U522" i="13"/>
  <c r="U523" i="13"/>
  <c r="U524" i="13"/>
  <c r="U525" i="13"/>
  <c r="U526" i="13"/>
  <c r="U527" i="13"/>
  <c r="U528" i="13"/>
  <c r="U529" i="13"/>
  <c r="U530" i="13"/>
  <c r="U531" i="13"/>
  <c r="U532" i="13"/>
  <c r="U533" i="13"/>
  <c r="U534" i="13"/>
  <c r="U535" i="13"/>
  <c r="U536" i="13"/>
  <c r="U537" i="13"/>
  <c r="U538" i="13"/>
  <c r="U539" i="13"/>
  <c r="U540" i="13"/>
  <c r="U541" i="13"/>
  <c r="U542" i="13"/>
  <c r="U543" i="13"/>
  <c r="U544" i="13"/>
  <c r="U545" i="13"/>
  <c r="U546" i="13"/>
  <c r="U547" i="13"/>
  <c r="U548" i="13"/>
  <c r="U549" i="13"/>
  <c r="U550" i="13"/>
  <c r="U551" i="13"/>
  <c r="U552" i="13"/>
  <c r="U553" i="13"/>
  <c r="U554" i="13"/>
  <c r="U555" i="13"/>
  <c r="U556" i="13"/>
  <c r="U557" i="13"/>
  <c r="U558" i="13"/>
  <c r="U559" i="13"/>
  <c r="U560" i="13"/>
  <c r="U561" i="13"/>
  <c r="U562" i="13"/>
  <c r="U563" i="13"/>
  <c r="U564" i="13"/>
  <c r="U565" i="13"/>
  <c r="U566" i="13"/>
  <c r="U567" i="13"/>
  <c r="U568" i="13"/>
  <c r="U569" i="13"/>
  <c r="U570" i="13"/>
  <c r="U571" i="13"/>
  <c r="U572" i="13"/>
  <c r="U573" i="13"/>
  <c r="U574" i="13"/>
  <c r="U575" i="13"/>
  <c r="U576" i="13"/>
  <c r="U577" i="13"/>
  <c r="U578" i="13"/>
  <c r="U579" i="13"/>
  <c r="U580" i="13"/>
  <c r="U581" i="13"/>
  <c r="U582" i="13"/>
  <c r="U583" i="13"/>
  <c r="U584" i="13"/>
  <c r="U585" i="13"/>
  <c r="U586" i="13"/>
  <c r="U587" i="13"/>
  <c r="U588" i="13"/>
  <c r="U589" i="13"/>
  <c r="U590" i="13"/>
  <c r="U591" i="13"/>
  <c r="U592" i="13"/>
  <c r="U593" i="13"/>
  <c r="U594" i="13"/>
  <c r="U595" i="13"/>
  <c r="U596" i="13"/>
  <c r="U597" i="13"/>
  <c r="U598" i="13"/>
  <c r="U599" i="13"/>
  <c r="U600" i="13"/>
  <c r="U601" i="13"/>
  <c r="U602" i="13"/>
  <c r="U603" i="13"/>
  <c r="U604" i="13"/>
  <c r="U605" i="13"/>
  <c r="U606" i="13"/>
  <c r="U607" i="13"/>
  <c r="U608" i="13"/>
  <c r="U609" i="13"/>
  <c r="U610" i="13"/>
  <c r="U611" i="13"/>
  <c r="U612" i="13"/>
  <c r="W2" i="13"/>
  <c r="W5" i="13"/>
  <c r="W14" i="13"/>
  <c r="W22" i="13"/>
  <c r="W25" i="13"/>
  <c r="W31" i="13"/>
  <c r="W32" i="13"/>
  <c r="W39" i="13"/>
  <c r="W42" i="13"/>
  <c r="W46" i="13"/>
  <c r="W50" i="13"/>
  <c r="W55" i="13"/>
  <c r="W61" i="13"/>
  <c r="W67" i="13"/>
  <c r="W74" i="13"/>
  <c r="W86" i="13"/>
  <c r="W94" i="13"/>
  <c r="W98" i="13"/>
  <c r="W103" i="13"/>
  <c r="W107" i="13"/>
  <c r="W114" i="13"/>
  <c r="W122" i="13"/>
  <c r="W125" i="13"/>
  <c r="W254" i="13"/>
  <c r="W256" i="13"/>
  <c r="W257" i="13"/>
  <c r="W258" i="13"/>
  <c r="W259" i="13"/>
  <c r="W260" i="13"/>
  <c r="W261" i="13"/>
  <c r="W262" i="13"/>
  <c r="W263" i="13"/>
  <c r="W264" i="13"/>
  <c r="W265" i="13"/>
  <c r="W266" i="13"/>
  <c r="W267" i="13"/>
  <c r="W268" i="13"/>
  <c r="W270" i="13"/>
  <c r="W271" i="13"/>
  <c r="W272" i="13"/>
  <c r="W274" i="13"/>
  <c r="W276" i="13"/>
  <c r="W278" i="13"/>
  <c r="W280" i="13"/>
  <c r="W281" i="13"/>
  <c r="W282" i="13"/>
  <c r="W283" i="13"/>
  <c r="W284" i="13"/>
  <c r="W285" i="13"/>
  <c r="W286" i="13"/>
  <c r="W288" i="13"/>
  <c r="W289" i="13"/>
  <c r="W290" i="13"/>
  <c r="W291" i="13"/>
  <c r="W292" i="13"/>
  <c r="W293" i="13"/>
  <c r="W294" i="13"/>
  <c r="W295" i="13"/>
  <c r="W296" i="13"/>
  <c r="W298" i="13"/>
  <c r="W299" i="13"/>
  <c r="W300" i="13"/>
  <c r="W301" i="13"/>
  <c r="W302" i="13"/>
  <c r="W303" i="13"/>
  <c r="W304" i="13"/>
  <c r="W305" i="13"/>
  <c r="W306" i="13"/>
  <c r="W307" i="13"/>
  <c r="W308" i="13"/>
  <c r="W310" i="13"/>
  <c r="W311" i="13"/>
  <c r="W312" i="13"/>
  <c r="W313" i="13"/>
  <c r="W314" i="13"/>
  <c r="W316" i="13"/>
  <c r="W317" i="13"/>
  <c r="W318" i="13"/>
  <c r="W319" i="13"/>
  <c r="W320" i="13"/>
  <c r="W321" i="13"/>
  <c r="W322" i="13"/>
  <c r="W323" i="13"/>
  <c r="W324" i="13"/>
  <c r="W325" i="13"/>
  <c r="W326" i="13"/>
  <c r="W327" i="13"/>
  <c r="W328" i="13"/>
  <c r="W330" i="13"/>
  <c r="W332" i="13"/>
  <c r="W334" i="13"/>
  <c r="W336" i="13"/>
  <c r="W338" i="13"/>
  <c r="W340" i="13"/>
  <c r="W342" i="13"/>
  <c r="W343" i="13"/>
  <c r="W344" i="13"/>
  <c r="W345" i="13"/>
  <c r="W346" i="13"/>
  <c r="W347" i="13"/>
  <c r="W348" i="13"/>
  <c r="W350" i="13"/>
  <c r="W351" i="13"/>
  <c r="W352" i="13"/>
  <c r="W353" i="13"/>
  <c r="W354" i="13"/>
  <c r="W356" i="13"/>
  <c r="W358" i="13"/>
  <c r="W359" i="13"/>
  <c r="W360" i="13"/>
  <c r="W361" i="13"/>
  <c r="W362" i="13"/>
  <c r="W363" i="13"/>
  <c r="W364" i="13"/>
  <c r="W365" i="13"/>
  <c r="W366" i="13"/>
  <c r="W367" i="13"/>
  <c r="W368" i="13"/>
  <c r="W369" i="13"/>
  <c r="W370" i="13"/>
  <c r="W371" i="13"/>
  <c r="W372" i="13"/>
  <c r="W373" i="13"/>
  <c r="W374" i="13"/>
  <c r="W375" i="13"/>
  <c r="W381" i="13"/>
  <c r="W382" i="13"/>
  <c r="W383" i="13"/>
  <c r="W384" i="13"/>
  <c r="W385" i="13"/>
  <c r="W386" i="13"/>
  <c r="W387" i="13"/>
  <c r="W388" i="13"/>
  <c r="W389" i="13"/>
  <c r="W390" i="13"/>
  <c r="W391" i="13"/>
  <c r="W392" i="13"/>
  <c r="W393" i="13"/>
  <c r="W394" i="13"/>
  <c r="W395" i="13"/>
  <c r="W396" i="13"/>
  <c r="W397" i="13"/>
  <c r="W398" i="13"/>
  <c r="W399" i="13"/>
  <c r="W400" i="13"/>
  <c r="W401" i="13"/>
  <c r="W402" i="13"/>
  <c r="W403" i="13"/>
  <c r="W404" i="13"/>
  <c r="W405" i="13"/>
  <c r="W406" i="13"/>
  <c r="W407" i="13"/>
  <c r="W408" i="13"/>
  <c r="W409" i="13"/>
  <c r="W410" i="13"/>
  <c r="W411" i="13"/>
  <c r="W412" i="13"/>
  <c r="W413" i="13"/>
  <c r="W414" i="13"/>
  <c r="W415" i="13"/>
  <c r="W416" i="13"/>
  <c r="W417" i="13"/>
  <c r="W418" i="13"/>
  <c r="W419" i="13"/>
  <c r="W420" i="13"/>
  <c r="W421" i="13"/>
  <c r="W422" i="13"/>
  <c r="W423" i="13"/>
  <c r="W424" i="13"/>
  <c r="W425" i="13"/>
  <c r="W426" i="13"/>
  <c r="W427" i="13"/>
  <c r="W428" i="13"/>
  <c r="W429" i="13"/>
  <c r="W430" i="13"/>
  <c r="W431" i="13"/>
  <c r="W432" i="13"/>
  <c r="W433" i="13"/>
  <c r="W434" i="13"/>
  <c r="W435" i="13"/>
  <c r="W436" i="13"/>
  <c r="W437" i="13"/>
  <c r="W438" i="13"/>
  <c r="W439" i="13"/>
  <c r="W440" i="13"/>
  <c r="W441" i="13"/>
  <c r="W442" i="13"/>
  <c r="W443" i="13"/>
  <c r="W444" i="13"/>
  <c r="W445" i="13"/>
  <c r="W446" i="13"/>
  <c r="W447" i="13"/>
  <c r="W448" i="13"/>
  <c r="W449" i="13"/>
  <c r="W450" i="13"/>
  <c r="W451" i="13"/>
  <c r="W452" i="13"/>
  <c r="W453" i="13"/>
  <c r="W454" i="13"/>
  <c r="W455" i="13"/>
  <c r="W456" i="13"/>
  <c r="W457" i="13"/>
  <c r="W458" i="13"/>
  <c r="W459" i="13"/>
  <c r="W460" i="13"/>
  <c r="W461" i="13"/>
  <c r="W462" i="13"/>
  <c r="W463" i="13"/>
  <c r="W464" i="13"/>
  <c r="W465" i="13"/>
  <c r="W466" i="13"/>
  <c r="W467" i="13"/>
  <c r="W468" i="13"/>
  <c r="W469" i="13"/>
  <c r="W470" i="13"/>
  <c r="W471" i="13"/>
  <c r="W472" i="13"/>
  <c r="W473" i="13"/>
  <c r="W474" i="13"/>
  <c r="W475" i="13"/>
  <c r="W476" i="13"/>
  <c r="W477" i="13"/>
  <c r="W478" i="13"/>
  <c r="W479" i="13"/>
  <c r="W480" i="13"/>
  <c r="W481" i="13"/>
  <c r="W482" i="13"/>
  <c r="W483" i="13"/>
  <c r="W484" i="13"/>
  <c r="W485" i="13"/>
  <c r="W486" i="13"/>
  <c r="W487" i="13"/>
  <c r="W488" i="13"/>
  <c r="W489" i="13"/>
  <c r="W490" i="13"/>
  <c r="W491" i="13"/>
  <c r="W493" i="13"/>
  <c r="W494" i="13"/>
  <c r="W495" i="13"/>
  <c r="W496" i="13"/>
  <c r="W497" i="13"/>
  <c r="W498" i="13"/>
  <c r="W499" i="13"/>
  <c r="W500" i="13"/>
  <c r="W501" i="13"/>
  <c r="W502" i="13"/>
  <c r="W503" i="13"/>
  <c r="W504" i="13"/>
  <c r="W505" i="13"/>
  <c r="W506" i="13"/>
  <c r="W507" i="13"/>
  <c r="W508" i="13"/>
  <c r="W509" i="13"/>
  <c r="W510" i="13"/>
  <c r="W511" i="13"/>
  <c r="W512" i="13"/>
  <c r="W513" i="13"/>
  <c r="W514" i="13"/>
  <c r="W515" i="13"/>
  <c r="W516" i="13"/>
  <c r="W517" i="13"/>
  <c r="T2" i="13"/>
  <c r="T3" i="13"/>
  <c r="T4" i="13"/>
  <c r="T5" i="13"/>
  <c r="T6" i="13"/>
  <c r="T7" i="13"/>
  <c r="T8" i="13"/>
  <c r="T9" i="13"/>
  <c r="T10" i="13"/>
  <c r="T11" i="13"/>
  <c r="T12" i="13"/>
  <c r="T13" i="13"/>
  <c r="T14" i="13"/>
  <c r="T15" i="13"/>
  <c r="T16" i="13"/>
  <c r="T17" i="13"/>
  <c r="T18" i="13"/>
  <c r="T19" i="13"/>
  <c r="T20"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50" i="13"/>
  <c r="T51" i="13"/>
  <c r="T52" i="13"/>
  <c r="T53" i="13"/>
  <c r="T54" i="13"/>
  <c r="T55" i="13"/>
  <c r="T56" i="13"/>
  <c r="T57" i="13"/>
  <c r="T58" i="13"/>
  <c r="T59" i="13"/>
  <c r="T60" i="13"/>
  <c r="T61" i="13"/>
  <c r="T62" i="13"/>
  <c r="T63" i="13"/>
  <c r="T64" i="13"/>
  <c r="T65" i="13"/>
  <c r="T66" i="13"/>
  <c r="T67" i="13"/>
  <c r="T68" i="13"/>
  <c r="T69" i="13"/>
  <c r="T70" i="13"/>
  <c r="T71" i="13"/>
  <c r="T72" i="13"/>
  <c r="T73" i="13"/>
  <c r="T74" i="13"/>
  <c r="T75" i="13"/>
  <c r="T76" i="13"/>
  <c r="T77" i="13"/>
  <c r="T78" i="13"/>
  <c r="T79" i="13"/>
  <c r="T80" i="13"/>
  <c r="T81" i="13"/>
  <c r="T82" i="13"/>
  <c r="T83" i="13"/>
  <c r="T84" i="13"/>
  <c r="T85" i="13"/>
  <c r="T86" i="13"/>
  <c r="T87" i="13"/>
  <c r="T88" i="13"/>
  <c r="T89" i="13"/>
  <c r="T90" i="13"/>
  <c r="T91" i="13"/>
  <c r="T92" i="13"/>
  <c r="T93" i="13"/>
  <c r="T94" i="13"/>
  <c r="T95" i="13"/>
  <c r="T96" i="13"/>
  <c r="T97" i="13"/>
  <c r="T98" i="13"/>
  <c r="T99" i="13"/>
  <c r="T100" i="13"/>
  <c r="T101" i="13"/>
  <c r="T102" i="13"/>
  <c r="T103" i="13"/>
  <c r="T104" i="13"/>
  <c r="T105" i="13"/>
  <c r="T106" i="13"/>
  <c r="T107" i="13"/>
  <c r="T108" i="13"/>
  <c r="T109" i="13"/>
  <c r="T110" i="13"/>
  <c r="T111" i="13"/>
  <c r="T112" i="13"/>
  <c r="T113" i="13"/>
  <c r="T114" i="13"/>
  <c r="T115" i="13"/>
  <c r="T116" i="13"/>
  <c r="T117" i="13"/>
  <c r="T118" i="13"/>
  <c r="T119" i="13"/>
  <c r="T120" i="13"/>
  <c r="T121" i="13"/>
  <c r="T122" i="13"/>
  <c r="T123" i="13"/>
  <c r="T124" i="13"/>
  <c r="T125" i="13"/>
  <c r="T126" i="13"/>
  <c r="T127" i="13"/>
  <c r="T128" i="13"/>
  <c r="T129" i="13"/>
  <c r="T130" i="13"/>
  <c r="T131" i="13"/>
  <c r="T132" i="13"/>
  <c r="T133" i="13"/>
  <c r="T134" i="13"/>
  <c r="T135" i="13"/>
  <c r="T136" i="13"/>
  <c r="T137" i="13"/>
  <c r="T138" i="13"/>
  <c r="T139" i="13"/>
  <c r="T140" i="13"/>
  <c r="T141" i="13"/>
  <c r="T142" i="13"/>
  <c r="T143" i="13"/>
  <c r="T144" i="13"/>
  <c r="T145" i="13"/>
  <c r="T146" i="13"/>
  <c r="T147" i="13"/>
  <c r="T148" i="13"/>
  <c r="T149" i="13"/>
  <c r="T150" i="13"/>
  <c r="T151" i="13"/>
  <c r="T152" i="13"/>
  <c r="T153" i="13"/>
  <c r="T154" i="13"/>
  <c r="T155" i="13"/>
  <c r="T156" i="13"/>
  <c r="T157" i="13"/>
  <c r="T158" i="13"/>
  <c r="T159" i="13"/>
  <c r="T160" i="13"/>
  <c r="T161" i="13"/>
  <c r="T162" i="13"/>
  <c r="T163" i="13"/>
  <c r="T164" i="13"/>
  <c r="T165" i="13"/>
  <c r="T166" i="13"/>
  <c r="T167" i="13"/>
  <c r="T168" i="13"/>
  <c r="T169" i="13"/>
  <c r="T170" i="13"/>
  <c r="T171" i="13"/>
  <c r="T172" i="13"/>
  <c r="T173" i="13"/>
  <c r="T174" i="13"/>
  <c r="T175" i="13"/>
  <c r="T176" i="13"/>
  <c r="T177" i="13"/>
  <c r="T178" i="13"/>
  <c r="T179" i="13"/>
  <c r="T180" i="13"/>
  <c r="T181" i="13"/>
  <c r="T182" i="13"/>
  <c r="T183" i="13"/>
  <c r="T184" i="13"/>
  <c r="T185" i="13"/>
  <c r="T186" i="13"/>
  <c r="T187" i="13"/>
  <c r="T188" i="13"/>
  <c r="T189" i="13"/>
  <c r="T190" i="13"/>
  <c r="T191" i="13"/>
  <c r="T192" i="13"/>
  <c r="T193" i="13"/>
  <c r="T194" i="13"/>
  <c r="T195" i="13"/>
  <c r="T196" i="13"/>
  <c r="T197" i="13"/>
  <c r="T198" i="13"/>
  <c r="T199" i="13"/>
  <c r="T200" i="13"/>
  <c r="T201" i="13"/>
  <c r="T202" i="13"/>
  <c r="T203" i="13"/>
  <c r="T204" i="13"/>
  <c r="T205" i="13"/>
  <c r="T206" i="13"/>
  <c r="T207" i="13"/>
  <c r="T208" i="13"/>
  <c r="T209" i="13"/>
  <c r="T210" i="13"/>
  <c r="T211" i="13"/>
  <c r="T212" i="13"/>
  <c r="T213" i="13"/>
  <c r="T214" i="13"/>
  <c r="T215" i="13"/>
  <c r="T216" i="13"/>
  <c r="T217" i="13"/>
  <c r="T218" i="13"/>
  <c r="T219" i="13"/>
  <c r="T220" i="13"/>
  <c r="T221" i="13"/>
  <c r="T222" i="13"/>
  <c r="T223" i="13"/>
  <c r="T224" i="13"/>
  <c r="T225" i="13"/>
  <c r="T226" i="13"/>
  <c r="T227" i="13"/>
  <c r="T228" i="13"/>
  <c r="T229" i="13"/>
  <c r="T230" i="13"/>
  <c r="T231" i="13"/>
  <c r="T232" i="13"/>
  <c r="T233" i="13"/>
  <c r="T234" i="13"/>
  <c r="T235" i="13"/>
  <c r="T236" i="13"/>
  <c r="T237" i="13"/>
  <c r="T238" i="13"/>
  <c r="T239" i="13"/>
  <c r="T240" i="13"/>
  <c r="T241" i="13"/>
  <c r="T242" i="13"/>
  <c r="T243" i="13"/>
  <c r="T244" i="13"/>
  <c r="T245" i="13"/>
  <c r="T246" i="13"/>
  <c r="T247" i="13"/>
  <c r="T248" i="13"/>
  <c r="T249" i="13"/>
  <c r="T250" i="13"/>
  <c r="T251" i="13"/>
  <c r="T252" i="13"/>
  <c r="T253" i="13"/>
  <c r="T254" i="13"/>
  <c r="T255" i="13"/>
  <c r="T256" i="13"/>
  <c r="T257" i="13"/>
  <c r="T258" i="13"/>
  <c r="T259" i="13"/>
  <c r="T260" i="13"/>
  <c r="T261" i="13"/>
  <c r="T262" i="13"/>
  <c r="T263" i="13"/>
  <c r="T264" i="13"/>
  <c r="T265" i="13"/>
  <c r="T266" i="13"/>
  <c r="T267" i="13"/>
  <c r="T268" i="13"/>
  <c r="T269" i="13"/>
  <c r="T270" i="13"/>
  <c r="T271" i="13"/>
  <c r="T272" i="13"/>
  <c r="T273" i="13"/>
  <c r="T274" i="13"/>
  <c r="T275" i="13"/>
  <c r="T276" i="13"/>
  <c r="T277" i="13"/>
  <c r="T278" i="13"/>
  <c r="T279" i="13"/>
  <c r="T280" i="13"/>
  <c r="T281" i="13"/>
  <c r="T282" i="13"/>
  <c r="T283" i="13"/>
  <c r="T284" i="13"/>
  <c r="T285" i="13"/>
  <c r="T286" i="13"/>
  <c r="T287" i="13"/>
  <c r="T288" i="13"/>
  <c r="T289" i="13"/>
  <c r="T290" i="13"/>
  <c r="T291" i="13"/>
  <c r="T292" i="13"/>
  <c r="T293" i="13"/>
  <c r="T294" i="13"/>
  <c r="T295" i="13"/>
  <c r="T296" i="13"/>
  <c r="T297" i="13"/>
  <c r="T298" i="13"/>
  <c r="T299" i="13"/>
  <c r="T300" i="13"/>
  <c r="T301" i="13"/>
  <c r="T302" i="13"/>
  <c r="T303" i="13"/>
  <c r="T304" i="13"/>
  <c r="T305" i="13"/>
  <c r="T306" i="13"/>
  <c r="T307" i="13"/>
  <c r="T308" i="13"/>
  <c r="T309" i="13"/>
  <c r="T310" i="13"/>
  <c r="T311" i="13"/>
  <c r="T312" i="13"/>
  <c r="T313" i="13"/>
  <c r="T314" i="13"/>
  <c r="T315" i="13"/>
  <c r="T316" i="13"/>
  <c r="T317" i="13"/>
  <c r="T318" i="13"/>
  <c r="T319" i="13"/>
  <c r="T320" i="13"/>
  <c r="T321" i="13"/>
  <c r="T322" i="13"/>
  <c r="T323" i="13"/>
  <c r="T324" i="13"/>
  <c r="T325" i="13"/>
  <c r="T326" i="13"/>
  <c r="T327" i="13"/>
  <c r="T328" i="13"/>
  <c r="T329" i="13"/>
  <c r="T330" i="13"/>
  <c r="T331" i="13"/>
  <c r="T332" i="13"/>
  <c r="T333" i="13"/>
  <c r="T334" i="13"/>
  <c r="T335" i="13"/>
  <c r="T336" i="13"/>
  <c r="T337" i="13"/>
  <c r="T338" i="13"/>
  <c r="T339" i="13"/>
  <c r="T340" i="13"/>
  <c r="T341" i="13"/>
  <c r="T342" i="13"/>
  <c r="T343" i="13"/>
  <c r="T344" i="13"/>
  <c r="T345" i="13"/>
  <c r="T346" i="13"/>
  <c r="T347" i="13"/>
  <c r="T348" i="13"/>
  <c r="T349" i="13"/>
  <c r="T350" i="13"/>
  <c r="T351" i="13"/>
  <c r="T352" i="13"/>
  <c r="T353" i="13"/>
  <c r="T354" i="13"/>
  <c r="T355" i="13"/>
  <c r="T356" i="13"/>
  <c r="T357" i="13"/>
  <c r="T358" i="13"/>
  <c r="T359" i="13"/>
  <c r="T360" i="13"/>
  <c r="T361" i="13"/>
  <c r="T362" i="13"/>
  <c r="T363" i="13"/>
  <c r="T364" i="13"/>
  <c r="T365" i="13"/>
  <c r="T366" i="13"/>
  <c r="T367" i="13"/>
  <c r="T368" i="13"/>
  <c r="T369" i="13"/>
  <c r="T370" i="13"/>
  <c r="T371" i="13"/>
  <c r="T372" i="13"/>
  <c r="T373" i="13"/>
  <c r="T374" i="13"/>
  <c r="T375" i="13"/>
  <c r="T376" i="13"/>
  <c r="T377" i="13"/>
  <c r="T378" i="13"/>
  <c r="T379" i="13"/>
  <c r="T380" i="13"/>
  <c r="T381" i="13"/>
  <c r="T382" i="13"/>
  <c r="T383" i="13"/>
  <c r="T384" i="13"/>
  <c r="T385" i="13"/>
  <c r="T386" i="13"/>
  <c r="T387" i="13"/>
  <c r="T388" i="13"/>
  <c r="T389" i="13"/>
  <c r="T390" i="13"/>
  <c r="T391" i="13"/>
  <c r="T392" i="13"/>
  <c r="T393" i="13"/>
  <c r="T394" i="13"/>
  <c r="T395" i="13"/>
  <c r="T396" i="13"/>
  <c r="T397" i="13"/>
  <c r="T398" i="13"/>
  <c r="T399" i="13"/>
  <c r="T400" i="13"/>
  <c r="T401" i="13"/>
  <c r="T402" i="13"/>
  <c r="T403" i="13"/>
  <c r="T404" i="13"/>
  <c r="T405" i="13"/>
  <c r="T406" i="13"/>
  <c r="T407" i="13"/>
  <c r="T408" i="13"/>
  <c r="T409" i="13"/>
  <c r="T410" i="13"/>
  <c r="T411" i="13"/>
  <c r="T412" i="13"/>
  <c r="T413" i="13"/>
  <c r="T414" i="13"/>
  <c r="T415" i="13"/>
  <c r="T416" i="13"/>
  <c r="T417" i="13"/>
  <c r="T418" i="13"/>
  <c r="T419" i="13"/>
  <c r="T420" i="13"/>
  <c r="T421" i="13"/>
  <c r="T422" i="13"/>
  <c r="T423" i="13"/>
  <c r="T424" i="13"/>
  <c r="T425" i="13"/>
  <c r="T426" i="13"/>
  <c r="T427" i="13"/>
  <c r="T428" i="13"/>
  <c r="T429" i="13"/>
  <c r="T430" i="13"/>
  <c r="T431" i="13"/>
  <c r="T432" i="13"/>
  <c r="T433" i="13"/>
  <c r="T434" i="13"/>
  <c r="T435" i="13"/>
  <c r="T436" i="13"/>
  <c r="T437" i="13"/>
  <c r="T438" i="13"/>
  <c r="T439" i="13"/>
  <c r="T440" i="13"/>
  <c r="T441" i="13"/>
  <c r="T442" i="13"/>
  <c r="T443" i="13"/>
  <c r="T444" i="13"/>
  <c r="T445" i="13"/>
  <c r="T446" i="13"/>
  <c r="T447" i="13"/>
  <c r="T448" i="13"/>
  <c r="T449" i="13"/>
  <c r="T450" i="13"/>
  <c r="T451" i="13"/>
  <c r="T452" i="13"/>
  <c r="T453" i="13"/>
  <c r="T454" i="13"/>
  <c r="T455" i="13"/>
  <c r="T456" i="13"/>
  <c r="T457" i="13"/>
  <c r="T458" i="13"/>
  <c r="T459" i="13"/>
  <c r="T460" i="13"/>
  <c r="T461" i="13"/>
  <c r="T462" i="13"/>
  <c r="T463" i="13"/>
  <c r="T464" i="13"/>
  <c r="T465" i="13"/>
  <c r="T466" i="13"/>
  <c r="T467" i="13"/>
  <c r="T468" i="13"/>
  <c r="T469" i="13"/>
  <c r="T470" i="13"/>
  <c r="T471" i="13"/>
  <c r="T472" i="13"/>
  <c r="T473" i="13"/>
  <c r="T474" i="13"/>
  <c r="T475" i="13"/>
  <c r="T476" i="13"/>
  <c r="T477" i="13"/>
  <c r="T478" i="13"/>
  <c r="T479" i="13"/>
  <c r="T480" i="13"/>
  <c r="T481" i="13"/>
  <c r="T482" i="13"/>
  <c r="T483" i="13"/>
  <c r="T484" i="13"/>
  <c r="T485" i="13"/>
  <c r="T486" i="13"/>
  <c r="T487" i="13"/>
  <c r="T488" i="13"/>
  <c r="T489" i="13"/>
  <c r="T490" i="13"/>
  <c r="T491" i="13"/>
  <c r="T493" i="13"/>
  <c r="T494" i="13"/>
  <c r="T495" i="13"/>
  <c r="T496" i="13"/>
  <c r="T497" i="13"/>
  <c r="T498" i="13"/>
  <c r="T499" i="13"/>
  <c r="T500" i="13"/>
  <c r="T501" i="13"/>
  <c r="T502" i="13"/>
  <c r="T503" i="13"/>
  <c r="T504" i="13"/>
  <c r="T505" i="13"/>
  <c r="T506" i="13"/>
  <c r="T507" i="13"/>
  <c r="T508" i="13"/>
  <c r="T509" i="13"/>
  <c r="T510" i="13"/>
  <c r="T511" i="13"/>
  <c r="T512" i="13"/>
  <c r="T513" i="13"/>
  <c r="T514" i="13"/>
  <c r="T515" i="13"/>
  <c r="T516" i="13"/>
  <c r="T517" i="13"/>
  <c r="T518" i="13"/>
  <c r="T519" i="13"/>
  <c r="T520" i="13"/>
  <c r="T521" i="13"/>
  <c r="T522" i="13"/>
  <c r="T523" i="13"/>
  <c r="T524" i="13"/>
  <c r="T525" i="13"/>
  <c r="T526" i="13"/>
  <c r="T527" i="13"/>
  <c r="T528" i="13"/>
  <c r="T529" i="13"/>
  <c r="T530" i="13"/>
  <c r="T531" i="13"/>
  <c r="T532" i="13"/>
  <c r="T533" i="13"/>
  <c r="T534" i="13"/>
  <c r="T535" i="13"/>
  <c r="T536" i="13"/>
  <c r="T537" i="13"/>
  <c r="T538" i="13"/>
  <c r="T539" i="13"/>
  <c r="T540" i="13"/>
  <c r="T541" i="13"/>
  <c r="T542" i="13"/>
  <c r="T543" i="13"/>
  <c r="T544" i="13"/>
  <c r="T545" i="13"/>
  <c r="T546" i="13"/>
  <c r="T547" i="13"/>
  <c r="T548" i="13"/>
  <c r="T549" i="13"/>
  <c r="T550" i="13"/>
  <c r="T551" i="13"/>
  <c r="T552" i="13"/>
  <c r="T553" i="13"/>
  <c r="T554" i="13"/>
  <c r="T555" i="13"/>
  <c r="T556" i="13"/>
  <c r="T557" i="13"/>
  <c r="T558" i="13"/>
  <c r="T559" i="13"/>
  <c r="T560" i="13"/>
  <c r="T561" i="13"/>
  <c r="T562" i="13"/>
  <c r="T563" i="13"/>
  <c r="T564" i="13"/>
  <c r="T565" i="13"/>
  <c r="T566" i="13"/>
  <c r="T567" i="13"/>
  <c r="T568" i="13"/>
  <c r="T569" i="13"/>
  <c r="T570" i="13"/>
  <c r="T571" i="13"/>
  <c r="T572" i="13"/>
  <c r="T573" i="13"/>
  <c r="T574" i="13"/>
  <c r="T575" i="13"/>
  <c r="T576" i="13"/>
  <c r="T577" i="13"/>
  <c r="T578" i="13"/>
  <c r="T579" i="13"/>
  <c r="T580" i="13"/>
  <c r="T581" i="13"/>
  <c r="T582" i="13"/>
  <c r="T583" i="13"/>
  <c r="T584" i="13"/>
  <c r="T585" i="13"/>
  <c r="T586" i="13"/>
  <c r="T587" i="13"/>
  <c r="T588" i="13"/>
  <c r="T589" i="13"/>
  <c r="T590" i="13"/>
  <c r="T591" i="13"/>
  <c r="T592" i="13"/>
  <c r="T593" i="13"/>
  <c r="T594" i="13"/>
  <c r="T595" i="13"/>
  <c r="T596" i="13"/>
  <c r="T597" i="13"/>
  <c r="T598" i="13"/>
  <c r="T599" i="13"/>
  <c r="T600" i="13"/>
  <c r="T601" i="13"/>
  <c r="T602" i="13"/>
  <c r="T603" i="13"/>
  <c r="T604" i="13"/>
  <c r="T605" i="13"/>
  <c r="T606" i="13"/>
  <c r="T607" i="13"/>
  <c r="T608" i="13"/>
  <c r="T609" i="13"/>
  <c r="T610" i="13"/>
  <c r="T611" i="13"/>
  <c r="T612" i="13"/>
  <c r="L1848" i="25"/>
  <c r="L1849" i="25"/>
  <c r="AE2" i="30" a="1"/>
  <c r="AD2" i="30" a="1"/>
  <c r="AC2" i="30" a="1"/>
  <c r="AB2" i="30" a="1"/>
  <c r="Y2" i="30" a="1"/>
  <c r="X2" i="30" a="1"/>
  <c r="W2" i="30" a="1"/>
  <c r="B26" i="3"/>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F64" i="21"/>
  <c r="F65" i="21"/>
  <c r="F66" i="21"/>
  <c r="F67" i="21"/>
  <c r="F68" i="21"/>
  <c r="F69" i="21"/>
  <c r="F70" i="21"/>
  <c r="F71" i="21"/>
  <c r="F72" i="21"/>
  <c r="F73" i="21"/>
  <c r="F74" i="21"/>
  <c r="F75" i="21"/>
  <c r="F76" i="21"/>
  <c r="F77" i="21"/>
  <c r="F78" i="21"/>
  <c r="F79" i="21"/>
  <c r="F80" i="21"/>
  <c r="F81" i="21"/>
  <c r="F82" i="21"/>
  <c r="F83" i="21"/>
  <c r="F84" i="21"/>
  <c r="F85" i="21"/>
  <c r="F86" i="21"/>
  <c r="F87" i="21"/>
  <c r="F88" i="21"/>
  <c r="F89" i="21"/>
  <c r="F90" i="21"/>
  <c r="F91" i="21"/>
  <c r="F92" i="21"/>
  <c r="F93" i="21"/>
  <c r="F94" i="21"/>
  <c r="F95" i="21"/>
  <c r="F96" i="21"/>
  <c r="F97" i="21"/>
  <c r="F98" i="21"/>
  <c r="F99" i="21"/>
  <c r="F100" i="21"/>
  <c r="F101" i="21"/>
  <c r="F102" i="21"/>
  <c r="F103" i="21"/>
  <c r="F104" i="21"/>
  <c r="F105" i="21"/>
  <c r="F106" i="21"/>
  <c r="F107" i="21"/>
  <c r="F108" i="21"/>
  <c r="F109" i="21"/>
  <c r="F110" i="21"/>
  <c r="F111" i="21"/>
  <c r="F112" i="21"/>
  <c r="F113" i="21"/>
  <c r="F114" i="21"/>
  <c r="F115" i="21"/>
  <c r="F116" i="21"/>
  <c r="F117" i="21"/>
  <c r="F118" i="21"/>
  <c r="F119" i="21"/>
  <c r="F120" i="21"/>
  <c r="F121" i="21"/>
  <c r="F122" i="21"/>
  <c r="F123" i="21"/>
  <c r="F124" i="21"/>
  <c r="F125" i="21"/>
  <c r="F126" i="21"/>
  <c r="F127" i="21"/>
  <c r="F128" i="21"/>
  <c r="F129" i="21"/>
  <c r="F130" i="21"/>
  <c r="F131" i="21"/>
  <c r="F132" i="21"/>
  <c r="F133" i="21"/>
  <c r="F134" i="21"/>
  <c r="F135" i="21"/>
  <c r="F136" i="21"/>
  <c r="F137" i="21"/>
  <c r="F138" i="21"/>
  <c r="F139" i="21"/>
  <c r="F140" i="21"/>
  <c r="F141" i="21"/>
  <c r="F142" i="21"/>
  <c r="F143" i="21"/>
  <c r="F144" i="21"/>
  <c r="F145" i="21"/>
  <c r="F146" i="21"/>
  <c r="F147" i="21"/>
  <c r="F148" i="21"/>
  <c r="F149" i="21"/>
  <c r="F150" i="21"/>
  <c r="F151" i="21"/>
  <c r="F152" i="21"/>
  <c r="F153" i="21"/>
  <c r="F154" i="21"/>
  <c r="F155" i="21"/>
  <c r="F156" i="21"/>
  <c r="F157" i="21"/>
  <c r="F158" i="21"/>
  <c r="F159" i="21"/>
  <c r="F160" i="21"/>
  <c r="F161" i="21"/>
  <c r="F162" i="21"/>
  <c r="F163" i="21"/>
  <c r="F164" i="21"/>
  <c r="F165" i="21"/>
  <c r="F166" i="21"/>
  <c r="F167" i="21"/>
  <c r="F168" i="21"/>
  <c r="F169" i="21"/>
  <c r="F170" i="21"/>
  <c r="F171" i="21"/>
  <c r="F172" i="21"/>
  <c r="F173" i="21"/>
  <c r="F174" i="21"/>
  <c r="F175" i="21"/>
  <c r="F176" i="21"/>
  <c r="F177" i="21"/>
  <c r="F178" i="21"/>
  <c r="F179" i="21"/>
  <c r="F180" i="21"/>
  <c r="F181" i="21"/>
  <c r="F182" i="21"/>
  <c r="F183" i="21"/>
  <c r="F184" i="21"/>
  <c r="F185" i="21"/>
  <c r="F186" i="21"/>
  <c r="F187" i="21"/>
  <c r="F188" i="21"/>
  <c r="F189" i="21"/>
  <c r="F190" i="21"/>
  <c r="F191" i="21"/>
  <c r="F192" i="21"/>
  <c r="F193" i="21"/>
  <c r="F194" i="21"/>
  <c r="F195" i="21"/>
  <c r="F196" i="21"/>
  <c r="F197" i="21"/>
  <c r="F198" i="21"/>
  <c r="F199" i="21"/>
  <c r="F200" i="21"/>
  <c r="F201" i="21"/>
  <c r="F202" i="21"/>
  <c r="F203" i="21"/>
  <c r="F204" i="21"/>
  <c r="F205" i="21"/>
  <c r="F206" i="21"/>
  <c r="F207" i="21"/>
  <c r="F208" i="21"/>
  <c r="F209" i="21"/>
  <c r="F210" i="21"/>
  <c r="F211" i="21"/>
  <c r="F212" i="21"/>
  <c r="F213" i="21"/>
  <c r="F214" i="21"/>
  <c r="F215" i="21"/>
  <c r="F216" i="21"/>
  <c r="F217" i="21"/>
  <c r="F218" i="21"/>
  <c r="F219" i="21"/>
  <c r="F220" i="21"/>
  <c r="F221" i="21"/>
  <c r="F222" i="21"/>
  <c r="F223" i="21"/>
  <c r="F224" i="21"/>
  <c r="F225" i="21"/>
  <c r="F226" i="21"/>
  <c r="F227" i="21"/>
  <c r="F228" i="21"/>
  <c r="F229" i="21"/>
  <c r="F230" i="21"/>
  <c r="F231" i="21"/>
  <c r="F232" i="21"/>
  <c r="F233" i="21"/>
  <c r="F234" i="21"/>
  <c r="F235" i="21"/>
  <c r="F236" i="21"/>
  <c r="F237" i="21"/>
  <c r="F238" i="21"/>
  <c r="F239" i="21"/>
  <c r="F240" i="21"/>
  <c r="F241" i="21"/>
  <c r="F242" i="21"/>
  <c r="F243" i="21"/>
  <c r="F244" i="21"/>
  <c r="F245" i="21"/>
  <c r="F246" i="21"/>
  <c r="F247" i="21"/>
  <c r="F248" i="21"/>
  <c r="F249" i="21"/>
  <c r="F250" i="21"/>
  <c r="F251" i="21"/>
  <c r="F252" i="21"/>
  <c r="F253" i="21"/>
  <c r="F254" i="21"/>
  <c r="F255" i="21"/>
  <c r="F256" i="21"/>
  <c r="F257" i="21"/>
  <c r="F258" i="21"/>
  <c r="F259" i="21"/>
  <c r="F260" i="21"/>
  <c r="F261" i="21"/>
  <c r="F262" i="21"/>
  <c r="F263" i="21"/>
  <c r="F264" i="21"/>
  <c r="F265" i="21"/>
  <c r="F266" i="21"/>
  <c r="F267" i="21"/>
  <c r="F268" i="21"/>
  <c r="F269" i="21"/>
  <c r="F270" i="21"/>
  <c r="F271" i="21"/>
  <c r="F272" i="21"/>
  <c r="F273" i="21"/>
  <c r="F274" i="21"/>
  <c r="F275" i="21"/>
  <c r="F276" i="21"/>
  <c r="F277" i="21"/>
  <c r="F278" i="21"/>
  <c r="F279" i="21"/>
  <c r="F280" i="21"/>
  <c r="F281" i="21"/>
  <c r="F282" i="21"/>
  <c r="F283" i="21"/>
  <c r="F284" i="21"/>
  <c r="F285" i="21"/>
  <c r="F286" i="21"/>
  <c r="F287" i="21"/>
  <c r="F288" i="21"/>
  <c r="F289" i="21"/>
  <c r="F290" i="21"/>
  <c r="F291" i="21"/>
  <c r="F292" i="21"/>
  <c r="F293" i="21"/>
  <c r="F294" i="21"/>
  <c r="F295" i="21"/>
  <c r="F296" i="21"/>
  <c r="F297" i="21"/>
  <c r="F298" i="21"/>
  <c r="F299" i="21"/>
  <c r="F300" i="21"/>
  <c r="F301" i="21"/>
  <c r="F302" i="21"/>
  <c r="F303" i="21"/>
  <c r="F304" i="21"/>
  <c r="F305" i="21"/>
  <c r="F306" i="21"/>
  <c r="F307" i="21"/>
  <c r="F308" i="21"/>
  <c r="F309" i="21"/>
  <c r="F310" i="21"/>
  <c r="F311" i="21"/>
  <c r="F312" i="21"/>
  <c r="F313" i="21"/>
  <c r="F314" i="21"/>
  <c r="F315" i="21"/>
  <c r="F316" i="21"/>
  <c r="F317" i="21"/>
  <c r="F318" i="21"/>
  <c r="F319" i="21"/>
  <c r="F320" i="21"/>
  <c r="F321" i="21"/>
  <c r="F322" i="21"/>
  <c r="F323" i="21"/>
  <c r="F324" i="21"/>
  <c r="F325" i="21"/>
  <c r="F326" i="21"/>
  <c r="F327" i="21"/>
  <c r="F328" i="21"/>
  <c r="F329" i="21"/>
  <c r="F330" i="21"/>
  <c r="F331" i="21"/>
  <c r="F332" i="21"/>
  <c r="F333" i="21"/>
  <c r="F334" i="21"/>
  <c r="F335" i="21"/>
  <c r="F336" i="21"/>
  <c r="F337" i="21"/>
  <c r="F338" i="21"/>
  <c r="F339" i="21"/>
  <c r="F340" i="21"/>
  <c r="F341" i="21"/>
  <c r="F342" i="21"/>
  <c r="F343" i="21"/>
  <c r="F344" i="21"/>
  <c r="F345" i="21"/>
  <c r="F346" i="21"/>
  <c r="F347" i="21"/>
  <c r="F348" i="21"/>
  <c r="F349" i="21"/>
  <c r="F350" i="21"/>
  <c r="F351" i="21"/>
  <c r="F352" i="21"/>
  <c r="F353" i="21"/>
  <c r="F354" i="21"/>
  <c r="F355" i="21"/>
  <c r="F356" i="21"/>
  <c r="F357" i="21"/>
  <c r="F358" i="21"/>
  <c r="F359" i="21"/>
  <c r="F360" i="21"/>
  <c r="F361" i="21"/>
  <c r="F362" i="21"/>
  <c r="F363" i="21"/>
  <c r="F364" i="21"/>
  <c r="F365" i="21"/>
  <c r="F366" i="21"/>
  <c r="F367" i="21"/>
  <c r="F368" i="21"/>
  <c r="F369" i="21"/>
  <c r="F370" i="21"/>
  <c r="F371" i="21"/>
  <c r="F372" i="21"/>
  <c r="F373" i="21"/>
  <c r="F374" i="21"/>
  <c r="F375" i="21"/>
  <c r="F376" i="21"/>
  <c r="F377" i="21"/>
  <c r="F378" i="21"/>
  <c r="F379" i="21"/>
  <c r="F380" i="21"/>
  <c r="F381" i="21"/>
  <c r="F382" i="21"/>
  <c r="F383" i="21"/>
  <c r="F384" i="21"/>
  <c r="F385" i="21"/>
  <c r="F386" i="21"/>
  <c r="F387" i="21"/>
  <c r="F388" i="21"/>
  <c r="F389" i="21"/>
  <c r="F390" i="21"/>
  <c r="F391" i="21"/>
  <c r="F392" i="21"/>
  <c r="F393" i="21"/>
  <c r="F394" i="21"/>
  <c r="F395" i="21"/>
  <c r="F396" i="21"/>
  <c r="F397" i="21"/>
  <c r="F398" i="21"/>
  <c r="F399" i="21"/>
  <c r="F400" i="21"/>
  <c r="F401" i="21"/>
  <c r="F402" i="21"/>
  <c r="F403" i="21"/>
  <c r="F404" i="21"/>
  <c r="F405" i="21"/>
  <c r="F406" i="21"/>
  <c r="F407" i="21"/>
  <c r="F408" i="21"/>
  <c r="F409" i="21"/>
  <c r="F410" i="21"/>
  <c r="F411" i="21"/>
  <c r="F412" i="21"/>
  <c r="F413" i="21"/>
  <c r="F414" i="21"/>
  <c r="F415" i="21"/>
  <c r="F416" i="21"/>
  <c r="F417" i="21"/>
  <c r="F418" i="21"/>
  <c r="F419" i="21"/>
  <c r="F420" i="21"/>
  <c r="F421" i="21"/>
  <c r="F422" i="21"/>
  <c r="F423" i="21"/>
  <c r="F424" i="21"/>
  <c r="F425" i="21"/>
  <c r="F426" i="21"/>
  <c r="F427" i="21"/>
  <c r="F428" i="21"/>
  <c r="F429" i="21"/>
  <c r="F430" i="21"/>
  <c r="F431" i="21"/>
  <c r="F432" i="21"/>
  <c r="F433" i="21"/>
  <c r="F434" i="21"/>
  <c r="F435" i="21"/>
  <c r="F436" i="21"/>
  <c r="F437" i="21"/>
  <c r="F438" i="21"/>
  <c r="F439" i="21"/>
  <c r="F440" i="21"/>
  <c r="F441" i="21"/>
  <c r="F442" i="21"/>
  <c r="F443" i="21"/>
  <c r="F444" i="21"/>
  <c r="F445" i="21"/>
  <c r="F446" i="21"/>
  <c r="F447" i="21"/>
  <c r="F448" i="21"/>
  <c r="F449" i="21"/>
  <c r="F450" i="21"/>
  <c r="F451" i="21"/>
  <c r="F452" i="21"/>
  <c r="F453" i="21"/>
  <c r="F454" i="21"/>
  <c r="F455" i="21"/>
  <c r="F456" i="21"/>
  <c r="F457" i="21"/>
  <c r="F458" i="21"/>
  <c r="F459" i="21"/>
  <c r="F460" i="21"/>
  <c r="F461" i="21"/>
  <c r="F462" i="21"/>
  <c r="F463" i="21"/>
  <c r="F464" i="21"/>
  <c r="F465" i="21"/>
  <c r="F466" i="21"/>
  <c r="F467" i="21"/>
  <c r="F468" i="21"/>
  <c r="F469" i="21"/>
  <c r="F470" i="21"/>
  <c r="F471" i="21"/>
  <c r="F472" i="21"/>
  <c r="F473" i="21"/>
  <c r="F474" i="21"/>
  <c r="F475" i="21"/>
  <c r="F476" i="21"/>
  <c r="F477" i="21"/>
  <c r="F478" i="21"/>
  <c r="F479" i="21"/>
  <c r="F480" i="21"/>
  <c r="F481" i="21"/>
  <c r="F482" i="21"/>
  <c r="F483" i="21"/>
  <c r="F484" i="21"/>
  <c r="F485" i="21"/>
  <c r="F486" i="21"/>
  <c r="F487" i="21"/>
  <c r="F488" i="21"/>
  <c r="F489" i="21"/>
  <c r="F490" i="21"/>
  <c r="F491" i="21"/>
  <c r="F492" i="21"/>
  <c r="F493" i="21"/>
  <c r="F494" i="21"/>
  <c r="F495" i="21"/>
  <c r="F496" i="21"/>
  <c r="F497" i="21"/>
  <c r="F498" i="21"/>
  <c r="F499" i="21"/>
  <c r="F500" i="21"/>
  <c r="F501" i="21"/>
  <c r="F502" i="21"/>
  <c r="F503" i="21"/>
  <c r="F504" i="21"/>
  <c r="F505" i="21"/>
  <c r="F506" i="21"/>
  <c r="F507" i="21"/>
  <c r="F508" i="21"/>
  <c r="F509" i="21"/>
  <c r="F510" i="21"/>
  <c r="F511" i="21"/>
  <c r="F512" i="21"/>
  <c r="F513" i="21"/>
  <c r="F514" i="21"/>
  <c r="F515" i="21"/>
  <c r="F516" i="21"/>
  <c r="F517" i="21"/>
  <c r="F518" i="21"/>
  <c r="F519" i="21"/>
  <c r="F520" i="21"/>
  <c r="F521" i="21"/>
  <c r="F522" i="21"/>
  <c r="F523" i="21"/>
  <c r="F524" i="21"/>
  <c r="F525" i="21"/>
  <c r="F526" i="21"/>
  <c r="F527" i="21"/>
  <c r="F528" i="21"/>
  <c r="F529" i="21"/>
  <c r="F530" i="21"/>
  <c r="F531" i="21"/>
  <c r="F532" i="21"/>
  <c r="F533" i="21"/>
  <c r="F534" i="21"/>
  <c r="F535" i="21"/>
  <c r="F536" i="21"/>
  <c r="F537" i="21"/>
  <c r="F538" i="21"/>
  <c r="F539" i="21"/>
  <c r="F540" i="21"/>
  <c r="F541" i="21"/>
  <c r="F542" i="21"/>
  <c r="F543" i="21"/>
  <c r="F544" i="21"/>
  <c r="F545" i="21"/>
  <c r="F546" i="21"/>
  <c r="F547" i="21"/>
  <c r="F548" i="21"/>
  <c r="F549" i="21"/>
  <c r="F550" i="21"/>
  <c r="F551" i="21"/>
  <c r="F552" i="21"/>
  <c r="F553" i="21"/>
  <c r="F554" i="21"/>
  <c r="F555" i="21"/>
  <c r="F556" i="21"/>
  <c r="F557" i="21"/>
  <c r="F558" i="21"/>
  <c r="F559" i="21"/>
  <c r="F560" i="21"/>
  <c r="F561" i="21"/>
  <c r="F562" i="21"/>
  <c r="F563" i="21"/>
  <c r="F564" i="21"/>
  <c r="F565" i="21"/>
  <c r="F566" i="21"/>
  <c r="F567" i="21"/>
  <c r="F568" i="21"/>
  <c r="F569" i="21"/>
  <c r="F570" i="21"/>
  <c r="F571" i="21"/>
  <c r="F572" i="21"/>
  <c r="F573" i="21"/>
  <c r="F574" i="21"/>
  <c r="F575" i="21"/>
  <c r="F576" i="21"/>
  <c r="F577" i="21"/>
  <c r="F578" i="21"/>
  <c r="F579" i="21"/>
  <c r="F580" i="21"/>
  <c r="F581" i="21"/>
  <c r="F582" i="21"/>
  <c r="F583" i="21"/>
  <c r="F584" i="21"/>
  <c r="F585" i="21"/>
  <c r="F586" i="21"/>
  <c r="F587" i="21"/>
  <c r="F588" i="21"/>
  <c r="F589" i="21"/>
  <c r="F590" i="21"/>
  <c r="F591" i="21"/>
  <c r="F592" i="21"/>
  <c r="F593" i="21"/>
  <c r="F594" i="21"/>
  <c r="F595" i="21"/>
  <c r="F596" i="21"/>
  <c r="F597" i="21"/>
  <c r="F598" i="21"/>
  <c r="F599" i="21"/>
  <c r="F600" i="21"/>
  <c r="F601" i="21"/>
  <c r="F602" i="21"/>
  <c r="F603" i="21"/>
  <c r="F604" i="21"/>
  <c r="F605" i="21"/>
  <c r="F606" i="21"/>
  <c r="F607" i="21"/>
  <c r="F608" i="21"/>
  <c r="F609" i="21"/>
  <c r="F610" i="21"/>
  <c r="F611" i="21"/>
  <c r="F612" i="21"/>
  <c r="F613" i="21"/>
  <c r="F614" i="21"/>
  <c r="F615" i="21"/>
  <c r="F616" i="21"/>
  <c r="F617" i="21"/>
  <c r="F618" i="21"/>
  <c r="F619" i="21"/>
  <c r="F620" i="21"/>
  <c r="F621" i="21"/>
  <c r="F622" i="21"/>
  <c r="F623" i="21"/>
  <c r="F624" i="21"/>
  <c r="F625" i="21"/>
  <c r="F626" i="21"/>
  <c r="F627" i="21"/>
  <c r="F628" i="21"/>
  <c r="F629" i="21"/>
  <c r="F630" i="21"/>
  <c r="F631" i="21"/>
  <c r="F632" i="21"/>
  <c r="F633" i="21"/>
  <c r="F634" i="21"/>
  <c r="F635" i="21"/>
  <c r="F636" i="21"/>
  <c r="F637" i="21"/>
  <c r="F638" i="21"/>
  <c r="F639" i="21"/>
  <c r="F640" i="21"/>
  <c r="F641" i="21"/>
  <c r="F642" i="21"/>
  <c r="F643" i="21"/>
  <c r="F644" i="21"/>
  <c r="F645" i="21"/>
  <c r="F646" i="21"/>
  <c r="F647" i="21"/>
  <c r="F648" i="21"/>
  <c r="F649" i="21"/>
  <c r="F650" i="21"/>
  <c r="F651" i="21"/>
  <c r="F652" i="21"/>
  <c r="F653" i="21"/>
  <c r="F654" i="21"/>
  <c r="F655" i="21"/>
  <c r="F656" i="21"/>
  <c r="F657" i="21"/>
  <c r="F658" i="21"/>
  <c r="F659" i="21"/>
  <c r="F660" i="21"/>
  <c r="F661" i="21"/>
  <c r="F662" i="21"/>
  <c r="F663" i="21"/>
  <c r="F664" i="21"/>
  <c r="F665" i="21"/>
  <c r="F666" i="21"/>
  <c r="F667" i="21"/>
  <c r="F668" i="21"/>
  <c r="F669" i="21"/>
  <c r="F670" i="21"/>
  <c r="F671" i="21"/>
  <c r="F672" i="21"/>
  <c r="F673" i="21"/>
  <c r="F674" i="21"/>
  <c r="F675" i="21"/>
  <c r="F676" i="21"/>
  <c r="F677" i="21"/>
  <c r="F678" i="21"/>
  <c r="F679" i="21"/>
  <c r="F680" i="21"/>
  <c r="F681" i="21"/>
  <c r="F682" i="21"/>
  <c r="F683" i="21"/>
  <c r="F684" i="21"/>
  <c r="F685" i="21"/>
  <c r="F686" i="21"/>
  <c r="F687" i="21"/>
  <c r="F688" i="21"/>
  <c r="F689" i="21"/>
  <c r="F690" i="21"/>
  <c r="F691" i="21"/>
  <c r="F692" i="21"/>
  <c r="F693" i="21"/>
  <c r="F694" i="21"/>
  <c r="F695" i="21"/>
  <c r="F696" i="21"/>
  <c r="F697" i="21"/>
  <c r="F698" i="21"/>
  <c r="F699" i="21"/>
  <c r="F700" i="21"/>
  <c r="F701" i="21"/>
  <c r="F702" i="21"/>
  <c r="F703" i="21"/>
  <c r="F704" i="21"/>
  <c r="F705" i="21"/>
  <c r="F706" i="21"/>
  <c r="F707" i="21"/>
  <c r="F708" i="21"/>
  <c r="F709" i="21"/>
  <c r="F710" i="21"/>
  <c r="F711" i="21"/>
  <c r="F712" i="21"/>
  <c r="F713" i="21"/>
  <c r="F714" i="21"/>
  <c r="F715" i="21"/>
  <c r="F716" i="21"/>
  <c r="F717" i="21"/>
  <c r="F718" i="21"/>
  <c r="F719" i="21"/>
  <c r="F720" i="21"/>
  <c r="F721" i="21"/>
  <c r="F722" i="21"/>
  <c r="F723" i="21"/>
  <c r="F724" i="21"/>
  <c r="F725" i="21"/>
  <c r="F726" i="21"/>
  <c r="F727" i="21"/>
  <c r="F728" i="21"/>
  <c r="F729" i="21"/>
  <c r="F730" i="21"/>
  <c r="F731" i="21"/>
  <c r="F732" i="21"/>
  <c r="F733" i="21"/>
  <c r="F734" i="21"/>
  <c r="F735" i="21"/>
  <c r="F736" i="21"/>
  <c r="F737" i="21"/>
  <c r="F738" i="21"/>
  <c r="F739" i="21"/>
  <c r="F740" i="21"/>
  <c r="F741" i="21"/>
  <c r="F742" i="21"/>
  <c r="F743" i="21"/>
  <c r="F744" i="21"/>
  <c r="F745" i="21"/>
  <c r="F746" i="21"/>
  <c r="F747" i="21"/>
  <c r="F748" i="21"/>
  <c r="F749" i="21"/>
  <c r="F750" i="21"/>
  <c r="F751" i="21"/>
  <c r="F752" i="21"/>
  <c r="F753" i="21"/>
  <c r="F754" i="21"/>
  <c r="F755" i="21"/>
  <c r="F756" i="21"/>
  <c r="F757" i="21"/>
  <c r="F758" i="21"/>
  <c r="F759" i="21"/>
  <c r="F760" i="21"/>
  <c r="F761" i="21"/>
  <c r="F762" i="21"/>
  <c r="F763" i="21"/>
  <c r="F764" i="21"/>
  <c r="F765" i="21"/>
  <c r="F766" i="21"/>
  <c r="F767" i="21"/>
  <c r="F768" i="21"/>
  <c r="F769" i="21"/>
  <c r="F770" i="21"/>
  <c r="F771" i="21"/>
  <c r="F772" i="21"/>
  <c r="F773" i="21"/>
  <c r="F774" i="21"/>
  <c r="F775" i="21"/>
  <c r="F776" i="21"/>
  <c r="F777" i="21"/>
  <c r="F778" i="21"/>
  <c r="F779" i="21"/>
  <c r="F780" i="21"/>
  <c r="F781" i="21"/>
  <c r="F782" i="21"/>
  <c r="F783" i="21"/>
  <c r="F784" i="21"/>
  <c r="F785" i="21"/>
  <c r="F786" i="21"/>
  <c r="F787" i="21"/>
  <c r="F788" i="21"/>
  <c r="F789" i="21"/>
  <c r="F790" i="21"/>
  <c r="F791" i="21"/>
  <c r="F792" i="21"/>
  <c r="F793" i="21"/>
  <c r="F794" i="21"/>
  <c r="F795" i="21"/>
  <c r="F796" i="21"/>
  <c r="F797" i="21"/>
  <c r="F798" i="21"/>
  <c r="F799" i="21"/>
  <c r="F800" i="21"/>
  <c r="F801" i="21"/>
  <c r="F802" i="21"/>
  <c r="F803" i="21"/>
  <c r="F804" i="21"/>
  <c r="F805" i="21"/>
  <c r="F806" i="21"/>
  <c r="F807" i="21"/>
  <c r="F808" i="21"/>
  <c r="F809" i="21"/>
  <c r="F810" i="21"/>
  <c r="F811" i="21"/>
  <c r="F812" i="21"/>
  <c r="F813" i="21"/>
  <c r="F814" i="21"/>
  <c r="F815" i="21"/>
  <c r="F816" i="21"/>
  <c r="F817" i="21"/>
  <c r="F818" i="21"/>
  <c r="F819" i="21"/>
  <c r="F820" i="21"/>
  <c r="F821" i="21"/>
  <c r="F822" i="21"/>
  <c r="F823" i="21"/>
  <c r="F824" i="21"/>
  <c r="F825" i="21"/>
  <c r="F826" i="21"/>
  <c r="F827" i="21"/>
  <c r="F828" i="21"/>
  <c r="F829" i="21"/>
  <c r="F830" i="21"/>
  <c r="F831" i="21"/>
  <c r="F832" i="21"/>
  <c r="F833" i="21"/>
  <c r="F834" i="21"/>
  <c r="F835" i="21"/>
  <c r="F836" i="21"/>
  <c r="F837" i="21"/>
  <c r="F838" i="21"/>
  <c r="F839" i="21"/>
  <c r="F840" i="21"/>
  <c r="F841" i="21"/>
  <c r="F842" i="21"/>
  <c r="F843" i="21"/>
  <c r="F844" i="21"/>
  <c r="F845" i="21"/>
  <c r="F846" i="21"/>
  <c r="F847" i="21"/>
  <c r="F848" i="21"/>
  <c r="F849" i="21"/>
  <c r="F850" i="21"/>
  <c r="F851" i="21"/>
  <c r="F852" i="21"/>
  <c r="F853" i="21"/>
  <c r="F854" i="21"/>
  <c r="F855" i="21"/>
  <c r="F856" i="21"/>
  <c r="F857" i="21"/>
  <c r="F858" i="21"/>
  <c r="F859" i="21"/>
  <c r="F860" i="21"/>
  <c r="F861" i="21"/>
  <c r="F862" i="21"/>
  <c r="F863" i="21"/>
  <c r="F864" i="21"/>
  <c r="F865" i="21"/>
  <c r="F866" i="21"/>
  <c r="F867" i="21"/>
  <c r="F868" i="21"/>
  <c r="F869" i="21"/>
  <c r="F870" i="21"/>
  <c r="F871" i="21"/>
  <c r="F872" i="21"/>
  <c r="F873" i="21"/>
  <c r="F874" i="21"/>
  <c r="F875" i="21"/>
  <c r="F876" i="21"/>
  <c r="F877" i="21"/>
  <c r="F878" i="21"/>
  <c r="F879" i="21"/>
  <c r="F880" i="21"/>
  <c r="F881" i="21"/>
  <c r="F882" i="21"/>
  <c r="F883" i="21"/>
  <c r="F884" i="21"/>
  <c r="F885" i="21"/>
  <c r="F886" i="21"/>
  <c r="F887" i="21"/>
  <c r="F888" i="21"/>
  <c r="F889" i="21"/>
  <c r="F890" i="21"/>
  <c r="F891" i="21"/>
  <c r="F892" i="21"/>
  <c r="F893" i="21"/>
  <c r="F894" i="21"/>
  <c r="F895" i="21"/>
  <c r="F896" i="21"/>
  <c r="F897" i="21"/>
  <c r="F898" i="21"/>
  <c r="F899" i="21"/>
  <c r="F900" i="21"/>
  <c r="F901" i="21"/>
  <c r="F902" i="21"/>
  <c r="F903" i="21"/>
  <c r="F904" i="21"/>
  <c r="F905" i="21"/>
  <c r="F906" i="21"/>
  <c r="F907" i="21"/>
  <c r="F908" i="21"/>
  <c r="F909" i="21"/>
  <c r="F910" i="21"/>
  <c r="F911" i="21"/>
  <c r="F912" i="21"/>
  <c r="F913" i="21"/>
  <c r="F914" i="21"/>
  <c r="F915" i="21"/>
  <c r="F916" i="21"/>
  <c r="F917" i="21"/>
  <c r="F918" i="21"/>
  <c r="F919" i="21"/>
  <c r="F920" i="21"/>
  <c r="F921" i="21"/>
  <c r="F922" i="21"/>
  <c r="F923" i="21"/>
  <c r="F924" i="21"/>
  <c r="F925" i="21"/>
  <c r="F926" i="21"/>
  <c r="F927" i="21"/>
  <c r="F928" i="21"/>
  <c r="F929" i="21"/>
  <c r="F930" i="21"/>
  <c r="F931" i="21"/>
  <c r="F932" i="21"/>
  <c r="F933" i="21"/>
  <c r="F934" i="21"/>
  <c r="F935" i="21"/>
  <c r="F936" i="21"/>
  <c r="F937" i="21"/>
  <c r="F938" i="21"/>
  <c r="F939" i="21"/>
  <c r="F940" i="21"/>
  <c r="F941" i="21"/>
  <c r="F942" i="21"/>
  <c r="F943" i="21"/>
  <c r="F944" i="21"/>
  <c r="F945" i="21"/>
  <c r="F946" i="21"/>
  <c r="F947" i="21"/>
  <c r="F948" i="21"/>
  <c r="F949" i="21"/>
  <c r="F950" i="21"/>
  <c r="F951" i="21"/>
  <c r="F952" i="21"/>
  <c r="F953" i="21"/>
  <c r="F954" i="21"/>
  <c r="F955" i="21"/>
  <c r="F956" i="21"/>
  <c r="F957" i="21"/>
  <c r="F958" i="21"/>
  <c r="F959" i="21"/>
  <c r="F960" i="21"/>
  <c r="F961" i="21"/>
  <c r="F962" i="21"/>
  <c r="F963" i="21"/>
  <c r="F964" i="21"/>
  <c r="F965" i="21"/>
  <c r="F966" i="21"/>
  <c r="F967" i="21"/>
  <c r="F968" i="21"/>
  <c r="F969" i="21"/>
  <c r="F970" i="21"/>
  <c r="F971" i="21"/>
  <c r="F972" i="21"/>
  <c r="F973" i="21"/>
  <c r="F974" i="21"/>
  <c r="F975" i="21"/>
  <c r="F976" i="21"/>
  <c r="F977" i="21"/>
  <c r="F978" i="21"/>
  <c r="F979" i="21"/>
  <c r="F980" i="21"/>
  <c r="F981" i="21"/>
  <c r="F982" i="21"/>
  <c r="F983" i="21"/>
  <c r="F984" i="21"/>
  <c r="F985" i="21"/>
  <c r="F986" i="21"/>
  <c r="F987" i="21"/>
  <c r="F988" i="21"/>
  <c r="F989" i="21"/>
  <c r="F990" i="21"/>
  <c r="F991" i="21"/>
  <c r="F992" i="21"/>
  <c r="F993" i="21"/>
  <c r="F994" i="21"/>
  <c r="F995" i="21"/>
  <c r="F996" i="21"/>
  <c r="F997" i="21"/>
  <c r="F998" i="21"/>
  <c r="F999" i="21"/>
  <c r="F1000" i="21"/>
  <c r="F1001" i="21"/>
  <c r="F1002" i="21"/>
  <c r="F1003" i="21"/>
  <c r="F1004" i="21"/>
  <c r="F1005" i="21"/>
  <c r="F1006" i="21"/>
  <c r="F1007" i="21"/>
  <c r="F1008" i="21"/>
  <c r="F1009" i="21"/>
  <c r="F1010" i="21"/>
  <c r="F1011" i="21"/>
  <c r="F1012" i="21"/>
  <c r="F1013" i="21"/>
  <c r="F1014" i="21"/>
  <c r="F1015" i="21"/>
  <c r="F1016" i="21"/>
  <c r="F1017" i="21"/>
  <c r="F1018" i="21"/>
  <c r="F1019" i="21"/>
  <c r="F1020" i="21"/>
  <c r="F1021" i="21"/>
  <c r="F1022" i="21"/>
  <c r="F1023" i="21"/>
  <c r="F1024" i="21"/>
  <c r="F1025" i="21"/>
  <c r="F1026" i="21"/>
  <c r="F1027" i="21"/>
  <c r="F1028" i="21"/>
  <c r="F1029" i="21"/>
  <c r="F1030" i="21"/>
  <c r="F1031" i="21"/>
  <c r="F1032" i="21"/>
  <c r="F1033" i="21"/>
  <c r="F1034" i="21"/>
  <c r="F1035" i="21"/>
  <c r="F1036" i="21"/>
  <c r="F1037" i="21"/>
  <c r="F1038" i="21"/>
  <c r="F1039" i="21"/>
  <c r="F1040" i="21"/>
  <c r="F1041" i="21"/>
  <c r="F1042" i="21"/>
  <c r="F1043" i="21"/>
  <c r="F1044" i="21"/>
  <c r="F1045" i="21"/>
  <c r="F1046" i="21"/>
  <c r="F1047" i="21"/>
  <c r="F1048" i="21"/>
  <c r="F1049" i="21"/>
  <c r="F1050" i="21"/>
  <c r="F1051" i="21"/>
  <c r="F1052" i="21"/>
  <c r="F1053" i="21"/>
  <c r="F1054" i="21"/>
  <c r="F1055" i="21"/>
  <c r="F1056" i="21"/>
  <c r="F1057" i="21"/>
  <c r="F1058" i="21"/>
  <c r="F1059" i="21"/>
  <c r="F1060" i="21"/>
  <c r="F1061" i="21"/>
  <c r="F1062" i="21"/>
  <c r="F1063" i="21"/>
  <c r="F1064" i="21"/>
  <c r="F1065" i="21"/>
  <c r="F1066" i="21"/>
  <c r="F1067" i="21"/>
  <c r="F1068" i="21"/>
  <c r="F1069" i="21"/>
  <c r="F1070" i="21"/>
  <c r="F1071" i="21"/>
  <c r="F1072" i="21"/>
  <c r="F1073" i="21"/>
  <c r="F1074" i="21"/>
  <c r="F1075" i="21"/>
  <c r="F1076" i="21"/>
  <c r="F1077" i="21"/>
  <c r="F1078" i="21"/>
  <c r="F1079" i="21"/>
  <c r="F1080" i="21"/>
  <c r="F1081" i="21"/>
  <c r="F1082" i="21"/>
  <c r="F1083" i="21"/>
  <c r="F1084" i="21"/>
  <c r="F1085" i="21"/>
  <c r="F1086" i="21"/>
  <c r="F1087" i="21"/>
  <c r="F1088" i="21"/>
  <c r="F1089" i="21"/>
  <c r="F1090" i="21"/>
  <c r="F1091" i="21"/>
  <c r="F1092" i="21"/>
  <c r="F1093" i="21"/>
  <c r="F1094" i="21"/>
  <c r="F1095" i="21"/>
  <c r="F1096" i="21"/>
  <c r="F1097" i="21"/>
  <c r="F1098" i="21"/>
  <c r="F1099" i="21"/>
  <c r="F1100" i="21"/>
  <c r="F1101" i="21"/>
  <c r="F1102" i="21"/>
  <c r="F1103" i="21"/>
  <c r="F1104" i="21"/>
  <c r="F1105" i="21"/>
  <c r="F1106" i="21"/>
  <c r="F1107" i="21"/>
  <c r="F1108" i="21"/>
  <c r="F1109" i="21"/>
  <c r="F1110" i="21"/>
  <c r="F1111" i="21"/>
  <c r="F1112" i="21"/>
  <c r="F1113" i="21"/>
  <c r="F1114" i="21"/>
  <c r="F1115" i="21"/>
  <c r="F1116" i="21"/>
  <c r="F1117" i="21"/>
  <c r="F1118" i="21"/>
  <c r="F1119" i="21"/>
  <c r="F1120" i="21"/>
  <c r="F1121" i="21"/>
  <c r="F1122" i="21"/>
  <c r="F1123" i="21"/>
  <c r="F1124" i="21"/>
  <c r="F1125" i="21"/>
  <c r="F1126" i="21"/>
  <c r="F1127" i="21"/>
  <c r="F1128" i="21"/>
  <c r="F1129" i="21"/>
  <c r="F1130" i="21"/>
  <c r="F1131" i="21"/>
  <c r="F1132" i="21"/>
  <c r="F1133" i="21"/>
  <c r="F1134" i="21"/>
  <c r="F1135" i="21"/>
  <c r="F1136" i="21"/>
  <c r="F1137" i="21"/>
  <c r="F1138" i="21"/>
  <c r="F1139" i="21"/>
  <c r="F1140" i="21"/>
  <c r="F1141" i="21"/>
  <c r="F1142" i="21"/>
  <c r="F1143" i="21"/>
  <c r="F1144" i="21"/>
  <c r="F1145" i="21"/>
  <c r="F1146" i="21"/>
  <c r="F1147" i="21"/>
  <c r="F1148" i="21"/>
  <c r="F1149" i="21"/>
  <c r="F1150" i="21"/>
  <c r="F1151" i="21"/>
  <c r="F1152" i="21"/>
  <c r="F1153" i="21"/>
  <c r="F1154" i="21"/>
  <c r="F1155" i="21"/>
  <c r="F1156" i="21"/>
  <c r="F1157" i="21"/>
  <c r="F1158" i="21"/>
  <c r="F1159" i="21"/>
  <c r="F1160" i="21"/>
  <c r="F1161" i="21"/>
  <c r="F1162" i="21"/>
  <c r="F1163" i="21"/>
  <c r="F1164" i="21"/>
  <c r="F1165" i="21"/>
  <c r="F1166" i="21"/>
  <c r="F1167" i="21"/>
  <c r="F1168" i="21"/>
  <c r="F1169" i="21"/>
  <c r="F1170" i="21"/>
  <c r="F1171" i="21"/>
  <c r="F1172" i="21"/>
  <c r="F1173" i="21"/>
  <c r="F1174" i="21"/>
  <c r="F1175" i="21"/>
  <c r="F1176" i="21"/>
  <c r="F1177" i="21"/>
  <c r="F1178" i="21"/>
  <c r="F1179" i="21"/>
  <c r="F1180" i="21"/>
  <c r="F1181" i="21"/>
  <c r="F1182" i="21"/>
  <c r="F1183" i="21"/>
  <c r="F1184" i="21"/>
  <c r="F1185" i="21"/>
  <c r="F1186" i="21"/>
  <c r="F1187" i="21"/>
  <c r="F1188" i="21"/>
  <c r="F1189" i="21"/>
  <c r="F1190" i="21"/>
  <c r="F1191" i="21"/>
  <c r="F1192" i="21"/>
  <c r="F1193" i="21"/>
  <c r="F1194" i="21"/>
  <c r="F1195" i="21"/>
  <c r="F1196" i="21"/>
  <c r="F1197" i="21"/>
  <c r="F1198" i="21"/>
  <c r="F1199" i="21"/>
  <c r="F1200" i="21"/>
  <c r="F1201" i="21"/>
  <c r="F1202" i="21"/>
  <c r="F1203" i="21"/>
  <c r="F1204" i="21"/>
  <c r="F1205" i="21"/>
  <c r="F1206" i="21"/>
  <c r="F1207" i="21"/>
  <c r="F1208" i="21"/>
  <c r="F1209" i="21"/>
  <c r="F1210" i="21"/>
  <c r="F1211" i="21"/>
  <c r="F1212" i="21"/>
  <c r="F1213" i="21"/>
  <c r="F1214" i="21"/>
  <c r="F1215" i="21"/>
  <c r="F1216" i="21"/>
  <c r="F1217" i="21"/>
  <c r="F1218" i="21"/>
  <c r="F1219" i="21"/>
  <c r="F1220" i="21"/>
  <c r="F1221" i="21"/>
  <c r="F1222" i="21"/>
  <c r="F1223" i="21"/>
  <c r="F1224" i="21"/>
  <c r="F1225" i="21"/>
  <c r="F1226" i="21"/>
  <c r="F1227" i="21"/>
  <c r="F1228" i="21"/>
  <c r="F1229" i="21"/>
  <c r="F1230" i="21"/>
  <c r="F1231" i="21"/>
  <c r="F1232" i="21"/>
  <c r="F1233" i="21"/>
  <c r="F1234" i="21"/>
  <c r="F1235" i="21"/>
  <c r="F1236" i="21"/>
  <c r="F1237" i="21"/>
  <c r="F1238" i="21"/>
  <c r="F1239" i="21"/>
  <c r="F1240" i="21"/>
  <c r="F1241" i="21"/>
  <c r="F1242" i="21"/>
  <c r="F1243" i="21"/>
  <c r="F1244" i="21"/>
  <c r="F1245" i="21"/>
  <c r="F1246" i="21"/>
  <c r="F1247" i="21"/>
  <c r="F1248" i="21"/>
  <c r="F1249" i="21"/>
  <c r="F1250" i="21"/>
  <c r="F1251" i="21"/>
  <c r="F1252" i="21"/>
  <c r="F1253" i="21"/>
  <c r="F1254" i="21"/>
  <c r="F1255" i="21"/>
  <c r="F1256" i="21"/>
  <c r="F1257" i="21"/>
  <c r="F1258" i="21"/>
  <c r="F1259" i="21"/>
  <c r="F1260" i="21"/>
  <c r="F1261" i="21"/>
  <c r="F1262" i="21"/>
  <c r="F1263" i="21"/>
  <c r="F1264" i="21"/>
  <c r="F1265" i="21"/>
  <c r="F1266" i="21"/>
  <c r="F1267" i="21"/>
  <c r="F1268" i="21"/>
  <c r="F1269" i="21"/>
  <c r="F1270" i="21"/>
  <c r="F1271" i="21"/>
  <c r="F1272" i="21"/>
  <c r="F1273" i="21"/>
  <c r="F1274" i="21"/>
  <c r="F1275" i="21"/>
  <c r="F1276" i="21"/>
  <c r="F1277" i="21"/>
  <c r="F1278" i="21"/>
  <c r="F1279" i="21"/>
  <c r="F1280" i="21"/>
  <c r="F1281" i="21"/>
  <c r="F1282" i="21"/>
  <c r="F1283" i="21"/>
  <c r="F1284" i="21"/>
  <c r="F1285" i="21"/>
  <c r="F1286" i="21"/>
  <c r="F1287" i="21"/>
  <c r="F1288" i="21"/>
  <c r="F1289" i="21"/>
  <c r="F1290" i="21"/>
  <c r="F1291" i="21"/>
  <c r="F1292" i="21"/>
  <c r="F1293" i="21"/>
  <c r="F1294" i="21"/>
  <c r="F1295" i="21"/>
  <c r="F1296" i="21"/>
  <c r="F1297" i="21"/>
  <c r="F1298" i="21"/>
  <c r="F1299" i="21"/>
  <c r="F1300" i="21"/>
  <c r="F1301" i="21"/>
  <c r="F1302" i="21"/>
  <c r="F1303" i="21"/>
  <c r="F1304" i="21"/>
  <c r="F1305" i="21"/>
  <c r="F1306" i="21"/>
  <c r="F1307" i="21"/>
  <c r="F1308" i="21"/>
  <c r="F1309" i="21"/>
  <c r="F1310" i="21"/>
  <c r="F1311" i="21"/>
  <c r="F1312" i="21"/>
  <c r="F1313" i="21"/>
  <c r="F1314" i="21"/>
  <c r="F1315" i="21"/>
  <c r="F1316" i="21"/>
  <c r="F1317" i="21"/>
  <c r="F1318" i="21"/>
  <c r="F1319" i="21"/>
  <c r="F1320" i="21"/>
  <c r="F1321" i="21"/>
  <c r="F1322" i="21"/>
  <c r="F1323" i="21"/>
  <c r="F1324" i="21"/>
  <c r="F1325" i="21"/>
  <c r="F1326" i="21"/>
  <c r="F1327" i="21"/>
  <c r="F1328" i="21"/>
  <c r="F1329" i="21"/>
  <c r="F1330" i="21"/>
  <c r="F1331" i="21"/>
  <c r="F1332" i="21"/>
  <c r="F1333" i="21"/>
  <c r="F1334" i="21"/>
  <c r="F1335" i="21"/>
  <c r="F1336" i="21"/>
  <c r="F1337" i="21"/>
  <c r="F1338" i="21"/>
  <c r="F1339" i="21"/>
  <c r="F1340" i="21"/>
  <c r="F1341" i="21"/>
  <c r="F1342" i="21"/>
  <c r="F1343" i="21"/>
  <c r="F1344" i="21"/>
  <c r="F1345" i="21"/>
  <c r="F1346" i="21"/>
  <c r="F1347" i="21"/>
  <c r="F1348" i="21"/>
  <c r="F1349" i="21"/>
  <c r="F1350" i="21"/>
  <c r="F1351" i="21"/>
  <c r="F1352" i="21"/>
  <c r="F1353" i="21"/>
  <c r="F1354" i="21"/>
  <c r="F1355" i="21"/>
  <c r="F1356" i="21"/>
  <c r="F1357" i="21"/>
  <c r="F1358" i="21"/>
  <c r="F1359" i="21"/>
  <c r="F1360" i="21"/>
  <c r="F1361" i="21"/>
  <c r="F1362" i="21"/>
  <c r="F1363" i="21"/>
  <c r="F1364" i="21"/>
  <c r="F1365" i="21"/>
  <c r="F1366" i="21"/>
  <c r="F1367" i="21"/>
  <c r="F1368" i="21"/>
  <c r="F1369" i="21"/>
  <c r="F1370" i="21"/>
  <c r="F1371" i="21"/>
  <c r="F1372" i="21"/>
  <c r="F1373" i="21"/>
  <c r="F1374" i="21"/>
  <c r="F1375" i="21"/>
  <c r="F1376" i="21"/>
  <c r="F1377" i="21"/>
  <c r="F1378" i="21"/>
  <c r="F1379" i="21"/>
  <c r="F1380" i="21"/>
  <c r="F1381" i="21"/>
  <c r="F1382" i="21"/>
  <c r="F1383" i="21"/>
  <c r="F1384" i="21"/>
  <c r="F1385" i="21"/>
  <c r="F1386" i="21"/>
  <c r="F1387" i="21"/>
  <c r="F1388" i="21"/>
  <c r="F1389" i="21"/>
  <c r="F1390" i="21"/>
  <c r="F1391" i="21"/>
  <c r="F1392" i="21"/>
  <c r="F1393" i="21"/>
  <c r="F1394" i="21"/>
  <c r="F1395" i="21"/>
  <c r="F1396" i="21"/>
  <c r="F1397" i="21"/>
  <c r="F1398" i="21"/>
  <c r="F1399" i="21"/>
  <c r="F1400" i="21"/>
  <c r="F1401" i="21"/>
  <c r="F1402" i="21"/>
  <c r="F1403" i="21"/>
  <c r="F1404" i="21"/>
  <c r="F1405" i="21"/>
  <c r="F1406" i="21"/>
  <c r="F1407" i="21"/>
  <c r="F1408" i="21"/>
  <c r="F1409" i="21"/>
  <c r="F1410" i="21"/>
  <c r="F1411" i="21"/>
  <c r="F1412" i="21"/>
  <c r="F1413" i="21"/>
  <c r="F1414" i="21"/>
  <c r="F1415" i="21"/>
  <c r="F1416" i="21"/>
  <c r="F1417" i="21"/>
  <c r="F1418" i="21"/>
  <c r="F1419" i="21"/>
  <c r="F1420" i="21"/>
  <c r="F1421" i="21"/>
  <c r="F1422" i="21"/>
  <c r="F1423" i="21"/>
  <c r="F1424" i="21"/>
  <c r="F1425" i="21"/>
  <c r="F1426" i="21"/>
  <c r="F1427" i="21"/>
  <c r="F1428" i="21"/>
  <c r="F1429" i="21"/>
  <c r="F1430" i="21"/>
  <c r="F1431" i="21"/>
  <c r="F1432" i="21"/>
  <c r="F1433" i="21"/>
  <c r="F1434" i="21"/>
  <c r="F1435" i="21"/>
  <c r="F1436" i="21"/>
  <c r="F1437" i="21"/>
  <c r="F1438" i="21"/>
  <c r="F1439" i="21"/>
  <c r="F1440" i="21"/>
  <c r="F1441" i="21"/>
  <c r="F1442" i="21"/>
  <c r="F1443" i="21"/>
  <c r="F1444" i="21"/>
  <c r="F1445" i="21"/>
  <c r="F1446" i="21"/>
  <c r="F1447" i="21"/>
  <c r="F1448" i="21"/>
  <c r="F1449" i="21"/>
  <c r="F1450" i="21"/>
  <c r="F1451" i="21"/>
  <c r="F1452" i="21"/>
  <c r="F1453" i="21"/>
  <c r="F1454" i="21"/>
  <c r="F1455" i="21"/>
  <c r="F1456" i="21"/>
  <c r="F1457" i="21"/>
  <c r="F1458" i="21"/>
  <c r="F1459" i="21"/>
  <c r="F1460" i="21"/>
  <c r="F1461" i="21"/>
  <c r="F1462" i="21"/>
  <c r="F1463" i="21"/>
  <c r="F1464" i="21"/>
  <c r="F1465" i="21"/>
  <c r="F1466" i="21"/>
  <c r="F1467" i="21"/>
  <c r="F1468" i="21"/>
  <c r="F1469" i="21"/>
  <c r="F1470" i="21"/>
  <c r="F1471" i="21"/>
  <c r="F1472" i="21"/>
  <c r="F1473" i="21"/>
  <c r="F1474" i="21"/>
  <c r="F1475" i="21"/>
  <c r="F1476" i="21"/>
  <c r="F1477" i="21"/>
  <c r="F1478" i="21"/>
  <c r="F1479" i="21"/>
  <c r="F1480" i="21"/>
  <c r="F1481" i="21"/>
  <c r="F1482" i="21"/>
  <c r="F1483" i="21"/>
  <c r="F1484" i="21"/>
  <c r="F1485" i="21"/>
  <c r="F1486" i="21"/>
  <c r="F1487" i="21"/>
  <c r="F1488" i="21"/>
  <c r="F1489" i="21"/>
  <c r="F1490" i="21"/>
  <c r="F1491" i="21"/>
  <c r="F1492" i="21"/>
  <c r="F1493" i="21"/>
  <c r="F1494" i="21"/>
  <c r="F1495" i="21"/>
  <c r="F1496" i="21"/>
  <c r="F1497" i="21"/>
  <c r="F1498" i="21"/>
  <c r="F1499" i="21"/>
  <c r="F1500" i="21"/>
  <c r="F1501" i="21"/>
  <c r="F1502" i="21"/>
  <c r="F1503" i="21"/>
  <c r="F1504" i="21"/>
  <c r="F1505" i="21"/>
  <c r="F1506" i="21"/>
  <c r="F1507" i="21"/>
  <c r="F1508" i="21"/>
  <c r="F1509" i="21"/>
  <c r="F1510" i="21"/>
  <c r="F1511" i="21"/>
  <c r="F1512" i="21"/>
  <c r="F1513" i="21"/>
  <c r="F1514" i="21"/>
  <c r="F1515" i="21"/>
  <c r="F1516" i="21"/>
  <c r="F1517" i="21"/>
  <c r="F1518" i="21"/>
  <c r="F1519" i="21"/>
  <c r="F1520" i="21"/>
  <c r="F1521" i="21"/>
  <c r="F1522" i="21"/>
  <c r="F1523" i="21"/>
  <c r="F1524" i="21"/>
  <c r="F1525" i="21"/>
  <c r="F1526" i="21"/>
  <c r="F1527" i="21"/>
  <c r="F1528" i="21"/>
  <c r="F1529" i="21"/>
  <c r="F1530" i="21"/>
  <c r="F1531" i="21"/>
  <c r="F1532" i="21"/>
  <c r="F1533" i="21"/>
  <c r="F1534" i="21"/>
  <c r="F1535" i="21"/>
  <c r="F1536" i="21"/>
  <c r="F1537" i="21"/>
  <c r="F1538" i="21"/>
  <c r="F1539" i="21"/>
  <c r="F1540" i="21"/>
  <c r="F1541" i="21"/>
  <c r="F1542" i="21"/>
  <c r="F1543" i="21"/>
  <c r="F1544" i="21"/>
  <c r="F1545" i="21"/>
  <c r="F1546" i="21"/>
  <c r="F1547" i="21"/>
  <c r="F1548" i="21"/>
  <c r="F1549" i="21"/>
  <c r="F1550" i="21"/>
  <c r="F1551" i="21"/>
  <c r="F1552" i="21"/>
  <c r="F1553" i="21"/>
  <c r="F1554" i="21"/>
  <c r="F1555" i="21"/>
  <c r="F1556" i="21"/>
  <c r="F1557" i="21"/>
  <c r="F1558" i="21"/>
  <c r="F1559" i="21"/>
  <c r="F1560" i="21"/>
  <c r="F1561" i="21"/>
  <c r="F1562" i="21"/>
  <c r="F1563" i="21"/>
  <c r="F1564" i="21"/>
  <c r="F1565" i="21"/>
  <c r="F1566" i="21"/>
  <c r="F1567" i="21"/>
  <c r="F1568" i="21"/>
  <c r="F1569" i="21"/>
  <c r="F1570" i="21"/>
  <c r="F1571" i="21"/>
  <c r="F1572" i="21"/>
  <c r="F1573" i="21"/>
  <c r="F1574" i="21"/>
  <c r="F1575" i="21"/>
  <c r="F1576" i="21"/>
  <c r="F1577" i="21"/>
  <c r="F1578" i="21"/>
  <c r="F1579" i="21"/>
  <c r="F1580" i="21"/>
  <c r="F1581" i="21"/>
  <c r="F1582" i="21"/>
  <c r="F1583" i="21"/>
  <c r="F1584" i="21"/>
  <c r="F1585" i="21"/>
  <c r="F1586" i="21"/>
  <c r="F1587" i="21"/>
  <c r="F1588" i="21"/>
  <c r="F1589" i="21"/>
  <c r="F1590" i="21"/>
  <c r="F1591" i="21"/>
  <c r="F1592" i="21"/>
  <c r="F1593" i="21"/>
  <c r="F1594" i="21"/>
  <c r="F1595" i="21"/>
  <c r="F1596" i="21"/>
  <c r="F1597" i="21"/>
  <c r="F1598" i="21"/>
  <c r="F1599" i="21"/>
  <c r="F1600" i="21"/>
  <c r="F1601" i="21"/>
  <c r="F1602" i="21"/>
  <c r="F1603" i="21"/>
  <c r="F1604" i="21"/>
  <c r="F1605" i="21"/>
  <c r="F1606" i="21"/>
  <c r="F1607" i="21"/>
  <c r="F1608" i="21"/>
  <c r="F1609" i="21"/>
  <c r="F1610" i="21"/>
  <c r="F1611" i="21"/>
  <c r="F1612" i="21"/>
  <c r="F1613" i="21"/>
  <c r="F1614" i="21"/>
  <c r="F1615" i="21"/>
  <c r="F1616" i="21"/>
  <c r="F1617" i="21"/>
  <c r="F1618" i="21"/>
  <c r="F1619" i="21"/>
  <c r="F1620" i="21"/>
  <c r="F1621" i="21"/>
  <c r="F1622" i="21"/>
  <c r="F1623" i="21"/>
  <c r="F1624" i="21"/>
  <c r="F1625" i="21"/>
  <c r="F1626" i="21"/>
  <c r="F1627" i="21"/>
  <c r="F1628" i="21"/>
  <c r="F1629" i="21"/>
  <c r="F1630" i="21"/>
  <c r="F1631" i="21"/>
  <c r="F1632" i="21"/>
  <c r="F1633" i="21"/>
  <c r="F1634" i="21"/>
  <c r="F1635" i="21"/>
  <c r="F1636" i="21"/>
  <c r="F1637" i="21"/>
  <c r="F1638" i="21"/>
  <c r="F1639" i="21"/>
  <c r="F1640" i="21"/>
  <c r="F1641" i="21"/>
  <c r="F1642" i="21"/>
  <c r="F1643" i="21"/>
  <c r="F1644" i="21"/>
  <c r="F1645" i="21"/>
  <c r="F1646" i="21"/>
  <c r="F1647" i="21"/>
  <c r="F1648" i="21"/>
  <c r="F1649" i="21"/>
  <c r="F1650" i="21"/>
  <c r="F1651" i="21"/>
  <c r="F1652" i="21"/>
  <c r="F1653" i="21"/>
  <c r="F1654" i="21"/>
  <c r="F1655" i="21"/>
  <c r="F1656" i="21"/>
  <c r="F1657" i="21"/>
  <c r="F1658" i="21"/>
  <c r="F1659" i="21"/>
  <c r="F1660" i="21"/>
  <c r="F1661" i="21"/>
  <c r="F1662" i="21"/>
  <c r="F1663" i="21"/>
  <c r="F1664" i="21"/>
  <c r="F1665" i="21"/>
  <c r="F1666" i="21"/>
  <c r="F1667" i="21"/>
  <c r="F1668" i="21"/>
  <c r="F1669" i="21"/>
  <c r="F1670" i="21"/>
  <c r="F1671" i="21"/>
  <c r="F1672" i="21"/>
  <c r="F1673" i="21"/>
  <c r="F1674" i="21"/>
  <c r="F1675" i="21"/>
  <c r="F1676" i="21"/>
  <c r="F1677" i="21"/>
  <c r="F1678" i="21"/>
  <c r="F1679" i="21"/>
  <c r="F1680" i="21"/>
  <c r="F1681" i="21"/>
  <c r="F1682" i="21"/>
  <c r="F1683" i="21"/>
  <c r="F1684" i="21"/>
  <c r="F1685" i="21"/>
  <c r="F1686" i="21"/>
  <c r="F1687" i="21"/>
  <c r="F1688" i="21"/>
  <c r="F1689" i="21"/>
  <c r="F1690" i="21"/>
  <c r="F1691" i="21"/>
  <c r="F1692" i="21"/>
  <c r="F1693" i="21"/>
  <c r="F1694" i="21"/>
  <c r="F1695" i="21"/>
  <c r="F1696" i="21"/>
  <c r="F1697" i="21"/>
  <c r="F1698" i="21"/>
  <c r="F1699" i="21"/>
  <c r="F1700" i="21"/>
  <c r="F1701" i="21"/>
  <c r="F1702" i="21"/>
  <c r="F1703" i="21"/>
  <c r="F1704" i="21"/>
  <c r="F1705" i="21"/>
  <c r="F1706" i="21"/>
  <c r="F1707" i="21"/>
  <c r="F1708" i="21"/>
  <c r="F1709" i="21"/>
  <c r="F1710" i="21"/>
  <c r="F1711" i="21"/>
  <c r="F1712" i="21"/>
  <c r="F1713" i="21"/>
  <c r="F1714" i="21"/>
  <c r="F1715" i="21"/>
  <c r="F1716" i="21"/>
  <c r="F1717" i="21"/>
  <c r="F1718" i="21"/>
  <c r="F1719" i="21"/>
  <c r="F1720" i="21"/>
  <c r="F1721" i="21"/>
  <c r="F1722" i="21"/>
  <c r="F1723" i="21"/>
  <c r="F1724" i="21"/>
  <c r="F1725" i="21"/>
  <c r="F1726" i="21"/>
  <c r="F1727" i="21"/>
  <c r="F1728" i="21"/>
  <c r="F1729" i="21"/>
  <c r="F1730" i="21"/>
  <c r="F1731" i="21"/>
  <c r="F1732" i="21"/>
  <c r="F1733" i="21"/>
  <c r="F1734" i="21"/>
  <c r="F1735" i="21"/>
  <c r="F1736" i="21"/>
  <c r="F1737" i="21"/>
  <c r="F1738" i="21"/>
  <c r="F1739" i="21"/>
  <c r="F1740" i="21"/>
  <c r="F1741" i="21"/>
  <c r="F1742" i="21"/>
  <c r="F1743" i="21"/>
  <c r="F1744" i="21"/>
  <c r="F1745" i="21"/>
  <c r="F1746" i="21"/>
  <c r="F1747" i="21"/>
  <c r="F1748" i="21"/>
  <c r="F1749" i="21"/>
  <c r="F1750" i="21"/>
  <c r="F1751" i="21"/>
  <c r="F1752" i="21"/>
  <c r="F1753" i="21"/>
  <c r="F1754" i="21"/>
  <c r="F1755" i="21"/>
  <c r="F1756" i="21"/>
  <c r="F1757" i="21"/>
  <c r="F1758" i="21"/>
  <c r="F1759" i="21"/>
  <c r="F1760" i="21"/>
  <c r="F1761" i="21"/>
  <c r="F1762" i="21"/>
  <c r="F1763" i="21"/>
  <c r="F1764" i="21"/>
  <c r="F1765" i="21"/>
  <c r="F1766" i="21"/>
  <c r="F1767" i="21"/>
  <c r="F1768" i="21"/>
  <c r="F1769" i="21"/>
  <c r="F1770" i="21"/>
  <c r="F1771" i="21"/>
  <c r="F1772" i="21"/>
  <c r="F1773" i="21"/>
  <c r="F1774" i="21"/>
  <c r="F1775" i="21"/>
  <c r="F1776" i="21"/>
  <c r="F1777" i="21"/>
  <c r="F1778" i="21"/>
  <c r="F1779" i="21"/>
  <c r="F1780" i="21"/>
  <c r="F1781" i="21"/>
  <c r="F1782" i="21"/>
  <c r="F1783" i="21"/>
  <c r="F1784" i="21"/>
  <c r="F1785" i="21"/>
  <c r="F1786" i="21"/>
  <c r="F1787" i="21"/>
  <c r="F1788" i="21"/>
  <c r="F1789" i="21"/>
  <c r="F1790" i="21"/>
  <c r="F1791" i="21"/>
  <c r="F1792" i="21"/>
  <c r="F1793" i="21"/>
  <c r="F1794" i="21"/>
  <c r="F1795" i="21"/>
  <c r="F1796" i="21"/>
  <c r="F1797" i="21"/>
  <c r="F1798" i="21"/>
  <c r="F1799" i="21"/>
  <c r="F1800" i="21"/>
  <c r="F1801" i="21"/>
  <c r="F1802" i="21"/>
  <c r="F1803" i="21"/>
  <c r="F1804" i="21"/>
  <c r="F1805" i="21"/>
  <c r="F1806" i="21"/>
  <c r="F1807" i="21"/>
  <c r="F1808" i="21"/>
  <c r="F1809" i="21"/>
  <c r="F1810" i="21"/>
  <c r="F1811" i="21"/>
  <c r="F1812" i="21"/>
  <c r="F1813" i="21"/>
  <c r="F1814" i="21"/>
  <c r="F1815" i="21"/>
  <c r="F1816" i="21"/>
  <c r="F1817" i="21"/>
  <c r="F1818" i="21"/>
  <c r="F1819" i="21"/>
  <c r="F1820" i="21"/>
  <c r="F1821" i="21"/>
  <c r="F1822" i="21"/>
  <c r="F1823" i="21"/>
  <c r="F1824" i="21"/>
  <c r="F1825" i="21"/>
  <c r="F1826" i="21"/>
  <c r="F1827" i="21"/>
  <c r="F1828" i="21"/>
  <c r="F1829" i="21"/>
  <c r="F1830" i="21"/>
  <c r="F1831" i="21"/>
  <c r="F1832" i="21"/>
  <c r="F1833" i="21"/>
  <c r="F1834" i="21"/>
  <c r="F1835" i="21"/>
  <c r="F1836" i="21"/>
  <c r="F1837" i="21"/>
  <c r="F1838" i="21"/>
  <c r="F1839" i="21"/>
  <c r="F1840" i="21"/>
  <c r="F1841" i="21"/>
  <c r="F1842" i="21"/>
  <c r="F1843" i="21"/>
  <c r="F1844" i="21"/>
  <c r="F1845" i="21"/>
  <c r="F1846" i="21"/>
  <c r="F1847" i="21"/>
  <c r="F1848" i="21"/>
  <c r="F1849" i="21"/>
  <c r="F1850" i="21"/>
  <c r="F1851" i="21"/>
  <c r="F1852" i="21"/>
  <c r="F1853" i="21"/>
  <c r="F1854" i="21"/>
  <c r="F1855" i="21"/>
  <c r="F1856" i="21"/>
  <c r="F1857" i="21"/>
  <c r="F1858" i="21"/>
  <c r="F1859" i="21"/>
  <c r="F1860" i="21"/>
  <c r="F1861" i="21"/>
  <c r="F1862" i="21"/>
  <c r="F1863" i="21"/>
  <c r="F1864" i="21"/>
  <c r="F1865" i="21"/>
  <c r="F1866" i="21"/>
  <c r="F1867" i="21"/>
  <c r="F1868" i="21"/>
  <c r="F1869" i="21"/>
  <c r="F1870" i="21"/>
  <c r="F1871" i="21"/>
  <c r="F1872" i="21"/>
  <c r="F1873" i="21"/>
  <c r="F1874" i="21"/>
  <c r="F1875" i="21"/>
  <c r="F1876" i="21"/>
  <c r="F1877" i="21"/>
  <c r="F1878" i="21"/>
  <c r="F1879" i="21"/>
  <c r="F1880" i="21"/>
  <c r="F1881" i="21"/>
  <c r="F1882" i="21"/>
  <c r="F1883" i="21"/>
  <c r="F1884" i="21"/>
  <c r="F1885" i="21"/>
  <c r="F1886" i="21"/>
  <c r="F1887" i="21"/>
  <c r="F1888" i="21"/>
  <c r="F1889" i="21"/>
  <c r="F1890" i="21"/>
  <c r="F1891" i="21"/>
  <c r="F1892" i="21"/>
  <c r="F1893" i="21"/>
  <c r="F1894" i="21"/>
  <c r="F1895" i="21"/>
  <c r="F1896" i="21"/>
  <c r="F1897" i="21"/>
  <c r="F1898" i="21"/>
  <c r="F1899" i="21"/>
  <c r="F1900" i="21"/>
  <c r="F1901" i="21"/>
  <c r="F1902" i="21"/>
  <c r="F1903" i="21"/>
  <c r="F1904" i="21"/>
  <c r="F1905" i="21"/>
  <c r="F1906" i="21"/>
  <c r="F1907" i="21"/>
  <c r="F1908" i="21"/>
  <c r="F1909" i="21"/>
  <c r="F1910" i="21"/>
  <c r="F1911" i="21"/>
  <c r="F1912" i="21"/>
  <c r="F1913" i="21"/>
  <c r="F1914" i="21"/>
  <c r="F1915" i="21"/>
  <c r="F1916" i="21"/>
  <c r="F1917" i="21"/>
  <c r="F1918" i="21"/>
  <c r="F1919" i="21"/>
  <c r="F1920" i="21"/>
  <c r="F1921" i="21"/>
  <c r="F1922" i="21"/>
  <c r="F1923" i="21"/>
  <c r="F1924" i="21"/>
  <c r="F1925" i="21"/>
  <c r="F1926" i="21"/>
  <c r="F1927" i="21"/>
  <c r="F1928" i="21"/>
  <c r="F1929" i="21"/>
  <c r="F1930" i="21"/>
  <c r="F1931" i="21"/>
  <c r="F1932" i="21"/>
  <c r="F1933" i="21"/>
  <c r="F1934" i="21"/>
  <c r="F1935" i="21"/>
  <c r="F1936" i="21"/>
  <c r="F1937" i="21"/>
  <c r="F1938" i="21"/>
  <c r="F1939" i="21"/>
  <c r="F1940" i="21"/>
  <c r="F1941" i="21"/>
  <c r="F1942" i="21"/>
  <c r="F1943" i="21"/>
  <c r="F1944" i="21"/>
  <c r="F1945" i="21"/>
  <c r="F1946" i="21"/>
  <c r="F1947" i="21"/>
  <c r="F1948" i="21"/>
  <c r="F1949" i="21"/>
  <c r="F1950" i="21"/>
  <c r="F1951" i="21"/>
  <c r="F1952" i="21"/>
  <c r="F1953" i="21"/>
  <c r="F1954" i="21"/>
  <c r="F1955" i="21"/>
  <c r="F1956" i="21"/>
  <c r="F1957" i="21"/>
  <c r="F1958" i="21"/>
  <c r="F1959" i="21"/>
  <c r="F1960" i="21"/>
  <c r="F1961" i="21"/>
  <c r="F1962" i="21"/>
  <c r="F1963" i="21"/>
  <c r="F1964" i="21"/>
  <c r="F1965" i="21"/>
  <c r="F1966" i="21"/>
  <c r="F1967" i="21"/>
  <c r="F1968" i="21"/>
  <c r="F1969" i="21"/>
  <c r="F1970" i="21"/>
  <c r="F1971" i="21"/>
  <c r="F1972" i="21"/>
  <c r="F1973" i="21"/>
  <c r="F1974" i="21"/>
  <c r="F1975" i="21"/>
  <c r="F1976" i="21"/>
  <c r="F1977" i="21"/>
  <c r="F1978" i="21"/>
  <c r="F1979" i="21"/>
  <c r="F1980" i="21"/>
  <c r="F1981" i="21"/>
  <c r="F1982" i="21"/>
  <c r="F1983" i="21"/>
  <c r="F1984" i="21"/>
  <c r="F1985" i="21"/>
  <c r="F1986" i="21"/>
  <c r="F1987" i="21"/>
  <c r="F1988" i="21"/>
  <c r="F1989" i="21"/>
  <c r="F1990" i="21"/>
  <c r="F1991" i="21"/>
  <c r="F1992" i="21"/>
  <c r="F1993" i="21"/>
  <c r="F1994" i="21"/>
  <c r="F1995" i="21"/>
  <c r="F1996" i="21"/>
  <c r="F1997" i="21"/>
  <c r="F1998" i="21"/>
  <c r="F1999" i="21"/>
  <c r="F2000" i="21"/>
  <c r="F2001" i="21"/>
  <c r="F2002" i="21"/>
  <c r="F2003" i="21"/>
  <c r="F2004" i="21"/>
  <c r="F2005" i="21"/>
  <c r="F2006" i="21"/>
  <c r="F2007" i="21"/>
  <c r="F2008" i="21"/>
  <c r="F2009" i="21"/>
  <c r="F2010" i="21"/>
  <c r="F2" i="21"/>
  <c r="G3" i="28"/>
  <c r="G4" i="28"/>
  <c r="G5" i="28"/>
  <c r="G9" i="28"/>
  <c r="G10" i="28"/>
  <c r="G11" i="28"/>
  <c r="G12" i="28"/>
  <c r="G13" i="28"/>
  <c r="G14" i="28"/>
  <c r="G15" i="28"/>
  <c r="G16" i="28"/>
  <c r="G17"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 i="28"/>
  <c r="G7" i="28"/>
  <c r="G8" i="28"/>
  <c r="G101" i="28"/>
  <c r="G66" i="28"/>
  <c r="G67" i="28"/>
  <c r="G68" i="28"/>
  <c r="G69" i="28"/>
  <c r="G70" i="28"/>
  <c r="G71" i="28"/>
  <c r="G72" i="28"/>
  <c r="G73" i="28"/>
  <c r="G74" i="28"/>
  <c r="G75" i="28"/>
  <c r="G76" i="28"/>
  <c r="G77" i="28"/>
  <c r="G78" i="28"/>
  <c r="G79" i="28"/>
  <c r="G80" i="28"/>
  <c r="G81" i="28"/>
  <c r="G82" i="28"/>
  <c r="G83" i="28"/>
  <c r="G84" i="28"/>
  <c r="G2" i="28"/>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I110" i="3" s="1"/>
  <c r="D111" i="3"/>
  <c r="I111" i="3" s="1"/>
  <c r="D112" i="3"/>
  <c r="I112" i="3" s="1"/>
  <c r="D113" i="3"/>
  <c r="I113" i="3" s="1"/>
  <c r="D114" i="3"/>
  <c r="I114" i="3" s="1"/>
  <c r="D115" i="3"/>
  <c r="I115" i="3" s="1"/>
  <c r="D116" i="3"/>
  <c r="I116" i="3" s="1"/>
  <c r="D117" i="3"/>
  <c r="I117" i="3" s="1"/>
  <c r="D118" i="3"/>
  <c r="I118" i="3" s="1"/>
  <c r="D119" i="3"/>
  <c r="I119" i="3" s="1"/>
  <c r="D120" i="3"/>
  <c r="I120" i="3" s="1"/>
  <c r="D121" i="3"/>
  <c r="I121" i="3" s="1"/>
  <c r="D122" i="3"/>
  <c r="I122" i="3" s="1"/>
  <c r="D123" i="3"/>
  <c r="I123" i="3" s="1"/>
  <c r="D131" i="3"/>
  <c r="I131" i="3" s="1"/>
  <c r="D132" i="3"/>
  <c r="I132" i="3" s="1"/>
  <c r="D133" i="3"/>
  <c r="I133" i="3" s="1"/>
  <c r="D134" i="3"/>
  <c r="I134" i="3" s="1"/>
  <c r="D135" i="3"/>
  <c r="I135" i="3" s="1"/>
  <c r="D136" i="3"/>
  <c r="I136" i="3" s="1"/>
  <c r="D137" i="3"/>
  <c r="I137" i="3" s="1"/>
  <c r="D138" i="3"/>
  <c r="I138" i="3" s="1"/>
  <c r="D139" i="3"/>
  <c r="I139" i="3" s="1"/>
  <c r="D147" i="3"/>
  <c r="I147" i="3" s="1"/>
  <c r="D148" i="3"/>
  <c r="I148" i="3" s="1"/>
  <c r="D149" i="3"/>
  <c r="I149" i="3" s="1"/>
  <c r="D151" i="3"/>
  <c r="I151" i="3" s="1"/>
  <c r="D152" i="3"/>
  <c r="I152" i="3" s="1"/>
  <c r="D153" i="3"/>
  <c r="I153" i="3" s="1"/>
  <c r="D154" i="3"/>
  <c r="I154" i="3" s="1"/>
  <c r="D155" i="3"/>
  <c r="I155" i="3" s="1"/>
  <c r="D156" i="3"/>
  <c r="I156" i="3" s="1"/>
  <c r="D157" i="3"/>
  <c r="I157" i="3" s="1"/>
  <c r="D158" i="3"/>
  <c r="I158" i="3" s="1"/>
  <c r="D159" i="3"/>
  <c r="I159" i="3" s="1"/>
  <c r="D160" i="3"/>
  <c r="I160" i="3" s="1"/>
  <c r="D161" i="3"/>
  <c r="I161" i="3" s="1"/>
  <c r="D162" i="3"/>
  <c r="I162" i="3" s="1"/>
  <c r="D163" i="3"/>
  <c r="I163" i="3" s="1"/>
  <c r="D164" i="3"/>
  <c r="I164" i="3" s="1"/>
  <c r="D165" i="3"/>
  <c r="I165" i="3" s="1"/>
  <c r="D166" i="3"/>
  <c r="I166" i="3" s="1"/>
  <c r="D167" i="3"/>
  <c r="I167" i="3" s="1"/>
  <c r="D168" i="3"/>
  <c r="I168" i="3" s="1"/>
  <c r="D169" i="3"/>
  <c r="I169" i="3" s="1"/>
  <c r="D170" i="3"/>
  <c r="I170" i="3" s="1"/>
  <c r="D171" i="3"/>
  <c r="I171" i="3" s="1"/>
  <c r="D172" i="3"/>
  <c r="I172" i="3" s="1"/>
  <c r="D173" i="3"/>
  <c r="I173" i="3" s="1"/>
  <c r="D174" i="3"/>
  <c r="I174" i="3" s="1"/>
  <c r="D175" i="3"/>
  <c r="I175" i="3" s="1"/>
  <c r="D176" i="3"/>
  <c r="I176" i="3" s="1"/>
  <c r="D177" i="3"/>
  <c r="I177" i="3" s="1"/>
  <c r="D178" i="3"/>
  <c r="I178" i="3" s="1"/>
  <c r="D179" i="3"/>
  <c r="I179" i="3" s="1"/>
  <c r="D180" i="3"/>
  <c r="I180" i="3" s="1"/>
  <c r="D181" i="3"/>
  <c r="I181" i="3" s="1"/>
  <c r="D182" i="3"/>
  <c r="I182" i="3" s="1"/>
  <c r="D183" i="3"/>
  <c r="I183" i="3" s="1"/>
  <c r="D184" i="3"/>
  <c r="I184" i="3" s="1"/>
  <c r="D185" i="3"/>
  <c r="I185" i="3" s="1"/>
  <c r="D186" i="3"/>
  <c r="I186" i="3" s="1"/>
  <c r="D187" i="3"/>
  <c r="I187" i="3" s="1"/>
  <c r="D188" i="3"/>
  <c r="I188" i="3" s="1"/>
  <c r="D189" i="3"/>
  <c r="I189" i="3" s="1"/>
  <c r="D190" i="3"/>
  <c r="I190" i="3" s="1"/>
  <c r="D191" i="3"/>
  <c r="I191" i="3" s="1"/>
  <c r="D192" i="3"/>
  <c r="I192" i="3" s="1"/>
  <c r="D193" i="3"/>
  <c r="I193" i="3" s="1"/>
  <c r="D194" i="3"/>
  <c r="I194" i="3" s="1"/>
  <c r="D195" i="3"/>
  <c r="I195" i="3" s="1"/>
  <c r="D196" i="3"/>
  <c r="I196" i="3" s="1"/>
  <c r="D197" i="3"/>
  <c r="I197" i="3" s="1"/>
  <c r="D198" i="3"/>
  <c r="I198" i="3" s="1"/>
  <c r="D201" i="3"/>
  <c r="I201" i="3" s="1"/>
  <c r="D202" i="3"/>
  <c r="I202" i="3" s="1"/>
  <c r="D203" i="3"/>
  <c r="I203" i="3" s="1"/>
  <c r="D204" i="3"/>
  <c r="I204" i="3" s="1"/>
  <c r="D205" i="3"/>
  <c r="I205" i="3" s="1"/>
  <c r="D206" i="3"/>
  <c r="I206" i="3" s="1"/>
  <c r="D207" i="3"/>
  <c r="I207" i="3" s="1"/>
  <c r="D208" i="3"/>
  <c r="I208" i="3" s="1"/>
  <c r="D209" i="3"/>
  <c r="I209" i="3" s="1"/>
  <c r="D210" i="3"/>
  <c r="I210" i="3" s="1"/>
  <c r="D211" i="3"/>
  <c r="I211" i="3" s="1"/>
  <c r="D212" i="3"/>
  <c r="I212" i="3" s="1"/>
  <c r="D213" i="3"/>
  <c r="I213" i="3" s="1"/>
  <c r="D214" i="3"/>
  <c r="I214" i="3" s="1"/>
  <c r="D215" i="3"/>
  <c r="I215" i="3" s="1"/>
  <c r="D216" i="3"/>
  <c r="I216" i="3" s="1"/>
  <c r="D217" i="3"/>
  <c r="I217" i="3" s="1"/>
  <c r="D218" i="3"/>
  <c r="I218" i="3" s="1"/>
  <c r="D219" i="3"/>
  <c r="I219" i="3" s="1"/>
  <c r="D220" i="3"/>
  <c r="I220" i="3" s="1"/>
  <c r="D221" i="3"/>
  <c r="I221" i="3" s="1"/>
  <c r="D222" i="3"/>
  <c r="I222" i="3" s="1"/>
  <c r="D223" i="3"/>
  <c r="I223" i="3" s="1"/>
  <c r="D224" i="3"/>
  <c r="I224" i="3" s="1"/>
  <c r="D225" i="3"/>
  <c r="I225" i="3" s="1"/>
  <c r="D226" i="3"/>
  <c r="I226" i="3" s="1"/>
  <c r="D227" i="3"/>
  <c r="I227" i="3" s="1"/>
  <c r="D228" i="3"/>
  <c r="I228" i="3" s="1"/>
  <c r="D229" i="3"/>
  <c r="I229" i="3" s="1"/>
  <c r="D230" i="3"/>
  <c r="I230" i="3" s="1"/>
  <c r="D231" i="3"/>
  <c r="I231" i="3" s="1"/>
  <c r="D232" i="3"/>
  <c r="I232" i="3" s="1"/>
  <c r="D233" i="3"/>
  <c r="I233" i="3" s="1"/>
  <c r="D234" i="3"/>
  <c r="I234" i="3" s="1"/>
  <c r="D235" i="3"/>
  <c r="I235" i="3" s="1"/>
  <c r="D236" i="3"/>
  <c r="I236" i="3" s="1"/>
  <c r="D237" i="3"/>
  <c r="I237" i="3" s="1"/>
  <c r="D238" i="3"/>
  <c r="I238" i="3" s="1"/>
  <c r="D239" i="3"/>
  <c r="I239" i="3" s="1"/>
  <c r="D240" i="3"/>
  <c r="I240" i="3" s="1"/>
  <c r="D241" i="3"/>
  <c r="I241" i="3" s="1"/>
  <c r="D242" i="3"/>
  <c r="I242" i="3" s="1"/>
  <c r="D243" i="3"/>
  <c r="I243" i="3" s="1"/>
  <c r="D244" i="3"/>
  <c r="I244" i="3" s="1"/>
  <c r="D245" i="3"/>
  <c r="I245" i="3" s="1"/>
  <c r="D246" i="3"/>
  <c r="I246" i="3" s="1"/>
  <c r="D247" i="3"/>
  <c r="I247" i="3" s="1"/>
  <c r="D248" i="3"/>
  <c r="I248" i="3" s="1"/>
  <c r="D249" i="3"/>
  <c r="I249" i="3" s="1"/>
  <c r="D250" i="3"/>
  <c r="I250" i="3" s="1"/>
  <c r="D251" i="3"/>
  <c r="I251" i="3" s="1"/>
  <c r="D252" i="3"/>
  <c r="I252" i="3" s="1"/>
  <c r="D253" i="3"/>
  <c r="I253" i="3" s="1"/>
  <c r="D254" i="3"/>
  <c r="I254" i="3" s="1"/>
  <c r="D255" i="3"/>
  <c r="I255" i="3" s="1"/>
  <c r="D256" i="3"/>
  <c r="I256" i="3" s="1"/>
  <c r="D257" i="3"/>
  <c r="I257" i="3" s="1"/>
  <c r="D258" i="3"/>
  <c r="I258" i="3" s="1"/>
  <c r="D259" i="3"/>
  <c r="I259" i="3" s="1"/>
  <c r="D260" i="3"/>
  <c r="I260" i="3" s="1"/>
  <c r="D261" i="3"/>
  <c r="I261" i="3" s="1"/>
  <c r="D262" i="3"/>
  <c r="I262" i="3" s="1"/>
  <c r="D265" i="3"/>
  <c r="I265" i="3" s="1"/>
  <c r="D266" i="3"/>
  <c r="I266" i="3" s="1"/>
  <c r="D267" i="3"/>
  <c r="I267" i="3" s="1"/>
  <c r="D268" i="3"/>
  <c r="I268" i="3" s="1"/>
  <c r="D269" i="3"/>
  <c r="I269" i="3" s="1"/>
  <c r="D270" i="3"/>
  <c r="I270" i="3" s="1"/>
  <c r="D271" i="3"/>
  <c r="I271" i="3" s="1"/>
  <c r="D272" i="3"/>
  <c r="I272" i="3" s="1"/>
  <c r="D273" i="3"/>
  <c r="I273" i="3" s="1"/>
  <c r="D274" i="3"/>
  <c r="I274" i="3" s="1"/>
  <c r="D275" i="3"/>
  <c r="I275" i="3" s="1"/>
  <c r="D276" i="3"/>
  <c r="I276" i="3" s="1"/>
  <c r="D277" i="3"/>
  <c r="I277" i="3" s="1"/>
  <c r="D278" i="3"/>
  <c r="I278" i="3" s="1"/>
  <c r="D279" i="3"/>
  <c r="I279" i="3" s="1"/>
  <c r="D280" i="3"/>
  <c r="I280" i="3" s="1"/>
  <c r="D281" i="3"/>
  <c r="I281" i="3" s="1"/>
  <c r="D282" i="3"/>
  <c r="I282" i="3" s="1"/>
  <c r="D283" i="3"/>
  <c r="I283" i="3" s="1"/>
  <c r="D284" i="3"/>
  <c r="I284" i="3" s="1"/>
  <c r="D285" i="3"/>
  <c r="I285" i="3" s="1"/>
  <c r="D286" i="3"/>
  <c r="I286" i="3" s="1"/>
  <c r="D287" i="3"/>
  <c r="I287" i="3" s="1"/>
  <c r="D288" i="3"/>
  <c r="I288" i="3" s="1"/>
  <c r="D289" i="3"/>
  <c r="I289" i="3" s="1"/>
  <c r="D290" i="3"/>
  <c r="I290" i="3" s="1"/>
  <c r="D291" i="3"/>
  <c r="I291" i="3" s="1"/>
  <c r="D292" i="3"/>
  <c r="I292" i="3" s="1"/>
  <c r="D293" i="3"/>
  <c r="I293" i="3" s="1"/>
  <c r="D294" i="3"/>
  <c r="I294" i="3" s="1"/>
  <c r="D295" i="3"/>
  <c r="I295" i="3" s="1"/>
  <c r="D296" i="3"/>
  <c r="I296" i="3" s="1"/>
  <c r="D297" i="3"/>
  <c r="I297" i="3" s="1"/>
  <c r="D298" i="3"/>
  <c r="I298" i="3" s="1"/>
  <c r="D299" i="3"/>
  <c r="I299" i="3" s="1"/>
  <c r="D300" i="3"/>
  <c r="I300" i="3" s="1"/>
  <c r="D301" i="3"/>
  <c r="I301" i="3" s="1"/>
  <c r="D302" i="3"/>
  <c r="I302" i="3" s="1"/>
  <c r="D303" i="3"/>
  <c r="I303" i="3" s="1"/>
  <c r="D304" i="3"/>
  <c r="I304" i="3" s="1"/>
  <c r="D305" i="3"/>
  <c r="I305" i="3" s="1"/>
  <c r="D306" i="3"/>
  <c r="I306" i="3" s="1"/>
  <c r="D307" i="3"/>
  <c r="I307" i="3" s="1"/>
  <c r="D308" i="3"/>
  <c r="I308" i="3" s="1"/>
  <c r="D309" i="3"/>
  <c r="I309" i="3" s="1"/>
  <c r="D310" i="3"/>
  <c r="I310" i="3" s="1"/>
  <c r="D311" i="3"/>
  <c r="I311" i="3" s="1"/>
  <c r="D312" i="3"/>
  <c r="I312" i="3" s="1"/>
  <c r="D313" i="3"/>
  <c r="I313" i="3" s="1"/>
  <c r="D314" i="3"/>
  <c r="I314" i="3" s="1"/>
  <c r="D315" i="3"/>
  <c r="I315" i="3" s="1"/>
  <c r="D316" i="3"/>
  <c r="I316" i="3" s="1"/>
  <c r="D317" i="3"/>
  <c r="I317" i="3" s="1"/>
  <c r="D318" i="3"/>
  <c r="I318" i="3" s="1"/>
  <c r="D319" i="3"/>
  <c r="I319" i="3" s="1"/>
  <c r="D320" i="3"/>
  <c r="I320" i="3" s="1"/>
  <c r="D321" i="3"/>
  <c r="I321" i="3" s="1"/>
  <c r="D322" i="3"/>
  <c r="I322" i="3" s="1"/>
  <c r="D323" i="3"/>
  <c r="I323" i="3" s="1"/>
  <c r="D324" i="3"/>
  <c r="I324" i="3" s="1"/>
  <c r="D325" i="3"/>
  <c r="I325" i="3" s="1"/>
  <c r="D326" i="3"/>
  <c r="I326" i="3" s="1"/>
  <c r="D327" i="3"/>
  <c r="I327" i="3" s="1"/>
  <c r="D328" i="3"/>
  <c r="I328" i="3" s="1"/>
  <c r="D329" i="3"/>
  <c r="I329" i="3" s="1"/>
  <c r="D330" i="3"/>
  <c r="I330" i="3" s="1"/>
  <c r="D331" i="3"/>
  <c r="I331" i="3" s="1"/>
  <c r="D332" i="3"/>
  <c r="I332" i="3" s="1"/>
  <c r="D333" i="3"/>
  <c r="I333" i="3" s="1"/>
  <c r="D334" i="3"/>
  <c r="I334" i="3" s="1"/>
  <c r="D335" i="3"/>
  <c r="I335" i="3" s="1"/>
  <c r="D336" i="3"/>
  <c r="I336" i="3" s="1"/>
  <c r="D337" i="3"/>
  <c r="I337" i="3" s="1"/>
  <c r="D338" i="3"/>
  <c r="I338" i="3" s="1"/>
  <c r="D339" i="3"/>
  <c r="I339" i="3" s="1"/>
  <c r="D340" i="3"/>
  <c r="I340" i="3" s="1"/>
  <c r="D341" i="3"/>
  <c r="I341" i="3" s="1"/>
  <c r="D342" i="3"/>
  <c r="I342" i="3" s="1"/>
  <c r="D343" i="3"/>
  <c r="I343" i="3" s="1"/>
  <c r="D344" i="3"/>
  <c r="I344" i="3" s="1"/>
  <c r="D345" i="3"/>
  <c r="I345" i="3" s="1"/>
  <c r="D346" i="3"/>
  <c r="I346" i="3" s="1"/>
  <c r="D348" i="3"/>
  <c r="I348" i="3" s="1"/>
  <c r="D353" i="3"/>
  <c r="I353" i="3" s="1"/>
  <c r="D361" i="3"/>
  <c r="I361" i="3" s="1"/>
  <c r="D363" i="3"/>
  <c r="I363" i="3" s="1"/>
  <c r="D422" i="3"/>
  <c r="I422" i="3" s="1"/>
  <c r="D384" i="3"/>
  <c r="I384" i="3" s="1"/>
  <c r="D385" i="3"/>
  <c r="I385" i="3" s="1"/>
  <c r="D386" i="3"/>
  <c r="I386" i="3" s="1"/>
  <c r="D387" i="3"/>
  <c r="I387" i="3" s="1"/>
  <c r="D389" i="3"/>
  <c r="I389" i="3" s="1"/>
  <c r="D390" i="3"/>
  <c r="I390" i="3" s="1"/>
  <c r="D391" i="3"/>
  <c r="I391" i="3" s="1"/>
  <c r="D393" i="3"/>
  <c r="I393" i="3" s="1"/>
  <c r="D394" i="3"/>
  <c r="I394" i="3" s="1"/>
  <c r="D397" i="3"/>
  <c r="I397" i="3" s="1"/>
  <c r="D398" i="3"/>
  <c r="I398" i="3" s="1"/>
  <c r="D399" i="3"/>
  <c r="I399" i="3" s="1"/>
  <c r="D400" i="3"/>
  <c r="I400" i="3" s="1"/>
  <c r="D401" i="3"/>
  <c r="I401" i="3" s="1"/>
  <c r="D402" i="3"/>
  <c r="I402" i="3" s="1"/>
  <c r="D405" i="3"/>
  <c r="I405" i="3" s="1"/>
  <c r="D403" i="3"/>
  <c r="I403" i="3" s="1"/>
  <c r="D407" i="3"/>
  <c r="I407" i="3" s="1"/>
  <c r="D409" i="3"/>
  <c r="I409" i="3" s="1"/>
  <c r="D410" i="3"/>
  <c r="I410" i="3" s="1"/>
  <c r="D413" i="3"/>
  <c r="I413" i="3" s="1"/>
  <c r="D445" i="3"/>
  <c r="I445" i="3" s="1"/>
  <c r="D404" i="3"/>
  <c r="I404" i="3" s="1"/>
  <c r="D350" i="3"/>
  <c r="I350" i="3" s="1"/>
  <c r="D408" i="3"/>
  <c r="I408" i="3" s="1"/>
  <c r="D452" i="3"/>
  <c r="I452" i="3" s="1"/>
  <c r="D453" i="3"/>
  <c r="I453" i="3" s="1"/>
  <c r="D454" i="3"/>
  <c r="I454" i="3" s="1"/>
  <c r="D392" i="3"/>
  <c r="I392" i="3" s="1"/>
  <c r="D466" i="3"/>
  <c r="I466" i="3" s="1"/>
  <c r="D477" i="3"/>
  <c r="I477" i="3" s="1"/>
  <c r="D467" i="3"/>
  <c r="I467" i="3" s="1"/>
  <c r="D468" i="3"/>
  <c r="I468" i="3" s="1"/>
  <c r="D469" i="3"/>
  <c r="I469" i="3" s="1"/>
  <c r="D470" i="3"/>
  <c r="I470" i="3" s="1"/>
  <c r="D471" i="3"/>
  <c r="I471" i="3" s="1"/>
  <c r="D472" i="3"/>
  <c r="I472" i="3" s="1"/>
  <c r="D473" i="3"/>
  <c r="I473" i="3" s="1"/>
  <c r="D474" i="3"/>
  <c r="I474" i="3" s="1"/>
  <c r="D475" i="3"/>
  <c r="I475" i="3" s="1"/>
  <c r="D476" i="3"/>
  <c r="I476" i="3" s="1"/>
  <c r="D478" i="3"/>
  <c r="I478" i="3" s="1"/>
  <c r="D479" i="3"/>
  <c r="I479" i="3" s="1"/>
  <c r="D480" i="3"/>
  <c r="I480" i="3" s="1"/>
  <c r="D481" i="3"/>
  <c r="I481" i="3" s="1"/>
  <c r="D482" i="3"/>
  <c r="I482" i="3" s="1"/>
  <c r="D483" i="3"/>
  <c r="I483" i="3" s="1"/>
  <c r="D484" i="3"/>
  <c r="I484" i="3" s="1"/>
  <c r="D485" i="3"/>
  <c r="I485" i="3" s="1"/>
  <c r="D486" i="3"/>
  <c r="I486" i="3" s="1"/>
  <c r="D487" i="3"/>
  <c r="I487" i="3" s="1"/>
  <c r="D488" i="3"/>
  <c r="I488" i="3" s="1"/>
  <c r="D489" i="3"/>
  <c r="I489" i="3" s="1"/>
  <c r="D490" i="3"/>
  <c r="I490" i="3" s="1"/>
  <c r="D491" i="3"/>
  <c r="I491" i="3" s="1"/>
  <c r="D492" i="3"/>
  <c r="I492" i="3" s="1"/>
  <c r="D493" i="3"/>
  <c r="I493" i="3" s="1"/>
  <c r="D494" i="3"/>
  <c r="I494" i="3" s="1"/>
  <c r="D495" i="3"/>
  <c r="I495" i="3" s="1"/>
  <c r="D496" i="3"/>
  <c r="I496" i="3" s="1"/>
  <c r="D497" i="3"/>
  <c r="I497" i="3" s="1"/>
  <c r="D498" i="3"/>
  <c r="I498" i="3" s="1"/>
  <c r="D499" i="3"/>
  <c r="I499" i="3" s="1"/>
  <c r="D500" i="3"/>
  <c r="I500" i="3" s="1"/>
  <c r="D501" i="3"/>
  <c r="I501" i="3" s="1"/>
  <c r="D502" i="3"/>
  <c r="I502" i="3" s="1"/>
  <c r="D503" i="3"/>
  <c r="I503" i="3" s="1"/>
  <c r="D504" i="3"/>
  <c r="I504" i="3" s="1"/>
  <c r="D505" i="3"/>
  <c r="I505" i="3" s="1"/>
  <c r="D506" i="3"/>
  <c r="I506" i="3" s="1"/>
  <c r="D507" i="3"/>
  <c r="I507" i="3" s="1"/>
  <c r="D508" i="3"/>
  <c r="I508" i="3" s="1"/>
  <c r="D509" i="3"/>
  <c r="I509" i="3" s="1"/>
  <c r="D510" i="3"/>
  <c r="I510" i="3" s="1"/>
  <c r="D511" i="3"/>
  <c r="I511" i="3" s="1"/>
  <c r="D512" i="3"/>
  <c r="I512" i="3" s="1"/>
  <c r="D513" i="3"/>
  <c r="I513" i="3" s="1"/>
  <c r="D514" i="3"/>
  <c r="I514" i="3" s="1"/>
  <c r="D515" i="3"/>
  <c r="I515" i="3" s="1"/>
  <c r="D516" i="3"/>
  <c r="I516" i="3" s="1"/>
  <c r="D517" i="3"/>
  <c r="I517" i="3" s="1"/>
  <c r="D518" i="3"/>
  <c r="I518" i="3" s="1"/>
  <c r="D519" i="3"/>
  <c r="I519" i="3" s="1"/>
  <c r="D520" i="3"/>
  <c r="I520" i="3" s="1"/>
  <c r="D521" i="3"/>
  <c r="I521" i="3" s="1"/>
  <c r="D522" i="3"/>
  <c r="I522" i="3" s="1"/>
  <c r="D523" i="3"/>
  <c r="I523" i="3" s="1"/>
  <c r="D524" i="3"/>
  <c r="I524" i="3" s="1"/>
  <c r="D525" i="3"/>
  <c r="I525" i="3" s="1"/>
  <c r="D526" i="3"/>
  <c r="I526" i="3" s="1"/>
  <c r="D527" i="3"/>
  <c r="I527" i="3" s="1"/>
  <c r="D528" i="3"/>
  <c r="I528" i="3" s="1"/>
  <c r="D529" i="3"/>
  <c r="I529" i="3" s="1"/>
  <c r="D530" i="3"/>
  <c r="I530" i="3" s="1"/>
  <c r="D531" i="3"/>
  <c r="I531" i="3" s="1"/>
  <c r="D532" i="3"/>
  <c r="I532" i="3" s="1"/>
  <c r="D533" i="3"/>
  <c r="I533" i="3" s="1"/>
  <c r="D534" i="3"/>
  <c r="I534" i="3" s="1"/>
  <c r="D535" i="3"/>
  <c r="I535" i="3" s="1"/>
  <c r="D536" i="3"/>
  <c r="I536" i="3" s="1"/>
  <c r="D537" i="3"/>
  <c r="I537" i="3" s="1"/>
  <c r="D538" i="3"/>
  <c r="I538" i="3" s="1"/>
  <c r="D539" i="3"/>
  <c r="I539" i="3" s="1"/>
  <c r="D540" i="3"/>
  <c r="I540" i="3" s="1"/>
  <c r="D541" i="3"/>
  <c r="I541" i="3" s="1"/>
  <c r="D542" i="3"/>
  <c r="I542" i="3" s="1"/>
  <c r="D543" i="3"/>
  <c r="I543" i="3" s="1"/>
  <c r="D544" i="3"/>
  <c r="I544" i="3" s="1"/>
  <c r="D545" i="3"/>
  <c r="I545" i="3" s="1"/>
  <c r="D546" i="3"/>
  <c r="I546" i="3" s="1"/>
  <c r="D547" i="3"/>
  <c r="I547" i="3" s="1"/>
  <c r="D548" i="3"/>
  <c r="I548" i="3" s="1"/>
  <c r="D549" i="3"/>
  <c r="I549" i="3" s="1"/>
  <c r="D550" i="3"/>
  <c r="I550" i="3" s="1"/>
  <c r="D551" i="3"/>
  <c r="I551" i="3" s="1"/>
  <c r="D552" i="3"/>
  <c r="I552" i="3" s="1"/>
  <c r="D553" i="3"/>
  <c r="I553" i="3" s="1"/>
  <c r="D554" i="3"/>
  <c r="I554" i="3" s="1"/>
  <c r="D555" i="3"/>
  <c r="I555" i="3" s="1"/>
  <c r="D556" i="3"/>
  <c r="I556" i="3" s="1"/>
  <c r="D557" i="3"/>
  <c r="I557" i="3" s="1"/>
  <c r="D558" i="3"/>
  <c r="I558" i="3" s="1"/>
  <c r="D559" i="3"/>
  <c r="I559" i="3" s="1"/>
  <c r="D560" i="3"/>
  <c r="I560" i="3" s="1"/>
  <c r="D347" i="3"/>
  <c r="I347" i="3" s="1"/>
  <c r="D377" i="3"/>
  <c r="I377" i="3" s="1"/>
  <c r="D447" i="3"/>
  <c r="I447" i="3" s="1"/>
  <c r="D448" i="3"/>
  <c r="I448" i="3" s="1"/>
  <c r="D449" i="3"/>
  <c r="I449" i="3" s="1"/>
  <c r="D450" i="3"/>
  <c r="I450" i="3" s="1"/>
  <c r="D451" i="3"/>
  <c r="I451" i="3" s="1"/>
  <c r="D456" i="3"/>
  <c r="I456" i="3" s="1"/>
  <c r="D462" i="3"/>
  <c r="I462" i="3" s="1"/>
  <c r="D465" i="3"/>
  <c r="I465" i="3" s="1"/>
  <c r="D125" i="3"/>
  <c r="I125" i="3" s="1"/>
  <c r="D126" i="3"/>
  <c r="I126" i="3" s="1"/>
  <c r="D127" i="3"/>
  <c r="I127" i="3" s="1"/>
  <c r="D128" i="3"/>
  <c r="I128" i="3" s="1"/>
  <c r="D129" i="3"/>
  <c r="I129" i="3" s="1"/>
  <c r="D130" i="3"/>
  <c r="I130" i="3" s="1"/>
  <c r="D140" i="3"/>
  <c r="I140" i="3" s="1"/>
  <c r="D141" i="3"/>
  <c r="I141" i="3" s="1"/>
  <c r="D142" i="3"/>
  <c r="I142" i="3" s="1"/>
  <c r="D143" i="3"/>
  <c r="I143" i="3" s="1"/>
  <c r="D144" i="3"/>
  <c r="I144" i="3" s="1"/>
  <c r="D145" i="3"/>
  <c r="I145" i="3" s="1"/>
  <c r="D146" i="3"/>
  <c r="I146" i="3" s="1"/>
  <c r="D150" i="3"/>
  <c r="I150" i="3" s="1"/>
  <c r="D199" i="3"/>
  <c r="I199" i="3" s="1"/>
  <c r="D200" i="3"/>
  <c r="I200" i="3" s="1"/>
  <c r="D263" i="3"/>
  <c r="I263" i="3" s="1"/>
  <c r="D264" i="3"/>
  <c r="I264" i="3" s="1"/>
  <c r="D349" i="3"/>
  <c r="I349" i="3" s="1"/>
  <c r="D355" i="3"/>
  <c r="I355" i="3" s="1"/>
  <c r="D356" i="3"/>
  <c r="I356" i="3" s="1"/>
  <c r="D357" i="3"/>
  <c r="I357" i="3" s="1"/>
  <c r="D358" i="3"/>
  <c r="I358" i="3" s="1"/>
  <c r="D359" i="3"/>
  <c r="I359" i="3" s="1"/>
  <c r="D360" i="3"/>
  <c r="I360" i="3" s="1"/>
  <c r="D362" i="3"/>
  <c r="I362" i="3" s="1"/>
  <c r="D364" i="3"/>
  <c r="I364" i="3" s="1"/>
  <c r="D365" i="3"/>
  <c r="I365" i="3" s="1"/>
  <c r="D366" i="3"/>
  <c r="I366" i="3" s="1"/>
  <c r="D367" i="3"/>
  <c r="I367" i="3" s="1"/>
  <c r="D368" i="3"/>
  <c r="I368" i="3" s="1"/>
  <c r="D369" i="3"/>
  <c r="I369" i="3" s="1"/>
  <c r="D370" i="3"/>
  <c r="I370" i="3" s="1"/>
  <c r="D371" i="3"/>
  <c r="I371" i="3" s="1"/>
  <c r="D372" i="3"/>
  <c r="I372" i="3" s="1"/>
  <c r="D373" i="3"/>
  <c r="I373" i="3" s="1"/>
  <c r="D375" i="3"/>
  <c r="I375" i="3" s="1"/>
  <c r="D376" i="3"/>
  <c r="I376" i="3" s="1"/>
  <c r="D378" i="3"/>
  <c r="I378" i="3" s="1"/>
  <c r="D379" i="3"/>
  <c r="I379" i="3" s="1"/>
  <c r="D380" i="3"/>
  <c r="I380" i="3" s="1"/>
  <c r="D381" i="3"/>
  <c r="I381" i="3" s="1"/>
  <c r="D382" i="3"/>
  <c r="I382" i="3" s="1"/>
  <c r="D383" i="3"/>
  <c r="I383" i="3" s="1"/>
  <c r="D388" i="3"/>
  <c r="I388" i="3" s="1"/>
  <c r="D395" i="3"/>
  <c r="I395" i="3" s="1"/>
  <c r="D396" i="3"/>
  <c r="I396" i="3" s="1"/>
  <c r="D406" i="3"/>
  <c r="I406" i="3" s="1"/>
  <c r="D411" i="3"/>
  <c r="I411" i="3" s="1"/>
  <c r="D412" i="3"/>
  <c r="I412" i="3" s="1"/>
  <c r="D414" i="3"/>
  <c r="I414" i="3" s="1"/>
  <c r="D415" i="3"/>
  <c r="I415" i="3" s="1"/>
  <c r="D417" i="3"/>
  <c r="I417" i="3" s="1"/>
  <c r="D418" i="3"/>
  <c r="I418" i="3" s="1"/>
  <c r="D419" i="3"/>
  <c r="I419" i="3" s="1"/>
  <c r="D420" i="3"/>
  <c r="I420" i="3" s="1"/>
  <c r="D421" i="3"/>
  <c r="I421" i="3" s="1"/>
  <c r="D423" i="3"/>
  <c r="I423" i="3" s="1"/>
  <c r="D424" i="3"/>
  <c r="I424" i="3" s="1"/>
  <c r="D425" i="3"/>
  <c r="I425" i="3" s="1"/>
  <c r="D427" i="3"/>
  <c r="I427" i="3" s="1"/>
  <c r="D428" i="3"/>
  <c r="I428" i="3" s="1"/>
  <c r="D429" i="3"/>
  <c r="I429" i="3" s="1"/>
  <c r="D430" i="3"/>
  <c r="I430" i="3" s="1"/>
  <c r="D431" i="3"/>
  <c r="I431" i="3" s="1"/>
  <c r="D432" i="3"/>
  <c r="I432" i="3" s="1"/>
  <c r="D433" i="3"/>
  <c r="I433" i="3" s="1"/>
  <c r="D434" i="3"/>
  <c r="I434" i="3" s="1"/>
  <c r="D436" i="3"/>
  <c r="I436" i="3" s="1"/>
  <c r="D437" i="3"/>
  <c r="I437" i="3" s="1"/>
  <c r="D438" i="3"/>
  <c r="I438" i="3" s="1"/>
  <c r="D439" i="3"/>
  <c r="I439" i="3" s="1"/>
  <c r="D440" i="3"/>
  <c r="I440" i="3" s="1"/>
  <c r="D442" i="3"/>
  <c r="I442" i="3" s="1"/>
  <c r="D443" i="3"/>
  <c r="I443" i="3" s="1"/>
  <c r="D444" i="3"/>
  <c r="I444" i="3" s="1"/>
  <c r="D374" i="3"/>
  <c r="I374" i="3" s="1"/>
  <c r="D446" i="3"/>
  <c r="I446" i="3" s="1"/>
  <c r="D455" i="3"/>
  <c r="I455" i="3" s="1"/>
  <c r="D457" i="3"/>
  <c r="I457" i="3" s="1"/>
  <c r="D458" i="3"/>
  <c r="I458" i="3" s="1"/>
  <c r="D459" i="3"/>
  <c r="I459" i="3" s="1"/>
  <c r="D460" i="3"/>
  <c r="I460" i="3" s="1"/>
  <c r="D461" i="3"/>
  <c r="I461" i="3" s="1"/>
  <c r="D463" i="3"/>
  <c r="I463" i="3" s="1"/>
  <c r="D464" i="3"/>
  <c r="I464" i="3" s="1"/>
  <c r="D124" i="3"/>
  <c r="I124" i="3" s="1"/>
  <c r="D2" i="11"/>
  <c r="F2" i="13"/>
  <c r="D3" i="11"/>
  <c r="F3" i="13"/>
  <c r="D3" i="13" s="1"/>
  <c r="D4" i="11"/>
  <c r="F4" i="13"/>
  <c r="D4" i="13" s="1"/>
  <c r="M2" i="13" s="1" a="1"/>
  <c r="D5" i="11"/>
  <c r="F5" i="13"/>
  <c r="D6" i="11"/>
  <c r="F6" i="13"/>
  <c r="D6" i="13"/>
  <c r="D7" i="11"/>
  <c r="F7" i="13"/>
  <c r="D7" i="13" s="1"/>
  <c r="D8" i="11"/>
  <c r="F8" i="13"/>
  <c r="D8" i="13"/>
  <c r="D9" i="11"/>
  <c r="F9" i="13"/>
  <c r="D9" i="13"/>
  <c r="D10" i="11"/>
  <c r="F10" i="13"/>
  <c r="D10" i="13"/>
  <c r="D11" i="11"/>
  <c r="F11" i="13"/>
  <c r="D11" i="13" s="1"/>
  <c r="D12" i="11"/>
  <c r="F12" i="13"/>
  <c r="D12" i="13" s="1"/>
  <c r="D13" i="11"/>
  <c r="F13" i="13"/>
  <c r="D13" i="13"/>
  <c r="D14" i="11"/>
  <c r="F14" i="13"/>
  <c r="D15" i="11"/>
  <c r="F15" i="13"/>
  <c r="D15" i="13"/>
  <c r="D16" i="11"/>
  <c r="F16" i="13"/>
  <c r="D16" i="13" s="1"/>
  <c r="D17" i="11"/>
  <c r="F17" i="13"/>
  <c r="D17" i="13"/>
  <c r="D18" i="11"/>
  <c r="F18" i="13"/>
  <c r="D18" i="13"/>
  <c r="D19" i="11"/>
  <c r="F19" i="13"/>
  <c r="D19" i="13"/>
  <c r="D20" i="11"/>
  <c r="F20" i="13"/>
  <c r="D20" i="13"/>
  <c r="D21" i="11"/>
  <c r="F21" i="13"/>
  <c r="D21" i="13"/>
  <c r="D22" i="11"/>
  <c r="F22" i="13"/>
  <c r="D23" i="11"/>
  <c r="F23" i="13"/>
  <c r="D23" i="13" s="1"/>
  <c r="D24" i="11"/>
  <c r="F24" i="13"/>
  <c r="D24" i="13" s="1"/>
  <c r="M22" i="13" s="1" a="1"/>
  <c r="N22" i="13" s="1"/>
  <c r="D25" i="11"/>
  <c r="F25" i="13"/>
  <c r="D26" i="11"/>
  <c r="F26" i="13"/>
  <c r="D26" i="13"/>
  <c r="I318" i="13" s="1" a="1"/>
  <c r="J318" i="13" s="1"/>
  <c r="D27" i="11"/>
  <c r="F27" i="13"/>
  <c r="D27" i="13"/>
  <c r="D28" i="11"/>
  <c r="F28" i="13"/>
  <c r="D28" i="13"/>
  <c r="D29" i="11"/>
  <c r="F29" i="13"/>
  <c r="D29" i="13"/>
  <c r="D30" i="11"/>
  <c r="F30" i="13"/>
  <c r="D30" i="13"/>
  <c r="D31" i="11"/>
  <c r="F31" i="13"/>
  <c r="D31" i="13"/>
  <c r="D145" i="11"/>
  <c r="F145" i="13"/>
  <c r="D145" i="13" s="1"/>
  <c r="D32" i="11"/>
  <c r="F32" i="13"/>
  <c r="D33" i="11"/>
  <c r="F33" i="13"/>
  <c r="D33" i="13"/>
  <c r="D34" i="11"/>
  <c r="F34" i="13"/>
  <c r="D34" i="13" s="1"/>
  <c r="D35" i="11"/>
  <c r="F35" i="13"/>
  <c r="D35" i="13"/>
  <c r="D36" i="11"/>
  <c r="F36" i="13"/>
  <c r="D36" i="13"/>
  <c r="D37" i="11"/>
  <c r="F37" i="13"/>
  <c r="D37" i="13"/>
  <c r="D38" i="11"/>
  <c r="F38" i="13"/>
  <c r="D38" i="13"/>
  <c r="I32" i="13" s="1" a="1"/>
  <c r="J32" i="13" s="1"/>
  <c r="D39" i="11"/>
  <c r="F39" i="13"/>
  <c r="D40" i="11"/>
  <c r="F40" i="13"/>
  <c r="D40" i="13"/>
  <c r="D41" i="11"/>
  <c r="F41" i="13"/>
  <c r="D41" i="13" s="1"/>
  <c r="D42" i="11"/>
  <c r="F42" i="13"/>
  <c r="D43" i="11"/>
  <c r="F43" i="13"/>
  <c r="D43" i="13" s="1"/>
  <c r="D44" i="11"/>
  <c r="F44" i="13"/>
  <c r="D44" i="13" s="1"/>
  <c r="D45" i="11"/>
  <c r="F45" i="13"/>
  <c r="D45" i="13"/>
  <c r="D46" i="11"/>
  <c r="F46" i="13"/>
  <c r="D47" i="11"/>
  <c r="F47" i="13"/>
  <c r="D47" i="13"/>
  <c r="D48" i="11"/>
  <c r="F48" i="13"/>
  <c r="D48" i="13" s="1"/>
  <c r="D49" i="11"/>
  <c r="F49" i="13"/>
  <c r="D49" i="13" s="1"/>
  <c r="D50" i="11"/>
  <c r="F50" i="13"/>
  <c r="D51" i="11"/>
  <c r="F51" i="13"/>
  <c r="D51" i="13"/>
  <c r="D52" i="11"/>
  <c r="F52" i="13"/>
  <c r="D52" i="13" s="1"/>
  <c r="D53" i="11"/>
  <c r="F53" i="13"/>
  <c r="D53" i="13" s="1"/>
  <c r="D54" i="11"/>
  <c r="F54" i="13"/>
  <c r="D54" i="13" s="1"/>
  <c r="D55" i="11"/>
  <c r="F55" i="13"/>
  <c r="D55" i="13" s="1"/>
  <c r="D56" i="11"/>
  <c r="F56" i="13"/>
  <c r="D56" i="13" s="1"/>
  <c r="D57" i="11"/>
  <c r="F57" i="13"/>
  <c r="D57" i="13" s="1"/>
  <c r="D58" i="11"/>
  <c r="F58" i="13"/>
  <c r="D58" i="13"/>
  <c r="D59" i="11"/>
  <c r="F59" i="13"/>
  <c r="D59" i="13"/>
  <c r="D60" i="11"/>
  <c r="F60" i="13"/>
  <c r="D60" i="13"/>
  <c r="D61" i="11"/>
  <c r="F61" i="13"/>
  <c r="D62" i="11"/>
  <c r="F62" i="13"/>
  <c r="D62" i="13" s="1"/>
  <c r="D63" i="11"/>
  <c r="F63" i="13"/>
  <c r="D63" i="13" s="1"/>
  <c r="D64" i="11"/>
  <c r="F64" i="13"/>
  <c r="D64" i="13" s="1"/>
  <c r="D65" i="11"/>
  <c r="F65" i="13"/>
  <c r="D65" i="13"/>
  <c r="D66" i="11"/>
  <c r="F66" i="13"/>
  <c r="D66" i="13" s="1"/>
  <c r="D67" i="11"/>
  <c r="F67" i="13"/>
  <c r="D68" i="11"/>
  <c r="F68" i="13"/>
  <c r="D68" i="13" s="1"/>
  <c r="D69" i="11"/>
  <c r="F69" i="13"/>
  <c r="D69" i="13"/>
  <c r="D70" i="11"/>
  <c r="F70" i="13"/>
  <c r="D70" i="13"/>
  <c r="D71" i="11"/>
  <c r="F71" i="13"/>
  <c r="D71" i="13"/>
  <c r="D72" i="11"/>
  <c r="F72" i="13"/>
  <c r="D72" i="13" s="1"/>
  <c r="D73" i="11"/>
  <c r="F73" i="13"/>
  <c r="D73" i="13"/>
  <c r="D74" i="11"/>
  <c r="F74" i="13"/>
  <c r="D75" i="11"/>
  <c r="F75" i="13"/>
  <c r="D75" i="13"/>
  <c r="D76" i="11"/>
  <c r="F76" i="13"/>
  <c r="D76" i="13" s="1"/>
  <c r="D77" i="11"/>
  <c r="F77" i="13"/>
  <c r="D77" i="13"/>
  <c r="I74" i="13" s="1" a="1"/>
  <c r="J74" i="13" s="1"/>
  <c r="D78" i="11"/>
  <c r="F78" i="13"/>
  <c r="D78" i="13"/>
  <c r="D79" i="11"/>
  <c r="F79" i="13"/>
  <c r="D79" i="13"/>
  <c r="D80" i="11"/>
  <c r="F80" i="13"/>
  <c r="D80" i="13" s="1"/>
  <c r="D81" i="11"/>
  <c r="F81" i="13"/>
  <c r="D81" i="13" s="1"/>
  <c r="D82" i="11"/>
  <c r="F82" i="13"/>
  <c r="D82" i="13" s="1"/>
  <c r="D83" i="11"/>
  <c r="F83" i="13"/>
  <c r="D83" i="13" s="1"/>
  <c r="D84" i="11"/>
  <c r="F84" i="13"/>
  <c r="D84" i="13" s="1"/>
  <c r="D85" i="11"/>
  <c r="F85" i="13"/>
  <c r="D85" i="13"/>
  <c r="D86" i="11"/>
  <c r="F86" i="13"/>
  <c r="D87" i="11"/>
  <c r="F87" i="13"/>
  <c r="D87" i="13" s="1"/>
  <c r="D88" i="11"/>
  <c r="F88" i="13"/>
  <c r="D88" i="13"/>
  <c r="D89" i="11"/>
  <c r="F89" i="13"/>
  <c r="D89" i="13" s="1"/>
  <c r="D90" i="11"/>
  <c r="F90" i="13"/>
  <c r="D90" i="13" s="1"/>
  <c r="D91" i="11"/>
  <c r="F91" i="13"/>
  <c r="D91" i="13"/>
  <c r="D92" i="11"/>
  <c r="F92" i="13"/>
  <c r="D92" i="13" s="1"/>
  <c r="D93" i="11"/>
  <c r="F93" i="13"/>
  <c r="D93" i="13"/>
  <c r="D94" i="11"/>
  <c r="F94" i="13"/>
  <c r="D95" i="11"/>
  <c r="F95" i="13"/>
  <c r="D95" i="13" s="1"/>
  <c r="D96" i="11"/>
  <c r="F96" i="13"/>
  <c r="D96" i="13" s="1"/>
  <c r="D97" i="11"/>
  <c r="F97" i="13"/>
  <c r="D97" i="13"/>
  <c r="D98" i="11"/>
  <c r="F98" i="13"/>
  <c r="D99" i="11"/>
  <c r="F99" i="13"/>
  <c r="D99" i="13" s="1"/>
  <c r="D100" i="11"/>
  <c r="F100" i="13"/>
  <c r="D100" i="13" s="1"/>
  <c r="D101" i="11"/>
  <c r="F101" i="13"/>
  <c r="D101" i="13"/>
  <c r="I98" i="13" s="1" a="1"/>
  <c r="J98" i="13" s="1"/>
  <c r="D102" i="11"/>
  <c r="F102" i="13"/>
  <c r="D102" i="13"/>
  <c r="D103" i="11"/>
  <c r="F103" i="13"/>
  <c r="D104" i="11"/>
  <c r="F104" i="13"/>
  <c r="D104" i="13"/>
  <c r="D105" i="11"/>
  <c r="F105" i="13"/>
  <c r="D105" i="13"/>
  <c r="D106" i="11"/>
  <c r="F106" i="13"/>
  <c r="D106" i="13"/>
  <c r="I103" i="13" s="1" a="1"/>
  <c r="J103" i="13" s="1"/>
  <c r="D107" i="11"/>
  <c r="F107" i="13"/>
  <c r="D108" i="11"/>
  <c r="F108" i="13"/>
  <c r="D108" i="13"/>
  <c r="D109" i="11"/>
  <c r="F109" i="13"/>
  <c r="D109" i="13"/>
  <c r="D110" i="11"/>
  <c r="F110" i="13"/>
  <c r="D110" i="13"/>
  <c r="D111" i="11"/>
  <c r="F111" i="13"/>
  <c r="D111" i="13"/>
  <c r="D112" i="11"/>
  <c r="F112" i="13"/>
  <c r="D112" i="13"/>
  <c r="D113" i="11"/>
  <c r="F113" i="13"/>
  <c r="D113" i="13"/>
  <c r="D114" i="11"/>
  <c r="F114" i="13"/>
  <c r="D115" i="11"/>
  <c r="F115" i="13"/>
  <c r="D115" i="13"/>
  <c r="D116" i="11"/>
  <c r="F116" i="13"/>
  <c r="D116" i="13" s="1"/>
  <c r="D117" i="11"/>
  <c r="F117" i="13"/>
  <c r="D117" i="13"/>
  <c r="D118" i="11"/>
  <c r="F118" i="13"/>
  <c r="D118" i="13"/>
  <c r="D119" i="11"/>
  <c r="F119" i="13"/>
  <c r="D119" i="13"/>
  <c r="D120" i="11"/>
  <c r="F120" i="13"/>
  <c r="D120" i="13" s="1"/>
  <c r="D121" i="11"/>
  <c r="F121" i="13"/>
  <c r="D121" i="13" s="1"/>
  <c r="D122" i="11"/>
  <c r="F122" i="13"/>
  <c r="D123" i="11"/>
  <c r="F123" i="13"/>
  <c r="D123" i="13" s="1"/>
  <c r="D124" i="11"/>
  <c r="F124" i="13"/>
  <c r="D124" i="13"/>
  <c r="D125" i="11"/>
  <c r="F125" i="13"/>
  <c r="D126" i="11"/>
  <c r="F126" i="13"/>
  <c r="D126" i="13"/>
  <c r="D127" i="11"/>
  <c r="F127" i="13"/>
  <c r="D127" i="13"/>
  <c r="D128" i="11"/>
  <c r="F128" i="13"/>
  <c r="D128" i="13"/>
  <c r="D129" i="11"/>
  <c r="F129" i="13"/>
  <c r="D129" i="13" s="1"/>
  <c r="D130" i="11"/>
  <c r="F130" i="13"/>
  <c r="D130" i="13"/>
  <c r="I125" i="13" s="1" a="1"/>
  <c r="J125" i="13" s="1"/>
  <c r="D131" i="11"/>
  <c r="F131" i="13"/>
  <c r="D131" i="13"/>
  <c r="D132" i="11"/>
  <c r="F132" i="13"/>
  <c r="D132" i="13" s="1"/>
  <c r="D133" i="11"/>
  <c r="F133" i="13"/>
  <c r="D133" i="13"/>
  <c r="D134" i="11"/>
  <c r="F134" i="13"/>
  <c r="D134" i="13" s="1"/>
  <c r="D135" i="11"/>
  <c r="F135" i="13"/>
  <c r="D135" i="13"/>
  <c r="D136" i="11"/>
  <c r="F136" i="13"/>
  <c r="D136" i="13"/>
  <c r="D137" i="11"/>
  <c r="F137" i="13"/>
  <c r="D137" i="13"/>
  <c r="D138" i="11"/>
  <c r="F138" i="13"/>
  <c r="D138" i="13"/>
  <c r="D139" i="11"/>
  <c r="F139" i="13"/>
  <c r="D139" i="13"/>
  <c r="D140" i="11"/>
  <c r="F140" i="13"/>
  <c r="D140" i="13"/>
  <c r="D141" i="11"/>
  <c r="F141" i="13"/>
  <c r="D141" i="13" s="1"/>
  <c r="D142" i="11"/>
  <c r="F142" i="13"/>
  <c r="D142" i="13"/>
  <c r="D143" i="11"/>
  <c r="F143" i="13"/>
  <c r="D143" i="13" s="1"/>
  <c r="D144" i="11"/>
  <c r="F144" i="13"/>
  <c r="D144" i="13"/>
  <c r="D146" i="11"/>
  <c r="F146" i="13"/>
  <c r="D146" i="13"/>
  <c r="D147" i="11"/>
  <c r="F147" i="13"/>
  <c r="D147" i="13"/>
  <c r="D148" i="11"/>
  <c r="F148" i="13"/>
  <c r="D148" i="13" s="1"/>
  <c r="D149" i="11"/>
  <c r="F149" i="13"/>
  <c r="D149" i="13" s="1"/>
  <c r="D150" i="11"/>
  <c r="F150" i="13" s="1"/>
  <c r="D150" i="13" s="1"/>
  <c r="D151" i="11"/>
  <c r="F151" i="13"/>
  <c r="D151" i="13"/>
  <c r="D152" i="11"/>
  <c r="F152" i="13"/>
  <c r="D152" i="13"/>
  <c r="D153" i="11"/>
  <c r="F153" i="13"/>
  <c r="D153" i="13"/>
  <c r="D154" i="11"/>
  <c r="F154" i="13"/>
  <c r="D154" i="13"/>
  <c r="D155" i="11"/>
  <c r="F155" i="13"/>
  <c r="D155" i="13"/>
  <c r="D156" i="11"/>
  <c r="F156" i="13"/>
  <c r="D156" i="13" s="1"/>
  <c r="D157" i="11"/>
  <c r="F157" i="13"/>
  <c r="D157" i="13"/>
  <c r="D158" i="11"/>
  <c r="F158" i="13"/>
  <c r="D158" i="13"/>
  <c r="D159" i="11"/>
  <c r="F159" i="13"/>
  <c r="D159" i="13" s="1"/>
  <c r="D160" i="11"/>
  <c r="F160" i="13"/>
  <c r="D160" i="13"/>
  <c r="D161" i="11"/>
  <c r="F161" i="13"/>
  <c r="D161" i="13"/>
  <c r="D162" i="11"/>
  <c r="F162" i="13"/>
  <c r="D162" i="13" s="1"/>
  <c r="D163" i="11"/>
  <c r="F163" i="13"/>
  <c r="D163" i="13"/>
  <c r="D164" i="11"/>
  <c r="F164" i="13"/>
  <c r="D164" i="13"/>
  <c r="D165" i="11"/>
  <c r="F165" i="13"/>
  <c r="D165" i="13"/>
  <c r="D166" i="11"/>
  <c r="F166" i="13"/>
  <c r="D166" i="13" s="1"/>
  <c r="D167" i="11"/>
  <c r="F167" i="13"/>
  <c r="D167" i="13"/>
  <c r="D168" i="11"/>
  <c r="F168" i="13"/>
  <c r="D168" i="13"/>
  <c r="D169" i="11"/>
  <c r="F169" i="13"/>
  <c r="D169" i="13"/>
  <c r="D170" i="11"/>
  <c r="F170" i="13"/>
  <c r="D170" i="13"/>
  <c r="D171" i="11"/>
  <c r="F171" i="13"/>
  <c r="D171" i="13"/>
  <c r="D172" i="11"/>
  <c r="F172" i="13"/>
  <c r="D172" i="13"/>
  <c r="D173" i="11"/>
  <c r="F173" i="13"/>
  <c r="D173" i="13"/>
  <c r="D174" i="11"/>
  <c r="F174" i="13"/>
  <c r="D174" i="13"/>
  <c r="D175" i="11"/>
  <c r="F175" i="13"/>
  <c r="D175" i="13"/>
  <c r="D176" i="11"/>
  <c r="F176" i="13"/>
  <c r="D176" i="13"/>
  <c r="D177" i="11"/>
  <c r="F177" i="13"/>
  <c r="D177" i="13" s="1"/>
  <c r="D178" i="11"/>
  <c r="F178" i="13"/>
  <c r="D178" i="13"/>
  <c r="D179" i="11"/>
  <c r="F179" i="13"/>
  <c r="D179" i="13"/>
  <c r="D180" i="11"/>
  <c r="F180" i="13"/>
  <c r="D180" i="13"/>
  <c r="D181" i="11"/>
  <c r="F181" i="13"/>
  <c r="D181" i="13"/>
  <c r="D182" i="11"/>
  <c r="F182" i="13"/>
  <c r="D182" i="13"/>
  <c r="D183" i="11"/>
  <c r="F183" i="13"/>
  <c r="D183" i="13" s="1"/>
  <c r="D184" i="11"/>
  <c r="F184" i="13"/>
  <c r="D184" i="13"/>
  <c r="D185" i="11"/>
  <c r="F185" i="13"/>
  <c r="D185" i="13"/>
  <c r="D186" i="11"/>
  <c r="F186" i="13"/>
  <c r="D186" i="13"/>
  <c r="D187" i="11"/>
  <c r="F187" i="13"/>
  <c r="D187" i="13"/>
  <c r="D188" i="11"/>
  <c r="F188" i="13"/>
  <c r="D188" i="13"/>
  <c r="D189" i="11"/>
  <c r="F189" i="13"/>
  <c r="D189" i="13"/>
  <c r="D190" i="11"/>
  <c r="F190" i="13"/>
  <c r="D190" i="13" s="1"/>
  <c r="D191" i="11"/>
  <c r="F191" i="13"/>
  <c r="D191" i="13" s="1"/>
  <c r="D192" i="11"/>
  <c r="F192" i="13" s="1"/>
  <c r="D192" i="13" s="1"/>
  <c r="D193" i="11"/>
  <c r="F193" i="13"/>
  <c r="D193" i="13" s="1"/>
  <c r="D194" i="11"/>
  <c r="F194" i="13"/>
  <c r="D194" i="13"/>
  <c r="D195" i="11"/>
  <c r="F195" i="13"/>
  <c r="D195" i="13"/>
  <c r="D196" i="11"/>
  <c r="F196" i="13"/>
  <c r="D196" i="13"/>
  <c r="D197" i="11"/>
  <c r="F197" i="13"/>
  <c r="D197" i="13"/>
  <c r="D198" i="11"/>
  <c r="F198" i="13"/>
  <c r="D198" i="13"/>
  <c r="D199" i="11"/>
  <c r="F199" i="13"/>
  <c r="D199" i="13"/>
  <c r="D200" i="11"/>
  <c r="F200" i="13"/>
  <c r="D200" i="13" s="1"/>
  <c r="D201" i="11"/>
  <c r="F201" i="13"/>
  <c r="D201" i="13"/>
  <c r="D202" i="11"/>
  <c r="F202" i="13"/>
  <c r="D202" i="13"/>
  <c r="D203" i="11"/>
  <c r="F203" i="13"/>
  <c r="D203" i="13"/>
  <c r="D204" i="11"/>
  <c r="F204" i="13"/>
  <c r="D204" i="13"/>
  <c r="D205" i="11"/>
  <c r="F205" i="13"/>
  <c r="D205" i="13"/>
  <c r="D206" i="11"/>
  <c r="F206" i="13"/>
  <c r="D206" i="13"/>
  <c r="D207" i="11"/>
  <c r="F207" i="13"/>
  <c r="D207" i="13"/>
  <c r="D208" i="11"/>
  <c r="F208" i="13"/>
  <c r="D208" i="13" s="1"/>
  <c r="D209" i="11"/>
  <c r="F209" i="13"/>
  <c r="D209" i="13"/>
  <c r="D210" i="11"/>
  <c r="F210" i="13"/>
  <c r="D210" i="13" s="1"/>
  <c r="D211" i="11"/>
  <c r="F211" i="13"/>
  <c r="D211" i="13" s="1"/>
  <c r="D212" i="11"/>
  <c r="F212" i="13"/>
  <c r="D212" i="13"/>
  <c r="D213" i="11"/>
  <c r="F213" i="13"/>
  <c r="D213" i="13" s="1"/>
  <c r="D214" i="11"/>
  <c r="F214" i="13"/>
  <c r="D214" i="13" s="1"/>
  <c r="D215" i="11"/>
  <c r="F215" i="13"/>
  <c r="D215" i="13"/>
  <c r="D216" i="11"/>
  <c r="F216" i="13"/>
  <c r="D216" i="13"/>
  <c r="D217" i="11"/>
  <c r="F217" i="13"/>
  <c r="D217" i="13"/>
  <c r="D218" i="11"/>
  <c r="F218" i="13"/>
  <c r="D218" i="13"/>
  <c r="D219" i="11"/>
  <c r="F219" i="13"/>
  <c r="D219" i="13"/>
  <c r="D220" i="11"/>
  <c r="F220" i="13"/>
  <c r="D220" i="13" s="1"/>
  <c r="D221" i="11"/>
  <c r="F221" i="13"/>
  <c r="D221" i="13"/>
  <c r="D222" i="11"/>
  <c r="F222" i="13" s="1"/>
  <c r="D222" i="13" s="1"/>
  <c r="D223" i="11"/>
  <c r="F223" i="13"/>
  <c r="D223" i="13"/>
  <c r="D224" i="11"/>
  <c r="F224" i="13"/>
  <c r="D224" i="13"/>
  <c r="D225" i="11"/>
  <c r="F225" i="13"/>
  <c r="D225" i="13"/>
  <c r="D226" i="11"/>
  <c r="F226" i="13"/>
  <c r="D226" i="13" s="1"/>
  <c r="D227" i="11"/>
  <c r="F227" i="13"/>
  <c r="D227" i="13" s="1"/>
  <c r="D228" i="11"/>
  <c r="F228" i="13"/>
  <c r="D228" i="13"/>
  <c r="D229" i="11"/>
  <c r="F229" i="13"/>
  <c r="D229" i="13"/>
  <c r="D230" i="11"/>
  <c r="F230" i="13"/>
  <c r="D230" i="13"/>
  <c r="D231" i="11"/>
  <c r="F231" i="13"/>
  <c r="D231" i="13" s="1"/>
  <c r="D232" i="11"/>
  <c r="F232" i="13"/>
  <c r="D232" i="13"/>
  <c r="D233" i="11"/>
  <c r="F233" i="13"/>
  <c r="D233" i="13"/>
  <c r="D234" i="11"/>
  <c r="F234" i="13"/>
  <c r="D234" i="13"/>
  <c r="D235" i="11"/>
  <c r="F235" i="13"/>
  <c r="D235" i="13" s="1"/>
  <c r="D236" i="11"/>
  <c r="F236" i="13"/>
  <c r="D236" i="13"/>
  <c r="D237" i="11"/>
  <c r="F237" i="13"/>
  <c r="D237" i="13"/>
  <c r="D238" i="11"/>
  <c r="F238" i="13"/>
  <c r="D238" i="13"/>
  <c r="D239" i="11"/>
  <c r="F239" i="13"/>
  <c r="D239" i="13"/>
  <c r="D240" i="11"/>
  <c r="F240" i="13"/>
  <c r="D240" i="13"/>
  <c r="D241" i="11"/>
  <c r="F241" i="13"/>
  <c r="D241" i="13" s="1"/>
  <c r="D242" i="11"/>
  <c r="F242" i="13"/>
  <c r="D242" i="13" s="1"/>
  <c r="D243" i="11"/>
  <c r="F243" i="13"/>
  <c r="D243" i="13"/>
  <c r="D244" i="11"/>
  <c r="F244" i="13"/>
  <c r="D244" i="13"/>
  <c r="D245" i="11"/>
  <c r="F245" i="13"/>
  <c r="D245" i="13"/>
  <c r="D246" i="11"/>
  <c r="F246" i="13"/>
  <c r="D246" i="13"/>
  <c r="D247" i="11"/>
  <c r="F247" i="13"/>
  <c r="D247" i="13" s="1"/>
  <c r="D248" i="11"/>
  <c r="F248" i="13"/>
  <c r="D248" i="13"/>
  <c r="D249" i="11"/>
  <c r="F249" i="13"/>
  <c r="D249" i="13"/>
  <c r="D250" i="11"/>
  <c r="F250" i="13"/>
  <c r="D250" i="13"/>
  <c r="D251" i="11"/>
  <c r="F251" i="13"/>
  <c r="D251" i="13" s="1"/>
  <c r="D252" i="11"/>
  <c r="F252" i="13"/>
  <c r="D252" i="13"/>
  <c r="D253" i="11"/>
  <c r="F253" i="13"/>
  <c r="D253" i="13"/>
  <c r="D254" i="11"/>
  <c r="F254" i="13"/>
  <c r="D254" i="13"/>
  <c r="D255" i="11"/>
  <c r="F255" i="13"/>
  <c r="D255" i="13" s="1"/>
  <c r="D256" i="11"/>
  <c r="F256" i="13"/>
  <c r="D256" i="13" s="1"/>
  <c r="D257" i="11"/>
  <c r="F257" i="13"/>
  <c r="D257" i="13"/>
  <c r="M258" i="13" s="1" a="1"/>
  <c r="D258" i="11"/>
  <c r="F258" i="13" s="1"/>
  <c r="D258" i="13" s="1"/>
  <c r="D259" i="11"/>
  <c r="F259" i="13"/>
  <c r="D259" i="13" s="1"/>
  <c r="D260" i="11"/>
  <c r="F260" i="13"/>
  <c r="D260" i="13" s="1"/>
  <c r="D261" i="11"/>
  <c r="F261" i="13"/>
  <c r="D261" i="13"/>
  <c r="D262" i="11"/>
  <c r="F262" i="13"/>
  <c r="D262" i="13" s="1"/>
  <c r="D263" i="11"/>
  <c r="F263" i="13"/>
  <c r="D263" i="13"/>
  <c r="D264" i="11"/>
  <c r="F264" i="13"/>
  <c r="D264" i="13"/>
  <c r="D265" i="11"/>
  <c r="F265" i="13"/>
  <c r="D265" i="13"/>
  <c r="D266" i="11"/>
  <c r="F266" i="13"/>
  <c r="D266" i="13"/>
  <c r="D267" i="11"/>
  <c r="F267" i="13"/>
  <c r="D267" i="13" s="1"/>
  <c r="D268" i="11"/>
  <c r="F268" i="13"/>
  <c r="D268" i="13" s="1"/>
  <c r="D269" i="11"/>
  <c r="F269" i="13"/>
  <c r="D269" i="13"/>
  <c r="D270" i="11"/>
  <c r="F270" i="13"/>
  <c r="D270" i="13"/>
  <c r="D271" i="11"/>
  <c r="F271" i="13"/>
  <c r="D271" i="13"/>
  <c r="D272" i="11"/>
  <c r="F272" i="13"/>
  <c r="D272" i="13"/>
  <c r="D273" i="11"/>
  <c r="F273" i="13"/>
  <c r="D273" i="13" s="1"/>
  <c r="D274" i="11"/>
  <c r="F274" i="13"/>
  <c r="D274" i="13" s="1"/>
  <c r="D275" i="11"/>
  <c r="F275" i="13"/>
  <c r="D275" i="13"/>
  <c r="D276" i="11"/>
  <c r="F276" i="13"/>
  <c r="D276" i="13" s="1"/>
  <c r="D277" i="11"/>
  <c r="F277" i="13"/>
  <c r="D277" i="13"/>
  <c r="D278" i="11"/>
  <c r="F278" i="13"/>
  <c r="D278" i="13"/>
  <c r="AA464" i="13" s="1" a="1"/>
  <c r="D279" i="11"/>
  <c r="F279" i="13"/>
  <c r="D279" i="13"/>
  <c r="D280" i="11"/>
  <c r="F280" i="13"/>
  <c r="D280" i="13"/>
  <c r="D281" i="11"/>
  <c r="F281" i="13"/>
  <c r="D281" i="13"/>
  <c r="D282" i="11"/>
  <c r="F282" i="13"/>
  <c r="D282" i="13"/>
  <c r="D283" i="11"/>
  <c r="F283" i="13"/>
  <c r="D283" i="13"/>
  <c r="D284" i="11"/>
  <c r="F284" i="13"/>
  <c r="D284" i="13"/>
  <c r="D285" i="11"/>
  <c r="F285" i="13"/>
  <c r="D285" i="13"/>
  <c r="D286" i="11"/>
  <c r="F286" i="13"/>
  <c r="D286" i="13" s="1"/>
  <c r="D287" i="11"/>
  <c r="F287" i="13"/>
  <c r="D287" i="13"/>
  <c r="D288" i="11"/>
  <c r="F288" i="13"/>
  <c r="D288" i="13" s="1"/>
  <c r="D289" i="11"/>
  <c r="F289" i="13"/>
  <c r="D289" i="13"/>
  <c r="D290" i="11"/>
  <c r="F290" i="13"/>
  <c r="D290" i="13" s="1"/>
  <c r="D291" i="11"/>
  <c r="F291" i="13"/>
  <c r="D291" i="13"/>
  <c r="D292" i="11"/>
  <c r="F292" i="13"/>
  <c r="D292" i="13" s="1"/>
  <c r="D293" i="11"/>
  <c r="F293" i="13"/>
  <c r="D293" i="13"/>
  <c r="D294" i="11"/>
  <c r="F294" i="13" s="1"/>
  <c r="D294" i="13" s="1"/>
  <c r="D295" i="11"/>
  <c r="F295" i="13"/>
  <c r="D295" i="13"/>
  <c r="D296" i="11"/>
  <c r="F296" i="13" s="1"/>
  <c r="D296" i="13" s="1"/>
  <c r="D297" i="11"/>
  <c r="F297" i="13"/>
  <c r="D297" i="13"/>
  <c r="D298" i="11"/>
  <c r="F298" i="13"/>
  <c r="D298" i="13" s="1"/>
  <c r="D299" i="11"/>
  <c r="F299" i="13"/>
  <c r="D299" i="13" s="1"/>
  <c r="D300" i="11"/>
  <c r="F300" i="13"/>
  <c r="D300" i="13"/>
  <c r="D301" i="11"/>
  <c r="F301" i="13"/>
  <c r="D301" i="13"/>
  <c r="D302" i="11"/>
  <c r="F302" i="13"/>
  <c r="D302" i="13" s="1"/>
  <c r="D303" i="11"/>
  <c r="F303" i="13"/>
  <c r="D303" i="13"/>
  <c r="D304" i="11"/>
  <c r="F304" i="13"/>
  <c r="D304" i="13"/>
  <c r="I465" i="13" s="1" a="1"/>
  <c r="J465" i="13" s="1"/>
  <c r="D305" i="11"/>
  <c r="F305" i="13"/>
  <c r="D305" i="13" s="1"/>
  <c r="D306" i="11"/>
  <c r="F306" i="13"/>
  <c r="D306" i="13" s="1"/>
  <c r="D307" i="11"/>
  <c r="F307" i="13"/>
  <c r="D307" i="13"/>
  <c r="D308" i="11"/>
  <c r="F308" i="13"/>
  <c r="D308" i="13"/>
  <c r="D309" i="11"/>
  <c r="F309" i="13"/>
  <c r="D309" i="13"/>
  <c r="D310" i="11"/>
  <c r="F310" i="13"/>
  <c r="D310" i="13"/>
  <c r="I428" i="13" s="1" a="1"/>
  <c r="J428" i="13" s="1"/>
  <c r="D311" i="11"/>
  <c r="F311" i="13"/>
  <c r="D311" i="13"/>
  <c r="D312" i="11"/>
  <c r="F312" i="13"/>
  <c r="D312" i="13" s="1"/>
  <c r="D313" i="11"/>
  <c r="F313" i="13"/>
  <c r="D313" i="13" s="1"/>
  <c r="D314" i="11"/>
  <c r="F314" i="13"/>
  <c r="D314" i="13"/>
  <c r="AA462" i="13" s="1" a="1"/>
  <c r="D315" i="11"/>
  <c r="F315" i="13"/>
  <c r="D315" i="13" s="1"/>
  <c r="D316" i="11"/>
  <c r="F316" i="13"/>
  <c r="D316" i="13" s="1"/>
  <c r="D317" i="11"/>
  <c r="F317" i="13"/>
  <c r="D317" i="13"/>
  <c r="D318" i="11"/>
  <c r="F318" i="13"/>
  <c r="D318" i="13"/>
  <c r="D319" i="11"/>
  <c r="F319" i="13"/>
  <c r="D319" i="13" s="1"/>
  <c r="D320" i="11"/>
  <c r="F320" i="13"/>
  <c r="D320" i="13"/>
  <c r="D321" i="11"/>
  <c r="F321" i="13"/>
  <c r="D321" i="13" s="1"/>
  <c r="D322" i="11"/>
  <c r="F322" i="13"/>
  <c r="D322" i="13" s="1"/>
  <c r="D323" i="11"/>
  <c r="F323" i="13" s="1"/>
  <c r="D323" i="13" s="1"/>
  <c r="D324" i="11"/>
  <c r="F324" i="13"/>
  <c r="D324" i="13"/>
  <c r="D325" i="11"/>
  <c r="F325" i="13"/>
  <c r="D325" i="13"/>
  <c r="D326" i="11"/>
  <c r="F326" i="13"/>
  <c r="D326" i="13"/>
  <c r="D327" i="11"/>
  <c r="F327" i="13"/>
  <c r="D327" i="13" s="1"/>
  <c r="D328" i="11"/>
  <c r="F328" i="13"/>
  <c r="D328" i="13" s="1"/>
  <c r="AA467" i="13" s="1" a="1"/>
  <c r="D329" i="11"/>
  <c r="F329" i="13"/>
  <c r="D329" i="13"/>
  <c r="D330" i="11"/>
  <c r="F330" i="13"/>
  <c r="D330" i="13"/>
  <c r="D331" i="11"/>
  <c r="F331" i="13"/>
  <c r="D331" i="13" s="1"/>
  <c r="D332" i="11"/>
  <c r="F332" i="13"/>
  <c r="D332" i="13"/>
  <c r="D333" i="11"/>
  <c r="F333" i="13"/>
  <c r="D333" i="13"/>
  <c r="D334" i="11"/>
  <c r="F334" i="13"/>
  <c r="D334" i="13"/>
  <c r="D335" i="11"/>
  <c r="F335" i="13"/>
  <c r="D335" i="13"/>
  <c r="D336" i="11"/>
  <c r="F336" i="13"/>
  <c r="D336" i="13"/>
  <c r="D337" i="11"/>
  <c r="F337" i="13"/>
  <c r="D337" i="13"/>
  <c r="D338" i="11"/>
  <c r="F338" i="13"/>
  <c r="D338" i="13"/>
  <c r="D339" i="11"/>
  <c r="F339" i="13"/>
  <c r="D339" i="13"/>
  <c r="D340" i="11"/>
  <c r="F340" i="13"/>
  <c r="D340" i="13"/>
  <c r="D341" i="11"/>
  <c r="F341" i="13"/>
  <c r="D341" i="13"/>
  <c r="M486" i="13" s="1" a="1"/>
  <c r="D342" i="11"/>
  <c r="F342" i="13"/>
  <c r="D342" i="13"/>
  <c r="D343" i="11"/>
  <c r="F343" i="13"/>
  <c r="D343" i="13" s="1"/>
  <c r="D344" i="11"/>
  <c r="F344" i="13"/>
  <c r="D344" i="13" s="1"/>
  <c r="D345" i="11"/>
  <c r="F345" i="13"/>
  <c r="D345" i="13" s="1"/>
  <c r="D346" i="11"/>
  <c r="F346" i="13"/>
  <c r="D346" i="13" s="1"/>
  <c r="D347" i="11"/>
  <c r="F347" i="13"/>
  <c r="D347" i="13"/>
  <c r="D348" i="11"/>
  <c r="F348" i="13"/>
  <c r="D348" i="13" s="1"/>
  <c r="AA463" i="13" s="1" a="1"/>
  <c r="D349" i="11"/>
  <c r="F349" i="13"/>
  <c r="D349" i="13"/>
  <c r="D350" i="11"/>
  <c r="F350" i="13"/>
  <c r="D350" i="13" s="1"/>
  <c r="D351" i="11"/>
  <c r="F351" i="13"/>
  <c r="D351" i="13" s="1"/>
  <c r="D352" i="11"/>
  <c r="F352" i="13"/>
  <c r="D352" i="13" s="1"/>
  <c r="D353" i="11"/>
  <c r="F353" i="13"/>
  <c r="D353" i="13"/>
  <c r="D354" i="11"/>
  <c r="F354" i="13"/>
  <c r="D354" i="13" s="1"/>
  <c r="D355" i="11"/>
  <c r="F355" i="13"/>
  <c r="D355" i="13"/>
  <c r="D356" i="11"/>
  <c r="F356" i="13"/>
  <c r="D356" i="13"/>
  <c r="I420" i="13" s="1" a="1"/>
  <c r="J420" i="13" s="1"/>
  <c r="D357" i="11"/>
  <c r="F357" i="13"/>
  <c r="D357" i="13" s="1"/>
  <c r="D358" i="11"/>
  <c r="F358" i="13"/>
  <c r="D358" i="13"/>
  <c r="D359" i="11"/>
  <c r="F359" i="13"/>
  <c r="D359" i="13"/>
  <c r="D360" i="11"/>
  <c r="F360" i="13"/>
  <c r="D360" i="13"/>
  <c r="D361" i="11"/>
  <c r="F361" i="13"/>
  <c r="D361" i="13"/>
  <c r="D362" i="11"/>
  <c r="F362" i="13"/>
  <c r="D362" i="13" s="1"/>
  <c r="D363" i="11"/>
  <c r="F363" i="13"/>
  <c r="D363" i="13"/>
  <c r="D364" i="11"/>
  <c r="F364" i="13"/>
  <c r="D364" i="13"/>
  <c r="D365" i="11"/>
  <c r="F365" i="13"/>
  <c r="D365" i="13"/>
  <c r="D366" i="11"/>
  <c r="F366" i="13" s="1"/>
  <c r="D366" i="13" s="1"/>
  <c r="D367" i="11"/>
  <c r="F367" i="13"/>
  <c r="D367" i="13"/>
  <c r="D369" i="11"/>
  <c r="D370" i="11"/>
  <c r="D372" i="11"/>
  <c r="F372" i="13" s="1"/>
  <c r="D372" i="13" s="1"/>
  <c r="D373" i="11"/>
  <c r="D374" i="11"/>
  <c r="F374" i="13" s="1"/>
  <c r="D374" i="13" s="1"/>
  <c r="D375"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368" i="11"/>
  <c r="D417" i="11"/>
  <c r="D418" i="11"/>
  <c r="D419" i="11"/>
  <c r="D420" i="11"/>
  <c r="D421" i="11"/>
  <c r="D422" i="11"/>
  <c r="D423" i="11"/>
  <c r="D424" i="11"/>
  <c r="D425" i="11"/>
  <c r="D426" i="11"/>
  <c r="D427" i="11"/>
  <c r="D428" i="11"/>
  <c r="D430" i="11"/>
  <c r="D431" i="11"/>
  <c r="D432" i="11"/>
  <c r="D433" i="11"/>
  <c r="D434" i="11"/>
  <c r="D435" i="11"/>
  <c r="D436" i="11"/>
  <c r="D437" i="11"/>
  <c r="D378" i="11"/>
  <c r="D379" i="11"/>
  <c r="D380" i="11"/>
  <c r="D475" i="11"/>
  <c r="D461" i="11"/>
  <c r="D438" i="11"/>
  <c r="D439" i="11"/>
  <c r="D440" i="11"/>
  <c r="D441" i="11"/>
  <c r="D442" i="11"/>
  <c r="D443" i="11"/>
  <c r="D444" i="11"/>
  <c r="D445" i="11"/>
  <c r="D446" i="11"/>
  <c r="D448" i="11"/>
  <c r="D449" i="11"/>
  <c r="D450" i="11"/>
  <c r="D451" i="11"/>
  <c r="D452" i="11"/>
  <c r="D453" i="11"/>
  <c r="D454" i="11"/>
  <c r="D455" i="11"/>
  <c r="D456" i="11"/>
  <c r="D457" i="11"/>
  <c r="D458" i="11"/>
  <c r="D460" i="11"/>
  <c r="D462" i="11"/>
  <c r="D463" i="11"/>
  <c r="D464" i="11"/>
  <c r="D465" i="11"/>
  <c r="D466" i="11"/>
  <c r="D467" i="11"/>
  <c r="D468" i="11"/>
  <c r="D469" i="11"/>
  <c r="D470" i="11"/>
  <c r="D471" i="11"/>
  <c r="D472" i="11"/>
  <c r="D473" i="11"/>
  <c r="D474" i="11"/>
  <c r="D476" i="11"/>
  <c r="D477" i="11"/>
  <c r="D478" i="11"/>
  <c r="D479" i="11"/>
  <c r="D480" i="11"/>
  <c r="D481" i="11"/>
  <c r="D482" i="11"/>
  <c r="D483" i="11"/>
  <c r="D484" i="11"/>
  <c r="D485" i="11"/>
  <c r="D486" i="11"/>
  <c r="D487" i="11"/>
  <c r="D488" i="11"/>
  <c r="D489" i="11"/>
  <c r="D491" i="11"/>
  <c r="D493" i="11"/>
  <c r="D494" i="11"/>
  <c r="D495" i="11"/>
  <c r="D496" i="11"/>
  <c r="D459" i="11"/>
  <c r="D429" i="11"/>
  <c r="D371" i="11"/>
  <c r="D497" i="11"/>
  <c r="D498" i="11"/>
  <c r="D499" i="11"/>
  <c r="D500" i="11"/>
  <c r="D501" i="11"/>
  <c r="D502" i="11"/>
  <c r="D503" i="11"/>
  <c r="D504" i="11"/>
  <c r="D505" i="11"/>
  <c r="D506" i="11"/>
  <c r="D447" i="11"/>
  <c r="D507" i="11"/>
  <c r="D508" i="11"/>
  <c r="D509" i="11"/>
  <c r="D510" i="11"/>
  <c r="D511" i="11"/>
  <c r="D512" i="11"/>
  <c r="D513" i="11"/>
  <c r="D514" i="11"/>
  <c r="D515" i="11"/>
  <c r="D516" i="11"/>
  <c r="D517" i="11"/>
  <c r="D518" i="11"/>
  <c r="F518" i="13"/>
  <c r="D518" i="13" s="1"/>
  <c r="D519" i="11"/>
  <c r="F519" i="13" s="1"/>
  <c r="D519" i="13" s="1"/>
  <c r="D520" i="11"/>
  <c r="F520" i="13"/>
  <c r="D520" i="13" s="1"/>
  <c r="D521" i="11"/>
  <c r="F521" i="13"/>
  <c r="D521" i="13"/>
  <c r="D522" i="11"/>
  <c r="F522" i="13"/>
  <c r="D522" i="13"/>
  <c r="D523" i="11"/>
  <c r="F523" i="13"/>
  <c r="D523" i="13"/>
  <c r="D524" i="11"/>
  <c r="F524" i="13"/>
  <c r="D524" i="13"/>
  <c r="D525" i="11"/>
  <c r="F525" i="13"/>
  <c r="D525" i="13"/>
  <c r="D526" i="11"/>
  <c r="F526" i="13"/>
  <c r="D526" i="13"/>
  <c r="D527" i="11"/>
  <c r="F527" i="13"/>
  <c r="D527" i="13"/>
  <c r="D528" i="11"/>
  <c r="F528" i="13"/>
  <c r="D528" i="13"/>
  <c r="D529" i="11"/>
  <c r="F529" i="13"/>
  <c r="D529" i="13"/>
  <c r="D530" i="11"/>
  <c r="F530" i="13"/>
  <c r="D530" i="13"/>
  <c r="D531" i="11"/>
  <c r="F531" i="13" s="1"/>
  <c r="D531" i="13" s="1"/>
  <c r="D532" i="11"/>
  <c r="F532" i="13"/>
  <c r="D532" i="13" s="1"/>
  <c r="D533" i="11"/>
  <c r="F533" i="13"/>
  <c r="D533" i="13"/>
  <c r="D534" i="11"/>
  <c r="F534" i="13"/>
  <c r="D534" i="13"/>
  <c r="D535" i="11"/>
  <c r="F535" i="13"/>
  <c r="D535" i="13"/>
  <c r="D536" i="11"/>
  <c r="F536" i="13"/>
  <c r="D536" i="13"/>
  <c r="D537" i="11"/>
  <c r="F537" i="13"/>
  <c r="D537" i="13"/>
  <c r="D538" i="11"/>
  <c r="F538" i="13"/>
  <c r="D538" i="13"/>
  <c r="D539" i="11"/>
  <c r="F539" i="13"/>
  <c r="D539" i="13"/>
  <c r="D540" i="11"/>
  <c r="F540" i="13" s="1"/>
  <c r="D540" i="13" s="1"/>
  <c r="D541" i="11"/>
  <c r="F541" i="13"/>
  <c r="D541" i="13" s="1"/>
  <c r="D542" i="11"/>
  <c r="F542" i="13"/>
  <c r="D542" i="13" s="1"/>
  <c r="D543" i="11"/>
  <c r="F543" i="13"/>
  <c r="D543" i="13"/>
  <c r="D544" i="11"/>
  <c r="F544" i="13"/>
  <c r="D544" i="13"/>
  <c r="D545" i="11"/>
  <c r="F545" i="13"/>
  <c r="D545" i="13"/>
  <c r="D546" i="11"/>
  <c r="F546" i="13" s="1"/>
  <c r="D546" i="13" s="1"/>
  <c r="D547" i="11"/>
  <c r="F547" i="13"/>
  <c r="D547" i="13"/>
  <c r="D548" i="11"/>
  <c r="F548" i="13"/>
  <c r="D548" i="13"/>
  <c r="D549" i="11"/>
  <c r="F549" i="13"/>
  <c r="D549" i="13"/>
  <c r="D550" i="11"/>
  <c r="F550" i="13"/>
  <c r="D550" i="13" s="1"/>
  <c r="D551" i="11"/>
  <c r="F551" i="13"/>
  <c r="D551" i="13"/>
  <c r="D552" i="11"/>
  <c r="F552" i="13"/>
  <c r="D552" i="13"/>
  <c r="D553" i="11"/>
  <c r="F553" i="13"/>
  <c r="D553" i="13"/>
  <c r="D554" i="11"/>
  <c r="F554" i="13"/>
  <c r="D554" i="13"/>
  <c r="D555" i="11"/>
  <c r="F555" i="13"/>
  <c r="D555" i="13"/>
  <c r="D556" i="11"/>
  <c r="F556" i="13"/>
  <c r="D556" i="13"/>
  <c r="D557" i="11"/>
  <c r="F557" i="13"/>
  <c r="D557" i="13"/>
  <c r="D558" i="11"/>
  <c r="F558" i="13"/>
  <c r="D558" i="13" s="1"/>
  <c r="D559" i="11"/>
  <c r="F559" i="13"/>
  <c r="D559" i="13" s="1"/>
  <c r="D560" i="11"/>
  <c r="F560" i="13"/>
  <c r="D560" i="13"/>
  <c r="D561" i="11"/>
  <c r="F561" i="13"/>
  <c r="D561" i="13" s="1"/>
  <c r="D562" i="11"/>
  <c r="F562" i="13"/>
  <c r="D562" i="13" s="1"/>
  <c r="D563" i="11"/>
  <c r="F563" i="13"/>
  <c r="D563" i="13"/>
  <c r="D564" i="11"/>
  <c r="F564" i="13"/>
  <c r="D564" i="13" s="1"/>
  <c r="D565" i="11"/>
  <c r="F565" i="13"/>
  <c r="D565" i="13"/>
  <c r="D566" i="11"/>
  <c r="F566" i="13"/>
  <c r="D566" i="13" s="1"/>
  <c r="D567" i="11"/>
  <c r="F567" i="13"/>
  <c r="D567" i="13" s="1"/>
  <c r="D568" i="11"/>
  <c r="F568" i="13"/>
  <c r="D568" i="13"/>
  <c r="D569" i="11"/>
  <c r="F569" i="13"/>
  <c r="D569" i="13"/>
  <c r="D570" i="11"/>
  <c r="F570" i="13"/>
  <c r="D570" i="13"/>
  <c r="D571" i="11"/>
  <c r="F571" i="13"/>
  <c r="D571" i="13" s="1"/>
  <c r="D572" i="11"/>
  <c r="F572" i="13"/>
  <c r="D572" i="13"/>
  <c r="D573" i="11"/>
  <c r="F573" i="13"/>
  <c r="D573" i="13" s="1"/>
  <c r="D574" i="11"/>
  <c r="F574" i="13"/>
  <c r="D574" i="13" s="1"/>
  <c r="D575" i="11"/>
  <c r="F575" i="13"/>
  <c r="D575" i="13" s="1"/>
  <c r="D576" i="11"/>
  <c r="F576" i="13"/>
  <c r="D576" i="13"/>
  <c r="D577" i="11"/>
  <c r="F577" i="13"/>
  <c r="D577" i="13" s="1"/>
  <c r="D578" i="11"/>
  <c r="F578" i="13"/>
  <c r="D578" i="13" s="1"/>
  <c r="D579" i="11"/>
  <c r="F579" i="13"/>
  <c r="D579" i="13" s="1"/>
  <c r="D580" i="11"/>
  <c r="F580" i="13"/>
  <c r="D580" i="13"/>
  <c r="D581" i="11"/>
  <c r="F581" i="13"/>
  <c r="D581" i="13" s="1"/>
  <c r="D582" i="11"/>
  <c r="F582" i="13"/>
  <c r="D582" i="13"/>
  <c r="D583" i="11"/>
  <c r="F583" i="13"/>
  <c r="D583" i="13" s="1"/>
  <c r="D584" i="11"/>
  <c r="F584" i="13"/>
  <c r="D584" i="13" s="1"/>
  <c r="D585" i="11"/>
  <c r="F585" i="13"/>
  <c r="D585" i="13" s="1"/>
  <c r="D586" i="11"/>
  <c r="F586" i="13"/>
  <c r="D586" i="13" s="1"/>
  <c r="D587" i="11"/>
  <c r="F587" i="13"/>
  <c r="D587" i="13" s="1"/>
  <c r="D588" i="11"/>
  <c r="F588" i="13"/>
  <c r="D588" i="13"/>
  <c r="D589" i="11"/>
  <c r="F589" i="13"/>
  <c r="D589" i="13"/>
  <c r="D590" i="11"/>
  <c r="F590" i="13"/>
  <c r="D590" i="13"/>
  <c r="D591" i="11"/>
  <c r="F591" i="13"/>
  <c r="D591" i="13"/>
  <c r="D592" i="11"/>
  <c r="F592" i="13"/>
  <c r="D592" i="13"/>
  <c r="D593" i="11"/>
  <c r="F593" i="13"/>
  <c r="D593" i="13" s="1"/>
  <c r="D594" i="11"/>
  <c r="F594" i="13"/>
  <c r="D594" i="13" s="1"/>
  <c r="D595" i="11"/>
  <c r="F595" i="13"/>
  <c r="D595" i="13" s="1"/>
  <c r="D596" i="11"/>
  <c r="F596" i="13"/>
  <c r="D596" i="13" s="1"/>
  <c r="D597" i="11"/>
  <c r="F597" i="13"/>
  <c r="D597" i="13"/>
  <c r="D598" i="11"/>
  <c r="F598" i="13"/>
  <c r="D598" i="13"/>
  <c r="D599" i="11"/>
  <c r="F599" i="13"/>
  <c r="D599" i="13" s="1"/>
  <c r="D600" i="11"/>
  <c r="F600" i="13"/>
  <c r="D600" i="13" s="1"/>
  <c r="D601" i="11"/>
  <c r="F601" i="13"/>
  <c r="D601" i="13"/>
  <c r="D602" i="11"/>
  <c r="F602" i="13"/>
  <c r="D602" i="13" s="1"/>
  <c r="D603" i="11"/>
  <c r="F603" i="13"/>
  <c r="D603" i="13"/>
  <c r="D604" i="11"/>
  <c r="F604" i="13"/>
  <c r="D604" i="13" s="1"/>
  <c r="D605" i="11"/>
  <c r="F605" i="13"/>
  <c r="D605" i="13"/>
  <c r="D606" i="11"/>
  <c r="F606" i="13"/>
  <c r="D606" i="13" s="1"/>
  <c r="D607" i="11"/>
  <c r="F607" i="13"/>
  <c r="D607" i="13"/>
  <c r="D608" i="11"/>
  <c r="F608" i="13"/>
  <c r="D608" i="13" s="1"/>
  <c r="D609" i="11"/>
  <c r="F609" i="13"/>
  <c r="D609" i="13" s="1"/>
  <c r="D610" i="11"/>
  <c r="F610" i="13"/>
  <c r="D610" i="13" s="1"/>
  <c r="D611" i="11"/>
  <c r="F611" i="13"/>
  <c r="D611" i="13" s="1"/>
  <c r="D612" i="11"/>
  <c r="F612" i="13"/>
  <c r="D612" i="13" s="1"/>
  <c r="D490" i="11"/>
  <c r="D376" i="11"/>
  <c r="F376" i="13" s="1"/>
  <c r="D376" i="13" s="1"/>
  <c r="D377" i="11"/>
  <c r="F377" i="13"/>
  <c r="D377" i="13" s="1"/>
  <c r="D3" i="29"/>
  <c r="D4" i="29"/>
  <c r="D5"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99" i="29"/>
  <c r="D100" i="29"/>
  <c r="D101" i="29"/>
  <c r="D102" i="29"/>
  <c r="D103" i="29"/>
  <c r="D104" i="29"/>
  <c r="D105" i="29"/>
  <c r="D106" i="29"/>
  <c r="D107" i="29"/>
  <c r="D108" i="29"/>
  <c r="D109" i="29"/>
  <c r="D110" i="29"/>
  <c r="D111" i="29"/>
  <c r="D112" i="29"/>
  <c r="D113" i="29"/>
  <c r="D114" i="29"/>
  <c r="D115" i="29"/>
  <c r="D116" i="29"/>
  <c r="D117" i="29"/>
  <c r="D118" i="29"/>
  <c r="D119" i="29"/>
  <c r="D120" i="29"/>
  <c r="D121" i="29"/>
  <c r="D122" i="29"/>
  <c r="D123" i="29"/>
  <c r="D124" i="29"/>
  <c r="D125" i="29"/>
  <c r="D126" i="29"/>
  <c r="D127" i="29"/>
  <c r="D128" i="29"/>
  <c r="D129" i="29"/>
  <c r="D130" i="29"/>
  <c r="D131" i="29"/>
  <c r="D132" i="29"/>
  <c r="D133" i="29"/>
  <c r="D134" i="29"/>
  <c r="D135" i="29"/>
  <c r="D136" i="29"/>
  <c r="D137" i="29"/>
  <c r="D138" i="29"/>
  <c r="D139" i="29"/>
  <c r="D140" i="29"/>
  <c r="D141" i="29"/>
  <c r="D142" i="29"/>
  <c r="D2" i="29"/>
  <c r="B3" i="23"/>
  <c r="B4" i="23"/>
  <c r="B5" i="23"/>
  <c r="B6" i="23"/>
  <c r="B7" i="23"/>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212" i="23"/>
  <c r="B213" i="23"/>
  <c r="B214" i="23"/>
  <c r="B215" i="23"/>
  <c r="B216" i="23"/>
  <c r="B217" i="23"/>
  <c r="B218" i="23"/>
  <c r="B219" i="23"/>
  <c r="B220" i="23"/>
  <c r="B221" i="23"/>
  <c r="B222" i="23"/>
  <c r="B223" i="23"/>
  <c r="B224" i="23"/>
  <c r="B225" i="23"/>
  <c r="B226" i="23"/>
  <c r="B227" i="23"/>
  <c r="B228" i="23"/>
  <c r="B229" i="23"/>
  <c r="B230" i="23"/>
  <c r="B231" i="23"/>
  <c r="B232" i="23"/>
  <c r="B233" i="23"/>
  <c r="B234" i="23"/>
  <c r="B235" i="23"/>
  <c r="B236" i="23"/>
  <c r="B237" i="23"/>
  <c r="B238" i="23"/>
  <c r="B239" i="23"/>
  <c r="B240" i="23"/>
  <c r="B241" i="23"/>
  <c r="B242" i="23"/>
  <c r="B243" i="23"/>
  <c r="B244" i="23"/>
  <c r="B245" i="23"/>
  <c r="B246" i="23"/>
  <c r="B247" i="23"/>
  <c r="B248" i="23"/>
  <c r="B249" i="23"/>
  <c r="B250" i="23"/>
  <c r="B251" i="23"/>
  <c r="B252" i="23"/>
  <c r="B253" i="23"/>
  <c r="B254" i="23"/>
  <c r="B255" i="23"/>
  <c r="B256" i="23"/>
  <c r="B257" i="23"/>
  <c r="B258" i="23"/>
  <c r="B259" i="23"/>
  <c r="B260" i="23"/>
  <c r="B261" i="23"/>
  <c r="B262" i="23"/>
  <c r="B263" i="23"/>
  <c r="B264" i="23"/>
  <c r="B265" i="23"/>
  <c r="B266" i="23"/>
  <c r="B267" i="23"/>
  <c r="B268" i="23"/>
  <c r="B269" i="23"/>
  <c r="B270" i="23"/>
  <c r="B271" i="23"/>
  <c r="B272" i="23"/>
  <c r="B273" i="23"/>
  <c r="B274" i="23"/>
  <c r="B275" i="23"/>
  <c r="B276" i="23"/>
  <c r="B277" i="23"/>
  <c r="B278" i="23"/>
  <c r="B279" i="23"/>
  <c r="B280" i="23"/>
  <c r="B281" i="23"/>
  <c r="B282" i="23"/>
  <c r="B283" i="23"/>
  <c r="B284" i="23"/>
  <c r="B285" i="23"/>
  <c r="B286" i="23"/>
  <c r="B287" i="23"/>
  <c r="B288" i="23"/>
  <c r="B289" i="23"/>
  <c r="B290" i="23"/>
  <c r="B291" i="23"/>
  <c r="B292" i="23"/>
  <c r="B293" i="23"/>
  <c r="B294" i="23"/>
  <c r="B295" i="23"/>
  <c r="B296" i="23"/>
  <c r="B297" i="23"/>
  <c r="B298" i="23"/>
  <c r="B299" i="23"/>
  <c r="B300" i="23"/>
  <c r="B301" i="23"/>
  <c r="B302" i="23"/>
  <c r="B303" i="23"/>
  <c r="B304" i="23"/>
  <c r="B305" i="23"/>
  <c r="B306" i="23"/>
  <c r="B307" i="23"/>
  <c r="B308" i="23"/>
  <c r="B309" i="23"/>
  <c r="B310" i="23"/>
  <c r="B2" i="23"/>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2" i="6"/>
  <c r="C3" i="23"/>
  <c r="C4" i="23"/>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212" i="23"/>
  <c r="C213" i="23"/>
  <c r="C214" i="23"/>
  <c r="C215" i="23"/>
  <c r="C216" i="23"/>
  <c r="C217" i="23"/>
  <c r="C218" i="23"/>
  <c r="C219" i="23"/>
  <c r="C220" i="23"/>
  <c r="C221" i="23"/>
  <c r="C222" i="23"/>
  <c r="C223" i="23"/>
  <c r="C224" i="23"/>
  <c r="C225" i="23"/>
  <c r="C226" i="23"/>
  <c r="C227" i="23"/>
  <c r="C228" i="23"/>
  <c r="C229" i="23"/>
  <c r="C230" i="23"/>
  <c r="C231" i="23"/>
  <c r="C232" i="23"/>
  <c r="C233" i="23"/>
  <c r="C234" i="23"/>
  <c r="C235" i="23"/>
  <c r="C236" i="23"/>
  <c r="C237" i="23"/>
  <c r="C238" i="23"/>
  <c r="C239" i="23"/>
  <c r="C240" i="23"/>
  <c r="C241" i="23"/>
  <c r="C242" i="23"/>
  <c r="C243" i="23"/>
  <c r="C244" i="23"/>
  <c r="C245" i="23"/>
  <c r="C246" i="23"/>
  <c r="C247" i="23"/>
  <c r="C248" i="23"/>
  <c r="C249" i="23"/>
  <c r="C250" i="23"/>
  <c r="C251" i="23"/>
  <c r="C252" i="23"/>
  <c r="C253" i="23"/>
  <c r="C254" i="23"/>
  <c r="C255" i="23"/>
  <c r="C256" i="23"/>
  <c r="C257" i="23"/>
  <c r="C258" i="23"/>
  <c r="C259" i="23"/>
  <c r="C260" i="23"/>
  <c r="C261" i="23"/>
  <c r="C262" i="23"/>
  <c r="C263" i="23"/>
  <c r="C264" i="23"/>
  <c r="C265" i="23"/>
  <c r="C266" i="23"/>
  <c r="C267" i="23"/>
  <c r="C268" i="23"/>
  <c r="C269" i="23"/>
  <c r="C270" i="23"/>
  <c r="C271" i="23"/>
  <c r="C272" i="23"/>
  <c r="C273" i="23"/>
  <c r="C274" i="23"/>
  <c r="C275" i="23"/>
  <c r="C276" i="23"/>
  <c r="C277" i="23"/>
  <c r="C278" i="23"/>
  <c r="C279" i="23"/>
  <c r="C280" i="23"/>
  <c r="C281" i="23"/>
  <c r="C282" i="23"/>
  <c r="C283" i="23"/>
  <c r="C284" i="23"/>
  <c r="C285" i="23"/>
  <c r="C286" i="23"/>
  <c r="C287" i="23"/>
  <c r="C288" i="23"/>
  <c r="C289" i="23"/>
  <c r="C290" i="23"/>
  <c r="C291" i="23"/>
  <c r="C292" i="23"/>
  <c r="C293" i="23"/>
  <c r="C294" i="23"/>
  <c r="C295" i="23"/>
  <c r="C296" i="23"/>
  <c r="C297" i="23"/>
  <c r="C298" i="23"/>
  <c r="C299" i="23"/>
  <c r="C300" i="23"/>
  <c r="C301" i="23"/>
  <c r="C302" i="23"/>
  <c r="C303" i="23"/>
  <c r="C304" i="23"/>
  <c r="C305" i="23"/>
  <c r="C306" i="23"/>
  <c r="C307" i="23"/>
  <c r="C308" i="23"/>
  <c r="C309" i="23"/>
  <c r="C310" i="23"/>
  <c r="C2" i="23"/>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B2" i="28"/>
  <c r="B3" i="28"/>
  <c r="B4" i="28"/>
  <c r="B5" i="28"/>
  <c r="B9" i="28"/>
  <c r="B10" i="28"/>
  <c r="B11" i="28"/>
  <c r="B12" i="28"/>
  <c r="B13" i="28"/>
  <c r="B14" i="28"/>
  <c r="B15" i="28"/>
  <c r="B16" i="28"/>
  <c r="B17" i="28"/>
  <c r="B18" i="28"/>
  <c r="B19" i="28"/>
  <c r="B20" i="28"/>
  <c r="B21" i="28"/>
  <c r="B22" i="28"/>
  <c r="B23" i="28"/>
  <c r="B24" i="28"/>
  <c r="B25" i="28"/>
  <c r="B26" i="28"/>
  <c r="B27" i="28"/>
  <c r="B28" i="28"/>
  <c r="B29" i="28"/>
  <c r="B30" i="28"/>
  <c r="B31" i="28"/>
  <c r="B32" i="28"/>
  <c r="B33" i="28"/>
  <c r="B34" i="28"/>
  <c r="B35" i="28"/>
  <c r="B36" i="28"/>
  <c r="B37" i="28"/>
  <c r="B38" i="28"/>
  <c r="B39" i="28"/>
  <c r="B40" i="28"/>
  <c r="B41" i="28"/>
  <c r="B42" i="28"/>
  <c r="B43" i="28"/>
  <c r="B44" i="28"/>
  <c r="B45" i="28"/>
  <c r="B46" i="28"/>
  <c r="B47" i="28"/>
  <c r="B48" i="28"/>
  <c r="B49" i="28"/>
  <c r="B50" i="28"/>
  <c r="B51" i="28"/>
  <c r="B52" i="28"/>
  <c r="B53" i="28"/>
  <c r="B54" i="28"/>
  <c r="B55" i="28"/>
  <c r="B56" i="28"/>
  <c r="B57" i="28"/>
  <c r="B58" i="28"/>
  <c r="B59" i="28"/>
  <c r="B60" i="28"/>
  <c r="B61" i="28"/>
  <c r="B62" i="28"/>
  <c r="B63" i="28"/>
  <c r="B64" i="28"/>
  <c r="B65" i="28"/>
  <c r="B6" i="28"/>
  <c r="B7" i="28"/>
  <c r="B8" i="28"/>
  <c r="B101" i="28"/>
  <c r="B66" i="28"/>
  <c r="B67" i="28"/>
  <c r="B68" i="28"/>
  <c r="B69" i="28"/>
  <c r="B70" i="28"/>
  <c r="B71" i="28"/>
  <c r="B72" i="28"/>
  <c r="B73" i="28"/>
  <c r="B74" i="28"/>
  <c r="B75" i="28"/>
  <c r="B76" i="28"/>
  <c r="B77" i="28"/>
  <c r="B78" i="28"/>
  <c r="B79" i="28"/>
  <c r="B80" i="28"/>
  <c r="B81" i="28"/>
  <c r="B82" i="28"/>
  <c r="B83" i="28"/>
  <c r="B84" i="28"/>
  <c r="B86" i="28"/>
  <c r="B85" i="28"/>
  <c r="B87" i="28"/>
  <c r="B88" i="28"/>
  <c r="B89" i="28"/>
  <c r="B90" i="28"/>
  <c r="B91" i="28"/>
  <c r="B92" i="28"/>
  <c r="B93" i="28"/>
  <c r="B94" i="28"/>
  <c r="B95" i="28"/>
  <c r="B96" i="28"/>
  <c r="B97" i="28"/>
  <c r="B98" i="28"/>
  <c r="B99" i="28"/>
  <c r="B100" i="28"/>
  <c r="B102" i="28"/>
  <c r="B103" i="28"/>
  <c r="B104" i="28"/>
  <c r="B105" i="28"/>
  <c r="B106" i="28"/>
  <c r="B107" i="28"/>
  <c r="B108" i="28"/>
  <c r="B109" i="28"/>
  <c r="B110" i="28"/>
  <c r="B111" i="28"/>
  <c r="B112" i="28"/>
  <c r="B113" i="28"/>
  <c r="B114" i="28"/>
  <c r="B115" i="28"/>
  <c r="B116" i="28"/>
  <c r="B117"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D3" i="9"/>
  <c r="D4" i="9"/>
  <c r="D5" i="9"/>
  <c r="D6" i="9"/>
  <c r="D7" i="9"/>
  <c r="D8" i="9"/>
  <c r="D9" i="9"/>
  <c r="D10" i="9"/>
  <c r="D11" i="9"/>
  <c r="D12" i="9"/>
  <c r="D13" i="9"/>
  <c r="D14" i="9"/>
  <c r="D15" i="9"/>
  <c r="D16" i="9"/>
  <c r="D17" i="9"/>
  <c r="D18" i="9"/>
  <c r="D19" i="9"/>
  <c r="D20" i="9"/>
  <c r="D21" i="9"/>
  <c r="D2" i="9"/>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3" i="7"/>
  <c r="D4" i="7"/>
  <c r="D5" i="7"/>
  <c r="D6" i="7"/>
  <c r="D7" i="7"/>
  <c r="D8" i="7"/>
  <c r="D9" i="7"/>
  <c r="D10" i="7"/>
  <c r="D11" i="7"/>
  <c r="D12" i="7"/>
  <c r="D13" i="7"/>
  <c r="D14" i="7"/>
  <c r="D15" i="7"/>
  <c r="D16" i="7"/>
  <c r="D2" i="7"/>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2" i="4"/>
  <c r="L16" i="7"/>
  <c r="M16" i="7"/>
  <c r="B446" i="13"/>
  <c r="B515" i="13"/>
  <c r="C25" i="29"/>
  <c r="B516" i="13"/>
  <c r="C22" i="29"/>
  <c r="E515" i="13"/>
  <c r="E516" i="13"/>
  <c r="B509" i="13"/>
  <c r="C23" i="29"/>
  <c r="B510" i="13"/>
  <c r="C95" i="29"/>
  <c r="B511" i="13"/>
  <c r="C20" i="29" s="1"/>
  <c r="B512" i="13"/>
  <c r="C21" i="29" s="1"/>
  <c r="B513" i="13"/>
  <c r="C80" i="29" s="1"/>
  <c r="E509" i="13"/>
  <c r="E510" i="13"/>
  <c r="E511" i="13"/>
  <c r="E512" i="13"/>
  <c r="E513" i="13"/>
  <c r="B507" i="13"/>
  <c r="C26" i="29" s="1"/>
  <c r="E507" i="13"/>
  <c r="B497" i="13"/>
  <c r="C27" i="29" s="1"/>
  <c r="E497" i="13"/>
  <c r="B429" i="13"/>
  <c r="C51" i="29"/>
  <c r="E429" i="13"/>
  <c r="B493" i="13"/>
  <c r="C9" i="29"/>
  <c r="B494" i="13"/>
  <c r="C75" i="29"/>
  <c r="B495" i="13"/>
  <c r="C91" i="29" s="1"/>
  <c r="E493" i="13"/>
  <c r="E494" i="13"/>
  <c r="E495" i="13"/>
  <c r="B476" i="13"/>
  <c r="C138" i="29"/>
  <c r="B477" i="13"/>
  <c r="C140" i="29"/>
  <c r="B478" i="13"/>
  <c r="C111" i="29" s="1"/>
  <c r="B479" i="13"/>
  <c r="C88" i="29"/>
  <c r="B480" i="13"/>
  <c r="C142" i="29" s="1"/>
  <c r="B481" i="13"/>
  <c r="C72" i="29" s="1"/>
  <c r="B482" i="13"/>
  <c r="C73" i="29"/>
  <c r="B483" i="13"/>
  <c r="C74" i="29"/>
  <c r="B484" i="13"/>
  <c r="C76" i="29"/>
  <c r="B485" i="13"/>
  <c r="C128" i="29" s="1"/>
  <c r="B486" i="13"/>
  <c r="C139" i="29" s="1"/>
  <c r="B487" i="13"/>
  <c r="C127" i="29" s="1"/>
  <c r="B488" i="13"/>
  <c r="C126" i="29" s="1"/>
  <c r="B489" i="13"/>
  <c r="C133" i="29" s="1"/>
  <c r="B490" i="13"/>
  <c r="C50" i="29" s="1"/>
  <c r="B491" i="13"/>
  <c r="C112" i="29" s="1"/>
  <c r="E476" i="13"/>
  <c r="E477" i="13"/>
  <c r="E478" i="13"/>
  <c r="E479" i="13"/>
  <c r="E480" i="13"/>
  <c r="E481" i="13"/>
  <c r="E482" i="13"/>
  <c r="E483" i="13"/>
  <c r="E484" i="13"/>
  <c r="E485" i="13"/>
  <c r="E486" i="13"/>
  <c r="E487" i="13"/>
  <c r="E488" i="13"/>
  <c r="E489" i="13"/>
  <c r="E490" i="13"/>
  <c r="E491" i="13"/>
  <c r="B468" i="13"/>
  <c r="C92" i="29"/>
  <c r="B469" i="13"/>
  <c r="C77" i="29" s="1"/>
  <c r="B470" i="13"/>
  <c r="C16" i="29" s="1"/>
  <c r="B471" i="13"/>
  <c r="C90" i="29"/>
  <c r="B472" i="13"/>
  <c r="C117" i="29"/>
  <c r="B473" i="13"/>
  <c r="C116" i="29" s="1"/>
  <c r="B474" i="13"/>
  <c r="C121" i="29" s="1"/>
  <c r="E468" i="13"/>
  <c r="E469" i="13"/>
  <c r="E470" i="13"/>
  <c r="E471" i="13"/>
  <c r="E472" i="13"/>
  <c r="E473" i="13"/>
  <c r="E474" i="13"/>
  <c r="B465" i="13"/>
  <c r="C83" i="29" s="1"/>
  <c r="B466" i="13"/>
  <c r="C109" i="29" s="1"/>
  <c r="E465" i="13"/>
  <c r="E466" i="13"/>
  <c r="B461" i="13"/>
  <c r="C104" i="29" s="1"/>
  <c r="E461" i="13"/>
  <c r="B450" i="13"/>
  <c r="B451" i="13"/>
  <c r="E450" i="13"/>
  <c r="E451" i="13"/>
  <c r="B443" i="13"/>
  <c r="C64" i="29" s="1"/>
  <c r="E443" i="13"/>
  <c r="B438" i="13"/>
  <c r="C65" i="29"/>
  <c r="E438" i="13"/>
  <c r="B433" i="13"/>
  <c r="C84" i="29" s="1"/>
  <c r="B434" i="13"/>
  <c r="C85" i="29" s="1"/>
  <c r="B435" i="13"/>
  <c r="C86" i="29" s="1"/>
  <c r="B436" i="13"/>
  <c r="C71" i="29" s="1"/>
  <c r="B437" i="13"/>
  <c r="C81" i="29" s="1"/>
  <c r="B376" i="13"/>
  <c r="B377" i="13"/>
  <c r="E433" i="13"/>
  <c r="E434" i="13"/>
  <c r="E435" i="13"/>
  <c r="E436" i="13"/>
  <c r="E437" i="13"/>
  <c r="E376" i="13"/>
  <c r="E377" i="13"/>
  <c r="B419" i="13"/>
  <c r="C55" i="29" s="1"/>
  <c r="B420" i="13"/>
  <c r="C78" i="29" s="1"/>
  <c r="B421" i="13"/>
  <c r="C56" i="29" s="1"/>
  <c r="B422" i="13"/>
  <c r="C39" i="29" s="1"/>
  <c r="B423" i="13"/>
  <c r="C57" i="29" s="1"/>
  <c r="B424" i="13"/>
  <c r="C58" i="29" s="1"/>
  <c r="B425" i="13"/>
  <c r="C59" i="29"/>
  <c r="B426" i="13"/>
  <c r="C60" i="29" s="1"/>
  <c r="B427" i="13"/>
  <c r="C61" i="29" s="1"/>
  <c r="B428" i="13"/>
  <c r="C89" i="29" s="1"/>
  <c r="B430" i="13"/>
  <c r="C40" i="29" s="1"/>
  <c r="B431" i="13"/>
  <c r="C38" i="29" s="1"/>
  <c r="E419" i="13"/>
  <c r="E420" i="13"/>
  <c r="E421" i="13"/>
  <c r="E422" i="13"/>
  <c r="E423" i="13"/>
  <c r="E424" i="13"/>
  <c r="E425" i="13"/>
  <c r="E426" i="13"/>
  <c r="E427" i="13"/>
  <c r="E428" i="13"/>
  <c r="E430" i="13"/>
  <c r="E431" i="13"/>
  <c r="B417" i="13"/>
  <c r="C141" i="29" s="1"/>
  <c r="E417" i="13"/>
  <c r="B410" i="13"/>
  <c r="C79" i="29"/>
  <c r="B411" i="13"/>
  <c r="C82" i="29" s="1"/>
  <c r="B412" i="13"/>
  <c r="C97" i="29" s="1"/>
  <c r="B413" i="13"/>
  <c r="C98" i="29"/>
  <c r="B414" i="13"/>
  <c r="C99" i="29" s="1"/>
  <c r="B415" i="13"/>
  <c r="C100" i="29" s="1"/>
  <c r="E410" i="13"/>
  <c r="E411" i="13"/>
  <c r="E412" i="13"/>
  <c r="E413" i="13"/>
  <c r="E414" i="13"/>
  <c r="E415" i="13"/>
  <c r="B370" i="13"/>
  <c r="C66" i="29"/>
  <c r="B372" i="13"/>
  <c r="B373" i="13"/>
  <c r="C115" i="29" s="1"/>
  <c r="B374" i="13"/>
  <c r="B375" i="13"/>
  <c r="C137" i="29" s="1"/>
  <c r="E370" i="13"/>
  <c r="E372" i="13"/>
  <c r="E373" i="13"/>
  <c r="E374" i="13"/>
  <c r="E375" i="13"/>
  <c r="B284" i="13"/>
  <c r="B285" i="13"/>
  <c r="E284" i="13"/>
  <c r="E285" i="13"/>
  <c r="B220" i="13"/>
  <c r="C30" i="29" s="1"/>
  <c r="B221" i="13"/>
  <c r="E220" i="13"/>
  <c r="E221" i="13"/>
  <c r="B171" i="13"/>
  <c r="E171" i="13"/>
  <c r="B161" i="13"/>
  <c r="C33" i="29" s="1"/>
  <c r="B162" i="13"/>
  <c r="B163" i="13"/>
  <c r="C28" i="29" s="1"/>
  <c r="B164" i="13"/>
  <c r="C37" i="29" s="1"/>
  <c r="B165" i="13"/>
  <c r="C32" i="29" s="1"/>
  <c r="B166" i="13"/>
  <c r="C31" i="29" s="1"/>
  <c r="B167" i="13"/>
  <c r="C29" i="29" s="1"/>
  <c r="E161" i="13"/>
  <c r="E162" i="13"/>
  <c r="E163" i="13"/>
  <c r="E164" i="13"/>
  <c r="E165" i="13"/>
  <c r="E166" i="13"/>
  <c r="E167" i="13"/>
  <c r="B146" i="13"/>
  <c r="C34" i="29" s="1"/>
  <c r="B147" i="13"/>
  <c r="B148" i="13"/>
  <c r="C35" i="29" s="1"/>
  <c r="B149" i="13"/>
  <c r="B150" i="13"/>
  <c r="C36" i="29" s="1"/>
  <c r="B151" i="13"/>
  <c r="E146" i="13"/>
  <c r="E147" i="13"/>
  <c r="E148" i="13"/>
  <c r="E149" i="13"/>
  <c r="E150" i="13"/>
  <c r="E151" i="13"/>
  <c r="B31" i="13"/>
  <c r="E31" i="13"/>
  <c r="C86" i="28"/>
  <c r="D86" i="28"/>
  <c r="E86" i="28"/>
  <c r="B403" i="3"/>
  <c r="B458" i="13"/>
  <c r="B2" i="3"/>
  <c r="B3" i="3"/>
  <c r="B4" i="3"/>
  <c r="B5" i="3"/>
  <c r="B6" i="3"/>
  <c r="B7" i="3"/>
  <c r="B8" i="3"/>
  <c r="B9" i="3"/>
  <c r="B10" i="3"/>
  <c r="B11" i="3"/>
  <c r="B12" i="3"/>
  <c r="B13" i="3"/>
  <c r="B14" i="3"/>
  <c r="B15" i="3"/>
  <c r="B16" i="3"/>
  <c r="B17" i="3"/>
  <c r="B18" i="3"/>
  <c r="B19" i="3"/>
  <c r="B20" i="3"/>
  <c r="B21" i="3"/>
  <c r="B22" i="3"/>
  <c r="B23" i="3"/>
  <c r="B24" i="3"/>
  <c r="B25" i="3"/>
  <c r="B124"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31" i="3"/>
  <c r="B132" i="3"/>
  <c r="B133" i="3"/>
  <c r="B134" i="3"/>
  <c r="B135" i="3"/>
  <c r="B136" i="3"/>
  <c r="B137" i="3"/>
  <c r="B138" i="3"/>
  <c r="B139" i="3"/>
  <c r="B147" i="3"/>
  <c r="B148" i="3"/>
  <c r="B149"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8" i="3"/>
  <c r="B353" i="3"/>
  <c r="B361" i="3"/>
  <c r="B363" i="3"/>
  <c r="B422" i="3"/>
  <c r="B384" i="3"/>
  <c r="B385" i="3"/>
  <c r="B393" i="3"/>
  <c r="B394" i="3"/>
  <c r="B397" i="3"/>
  <c r="B398" i="3"/>
  <c r="B399" i="3"/>
  <c r="B400" i="3"/>
  <c r="B401" i="3"/>
  <c r="B402" i="3"/>
  <c r="B405" i="3"/>
  <c r="B407" i="3"/>
  <c r="B409" i="3"/>
  <c r="B410" i="3"/>
  <c r="B413" i="3"/>
  <c r="B445" i="3"/>
  <c r="B404" i="3"/>
  <c r="B350" i="3"/>
  <c r="B408" i="3"/>
  <c r="B452" i="3"/>
  <c r="B453" i="3"/>
  <c r="B454" i="3"/>
  <c r="B392" i="3"/>
  <c r="B466" i="3"/>
  <c r="B477" i="3"/>
  <c r="B467" i="3"/>
  <c r="B468" i="3"/>
  <c r="B469" i="3"/>
  <c r="B470" i="3"/>
  <c r="B471" i="3"/>
  <c r="B472" i="3"/>
  <c r="B473" i="3"/>
  <c r="B474" i="3"/>
  <c r="B475" i="3"/>
  <c r="B476"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347" i="3"/>
  <c r="B377" i="3"/>
  <c r="B447" i="3"/>
  <c r="B448" i="3"/>
  <c r="B449" i="3"/>
  <c r="B450" i="3"/>
  <c r="B451" i="3"/>
  <c r="B456" i="3"/>
  <c r="B462" i="3"/>
  <c r="B465" i="3"/>
  <c r="B125" i="3"/>
  <c r="B126" i="3"/>
  <c r="B127" i="3"/>
  <c r="B128" i="3"/>
  <c r="B129" i="3"/>
  <c r="B130" i="3"/>
  <c r="B140" i="3"/>
  <c r="B141" i="3"/>
  <c r="B142" i="3"/>
  <c r="B143" i="3"/>
  <c r="B144" i="3"/>
  <c r="B145" i="3"/>
  <c r="B146" i="3"/>
  <c r="B150" i="3"/>
  <c r="B199" i="3"/>
  <c r="B200" i="3"/>
  <c r="B263" i="3"/>
  <c r="B264" i="3"/>
  <c r="B349" i="3"/>
  <c r="B355" i="3"/>
  <c r="B356" i="3"/>
  <c r="B357" i="3"/>
  <c r="B358" i="3"/>
  <c r="B359" i="3"/>
  <c r="B360" i="3"/>
  <c r="B362" i="3"/>
  <c r="B364" i="3"/>
  <c r="B365" i="3"/>
  <c r="B366" i="3"/>
  <c r="B367" i="3"/>
  <c r="B368" i="3"/>
  <c r="B369" i="3"/>
  <c r="B370" i="3"/>
  <c r="B371" i="3"/>
  <c r="B372" i="3"/>
  <c r="B373" i="3"/>
  <c r="B375" i="3"/>
  <c r="B376" i="3"/>
  <c r="B378" i="3"/>
  <c r="B379" i="3"/>
  <c r="B380" i="3"/>
  <c r="B381" i="3"/>
  <c r="B382" i="3"/>
  <c r="B383" i="3"/>
  <c r="B388" i="3"/>
  <c r="B395" i="3"/>
  <c r="B396" i="3"/>
  <c r="B406" i="3"/>
  <c r="B411" i="3"/>
  <c r="B412" i="3"/>
  <c r="B414" i="3"/>
  <c r="B415" i="3"/>
  <c r="B417" i="3"/>
  <c r="B418" i="3"/>
  <c r="B419" i="3"/>
  <c r="B420" i="3"/>
  <c r="B421" i="3"/>
  <c r="B423" i="3"/>
  <c r="B424" i="3"/>
  <c r="B425" i="3"/>
  <c r="B427" i="3"/>
  <c r="B428" i="3"/>
  <c r="B429" i="3"/>
  <c r="B430" i="3"/>
  <c r="B431" i="3"/>
  <c r="B432" i="3"/>
  <c r="B433" i="3"/>
  <c r="B434" i="3"/>
  <c r="B436" i="3"/>
  <c r="B437" i="3"/>
  <c r="B438" i="3"/>
  <c r="B439" i="3"/>
  <c r="B440" i="3"/>
  <c r="B442" i="3"/>
  <c r="B443" i="3"/>
  <c r="B444" i="3"/>
  <c r="B374" i="3"/>
  <c r="B446" i="3"/>
  <c r="B455" i="3"/>
  <c r="B457" i="3"/>
  <c r="B458" i="3"/>
  <c r="B459" i="3"/>
  <c r="B460" i="3"/>
  <c r="B461" i="3"/>
  <c r="B463" i="3"/>
  <c r="B464" i="3"/>
  <c r="B386" i="3"/>
  <c r="B387" i="3"/>
  <c r="B389" i="3"/>
  <c r="B390" i="3"/>
  <c r="B391" i="3"/>
  <c r="E2"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44" i="28"/>
  <c r="E6" i="28"/>
  <c r="E101" i="28"/>
  <c r="E67" i="28"/>
  <c r="E68" i="28"/>
  <c r="E69" i="28"/>
  <c r="E70" i="28"/>
  <c r="E72" i="28"/>
  <c r="E73" i="28"/>
  <c r="E74" i="28"/>
  <c r="E75" i="28"/>
  <c r="E76" i="28"/>
  <c r="E79" i="28"/>
  <c r="E80" i="28"/>
  <c r="E81" i="28"/>
  <c r="E82" i="28"/>
  <c r="E83" i="28"/>
  <c r="E84" i="28"/>
  <c r="E85" i="28"/>
  <c r="E88" i="28"/>
  <c r="E89" i="28"/>
  <c r="E90" i="28"/>
  <c r="E93" i="28"/>
  <c r="E123" i="28"/>
  <c r="E125" i="28"/>
  <c r="E132" i="28"/>
  <c r="E133" i="28"/>
  <c r="E134" i="28"/>
  <c r="E135" i="28"/>
  <c r="E136" i="28"/>
  <c r="E3" i="28"/>
  <c r="E77" i="28"/>
  <c r="E78" i="28"/>
  <c r="D2"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44" i="28"/>
  <c r="D45" i="28"/>
  <c r="D60" i="28"/>
  <c r="D6" i="28"/>
  <c r="D7" i="28"/>
  <c r="D8" i="28"/>
  <c r="D101" i="28"/>
  <c r="D67" i="28"/>
  <c r="D68" i="28"/>
  <c r="D69" i="28"/>
  <c r="D70" i="28"/>
  <c r="D72" i="28"/>
  <c r="D73" i="28"/>
  <c r="D74" i="28"/>
  <c r="D75" i="28"/>
  <c r="D76" i="28"/>
  <c r="D79" i="28"/>
  <c r="D80" i="28"/>
  <c r="D81" i="28"/>
  <c r="D82" i="28"/>
  <c r="D83" i="28"/>
  <c r="D84" i="28"/>
  <c r="D85" i="28"/>
  <c r="D88" i="28"/>
  <c r="D89" i="28"/>
  <c r="D90" i="28"/>
  <c r="D93" i="28"/>
  <c r="D116" i="28"/>
  <c r="D122" i="28"/>
  <c r="D123" i="28"/>
  <c r="D125" i="28"/>
  <c r="D127" i="28"/>
  <c r="D128" i="28"/>
  <c r="D129" i="28"/>
  <c r="D130" i="28"/>
  <c r="D131" i="28"/>
  <c r="D132" i="28"/>
  <c r="D133" i="28"/>
  <c r="D134" i="28"/>
  <c r="D135" i="28"/>
  <c r="D136" i="28"/>
  <c r="D138" i="28"/>
  <c r="D144" i="28"/>
  <c r="D147" i="28"/>
  <c r="D3" i="28"/>
  <c r="D4" i="28"/>
  <c r="D5" i="28"/>
  <c r="D38" i="28"/>
  <c r="D39" i="28"/>
  <c r="D40" i="28"/>
  <c r="D41" i="28"/>
  <c r="D42" i="28"/>
  <c r="D43" i="28"/>
  <c r="D46" i="28"/>
  <c r="D47" i="28"/>
  <c r="D48" i="28"/>
  <c r="D49" i="28"/>
  <c r="D50" i="28"/>
  <c r="D51" i="28"/>
  <c r="D52" i="28"/>
  <c r="D53" i="28"/>
  <c r="D54" i="28"/>
  <c r="D55" i="28"/>
  <c r="D56" i="28"/>
  <c r="D57" i="28"/>
  <c r="D58" i="28"/>
  <c r="D59" i="28"/>
  <c r="D61" i="28"/>
  <c r="D62" i="28"/>
  <c r="D63" i="28"/>
  <c r="D64" i="28"/>
  <c r="D65" i="28"/>
  <c r="D66" i="28"/>
  <c r="D71" i="28"/>
  <c r="D77" i="28"/>
  <c r="D78" i="28"/>
  <c r="D87" i="28"/>
  <c r="D91" i="28"/>
  <c r="D92" i="28"/>
  <c r="D94" i="28"/>
  <c r="D95" i="28"/>
  <c r="D96" i="28"/>
  <c r="D97" i="28"/>
  <c r="D98" i="28"/>
  <c r="D99" i="28"/>
  <c r="D100" i="28"/>
  <c r="D102" i="28"/>
  <c r="D103" i="28"/>
  <c r="D104" i="28"/>
  <c r="D105" i="28"/>
  <c r="D106" i="28"/>
  <c r="D107" i="28"/>
  <c r="D108" i="28"/>
  <c r="D109" i="28"/>
  <c r="D110" i="28"/>
  <c r="D111" i="28"/>
  <c r="D112" i="28"/>
  <c r="D113" i="28"/>
  <c r="D114" i="28"/>
  <c r="D115" i="28"/>
  <c r="D117" i="28"/>
  <c r="D119" i="28"/>
  <c r="D120" i="28"/>
  <c r="D121" i="28"/>
  <c r="D124" i="28"/>
  <c r="D126" i="28"/>
  <c r="D137" i="28"/>
  <c r="D139" i="28"/>
  <c r="D140" i="28"/>
  <c r="D141" i="28"/>
  <c r="D142" i="28"/>
  <c r="D143" i="28"/>
  <c r="D145" i="28"/>
  <c r="D146" i="28"/>
  <c r="C2"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44" i="28"/>
  <c r="C45" i="28"/>
  <c r="C60" i="28"/>
  <c r="C6" i="28"/>
  <c r="C7" i="28"/>
  <c r="C8" i="28"/>
  <c r="C101" i="28"/>
  <c r="C67" i="28"/>
  <c r="C68" i="28"/>
  <c r="C69" i="28"/>
  <c r="C70" i="28"/>
  <c r="C72" i="28"/>
  <c r="C73" i="28"/>
  <c r="C74" i="28"/>
  <c r="C75" i="28"/>
  <c r="C76" i="28"/>
  <c r="C79" i="28"/>
  <c r="C80" i="28"/>
  <c r="C81" i="28"/>
  <c r="C82" i="28"/>
  <c r="C83" i="28"/>
  <c r="C84" i="28"/>
  <c r="C85" i="28"/>
  <c r="C88" i="28"/>
  <c r="C89" i="28"/>
  <c r="C90" i="28"/>
  <c r="C93" i="28"/>
  <c r="C116" i="28"/>
  <c r="C122" i="28"/>
  <c r="C123" i="28"/>
  <c r="C125" i="28"/>
  <c r="C127" i="28"/>
  <c r="C128" i="28"/>
  <c r="C129" i="28"/>
  <c r="C130" i="28"/>
  <c r="C131" i="28"/>
  <c r="C132" i="28"/>
  <c r="C133" i="28"/>
  <c r="C134" i="28"/>
  <c r="C135" i="28"/>
  <c r="C136" i="28"/>
  <c r="C138" i="28"/>
  <c r="C144" i="28"/>
  <c r="C147" i="28"/>
  <c r="C3" i="28"/>
  <c r="C4" i="28"/>
  <c r="C5" i="28"/>
  <c r="C38" i="28"/>
  <c r="C39" i="28"/>
  <c r="C40" i="28"/>
  <c r="C41" i="28"/>
  <c r="C42" i="28"/>
  <c r="C43" i="28"/>
  <c r="C46" i="28"/>
  <c r="C47" i="28"/>
  <c r="C48" i="28"/>
  <c r="C49" i="28"/>
  <c r="C50" i="28"/>
  <c r="C51" i="28"/>
  <c r="C52" i="28"/>
  <c r="C53" i="28"/>
  <c r="C54" i="28"/>
  <c r="C55" i="28"/>
  <c r="C56" i="28"/>
  <c r="C57" i="28"/>
  <c r="C58" i="28"/>
  <c r="C59" i="28"/>
  <c r="C61" i="28"/>
  <c r="C62" i="28"/>
  <c r="C63" i="28"/>
  <c r="C64" i="28"/>
  <c r="C65" i="28"/>
  <c r="C66" i="28"/>
  <c r="C71" i="28"/>
  <c r="C77" i="28"/>
  <c r="C78" i="28"/>
  <c r="C87" i="28"/>
  <c r="C91" i="28"/>
  <c r="C92" i="28"/>
  <c r="C94" i="28"/>
  <c r="C95" i="28"/>
  <c r="C96" i="28"/>
  <c r="C97" i="28"/>
  <c r="C98" i="28"/>
  <c r="C99" i="28"/>
  <c r="C100" i="28"/>
  <c r="C102" i="28"/>
  <c r="C103" i="28"/>
  <c r="C104" i="28"/>
  <c r="C105" i="28"/>
  <c r="C106" i="28"/>
  <c r="C107" i="28"/>
  <c r="C108" i="28"/>
  <c r="C109" i="28"/>
  <c r="C110" i="28"/>
  <c r="C111" i="28"/>
  <c r="C112" i="28"/>
  <c r="C113" i="28"/>
  <c r="C114" i="28"/>
  <c r="C115" i="28"/>
  <c r="C117" i="28"/>
  <c r="C119" i="28"/>
  <c r="C120" i="28"/>
  <c r="C121" i="28"/>
  <c r="C124" i="28"/>
  <c r="C126" i="28"/>
  <c r="C137" i="28"/>
  <c r="C139" i="28"/>
  <c r="C140" i="28"/>
  <c r="C141" i="28"/>
  <c r="C142" i="28"/>
  <c r="C143" i="28"/>
  <c r="C145" i="28"/>
  <c r="C146" i="28"/>
  <c r="B368" i="13"/>
  <c r="C7" i="29" s="1"/>
  <c r="B432" i="13"/>
  <c r="C62" i="29" s="1"/>
  <c r="B379" i="13"/>
  <c r="C130" i="29"/>
  <c r="B380" i="13"/>
  <c r="B498" i="13"/>
  <c r="C46" i="29" s="1"/>
  <c r="B499" i="13"/>
  <c r="C44" i="29" s="1"/>
  <c r="B500" i="13"/>
  <c r="C41" i="29" s="1"/>
  <c r="B501" i="13"/>
  <c r="C45" i="29" s="1"/>
  <c r="B502" i="13"/>
  <c r="C43" i="29" s="1"/>
  <c r="B508" i="13"/>
  <c r="C48" i="29" s="1"/>
  <c r="B514" i="13"/>
  <c r="C47" i="29" s="1"/>
  <c r="B517" i="13"/>
  <c r="C42" i="29" s="1"/>
  <c r="E368" i="13"/>
  <c r="E432" i="13"/>
  <c r="E379" i="13"/>
  <c r="E380" i="13"/>
  <c r="E498" i="13"/>
  <c r="E499" i="13"/>
  <c r="E500" i="13"/>
  <c r="E501" i="13"/>
  <c r="E502" i="13"/>
  <c r="E508" i="13"/>
  <c r="E514" i="13"/>
  <c r="E517" i="13"/>
  <c r="L86" i="8"/>
  <c r="L84" i="8"/>
  <c r="L82" i="8"/>
  <c r="L80" i="8"/>
  <c r="L76" i="8"/>
  <c r="L79" i="8"/>
  <c r="L88" i="8"/>
  <c r="L75" i="8"/>
  <c r="L77" i="8"/>
  <c r="L78" i="8"/>
  <c r="L81" i="8"/>
  <c r="L83" i="8"/>
  <c r="L85" i="8"/>
  <c r="L87" i="8"/>
  <c r="L89" i="8"/>
  <c r="M75" i="8"/>
  <c r="M76" i="8"/>
  <c r="M77" i="8"/>
  <c r="M78" i="8"/>
  <c r="M79" i="8"/>
  <c r="M80" i="8"/>
  <c r="M81" i="8"/>
  <c r="M82" i="8"/>
  <c r="M83" i="8"/>
  <c r="M84" i="8"/>
  <c r="M85" i="8"/>
  <c r="M86" i="8"/>
  <c r="M87" i="8"/>
  <c r="M88" i="8"/>
  <c r="M89" i="8"/>
  <c r="K3" i="18"/>
  <c r="L3" i="18" s="1"/>
  <c r="K4" i="18"/>
  <c r="L4" i="18" s="1"/>
  <c r="K5" i="18"/>
  <c r="L5" i="18" s="1"/>
  <c r="K6" i="18"/>
  <c r="L6" i="18" s="1"/>
  <c r="K7" i="18"/>
  <c r="L7" i="18" s="1"/>
  <c r="K8" i="18"/>
  <c r="L8" i="18" s="1"/>
  <c r="K9" i="18"/>
  <c r="L9" i="18" s="1"/>
  <c r="K10" i="18"/>
  <c r="L10" i="18" s="1"/>
  <c r="K11" i="18"/>
  <c r="L11" i="18" s="1"/>
  <c r="K12" i="18"/>
  <c r="L12" i="18" s="1"/>
  <c r="K13" i="18"/>
  <c r="L13" i="18" s="1"/>
  <c r="K14" i="18"/>
  <c r="L14" i="18" s="1"/>
  <c r="K15" i="18"/>
  <c r="L15" i="18" s="1"/>
  <c r="K16" i="18"/>
  <c r="L16" i="18" s="1"/>
  <c r="K17" i="18"/>
  <c r="L17" i="18" s="1"/>
  <c r="K18" i="18"/>
  <c r="L18" i="18" s="1"/>
  <c r="K19" i="18"/>
  <c r="L19" i="18" s="1"/>
  <c r="K20" i="18"/>
  <c r="L20" i="18" s="1"/>
  <c r="K21" i="18"/>
  <c r="L21" i="18" s="1"/>
  <c r="K22" i="18"/>
  <c r="L22" i="18" s="1"/>
  <c r="K23" i="18"/>
  <c r="L23" i="18" s="1"/>
  <c r="K24" i="18"/>
  <c r="L24" i="18" s="1"/>
  <c r="K25" i="18"/>
  <c r="L25" i="18" s="1"/>
  <c r="K26" i="18"/>
  <c r="L26" i="18" s="1"/>
  <c r="K27" i="18"/>
  <c r="L27" i="18" s="1"/>
  <c r="K28" i="18"/>
  <c r="L28" i="18" s="1"/>
  <c r="K29" i="18"/>
  <c r="L29" i="18" s="1"/>
  <c r="K30" i="18"/>
  <c r="L30" i="18" s="1"/>
  <c r="K31" i="18"/>
  <c r="L31" i="18" s="1"/>
  <c r="K32" i="18"/>
  <c r="L32" i="18" s="1"/>
  <c r="K33" i="18"/>
  <c r="L33" i="18" s="1"/>
  <c r="K34" i="18"/>
  <c r="L34" i="18" s="1"/>
  <c r="K35" i="18"/>
  <c r="L35" i="18" s="1"/>
  <c r="K36" i="18"/>
  <c r="L36" i="18" s="1"/>
  <c r="K37" i="18"/>
  <c r="L37" i="18" s="1"/>
  <c r="K38" i="18"/>
  <c r="L38" i="18" s="1"/>
  <c r="K39" i="18"/>
  <c r="L39" i="18" s="1"/>
  <c r="K40" i="18"/>
  <c r="L40" i="18" s="1"/>
  <c r="K41" i="18"/>
  <c r="L41" i="18" s="1"/>
  <c r="K42" i="18"/>
  <c r="L42" i="18" s="1"/>
  <c r="K43" i="18"/>
  <c r="L43" i="18" s="1"/>
  <c r="K44" i="18"/>
  <c r="L44" i="18" s="1"/>
  <c r="K45" i="18"/>
  <c r="L45" i="18" s="1"/>
  <c r="K46" i="18"/>
  <c r="L46" i="18" s="1"/>
  <c r="K47" i="18"/>
  <c r="L47" i="18" s="1"/>
  <c r="K48" i="18"/>
  <c r="L48" i="18" s="1"/>
  <c r="K49" i="18"/>
  <c r="L49" i="18" s="1"/>
  <c r="K50" i="18"/>
  <c r="L50" i="18" s="1"/>
  <c r="K51" i="18"/>
  <c r="L51" i="18" s="1"/>
  <c r="K52" i="18"/>
  <c r="L52" i="18" s="1"/>
  <c r="K53" i="18"/>
  <c r="L53" i="18" s="1"/>
  <c r="K54" i="18"/>
  <c r="L54" i="18" s="1"/>
  <c r="K55" i="18"/>
  <c r="L55" i="18" s="1"/>
  <c r="K56" i="18"/>
  <c r="L56" i="18" s="1"/>
  <c r="K57" i="18"/>
  <c r="L57" i="18" s="1"/>
  <c r="K58" i="18"/>
  <c r="L58" i="18" s="1"/>
  <c r="K59" i="18"/>
  <c r="L59" i="18" s="1"/>
  <c r="K60" i="18"/>
  <c r="L60" i="18" s="1"/>
  <c r="K61" i="18"/>
  <c r="L61" i="18" s="1"/>
  <c r="K62" i="18"/>
  <c r="L62" i="18" s="1"/>
  <c r="K63" i="18"/>
  <c r="L63" i="18" s="1"/>
  <c r="K64" i="18"/>
  <c r="L64" i="18" s="1"/>
  <c r="K65" i="18"/>
  <c r="L65" i="18" s="1"/>
  <c r="K66" i="18"/>
  <c r="L66" i="18" s="1"/>
  <c r="K67" i="18"/>
  <c r="L67" i="18" s="1"/>
  <c r="K68" i="18"/>
  <c r="L68" i="18" s="1"/>
  <c r="K69" i="18"/>
  <c r="L69" i="18" s="1"/>
  <c r="K70" i="18"/>
  <c r="L70" i="18" s="1"/>
  <c r="K71" i="18"/>
  <c r="L71" i="18" s="1"/>
  <c r="K72" i="18"/>
  <c r="L72" i="18" s="1"/>
  <c r="K73" i="18"/>
  <c r="L73" i="18" s="1"/>
  <c r="K74" i="18"/>
  <c r="L74" i="18" s="1"/>
  <c r="K75" i="18"/>
  <c r="L75" i="18" s="1"/>
  <c r="K76" i="18"/>
  <c r="L76" i="18" s="1"/>
  <c r="K77" i="18"/>
  <c r="L77" i="18" s="1"/>
  <c r="K78" i="18"/>
  <c r="L78" i="18" s="1"/>
  <c r="K79" i="18"/>
  <c r="L79" i="18" s="1"/>
  <c r="K80" i="18"/>
  <c r="L80" i="18" s="1"/>
  <c r="K81" i="18"/>
  <c r="L81" i="18" s="1"/>
  <c r="K82" i="18"/>
  <c r="L82" i="18" s="1"/>
  <c r="K83" i="18"/>
  <c r="L83" i="18" s="1"/>
  <c r="K84" i="18"/>
  <c r="L84" i="18" s="1"/>
  <c r="K85" i="18"/>
  <c r="L85" i="18" s="1"/>
  <c r="K86" i="18"/>
  <c r="L86" i="18" s="1"/>
  <c r="K87" i="18"/>
  <c r="L87" i="18" s="1"/>
  <c r="K88" i="18"/>
  <c r="L88" i="18" s="1"/>
  <c r="K89" i="18"/>
  <c r="L89" i="18" s="1"/>
  <c r="K90" i="18"/>
  <c r="L90" i="18" s="1"/>
  <c r="K91" i="18"/>
  <c r="L91" i="18" s="1"/>
  <c r="K92" i="18"/>
  <c r="L92" i="18" s="1"/>
  <c r="K93" i="18"/>
  <c r="L93" i="18" s="1"/>
  <c r="K94" i="18"/>
  <c r="L94" i="18" s="1"/>
  <c r="K95" i="18"/>
  <c r="L95" i="18" s="1"/>
  <c r="K96" i="18"/>
  <c r="L96" i="18" s="1"/>
  <c r="K97" i="18"/>
  <c r="L97" i="18" s="1"/>
  <c r="K98" i="18"/>
  <c r="L98" i="18" s="1"/>
  <c r="K99" i="18"/>
  <c r="L99" i="18" s="1"/>
  <c r="K100" i="18"/>
  <c r="L100" i="18" s="1"/>
  <c r="K101" i="18"/>
  <c r="L101" i="18" s="1"/>
  <c r="K102" i="18"/>
  <c r="L102" i="18" s="1"/>
  <c r="K103" i="18"/>
  <c r="L103" i="18" s="1"/>
  <c r="K104" i="18"/>
  <c r="L104" i="18" s="1"/>
  <c r="K105" i="18"/>
  <c r="L105" i="18" s="1"/>
  <c r="K106" i="18"/>
  <c r="L106" i="18" s="1"/>
  <c r="K107" i="18"/>
  <c r="L107" i="18" s="1"/>
  <c r="K108" i="18"/>
  <c r="L108" i="18" s="1"/>
  <c r="K109" i="18"/>
  <c r="L109" i="18" s="1"/>
  <c r="K110" i="18"/>
  <c r="L110" i="18" s="1"/>
  <c r="K111" i="18"/>
  <c r="L111" i="18" s="1"/>
  <c r="K112" i="18"/>
  <c r="L112" i="18" s="1"/>
  <c r="K113" i="18"/>
  <c r="L113" i="18" s="1"/>
  <c r="K114" i="18"/>
  <c r="L114" i="18" s="1"/>
  <c r="K115" i="18"/>
  <c r="L115" i="18" s="1"/>
  <c r="K116" i="18"/>
  <c r="L116" i="18" s="1"/>
  <c r="K117" i="18"/>
  <c r="L117" i="18" s="1"/>
  <c r="K118" i="18"/>
  <c r="L118" i="18" s="1"/>
  <c r="K119" i="18"/>
  <c r="L119" i="18" s="1"/>
  <c r="K120" i="18"/>
  <c r="L120" i="18" s="1"/>
  <c r="K121" i="18"/>
  <c r="L121" i="18" s="1"/>
  <c r="K122" i="18"/>
  <c r="L122" i="18" s="1"/>
  <c r="K123" i="18"/>
  <c r="L123" i="18" s="1"/>
  <c r="K124" i="18"/>
  <c r="L124" i="18" s="1"/>
  <c r="K125" i="18"/>
  <c r="L125" i="18" s="1"/>
  <c r="K126" i="18"/>
  <c r="L126" i="18" s="1"/>
  <c r="K127" i="18"/>
  <c r="L127" i="18" s="1"/>
  <c r="K128" i="18"/>
  <c r="L128" i="18" s="1"/>
  <c r="K129" i="18"/>
  <c r="L129" i="18" s="1"/>
  <c r="K130" i="18"/>
  <c r="L130" i="18" s="1"/>
  <c r="K131" i="18"/>
  <c r="L131" i="18" s="1"/>
  <c r="K132" i="18"/>
  <c r="L132" i="18" s="1"/>
  <c r="K133" i="18"/>
  <c r="L133" i="18" s="1"/>
  <c r="K134" i="18"/>
  <c r="L134" i="18" s="1"/>
  <c r="K135" i="18"/>
  <c r="L135" i="18" s="1"/>
  <c r="K136" i="18"/>
  <c r="L136" i="18" s="1"/>
  <c r="K137" i="18"/>
  <c r="L137" i="18" s="1"/>
  <c r="K138" i="18"/>
  <c r="L138" i="18" s="1"/>
  <c r="K139" i="18"/>
  <c r="L139" i="18" s="1"/>
  <c r="K140" i="18"/>
  <c r="L140" i="18" s="1"/>
  <c r="K141" i="18"/>
  <c r="L141" i="18" s="1"/>
  <c r="K142" i="18"/>
  <c r="L142" i="18" s="1"/>
  <c r="K143" i="18"/>
  <c r="L143" i="18" s="1"/>
  <c r="K144" i="18"/>
  <c r="L144" i="18" s="1"/>
  <c r="K145" i="18"/>
  <c r="L145" i="18" s="1"/>
  <c r="K146" i="18"/>
  <c r="L146" i="18" s="1"/>
  <c r="K147" i="18"/>
  <c r="L147" i="18" s="1"/>
  <c r="K148" i="18"/>
  <c r="L148" i="18" s="1"/>
  <c r="K149" i="18"/>
  <c r="L149" i="18" s="1"/>
  <c r="K150" i="18"/>
  <c r="L150" i="18" s="1"/>
  <c r="K151" i="18"/>
  <c r="L151" i="18" s="1"/>
  <c r="K152" i="18"/>
  <c r="L152" i="18" s="1"/>
  <c r="K153" i="18"/>
  <c r="L153" i="18" s="1"/>
  <c r="K154" i="18"/>
  <c r="L154" i="18" s="1"/>
  <c r="K155" i="18"/>
  <c r="L155" i="18" s="1"/>
  <c r="K156" i="18"/>
  <c r="L156" i="18" s="1"/>
  <c r="K157" i="18"/>
  <c r="L157" i="18" s="1"/>
  <c r="K158" i="18"/>
  <c r="L158" i="18" s="1"/>
  <c r="K159" i="18"/>
  <c r="L159" i="18" s="1"/>
  <c r="K160" i="18"/>
  <c r="L160" i="18" s="1"/>
  <c r="K161" i="18"/>
  <c r="L161" i="18" s="1"/>
  <c r="K162" i="18"/>
  <c r="L162" i="18" s="1"/>
  <c r="K163" i="18"/>
  <c r="L163" i="18" s="1"/>
  <c r="K164" i="18"/>
  <c r="L164" i="18" s="1"/>
  <c r="K165" i="18"/>
  <c r="L165" i="18" s="1"/>
  <c r="K166" i="18"/>
  <c r="L166" i="18" s="1"/>
  <c r="K167" i="18"/>
  <c r="L167" i="18" s="1"/>
  <c r="K168" i="18"/>
  <c r="L168" i="18" s="1"/>
  <c r="K169" i="18"/>
  <c r="L169" i="18" s="1"/>
  <c r="K170" i="18"/>
  <c r="L170" i="18" s="1"/>
  <c r="K171" i="18"/>
  <c r="L171" i="18" s="1"/>
  <c r="K172" i="18"/>
  <c r="L172" i="18" s="1"/>
  <c r="K173" i="18"/>
  <c r="L173" i="18" s="1"/>
  <c r="K174" i="18"/>
  <c r="L174" i="18" s="1"/>
  <c r="K175" i="18"/>
  <c r="L175" i="18" s="1"/>
  <c r="K176" i="18"/>
  <c r="L176" i="18" s="1"/>
  <c r="K177" i="18"/>
  <c r="L177" i="18" s="1"/>
  <c r="K178" i="18"/>
  <c r="L178" i="18" s="1"/>
  <c r="K179" i="18"/>
  <c r="L179" i="18" s="1"/>
  <c r="K180" i="18"/>
  <c r="L180" i="18" s="1"/>
  <c r="K181" i="18"/>
  <c r="L181" i="18" s="1"/>
  <c r="K182" i="18"/>
  <c r="L182" i="18" s="1"/>
  <c r="K183" i="18"/>
  <c r="L183" i="18" s="1"/>
  <c r="K184" i="18"/>
  <c r="L184" i="18" s="1"/>
  <c r="K185" i="18"/>
  <c r="L185" i="18" s="1"/>
  <c r="K186" i="18"/>
  <c r="L186" i="18" s="1"/>
  <c r="K187" i="18"/>
  <c r="L187" i="18" s="1"/>
  <c r="K188" i="18"/>
  <c r="L188" i="18" s="1"/>
  <c r="K189" i="18"/>
  <c r="L189" i="18" s="1"/>
  <c r="K190" i="18"/>
  <c r="L190" i="18" s="1"/>
  <c r="K191" i="18"/>
  <c r="L191" i="18" s="1"/>
  <c r="K192" i="18"/>
  <c r="L192" i="18" s="1"/>
  <c r="K193" i="18"/>
  <c r="L193" i="18" s="1"/>
  <c r="K194" i="18"/>
  <c r="L194" i="18" s="1"/>
  <c r="K195" i="18"/>
  <c r="L195" i="18" s="1"/>
  <c r="K196" i="18"/>
  <c r="L196" i="18" s="1"/>
  <c r="K197" i="18"/>
  <c r="L197" i="18" s="1"/>
  <c r="K198" i="18"/>
  <c r="L198" i="18" s="1"/>
  <c r="K199" i="18"/>
  <c r="L199" i="18" s="1"/>
  <c r="K200" i="18"/>
  <c r="L200" i="18" s="1"/>
  <c r="K201" i="18"/>
  <c r="L201" i="18" s="1"/>
  <c r="K202" i="18"/>
  <c r="L202" i="18" s="1"/>
  <c r="K203" i="18"/>
  <c r="L203" i="18" s="1"/>
  <c r="K204" i="18"/>
  <c r="L204" i="18" s="1"/>
  <c r="K205" i="18"/>
  <c r="L205" i="18" s="1"/>
  <c r="K206" i="18"/>
  <c r="L206" i="18" s="1"/>
  <c r="K207" i="18"/>
  <c r="L207" i="18" s="1"/>
  <c r="K208" i="18"/>
  <c r="L208" i="18" s="1"/>
  <c r="K209" i="18"/>
  <c r="L209" i="18" s="1"/>
  <c r="K210" i="18"/>
  <c r="L210" i="18" s="1"/>
  <c r="K211" i="18"/>
  <c r="L211" i="18" s="1"/>
  <c r="K212" i="18"/>
  <c r="L212" i="18" s="1"/>
  <c r="K213" i="18"/>
  <c r="L213" i="18" s="1"/>
  <c r="K214" i="18"/>
  <c r="L214" i="18" s="1"/>
  <c r="K215" i="18"/>
  <c r="L215" i="18" s="1"/>
  <c r="K216" i="18"/>
  <c r="L216" i="18" s="1"/>
  <c r="K217" i="18"/>
  <c r="L217" i="18" s="1"/>
  <c r="K218" i="18"/>
  <c r="L218" i="18" s="1"/>
  <c r="K219" i="18"/>
  <c r="L219" i="18" s="1"/>
  <c r="K220" i="18"/>
  <c r="L220" i="18" s="1"/>
  <c r="K221" i="18"/>
  <c r="L221" i="18" s="1"/>
  <c r="K222" i="18"/>
  <c r="L222" i="18" s="1"/>
  <c r="K223" i="18"/>
  <c r="L223" i="18" s="1"/>
  <c r="K224" i="18"/>
  <c r="L224" i="18" s="1"/>
  <c r="K225" i="18"/>
  <c r="L225" i="18" s="1"/>
  <c r="K226" i="18"/>
  <c r="L226" i="18" s="1"/>
  <c r="K227" i="18"/>
  <c r="L227" i="18" s="1"/>
  <c r="K228" i="18"/>
  <c r="L228" i="18" s="1"/>
  <c r="K229" i="18"/>
  <c r="L229" i="18" s="1"/>
  <c r="K230" i="18"/>
  <c r="L230" i="18" s="1"/>
  <c r="K231" i="18"/>
  <c r="L231" i="18" s="1"/>
  <c r="K232" i="18"/>
  <c r="L232" i="18" s="1"/>
  <c r="K233" i="18"/>
  <c r="L233" i="18" s="1"/>
  <c r="K234" i="18"/>
  <c r="L234" i="18" s="1"/>
  <c r="K235" i="18"/>
  <c r="L235" i="18" s="1"/>
  <c r="K236" i="18"/>
  <c r="L236" i="18" s="1"/>
  <c r="K237" i="18"/>
  <c r="L237" i="18" s="1"/>
  <c r="K238" i="18"/>
  <c r="L238" i="18" s="1"/>
  <c r="K239" i="18"/>
  <c r="L239" i="18" s="1"/>
  <c r="K240" i="18"/>
  <c r="L240" i="18" s="1"/>
  <c r="K241" i="18"/>
  <c r="L241" i="18" s="1"/>
  <c r="K242" i="18"/>
  <c r="L242" i="18" s="1"/>
  <c r="K243" i="18"/>
  <c r="L243" i="18" s="1"/>
  <c r="K244" i="18"/>
  <c r="L244" i="18" s="1"/>
  <c r="K245" i="18"/>
  <c r="L245" i="18" s="1"/>
  <c r="K246" i="18"/>
  <c r="L246" i="18" s="1"/>
  <c r="K247" i="18"/>
  <c r="L247" i="18" s="1"/>
  <c r="K248" i="18"/>
  <c r="L248" i="18" s="1"/>
  <c r="K249" i="18"/>
  <c r="L249" i="18" s="1"/>
  <c r="K250" i="18"/>
  <c r="L250" i="18" s="1"/>
  <c r="K251" i="18"/>
  <c r="L251" i="18" s="1"/>
  <c r="K252" i="18"/>
  <c r="L252" i="18" s="1"/>
  <c r="K253" i="18"/>
  <c r="L253" i="18" s="1"/>
  <c r="K254" i="18"/>
  <c r="L254" i="18" s="1"/>
  <c r="K255" i="18"/>
  <c r="L255" i="18" s="1"/>
  <c r="K256" i="18"/>
  <c r="L256" i="18" s="1"/>
  <c r="K257" i="18"/>
  <c r="L257" i="18" s="1"/>
  <c r="K258" i="18"/>
  <c r="L258" i="18" s="1"/>
  <c r="K259" i="18"/>
  <c r="L259" i="18" s="1"/>
  <c r="K260" i="18"/>
  <c r="L260" i="18" s="1"/>
  <c r="K261" i="18"/>
  <c r="L261" i="18" s="1"/>
  <c r="K262" i="18"/>
  <c r="L262" i="18" s="1"/>
  <c r="K263" i="18"/>
  <c r="L263" i="18" s="1"/>
  <c r="K264" i="18"/>
  <c r="L264" i="18" s="1"/>
  <c r="K265" i="18"/>
  <c r="L265" i="18" s="1"/>
  <c r="K266" i="18"/>
  <c r="L266" i="18" s="1"/>
  <c r="K267" i="18"/>
  <c r="L267" i="18" s="1"/>
  <c r="K268" i="18"/>
  <c r="L268" i="18" s="1"/>
  <c r="K269" i="18"/>
  <c r="L269" i="18" s="1"/>
  <c r="K270" i="18"/>
  <c r="L270" i="18" s="1"/>
  <c r="K271" i="18"/>
  <c r="L271" i="18" s="1"/>
  <c r="K272" i="18"/>
  <c r="L272" i="18" s="1"/>
  <c r="K273" i="18"/>
  <c r="L273" i="18" s="1"/>
  <c r="K274" i="18"/>
  <c r="L274" i="18" s="1"/>
  <c r="K275" i="18"/>
  <c r="L275" i="18" s="1"/>
  <c r="K276" i="18"/>
  <c r="L276" i="18" s="1"/>
  <c r="K277" i="18"/>
  <c r="L277" i="18" s="1"/>
  <c r="K278" i="18"/>
  <c r="L278" i="18" s="1"/>
  <c r="K279" i="18"/>
  <c r="L279" i="18" s="1"/>
  <c r="K280" i="18"/>
  <c r="L280" i="18" s="1"/>
  <c r="K281" i="18"/>
  <c r="L281" i="18" s="1"/>
  <c r="K282" i="18"/>
  <c r="L282" i="18" s="1"/>
  <c r="K283" i="18"/>
  <c r="L283" i="18" s="1"/>
  <c r="K284" i="18"/>
  <c r="L284" i="18" s="1"/>
  <c r="K285" i="18"/>
  <c r="L285" i="18" s="1"/>
  <c r="K286" i="18"/>
  <c r="L286" i="18" s="1"/>
  <c r="K287" i="18"/>
  <c r="L287" i="18" s="1"/>
  <c r="K288" i="18"/>
  <c r="L288" i="18" s="1"/>
  <c r="K289" i="18"/>
  <c r="L289" i="18" s="1"/>
  <c r="K290" i="18"/>
  <c r="L290" i="18" s="1"/>
  <c r="K291" i="18"/>
  <c r="L291" i="18" s="1"/>
  <c r="K292" i="18"/>
  <c r="L292" i="18" s="1"/>
  <c r="K293" i="18"/>
  <c r="L293" i="18" s="1"/>
  <c r="K294" i="18"/>
  <c r="L294" i="18" s="1"/>
  <c r="K295" i="18"/>
  <c r="L295" i="18" s="1"/>
  <c r="K296" i="18"/>
  <c r="L296" i="18" s="1"/>
  <c r="K297" i="18"/>
  <c r="L297" i="18" s="1"/>
  <c r="K298" i="18"/>
  <c r="L298" i="18" s="1"/>
  <c r="K299" i="18"/>
  <c r="L299" i="18" s="1"/>
  <c r="K300" i="18"/>
  <c r="L300" i="18" s="1"/>
  <c r="K301" i="18"/>
  <c r="L301" i="18" s="1"/>
  <c r="K302" i="18"/>
  <c r="L302" i="18" s="1"/>
  <c r="K303" i="18"/>
  <c r="L303" i="18" s="1"/>
  <c r="K304" i="18"/>
  <c r="L304" i="18" s="1"/>
  <c r="K305" i="18"/>
  <c r="L305" i="18" s="1"/>
  <c r="K306" i="18"/>
  <c r="L306" i="18" s="1"/>
  <c r="K307" i="18"/>
  <c r="L307" i="18" s="1"/>
  <c r="K308" i="18"/>
  <c r="L308" i="18" s="1"/>
  <c r="K309" i="18"/>
  <c r="L309" i="18" s="1"/>
  <c r="K310" i="18"/>
  <c r="L310" i="18" s="1"/>
  <c r="K311" i="18"/>
  <c r="L311" i="18" s="1"/>
  <c r="K312" i="18"/>
  <c r="L312" i="18" s="1"/>
  <c r="K313" i="18"/>
  <c r="L313" i="18" s="1"/>
  <c r="K314" i="18"/>
  <c r="L314" i="18" s="1"/>
  <c r="K315" i="18"/>
  <c r="L315" i="18" s="1"/>
  <c r="K316" i="18"/>
  <c r="L316" i="18" s="1"/>
  <c r="K317" i="18"/>
  <c r="L317" i="18" s="1"/>
  <c r="K318" i="18"/>
  <c r="L318" i="18" s="1"/>
  <c r="K319" i="18"/>
  <c r="L319" i="18" s="1"/>
  <c r="K320" i="18"/>
  <c r="L320" i="18" s="1"/>
  <c r="K321" i="18"/>
  <c r="L321" i="18" s="1"/>
  <c r="K322" i="18"/>
  <c r="L322" i="18" s="1"/>
  <c r="K323" i="18"/>
  <c r="L323" i="18" s="1"/>
  <c r="K324" i="18"/>
  <c r="L324" i="18" s="1"/>
  <c r="K325" i="18"/>
  <c r="L325" i="18" s="1"/>
  <c r="K326" i="18"/>
  <c r="L326" i="18" s="1"/>
  <c r="K327" i="18"/>
  <c r="L327" i="18" s="1"/>
  <c r="K328" i="18"/>
  <c r="L328" i="18" s="1"/>
  <c r="K329" i="18"/>
  <c r="L329" i="18" s="1"/>
  <c r="K330" i="18"/>
  <c r="L330" i="18" s="1"/>
  <c r="K331" i="18"/>
  <c r="L331" i="18" s="1"/>
  <c r="K332" i="18"/>
  <c r="L332" i="18" s="1"/>
  <c r="K333" i="18"/>
  <c r="L333" i="18" s="1"/>
  <c r="K334" i="18"/>
  <c r="L334" i="18" s="1"/>
  <c r="K335" i="18"/>
  <c r="L335" i="18" s="1"/>
  <c r="K336" i="18"/>
  <c r="L336" i="18" s="1"/>
  <c r="K337" i="18"/>
  <c r="L337" i="18" s="1"/>
  <c r="K338" i="18"/>
  <c r="L338" i="18" s="1"/>
  <c r="K339" i="18"/>
  <c r="L339" i="18" s="1"/>
  <c r="K340" i="18"/>
  <c r="L340" i="18" s="1"/>
  <c r="K341" i="18"/>
  <c r="L341" i="18" s="1"/>
  <c r="K342" i="18"/>
  <c r="L342" i="18" s="1"/>
  <c r="K343" i="18"/>
  <c r="L343" i="18" s="1"/>
  <c r="K344" i="18"/>
  <c r="L344" i="18" s="1"/>
  <c r="K345" i="18"/>
  <c r="L345" i="18" s="1"/>
  <c r="K346" i="18"/>
  <c r="L346" i="18" s="1"/>
  <c r="K347" i="18"/>
  <c r="L347" i="18" s="1"/>
  <c r="K348" i="18"/>
  <c r="L348" i="18" s="1"/>
  <c r="K349" i="18"/>
  <c r="L349" i="18" s="1"/>
  <c r="K350" i="18"/>
  <c r="L350" i="18" s="1"/>
  <c r="K351" i="18"/>
  <c r="L351" i="18" s="1"/>
  <c r="K352" i="18"/>
  <c r="L352" i="18" s="1"/>
  <c r="K353" i="18"/>
  <c r="L353" i="18" s="1"/>
  <c r="K354" i="18"/>
  <c r="L354" i="18" s="1"/>
  <c r="K355" i="18"/>
  <c r="L355" i="18" s="1"/>
  <c r="K356" i="18"/>
  <c r="L356" i="18" s="1"/>
  <c r="K357" i="18"/>
  <c r="L357" i="18" s="1"/>
  <c r="K358" i="18"/>
  <c r="L358" i="18" s="1"/>
  <c r="K359" i="18"/>
  <c r="L359" i="18" s="1"/>
  <c r="K360" i="18"/>
  <c r="L360" i="18" s="1"/>
  <c r="K361" i="18"/>
  <c r="L361" i="18" s="1"/>
  <c r="K362" i="18"/>
  <c r="L362" i="18" s="1"/>
  <c r="K363" i="18"/>
  <c r="L363" i="18" s="1"/>
  <c r="K364" i="18"/>
  <c r="L364" i="18" s="1"/>
  <c r="K365" i="18"/>
  <c r="L365" i="18" s="1"/>
  <c r="K366" i="18"/>
  <c r="L366" i="18" s="1"/>
  <c r="K367" i="18"/>
  <c r="L367" i="18" s="1"/>
  <c r="K368" i="18"/>
  <c r="L368" i="18" s="1"/>
  <c r="K369" i="18"/>
  <c r="L369" i="18" s="1"/>
  <c r="K370" i="18"/>
  <c r="L370" i="18" s="1"/>
  <c r="K371" i="18"/>
  <c r="L371" i="18" s="1"/>
  <c r="K372" i="18"/>
  <c r="L372" i="18" s="1"/>
  <c r="K373" i="18"/>
  <c r="L373" i="18" s="1"/>
  <c r="K374" i="18"/>
  <c r="L374" i="18" s="1"/>
  <c r="K375" i="18"/>
  <c r="L375" i="18" s="1"/>
  <c r="K376" i="18"/>
  <c r="L376" i="18" s="1"/>
  <c r="K377" i="18"/>
  <c r="L377" i="18" s="1"/>
  <c r="K378" i="18"/>
  <c r="L378" i="18" s="1"/>
  <c r="K379" i="18"/>
  <c r="L379" i="18" s="1"/>
  <c r="K380" i="18"/>
  <c r="L380" i="18" s="1"/>
  <c r="K381" i="18"/>
  <c r="L381" i="18" s="1"/>
  <c r="K382" i="18"/>
  <c r="L382" i="18" s="1"/>
  <c r="K383" i="18"/>
  <c r="L383" i="18" s="1"/>
  <c r="K384" i="18"/>
  <c r="L384" i="18" s="1"/>
  <c r="K385" i="18"/>
  <c r="L385" i="18" s="1"/>
  <c r="K386" i="18"/>
  <c r="L386" i="18" s="1"/>
  <c r="K387" i="18"/>
  <c r="L387" i="18" s="1"/>
  <c r="K388" i="18"/>
  <c r="L388" i="18" s="1"/>
  <c r="K389" i="18"/>
  <c r="L389" i="18" s="1"/>
  <c r="K390" i="18"/>
  <c r="L390" i="18" s="1"/>
  <c r="K391" i="18"/>
  <c r="L391" i="18" s="1"/>
  <c r="K392" i="18"/>
  <c r="L392" i="18" s="1"/>
  <c r="K393" i="18"/>
  <c r="L393" i="18" s="1"/>
  <c r="K394" i="18"/>
  <c r="L394" i="18" s="1"/>
  <c r="K395" i="18"/>
  <c r="L395" i="18" s="1"/>
  <c r="K396" i="18"/>
  <c r="L396" i="18" s="1"/>
  <c r="K397" i="18"/>
  <c r="L397" i="18" s="1"/>
  <c r="K398" i="18"/>
  <c r="L398" i="18" s="1"/>
  <c r="K399" i="18"/>
  <c r="L399" i="18" s="1"/>
  <c r="K400" i="18"/>
  <c r="L400" i="18" s="1"/>
  <c r="K401" i="18"/>
  <c r="L401" i="18" s="1"/>
  <c r="K402" i="18"/>
  <c r="L402" i="18" s="1"/>
  <c r="K403" i="18"/>
  <c r="L403" i="18" s="1"/>
  <c r="K404" i="18"/>
  <c r="L404" i="18" s="1"/>
  <c r="K405" i="18"/>
  <c r="L405" i="18" s="1"/>
  <c r="K406" i="18"/>
  <c r="L406" i="18" s="1"/>
  <c r="K407" i="18"/>
  <c r="L407" i="18" s="1"/>
  <c r="K408" i="18"/>
  <c r="L408" i="18" s="1"/>
  <c r="K409" i="18"/>
  <c r="L409" i="18" s="1"/>
  <c r="K410" i="18"/>
  <c r="L410" i="18" s="1"/>
  <c r="K411" i="18"/>
  <c r="L411" i="18" s="1"/>
  <c r="K412" i="18"/>
  <c r="L412" i="18" s="1"/>
  <c r="K413" i="18"/>
  <c r="K414" i="18"/>
  <c r="L414" i="18" s="1"/>
  <c r="K415" i="18"/>
  <c r="L415" i="18" s="1"/>
  <c r="K416" i="18"/>
  <c r="K417" i="18"/>
  <c r="L417" i="18" s="1"/>
  <c r="K418" i="18"/>
  <c r="K419" i="18"/>
  <c r="L419" i="18" s="1"/>
  <c r="K420" i="18"/>
  <c r="K421" i="18"/>
  <c r="L421" i="18" s="1"/>
  <c r="K422" i="18"/>
  <c r="L422" i="18" s="1"/>
  <c r="K423" i="18"/>
  <c r="L423" i="18" s="1"/>
  <c r="K424" i="18"/>
  <c r="L424" i="18" s="1"/>
  <c r="K425" i="18"/>
  <c r="K426" i="18"/>
  <c r="L426" i="18" s="1"/>
  <c r="K427" i="18"/>
  <c r="L427" i="18" s="1"/>
  <c r="K428" i="18"/>
  <c r="L428" i="18" s="1"/>
  <c r="K429" i="18"/>
  <c r="K430" i="18"/>
  <c r="K431" i="18"/>
  <c r="K432" i="18"/>
  <c r="K433" i="18"/>
  <c r="L433" i="18" s="1"/>
  <c r="K434" i="18"/>
  <c r="L434" i="18" s="1"/>
  <c r="K435" i="18"/>
  <c r="K436" i="18"/>
  <c r="L436" i="18" s="1"/>
  <c r="K437" i="18"/>
  <c r="K438" i="18"/>
  <c r="K439" i="18"/>
  <c r="L439" i="18" s="1"/>
  <c r="K440" i="18"/>
  <c r="K441" i="18"/>
  <c r="K442" i="18"/>
  <c r="K443" i="18"/>
  <c r="K444" i="18"/>
  <c r="L444" i="18" s="1"/>
  <c r="K445" i="18"/>
  <c r="L445" i="18" s="1"/>
  <c r="K446" i="18"/>
  <c r="L446" i="18" s="1"/>
  <c r="K447" i="18"/>
  <c r="L447" i="18" s="1"/>
  <c r="K448" i="18"/>
  <c r="K449" i="18"/>
  <c r="L449" i="18" s="1"/>
  <c r="K450" i="18"/>
  <c r="L450" i="18" s="1"/>
  <c r="K451" i="18"/>
  <c r="K452" i="18"/>
  <c r="L452" i="18" s="1"/>
  <c r="K453" i="18"/>
  <c r="L453" i="18" s="1"/>
  <c r="K454" i="18"/>
  <c r="L454" i="18" s="1"/>
  <c r="K455" i="18"/>
  <c r="L455" i="18" s="1"/>
  <c r="K456" i="18"/>
  <c r="L456" i="18" s="1"/>
  <c r="K457" i="18"/>
  <c r="K458" i="18"/>
  <c r="L458" i="18" s="1"/>
  <c r="K459" i="18"/>
  <c r="L459" i="18" s="1"/>
  <c r="K460" i="18"/>
  <c r="L460" i="18" s="1"/>
  <c r="K461" i="18"/>
  <c r="L461" i="18" s="1"/>
  <c r="K462" i="18"/>
  <c r="L462" i="18" s="1"/>
  <c r="K463" i="18"/>
  <c r="K464" i="18"/>
  <c r="L464" i="18" s="1"/>
  <c r="K465" i="18"/>
  <c r="L465" i="18" s="1"/>
  <c r="K466" i="18"/>
  <c r="L466" i="18" s="1"/>
  <c r="K467" i="18"/>
  <c r="L467" i="18" s="1"/>
  <c r="K468" i="18"/>
  <c r="K469" i="18"/>
  <c r="K470" i="18"/>
  <c r="L470" i="18" s="1"/>
  <c r="K471" i="18"/>
  <c r="L471" i="18" s="1"/>
  <c r="K472" i="18"/>
  <c r="L472" i="18" s="1"/>
  <c r="K473" i="18"/>
  <c r="L473" i="18" s="1"/>
  <c r="K474" i="18"/>
  <c r="K475" i="18"/>
  <c r="L475" i="18" s="1"/>
  <c r="K476" i="18"/>
  <c r="L476" i="18" s="1"/>
  <c r="K477" i="18"/>
  <c r="L477" i="18" s="1"/>
  <c r="K478" i="18"/>
  <c r="K479" i="18"/>
  <c r="L479" i="18" s="1"/>
  <c r="K480" i="18"/>
  <c r="L480" i="18" s="1"/>
  <c r="K481" i="18"/>
  <c r="K482" i="18"/>
  <c r="L482" i="18" s="1"/>
  <c r="K483" i="18"/>
  <c r="L483" i="18" s="1"/>
  <c r="K484" i="18"/>
  <c r="K485" i="18"/>
  <c r="L485" i="18" s="1"/>
  <c r="K486" i="18"/>
  <c r="L486" i="18" s="1"/>
  <c r="K487" i="18"/>
  <c r="K488" i="18"/>
  <c r="L488" i="18" s="1"/>
  <c r="K489" i="18"/>
  <c r="L489" i="18" s="1"/>
  <c r="K490" i="18"/>
  <c r="L490" i="18" s="1"/>
  <c r="K491" i="18"/>
  <c r="K492" i="18"/>
  <c r="L492" i="18" s="1"/>
  <c r="K493" i="18"/>
  <c r="L493" i="18" s="1"/>
  <c r="K494" i="18"/>
  <c r="L494" i="18" s="1"/>
  <c r="K495" i="18"/>
  <c r="K496" i="18"/>
  <c r="L496" i="18" s="1"/>
  <c r="K497" i="18"/>
  <c r="L497" i="18" s="1"/>
  <c r="K498" i="18"/>
  <c r="L498" i="18" s="1"/>
  <c r="K499" i="18"/>
  <c r="L499" i="18" s="1"/>
  <c r="K500" i="18"/>
  <c r="K501" i="18"/>
  <c r="L501" i="18" s="1"/>
  <c r="K502" i="18"/>
  <c r="L502" i="18" s="1"/>
  <c r="K503" i="18"/>
  <c r="L503" i="18" s="1"/>
  <c r="K504" i="18"/>
  <c r="K505" i="18"/>
  <c r="L505" i="18" s="1"/>
  <c r="K506" i="18"/>
  <c r="K507" i="18"/>
  <c r="L507" i="18" s="1"/>
  <c r="K508" i="18"/>
  <c r="L508" i="18" s="1"/>
  <c r="K509" i="18"/>
  <c r="K510" i="18"/>
  <c r="K511" i="18"/>
  <c r="K512" i="18"/>
  <c r="K513" i="18"/>
  <c r="K514" i="18"/>
  <c r="L514" i="18" s="1"/>
  <c r="K515" i="18"/>
  <c r="K516" i="18"/>
  <c r="L516" i="18" s="1"/>
  <c r="K517" i="18"/>
  <c r="K518" i="18"/>
  <c r="L518" i="18" s="1"/>
  <c r="K519" i="18"/>
  <c r="L519" i="18" s="1"/>
  <c r="K520" i="18"/>
  <c r="K521" i="18"/>
  <c r="L521" i="18" s="1"/>
  <c r="K522" i="18"/>
  <c r="K523" i="18"/>
  <c r="L523" i="18" s="1"/>
  <c r="K524" i="18"/>
  <c r="L524" i="18" s="1"/>
  <c r="K525" i="18"/>
  <c r="K526" i="18"/>
  <c r="L526" i="18" s="1"/>
  <c r="K527" i="18"/>
  <c r="K528" i="18"/>
  <c r="K529" i="18"/>
  <c r="K530" i="18"/>
  <c r="L530" i="18" s="1"/>
  <c r="K531" i="18"/>
  <c r="K532" i="18"/>
  <c r="L532" i="18" s="1"/>
  <c r="K533" i="18"/>
  <c r="L533" i="18" s="1"/>
  <c r="K534" i="18"/>
  <c r="K535" i="18"/>
  <c r="L535" i="18" s="1"/>
  <c r="K536" i="18"/>
  <c r="L536" i="18" s="1"/>
  <c r="K537" i="18"/>
  <c r="L537" i="18" s="1"/>
  <c r="K538" i="18"/>
  <c r="L538" i="18" s="1"/>
  <c r="K539" i="18"/>
  <c r="L539" i="18" s="1"/>
  <c r="K540" i="18"/>
  <c r="L540" i="18" s="1"/>
  <c r="K541" i="18"/>
  <c r="K542" i="18"/>
  <c r="L542" i="18" s="1"/>
  <c r="K543" i="18"/>
  <c r="L543" i="18" s="1"/>
  <c r="K544" i="18"/>
  <c r="L544" i="18" s="1"/>
  <c r="K545" i="18"/>
  <c r="L545" i="18" s="1"/>
  <c r="K546" i="18"/>
  <c r="L546" i="18" s="1"/>
  <c r="K547" i="18"/>
  <c r="K548" i="18"/>
  <c r="L548" i="18" s="1"/>
  <c r="K549" i="18"/>
  <c r="L549" i="18" s="1"/>
  <c r="K550" i="18"/>
  <c r="K551" i="18"/>
  <c r="L551" i="18" s="1"/>
  <c r="K552" i="18"/>
  <c r="K553" i="18"/>
  <c r="L553" i="18" s="1"/>
  <c r="K554" i="18"/>
  <c r="K555" i="18"/>
  <c r="L555" i="18" s="1"/>
  <c r="K556" i="18"/>
  <c r="L556" i="18" s="1"/>
  <c r="K557" i="18"/>
  <c r="L557" i="18" s="1"/>
  <c r="K558" i="18"/>
  <c r="L558" i="18" s="1"/>
  <c r="K559" i="18"/>
  <c r="L559" i="18" s="1"/>
  <c r="K560" i="18"/>
  <c r="L560" i="18" s="1"/>
  <c r="K561" i="18"/>
  <c r="L561" i="18" s="1"/>
  <c r="K562" i="18"/>
  <c r="L562" i="18" s="1"/>
  <c r="K563" i="18"/>
  <c r="L563" i="18" s="1"/>
  <c r="K564" i="18"/>
  <c r="L564" i="18" s="1"/>
  <c r="K565" i="18"/>
  <c r="K566" i="18"/>
  <c r="K567" i="18"/>
  <c r="L567" i="18" s="1"/>
  <c r="K568" i="18"/>
  <c r="L568" i="18" s="1"/>
  <c r="K569" i="18"/>
  <c r="K570" i="18"/>
  <c r="K571" i="18"/>
  <c r="L571" i="18" s="1"/>
  <c r="K572" i="18"/>
  <c r="L572" i="18" s="1"/>
  <c r="K573" i="18"/>
  <c r="L573" i="18" s="1"/>
  <c r="K574" i="18"/>
  <c r="L574" i="18" s="1"/>
  <c r="K575" i="18"/>
  <c r="L575" i="18" s="1"/>
  <c r="K576" i="18"/>
  <c r="L576" i="18" s="1"/>
  <c r="K577" i="18"/>
  <c r="L577" i="18" s="1"/>
  <c r="K578" i="18"/>
  <c r="L578" i="18" s="1"/>
  <c r="K579" i="18"/>
  <c r="L579" i="18" s="1"/>
  <c r="K580" i="18"/>
  <c r="L580" i="18" s="1"/>
  <c r="K581" i="18"/>
  <c r="L581" i="18" s="1"/>
  <c r="K582" i="18"/>
  <c r="L582" i="18" s="1"/>
  <c r="K583" i="18"/>
  <c r="L583" i="18" s="1"/>
  <c r="K584" i="18"/>
  <c r="L584" i="18" s="1"/>
  <c r="K585" i="18"/>
  <c r="L585" i="18" s="1"/>
  <c r="K586" i="18"/>
  <c r="L586" i="18" s="1"/>
  <c r="K587" i="18"/>
  <c r="L587" i="18" s="1"/>
  <c r="K588" i="18"/>
  <c r="L588" i="18" s="1"/>
  <c r="K589" i="18"/>
  <c r="L589" i="18" s="1"/>
  <c r="K590" i="18"/>
  <c r="L590" i="18" s="1"/>
  <c r="K591" i="18"/>
  <c r="L591" i="18" s="1"/>
  <c r="K592" i="18"/>
  <c r="L592" i="18" s="1"/>
  <c r="K593" i="18"/>
  <c r="L593" i="18" s="1"/>
  <c r="K594" i="18"/>
  <c r="L594" i="18" s="1"/>
  <c r="K595" i="18"/>
  <c r="L595" i="18" s="1"/>
  <c r="K596" i="18"/>
  <c r="L596" i="18" s="1"/>
  <c r="K597" i="18"/>
  <c r="L597" i="18" s="1"/>
  <c r="K598" i="18"/>
  <c r="L598" i="18" s="1"/>
  <c r="K599" i="18"/>
  <c r="L599" i="18" s="1"/>
  <c r="K600" i="18"/>
  <c r="L600" i="18" s="1"/>
  <c r="K601" i="18"/>
  <c r="L601" i="18" s="1"/>
  <c r="K602" i="18"/>
  <c r="L602" i="18" s="1"/>
  <c r="K603" i="18"/>
  <c r="L603" i="18" s="1"/>
  <c r="K604" i="18"/>
  <c r="L604" i="18" s="1"/>
  <c r="K605" i="18"/>
  <c r="L605" i="18" s="1"/>
  <c r="K606" i="18"/>
  <c r="L606" i="18" s="1"/>
  <c r="K607" i="18"/>
  <c r="L607" i="18" s="1"/>
  <c r="K608" i="18"/>
  <c r="L608" i="18" s="1"/>
  <c r="K609" i="18"/>
  <c r="L609" i="18" s="1"/>
  <c r="K610" i="18"/>
  <c r="L610" i="18" s="1"/>
  <c r="K611" i="18"/>
  <c r="L611" i="18" s="1"/>
  <c r="K612" i="18"/>
  <c r="L612" i="18" s="1"/>
  <c r="K613" i="18"/>
  <c r="L613" i="18" s="1"/>
  <c r="K614" i="18"/>
  <c r="L614" i="18" s="1"/>
  <c r="K615" i="18"/>
  <c r="L615" i="18" s="1"/>
  <c r="K616" i="18"/>
  <c r="L616" i="18" s="1"/>
  <c r="K617" i="18"/>
  <c r="L617" i="18" s="1"/>
  <c r="K618" i="18"/>
  <c r="L618" i="18" s="1"/>
  <c r="K619" i="18"/>
  <c r="L619" i="18" s="1"/>
  <c r="K620" i="18"/>
  <c r="L620" i="18" s="1"/>
  <c r="K621" i="18"/>
  <c r="L621" i="18" s="1"/>
  <c r="K622" i="18"/>
  <c r="L622" i="18" s="1"/>
  <c r="K623" i="18"/>
  <c r="L623" i="18" s="1"/>
  <c r="K624" i="18"/>
  <c r="L624" i="18" s="1"/>
  <c r="K625" i="18"/>
  <c r="L625" i="18" s="1"/>
  <c r="K626" i="18"/>
  <c r="L626" i="18" s="1"/>
  <c r="K627" i="18"/>
  <c r="L627" i="18" s="1"/>
  <c r="K628" i="18"/>
  <c r="L628" i="18" s="1"/>
  <c r="K629" i="18"/>
  <c r="L629" i="18" s="1"/>
  <c r="K630" i="18"/>
  <c r="L630" i="18" s="1"/>
  <c r="K631" i="18"/>
  <c r="L631" i="18" s="1"/>
  <c r="K632" i="18"/>
  <c r="L632" i="18" s="1"/>
  <c r="K633" i="18"/>
  <c r="L633" i="18" s="1"/>
  <c r="K634" i="18"/>
  <c r="L634" i="18" s="1"/>
  <c r="K635" i="18"/>
  <c r="L635" i="18" s="1"/>
  <c r="K636" i="18"/>
  <c r="L636" i="18" s="1"/>
  <c r="K637" i="18"/>
  <c r="L637" i="18" s="1"/>
  <c r="K638" i="18"/>
  <c r="L638" i="18" s="1"/>
  <c r="K639" i="18"/>
  <c r="L639" i="18" s="1"/>
  <c r="K640" i="18"/>
  <c r="L640" i="18" s="1"/>
  <c r="K641" i="18"/>
  <c r="L641" i="18" s="1"/>
  <c r="K642" i="18"/>
  <c r="L642" i="18" s="1"/>
  <c r="K643" i="18"/>
  <c r="L643" i="18" s="1"/>
  <c r="K644" i="18"/>
  <c r="L644" i="18" s="1"/>
  <c r="K645" i="18"/>
  <c r="L645" i="18" s="1"/>
  <c r="K646" i="18"/>
  <c r="L646" i="18" s="1"/>
  <c r="K647" i="18"/>
  <c r="L647" i="18" s="1"/>
  <c r="K648" i="18"/>
  <c r="L648" i="18" s="1"/>
  <c r="K649" i="18"/>
  <c r="L649" i="18" s="1"/>
  <c r="K650" i="18"/>
  <c r="L650" i="18" s="1"/>
  <c r="K651" i="18"/>
  <c r="L651" i="18" s="1"/>
  <c r="K652" i="18"/>
  <c r="L652" i="18" s="1"/>
  <c r="K653" i="18"/>
  <c r="L653" i="18" s="1"/>
  <c r="K654" i="18"/>
  <c r="L654" i="18" s="1"/>
  <c r="K655" i="18"/>
  <c r="L655" i="18" s="1"/>
  <c r="K656" i="18"/>
  <c r="L656" i="18" s="1"/>
  <c r="K657" i="18"/>
  <c r="L657" i="18" s="1"/>
  <c r="K658" i="18"/>
  <c r="L658" i="18" s="1"/>
  <c r="K659" i="18"/>
  <c r="L659" i="18" s="1"/>
  <c r="K660" i="18"/>
  <c r="L660" i="18" s="1"/>
  <c r="K661" i="18"/>
  <c r="L661" i="18" s="1"/>
  <c r="K662" i="18"/>
  <c r="L662" i="18" s="1"/>
  <c r="K663" i="18"/>
  <c r="L663" i="18" s="1"/>
  <c r="K664" i="18"/>
  <c r="L664" i="18" s="1"/>
  <c r="K665" i="18"/>
  <c r="L665" i="18" s="1"/>
  <c r="K666" i="18"/>
  <c r="L666" i="18" s="1"/>
  <c r="K667" i="18"/>
  <c r="K668" i="18"/>
  <c r="L668" i="18" s="1"/>
  <c r="K669" i="18"/>
  <c r="L669" i="18" s="1"/>
  <c r="K670" i="18"/>
  <c r="L670" i="18" s="1"/>
  <c r="K671" i="18"/>
  <c r="L671" i="18" s="1"/>
  <c r="K672" i="18"/>
  <c r="L672" i="18" s="1"/>
  <c r="K673" i="18"/>
  <c r="L673" i="18" s="1"/>
  <c r="K674" i="18"/>
  <c r="L674" i="18" s="1"/>
  <c r="K675" i="18"/>
  <c r="L675" i="18" s="1"/>
  <c r="K676" i="18"/>
  <c r="L676" i="18" s="1"/>
  <c r="K677" i="18"/>
  <c r="L677" i="18" s="1"/>
  <c r="K678" i="18"/>
  <c r="L678" i="18" s="1"/>
  <c r="K679" i="18"/>
  <c r="L679" i="18" s="1"/>
  <c r="K680" i="18"/>
  <c r="L680" i="18" s="1"/>
  <c r="K681" i="18"/>
  <c r="L681" i="18" s="1"/>
  <c r="K682" i="18"/>
  <c r="L682" i="18" s="1"/>
  <c r="K683" i="18"/>
  <c r="L683" i="18" s="1"/>
  <c r="K684" i="18"/>
  <c r="L684" i="18" s="1"/>
  <c r="K685" i="18"/>
  <c r="L685" i="18" s="1"/>
  <c r="K686" i="18"/>
  <c r="L686" i="18" s="1"/>
  <c r="K687" i="18"/>
  <c r="L687" i="18" s="1"/>
  <c r="K688" i="18"/>
  <c r="L688" i="18" s="1"/>
  <c r="K689" i="18"/>
  <c r="L689" i="18" s="1"/>
  <c r="K690" i="18"/>
  <c r="L690" i="18" s="1"/>
  <c r="K691" i="18"/>
  <c r="L691" i="18" s="1"/>
  <c r="K692" i="18"/>
  <c r="L692" i="18" s="1"/>
  <c r="K693" i="18"/>
  <c r="L693" i="18"/>
  <c r="K694" i="18"/>
  <c r="L694" i="18" s="1"/>
  <c r="K695" i="18"/>
  <c r="L695" i="18" s="1"/>
  <c r="K696" i="18"/>
  <c r="L696" i="18" s="1"/>
  <c r="K697" i="18"/>
  <c r="L697" i="18" s="1"/>
  <c r="K698" i="18"/>
  <c r="L698" i="18" s="1"/>
  <c r="K699" i="18"/>
  <c r="L699" i="18" s="1"/>
  <c r="K700" i="18"/>
  <c r="L700" i="18" s="1"/>
  <c r="K701" i="18"/>
  <c r="L701" i="18" s="1"/>
  <c r="K702" i="18"/>
  <c r="L702" i="18" s="1"/>
  <c r="K703" i="18"/>
  <c r="L703" i="18" s="1"/>
  <c r="K704" i="18"/>
  <c r="L704" i="18" s="1"/>
  <c r="K705" i="18"/>
  <c r="L705" i="18" s="1"/>
  <c r="K706" i="18"/>
  <c r="L706" i="18" s="1"/>
  <c r="K707" i="18"/>
  <c r="L707" i="18" s="1"/>
  <c r="K708" i="18"/>
  <c r="L708" i="18" s="1"/>
  <c r="K709" i="18"/>
  <c r="L709" i="18" s="1"/>
  <c r="K710" i="18"/>
  <c r="L710" i="18" s="1"/>
  <c r="K711" i="18"/>
  <c r="L711" i="18" s="1"/>
  <c r="K712" i="18"/>
  <c r="L712" i="18" s="1"/>
  <c r="K713" i="18"/>
  <c r="L713" i="18" s="1"/>
  <c r="K714" i="18"/>
  <c r="K2" i="18"/>
  <c r="L2" i="18" s="1"/>
  <c r="B400" i="13"/>
  <c r="B404" i="13"/>
  <c r="B398" i="13"/>
  <c r="B390" i="13"/>
  <c r="B396" i="13"/>
  <c r="B386" i="13"/>
  <c r="B381" i="13"/>
  <c r="B389" i="13"/>
  <c r="B402" i="13"/>
  <c r="B403" i="13"/>
  <c r="B405" i="13"/>
  <c r="B406" i="13"/>
  <c r="B393" i="13"/>
  <c r="C124" i="29"/>
  <c r="B383" i="13"/>
  <c r="B407" i="13"/>
  <c r="B382" i="13"/>
  <c r="B397" i="13"/>
  <c r="B399" i="13"/>
  <c r="B385" i="13"/>
  <c r="B387" i="13"/>
  <c r="B392" i="13"/>
  <c r="B394" i="13"/>
  <c r="B391" i="13"/>
  <c r="C122" i="29" s="1"/>
  <c r="B384" i="13"/>
  <c r="B395" i="13"/>
  <c r="B408" i="13"/>
  <c r="B401" i="13"/>
  <c r="B388" i="13"/>
  <c r="B371" i="13"/>
  <c r="B416" i="13"/>
  <c r="B505" i="13"/>
  <c r="B444" i="13"/>
  <c r="B455" i="13"/>
  <c r="B464" i="13"/>
  <c r="B503" i="13"/>
  <c r="B449" i="13"/>
  <c r="B447" i="13"/>
  <c r="B418" i="13"/>
  <c r="C94" i="29"/>
  <c r="B456" i="13"/>
  <c r="B453" i="13"/>
  <c r="B445" i="13"/>
  <c r="C96" i="29"/>
  <c r="B460" i="13"/>
  <c r="B459" i="13"/>
  <c r="B454" i="13"/>
  <c r="B442" i="13"/>
  <c r="B462" i="13"/>
  <c r="B448" i="13"/>
  <c r="B475" i="13"/>
  <c r="B467" i="13"/>
  <c r="B452" i="13"/>
  <c r="B463" i="13"/>
  <c r="B440" i="13"/>
  <c r="B441" i="13"/>
  <c r="B369" i="13"/>
  <c r="B506" i="13"/>
  <c r="B439" i="13"/>
  <c r="B457" i="13"/>
  <c r="B496" i="13"/>
  <c r="C52" i="29" s="1"/>
  <c r="B409" i="13"/>
  <c r="C53" i="29"/>
  <c r="B504" i="13"/>
  <c r="B378" i="13"/>
  <c r="C6" i="29"/>
  <c r="E400" i="13"/>
  <c r="E404" i="13"/>
  <c r="E398" i="13"/>
  <c r="E390" i="13"/>
  <c r="E396" i="13"/>
  <c r="E386" i="13"/>
  <c r="E381" i="13"/>
  <c r="E389" i="13"/>
  <c r="E402" i="13"/>
  <c r="E403" i="13"/>
  <c r="E405" i="13"/>
  <c r="E406" i="13"/>
  <c r="E393" i="13"/>
  <c r="E383" i="13"/>
  <c r="E407" i="13"/>
  <c r="E382" i="13"/>
  <c r="E397" i="13"/>
  <c r="E399" i="13"/>
  <c r="E385" i="13"/>
  <c r="E387" i="13"/>
  <c r="E392" i="13"/>
  <c r="E394" i="13"/>
  <c r="E391" i="13"/>
  <c r="E384" i="13"/>
  <c r="E395" i="13"/>
  <c r="E408" i="13"/>
  <c r="E401" i="13"/>
  <c r="E388" i="13"/>
  <c r="E371" i="13"/>
  <c r="E416" i="13"/>
  <c r="E505" i="13"/>
  <c r="E444" i="13"/>
  <c r="E455" i="13"/>
  <c r="E458" i="13"/>
  <c r="E464" i="13"/>
  <c r="E503" i="13"/>
  <c r="E449" i="13"/>
  <c r="E447" i="13"/>
  <c r="E418" i="13"/>
  <c r="E456" i="13"/>
  <c r="E453" i="13"/>
  <c r="E445" i="13"/>
  <c r="E460" i="13"/>
  <c r="E459" i="13"/>
  <c r="E454" i="13"/>
  <c r="E446" i="13"/>
  <c r="E442" i="13"/>
  <c r="E462" i="13"/>
  <c r="E448" i="13"/>
  <c r="E475" i="13"/>
  <c r="E467" i="13"/>
  <c r="E452" i="13"/>
  <c r="E463" i="13"/>
  <c r="E440" i="13"/>
  <c r="E441" i="13"/>
  <c r="E369" i="13"/>
  <c r="E506" i="13"/>
  <c r="E439" i="13"/>
  <c r="E457" i="13"/>
  <c r="E496" i="13"/>
  <c r="E409" i="13"/>
  <c r="E504" i="13"/>
  <c r="E378" i="13"/>
  <c r="L2" i="9"/>
  <c r="L3" i="9"/>
  <c r="L4" i="9"/>
  <c r="L5" i="9"/>
  <c r="L6" i="9"/>
  <c r="L7" i="9"/>
  <c r="L8" i="9"/>
  <c r="L9" i="9"/>
  <c r="L10" i="9"/>
  <c r="L11" i="9"/>
  <c r="L12" i="9"/>
  <c r="L13" i="9"/>
  <c r="L14" i="9"/>
  <c r="L15" i="9"/>
  <c r="L16" i="9"/>
  <c r="L17" i="9"/>
  <c r="L18" i="9"/>
  <c r="L19" i="9"/>
  <c r="L20" i="9"/>
  <c r="L21" i="9"/>
  <c r="M2" i="9"/>
  <c r="M3" i="9"/>
  <c r="M4" i="9"/>
  <c r="M5" i="9"/>
  <c r="M6" i="9"/>
  <c r="M7" i="9"/>
  <c r="M8" i="9"/>
  <c r="M9" i="9"/>
  <c r="M10" i="9"/>
  <c r="M11" i="9"/>
  <c r="M12" i="9"/>
  <c r="M13" i="9"/>
  <c r="M14" i="9"/>
  <c r="M15" i="9"/>
  <c r="M16" i="9"/>
  <c r="M17" i="9"/>
  <c r="M18" i="9"/>
  <c r="M19" i="9"/>
  <c r="M20" i="9"/>
  <c r="M21" i="9"/>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2" i="7"/>
  <c r="M3" i="7"/>
  <c r="M4" i="7"/>
  <c r="M5" i="7"/>
  <c r="M6" i="7"/>
  <c r="M7" i="7"/>
  <c r="M8" i="7"/>
  <c r="M9" i="7"/>
  <c r="M10" i="7"/>
  <c r="M11" i="7"/>
  <c r="M12" i="7"/>
  <c r="M13" i="7"/>
  <c r="M14" i="7"/>
  <c r="M15" i="7"/>
  <c r="L2" i="7"/>
  <c r="L3" i="7"/>
  <c r="L4" i="7"/>
  <c r="L5" i="7"/>
  <c r="L6" i="7"/>
  <c r="L7" i="7"/>
  <c r="L8" i="7"/>
  <c r="L9" i="7"/>
  <c r="L10" i="7"/>
  <c r="L11" i="7"/>
  <c r="L12" i="7"/>
  <c r="L13" i="7"/>
  <c r="L14" i="7"/>
  <c r="L15" i="7"/>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E714" i="18"/>
  <c r="C667" i="18" a="1"/>
  <c r="E667" i="18"/>
  <c r="E2" i="13"/>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145"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8" i="13"/>
  <c r="E67"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52" i="13"/>
  <c r="E153" i="13"/>
  <c r="E154" i="13"/>
  <c r="E155" i="13"/>
  <c r="E156" i="13"/>
  <c r="E157" i="13"/>
  <c r="E158" i="13"/>
  <c r="E159" i="13"/>
  <c r="E160" i="13"/>
  <c r="E168" i="13"/>
  <c r="E169" i="13"/>
  <c r="E170"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518" i="13"/>
  <c r="E529" i="13"/>
  <c r="E519" i="13"/>
  <c r="E520" i="13"/>
  <c r="E521" i="13"/>
  <c r="E522" i="13"/>
  <c r="E523" i="13"/>
  <c r="E524" i="13"/>
  <c r="E525" i="13"/>
  <c r="E526" i="13"/>
  <c r="E527" i="13"/>
  <c r="E528"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B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145"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8" i="13"/>
  <c r="B67" i="13"/>
  <c r="B69" i="13"/>
  <c r="B70" i="13"/>
  <c r="B71" i="13"/>
  <c r="B72" i="13"/>
  <c r="B73" i="13"/>
  <c r="B74" i="13"/>
  <c r="B75" i="13"/>
  <c r="B76" i="13"/>
  <c r="B77" i="13"/>
  <c r="B78" i="13"/>
  <c r="B79" i="13"/>
  <c r="B80" i="13"/>
  <c r="B81" i="13"/>
  <c r="B82" i="13"/>
  <c r="B83" i="13"/>
  <c r="B84" i="13"/>
  <c r="B85" i="13"/>
  <c r="B86" i="13"/>
  <c r="B87" i="13"/>
  <c r="B88" i="13"/>
  <c r="B89" i="13"/>
  <c r="B90" i="13"/>
  <c r="C123" i="29" s="1"/>
  <c r="B91" i="13"/>
  <c r="B92" i="13"/>
  <c r="B93" i="13"/>
  <c r="C49" i="29" s="1"/>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52" i="13"/>
  <c r="B153" i="13"/>
  <c r="B154" i="13"/>
  <c r="B155" i="13"/>
  <c r="B156" i="13"/>
  <c r="B157" i="13"/>
  <c r="B158" i="13"/>
  <c r="B159" i="13"/>
  <c r="B160" i="13"/>
  <c r="B168" i="13"/>
  <c r="B169" i="13"/>
  <c r="B170"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H63" i="29"/>
  <c r="B258" i="13"/>
  <c r="B259" i="13"/>
  <c r="H148" i="29"/>
  <c r="B260" i="13"/>
  <c r="B261" i="13"/>
  <c r="H66" i="29"/>
  <c r="B262" i="13"/>
  <c r="B263" i="13"/>
  <c r="B264" i="13"/>
  <c r="B265" i="13"/>
  <c r="H2" i="29"/>
  <c r="B266" i="13"/>
  <c r="B267" i="13"/>
  <c r="H3" i="29"/>
  <c r="B268" i="13"/>
  <c r="B269" i="13"/>
  <c r="B270" i="13"/>
  <c r="B271" i="13"/>
  <c r="B272" i="13"/>
  <c r="B273" i="13"/>
  <c r="B274" i="13"/>
  <c r="B275" i="13"/>
  <c r="B276" i="13"/>
  <c r="B277" i="13"/>
  <c r="B278" i="13"/>
  <c r="B279" i="13"/>
  <c r="B280" i="13"/>
  <c r="B281" i="13"/>
  <c r="B282" i="13"/>
  <c r="B283" i="13"/>
  <c r="B286" i="13"/>
  <c r="B287" i="13"/>
  <c r="B288" i="13"/>
  <c r="B289" i="13"/>
  <c r="H81" i="29"/>
  <c r="B290" i="13"/>
  <c r="B291" i="13"/>
  <c r="H94" i="29"/>
  <c r="B292" i="13"/>
  <c r="B293" i="13"/>
  <c r="H95" i="29"/>
  <c r="B294" i="13"/>
  <c r="B295" i="13"/>
  <c r="B296" i="13"/>
  <c r="B297" i="13"/>
  <c r="B298" i="13"/>
  <c r="B299" i="13"/>
  <c r="H103" i="29"/>
  <c r="B300" i="13"/>
  <c r="B301" i="13"/>
  <c r="H104" i="29"/>
  <c r="B302" i="13"/>
  <c r="B303" i="13"/>
  <c r="H82" i="29"/>
  <c r="B304" i="13"/>
  <c r="B305" i="13"/>
  <c r="H83" i="29"/>
  <c r="B306" i="13"/>
  <c r="B307" i="13"/>
  <c r="B308" i="13"/>
  <c r="B309" i="13"/>
  <c r="B310" i="13"/>
  <c r="B311" i="13"/>
  <c r="B312" i="13"/>
  <c r="B313" i="13"/>
  <c r="H141" i="29"/>
  <c r="B314" i="13"/>
  <c r="B315" i="13"/>
  <c r="B316" i="13"/>
  <c r="B317" i="13"/>
  <c r="B318" i="13"/>
  <c r="B319" i="13"/>
  <c r="B320" i="13"/>
  <c r="B321" i="13"/>
  <c r="H107" i="29"/>
  <c r="B322" i="13"/>
  <c r="B323" i="13"/>
  <c r="B324" i="13"/>
  <c r="B325" i="13"/>
  <c r="H110" i="29"/>
  <c r="B326" i="13"/>
  <c r="B327" i="13"/>
  <c r="B328" i="13"/>
  <c r="B329" i="13"/>
  <c r="B330" i="13"/>
  <c r="B331" i="13"/>
  <c r="B332" i="13"/>
  <c r="B333" i="13"/>
  <c r="H144" i="29"/>
  <c r="B334" i="13"/>
  <c r="B335" i="13"/>
  <c r="B336" i="13"/>
  <c r="B337" i="13"/>
  <c r="H145" i="29"/>
  <c r="B338" i="13"/>
  <c r="B339" i="13"/>
  <c r="H146" i="29"/>
  <c r="B340" i="13"/>
  <c r="B341" i="13"/>
  <c r="B342" i="13"/>
  <c r="B343" i="13"/>
  <c r="B344" i="13"/>
  <c r="B345" i="13"/>
  <c r="B346" i="13"/>
  <c r="B347" i="13"/>
  <c r="H71" i="29"/>
  <c r="B348" i="13"/>
  <c r="B349" i="13"/>
  <c r="B350" i="13"/>
  <c r="B351" i="13"/>
  <c r="B352" i="13"/>
  <c r="B353" i="13"/>
  <c r="B354" i="13"/>
  <c r="B355" i="13"/>
  <c r="B356" i="13"/>
  <c r="B357" i="13"/>
  <c r="H78" i="29"/>
  <c r="B358" i="13"/>
  <c r="B359" i="13"/>
  <c r="H79" i="29"/>
  <c r="B360" i="13"/>
  <c r="B361" i="13"/>
  <c r="H80" i="29"/>
  <c r="B362" i="13"/>
  <c r="B363" i="13"/>
  <c r="H51" i="29"/>
  <c r="B364" i="13"/>
  <c r="B365" i="13"/>
  <c r="H52" i="29"/>
  <c r="B366" i="13"/>
  <c r="B367" i="13"/>
  <c r="B518" i="13"/>
  <c r="B529" i="13"/>
  <c r="B519" i="13"/>
  <c r="B520" i="13"/>
  <c r="B521" i="13"/>
  <c r="B522" i="13"/>
  <c r="B523" i="13"/>
  <c r="B524" i="13"/>
  <c r="B525" i="13"/>
  <c r="B526" i="13"/>
  <c r="B527" i="13"/>
  <c r="B528"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E416" i="18"/>
  <c r="E418" i="18"/>
  <c r="E420" i="18"/>
  <c r="E425" i="18"/>
  <c r="E429" i="18"/>
  <c r="E430" i="18"/>
  <c r="E431" i="18"/>
  <c r="E432" i="18"/>
  <c r="E435" i="18"/>
  <c r="E437" i="18"/>
  <c r="E438" i="18"/>
  <c r="E440" i="18"/>
  <c r="E441" i="18"/>
  <c r="E442" i="18"/>
  <c r="E443" i="18"/>
  <c r="E448" i="18"/>
  <c r="E451" i="18"/>
  <c r="E457" i="18"/>
  <c r="E463" i="18"/>
  <c r="E468" i="18"/>
  <c r="E469" i="18"/>
  <c r="E474" i="18"/>
  <c r="E478" i="18"/>
  <c r="E481" i="18"/>
  <c r="E484" i="18"/>
  <c r="E487" i="18"/>
  <c r="E491" i="18"/>
  <c r="E495" i="18"/>
  <c r="E500" i="18"/>
  <c r="E504" i="18"/>
  <c r="E506" i="18"/>
  <c r="E509" i="18"/>
  <c r="E510" i="18"/>
  <c r="E511" i="18"/>
  <c r="E512" i="18"/>
  <c r="E513" i="18"/>
  <c r="E515" i="18"/>
  <c r="E517" i="18"/>
  <c r="E520" i="18"/>
  <c r="E522" i="18"/>
  <c r="E525" i="18"/>
  <c r="E527" i="18"/>
  <c r="E528" i="18"/>
  <c r="E529" i="18"/>
  <c r="E531" i="18"/>
  <c r="E534" i="18"/>
  <c r="E541" i="18"/>
  <c r="E547" i="18"/>
  <c r="E550" i="18"/>
  <c r="E552" i="18"/>
  <c r="E554" i="18"/>
  <c r="E565" i="18"/>
  <c r="E566" i="18"/>
  <c r="E569" i="18"/>
  <c r="E570" i="18"/>
  <c r="J513" i="18"/>
  <c r="C147" i="29"/>
  <c r="H147" i="29"/>
  <c r="H53" i="29"/>
  <c r="H143" i="29"/>
  <c r="C11" i="29"/>
  <c r="C63" i="29"/>
  <c r="C106" i="29"/>
  <c r="C105" i="29"/>
  <c r="C125" i="29"/>
  <c r="C136" i="29"/>
  <c r="C114" i="29"/>
  <c r="C2" i="29"/>
  <c r="C54" i="29"/>
  <c r="C67" i="29"/>
  <c r="C120" i="29"/>
  <c r="C15" i="29"/>
  <c r="C3" i="29"/>
  <c r="C118" i="29"/>
  <c r="C129" i="29"/>
  <c r="C17" i="29"/>
  <c r="C18" i="29"/>
  <c r="C24" i="29"/>
  <c r="C19" i="29"/>
  <c r="C119" i="29"/>
  <c r="C108" i="29"/>
  <c r="C13" i="29"/>
  <c r="C12" i="29"/>
  <c r="C14" i="29"/>
  <c r="C110" i="29"/>
  <c r="C103" i="29"/>
  <c r="C113" i="29"/>
  <c r="C107" i="29"/>
  <c r="C87" i="29"/>
  <c r="C101" i="29"/>
  <c r="C102" i="29"/>
  <c r="C5" i="29"/>
  <c r="C4" i="29"/>
  <c r="C68" i="29"/>
  <c r="C69" i="29"/>
  <c r="C70" i="29"/>
  <c r="C8" i="29"/>
  <c r="C10" i="29"/>
  <c r="C93" i="29"/>
  <c r="Z2" i="30" a="1"/>
  <c r="I374" i="13" a="1"/>
  <c r="J374" i="13" s="1"/>
  <c r="I380" i="13" a="1"/>
  <c r="J380" i="13" s="1"/>
  <c r="I386" i="13" a="1"/>
  <c r="J386" i="13" s="1"/>
  <c r="I392" i="13" a="1"/>
  <c r="J392" i="13" s="1"/>
  <c r="I398" i="13" a="1"/>
  <c r="J398" i="13" s="1"/>
  <c r="I404" i="13" a="1"/>
  <c r="J404" i="13" s="1"/>
  <c r="G3" i="13"/>
  <c r="H3" i="13" s="1"/>
  <c r="G9" i="13"/>
  <c r="H9" i="13" s="1"/>
  <c r="G15" i="13"/>
  <c r="H15" i="13" s="1"/>
  <c r="G21" i="13"/>
  <c r="H21" i="13" s="1"/>
  <c r="G26" i="13"/>
  <c r="H26" i="13" s="1"/>
  <c r="G33" i="13"/>
  <c r="H33" i="13" s="1"/>
  <c r="G39" i="13"/>
  <c r="H39" i="13" s="1"/>
  <c r="G45" i="13"/>
  <c r="H45" i="13" s="1"/>
  <c r="G51" i="13"/>
  <c r="H51" i="13" s="1"/>
  <c r="G57" i="13"/>
  <c r="H57" i="13" s="1"/>
  <c r="G63" i="13"/>
  <c r="H63" i="13" s="1"/>
  <c r="G69" i="13"/>
  <c r="H69" i="13" s="1"/>
  <c r="G75" i="13"/>
  <c r="H75" i="13" s="1"/>
  <c r="G81" i="13"/>
  <c r="H81" i="13" s="1"/>
  <c r="G87" i="13"/>
  <c r="H87" i="13" s="1"/>
  <c r="G93" i="13"/>
  <c r="H93" i="13" s="1"/>
  <c r="G99" i="13"/>
  <c r="H99" i="13" s="1"/>
  <c r="G105" i="13"/>
  <c r="H105" i="13" s="1"/>
  <c r="G111" i="13"/>
  <c r="H111" i="13" s="1"/>
  <c r="G117" i="13"/>
  <c r="H117" i="13" s="1"/>
  <c r="G125" i="13"/>
  <c r="H125" i="13" s="1"/>
  <c r="G131" i="13"/>
  <c r="H131" i="13" s="1"/>
  <c r="G136" i="13"/>
  <c r="H136" i="13" s="1"/>
  <c r="G141" i="13"/>
  <c r="H141" i="13" s="1"/>
  <c r="G149" i="13"/>
  <c r="H149" i="13" s="1"/>
  <c r="G154" i="13"/>
  <c r="H154" i="13" s="1"/>
  <c r="G159" i="13"/>
  <c r="H159" i="13" s="1"/>
  <c r="G166" i="13"/>
  <c r="H166" i="13" s="1"/>
  <c r="G171" i="13"/>
  <c r="H171" i="13" s="1"/>
  <c r="G179" i="13"/>
  <c r="H179" i="13" s="1"/>
  <c r="G184" i="13"/>
  <c r="H184" i="13" s="1"/>
  <c r="G189" i="13"/>
  <c r="H189" i="13" s="1"/>
  <c r="G197" i="13"/>
  <c r="H197" i="13" s="1"/>
  <c r="G202" i="13"/>
  <c r="H202" i="13" s="1"/>
  <c r="G207" i="13"/>
  <c r="H207" i="13" s="1"/>
  <c r="G215" i="13"/>
  <c r="H215" i="13" s="1"/>
  <c r="G220" i="13"/>
  <c r="H220" i="13" s="1"/>
  <c r="G225" i="13"/>
  <c r="H225" i="13" s="1"/>
  <c r="G233" i="13"/>
  <c r="H233" i="13" s="1"/>
  <c r="G239" i="13"/>
  <c r="H239" i="13" s="1"/>
  <c r="G246" i="13"/>
  <c r="H246" i="13" s="1"/>
  <c r="G250" i="13"/>
  <c r="H250" i="13" s="1"/>
  <c r="G257" i="13"/>
  <c r="H257" i="13" s="1"/>
  <c r="G264" i="13"/>
  <c r="H264" i="13" s="1"/>
  <c r="G268" i="13"/>
  <c r="H268" i="13" s="1"/>
  <c r="G273" i="13"/>
  <c r="H273" i="13" s="1"/>
  <c r="G282" i="13"/>
  <c r="H282" i="13" s="1"/>
  <c r="G288" i="13"/>
  <c r="H288" i="13" s="1"/>
  <c r="G294" i="13"/>
  <c r="H294" i="13" s="1"/>
  <c r="G300" i="13"/>
  <c r="H300" i="13" s="1"/>
  <c r="G306" i="13"/>
  <c r="H306" i="13" s="1"/>
  <c r="G312" i="13"/>
  <c r="H312" i="13" s="1"/>
  <c r="G318" i="13"/>
  <c r="H318" i="13" s="1"/>
  <c r="G324" i="13"/>
  <c r="H324" i="13" s="1"/>
  <c r="G330" i="13"/>
  <c r="H330" i="13" s="1"/>
  <c r="G336" i="13"/>
  <c r="H336" i="13" s="1"/>
  <c r="G343" i="13"/>
  <c r="H343" i="13" s="1"/>
  <c r="G348" i="13"/>
  <c r="H348" i="13" s="1"/>
  <c r="G355" i="13"/>
  <c r="H355" i="13" s="1"/>
  <c r="G360" i="13"/>
  <c r="H360" i="13" s="1"/>
  <c r="G367" i="13"/>
  <c r="H367" i="13" s="1"/>
  <c r="G372" i="13"/>
  <c r="H372" i="13" s="1"/>
  <c r="G377" i="13"/>
  <c r="H377" i="13" s="1"/>
  <c r="G383" i="13"/>
  <c r="H383" i="13" s="1"/>
  <c r="G389" i="13"/>
  <c r="H389" i="13" s="1"/>
  <c r="G396" i="13"/>
  <c r="H396" i="13" s="1"/>
  <c r="G401" i="13"/>
  <c r="H401" i="13" s="1"/>
  <c r="G408" i="13"/>
  <c r="H408" i="13" s="1"/>
  <c r="G413" i="13"/>
  <c r="H413" i="13" s="1"/>
  <c r="G420" i="13"/>
  <c r="H420" i="13" s="1"/>
  <c r="G426" i="13"/>
  <c r="H426" i="13" s="1"/>
  <c r="G431" i="13"/>
  <c r="H431" i="13" s="1"/>
  <c r="G438" i="13"/>
  <c r="H438" i="13" s="1"/>
  <c r="G444" i="13"/>
  <c r="H444" i="13" s="1"/>
  <c r="G449" i="13"/>
  <c r="H449" i="13" s="1"/>
  <c r="G456" i="13"/>
  <c r="H456" i="13" s="1"/>
  <c r="G461" i="13"/>
  <c r="H461" i="13" s="1"/>
  <c r="G468" i="13"/>
  <c r="H468" i="13" s="1"/>
  <c r="G474" i="13"/>
  <c r="H474" i="13" s="1"/>
  <c r="G480" i="13"/>
  <c r="H480" i="13" s="1"/>
  <c r="G486" i="13"/>
  <c r="H486" i="13" s="1"/>
  <c r="G499" i="13"/>
  <c r="H499" i="13" s="1"/>
  <c r="G504" i="13"/>
  <c r="H504" i="13" s="1"/>
  <c r="G511" i="13"/>
  <c r="H511" i="13" s="1"/>
  <c r="G517" i="13"/>
  <c r="H517" i="13" s="1"/>
  <c r="G523" i="13"/>
  <c r="H523" i="13" s="1"/>
  <c r="G529" i="13"/>
  <c r="H529" i="13" s="1"/>
  <c r="G534" i="13"/>
  <c r="H534" i="13" s="1"/>
  <c r="G541" i="13"/>
  <c r="H541" i="13" s="1"/>
  <c r="G546" i="13"/>
  <c r="H546" i="13" s="1"/>
  <c r="G553" i="13"/>
  <c r="H553" i="13" s="1"/>
  <c r="G558" i="13"/>
  <c r="H558" i="13" s="1"/>
  <c r="G565" i="13"/>
  <c r="H565" i="13" s="1"/>
  <c r="G570" i="13"/>
  <c r="H570" i="13" s="1"/>
  <c r="G577" i="13"/>
  <c r="H577" i="13" s="1"/>
  <c r="G582" i="13"/>
  <c r="H582" i="13" s="1"/>
  <c r="G587" i="13"/>
  <c r="H587" i="13" s="1"/>
  <c r="G595" i="13"/>
  <c r="H595" i="13" s="1"/>
  <c r="G600" i="13"/>
  <c r="H600" i="13" s="1"/>
  <c r="G606" i="13"/>
  <c r="H606" i="13" s="1"/>
  <c r="G612" i="13"/>
  <c r="H612" i="13" s="1"/>
  <c r="M374" i="13" a="1"/>
  <c r="N374" i="13" s="1"/>
  <c r="M380" i="13" a="1"/>
  <c r="N380" i="13" s="1"/>
  <c r="M386" i="13" a="1"/>
  <c r="M391" i="13" a="1"/>
  <c r="N391" i="13" s="1"/>
  <c r="M397" i="13" a="1"/>
  <c r="N397" i="13" s="1"/>
  <c r="M403" i="13" a="1"/>
  <c r="I55" i="13" a="1"/>
  <c r="J55" i="13" s="1"/>
  <c r="I375" i="13" a="1"/>
  <c r="J375" i="13" s="1"/>
  <c r="I381" i="13" a="1"/>
  <c r="J381" i="13" s="1"/>
  <c r="I387" i="13" a="1"/>
  <c r="J387" i="13" s="1"/>
  <c r="I393" i="13" a="1"/>
  <c r="J393" i="13" s="1"/>
  <c r="I399" i="13" a="1"/>
  <c r="J399" i="13" s="1"/>
  <c r="I405" i="13" a="1"/>
  <c r="J405" i="13" s="1"/>
  <c r="G4" i="13"/>
  <c r="H4" i="13" s="1"/>
  <c r="G10" i="13"/>
  <c r="H10" i="13" s="1"/>
  <c r="G17" i="13"/>
  <c r="H17" i="13" s="1"/>
  <c r="G23" i="13"/>
  <c r="H23" i="13" s="1"/>
  <c r="G28" i="13"/>
  <c r="H28" i="13" s="1"/>
  <c r="G35" i="13"/>
  <c r="H35" i="13" s="1"/>
  <c r="G40" i="13"/>
  <c r="H40" i="13" s="1"/>
  <c r="G46" i="13"/>
  <c r="H46" i="13" s="1"/>
  <c r="G52" i="13"/>
  <c r="H52" i="13" s="1"/>
  <c r="G59" i="13"/>
  <c r="H59" i="13" s="1"/>
  <c r="G64" i="13"/>
  <c r="H64" i="13" s="1"/>
  <c r="G71" i="13"/>
  <c r="H71" i="13" s="1"/>
  <c r="G77" i="13"/>
  <c r="H77" i="13" s="1"/>
  <c r="G82" i="13"/>
  <c r="H82" i="13" s="1"/>
  <c r="G89" i="13"/>
  <c r="H89" i="13" s="1"/>
  <c r="G94" i="13"/>
  <c r="H94" i="13" s="1"/>
  <c r="G102" i="13"/>
  <c r="H102" i="13" s="1"/>
  <c r="G107" i="13"/>
  <c r="H107" i="13" s="1"/>
  <c r="G112" i="13"/>
  <c r="H112" i="13" s="1"/>
  <c r="G119" i="13"/>
  <c r="H119" i="13" s="1"/>
  <c r="G124" i="13"/>
  <c r="H124" i="13" s="1"/>
  <c r="G129" i="13"/>
  <c r="H129" i="13" s="1"/>
  <c r="G135" i="13"/>
  <c r="H135" i="13" s="1"/>
  <c r="G143" i="13"/>
  <c r="H143" i="13" s="1"/>
  <c r="G147" i="13"/>
  <c r="H147" i="13" s="1"/>
  <c r="G155" i="13"/>
  <c r="H155" i="13" s="1"/>
  <c r="G161" i="13"/>
  <c r="H161" i="13" s="1"/>
  <c r="G165" i="13"/>
  <c r="H165" i="13" s="1"/>
  <c r="G173" i="13"/>
  <c r="H173" i="13" s="1"/>
  <c r="G177" i="13"/>
  <c r="H177" i="13" s="1"/>
  <c r="G183" i="13"/>
  <c r="H183" i="13" s="1"/>
  <c r="G191" i="13"/>
  <c r="H191" i="13" s="1"/>
  <c r="G195" i="13"/>
  <c r="H195" i="13" s="1"/>
  <c r="G203" i="13"/>
  <c r="H203" i="13" s="1"/>
  <c r="G210" i="13"/>
  <c r="H210" i="13" s="1"/>
  <c r="G218" i="13"/>
  <c r="H218" i="13" s="1"/>
  <c r="G223" i="13"/>
  <c r="H223" i="13" s="1"/>
  <c r="G230" i="13"/>
  <c r="H230" i="13" s="1"/>
  <c r="G236" i="13"/>
  <c r="H236" i="13" s="1"/>
  <c r="G242" i="13"/>
  <c r="H242" i="13" s="1"/>
  <c r="G248" i="13"/>
  <c r="H248" i="13" s="1"/>
  <c r="G254" i="13"/>
  <c r="H254" i="13" s="1"/>
  <c r="G260" i="13"/>
  <c r="H260" i="13" s="1"/>
  <c r="G266" i="13"/>
  <c r="H266" i="13" s="1"/>
  <c r="G272" i="13"/>
  <c r="H272" i="13" s="1"/>
  <c r="G278" i="13"/>
  <c r="H278" i="13" s="1"/>
  <c r="G284" i="13"/>
  <c r="H284" i="13" s="1"/>
  <c r="G290" i="13"/>
  <c r="H290" i="13" s="1"/>
  <c r="G296" i="13"/>
  <c r="H296" i="13" s="1"/>
  <c r="G302" i="13"/>
  <c r="H302" i="13" s="1"/>
  <c r="G308" i="13"/>
  <c r="H308" i="13" s="1"/>
  <c r="G314" i="13"/>
  <c r="H314" i="13" s="1"/>
  <c r="G320" i="13"/>
  <c r="H320" i="13" s="1"/>
  <c r="G325" i="13"/>
  <c r="H325" i="13" s="1"/>
  <c r="G332" i="13"/>
  <c r="H332" i="13" s="1"/>
  <c r="G337" i="13"/>
  <c r="H337" i="13" s="1"/>
  <c r="G342" i="13"/>
  <c r="H342" i="13" s="1"/>
  <c r="G349" i="13"/>
  <c r="H349" i="13" s="1"/>
  <c r="G354" i="13"/>
  <c r="H354" i="13" s="1"/>
  <c r="G361" i="13"/>
  <c r="H361" i="13" s="1"/>
  <c r="G366" i="13"/>
  <c r="H366" i="13" s="1"/>
  <c r="G373" i="13"/>
  <c r="H373" i="13" s="1"/>
  <c r="G379" i="13"/>
  <c r="H379" i="13" s="1"/>
  <c r="G385" i="13"/>
  <c r="H385" i="13" s="1"/>
  <c r="G391" i="13"/>
  <c r="H391" i="13" s="1"/>
  <c r="G397" i="13"/>
  <c r="H397" i="13" s="1"/>
  <c r="G403" i="13"/>
  <c r="H403" i="13" s="1"/>
  <c r="G409" i="13"/>
  <c r="H409" i="13" s="1"/>
  <c r="G416" i="13"/>
  <c r="H416" i="13" s="1"/>
  <c r="G421" i="13"/>
  <c r="H421" i="13" s="1"/>
  <c r="G428" i="13"/>
  <c r="H428" i="13" s="1"/>
  <c r="G433" i="13"/>
  <c r="H433" i="13" s="1"/>
  <c r="G439" i="13"/>
  <c r="H439" i="13" s="1"/>
  <c r="G445" i="13"/>
  <c r="H445" i="13" s="1"/>
  <c r="G451" i="13"/>
  <c r="H451" i="13" s="1"/>
  <c r="G458" i="13"/>
  <c r="H458" i="13" s="1"/>
  <c r="G463" i="13"/>
  <c r="H463" i="13" s="1"/>
  <c r="G470" i="13"/>
  <c r="H470" i="13" s="1"/>
  <c r="G475" i="13"/>
  <c r="H475" i="13" s="1"/>
  <c r="G482" i="13"/>
  <c r="H482" i="13" s="1"/>
  <c r="G487" i="13"/>
  <c r="H487" i="13" s="1"/>
  <c r="G494" i="13"/>
  <c r="H494" i="13" s="1"/>
  <c r="G500" i="13"/>
  <c r="H500" i="13" s="1"/>
  <c r="G506" i="13"/>
  <c r="H506" i="13" s="1"/>
  <c r="G512" i="13"/>
  <c r="H512" i="13" s="1"/>
  <c r="G518" i="13"/>
  <c r="H518" i="13" s="1"/>
  <c r="G524" i="13"/>
  <c r="H524" i="13" s="1"/>
  <c r="G530" i="13"/>
  <c r="H530" i="13" s="1"/>
  <c r="G536" i="13"/>
  <c r="H536" i="13" s="1"/>
  <c r="G542" i="13"/>
  <c r="H542" i="13" s="1"/>
  <c r="G548" i="13"/>
  <c r="H548" i="13" s="1"/>
  <c r="G554" i="13"/>
  <c r="H554" i="13" s="1"/>
  <c r="G561" i="13"/>
  <c r="H561" i="13" s="1"/>
  <c r="G566" i="13"/>
  <c r="H566" i="13" s="1"/>
  <c r="G573" i="13"/>
  <c r="H573" i="13" s="1"/>
  <c r="G578" i="13"/>
  <c r="H578" i="13" s="1"/>
  <c r="G585" i="13"/>
  <c r="H585" i="13" s="1"/>
  <c r="G591" i="13"/>
  <c r="H591" i="13" s="1"/>
  <c r="G596" i="13"/>
  <c r="H596" i="13" s="1"/>
  <c r="G603" i="13"/>
  <c r="H603" i="13" s="1"/>
  <c r="G609" i="13"/>
  <c r="H609" i="13" s="1"/>
  <c r="M264" i="13" a="1"/>
  <c r="M376" i="13" a="1"/>
  <c r="M382" i="13" a="1"/>
  <c r="N382" i="13" s="1"/>
  <c r="M388" i="13" a="1"/>
  <c r="N388" i="13" s="1"/>
  <c r="M394" i="13" a="1"/>
  <c r="N394" i="13" s="1"/>
  <c r="M400" i="13" a="1"/>
  <c r="M406" i="13" a="1"/>
  <c r="I372" i="13" a="1"/>
  <c r="J372" i="13" s="1"/>
  <c r="I378" i="13" a="1"/>
  <c r="J378" i="13" s="1"/>
  <c r="I384" i="13" a="1"/>
  <c r="J384" i="13" s="1"/>
  <c r="I390" i="13" a="1"/>
  <c r="J390" i="13" s="1"/>
  <c r="I396" i="13" a="1"/>
  <c r="J396" i="13" s="1"/>
  <c r="I402" i="13" a="1"/>
  <c r="J402" i="13" s="1"/>
  <c r="I408" i="13" a="1"/>
  <c r="J408" i="13" s="1"/>
  <c r="G8" i="13"/>
  <c r="H8" i="13" s="1"/>
  <c r="G14" i="13"/>
  <c r="H14" i="13" s="1"/>
  <c r="G20" i="13"/>
  <c r="H20" i="13" s="1"/>
  <c r="G27" i="13"/>
  <c r="H27" i="13" s="1"/>
  <c r="G32" i="13"/>
  <c r="H32" i="13" s="1"/>
  <c r="G38" i="13"/>
  <c r="H38" i="13" s="1"/>
  <c r="G43" i="13"/>
  <c r="H43" i="13" s="1"/>
  <c r="G48" i="13"/>
  <c r="H48" i="13" s="1"/>
  <c r="G56" i="13"/>
  <c r="H56" i="13" s="1"/>
  <c r="G61" i="13"/>
  <c r="H61" i="13" s="1"/>
  <c r="G66" i="13"/>
  <c r="H66" i="13" s="1"/>
  <c r="G74" i="13"/>
  <c r="H74" i="13" s="1"/>
  <c r="G79" i="13"/>
  <c r="H79" i="13" s="1"/>
  <c r="G84" i="13"/>
  <c r="H84" i="13" s="1"/>
  <c r="G91" i="13"/>
  <c r="H91" i="13" s="1"/>
  <c r="G98" i="13"/>
  <c r="H98" i="13" s="1"/>
  <c r="G103" i="13"/>
  <c r="H103" i="13" s="1"/>
  <c r="G110" i="13"/>
  <c r="H110" i="13" s="1"/>
  <c r="G116" i="13"/>
  <c r="H116" i="13" s="1"/>
  <c r="G121" i="13"/>
  <c r="H121" i="13" s="1"/>
  <c r="G128" i="13"/>
  <c r="H128" i="13" s="1"/>
  <c r="G134" i="13"/>
  <c r="H134" i="13" s="1"/>
  <c r="G140" i="13"/>
  <c r="H140" i="13" s="1"/>
  <c r="G145" i="13"/>
  <c r="H145" i="13" s="1"/>
  <c r="G150" i="13"/>
  <c r="H150" i="13" s="1"/>
  <c r="G156" i="13"/>
  <c r="H156" i="13" s="1"/>
  <c r="G164" i="13"/>
  <c r="H164" i="13" s="1"/>
  <c r="G169" i="13"/>
  <c r="H169" i="13" s="1"/>
  <c r="G174" i="13"/>
  <c r="H174" i="13" s="1"/>
  <c r="G182" i="13"/>
  <c r="H182" i="13" s="1"/>
  <c r="G187" i="13"/>
  <c r="H187" i="13" s="1"/>
  <c r="G192" i="13"/>
  <c r="H192" i="13" s="1"/>
  <c r="G200" i="13"/>
  <c r="H200" i="13" s="1"/>
  <c r="G205" i="13"/>
  <c r="H205" i="13" s="1"/>
  <c r="G211" i="13"/>
  <c r="H211" i="13" s="1"/>
  <c r="G216" i="13"/>
  <c r="H216" i="13" s="1"/>
  <c r="G224" i="13"/>
  <c r="H224" i="13" s="1"/>
  <c r="G229" i="13"/>
  <c r="H229" i="13" s="1"/>
  <c r="G235" i="13"/>
  <c r="H235" i="13" s="1"/>
  <c r="G240" i="13"/>
  <c r="H240" i="13" s="1"/>
  <c r="G245" i="13"/>
  <c r="H245" i="13" s="1"/>
  <c r="G252" i="13"/>
  <c r="H252" i="13" s="1"/>
  <c r="G259" i="13"/>
  <c r="H259" i="13" s="1"/>
  <c r="G265" i="13"/>
  <c r="H265" i="13" s="1"/>
  <c r="G269" i="13"/>
  <c r="H269" i="13" s="1"/>
  <c r="G277" i="13"/>
  <c r="H277" i="13" s="1"/>
  <c r="G283" i="13"/>
  <c r="H283" i="13" s="1"/>
  <c r="G289" i="13"/>
  <c r="H289" i="13" s="1"/>
  <c r="G295" i="13"/>
  <c r="H295" i="13" s="1"/>
  <c r="G301" i="13"/>
  <c r="H301" i="13" s="1"/>
  <c r="G307" i="13"/>
  <c r="H307" i="13" s="1"/>
  <c r="G313" i="13"/>
  <c r="H313" i="13" s="1"/>
  <c r="G319" i="13"/>
  <c r="H319" i="13" s="1"/>
  <c r="G326" i="13"/>
  <c r="H326" i="13" s="1"/>
  <c r="G331" i="13"/>
  <c r="H331" i="13" s="1"/>
  <c r="G338" i="13"/>
  <c r="H338" i="13" s="1"/>
  <c r="G344" i="13"/>
  <c r="H344" i="13" s="1"/>
  <c r="G350" i="13"/>
  <c r="H350" i="13" s="1"/>
  <c r="G356" i="13"/>
  <c r="H356" i="13" s="1"/>
  <c r="G362" i="13"/>
  <c r="H362" i="13" s="1"/>
  <c r="G368" i="13"/>
  <c r="H368" i="13" s="1"/>
  <c r="G374" i="13"/>
  <c r="H374" i="13" s="1"/>
  <c r="G380" i="13"/>
  <c r="H380" i="13" s="1"/>
  <c r="G386" i="13"/>
  <c r="H386" i="13" s="1"/>
  <c r="G392" i="13"/>
  <c r="H392" i="13" s="1"/>
  <c r="G399" i="13"/>
  <c r="H399" i="13" s="1"/>
  <c r="G404" i="13"/>
  <c r="H404" i="13" s="1"/>
  <c r="G411" i="13"/>
  <c r="H411" i="13" s="1"/>
  <c r="G417" i="13"/>
  <c r="H417" i="13" s="1"/>
  <c r="G423" i="13"/>
  <c r="H423" i="13" s="1"/>
  <c r="G429" i="13"/>
  <c r="H429" i="13" s="1"/>
  <c r="G435" i="13"/>
  <c r="H435" i="13" s="1"/>
  <c r="G441" i="13"/>
  <c r="H441" i="13" s="1"/>
  <c r="G447" i="13"/>
  <c r="H447" i="13" s="1"/>
  <c r="G453" i="13"/>
  <c r="H453" i="13" s="1"/>
  <c r="G459" i="13"/>
  <c r="H459" i="13" s="1"/>
  <c r="G465" i="13"/>
  <c r="H465" i="13" s="1"/>
  <c r="G471" i="13"/>
  <c r="H471" i="13" s="1"/>
  <c r="G479" i="13"/>
  <c r="H479" i="13" s="1"/>
  <c r="G484" i="13"/>
  <c r="H484" i="13" s="1"/>
  <c r="G489" i="13"/>
  <c r="H489" i="13" s="1"/>
  <c r="G496" i="13"/>
  <c r="H496" i="13" s="1"/>
  <c r="G501" i="13"/>
  <c r="H501" i="13" s="1"/>
  <c r="G509" i="13"/>
  <c r="H509" i="13" s="1"/>
  <c r="G514" i="13"/>
  <c r="H514" i="13" s="1"/>
  <c r="G519" i="13"/>
  <c r="H519" i="13" s="1"/>
  <c r="G526" i="13"/>
  <c r="H526" i="13" s="1"/>
  <c r="G531" i="13"/>
  <c r="H531" i="13" s="1"/>
  <c r="G538" i="13"/>
  <c r="H538" i="13" s="1"/>
  <c r="G543" i="13"/>
  <c r="H543" i="13" s="1"/>
  <c r="G549" i="13"/>
  <c r="H549" i="13" s="1"/>
  <c r="G555" i="13"/>
  <c r="H555" i="13" s="1"/>
  <c r="G560" i="13"/>
  <c r="H560" i="13" s="1"/>
  <c r="G567" i="13"/>
  <c r="H567" i="13" s="1"/>
  <c r="G572" i="13"/>
  <c r="H572" i="13" s="1"/>
  <c r="G579" i="13"/>
  <c r="H579" i="13" s="1"/>
  <c r="G584" i="13"/>
  <c r="H584" i="13" s="1"/>
  <c r="G590" i="13"/>
  <c r="H590" i="13" s="1"/>
  <c r="G597" i="13"/>
  <c r="H597" i="13" s="1"/>
  <c r="G602" i="13"/>
  <c r="H602" i="13" s="1"/>
  <c r="G608" i="13"/>
  <c r="H608" i="13" s="1"/>
  <c r="M266" i="13" a="1"/>
  <c r="M377" i="13" a="1"/>
  <c r="N377" i="13" s="1"/>
  <c r="M383" i="13" a="1"/>
  <c r="N383" i="13" s="1"/>
  <c r="M389" i="13" a="1"/>
  <c r="M395" i="13" a="1"/>
  <c r="N395" i="13" s="1"/>
  <c r="M401" i="13" a="1"/>
  <c r="N401" i="13" s="1"/>
  <c r="M407" i="13" a="1"/>
  <c r="N407" i="13" s="1"/>
  <c r="I373" i="13" a="1"/>
  <c r="J373" i="13" s="1"/>
  <c r="I379" i="13" a="1"/>
  <c r="J379" i="13" s="1"/>
  <c r="I385" i="13" a="1"/>
  <c r="J385" i="13" s="1"/>
  <c r="I391" i="13" a="1"/>
  <c r="J391" i="13" s="1"/>
  <c r="I397" i="13" a="1"/>
  <c r="J397" i="13" s="1"/>
  <c r="I403" i="13" a="1"/>
  <c r="J403" i="13" s="1"/>
  <c r="G2" i="13"/>
  <c r="H2" i="13" s="1"/>
  <c r="G6" i="13"/>
  <c r="H6" i="13" s="1"/>
  <c r="G11" i="13"/>
  <c r="H11" i="13" s="1"/>
  <c r="G16" i="13"/>
  <c r="H16" i="13" s="1"/>
  <c r="G22" i="13"/>
  <c r="H22" i="13" s="1"/>
  <c r="G29" i="13"/>
  <c r="H29" i="13" s="1"/>
  <c r="G34" i="13"/>
  <c r="H34" i="13" s="1"/>
  <c r="G41" i="13"/>
  <c r="H41" i="13" s="1"/>
  <c r="G47" i="13"/>
  <c r="H47" i="13" s="1"/>
  <c r="G53" i="13"/>
  <c r="H53" i="13" s="1"/>
  <c r="G58" i="13"/>
  <c r="H58" i="13" s="1"/>
  <c r="G65" i="13"/>
  <c r="H65" i="13" s="1"/>
  <c r="G70" i="13"/>
  <c r="H70" i="13" s="1"/>
  <c r="G76" i="13"/>
  <c r="H76" i="13" s="1"/>
  <c r="G83" i="13"/>
  <c r="H83" i="13" s="1"/>
  <c r="G88" i="13"/>
  <c r="H88" i="13" s="1"/>
  <c r="G96" i="13"/>
  <c r="H96" i="13" s="1"/>
  <c r="G101" i="13"/>
  <c r="H101" i="13" s="1"/>
  <c r="G106" i="13"/>
  <c r="H106" i="13" s="1"/>
  <c r="G114" i="13"/>
  <c r="H114" i="13" s="1"/>
  <c r="G120" i="13"/>
  <c r="H120" i="13" s="1"/>
  <c r="G126" i="13"/>
  <c r="H126" i="13" s="1"/>
  <c r="G133" i="13"/>
  <c r="H133" i="13" s="1"/>
  <c r="G138" i="13"/>
  <c r="H138" i="13" s="1"/>
  <c r="G146" i="13"/>
  <c r="H146" i="13" s="1"/>
  <c r="G152" i="13"/>
  <c r="H152" i="13" s="1"/>
  <c r="G157" i="13"/>
  <c r="H157" i="13" s="1"/>
  <c r="G162" i="13"/>
  <c r="H162" i="13" s="1"/>
  <c r="G170" i="13"/>
  <c r="H170" i="13" s="1"/>
  <c r="G175" i="13"/>
  <c r="H175" i="13" s="1"/>
  <c r="G180" i="13"/>
  <c r="H180" i="13" s="1"/>
  <c r="G188" i="13"/>
  <c r="H188" i="13" s="1"/>
  <c r="G193" i="13"/>
  <c r="H193" i="13" s="1"/>
  <c r="G198" i="13"/>
  <c r="H198" i="13" s="1"/>
  <c r="G206" i="13"/>
  <c r="H206" i="13" s="1"/>
  <c r="G212" i="13"/>
  <c r="H212" i="13" s="1"/>
  <c r="G217" i="13"/>
  <c r="H217" i="13" s="1"/>
  <c r="G222" i="13"/>
  <c r="H222" i="13" s="1"/>
  <c r="G226" i="13"/>
  <c r="H226" i="13" s="1"/>
  <c r="G234" i="13"/>
  <c r="H234" i="13" s="1"/>
  <c r="G238" i="13"/>
  <c r="H238" i="13" s="1"/>
  <c r="G243" i="13"/>
  <c r="H243" i="13" s="1"/>
  <c r="G253" i="13"/>
  <c r="H253" i="13" s="1"/>
  <c r="G256" i="13"/>
  <c r="H256" i="13" s="1"/>
  <c r="G261" i="13"/>
  <c r="H261" i="13" s="1"/>
  <c r="G271" i="13"/>
  <c r="H271" i="13" s="1"/>
  <c r="G275" i="13"/>
  <c r="H275" i="13" s="1"/>
  <c r="G279" i="13"/>
  <c r="H279" i="13" s="1"/>
  <c r="G287" i="13"/>
  <c r="H287" i="13" s="1"/>
  <c r="G292" i="13"/>
  <c r="H292" i="13" s="1"/>
  <c r="G297" i="13"/>
  <c r="H297" i="13" s="1"/>
  <c r="G304" i="13"/>
  <c r="H304" i="13" s="1"/>
  <c r="G309" i="13"/>
  <c r="H309" i="13" s="1"/>
  <c r="G315" i="13"/>
  <c r="H315" i="13" s="1"/>
  <c r="G321" i="13"/>
  <c r="H321" i="13" s="1"/>
  <c r="G327" i="13"/>
  <c r="H327" i="13" s="1"/>
  <c r="G333" i="13"/>
  <c r="H333" i="13" s="1"/>
  <c r="G339" i="13"/>
  <c r="H339" i="13" s="1"/>
  <c r="G346" i="13"/>
  <c r="H346" i="13" s="1"/>
  <c r="G352" i="13"/>
  <c r="H352" i="13" s="1"/>
  <c r="G357" i="13"/>
  <c r="H357" i="13" s="1"/>
  <c r="G364" i="13"/>
  <c r="H364" i="13" s="1"/>
  <c r="G370" i="13"/>
  <c r="H370" i="13" s="1"/>
  <c r="G375" i="13"/>
  <c r="H375" i="13" s="1"/>
  <c r="G382" i="13"/>
  <c r="H382" i="13" s="1"/>
  <c r="G387" i="13"/>
  <c r="H387" i="13" s="1"/>
  <c r="G393" i="13"/>
  <c r="H393" i="13" s="1"/>
  <c r="G398" i="13"/>
  <c r="H398" i="13" s="1"/>
  <c r="G405" i="13"/>
  <c r="H405" i="13" s="1"/>
  <c r="G410" i="13"/>
  <c r="H410" i="13" s="1"/>
  <c r="G415" i="13"/>
  <c r="H415" i="13" s="1"/>
  <c r="G422" i="13"/>
  <c r="H422" i="13" s="1"/>
  <c r="G427" i="13"/>
  <c r="H427" i="13" s="1"/>
  <c r="G434" i="13"/>
  <c r="H434" i="13" s="1"/>
  <c r="G440" i="13"/>
  <c r="H440" i="13" s="1"/>
  <c r="G446" i="13"/>
  <c r="H446" i="13" s="1"/>
  <c r="G452" i="13"/>
  <c r="H452" i="13" s="1"/>
  <c r="G457" i="13"/>
  <c r="H457" i="13" s="1"/>
  <c r="G464" i="13"/>
  <c r="H464" i="13" s="1"/>
  <c r="G469" i="13"/>
  <c r="H469" i="13" s="1"/>
  <c r="G476" i="13"/>
  <c r="H476" i="13" s="1"/>
  <c r="G481" i="13"/>
  <c r="H481" i="13" s="1"/>
  <c r="G488" i="13"/>
  <c r="H488" i="13" s="1"/>
  <c r="G493" i="13"/>
  <c r="H493" i="13" s="1"/>
  <c r="G498" i="13"/>
  <c r="H498" i="13" s="1"/>
  <c r="G505" i="13"/>
  <c r="H505" i="13" s="1"/>
  <c r="G510" i="13"/>
  <c r="H510" i="13" s="1"/>
  <c r="G516" i="13"/>
  <c r="H516" i="13" s="1"/>
  <c r="G522" i="13"/>
  <c r="H522" i="13" s="1"/>
  <c r="G528" i="13"/>
  <c r="H528" i="13" s="1"/>
  <c r="G535" i="13"/>
  <c r="H535" i="13" s="1"/>
  <c r="G540" i="13"/>
  <c r="H540" i="13" s="1"/>
  <c r="G547" i="13"/>
  <c r="H547" i="13" s="1"/>
  <c r="G552" i="13"/>
  <c r="H552" i="13" s="1"/>
  <c r="G559" i="13"/>
  <c r="H559" i="13" s="1"/>
  <c r="G564" i="13"/>
  <c r="H564" i="13" s="1"/>
  <c r="G571" i="13"/>
  <c r="H571" i="13" s="1"/>
  <c r="G576" i="13"/>
  <c r="H576" i="13" s="1"/>
  <c r="G583" i="13"/>
  <c r="H583" i="13" s="1"/>
  <c r="G589" i="13"/>
  <c r="H589" i="13" s="1"/>
  <c r="G594" i="13"/>
  <c r="H594" i="13" s="1"/>
  <c r="G599" i="13"/>
  <c r="H599" i="13" s="1"/>
  <c r="G607" i="13"/>
  <c r="H607" i="13" s="1"/>
  <c r="G611" i="13"/>
  <c r="H611" i="13" s="1"/>
  <c r="M373" i="13" a="1"/>
  <c r="N373" i="13" s="1"/>
  <c r="M379" i="13" a="1"/>
  <c r="M385" i="13" a="1"/>
  <c r="N385" i="13" s="1"/>
  <c r="M392" i="13" a="1"/>
  <c r="N392" i="13" s="1"/>
  <c r="M398" i="13" a="1"/>
  <c r="M404" i="13" a="1"/>
  <c r="I264" i="13" a="1"/>
  <c r="J264" i="13" s="1"/>
  <c r="I376" i="13" a="1"/>
  <c r="J376" i="13" s="1"/>
  <c r="I382" i="13" a="1"/>
  <c r="J382" i="13" s="1"/>
  <c r="I388" i="13" a="1"/>
  <c r="J388" i="13" s="1"/>
  <c r="I394" i="13" a="1"/>
  <c r="J394" i="13" s="1"/>
  <c r="I400" i="13" a="1"/>
  <c r="J400" i="13" s="1"/>
  <c r="I406" i="13" a="1"/>
  <c r="J406" i="13" s="1"/>
  <c r="G5" i="13"/>
  <c r="H5" i="13" s="1"/>
  <c r="G12" i="13"/>
  <c r="H12" i="13" s="1"/>
  <c r="G18" i="13"/>
  <c r="H18" i="13" s="1"/>
  <c r="G25" i="13"/>
  <c r="H25" i="13" s="1"/>
  <c r="G30" i="13"/>
  <c r="H30" i="13" s="1"/>
  <c r="G37" i="13"/>
  <c r="H37" i="13" s="1"/>
  <c r="G42" i="13"/>
  <c r="H42" i="13" s="1"/>
  <c r="G50" i="13"/>
  <c r="H50" i="13" s="1"/>
  <c r="G55" i="13"/>
  <c r="H55" i="13" s="1"/>
  <c r="G62" i="13"/>
  <c r="H62" i="13" s="1"/>
  <c r="G67" i="13"/>
  <c r="H67" i="13" s="1"/>
  <c r="G72" i="13"/>
  <c r="H72" i="13" s="1"/>
  <c r="G80" i="13"/>
  <c r="H80" i="13" s="1"/>
  <c r="G85" i="13"/>
  <c r="H85" i="13" s="1"/>
  <c r="G92" i="13"/>
  <c r="H92" i="13" s="1"/>
  <c r="G97" i="13"/>
  <c r="H97" i="13" s="1"/>
  <c r="G104" i="13"/>
  <c r="H104" i="13" s="1"/>
  <c r="G109" i="13"/>
  <c r="H109" i="13" s="1"/>
  <c r="G115" i="13"/>
  <c r="H115" i="13" s="1"/>
  <c r="G122" i="13"/>
  <c r="H122" i="13" s="1"/>
  <c r="G127" i="13"/>
  <c r="H127" i="13" s="1"/>
  <c r="G132" i="13"/>
  <c r="H132" i="13" s="1"/>
  <c r="G139" i="13"/>
  <c r="H139" i="13" s="1"/>
  <c r="G144" i="13"/>
  <c r="H144" i="13" s="1"/>
  <c r="G151" i="13"/>
  <c r="H151" i="13" s="1"/>
  <c r="G158" i="13"/>
  <c r="H158" i="13" s="1"/>
  <c r="G163" i="13"/>
  <c r="H163" i="13" s="1"/>
  <c r="G168" i="13"/>
  <c r="H168" i="13" s="1"/>
  <c r="G176" i="13"/>
  <c r="H176" i="13" s="1"/>
  <c r="G181" i="13"/>
  <c r="H181" i="13" s="1"/>
  <c r="G186" i="13"/>
  <c r="H186" i="13" s="1"/>
  <c r="G194" i="13"/>
  <c r="H194" i="13" s="1"/>
  <c r="G199" i="13"/>
  <c r="H199" i="13" s="1"/>
  <c r="G204" i="13"/>
  <c r="H204" i="13" s="1"/>
  <c r="G209" i="13"/>
  <c r="H209" i="13" s="1"/>
  <c r="G214" i="13"/>
  <c r="H214" i="13" s="1"/>
  <c r="G219" i="13"/>
  <c r="H219" i="13" s="1"/>
  <c r="G228" i="13"/>
  <c r="H228" i="13" s="1"/>
  <c r="G232" i="13"/>
  <c r="H232" i="13" s="1"/>
  <c r="G237" i="13"/>
  <c r="H237" i="13" s="1"/>
  <c r="G247" i="13"/>
  <c r="H247" i="13" s="1"/>
  <c r="G251" i="13"/>
  <c r="H251" i="13" s="1"/>
  <c r="G255" i="13"/>
  <c r="H255" i="13" s="1"/>
  <c r="G263" i="13"/>
  <c r="H263" i="13" s="1"/>
  <c r="G270" i="13"/>
  <c r="H270" i="13" s="1"/>
  <c r="G274" i="13"/>
  <c r="H274" i="13" s="1"/>
  <c r="G281" i="13"/>
  <c r="H281" i="13" s="1"/>
  <c r="G285" i="13"/>
  <c r="H285" i="13" s="1"/>
  <c r="G293" i="13"/>
  <c r="H293" i="13" s="1"/>
  <c r="G299" i="13"/>
  <c r="H299" i="13" s="1"/>
  <c r="G305" i="13"/>
  <c r="H305" i="13" s="1"/>
  <c r="G311" i="13"/>
  <c r="H311" i="13" s="1"/>
  <c r="G317" i="13"/>
  <c r="H317" i="13" s="1"/>
  <c r="G323" i="13"/>
  <c r="H323" i="13" s="1"/>
  <c r="G329" i="13"/>
  <c r="H329" i="13" s="1"/>
  <c r="G335" i="13"/>
  <c r="H335" i="13" s="1"/>
  <c r="G341" i="13"/>
  <c r="H341" i="13" s="1"/>
  <c r="G347" i="13"/>
  <c r="H347" i="13" s="1"/>
  <c r="G353" i="13"/>
  <c r="H353" i="13" s="1"/>
  <c r="G359" i="13"/>
  <c r="H359" i="13" s="1"/>
  <c r="G365" i="13"/>
  <c r="H365" i="13" s="1"/>
  <c r="G371" i="13"/>
  <c r="H371" i="13" s="1"/>
  <c r="G378" i="13"/>
  <c r="H378" i="13" s="1"/>
  <c r="G384" i="13"/>
  <c r="H384" i="13" s="1"/>
  <c r="G390" i="13"/>
  <c r="H390" i="13" s="1"/>
  <c r="G395" i="13"/>
  <c r="H395" i="13" s="1"/>
  <c r="G402" i="13"/>
  <c r="H402" i="13" s="1"/>
  <c r="G407" i="13"/>
  <c r="H407" i="13" s="1"/>
  <c r="G414" i="13"/>
  <c r="H414" i="13" s="1"/>
  <c r="G419" i="13"/>
  <c r="H419" i="13" s="1"/>
  <c r="G425" i="13"/>
  <c r="H425" i="13" s="1"/>
  <c r="G432" i="13"/>
  <c r="H432" i="13" s="1"/>
  <c r="G437" i="13"/>
  <c r="H437" i="13" s="1"/>
  <c r="G443" i="13"/>
  <c r="H443" i="13" s="1"/>
  <c r="G450" i="13"/>
  <c r="H450" i="13" s="1"/>
  <c r="G455" i="13"/>
  <c r="H455" i="13" s="1"/>
  <c r="G462" i="13"/>
  <c r="H462" i="13" s="1"/>
  <c r="G467" i="13"/>
  <c r="H467" i="13" s="1"/>
  <c r="G473" i="13"/>
  <c r="H473" i="13" s="1"/>
  <c r="G478" i="13"/>
  <c r="H478" i="13" s="1"/>
  <c r="G483" i="13"/>
  <c r="H483" i="13" s="1"/>
  <c r="G491" i="13"/>
  <c r="H491" i="13" s="1"/>
  <c r="G495" i="13"/>
  <c r="H495" i="13" s="1"/>
  <c r="G502" i="13"/>
  <c r="H502" i="13" s="1"/>
  <c r="G508" i="13"/>
  <c r="H508" i="13" s="1"/>
  <c r="G513" i="13"/>
  <c r="H513" i="13" s="1"/>
  <c r="G521" i="13"/>
  <c r="H521" i="13" s="1"/>
  <c r="G527" i="13"/>
  <c r="H527" i="13" s="1"/>
  <c r="G532" i="13"/>
  <c r="H532" i="13" s="1"/>
  <c r="G539" i="13"/>
  <c r="H539" i="13" s="1"/>
  <c r="G545" i="13"/>
  <c r="H545" i="13" s="1"/>
  <c r="G551" i="13"/>
  <c r="H551" i="13" s="1"/>
  <c r="G557" i="13"/>
  <c r="H557" i="13" s="1"/>
  <c r="G563" i="13"/>
  <c r="H563" i="13" s="1"/>
  <c r="G569" i="13"/>
  <c r="H569" i="13" s="1"/>
  <c r="G575" i="13"/>
  <c r="H575" i="13" s="1"/>
  <c r="G581" i="13"/>
  <c r="H581" i="13" s="1"/>
  <c r="G588" i="13"/>
  <c r="H588" i="13" s="1"/>
  <c r="G593" i="13"/>
  <c r="H593" i="13" s="1"/>
  <c r="G601" i="13"/>
  <c r="H601" i="13" s="1"/>
  <c r="G605" i="13"/>
  <c r="H605" i="13" s="1"/>
  <c r="M55" i="13" a="1"/>
  <c r="M375" i="13" a="1"/>
  <c r="M381" i="13" a="1"/>
  <c r="M387" i="13" a="1"/>
  <c r="M393" i="13" a="1"/>
  <c r="M399" i="13" a="1"/>
  <c r="M405" i="13" a="1"/>
  <c r="I266" i="13" a="1"/>
  <c r="J266" i="13" s="1"/>
  <c r="I377" i="13" a="1"/>
  <c r="J377" i="13" s="1"/>
  <c r="I383" i="13" a="1"/>
  <c r="J383" i="13" s="1"/>
  <c r="I389" i="13" a="1"/>
  <c r="J389" i="13" s="1"/>
  <c r="I395" i="13" a="1"/>
  <c r="J395" i="13" s="1"/>
  <c r="I401" i="13" a="1"/>
  <c r="J401" i="13" s="1"/>
  <c r="I407" i="13" a="1"/>
  <c r="J407" i="13" s="1"/>
  <c r="G7" i="13"/>
  <c r="H7" i="13" s="1"/>
  <c r="G13" i="13"/>
  <c r="H13" i="13" s="1"/>
  <c r="G19" i="13"/>
  <c r="H19" i="13" s="1"/>
  <c r="G24" i="13"/>
  <c r="H24" i="13" s="1"/>
  <c r="G31" i="13"/>
  <c r="H31" i="13" s="1"/>
  <c r="G36" i="13"/>
  <c r="H36" i="13" s="1"/>
  <c r="G44" i="13"/>
  <c r="H44" i="13" s="1"/>
  <c r="G49" i="13"/>
  <c r="H49" i="13" s="1"/>
  <c r="G54" i="13"/>
  <c r="H54" i="13" s="1"/>
  <c r="G60" i="13"/>
  <c r="H60" i="13" s="1"/>
  <c r="G68" i="13"/>
  <c r="H68" i="13" s="1"/>
  <c r="G73" i="13"/>
  <c r="H73" i="13" s="1"/>
  <c r="G78" i="13"/>
  <c r="H78" i="13" s="1"/>
  <c r="G86" i="13"/>
  <c r="H86" i="13" s="1"/>
  <c r="G90" i="13"/>
  <c r="H90" i="13" s="1"/>
  <c r="G95" i="13"/>
  <c r="H95" i="13" s="1"/>
  <c r="G100" i="13"/>
  <c r="H100" i="13" s="1"/>
  <c r="G108" i="13"/>
  <c r="H108" i="13" s="1"/>
  <c r="G113" i="13"/>
  <c r="H113" i="13" s="1"/>
  <c r="G118" i="13"/>
  <c r="H118" i="13" s="1"/>
  <c r="G123" i="13"/>
  <c r="H123" i="13" s="1"/>
  <c r="G130" i="13"/>
  <c r="H130" i="13" s="1"/>
  <c r="G137" i="13"/>
  <c r="H137" i="13" s="1"/>
  <c r="G142" i="13"/>
  <c r="H142" i="13" s="1"/>
  <c r="G148" i="13"/>
  <c r="H148" i="13" s="1"/>
  <c r="G153" i="13"/>
  <c r="H153" i="13" s="1"/>
  <c r="G160" i="13"/>
  <c r="H160" i="13" s="1"/>
  <c r="G167" i="13"/>
  <c r="H167" i="13" s="1"/>
  <c r="G172" i="13"/>
  <c r="H172" i="13" s="1"/>
  <c r="G178" i="13"/>
  <c r="H178" i="13" s="1"/>
  <c r="G185" i="13"/>
  <c r="H185" i="13" s="1"/>
  <c r="G190" i="13"/>
  <c r="H190" i="13" s="1"/>
  <c r="G196" i="13"/>
  <c r="H196" i="13" s="1"/>
  <c r="G201" i="13"/>
  <c r="H201" i="13" s="1"/>
  <c r="G208" i="13"/>
  <c r="H208" i="13" s="1"/>
  <c r="G213" i="13"/>
  <c r="H213" i="13" s="1"/>
  <c r="G221" i="13"/>
  <c r="H221" i="13" s="1"/>
  <c r="G227" i="13"/>
  <c r="H227" i="13" s="1"/>
  <c r="G231" i="13"/>
  <c r="H231" i="13" s="1"/>
  <c r="G241" i="13"/>
  <c r="H241" i="13" s="1"/>
  <c r="G244" i="13"/>
  <c r="H244" i="13" s="1"/>
  <c r="G249" i="13"/>
  <c r="H249" i="13" s="1"/>
  <c r="G258" i="13"/>
  <c r="H258" i="13" s="1"/>
  <c r="G262" i="13"/>
  <c r="H262" i="13" s="1"/>
  <c r="G267" i="13"/>
  <c r="H267" i="13" s="1"/>
  <c r="G276" i="13"/>
  <c r="H276" i="13" s="1"/>
  <c r="G280" i="13"/>
  <c r="H280" i="13" s="1"/>
  <c r="G286" i="13"/>
  <c r="H286" i="13" s="1"/>
  <c r="G291" i="13"/>
  <c r="H291" i="13" s="1"/>
  <c r="G298" i="13"/>
  <c r="H298" i="13" s="1"/>
  <c r="G303" i="13"/>
  <c r="H303" i="13" s="1"/>
  <c r="G310" i="13"/>
  <c r="H310" i="13" s="1"/>
  <c r="G316" i="13"/>
  <c r="H316" i="13" s="1"/>
  <c r="G322" i="13"/>
  <c r="H322" i="13" s="1"/>
  <c r="G328" i="13"/>
  <c r="H328" i="13" s="1"/>
  <c r="G334" i="13"/>
  <c r="H334" i="13" s="1"/>
  <c r="G340" i="13"/>
  <c r="H340" i="13" s="1"/>
  <c r="G345" i="13"/>
  <c r="H345" i="13" s="1"/>
  <c r="G351" i="13"/>
  <c r="H351" i="13" s="1"/>
  <c r="G358" i="13"/>
  <c r="H358" i="13" s="1"/>
  <c r="G363" i="13"/>
  <c r="H363" i="13" s="1"/>
  <c r="G369" i="13"/>
  <c r="H369" i="13" s="1"/>
  <c r="G376" i="13"/>
  <c r="H376" i="13" s="1"/>
  <c r="G381" i="13"/>
  <c r="H381" i="13" s="1"/>
  <c r="G388" i="13"/>
  <c r="H388" i="13" s="1"/>
  <c r="G394" i="13"/>
  <c r="H394" i="13" s="1"/>
  <c r="G400" i="13"/>
  <c r="H400" i="13" s="1"/>
  <c r="G406" i="13"/>
  <c r="H406" i="13" s="1"/>
  <c r="G412" i="13"/>
  <c r="H412" i="13" s="1"/>
  <c r="G418" i="13"/>
  <c r="H418" i="13" s="1"/>
  <c r="G424" i="13"/>
  <c r="H424" i="13" s="1"/>
  <c r="G430" i="13"/>
  <c r="H430" i="13" s="1"/>
  <c r="G436" i="13"/>
  <c r="H436" i="13" s="1"/>
  <c r="G442" i="13"/>
  <c r="H442" i="13" s="1"/>
  <c r="G448" i="13"/>
  <c r="H448" i="13" s="1"/>
  <c r="G454" i="13"/>
  <c r="H454" i="13" s="1"/>
  <c r="G460" i="13"/>
  <c r="H460" i="13" s="1"/>
  <c r="G466" i="13"/>
  <c r="H466" i="13" s="1"/>
  <c r="G472" i="13"/>
  <c r="H472" i="13" s="1"/>
  <c r="G477" i="13"/>
  <c r="H477" i="13" s="1"/>
  <c r="G485" i="13"/>
  <c r="H485" i="13" s="1"/>
  <c r="G490" i="13"/>
  <c r="H490" i="13" s="1"/>
  <c r="G497" i="13"/>
  <c r="H497" i="13" s="1"/>
  <c r="G503" i="13"/>
  <c r="H503" i="13" s="1"/>
  <c r="G507" i="13"/>
  <c r="H507" i="13" s="1"/>
  <c r="G515" i="13"/>
  <c r="H515" i="13" s="1"/>
  <c r="G520" i="13"/>
  <c r="H520" i="13" s="1"/>
  <c r="G525" i="13"/>
  <c r="H525" i="13" s="1"/>
  <c r="G533" i="13"/>
  <c r="H533" i="13" s="1"/>
  <c r="G537" i="13"/>
  <c r="H537" i="13" s="1"/>
  <c r="G544" i="13"/>
  <c r="H544" i="13" s="1"/>
  <c r="G550" i="13"/>
  <c r="H550" i="13" s="1"/>
  <c r="G556" i="13"/>
  <c r="H556" i="13" s="1"/>
  <c r="G562" i="13"/>
  <c r="H562" i="13" s="1"/>
  <c r="G568" i="13"/>
  <c r="H568" i="13" s="1"/>
  <c r="G574" i="13"/>
  <c r="H574" i="13" s="1"/>
  <c r="G580" i="13"/>
  <c r="H580" i="13" s="1"/>
  <c r="G586" i="13"/>
  <c r="H586" i="13" s="1"/>
  <c r="G592" i="13"/>
  <c r="H592" i="13" s="1"/>
  <c r="G598" i="13"/>
  <c r="H598" i="13" s="1"/>
  <c r="G604" i="13"/>
  <c r="H604" i="13" s="1"/>
  <c r="G610" i="13"/>
  <c r="H610" i="13" s="1"/>
  <c r="M372" i="13" a="1"/>
  <c r="M378" i="13" a="1"/>
  <c r="M384" i="13" a="1"/>
  <c r="M390" i="13" a="1"/>
  <c r="M396" i="13" a="1"/>
  <c r="M402" i="13" a="1"/>
  <c r="M408" i="13" a="1"/>
  <c r="J550" i="18"/>
  <c r="J552" i="18"/>
  <c r="J565" i="18"/>
  <c r="J566" i="18"/>
  <c r="J570" i="18"/>
  <c r="J413" i="18"/>
  <c r="J569" i="18"/>
  <c r="J484" i="18"/>
  <c r="J478" i="18"/>
  <c r="J469" i="18"/>
  <c r="J463" i="18"/>
  <c r="J451" i="18"/>
  <c r="J442" i="18"/>
  <c r="J440" i="18"/>
  <c r="J432" i="18"/>
  <c r="J430" i="18"/>
  <c r="J425" i="18"/>
  <c r="J554" i="18"/>
  <c r="J491" i="18"/>
  <c r="J500" i="18"/>
  <c r="J504" i="18"/>
  <c r="J506" i="18"/>
  <c r="J510" i="18"/>
  <c r="J512" i="18"/>
  <c r="J515" i="18"/>
  <c r="J517" i="18"/>
  <c r="J520" i="18"/>
  <c r="J522" i="18"/>
  <c r="J525" i="18"/>
  <c r="J527" i="18"/>
  <c r="J528" i="18"/>
  <c r="J529" i="18"/>
  <c r="J437" i="18"/>
  <c r="J531" i="18"/>
  <c r="J534" i="18"/>
  <c r="J541" i="18"/>
  <c r="J547" i="18"/>
  <c r="J416" i="18"/>
  <c r="J418" i="18"/>
  <c r="J420" i="18"/>
  <c r="J429" i="18"/>
  <c r="J431" i="18"/>
  <c r="J435" i="18"/>
  <c r="J438" i="18"/>
  <c r="J441" i="18"/>
  <c r="J443" i="18"/>
  <c r="J448" i="18"/>
  <c r="J457" i="18"/>
  <c r="J468" i="18"/>
  <c r="J474" i="18"/>
  <c r="J481" i="18"/>
  <c r="J487" i="18"/>
  <c r="J495" i="18"/>
  <c r="J509" i="18"/>
  <c r="J511" i="18"/>
  <c r="J714" i="18"/>
  <c r="J667" i="18"/>
  <c r="AA2" i="30" a="1"/>
  <c r="E146" i="28"/>
  <c r="E145" i="28"/>
  <c r="E143" i="28"/>
  <c r="E142" i="28"/>
  <c r="E141" i="28"/>
  <c r="E140" i="28"/>
  <c r="E139" i="28"/>
  <c r="E137" i="28"/>
  <c r="E126" i="28"/>
  <c r="E124" i="28"/>
  <c r="E121" i="28"/>
  <c r="E120" i="28"/>
  <c r="E119" i="28"/>
  <c r="E117" i="28"/>
  <c r="E115" i="28"/>
  <c r="E114" i="28"/>
  <c r="E113" i="28"/>
  <c r="E112" i="28"/>
  <c r="E111" i="28"/>
  <c r="E110" i="28"/>
  <c r="E109" i="28"/>
  <c r="E108" i="28"/>
  <c r="E107" i="28"/>
  <c r="E106" i="28"/>
  <c r="E105" i="28"/>
  <c r="E104" i="28"/>
  <c r="E103" i="28"/>
  <c r="E102" i="28"/>
  <c r="E100" i="28"/>
  <c r="E99" i="28"/>
  <c r="E98" i="28"/>
  <c r="E97" i="28"/>
  <c r="E96" i="28"/>
  <c r="E95" i="28"/>
  <c r="E94" i="28"/>
  <c r="E92" i="28"/>
  <c r="E91" i="28"/>
  <c r="E87" i="28"/>
  <c r="E71" i="28"/>
  <c r="E66" i="28"/>
  <c r="E65" i="28"/>
  <c r="E64" i="28"/>
  <c r="E63" i="28"/>
  <c r="E62" i="28"/>
  <c r="E61" i="28"/>
  <c r="E59" i="28"/>
  <c r="E58" i="28"/>
  <c r="E57" i="28"/>
  <c r="E56" i="28"/>
  <c r="E55" i="28"/>
  <c r="E54" i="28"/>
  <c r="E53" i="28"/>
  <c r="E52" i="28"/>
  <c r="E51" i="28"/>
  <c r="E50" i="28"/>
  <c r="E49" i="28"/>
  <c r="E48" i="28"/>
  <c r="E47" i="28"/>
  <c r="E46" i="28"/>
  <c r="E43" i="28"/>
  <c r="E42" i="28"/>
  <c r="E41" i="28"/>
  <c r="E40" i="28"/>
  <c r="E39" i="28"/>
  <c r="E38" i="28"/>
  <c r="E5" i="28"/>
  <c r="E4" i="28"/>
  <c r="E147" i="28"/>
  <c r="E144" i="28"/>
  <c r="E138" i="28"/>
  <c r="E131" i="28"/>
  <c r="E130" i="28"/>
  <c r="E129" i="28"/>
  <c r="E128" i="28"/>
  <c r="E127" i="28"/>
  <c r="E122" i="28"/>
  <c r="E116" i="28"/>
  <c r="E8" i="28"/>
  <c r="E7" i="28"/>
  <c r="E60" i="28"/>
  <c r="E45" i="28"/>
  <c r="V2" i="30" a="1"/>
  <c r="N386" i="13"/>
  <c r="P386" i="13"/>
  <c r="N403" i="13"/>
  <c r="P403" i="13"/>
  <c r="N376" i="13"/>
  <c r="P376" i="13"/>
  <c r="N400" i="13"/>
  <c r="P400" i="13"/>
  <c r="N406" i="13"/>
  <c r="P406" i="13"/>
  <c r="N389" i="13"/>
  <c r="P389" i="13"/>
  <c r="N398" i="13"/>
  <c r="P398" i="13"/>
  <c r="N404" i="13"/>
  <c r="P404" i="13"/>
  <c r="N381" i="13"/>
  <c r="P381" i="13"/>
  <c r="N393" i="13"/>
  <c r="P393" i="13"/>
  <c r="N405" i="13"/>
  <c r="P405" i="13"/>
  <c r="I360" i="13" a="1"/>
  <c r="J360" i="13" s="1"/>
  <c r="M360" i="13" a="1"/>
  <c r="P377" i="13"/>
  <c r="P373" i="13"/>
  <c r="P374" i="13"/>
  <c r="P380" i="13"/>
  <c r="P407" i="13"/>
  <c r="P397" i="13"/>
  <c r="P383" i="13"/>
  <c r="P382" i="13"/>
  <c r="P385" i="13"/>
  <c r="P392" i="13"/>
  <c r="P394" i="13"/>
  <c r="P391" i="13"/>
  <c r="P395" i="13"/>
  <c r="P401" i="13"/>
  <c r="P388" i="13"/>
  <c r="M34" i="13" a="1"/>
  <c r="I34" i="13" a="1"/>
  <c r="J34" i="13" s="1"/>
  <c r="M36" i="13" a="1"/>
  <c r="I36" i="13" a="1"/>
  <c r="J36" i="13" s="1"/>
  <c r="I37" i="13" a="1"/>
  <c r="J37" i="13" s="1"/>
  <c r="M37" i="13" a="1"/>
  <c r="I38" i="13" a="1"/>
  <c r="J38" i="13" s="1"/>
  <c r="M38" i="13" a="1"/>
  <c r="I48" i="13" a="1"/>
  <c r="J48" i="13" s="1"/>
  <c r="M48" i="13" a="1"/>
  <c r="I52" i="13" a="1"/>
  <c r="J52" i="13" s="1"/>
  <c r="M52" i="13" a="1"/>
  <c r="I59" i="13" a="1"/>
  <c r="J59" i="13" s="1"/>
  <c r="M59" i="13" a="1"/>
  <c r="I66" i="13" a="1"/>
  <c r="J66" i="13" s="1"/>
  <c r="M66" i="13" a="1"/>
  <c r="N66" i="13" s="1"/>
  <c r="M71" i="13" a="1"/>
  <c r="I71" i="13" a="1"/>
  <c r="J71" i="13" s="1"/>
  <c r="M70" i="13" a="1"/>
  <c r="N70" i="13" s="1"/>
  <c r="I70" i="13" a="1"/>
  <c r="J70" i="13" s="1"/>
  <c r="M76" i="13" a="1"/>
  <c r="I76" i="13" a="1"/>
  <c r="J76" i="13" s="1"/>
  <c r="M534" i="13" a="1"/>
  <c r="I534" i="13" a="1"/>
  <c r="J534" i="13" s="1"/>
  <c r="M522" i="13" a="1"/>
  <c r="I522" i="13" a="1"/>
  <c r="J522" i="13" s="1"/>
  <c r="M89" i="13" a="1"/>
  <c r="I89" i="13" a="1"/>
  <c r="J89" i="13" s="1"/>
  <c r="M92" i="13" a="1"/>
  <c r="I92" i="13" a="1"/>
  <c r="J92" i="13" s="1"/>
  <c r="M541" i="13" a="1"/>
  <c r="I541" i="13" a="1"/>
  <c r="J541" i="13" s="1"/>
  <c r="I206" i="13" a="1"/>
  <c r="J206" i="13" s="1"/>
  <c r="M206" i="13" a="1"/>
  <c r="I529" i="13" a="1"/>
  <c r="J529" i="13" s="1"/>
  <c r="M529" i="13" a="1"/>
  <c r="N529" i="13" s="1"/>
  <c r="I133" i="13" a="1"/>
  <c r="J133" i="13" s="1"/>
  <c r="M133" i="13" a="1"/>
  <c r="N133" i="13" s="1"/>
  <c r="I134" i="13" a="1"/>
  <c r="J134" i="13" s="1"/>
  <c r="M134" i="13" a="1"/>
  <c r="M136" i="13" a="1"/>
  <c r="I136" i="13" a="1"/>
  <c r="J136" i="13" s="1"/>
  <c r="M139" i="13" a="1"/>
  <c r="N139" i="13" s="1"/>
  <c r="I139" i="13" a="1"/>
  <c r="J139" i="13" s="1"/>
  <c r="M152" i="13" a="1"/>
  <c r="N152" i="13" s="1"/>
  <c r="I152" i="13" a="1"/>
  <c r="J152" i="13" s="1"/>
  <c r="M153" i="13" a="1"/>
  <c r="N153" i="13" s="1"/>
  <c r="I153" i="13" a="1"/>
  <c r="J153" i="13" s="1"/>
  <c r="I154" i="13" a="1"/>
  <c r="J154" i="13" s="1"/>
  <c r="M154" i="13" a="1"/>
  <c r="N154" i="13" s="1"/>
  <c r="M155" i="13" a="1"/>
  <c r="N155" i="13" s="1"/>
  <c r="I155" i="13" a="1"/>
  <c r="J155" i="13" s="1"/>
  <c r="M158" i="13" a="1"/>
  <c r="I158" i="13" a="1"/>
  <c r="J158" i="13" s="1"/>
  <c r="M159" i="13" a="1"/>
  <c r="I159" i="13" a="1"/>
  <c r="J159" i="13" s="1"/>
  <c r="I169" i="13" a="1"/>
  <c r="J169" i="13" s="1"/>
  <c r="M169" i="13" a="1"/>
  <c r="I172" i="13" a="1"/>
  <c r="J172" i="13" s="1"/>
  <c r="M172" i="13" a="1"/>
  <c r="N172" i="13" s="1"/>
  <c r="I173" i="13" a="1"/>
  <c r="J173" i="13" s="1"/>
  <c r="M173" i="13" a="1"/>
  <c r="N173" i="13" s="1"/>
  <c r="I174" i="13" a="1"/>
  <c r="J174" i="13" s="1"/>
  <c r="M174" i="13" a="1"/>
  <c r="N174" i="13" s="1"/>
  <c r="I175" i="13" a="1"/>
  <c r="J175" i="13" s="1"/>
  <c r="M175" i="13" a="1"/>
  <c r="N175" i="13" s="1"/>
  <c r="I176" i="13" a="1"/>
  <c r="J176" i="13" s="1"/>
  <c r="M176" i="13" a="1"/>
  <c r="N176" i="13" s="1"/>
  <c r="M177" i="13" a="1"/>
  <c r="N177" i="13" s="1"/>
  <c r="I177" i="13" a="1"/>
  <c r="J177" i="13" s="1"/>
  <c r="M179" i="13" a="1"/>
  <c r="N179" i="13" s="1"/>
  <c r="I179" i="13" a="1"/>
  <c r="J179" i="13" s="1"/>
  <c r="I180" i="13" a="1"/>
  <c r="J180" i="13" s="1"/>
  <c r="M180" i="13" a="1"/>
  <c r="N180" i="13" s="1"/>
  <c r="I181" i="13" a="1"/>
  <c r="J181" i="13" s="1"/>
  <c r="M181" i="13" a="1"/>
  <c r="N181" i="13" s="1"/>
  <c r="I182" i="13" a="1"/>
  <c r="J182" i="13" s="1"/>
  <c r="M182" i="13" a="1"/>
  <c r="N182" i="13" s="1"/>
  <c r="I183" i="13" a="1"/>
  <c r="J183" i="13" s="1"/>
  <c r="M183" i="13" a="1"/>
  <c r="N183" i="13" s="1"/>
  <c r="I185" i="13" a="1"/>
  <c r="J185" i="13" s="1"/>
  <c r="M185" i="13" a="1"/>
  <c r="N185" i="13" s="1"/>
  <c r="M186" i="13" a="1"/>
  <c r="N186" i="13" s="1"/>
  <c r="I186" i="13" a="1"/>
  <c r="J186" i="13" s="1"/>
  <c r="M187" i="13" a="1"/>
  <c r="I187" i="13" a="1"/>
  <c r="J187" i="13" s="1"/>
  <c r="M188" i="13" a="1"/>
  <c r="I188" i="13" a="1"/>
  <c r="J188" i="13" s="1"/>
  <c r="I189" i="13" a="1"/>
  <c r="J189" i="13" s="1"/>
  <c r="M189" i="13" a="1"/>
  <c r="N189" i="13" s="1"/>
  <c r="I190" i="13" a="1"/>
  <c r="J190" i="13" s="1"/>
  <c r="M190" i="13" a="1"/>
  <c r="I194" i="13" a="1"/>
  <c r="J194" i="13" s="1"/>
  <c r="M194" i="13" a="1"/>
  <c r="M195" i="13" a="1"/>
  <c r="I195" i="13" a="1"/>
  <c r="J195" i="13" s="1"/>
  <c r="I196" i="13" a="1"/>
  <c r="J196" i="13" s="1"/>
  <c r="M196" i="13" a="1"/>
  <c r="M197" i="13" a="1"/>
  <c r="I197" i="13" a="1"/>
  <c r="J197" i="13" s="1"/>
  <c r="I198" i="13" a="1"/>
  <c r="J198" i="13" s="1"/>
  <c r="M198" i="13" a="1"/>
  <c r="N198" i="13" s="1"/>
  <c r="M199" i="13" a="1"/>
  <c r="I199" i="13" a="1"/>
  <c r="J199" i="13" s="1"/>
  <c r="M200" i="13" a="1"/>
  <c r="N200" i="13" s="1"/>
  <c r="I200" i="13" a="1"/>
  <c r="J200" i="13" s="1"/>
  <c r="M203" i="13" a="1"/>
  <c r="I203" i="13" a="1"/>
  <c r="J203" i="13" s="1"/>
  <c r="I204" i="13" a="1"/>
  <c r="J204" i="13" s="1"/>
  <c r="M204" i="13" a="1"/>
  <c r="M205" i="13" a="1"/>
  <c r="I205" i="13" a="1"/>
  <c r="J205" i="13" s="1"/>
  <c r="M224" i="13" a="1"/>
  <c r="I224" i="13" a="1"/>
  <c r="J224" i="13" s="1"/>
  <c r="I226" i="13" a="1"/>
  <c r="J226" i="13" s="1"/>
  <c r="M226" i="13" a="1"/>
  <c r="N226" i="13" s="1"/>
  <c r="M229" i="13" a="1"/>
  <c r="N229" i="13" s="1"/>
  <c r="I229" i="13" a="1"/>
  <c r="J229" i="13" s="1"/>
  <c r="I231" i="13" a="1"/>
  <c r="J231" i="13" s="1"/>
  <c r="M231" i="13" a="1"/>
  <c r="N231" i="13" s="1"/>
  <c r="M238" i="13" a="1"/>
  <c r="N238" i="13" s="1"/>
  <c r="I238" i="13" a="1"/>
  <c r="J238" i="13" s="1"/>
  <c r="M242" i="13" a="1"/>
  <c r="I242" i="13" a="1"/>
  <c r="J242" i="13" s="1"/>
  <c r="M243" i="13" a="1"/>
  <c r="I243" i="13" a="1"/>
  <c r="J243" i="13" s="1"/>
  <c r="I245" i="13" a="1"/>
  <c r="J245" i="13" s="1"/>
  <c r="M245" i="13" a="1"/>
  <c r="N245" i="13" s="1"/>
  <c r="I247" i="13" a="1"/>
  <c r="J247" i="13" s="1"/>
  <c r="M247" i="13" a="1"/>
  <c r="N247" i="13" s="1"/>
  <c r="I253" i="13" a="1"/>
  <c r="J253" i="13" s="1"/>
  <c r="M253" i="13" a="1"/>
  <c r="O31" i="13" a="1"/>
  <c r="O515" i="13" a="1"/>
  <c r="O509" i="13" a="1"/>
  <c r="O513" i="13" a="1"/>
  <c r="O479" i="13" a="1"/>
  <c r="O484" i="13" a="1"/>
  <c r="O490" i="13" a="1"/>
  <c r="O469" i="13" a="1"/>
  <c r="O435" i="13" a="1"/>
  <c r="O421" i="13" a="1"/>
  <c r="O426" i="13" a="1"/>
  <c r="O415" i="13" a="1"/>
  <c r="O374" i="13" a="1"/>
  <c r="O285" i="13" a="1"/>
  <c r="O162" i="13" a="1"/>
  <c r="O151" i="13" a="1"/>
  <c r="O516" i="13" a="1"/>
  <c r="O511" i="13" a="1"/>
  <c r="O494" i="13" a="1"/>
  <c r="O480" i="13" a="1"/>
  <c r="O486" i="13" a="1"/>
  <c r="O491" i="13" a="1"/>
  <c r="O472" i="13" a="1"/>
  <c r="O466" i="13" a="1"/>
  <c r="O377" i="13" a="1"/>
  <c r="O423" i="13" a="1"/>
  <c r="O428" i="13" a="1"/>
  <c r="O411" i="13" a="1"/>
  <c r="O375" i="13" a="1"/>
  <c r="O221" i="13" a="1"/>
  <c r="O163" i="13" a="1"/>
  <c r="O146" i="13" a="1"/>
  <c r="O507" i="13" a="1"/>
  <c r="O429" i="13" a="1"/>
  <c r="O495" i="13" a="1"/>
  <c r="O477" i="13" a="1"/>
  <c r="O482" i="13" a="1"/>
  <c r="O489" i="13" a="1"/>
  <c r="O468" i="13" a="1"/>
  <c r="O474" i="13" a="1"/>
  <c r="O461" i="13" a="1"/>
  <c r="O443" i="13" a="1"/>
  <c r="O436" i="13" a="1"/>
  <c r="O420" i="13" a="1"/>
  <c r="O425" i="13" a="1"/>
  <c r="O430" i="13" a="1"/>
  <c r="O413" i="13" a="1"/>
  <c r="O372" i="13" a="1"/>
  <c r="O171" i="13" a="1"/>
  <c r="O165" i="13" a="1"/>
  <c r="O149" i="13" a="1"/>
  <c r="O510" i="13" a="1"/>
  <c r="O476" i="13" a="1"/>
  <c r="O483" i="13" a="1"/>
  <c r="O488" i="13" a="1"/>
  <c r="O473" i="13" a="1"/>
  <c r="O434" i="13" a="1"/>
  <c r="O419" i="13" a="1"/>
  <c r="O424" i="13" a="1"/>
  <c r="O431" i="13" a="1"/>
  <c r="O412" i="13" a="1"/>
  <c r="O370" i="13" a="1"/>
  <c r="O166" i="13" a="1"/>
  <c r="O148" i="13" a="1"/>
  <c r="O512" i="13" a="1"/>
  <c r="O497" i="13" a="1"/>
  <c r="O493" i="13" a="1"/>
  <c r="O481" i="13" a="1"/>
  <c r="O485" i="13" a="1"/>
  <c r="O471" i="13" a="1"/>
  <c r="O451" i="13" a="1"/>
  <c r="O433" i="13" a="1"/>
  <c r="O376" i="13" a="1"/>
  <c r="O422" i="13" a="1"/>
  <c r="O427" i="13" a="1"/>
  <c r="O410" i="13" a="1"/>
  <c r="O284" i="13" a="1"/>
  <c r="O164" i="13" a="1"/>
  <c r="O147" i="13" a="1"/>
  <c r="O478" i="13" a="1"/>
  <c r="O487" i="13" a="1"/>
  <c r="O470" i="13" a="1"/>
  <c r="O220" i="13" a="1"/>
  <c r="O341" i="13" a="1"/>
  <c r="O337" i="13" a="1"/>
  <c r="O336" i="13" a="1"/>
  <c r="O340" i="13" a="1"/>
  <c r="O278" i="13" a="1"/>
  <c r="O279" i="13" a="1"/>
  <c r="O280" i="13" a="1"/>
  <c r="O281" i="13" a="1"/>
  <c r="O282" i="13" a="1"/>
  <c r="O283" i="13" a="1"/>
  <c r="O286" i="13" a="1"/>
  <c r="O287" i="13" a="1"/>
  <c r="O288" i="13" a="1"/>
  <c r="O289" i="13" a="1"/>
  <c r="O290" i="13" a="1"/>
  <c r="O291" i="13" a="1"/>
  <c r="O292" i="13" a="1"/>
  <c r="O293" i="13" a="1"/>
  <c r="O294" i="13" a="1"/>
  <c r="O295" i="13" a="1"/>
  <c r="O296" i="13" a="1"/>
  <c r="O297" i="13" a="1"/>
  <c r="O298" i="13" a="1"/>
  <c r="O299" i="13" a="1"/>
  <c r="O300" i="13" a="1"/>
  <c r="O301" i="13" a="1"/>
  <c r="O302" i="13" a="1"/>
  <c r="O303" i="13" a="1"/>
  <c r="O304" i="13" a="1"/>
  <c r="O305" i="13" a="1"/>
  <c r="O306" i="13" a="1"/>
  <c r="O307" i="13" a="1"/>
  <c r="O308" i="13" a="1"/>
  <c r="O309" i="13" a="1"/>
  <c r="O310" i="13" a="1"/>
  <c r="O311" i="13" a="1"/>
  <c r="O312" i="13" a="1"/>
  <c r="O313" i="13" a="1"/>
  <c r="O314" i="13" a="1"/>
  <c r="O315" i="13" a="1"/>
  <c r="O316" i="13" a="1"/>
  <c r="O317" i="13" a="1"/>
  <c r="O318" i="13" a="1"/>
  <c r="O319" i="13" a="1"/>
  <c r="O320" i="13" a="1"/>
  <c r="O321" i="13" a="1"/>
  <c r="O322" i="13" a="1"/>
  <c r="O323" i="13" a="1"/>
  <c r="O324" i="13" a="1"/>
  <c r="O325" i="13" a="1"/>
  <c r="O326" i="13" a="1"/>
  <c r="O327" i="13" a="1"/>
  <c r="O328" i="13" a="1"/>
  <c r="O329" i="13" a="1"/>
  <c r="O330" i="13" a="1"/>
  <c r="O331" i="13" a="1"/>
  <c r="O332" i="13" a="1"/>
  <c r="O333" i="13" a="1"/>
  <c r="O334" i="13" a="1"/>
  <c r="O335" i="13" a="1"/>
  <c r="O338" i="13" a="1"/>
  <c r="O339" i="13" a="1"/>
  <c r="O342" i="13" a="1"/>
  <c r="O521" i="13" a="1"/>
  <c r="O525" i="13" a="1"/>
  <c r="O530" i="13" a="1"/>
  <c r="O534" i="13" a="1"/>
  <c r="O538" i="13" a="1"/>
  <c r="O542" i="13" a="1"/>
  <c r="O546" i="13" a="1"/>
  <c r="O550" i="13" a="1"/>
  <c r="O554" i="13" a="1"/>
  <c r="O558" i="13" a="1"/>
  <c r="O562" i="13" a="1"/>
  <c r="O567" i="13" a="1"/>
  <c r="O571" i="13" a="1"/>
  <c r="O576" i="13" a="1"/>
  <c r="O579" i="13" a="1"/>
  <c r="O583" i="13" a="1"/>
  <c r="O589" i="13" a="1"/>
  <c r="O593" i="13" a="1"/>
  <c r="O596" i="13" a="1"/>
  <c r="O600" i="13" a="1"/>
  <c r="O604" i="13" a="1"/>
  <c r="O608" i="13" a="1"/>
  <c r="O390" i="13" a="1"/>
  <c r="O399" i="13" a="1"/>
  <c r="O505" i="13" a="1"/>
  <c r="O464" i="13" a="1"/>
  <c r="O449" i="13" a="1"/>
  <c r="O4" i="13" a="1"/>
  <c r="O9" i="13" a="1"/>
  <c r="O13" i="13" a="1"/>
  <c r="O17" i="13" a="1"/>
  <c r="O21" i="13" a="1"/>
  <c r="O25" i="13" a="1"/>
  <c r="O496" i="13" a="1"/>
  <c r="O32" i="13" a="1"/>
  <c r="O39" i="13" a="1"/>
  <c r="O43" i="13" a="1"/>
  <c r="O47" i="13" a="1"/>
  <c r="O50" i="13" a="1"/>
  <c r="O55" i="13" a="1"/>
  <c r="O59" i="13" a="1"/>
  <c r="O63" i="13" a="1"/>
  <c r="O68" i="13" a="1"/>
  <c r="O71" i="13" a="1"/>
  <c r="O75" i="13" a="1"/>
  <c r="O78" i="13" a="1"/>
  <c r="O82" i="13" a="1"/>
  <c r="O86" i="13" a="1"/>
  <c r="O91" i="13" a="1"/>
  <c r="O432" i="13" a="1"/>
  <c r="O499" i="13" a="1"/>
  <c r="O508" i="13" a="1"/>
  <c r="O103" i="13" a="1"/>
  <c r="O107" i="13" a="1"/>
  <c r="O111" i="13" a="1"/>
  <c r="O113" i="13" a="1"/>
  <c r="O116" i="13" a="1"/>
  <c r="O119" i="13" a="1"/>
  <c r="O122" i="13" a="1"/>
  <c r="O125" i="13" a="1"/>
  <c r="O128" i="13" a="1"/>
  <c r="O131" i="13" a="1"/>
  <c r="O133" i="13" a="1"/>
  <c r="O136" i="13" a="1"/>
  <c r="O193" i="13" a="1"/>
  <c r="O196" i="13" a="1"/>
  <c r="O199" i="13" a="1"/>
  <c r="O202" i="13" a="1"/>
  <c r="O205" i="13" a="1"/>
  <c r="O208" i="13" a="1"/>
  <c r="O211" i="13" a="1"/>
  <c r="O214" i="13" a="1"/>
  <c r="O217" i="13" a="1"/>
  <c r="O222" i="13" a="1"/>
  <c r="O225" i="13" a="1"/>
  <c r="O228" i="13" a="1"/>
  <c r="O231" i="13" a="1"/>
  <c r="O234" i="13" a="1"/>
  <c r="O237" i="13" a="1"/>
  <c r="O240" i="13" a="1"/>
  <c r="O243" i="13" a="1"/>
  <c r="O246" i="13" a="1"/>
  <c r="O249" i="13" a="1"/>
  <c r="O445" i="13" a="1"/>
  <c r="O454" i="13" a="1"/>
  <c r="O442" i="13" a="1"/>
  <c r="O462" i="13" a="1"/>
  <c r="O448" i="13" a="1"/>
  <c r="O440" i="13" a="1"/>
  <c r="O506" i="13" a="1"/>
  <c r="O504" i="13" a="1"/>
  <c r="O252" i="13" a="1"/>
  <c r="O255" i="13" a="1"/>
  <c r="O258" i="13" a="1"/>
  <c r="O261" i="13" a="1"/>
  <c r="O264" i="13" a="1"/>
  <c r="O267" i="13" a="1"/>
  <c r="O270" i="13" a="1"/>
  <c r="O273" i="13" a="1"/>
  <c r="O276" i="13" a="1"/>
  <c r="O344" i="13" a="1"/>
  <c r="O347" i="13" a="1"/>
  <c r="O350" i="13" a="1"/>
  <c r="O353" i="13" a="1"/>
  <c r="O356" i="13" a="1"/>
  <c r="O359" i="13" a="1"/>
  <c r="O362" i="13" a="1"/>
  <c r="O365" i="13" a="1"/>
  <c r="O518" i="13" a="1"/>
  <c r="O519" i="13" a="1"/>
  <c r="O523" i="13" a="1"/>
  <c r="O527" i="13" a="1"/>
  <c r="O532" i="13" a="1"/>
  <c r="O535" i="13" a="1"/>
  <c r="O539" i="13" a="1"/>
  <c r="O543" i="13" a="1"/>
  <c r="O547" i="13" a="1"/>
  <c r="O552" i="13" a="1"/>
  <c r="O556" i="13" a="1"/>
  <c r="O559" i="13" a="1"/>
  <c r="O563" i="13" a="1"/>
  <c r="O566" i="13" a="1"/>
  <c r="O570" i="13" a="1"/>
  <c r="O574" i="13" a="1"/>
  <c r="O578" i="13" a="1"/>
  <c r="O582" i="13" a="1"/>
  <c r="O586" i="13" a="1"/>
  <c r="O590" i="13" a="1"/>
  <c r="O594" i="13" a="1"/>
  <c r="O598" i="13" a="1"/>
  <c r="O602" i="13" a="1"/>
  <c r="O606" i="13" a="1"/>
  <c r="O610" i="13" a="1"/>
  <c r="O2" i="13" a="1"/>
  <c r="O6" i="13" a="1"/>
  <c r="O10" i="13" a="1"/>
  <c r="O14" i="13" a="1"/>
  <c r="O20" i="13" a="1"/>
  <c r="O24" i="13" a="1"/>
  <c r="O28" i="13" a="1"/>
  <c r="O30" i="13" a="1"/>
  <c r="O34" i="13" a="1"/>
  <c r="O37" i="13" a="1"/>
  <c r="O41" i="13" a="1"/>
  <c r="O44" i="13" a="1"/>
  <c r="O49" i="13" a="1"/>
  <c r="O53" i="13" a="1"/>
  <c r="O57" i="13" a="1"/>
  <c r="O60" i="13" a="1"/>
  <c r="O64" i="13" a="1"/>
  <c r="O67" i="13" a="1"/>
  <c r="O72" i="13" a="1"/>
  <c r="O76" i="13" a="1"/>
  <c r="O80" i="13" a="1"/>
  <c r="O84" i="13" a="1"/>
  <c r="O88" i="13" a="1"/>
  <c r="O92" i="13" a="1"/>
  <c r="O379" i="13" a="1"/>
  <c r="O500" i="13" a="1"/>
  <c r="O514" i="13" a="1"/>
  <c r="O465" i="13" a="1"/>
  <c r="O417" i="13" a="1"/>
  <c r="O167" i="13" a="1"/>
  <c r="O99" i="13" a="1"/>
  <c r="O102" i="13" a="1"/>
  <c r="O105" i="13" a="1"/>
  <c r="O108" i="13" a="1"/>
  <c r="O110" i="13" a="1"/>
  <c r="O114" i="13" a="1"/>
  <c r="O117" i="13" a="1"/>
  <c r="O120" i="13" a="1"/>
  <c r="O123" i="13" a="1"/>
  <c r="O126" i="13" a="1"/>
  <c r="O129" i="13" a="1"/>
  <c r="O132" i="13" a="1"/>
  <c r="O135" i="13" a="1"/>
  <c r="O139" i="13" a="1"/>
  <c r="O142" i="13" a="1"/>
  <c r="O153" i="13" a="1"/>
  <c r="O155" i="13" a="1"/>
  <c r="O157" i="13" a="1"/>
  <c r="O159" i="13" a="1"/>
  <c r="O170" i="13" a="1"/>
  <c r="O173" i="13" a="1"/>
  <c r="O176" i="13" a="1"/>
  <c r="O179" i="13" a="1"/>
  <c r="O183" i="13" a="1"/>
  <c r="O186" i="13" a="1"/>
  <c r="O189" i="13" a="1"/>
  <c r="O192" i="13" a="1"/>
  <c r="O195" i="13" a="1"/>
  <c r="O198" i="13" a="1"/>
  <c r="O201" i="13" a="1"/>
  <c r="O204" i="13" a="1"/>
  <c r="O207" i="13" a="1"/>
  <c r="O210" i="13" a="1"/>
  <c r="O213" i="13" a="1"/>
  <c r="O216" i="13" a="1"/>
  <c r="O219" i="13" a="1"/>
  <c r="O224" i="13" a="1"/>
  <c r="O227" i="13" a="1"/>
  <c r="O230" i="13" a="1"/>
  <c r="O233" i="13" a="1"/>
  <c r="O236" i="13" a="1"/>
  <c r="O239" i="13" a="1"/>
  <c r="O242" i="13" a="1"/>
  <c r="O245" i="13" a="1"/>
  <c r="O248" i="13" a="1"/>
  <c r="O460" i="13" a="1"/>
  <c r="O475" i="13" a="1"/>
  <c r="O463" i="13" a="1"/>
  <c r="O457" i="13" a="1"/>
  <c r="O7" i="13" a="1"/>
  <c r="O351" i="13" a="1"/>
  <c r="O354" i="13" a="1"/>
  <c r="O357" i="13" a="1"/>
  <c r="O360" i="13" a="1"/>
  <c r="O363" i="13" a="1"/>
  <c r="O366" i="13" a="1"/>
  <c r="O529" i="13" a="1"/>
  <c r="O522" i="13" a="1"/>
  <c r="O526" i="13" a="1"/>
  <c r="O531" i="13" a="1"/>
  <c r="O536" i="13" a="1"/>
  <c r="O540" i="13" a="1"/>
  <c r="O544" i="13" a="1"/>
  <c r="O548" i="13" a="1"/>
  <c r="O551" i="13" a="1"/>
  <c r="O555" i="13" a="1"/>
  <c r="O561" i="13" a="1"/>
  <c r="O565" i="13" a="1"/>
  <c r="O569" i="13" a="1"/>
  <c r="O573" i="13" a="1"/>
  <c r="O577" i="13" a="1"/>
  <c r="O581" i="13" a="1"/>
  <c r="O585" i="13" a="1"/>
  <c r="O587" i="13" a="1"/>
  <c r="O591" i="13" a="1"/>
  <c r="O595" i="13" a="1"/>
  <c r="O599" i="13" a="1"/>
  <c r="O603" i="13" a="1"/>
  <c r="O607" i="13" a="1"/>
  <c r="O611" i="13" a="1"/>
  <c r="O400" i="13" a="1"/>
  <c r="O398" i="13" a="1"/>
  <c r="O396" i="13" a="1"/>
  <c r="O381" i="13" a="1"/>
  <c r="O402" i="13" a="1"/>
  <c r="O405" i="13" a="1"/>
  <c r="O393" i="13" a="1"/>
  <c r="O407" i="13" a="1"/>
  <c r="O397" i="13" a="1"/>
  <c r="O385" i="13" a="1"/>
  <c r="O392" i="13" a="1"/>
  <c r="O391" i="13" a="1"/>
  <c r="O384" i="13" a="1"/>
  <c r="O408" i="13" a="1"/>
  <c r="O388" i="13" a="1"/>
  <c r="O416" i="13" a="1"/>
  <c r="O444" i="13" a="1"/>
  <c r="O458" i="13" a="1"/>
  <c r="O503" i="13" a="1"/>
  <c r="O447" i="13" a="1"/>
  <c r="O456" i="13" a="1"/>
  <c r="O3" i="13" a="1"/>
  <c r="O8" i="13" a="1"/>
  <c r="O12" i="13" a="1"/>
  <c r="O15" i="13" a="1"/>
  <c r="O19" i="13" a="1"/>
  <c r="O23" i="13" a="1"/>
  <c r="O26" i="13" a="1"/>
  <c r="O29" i="13" a="1"/>
  <c r="O33" i="13" a="1"/>
  <c r="O36" i="13" a="1"/>
  <c r="O40" i="13" a="1"/>
  <c r="O45" i="13" a="1"/>
  <c r="O48" i="13" a="1"/>
  <c r="O52" i="13" a="1"/>
  <c r="O56" i="13" a="1"/>
  <c r="O61" i="13" a="1"/>
  <c r="O65" i="13" a="1"/>
  <c r="O69" i="13" a="1"/>
  <c r="O73" i="13" a="1"/>
  <c r="O77" i="13" a="1"/>
  <c r="O81" i="13" a="1"/>
  <c r="O85" i="13" a="1"/>
  <c r="O89" i="13" a="1"/>
  <c r="O93" i="13" a="1"/>
  <c r="O380" i="13" a="1"/>
  <c r="O501" i="13" a="1"/>
  <c r="O517" i="13" a="1"/>
  <c r="O450" i="13" a="1"/>
  <c r="O414" i="13" a="1"/>
  <c r="O94" i="13" a="1"/>
  <c r="O95" i="13" a="1"/>
  <c r="O96" i="13" a="1"/>
  <c r="O97" i="13" a="1"/>
  <c r="O98" i="13" a="1"/>
  <c r="O100" i="13" a="1"/>
  <c r="O101" i="13" a="1"/>
  <c r="O104" i="13" a="1"/>
  <c r="O106" i="13" a="1"/>
  <c r="O109" i="13" a="1"/>
  <c r="O112" i="13" a="1"/>
  <c r="O115" i="13" a="1"/>
  <c r="O118" i="13" a="1"/>
  <c r="O121" i="13" a="1"/>
  <c r="O124" i="13" a="1"/>
  <c r="O127" i="13" a="1"/>
  <c r="O130" i="13" a="1"/>
  <c r="O134" i="13" a="1"/>
  <c r="O137" i="13" a="1"/>
  <c r="O140" i="13" a="1"/>
  <c r="O143" i="13" a="1"/>
  <c r="O152" i="13" a="1"/>
  <c r="O154" i="13" a="1"/>
  <c r="O158" i="13" a="1"/>
  <c r="O160" i="13" a="1"/>
  <c r="O169" i="13" a="1"/>
  <c r="O174" i="13" a="1"/>
  <c r="O177" i="13" a="1"/>
  <c r="O180" i="13" a="1"/>
  <c r="O182" i="13" a="1"/>
  <c r="O185" i="13" a="1"/>
  <c r="O188" i="13" a="1"/>
  <c r="O191" i="13" a="1"/>
  <c r="O194" i="13" a="1"/>
  <c r="O197" i="13" a="1"/>
  <c r="O200" i="13" a="1"/>
  <c r="O203" i="13" a="1"/>
  <c r="O206" i="13" a="1"/>
  <c r="O209" i="13" a="1"/>
  <c r="O212" i="13" a="1"/>
  <c r="O215" i="13" a="1"/>
  <c r="O218" i="13" a="1"/>
  <c r="O223" i="13" a="1"/>
  <c r="O226" i="13" a="1"/>
  <c r="O229" i="13" a="1"/>
  <c r="O232" i="13" a="1"/>
  <c r="O235" i="13" a="1"/>
  <c r="O238" i="13" a="1"/>
  <c r="O241" i="13" a="1"/>
  <c r="O244" i="13" a="1"/>
  <c r="O247" i="13" a="1"/>
  <c r="O250" i="13" a="1"/>
  <c r="O459" i="13" a="1"/>
  <c r="O446" i="13" a="1"/>
  <c r="O467" i="13" a="1"/>
  <c r="O452" i="13" a="1"/>
  <c r="O441" i="13" a="1"/>
  <c r="O369" i="13" a="1"/>
  <c r="O439" i="13" a="1"/>
  <c r="O409" i="13" a="1"/>
  <c r="O378" i="13" a="1"/>
  <c r="O251" i="13" a="1"/>
  <c r="O254" i="13" a="1"/>
  <c r="O256" i="13" a="1"/>
  <c r="O259" i="13" a="1"/>
  <c r="O262" i="13" a="1"/>
  <c r="O266" i="13" a="1"/>
  <c r="O269" i="13" a="1"/>
  <c r="O272" i="13" a="1"/>
  <c r="O275" i="13" a="1"/>
  <c r="O343" i="13" a="1"/>
  <c r="O346" i="13" a="1"/>
  <c r="O349" i="13" a="1"/>
  <c r="O352" i="13" a="1"/>
  <c r="O355" i="13" a="1"/>
  <c r="O358" i="13" a="1"/>
  <c r="O361" i="13" a="1"/>
  <c r="O364" i="13" a="1"/>
  <c r="O367" i="13" a="1"/>
  <c r="O520" i="13" a="1"/>
  <c r="O524" i="13" a="1"/>
  <c r="O528" i="13" a="1"/>
  <c r="O533" i="13" a="1"/>
  <c r="O537" i="13" a="1"/>
  <c r="O541" i="13" a="1"/>
  <c r="O545" i="13" a="1"/>
  <c r="O549" i="13" a="1"/>
  <c r="O553" i="13" a="1"/>
  <c r="O557" i="13" a="1"/>
  <c r="O560" i="13" a="1"/>
  <c r="O564" i="13" a="1"/>
  <c r="O568" i="13" a="1"/>
  <c r="O572" i="13" a="1"/>
  <c r="O575" i="13" a="1"/>
  <c r="O580" i="13" a="1"/>
  <c r="O584" i="13" a="1"/>
  <c r="O588" i="13" a="1"/>
  <c r="O592" i="13" a="1"/>
  <c r="O371" i="13" a="1"/>
  <c r="O455" i="13" a="1"/>
  <c r="O418" i="13" a="1"/>
  <c r="O453" i="13" a="1"/>
  <c r="O5" i="13" a="1"/>
  <c r="O11" i="13" a="1"/>
  <c r="O16" i="13" a="1"/>
  <c r="O18" i="13" a="1"/>
  <c r="O22" i="13" a="1"/>
  <c r="O27" i="13" a="1"/>
  <c r="O145" i="13" a="1"/>
  <c r="O35" i="13" a="1"/>
  <c r="O38" i="13" a="1"/>
  <c r="O42" i="13" a="1"/>
  <c r="O46" i="13" a="1"/>
  <c r="O51" i="13" a="1"/>
  <c r="O54" i="13" a="1"/>
  <c r="O58" i="13" a="1"/>
  <c r="O62" i="13" a="1"/>
  <c r="O66" i="13" a="1"/>
  <c r="O70" i="13" a="1"/>
  <c r="O74" i="13" a="1"/>
  <c r="O79" i="13" a="1"/>
  <c r="O83" i="13" a="1"/>
  <c r="O87" i="13" a="1"/>
  <c r="O90" i="13" a="1"/>
  <c r="O368" i="13" a="1"/>
  <c r="O498" i="13" a="1"/>
  <c r="O502" i="13" a="1"/>
  <c r="O438" i="13" a="1"/>
  <c r="O150" i="13" a="1"/>
  <c r="O437" i="13" a="1"/>
  <c r="O373" i="13" a="1"/>
  <c r="N34" i="13"/>
  <c r="N36" i="13"/>
  <c r="N38" i="13"/>
  <c r="N48" i="13"/>
  <c r="N52" i="13"/>
  <c r="N59" i="13"/>
  <c r="N71" i="13"/>
  <c r="N76" i="13"/>
  <c r="N534" i="13"/>
  <c r="N522" i="13"/>
  <c r="N89" i="13"/>
  <c r="N92" i="13"/>
  <c r="N541" i="13"/>
  <c r="N206" i="13"/>
  <c r="N134" i="13"/>
  <c r="N136" i="13"/>
  <c r="N158" i="13"/>
  <c r="N159" i="13"/>
  <c r="N169" i="13"/>
  <c r="N187" i="13"/>
  <c r="N188" i="13"/>
  <c r="N190" i="13"/>
  <c r="N194" i="13"/>
  <c r="N196" i="13"/>
  <c r="N197" i="13"/>
  <c r="N199" i="13"/>
  <c r="N204" i="13"/>
  <c r="N205" i="13"/>
  <c r="N224" i="13"/>
  <c r="N242" i="13"/>
  <c r="N243" i="13"/>
  <c r="D2" i="8"/>
  <c r="O138" i="13" a="1"/>
  <c r="O141" i="13" a="1"/>
  <c r="O144" i="13" a="1"/>
  <c r="O156" i="13" a="1"/>
  <c r="O168" i="13" a="1"/>
  <c r="O172" i="13" a="1"/>
  <c r="O175" i="13" a="1"/>
  <c r="O178" i="13" a="1"/>
  <c r="O181" i="13" a="1"/>
  <c r="O184" i="13" a="1"/>
  <c r="O187" i="13" a="1"/>
  <c r="O190" i="13" a="1"/>
  <c r="O253" i="13" a="1"/>
  <c r="O257" i="13" a="1"/>
  <c r="O260" i="13" a="1"/>
  <c r="O263" i="13" a="1"/>
  <c r="O265" i="13" a="1"/>
  <c r="O268" i="13" a="1"/>
  <c r="O271" i="13" a="1"/>
  <c r="O274" i="13" a="1"/>
  <c r="O277" i="13" a="1"/>
  <c r="O345" i="13" a="1"/>
  <c r="O348" i="13" a="1"/>
  <c r="O597" i="13" a="1"/>
  <c r="O601" i="13" a="1"/>
  <c r="O605" i="13" a="1"/>
  <c r="O609" i="13" a="1"/>
  <c r="O612" i="13" a="1"/>
  <c r="O404" i="13" a="1"/>
  <c r="O386" i="13" a="1"/>
  <c r="O389" i="13" a="1"/>
  <c r="O403" i="13" a="1"/>
  <c r="O406" i="13" a="1"/>
  <c r="O383" i="13" a="1"/>
  <c r="O382" i="13" a="1"/>
  <c r="O387" i="13" a="1"/>
  <c r="O394" i="13" a="1"/>
  <c r="O395" i="13" a="1"/>
  <c r="O401" i="13" a="1"/>
  <c r="O161" i="13" a="1"/>
  <c r="M4" i="27" a="1"/>
  <c r="B3" i="27"/>
  <c r="B4" i="27"/>
  <c r="B5" i="27"/>
  <c r="B6" i="27"/>
  <c r="B7" i="27"/>
  <c r="B8" i="27"/>
  <c r="B9" i="27"/>
  <c r="B10" i="27"/>
  <c r="B11" i="27"/>
  <c r="B12" i="27"/>
  <c r="B2" i="27"/>
  <c r="F34" i="27"/>
  <c r="G35" i="27"/>
  <c r="E37" i="27"/>
  <c r="G40" i="27"/>
  <c r="G42" i="27"/>
  <c r="E44" i="27"/>
  <c r="G45" i="27"/>
  <c r="E34" i="27"/>
  <c r="E36" i="27"/>
  <c r="F37" i="27"/>
  <c r="G38" i="27"/>
  <c r="E40" i="27"/>
  <c r="E42" i="27"/>
  <c r="E45" i="27"/>
  <c r="E32" i="27"/>
  <c r="G32" i="27"/>
  <c r="F33" i="27"/>
  <c r="F35" i="27"/>
  <c r="G36" i="27"/>
  <c r="E38" i="27"/>
  <c r="G39" i="27"/>
  <c r="E41" i="27"/>
  <c r="F42" i="27"/>
  <c r="G43" i="27"/>
  <c r="F45" i="27"/>
  <c r="F32" i="27"/>
  <c r="G33" i="27"/>
  <c r="E35" i="27"/>
  <c r="G37" i="27"/>
  <c r="F39" i="27"/>
  <c r="F41" i="27"/>
  <c r="F43" i="27"/>
  <c r="G44" i="27"/>
  <c r="E33" i="27"/>
  <c r="G34" i="27"/>
  <c r="F36" i="27"/>
  <c r="F38" i="27"/>
  <c r="E39" i="27"/>
  <c r="F40" i="27"/>
  <c r="G41" i="27"/>
  <c r="E43" i="27"/>
  <c r="F44" i="27"/>
  <c r="N396" i="13" l="1"/>
  <c r="P396" i="13"/>
  <c r="N402" i="13"/>
  <c r="P402" i="13"/>
  <c r="AA3" i="13" a="1"/>
  <c r="M230" i="13" a="1"/>
  <c r="N230" i="13" s="1"/>
  <c r="I233" i="13" a="1"/>
  <c r="J233" i="13" s="1"/>
  <c r="I225" i="13" a="1"/>
  <c r="J225" i="13" s="1"/>
  <c r="I230" i="13" a="1"/>
  <c r="J230" i="13" s="1"/>
  <c r="M233" i="13" a="1"/>
  <c r="N233" i="13" s="1"/>
  <c r="M225" i="13" a="1"/>
  <c r="N225" i="13" s="1"/>
  <c r="N390" i="13"/>
  <c r="P390" i="13"/>
  <c r="N379" i="13"/>
  <c r="P379" i="13"/>
  <c r="I2012" i="21"/>
  <c r="J2012" i="21"/>
  <c r="C2012" i="21"/>
  <c r="D2012" i="21"/>
  <c r="M2012" i="21"/>
  <c r="K2012" i="21"/>
  <c r="L2012" i="21" s="1"/>
  <c r="I2011" i="21"/>
  <c r="C2" i="21"/>
  <c r="D2" i="21"/>
  <c r="I1611" i="21"/>
  <c r="I1613" i="21"/>
  <c r="I1638" i="21"/>
  <c r="I1640" i="21"/>
  <c r="I1642" i="21"/>
  <c r="I1644" i="21"/>
  <c r="I1646" i="21"/>
  <c r="I1648" i="21"/>
  <c r="I1650" i="21"/>
  <c r="I1652" i="21"/>
  <c r="I1656" i="21"/>
  <c r="I1658" i="21"/>
  <c r="I1660" i="21"/>
  <c r="I1662" i="21"/>
  <c r="I1664" i="21"/>
  <c r="I1666" i="21"/>
  <c r="I1668" i="21"/>
  <c r="I1670" i="21"/>
  <c r="I1673" i="21"/>
  <c r="I1675" i="21"/>
  <c r="I1677" i="21"/>
  <c r="I1679" i="21"/>
  <c r="I1681" i="21"/>
  <c r="I1612" i="21"/>
  <c r="I1615" i="21"/>
  <c r="I1616" i="21"/>
  <c r="I1617" i="21"/>
  <c r="I1619" i="21"/>
  <c r="I1620" i="21"/>
  <c r="I1621" i="21"/>
  <c r="I1622" i="21"/>
  <c r="I1623" i="21"/>
  <c r="I1624" i="21"/>
  <c r="I1625" i="21"/>
  <c r="I1626" i="21"/>
  <c r="I1627" i="21"/>
  <c r="I1628" i="21"/>
  <c r="I1629" i="21"/>
  <c r="I1630" i="21"/>
  <c r="I1631" i="21"/>
  <c r="I1632" i="21"/>
  <c r="I1633" i="21"/>
  <c r="I1634" i="21"/>
  <c r="I1635" i="21"/>
  <c r="I1636" i="21"/>
  <c r="I1637" i="21"/>
  <c r="I1639" i="21"/>
  <c r="I1641" i="21"/>
  <c r="I1643" i="21"/>
  <c r="I1645" i="21"/>
  <c r="I1647" i="21"/>
  <c r="I1649" i="21"/>
  <c r="I1651" i="21"/>
  <c r="I1653" i="21"/>
  <c r="I1654" i="21"/>
  <c r="I1657" i="21"/>
  <c r="I1659" i="21"/>
  <c r="I1661" i="21"/>
  <c r="I1663" i="21"/>
  <c r="I1665" i="21"/>
  <c r="I1667" i="21"/>
  <c r="I1669" i="21"/>
  <c r="I1671" i="21"/>
  <c r="I1674" i="21"/>
  <c r="I1676" i="21"/>
  <c r="I1678" i="21"/>
  <c r="I1680" i="21"/>
  <c r="I1682" i="21"/>
  <c r="C3" i="21"/>
  <c r="D3" i="21"/>
  <c r="C4" i="21"/>
  <c r="D4" i="21"/>
  <c r="C5" i="21"/>
  <c r="D5" i="21"/>
  <c r="D6" i="21"/>
  <c r="C6" i="21"/>
  <c r="C7" i="21"/>
  <c r="D7" i="21"/>
  <c r="C8" i="21"/>
  <c r="D8" i="21"/>
  <c r="C9" i="21"/>
  <c r="D9" i="21"/>
  <c r="D10" i="21"/>
  <c r="C10" i="21"/>
  <c r="D11" i="21"/>
  <c r="C11" i="21"/>
  <c r="C12" i="21"/>
  <c r="D12" i="21"/>
  <c r="C13" i="21"/>
  <c r="D13" i="21"/>
  <c r="C14" i="21"/>
  <c r="D14" i="21"/>
  <c r="C15" i="21"/>
  <c r="D15" i="21"/>
  <c r="D16" i="21"/>
  <c r="C16" i="21"/>
  <c r="C17" i="21"/>
  <c r="D17" i="21"/>
  <c r="C18" i="21"/>
  <c r="D18" i="21"/>
  <c r="C19" i="21"/>
  <c r="D19" i="21"/>
  <c r="D20" i="21"/>
  <c r="C20" i="21"/>
  <c r="D21" i="21"/>
  <c r="C21" i="21"/>
  <c r="D22" i="21"/>
  <c r="C22" i="21"/>
  <c r="D23" i="21"/>
  <c r="C23" i="21"/>
  <c r="C24" i="21"/>
  <c r="D24" i="21"/>
  <c r="D25" i="21"/>
  <c r="C25" i="21"/>
  <c r="D26" i="21"/>
  <c r="C26" i="21"/>
  <c r="D27" i="21"/>
  <c r="C27" i="21"/>
  <c r="C28" i="21"/>
  <c r="D28" i="21"/>
  <c r="D29" i="21"/>
  <c r="C29" i="21"/>
  <c r="C30" i="21"/>
  <c r="D30" i="21"/>
  <c r="C31" i="21"/>
  <c r="D31" i="21"/>
  <c r="C32" i="21"/>
  <c r="D32" i="21"/>
  <c r="C33" i="21"/>
  <c r="D33" i="21"/>
  <c r="C34" i="21"/>
  <c r="D34" i="21"/>
  <c r="D35" i="21"/>
  <c r="C35" i="21"/>
  <c r="C36" i="21"/>
  <c r="D36" i="21"/>
  <c r="D37" i="21"/>
  <c r="C37" i="21"/>
  <c r="D38" i="21"/>
  <c r="C38" i="21"/>
  <c r="C39" i="21"/>
  <c r="D39" i="21"/>
  <c r="C40" i="21"/>
  <c r="D40" i="21"/>
  <c r="D41" i="21"/>
  <c r="C41" i="21"/>
  <c r="C42" i="21"/>
  <c r="D42" i="21"/>
  <c r="C43" i="21"/>
  <c r="D43" i="21"/>
  <c r="D44" i="21"/>
  <c r="C44" i="21"/>
  <c r="D45" i="21"/>
  <c r="C45" i="21"/>
  <c r="C46" i="21"/>
  <c r="D46" i="21"/>
  <c r="C47" i="21"/>
  <c r="D47" i="21"/>
  <c r="C48" i="21"/>
  <c r="D48" i="21"/>
  <c r="D49" i="21"/>
  <c r="C49" i="21"/>
  <c r="C50" i="21"/>
  <c r="D50" i="21"/>
  <c r="C51" i="21"/>
  <c r="D51" i="21"/>
  <c r="D52" i="21"/>
  <c r="C52" i="21"/>
  <c r="D53" i="21"/>
  <c r="C53" i="21"/>
  <c r="C54" i="21"/>
  <c r="D54" i="21"/>
  <c r="D55" i="21"/>
  <c r="C55" i="21"/>
  <c r="D56" i="21"/>
  <c r="C56" i="21"/>
  <c r="C57" i="21"/>
  <c r="D57" i="21"/>
  <c r="C58" i="21"/>
  <c r="D58" i="21"/>
  <c r="C59" i="21"/>
  <c r="D59" i="21"/>
  <c r="C60" i="21"/>
  <c r="D60" i="21"/>
  <c r="C61" i="21"/>
  <c r="D61" i="21"/>
  <c r="D62" i="21"/>
  <c r="C62" i="21"/>
  <c r="D63" i="21"/>
  <c r="C63" i="21"/>
  <c r="D64" i="21"/>
  <c r="C64" i="21"/>
  <c r="C65" i="21"/>
  <c r="D65" i="21"/>
  <c r="D66" i="21"/>
  <c r="C66" i="21"/>
  <c r="D67" i="21"/>
  <c r="C67" i="21"/>
  <c r="C68" i="21"/>
  <c r="D68" i="21"/>
  <c r="D69" i="21"/>
  <c r="C69" i="21"/>
  <c r="D70" i="21"/>
  <c r="C70" i="21"/>
  <c r="D71" i="21"/>
  <c r="C71" i="21"/>
  <c r="C72" i="21"/>
  <c r="D72" i="21"/>
  <c r="D73" i="21"/>
  <c r="C73" i="21"/>
  <c r="D74" i="21"/>
  <c r="C74" i="21"/>
  <c r="D75" i="21"/>
  <c r="C75" i="21"/>
  <c r="D76" i="21"/>
  <c r="C76" i="21"/>
  <c r="D77" i="21"/>
  <c r="C77" i="21"/>
  <c r="C78" i="21"/>
  <c r="D78" i="21"/>
  <c r="D79" i="21"/>
  <c r="C79" i="21"/>
  <c r="D80" i="21"/>
  <c r="C80" i="21"/>
  <c r="C81" i="21"/>
  <c r="D81" i="21"/>
  <c r="D82" i="21"/>
  <c r="C82" i="21"/>
  <c r="C83" i="21"/>
  <c r="D83" i="21"/>
  <c r="D84" i="21"/>
  <c r="C84" i="21"/>
  <c r="D85" i="21"/>
  <c r="C85" i="21"/>
  <c r="C86" i="21"/>
  <c r="D86" i="21"/>
  <c r="D87" i="21"/>
  <c r="C87" i="21"/>
  <c r="D88" i="21"/>
  <c r="C88" i="21"/>
  <c r="D89" i="21"/>
  <c r="C89" i="21"/>
  <c r="D90" i="21"/>
  <c r="C90" i="21"/>
  <c r="C91" i="21"/>
  <c r="D91" i="21"/>
  <c r="D92" i="21"/>
  <c r="C92" i="21"/>
  <c r="C93" i="21"/>
  <c r="D93" i="21"/>
  <c r="C94" i="21"/>
  <c r="D94" i="21"/>
  <c r="D95" i="21"/>
  <c r="C95" i="21"/>
  <c r="C96" i="21"/>
  <c r="D96" i="21"/>
  <c r="C97" i="21"/>
  <c r="D97" i="21"/>
  <c r="D98" i="21"/>
  <c r="C98" i="21"/>
  <c r="D99" i="21"/>
  <c r="C99" i="21"/>
  <c r="D100" i="21"/>
  <c r="C100" i="21"/>
  <c r="C101" i="21"/>
  <c r="D101" i="21"/>
  <c r="D102" i="21"/>
  <c r="C102" i="21"/>
  <c r="D103" i="21"/>
  <c r="C103" i="21"/>
  <c r="D104" i="21"/>
  <c r="C104" i="21"/>
  <c r="D105" i="21"/>
  <c r="C105" i="21"/>
  <c r="C106" i="21"/>
  <c r="D106" i="21"/>
  <c r="D107" i="21"/>
  <c r="C107" i="21"/>
  <c r="D108" i="21"/>
  <c r="C108" i="21"/>
  <c r="D109" i="21"/>
  <c r="C109" i="21"/>
  <c r="D110" i="21"/>
  <c r="C110" i="21"/>
  <c r="D111" i="21"/>
  <c r="C111" i="21"/>
  <c r="D112" i="21"/>
  <c r="C112" i="21"/>
  <c r="D113" i="21"/>
  <c r="C113" i="21"/>
  <c r="D114" i="21"/>
  <c r="C114" i="21"/>
  <c r="D115" i="21"/>
  <c r="C115" i="21"/>
  <c r="D116" i="21"/>
  <c r="C116" i="21"/>
  <c r="C117" i="21"/>
  <c r="D117" i="21"/>
  <c r="D118" i="21"/>
  <c r="C118" i="21"/>
  <c r="C119" i="21"/>
  <c r="D119" i="21"/>
  <c r="D120" i="21"/>
  <c r="C120" i="21"/>
  <c r="C121" i="21"/>
  <c r="D121" i="21"/>
  <c r="D122" i="21"/>
  <c r="C122" i="21"/>
  <c r="D123" i="21"/>
  <c r="C123" i="21"/>
  <c r="D124" i="21"/>
  <c r="C124" i="21"/>
  <c r="C125" i="21"/>
  <c r="D125" i="21"/>
  <c r="D126" i="21"/>
  <c r="C126" i="21"/>
  <c r="D127" i="21"/>
  <c r="C127" i="21"/>
  <c r="D128" i="21"/>
  <c r="C128" i="21"/>
  <c r="D129" i="21"/>
  <c r="C129" i="21"/>
  <c r="C130" i="21"/>
  <c r="D130" i="21"/>
  <c r="D131" i="21"/>
  <c r="C131" i="21"/>
  <c r="D132" i="21"/>
  <c r="C132" i="21"/>
  <c r="D133" i="21"/>
  <c r="C133" i="21"/>
  <c r="C134" i="21"/>
  <c r="D134" i="21"/>
  <c r="C135" i="21"/>
  <c r="D135" i="21"/>
  <c r="D136" i="21"/>
  <c r="C136" i="21"/>
  <c r="D137" i="21"/>
  <c r="C137" i="21"/>
  <c r="C138" i="21"/>
  <c r="D138" i="21"/>
  <c r="C139" i="21"/>
  <c r="D139" i="21"/>
  <c r="D140" i="21"/>
  <c r="C140" i="21"/>
  <c r="D141" i="21"/>
  <c r="C141" i="21"/>
  <c r="D142" i="21"/>
  <c r="C142" i="21"/>
  <c r="D143" i="21"/>
  <c r="C143" i="21"/>
  <c r="D144" i="21"/>
  <c r="C144" i="21"/>
  <c r="D145" i="21"/>
  <c r="C145" i="21"/>
  <c r="D146" i="21"/>
  <c r="C146" i="21"/>
  <c r="D147" i="21"/>
  <c r="C147" i="21"/>
  <c r="D148" i="21"/>
  <c r="C148" i="21"/>
  <c r="D149" i="21"/>
  <c r="C149" i="21"/>
  <c r="C1370" i="21"/>
  <c r="D1370" i="21"/>
  <c r="C1371" i="21"/>
  <c r="D1371" i="21"/>
  <c r="C1372" i="21"/>
  <c r="D1372" i="21"/>
  <c r="C1373" i="21"/>
  <c r="D1373" i="21"/>
  <c r="C1374" i="21"/>
  <c r="D1374" i="21"/>
  <c r="C1375" i="21"/>
  <c r="D1375" i="21"/>
  <c r="C1376" i="21"/>
  <c r="D1376" i="21"/>
  <c r="C1377" i="21"/>
  <c r="D1377" i="21"/>
  <c r="C1378" i="21"/>
  <c r="D1378" i="21"/>
  <c r="C1379" i="21"/>
  <c r="D1379" i="21"/>
  <c r="C1380" i="21"/>
  <c r="D1380" i="21"/>
  <c r="C1381" i="21"/>
  <c r="D1381" i="21"/>
  <c r="C1382" i="21"/>
  <c r="D1382" i="21"/>
  <c r="C1383" i="21"/>
  <c r="D1383" i="21"/>
  <c r="C1384" i="21"/>
  <c r="D1384" i="21"/>
  <c r="C1385" i="21"/>
  <c r="D1385" i="21"/>
  <c r="D1386" i="21"/>
  <c r="C1386" i="21"/>
  <c r="C1387" i="21"/>
  <c r="D1387" i="21"/>
  <c r="C1388" i="21"/>
  <c r="D1388" i="21"/>
  <c r="C1389" i="21"/>
  <c r="D1389" i="21"/>
  <c r="C1390" i="21"/>
  <c r="D1390" i="21"/>
  <c r="C1392" i="21"/>
  <c r="D1392" i="21"/>
  <c r="C1393" i="21"/>
  <c r="D1393" i="21"/>
  <c r="C1394" i="21"/>
  <c r="D1394" i="21"/>
  <c r="C1395" i="21"/>
  <c r="D1395" i="21"/>
  <c r="C1396" i="21"/>
  <c r="D1396" i="21"/>
  <c r="C1397" i="21"/>
  <c r="D1397" i="21"/>
  <c r="C1398" i="21"/>
  <c r="D1398" i="21"/>
  <c r="C1399" i="21"/>
  <c r="D1399" i="21"/>
  <c r="C1400" i="21"/>
  <c r="D1400" i="21"/>
  <c r="C1401" i="21"/>
  <c r="D1401" i="21"/>
  <c r="C1402" i="21"/>
  <c r="D1402" i="21"/>
  <c r="C1403" i="21"/>
  <c r="D1403" i="21"/>
  <c r="C1404" i="21"/>
  <c r="D1404" i="21"/>
  <c r="C1405" i="21"/>
  <c r="D1405" i="21"/>
  <c r="C1406" i="21"/>
  <c r="D1406" i="21"/>
  <c r="C1407" i="21"/>
  <c r="D1407" i="21"/>
  <c r="C1408" i="21"/>
  <c r="D1408" i="21"/>
  <c r="C1409" i="21"/>
  <c r="D1409" i="21"/>
  <c r="C1410" i="21"/>
  <c r="D1410" i="21"/>
  <c r="C1411" i="21"/>
  <c r="D1411" i="21"/>
  <c r="C1412" i="21"/>
  <c r="D1412" i="21"/>
  <c r="C1413" i="21"/>
  <c r="D1413" i="21"/>
  <c r="C1414" i="21"/>
  <c r="D1414" i="21"/>
  <c r="C1415" i="21"/>
  <c r="D1415" i="21"/>
  <c r="C1416" i="21"/>
  <c r="D1416" i="21"/>
  <c r="C1417" i="21"/>
  <c r="D1417" i="21"/>
  <c r="C1418" i="21"/>
  <c r="D1418" i="21"/>
  <c r="C1419" i="21"/>
  <c r="D1419" i="21"/>
  <c r="C1420" i="21"/>
  <c r="D1420" i="21"/>
  <c r="C1421" i="21"/>
  <c r="D1421" i="21"/>
  <c r="C1422" i="21"/>
  <c r="D1422" i="21"/>
  <c r="C1423" i="21"/>
  <c r="D1423" i="21"/>
  <c r="C1424" i="21"/>
  <c r="D1424" i="21"/>
  <c r="C1425" i="21"/>
  <c r="D1425" i="21"/>
  <c r="C1426" i="21"/>
  <c r="D1426" i="21"/>
  <c r="C1427" i="21"/>
  <c r="D1427" i="21"/>
  <c r="C1428" i="21"/>
  <c r="D1428" i="21"/>
  <c r="C1429" i="21"/>
  <c r="D1429" i="21"/>
  <c r="C1430" i="21"/>
  <c r="D1430" i="21"/>
  <c r="C1431" i="21"/>
  <c r="D1431" i="21"/>
  <c r="C1432" i="21"/>
  <c r="D1432" i="21"/>
  <c r="C1433" i="21"/>
  <c r="D1433" i="21"/>
  <c r="C1434" i="21"/>
  <c r="D1434" i="21"/>
  <c r="C1435" i="21"/>
  <c r="D1435" i="21"/>
  <c r="C1436" i="21"/>
  <c r="D1436" i="21"/>
  <c r="C1437" i="21"/>
  <c r="D1437" i="21"/>
  <c r="C1438" i="21"/>
  <c r="D1438" i="21"/>
  <c r="C1439" i="21"/>
  <c r="D1439" i="21"/>
  <c r="D1440" i="21"/>
  <c r="C1440" i="21"/>
  <c r="C1441" i="21"/>
  <c r="D1441" i="21"/>
  <c r="C1442" i="21"/>
  <c r="D1442" i="21"/>
  <c r="C1443" i="21"/>
  <c r="D1443" i="21"/>
  <c r="C1444" i="21"/>
  <c r="D1444" i="21"/>
  <c r="C1445" i="21"/>
  <c r="D1445" i="21"/>
  <c r="C1446" i="21"/>
  <c r="D1446" i="21"/>
  <c r="C1447" i="21"/>
  <c r="D1447" i="21"/>
  <c r="D1448" i="21"/>
  <c r="C1448" i="21"/>
  <c r="D1449" i="21"/>
  <c r="C1449" i="21"/>
  <c r="C1450" i="21"/>
  <c r="D1450" i="21"/>
  <c r="C1451" i="21"/>
  <c r="D1451" i="21"/>
  <c r="C1452" i="21"/>
  <c r="D1452" i="21"/>
  <c r="C1453" i="21"/>
  <c r="D1453" i="21"/>
  <c r="C1454" i="21"/>
  <c r="D1454" i="21"/>
  <c r="C1455" i="21"/>
  <c r="D1455" i="21"/>
  <c r="D1457" i="21"/>
  <c r="C1457" i="21"/>
  <c r="C1458" i="21"/>
  <c r="D1458" i="21"/>
  <c r="C1459" i="21"/>
  <c r="D1459" i="21"/>
  <c r="C1460" i="21"/>
  <c r="D1460" i="21"/>
  <c r="C1461" i="21"/>
  <c r="D1461" i="21"/>
  <c r="C1462" i="21"/>
  <c r="D1462" i="21"/>
  <c r="C1463" i="21"/>
  <c r="D1463" i="21"/>
  <c r="D1464" i="21"/>
  <c r="C1464" i="21"/>
  <c r="C1465" i="21"/>
  <c r="D1465" i="21"/>
  <c r="C1466" i="21"/>
  <c r="D1466" i="21"/>
  <c r="C1467" i="21"/>
  <c r="D1467" i="21"/>
  <c r="C1468" i="21"/>
  <c r="D1468" i="21"/>
  <c r="C1469" i="21"/>
  <c r="D1469" i="21"/>
  <c r="C1470" i="21"/>
  <c r="D1470" i="21"/>
  <c r="C1471" i="21"/>
  <c r="D1471" i="21"/>
  <c r="C1472" i="21"/>
  <c r="D1472" i="21"/>
  <c r="C1474" i="21"/>
  <c r="D1474" i="21"/>
  <c r="C1475" i="21"/>
  <c r="D1475" i="21"/>
  <c r="C1476" i="21"/>
  <c r="D1476" i="21"/>
  <c r="C1477" i="21"/>
  <c r="D1477" i="21"/>
  <c r="D1478" i="21"/>
  <c r="C1478" i="21"/>
  <c r="C1479" i="21"/>
  <c r="D1479" i="21"/>
  <c r="D1480" i="21"/>
  <c r="C1480" i="21"/>
  <c r="C1481" i="21"/>
  <c r="D1481" i="21"/>
  <c r="D1482" i="21"/>
  <c r="C1482" i="21"/>
  <c r="C1483" i="21"/>
  <c r="D1483" i="21"/>
  <c r="C1484" i="21"/>
  <c r="D1484" i="21"/>
  <c r="C1485" i="21"/>
  <c r="D1485" i="21"/>
  <c r="C1486" i="21"/>
  <c r="D1486" i="21"/>
  <c r="C1487" i="21"/>
  <c r="D1487" i="21"/>
  <c r="C1488" i="21"/>
  <c r="D1488" i="21"/>
  <c r="C1489" i="21"/>
  <c r="D1489" i="21"/>
  <c r="C1490" i="21"/>
  <c r="D1490" i="21"/>
  <c r="C1491" i="21"/>
  <c r="D1491" i="21"/>
  <c r="C1492" i="21"/>
  <c r="D1492" i="21"/>
  <c r="C1493" i="21"/>
  <c r="D1493" i="21"/>
  <c r="C1494" i="21"/>
  <c r="D1494" i="21"/>
  <c r="C1495" i="21"/>
  <c r="D1495" i="21"/>
  <c r="C1496" i="21"/>
  <c r="D1496" i="21"/>
  <c r="C1497" i="21"/>
  <c r="D1497" i="21"/>
  <c r="C1498" i="21"/>
  <c r="D1498" i="21"/>
  <c r="C1499" i="21"/>
  <c r="D1499" i="21"/>
  <c r="C1500" i="21"/>
  <c r="D1500" i="21"/>
  <c r="C1501" i="21"/>
  <c r="D1501" i="21"/>
  <c r="C1502" i="21"/>
  <c r="D1502" i="21"/>
  <c r="C1503" i="21"/>
  <c r="D1503" i="21"/>
  <c r="C1504" i="21"/>
  <c r="D1504" i="21"/>
  <c r="C1505" i="21"/>
  <c r="D1505" i="21"/>
  <c r="C1506" i="21"/>
  <c r="D1506" i="21"/>
  <c r="D1507" i="21"/>
  <c r="C1507" i="21"/>
  <c r="C1508" i="21"/>
  <c r="D1508" i="21"/>
  <c r="C1509" i="21"/>
  <c r="D1509" i="21"/>
  <c r="C1510" i="21"/>
  <c r="D1510" i="21"/>
  <c r="C1511" i="21"/>
  <c r="D1511" i="21"/>
  <c r="C1512" i="21"/>
  <c r="D1512" i="21"/>
  <c r="C1513" i="21"/>
  <c r="D1513" i="21"/>
  <c r="C1514" i="21"/>
  <c r="D1514" i="21"/>
  <c r="C1515" i="21"/>
  <c r="D1515" i="21"/>
  <c r="C1516" i="21"/>
  <c r="D1516" i="21"/>
  <c r="C1517" i="21"/>
  <c r="D1517" i="21"/>
  <c r="C1518" i="21"/>
  <c r="D1518" i="21"/>
  <c r="C1519" i="21"/>
  <c r="D1519" i="21"/>
  <c r="C1520" i="21"/>
  <c r="D1520" i="21"/>
  <c r="C1521" i="21"/>
  <c r="D1521" i="21"/>
  <c r="C1522" i="21"/>
  <c r="D1522" i="21"/>
  <c r="C1523" i="21"/>
  <c r="D1523" i="21"/>
  <c r="C1524" i="21"/>
  <c r="D1524" i="21"/>
  <c r="C1525" i="21"/>
  <c r="D1525" i="21"/>
  <c r="C1526" i="21"/>
  <c r="D1526" i="21"/>
  <c r="C1527" i="21"/>
  <c r="D1527" i="21"/>
  <c r="C1528" i="21"/>
  <c r="D1528" i="21"/>
  <c r="C1529" i="21"/>
  <c r="D1529" i="21"/>
  <c r="C1530" i="21"/>
  <c r="D1530" i="21"/>
  <c r="C1531" i="21"/>
  <c r="D1531" i="21"/>
  <c r="C1532" i="21"/>
  <c r="D1532" i="21"/>
  <c r="C1533" i="21"/>
  <c r="D1533" i="21"/>
  <c r="C1534" i="21"/>
  <c r="D1534" i="21"/>
  <c r="C1535" i="21"/>
  <c r="D1535" i="21"/>
  <c r="C1536" i="21"/>
  <c r="D1536" i="21"/>
  <c r="C1537" i="21"/>
  <c r="D1537" i="21"/>
  <c r="C1538" i="21"/>
  <c r="D1538" i="21"/>
  <c r="D1539" i="21"/>
  <c r="C1539" i="21"/>
  <c r="C1540" i="21"/>
  <c r="D1540" i="21"/>
  <c r="C1541" i="21"/>
  <c r="D1541" i="21"/>
  <c r="C1542" i="21"/>
  <c r="D1542" i="21"/>
  <c r="C1543" i="21"/>
  <c r="D1543" i="21"/>
  <c r="C1544" i="21"/>
  <c r="D1544" i="21"/>
  <c r="C1545" i="21"/>
  <c r="D1545" i="21"/>
  <c r="C1546" i="21"/>
  <c r="D1546" i="21"/>
  <c r="C1547" i="21"/>
  <c r="D1547" i="21"/>
  <c r="C1548" i="21"/>
  <c r="D1548" i="21"/>
  <c r="C1549" i="21"/>
  <c r="D1549" i="21"/>
  <c r="C1551" i="21"/>
  <c r="D1551" i="21"/>
  <c r="C1552" i="21"/>
  <c r="D1552" i="21"/>
  <c r="C1553" i="21"/>
  <c r="D1553" i="21"/>
  <c r="C1554" i="21"/>
  <c r="D1554" i="21"/>
  <c r="C1555" i="21"/>
  <c r="D1555" i="21"/>
  <c r="C1556" i="21"/>
  <c r="D1556" i="21"/>
  <c r="C1557" i="21"/>
  <c r="D1557" i="21"/>
  <c r="C1558" i="21"/>
  <c r="D1558" i="21"/>
  <c r="C1559" i="21"/>
  <c r="D1559" i="21"/>
  <c r="C1560" i="21"/>
  <c r="D1560" i="21"/>
  <c r="C1561" i="21"/>
  <c r="D1561" i="21"/>
  <c r="C1562" i="21"/>
  <c r="D1562" i="21"/>
  <c r="C1563" i="21"/>
  <c r="D1563" i="21"/>
  <c r="C1564" i="21"/>
  <c r="D1564" i="21"/>
  <c r="C1565" i="21"/>
  <c r="D1565" i="21"/>
  <c r="C1566" i="21"/>
  <c r="D1566" i="21"/>
  <c r="C1567" i="21"/>
  <c r="D1567" i="21"/>
  <c r="C1568" i="21"/>
  <c r="D1568" i="21"/>
  <c r="C1569" i="21"/>
  <c r="D1569" i="21"/>
  <c r="C1570" i="21"/>
  <c r="D1570" i="21"/>
  <c r="C1571" i="21"/>
  <c r="D1571" i="21"/>
  <c r="C1572" i="21"/>
  <c r="D1572" i="21"/>
  <c r="C1573" i="21"/>
  <c r="D1573" i="21"/>
  <c r="C1574" i="21"/>
  <c r="D1574" i="21"/>
  <c r="C1575" i="21"/>
  <c r="D1575" i="21"/>
  <c r="C1576" i="21"/>
  <c r="D1576" i="21"/>
  <c r="C1577" i="21"/>
  <c r="D1577" i="21"/>
  <c r="C1578" i="21"/>
  <c r="D1578" i="21"/>
  <c r="C1579" i="21"/>
  <c r="D1579" i="21"/>
  <c r="C1580" i="21"/>
  <c r="D1580" i="21"/>
  <c r="C1581" i="21"/>
  <c r="D1581" i="21"/>
  <c r="C1582" i="21"/>
  <c r="D1582" i="21"/>
  <c r="C1583" i="21"/>
  <c r="D1583" i="21"/>
  <c r="C1584" i="21"/>
  <c r="D1584" i="21"/>
  <c r="C1585" i="21"/>
  <c r="D1585" i="21"/>
  <c r="C1586" i="21"/>
  <c r="D1586" i="21"/>
  <c r="C1587" i="21"/>
  <c r="D1587" i="21"/>
  <c r="C1588" i="21"/>
  <c r="D1588" i="21"/>
  <c r="C1589" i="21"/>
  <c r="D1589" i="21"/>
  <c r="C1590" i="21"/>
  <c r="D1590" i="21"/>
  <c r="C1591" i="21"/>
  <c r="D1591" i="21"/>
  <c r="D1592" i="21"/>
  <c r="C1592" i="21"/>
  <c r="C1593" i="21"/>
  <c r="D1593" i="21"/>
  <c r="C1594" i="21"/>
  <c r="D1594" i="21"/>
  <c r="C1595" i="21"/>
  <c r="D1595" i="21"/>
  <c r="C1596" i="21"/>
  <c r="D1596" i="21"/>
  <c r="C1597" i="21"/>
  <c r="D1597" i="21"/>
  <c r="C1598" i="21"/>
  <c r="D1598" i="21"/>
  <c r="C1599" i="21"/>
  <c r="D1599" i="21"/>
  <c r="C1600" i="21"/>
  <c r="D1600" i="21"/>
  <c r="C1601" i="21"/>
  <c r="D1601" i="21"/>
  <c r="C1602" i="21"/>
  <c r="D1602" i="21"/>
  <c r="C1603" i="21"/>
  <c r="D1603" i="21"/>
  <c r="D1604" i="21"/>
  <c r="C1604" i="21"/>
  <c r="C1605" i="21"/>
  <c r="D1605" i="21"/>
  <c r="C1606" i="21"/>
  <c r="D1606" i="21"/>
  <c r="C1607" i="21"/>
  <c r="D1607" i="21"/>
  <c r="C1608" i="21"/>
  <c r="D1608" i="21"/>
  <c r="C1609" i="21"/>
  <c r="D1609" i="21"/>
  <c r="C1610" i="21"/>
  <c r="D1610" i="21"/>
  <c r="C1611" i="21"/>
  <c r="D1611" i="21"/>
  <c r="C1612" i="21"/>
  <c r="D1612" i="21"/>
  <c r="C1613" i="21"/>
  <c r="D1613" i="21"/>
  <c r="C1614" i="21"/>
  <c r="D1614" i="21"/>
  <c r="C1615" i="21"/>
  <c r="D1615" i="21"/>
  <c r="C1616" i="21"/>
  <c r="D1616" i="21"/>
  <c r="C1617" i="21"/>
  <c r="D1617" i="21"/>
  <c r="C1619" i="21"/>
  <c r="D1619" i="21"/>
  <c r="C1620" i="21"/>
  <c r="D1620" i="21"/>
  <c r="C1621" i="21"/>
  <c r="D1621" i="21"/>
  <c r="C1622" i="21"/>
  <c r="D1622" i="21"/>
  <c r="C1623" i="21"/>
  <c r="D1623" i="21"/>
  <c r="C1624" i="21"/>
  <c r="D1624" i="21"/>
  <c r="C1625" i="21"/>
  <c r="D1625" i="21"/>
  <c r="C1626" i="21"/>
  <c r="D1626" i="21"/>
  <c r="C1627" i="21"/>
  <c r="D1627" i="21"/>
  <c r="C1628" i="21"/>
  <c r="D1628" i="21"/>
  <c r="C1629" i="21"/>
  <c r="D1629" i="21"/>
  <c r="C1630" i="21"/>
  <c r="D1630" i="21"/>
  <c r="C1631" i="21"/>
  <c r="D1631" i="21"/>
  <c r="C1632" i="21"/>
  <c r="D1632" i="21"/>
  <c r="C1633" i="21"/>
  <c r="D1633" i="21"/>
  <c r="C1634" i="21"/>
  <c r="D1634" i="21"/>
  <c r="C1635" i="21"/>
  <c r="D1635" i="21"/>
  <c r="C1636" i="21"/>
  <c r="D1636" i="21"/>
  <c r="C1637" i="21"/>
  <c r="D1637" i="21"/>
  <c r="C1638" i="21"/>
  <c r="D1638" i="21"/>
  <c r="C1639" i="21"/>
  <c r="D1639" i="21"/>
  <c r="C1640" i="21"/>
  <c r="D1640" i="21"/>
  <c r="C1641" i="21"/>
  <c r="D1641" i="21"/>
  <c r="C1642" i="21"/>
  <c r="D1642" i="21"/>
  <c r="C1643" i="21"/>
  <c r="D1643" i="21"/>
  <c r="C1644" i="21"/>
  <c r="D1644" i="21"/>
  <c r="C1645" i="21"/>
  <c r="D1645" i="21"/>
  <c r="C1646" i="21"/>
  <c r="D1646" i="21"/>
  <c r="C1647" i="21"/>
  <c r="D1647" i="21"/>
  <c r="C1648" i="21"/>
  <c r="D1648" i="21"/>
  <c r="C1649" i="21"/>
  <c r="D1649" i="21"/>
  <c r="C1650" i="21"/>
  <c r="D1650" i="21"/>
  <c r="C1651" i="21"/>
  <c r="D1651" i="21"/>
  <c r="C1652" i="21"/>
  <c r="D1652" i="21"/>
  <c r="C1653" i="21"/>
  <c r="D1653" i="21"/>
  <c r="C1654" i="21"/>
  <c r="D1654" i="21"/>
  <c r="C1656" i="21"/>
  <c r="D1656" i="21"/>
  <c r="C1657" i="21"/>
  <c r="D1657" i="21"/>
  <c r="C1658" i="21"/>
  <c r="D1658" i="21"/>
  <c r="C1659" i="21"/>
  <c r="D1659" i="21"/>
  <c r="D1660" i="21"/>
  <c r="C1660" i="21"/>
  <c r="C1661" i="21"/>
  <c r="D1661" i="21"/>
  <c r="C1662" i="21"/>
  <c r="D1662" i="21"/>
  <c r="C1663" i="21"/>
  <c r="D1663" i="21"/>
  <c r="C1664" i="21"/>
  <c r="D1664" i="21"/>
  <c r="C1665" i="21"/>
  <c r="D1665" i="21"/>
  <c r="C1666" i="21"/>
  <c r="D1666" i="21"/>
  <c r="C1667" i="21"/>
  <c r="D1667" i="21"/>
  <c r="C1668" i="21"/>
  <c r="D1668" i="21"/>
  <c r="C1669" i="21"/>
  <c r="D1669" i="21"/>
  <c r="C1670" i="21"/>
  <c r="D1670" i="21"/>
  <c r="C1671" i="21"/>
  <c r="D1671" i="21"/>
  <c r="C1672" i="21"/>
  <c r="D1672" i="21"/>
  <c r="C1673" i="21"/>
  <c r="D1673" i="21"/>
  <c r="C1674" i="21"/>
  <c r="D1674" i="21"/>
  <c r="C1675" i="21"/>
  <c r="D1675" i="21"/>
  <c r="C1676" i="21"/>
  <c r="D1676" i="21"/>
  <c r="C1677" i="21"/>
  <c r="D1677" i="21"/>
  <c r="C1678" i="21"/>
  <c r="D1678" i="21"/>
  <c r="C1679" i="21"/>
  <c r="D1679" i="21"/>
  <c r="C1680" i="21"/>
  <c r="D1680" i="21"/>
  <c r="C1681" i="21"/>
  <c r="D1681" i="21"/>
  <c r="C1682" i="21"/>
  <c r="D1682" i="21"/>
  <c r="W492" i="13"/>
  <c r="U492" i="13"/>
  <c r="I371" i="13" a="1"/>
  <c r="J371" i="13" s="1"/>
  <c r="Z613" i="13"/>
  <c r="F143" i="29"/>
  <c r="D2011" i="21"/>
  <c r="C2011" i="21"/>
  <c r="J2011" i="21"/>
  <c r="W376" i="13"/>
  <c r="W378" i="13"/>
  <c r="I56" i="21"/>
  <c r="I61" i="21"/>
  <c r="I63" i="21"/>
  <c r="I64" i="21"/>
  <c r="I1848" i="21"/>
  <c r="I57" i="21"/>
  <c r="W380" i="13"/>
  <c r="I62" i="21"/>
  <c r="I40" i="21"/>
  <c r="I41" i="21"/>
  <c r="I42" i="21"/>
  <c r="I43" i="21"/>
  <c r="I44" i="21"/>
  <c r="I45" i="21"/>
  <c r="I46" i="21"/>
  <c r="I47"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48" i="21"/>
  <c r="I100" i="21"/>
  <c r="I101" i="21"/>
  <c r="I102" i="21"/>
  <c r="I103" i="21"/>
  <c r="I104" i="21"/>
  <c r="I105" i="21"/>
  <c r="I106" i="21"/>
  <c r="I107" i="21"/>
  <c r="I108" i="21"/>
  <c r="I109" i="21"/>
  <c r="I110" i="21"/>
  <c r="I111" i="21"/>
  <c r="I112" i="21"/>
  <c r="I113" i="21"/>
  <c r="I114" i="21"/>
  <c r="I115" i="21"/>
  <c r="I116" i="21"/>
  <c r="I117" i="21"/>
  <c r="I118" i="21"/>
  <c r="I119" i="21"/>
  <c r="I120" i="21"/>
  <c r="I121" i="21"/>
  <c r="I122" i="21"/>
  <c r="I123" i="21"/>
  <c r="I124" i="21"/>
  <c r="I125" i="21"/>
  <c r="I126" i="21"/>
  <c r="I127" i="21"/>
  <c r="I128" i="21"/>
  <c r="I129" i="21"/>
  <c r="I130" i="21"/>
  <c r="I131" i="21"/>
  <c r="I132" i="21"/>
  <c r="I133" i="21"/>
  <c r="I134" i="21"/>
  <c r="I135" i="21"/>
  <c r="I136" i="21"/>
  <c r="I137" i="21"/>
  <c r="I138" i="21"/>
  <c r="I139" i="21"/>
  <c r="I140" i="21"/>
  <c r="I141" i="21"/>
  <c r="I142" i="21"/>
  <c r="I143" i="21"/>
  <c r="I144" i="21"/>
  <c r="I145" i="21"/>
  <c r="I146" i="21"/>
  <c r="I147" i="21"/>
  <c r="I148" i="21"/>
  <c r="I49"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I189" i="21"/>
  <c r="I190" i="21"/>
  <c r="I191" i="21"/>
  <c r="I192" i="21"/>
  <c r="I193" i="21"/>
  <c r="I194" i="21"/>
  <c r="I195" i="21"/>
  <c r="I196" i="21"/>
  <c r="I197" i="21"/>
  <c r="I198" i="21"/>
  <c r="I199" i="21"/>
  <c r="I200" i="21"/>
  <c r="I201" i="21"/>
  <c r="I202" i="21"/>
  <c r="I203" i="21"/>
  <c r="I204" i="21"/>
  <c r="I205" i="21"/>
  <c r="I206" i="21"/>
  <c r="I207" i="21"/>
  <c r="I208" i="21"/>
  <c r="I209" i="21"/>
  <c r="I210" i="21"/>
  <c r="I211" i="21"/>
  <c r="I212" i="21"/>
  <c r="I213" i="21"/>
  <c r="I214" i="21"/>
  <c r="I215" i="21"/>
  <c r="I216" i="21"/>
  <c r="I217" i="21"/>
  <c r="I218" i="21"/>
  <c r="I219" i="21"/>
  <c r="I220" i="21"/>
  <c r="I221" i="21"/>
  <c r="I222" i="21"/>
  <c r="I223" i="21"/>
  <c r="I224" i="21"/>
  <c r="I225" i="21"/>
  <c r="I226" i="21"/>
  <c r="I227" i="21"/>
  <c r="I228" i="21"/>
  <c r="I229" i="21"/>
  <c r="I230" i="21"/>
  <c r="I231" i="21"/>
  <c r="I232" i="21"/>
  <c r="I233" i="21"/>
  <c r="I234" i="21"/>
  <c r="I235" i="21"/>
  <c r="I236" i="21"/>
  <c r="I237" i="21"/>
  <c r="I238" i="21"/>
  <c r="I239" i="21"/>
  <c r="I240" i="21"/>
  <c r="I241" i="21"/>
  <c r="I242" i="21"/>
  <c r="I243" i="21"/>
  <c r="I244" i="21"/>
  <c r="I245" i="21"/>
  <c r="I246" i="21"/>
  <c r="I247" i="21"/>
  <c r="I248" i="21"/>
  <c r="I249" i="21"/>
  <c r="I250" i="21"/>
  <c r="I251" i="21"/>
  <c r="I252" i="21"/>
  <c r="I253" i="21"/>
  <c r="I254" i="21"/>
  <c r="I255" i="21"/>
  <c r="I256" i="21"/>
  <c r="I257" i="21"/>
  <c r="I258" i="21"/>
  <c r="I259" i="21"/>
  <c r="I260" i="21"/>
  <c r="I261" i="21"/>
  <c r="I262" i="21"/>
  <c r="I263" i="21"/>
  <c r="I264" i="21"/>
  <c r="I265" i="21"/>
  <c r="I266" i="21"/>
  <c r="I267" i="21"/>
  <c r="I268" i="21"/>
  <c r="I269" i="21"/>
  <c r="I270" i="21"/>
  <c r="I271" i="21"/>
  <c r="I272" i="21"/>
  <c r="I273" i="21"/>
  <c r="I274" i="21"/>
  <c r="I275" i="21"/>
  <c r="I276" i="21"/>
  <c r="I277" i="21"/>
  <c r="I278" i="21"/>
  <c r="I279" i="21"/>
  <c r="I280" i="21"/>
  <c r="I281" i="21"/>
  <c r="I282" i="21"/>
  <c r="I283" i="21"/>
  <c r="I284" i="21"/>
  <c r="I285" i="21"/>
  <c r="I286" i="21"/>
  <c r="I287" i="21"/>
  <c r="I288" i="21"/>
  <c r="I289" i="21"/>
  <c r="I290" i="21"/>
  <c r="I291" i="21"/>
  <c r="I292" i="21"/>
  <c r="I293" i="21"/>
  <c r="I294" i="21"/>
  <c r="I295" i="21"/>
  <c r="I296" i="21"/>
  <c r="I297" i="21"/>
  <c r="I298" i="21"/>
  <c r="I299" i="21"/>
  <c r="I300" i="21"/>
  <c r="I301" i="21"/>
  <c r="I302" i="21"/>
  <c r="I303" i="21"/>
  <c r="I304" i="21"/>
  <c r="I305" i="21"/>
  <c r="I306" i="21"/>
  <c r="I307" i="21"/>
  <c r="I308" i="21"/>
  <c r="I309" i="21"/>
  <c r="I310" i="21"/>
  <c r="I311" i="21"/>
  <c r="I312" i="21"/>
  <c r="I313" i="21"/>
  <c r="I314" i="21"/>
  <c r="I315" i="21"/>
  <c r="I316" i="21"/>
  <c r="I317" i="21"/>
  <c r="I318" i="21"/>
  <c r="I319" i="21"/>
  <c r="I320" i="21"/>
  <c r="I321" i="21"/>
  <c r="I322" i="21"/>
  <c r="I323" i="21"/>
  <c r="I324" i="21"/>
  <c r="I325" i="21"/>
  <c r="I326" i="21"/>
  <c r="I327" i="21"/>
  <c r="I328" i="21"/>
  <c r="I329" i="21"/>
  <c r="I330" i="21"/>
  <c r="I331" i="21"/>
  <c r="I332" i="21"/>
  <c r="I333" i="21"/>
  <c r="I334" i="21"/>
  <c r="I335" i="21"/>
  <c r="I336" i="21"/>
  <c r="I337" i="21"/>
  <c r="I338" i="21"/>
  <c r="I339" i="21"/>
  <c r="I340" i="21"/>
  <c r="I341" i="21"/>
  <c r="I342" i="21"/>
  <c r="I343" i="21"/>
  <c r="I344" i="21"/>
  <c r="I345" i="21"/>
  <c r="I346" i="21"/>
  <c r="I347" i="21"/>
  <c r="I348" i="21"/>
  <c r="I349" i="21"/>
  <c r="I350" i="21"/>
  <c r="I351" i="21"/>
  <c r="I352" i="21"/>
  <c r="I353" i="21"/>
  <c r="I354" i="21"/>
  <c r="I355" i="21"/>
  <c r="I356" i="21"/>
  <c r="I357" i="21"/>
  <c r="I358" i="21"/>
  <c r="I359" i="21"/>
  <c r="I360" i="21"/>
  <c r="I361" i="21"/>
  <c r="I362" i="21"/>
  <c r="I363" i="21"/>
  <c r="I364" i="21"/>
  <c r="I365" i="21"/>
  <c r="I366" i="21"/>
  <c r="I367" i="21"/>
  <c r="I368" i="21"/>
  <c r="I369" i="21"/>
  <c r="I370" i="21"/>
  <c r="I371" i="21"/>
  <c r="I372" i="21"/>
  <c r="I373" i="21"/>
  <c r="I374" i="21"/>
  <c r="I375" i="21"/>
  <c r="I376" i="21"/>
  <c r="I377" i="21"/>
  <c r="I378" i="21"/>
  <c r="I379" i="21"/>
  <c r="I380" i="21"/>
  <c r="I381" i="21"/>
  <c r="I382" i="21"/>
  <c r="I383" i="21"/>
  <c r="I384" i="21"/>
  <c r="I385" i="21"/>
  <c r="I386" i="21"/>
  <c r="I387" i="21"/>
  <c r="I388" i="21"/>
  <c r="I389" i="21"/>
  <c r="I390" i="21"/>
  <c r="I391" i="21"/>
  <c r="I392" i="21"/>
  <c r="I393" i="21"/>
  <c r="I394" i="21"/>
  <c r="I395" i="21"/>
  <c r="I396" i="21"/>
  <c r="I397" i="21"/>
  <c r="I398" i="21"/>
  <c r="I399" i="21"/>
  <c r="I400" i="21"/>
  <c r="I401" i="21"/>
  <c r="I402" i="21"/>
  <c r="I403" i="21"/>
  <c r="I404" i="21"/>
  <c r="I405" i="21"/>
  <c r="I406" i="21"/>
  <c r="I407" i="21"/>
  <c r="I408" i="21"/>
  <c r="I409" i="21"/>
  <c r="I410" i="21"/>
  <c r="I411" i="21"/>
  <c r="I412" i="21"/>
  <c r="I413" i="21"/>
  <c r="I414" i="21"/>
  <c r="I415" i="21"/>
  <c r="I416" i="21"/>
  <c r="I417" i="21"/>
  <c r="I418" i="21"/>
  <c r="I419" i="21"/>
  <c r="I420" i="21"/>
  <c r="I421" i="21"/>
  <c r="I422" i="21"/>
  <c r="I423" i="21"/>
  <c r="I424" i="21"/>
  <c r="I425" i="21"/>
  <c r="I426" i="21"/>
  <c r="I427" i="21"/>
  <c r="I428" i="21"/>
  <c r="I429" i="21"/>
  <c r="I430" i="21"/>
  <c r="I431" i="21"/>
  <c r="I432" i="21"/>
  <c r="I433" i="21"/>
  <c r="I434" i="21"/>
  <c r="I435" i="21"/>
  <c r="I436" i="21"/>
  <c r="I437" i="21"/>
  <c r="I438" i="21"/>
  <c r="I439" i="21"/>
  <c r="I440" i="21"/>
  <c r="I441" i="21"/>
  <c r="I442" i="21"/>
  <c r="I443" i="21"/>
  <c r="I444" i="21"/>
  <c r="I445" i="21"/>
  <c r="I446" i="21"/>
  <c r="I447" i="21"/>
  <c r="I448" i="21"/>
  <c r="I449" i="21"/>
  <c r="I450" i="21"/>
  <c r="I451" i="21"/>
  <c r="I452" i="21"/>
  <c r="I453" i="21"/>
  <c r="I454" i="21"/>
  <c r="I455" i="21"/>
  <c r="I456" i="21"/>
  <c r="I457" i="21"/>
  <c r="I458" i="21"/>
  <c r="I459" i="21"/>
  <c r="I460" i="21"/>
  <c r="I461" i="21"/>
  <c r="I462" i="21"/>
  <c r="I463" i="21"/>
  <c r="I464" i="21"/>
  <c r="I465" i="21"/>
  <c r="I466" i="21"/>
  <c r="I467" i="21"/>
  <c r="I468" i="21"/>
  <c r="I469" i="21"/>
  <c r="I470" i="21"/>
  <c r="I471" i="21"/>
  <c r="I472" i="21"/>
  <c r="I473" i="21"/>
  <c r="I474" i="21"/>
  <c r="I475" i="21"/>
  <c r="I476" i="21"/>
  <c r="I477" i="21"/>
  <c r="I478" i="21"/>
  <c r="I479" i="21"/>
  <c r="I480" i="21"/>
  <c r="I481" i="21"/>
  <c r="I482" i="21"/>
  <c r="I483" i="21"/>
  <c r="I484" i="21"/>
  <c r="I485" i="21"/>
  <c r="I486" i="21"/>
  <c r="I487" i="21"/>
  <c r="I488" i="21"/>
  <c r="I489" i="21"/>
  <c r="I490" i="21"/>
  <c r="I491" i="21"/>
  <c r="I492" i="21"/>
  <c r="I493" i="21"/>
  <c r="I494" i="21"/>
  <c r="I495" i="21"/>
  <c r="I496" i="21"/>
  <c r="I497" i="21"/>
  <c r="I498" i="21"/>
  <c r="I499" i="21"/>
  <c r="I500" i="21"/>
  <c r="I501" i="21"/>
  <c r="I502" i="21"/>
  <c r="I503" i="21"/>
  <c r="I504" i="21"/>
  <c r="I505" i="21"/>
  <c r="I506" i="21"/>
  <c r="I507" i="21"/>
  <c r="I508" i="21"/>
  <c r="I509" i="21"/>
  <c r="I510" i="21"/>
  <c r="I511" i="21"/>
  <c r="I512" i="21"/>
  <c r="I513" i="21"/>
  <c r="I514" i="21"/>
  <c r="I515" i="21"/>
  <c r="I516" i="21"/>
  <c r="I517" i="21"/>
  <c r="I518" i="21"/>
  <c r="I519" i="21"/>
  <c r="I520" i="21"/>
  <c r="I521" i="21"/>
  <c r="I522" i="21"/>
  <c r="I523" i="21"/>
  <c r="I524" i="21"/>
  <c r="I525" i="21"/>
  <c r="I526" i="21"/>
  <c r="I527" i="21"/>
  <c r="I528" i="21"/>
  <c r="I529" i="21"/>
  <c r="I530" i="21"/>
  <c r="I531" i="21"/>
  <c r="I532" i="21"/>
  <c r="I533" i="21"/>
  <c r="I534" i="21"/>
  <c r="I535" i="21"/>
  <c r="I536" i="21"/>
  <c r="I537" i="21"/>
  <c r="I538" i="21"/>
  <c r="I539" i="21"/>
  <c r="I540" i="21"/>
  <c r="I541" i="21"/>
  <c r="I542" i="21"/>
  <c r="I543" i="21"/>
  <c r="I544" i="21"/>
  <c r="I545" i="21"/>
  <c r="I546" i="21"/>
  <c r="I547" i="21"/>
  <c r="I548" i="21"/>
  <c r="I549" i="21"/>
  <c r="I550" i="21"/>
  <c r="I551" i="21"/>
  <c r="I552" i="21"/>
  <c r="I553" i="21"/>
  <c r="I554" i="21"/>
  <c r="I555" i="21"/>
  <c r="I556" i="21"/>
  <c r="I557" i="21"/>
  <c r="I558" i="21"/>
  <c r="I559" i="21"/>
  <c r="I560" i="21"/>
  <c r="I561" i="21"/>
  <c r="I562" i="21"/>
  <c r="I563" i="21"/>
  <c r="I564" i="21"/>
  <c r="I565" i="21"/>
  <c r="I566" i="21"/>
  <c r="I567" i="21"/>
  <c r="I568" i="21"/>
  <c r="I569" i="21"/>
  <c r="I570" i="21"/>
  <c r="I571" i="21"/>
  <c r="I572" i="21"/>
  <c r="I573" i="21"/>
  <c r="I574" i="21"/>
  <c r="I575" i="21"/>
  <c r="I576" i="21"/>
  <c r="I577" i="21"/>
  <c r="I578" i="21"/>
  <c r="I579" i="21"/>
  <c r="I580" i="21"/>
  <c r="I581" i="21"/>
  <c r="I582" i="21"/>
  <c r="I583" i="21"/>
  <c r="I584" i="21"/>
  <c r="I585" i="21"/>
  <c r="I586" i="21"/>
  <c r="I587" i="21"/>
  <c r="I588" i="21"/>
  <c r="I589" i="21"/>
  <c r="I590" i="21"/>
  <c r="I591" i="21"/>
  <c r="I592" i="21"/>
  <c r="I593" i="21"/>
  <c r="I594" i="21"/>
  <c r="I595" i="21"/>
  <c r="I596" i="21"/>
  <c r="I597" i="21"/>
  <c r="I598" i="21"/>
  <c r="I599" i="21"/>
  <c r="I600" i="21"/>
  <c r="I601" i="21"/>
  <c r="I602" i="21"/>
  <c r="I603" i="21"/>
  <c r="I604" i="21"/>
  <c r="I605" i="21"/>
  <c r="I606" i="21"/>
  <c r="I607" i="21"/>
  <c r="I608" i="21"/>
  <c r="I609" i="21"/>
  <c r="I610" i="21"/>
  <c r="I611" i="21"/>
  <c r="I612" i="21"/>
  <c r="I613" i="21"/>
  <c r="I614" i="21"/>
  <c r="I615" i="21"/>
  <c r="I616" i="21"/>
  <c r="I617" i="21"/>
  <c r="I618" i="21"/>
  <c r="I619" i="21"/>
  <c r="I620" i="21"/>
  <c r="I621" i="21"/>
  <c r="I622" i="21"/>
  <c r="I623" i="21"/>
  <c r="I624" i="21"/>
  <c r="I625" i="21"/>
  <c r="I626" i="21"/>
  <c r="I627" i="21"/>
  <c r="I628" i="21"/>
  <c r="I629" i="21"/>
  <c r="I630" i="21"/>
  <c r="I631" i="21"/>
  <c r="I632" i="21"/>
  <c r="I633" i="21"/>
  <c r="I634" i="21"/>
  <c r="I635" i="21"/>
  <c r="I636" i="21"/>
  <c r="I637" i="21"/>
  <c r="I638" i="21"/>
  <c r="I639" i="21"/>
  <c r="I640" i="21"/>
  <c r="I641" i="21"/>
  <c r="I642" i="21"/>
  <c r="I643" i="21"/>
  <c r="I644" i="21"/>
  <c r="I645" i="21"/>
  <c r="I646" i="21"/>
  <c r="I647" i="21"/>
  <c r="I648" i="21"/>
  <c r="I649" i="21"/>
  <c r="I650" i="21"/>
  <c r="I651" i="21"/>
  <c r="I652" i="21"/>
  <c r="I653" i="21"/>
  <c r="I654" i="21"/>
  <c r="I655" i="21"/>
  <c r="I656" i="21"/>
  <c r="I657" i="21"/>
  <c r="I658" i="21"/>
  <c r="I659" i="21"/>
  <c r="I660" i="21"/>
  <c r="I661" i="21"/>
  <c r="I662" i="21"/>
  <c r="I663" i="21"/>
  <c r="I664" i="21"/>
  <c r="I665" i="21"/>
  <c r="I666" i="21"/>
  <c r="I667" i="21"/>
  <c r="I668" i="21"/>
  <c r="I669" i="21"/>
  <c r="I670" i="21"/>
  <c r="I671" i="21"/>
  <c r="I672" i="21"/>
  <c r="I673" i="21"/>
  <c r="I674" i="21"/>
  <c r="I675" i="21"/>
  <c r="I676" i="21"/>
  <c r="I677" i="21"/>
  <c r="I678" i="21"/>
  <c r="I679" i="21"/>
  <c r="I680" i="21"/>
  <c r="I681" i="21"/>
  <c r="I682" i="21"/>
  <c r="I683" i="21"/>
  <c r="I684" i="21"/>
  <c r="I685" i="21"/>
  <c r="I686" i="21"/>
  <c r="I687" i="21"/>
  <c r="I688" i="21"/>
  <c r="I689" i="21"/>
  <c r="I690" i="21"/>
  <c r="I691" i="21"/>
  <c r="I692" i="21"/>
  <c r="I693" i="21"/>
  <c r="I694" i="21"/>
  <c r="I695" i="21"/>
  <c r="I696" i="21"/>
  <c r="I697" i="21"/>
  <c r="I698" i="21"/>
  <c r="I699" i="21"/>
  <c r="I700" i="21"/>
  <c r="I701" i="21"/>
  <c r="I702" i="21"/>
  <c r="I703" i="21"/>
  <c r="I704" i="21"/>
  <c r="I705" i="21"/>
  <c r="I706" i="21"/>
  <c r="I707" i="21"/>
  <c r="I708" i="21"/>
  <c r="I709" i="21"/>
  <c r="I710" i="21"/>
  <c r="I711" i="21"/>
  <c r="I712" i="21"/>
  <c r="I713" i="21"/>
  <c r="I714" i="21"/>
  <c r="I715" i="21"/>
  <c r="I716" i="21"/>
  <c r="I717" i="21"/>
  <c r="I718" i="21"/>
  <c r="I719" i="21"/>
  <c r="I720" i="21"/>
  <c r="I721" i="21"/>
  <c r="I722" i="21"/>
  <c r="I723" i="21"/>
  <c r="I724" i="21"/>
  <c r="I725" i="21"/>
  <c r="I726" i="21"/>
  <c r="I727" i="21"/>
  <c r="I728" i="21"/>
  <c r="I729" i="21"/>
  <c r="I730" i="21"/>
  <c r="I731" i="21"/>
  <c r="I732" i="21"/>
  <c r="I733" i="21"/>
  <c r="I734" i="21"/>
  <c r="I735" i="21"/>
  <c r="I736" i="21"/>
  <c r="I737" i="21"/>
  <c r="I738" i="21"/>
  <c r="I739" i="21"/>
  <c r="I740" i="21"/>
  <c r="I741" i="21"/>
  <c r="I742" i="21"/>
  <c r="I743" i="21"/>
  <c r="I744" i="21"/>
  <c r="I745" i="21"/>
  <c r="I746" i="21"/>
  <c r="I747" i="21"/>
  <c r="I748" i="21"/>
  <c r="I749" i="21"/>
  <c r="I750" i="21"/>
  <c r="I751" i="21"/>
  <c r="I752" i="21"/>
  <c r="I753" i="21"/>
  <c r="I754" i="21"/>
  <c r="I755" i="21"/>
  <c r="I756" i="21"/>
  <c r="I757" i="21"/>
  <c r="I758" i="21"/>
  <c r="I759" i="21"/>
  <c r="I760" i="21"/>
  <c r="I761" i="21"/>
  <c r="I762" i="21"/>
  <c r="I763" i="21"/>
  <c r="I764" i="21"/>
  <c r="I765" i="21"/>
  <c r="I766" i="21"/>
  <c r="I767" i="21"/>
  <c r="I768" i="21"/>
  <c r="I769" i="21"/>
  <c r="I770" i="21"/>
  <c r="I771" i="21"/>
  <c r="I772" i="21"/>
  <c r="I773" i="21"/>
  <c r="I774" i="21"/>
  <c r="I775" i="21"/>
  <c r="I776" i="21"/>
  <c r="I777" i="21"/>
  <c r="I778" i="21"/>
  <c r="I779" i="21"/>
  <c r="I780" i="21"/>
  <c r="I781" i="21"/>
  <c r="I782" i="21"/>
  <c r="I783" i="21"/>
  <c r="I784" i="21"/>
  <c r="I785" i="21"/>
  <c r="I786" i="21"/>
  <c r="I787" i="21"/>
  <c r="I788" i="21"/>
  <c r="I789" i="21"/>
  <c r="I790" i="21"/>
  <c r="I791" i="21"/>
  <c r="I792" i="21"/>
  <c r="I23" i="21"/>
  <c r="I793" i="21"/>
  <c r="I794" i="21"/>
  <c r="I795" i="21"/>
  <c r="I796" i="21"/>
  <c r="I797" i="21"/>
  <c r="I798" i="21"/>
  <c r="I799" i="21"/>
  <c r="I800" i="21"/>
  <c r="I801" i="21"/>
  <c r="I802" i="21"/>
  <c r="I803" i="21"/>
  <c r="I804" i="21"/>
  <c r="I805" i="21"/>
  <c r="I38" i="21"/>
  <c r="I806" i="21"/>
  <c r="I807" i="21"/>
  <c r="I27" i="21"/>
  <c r="I808" i="21"/>
  <c r="I809" i="21"/>
  <c r="I810" i="21"/>
  <c r="I811" i="21"/>
  <c r="I812" i="21"/>
  <c r="I813" i="21"/>
  <c r="I814" i="21"/>
  <c r="I815" i="21"/>
  <c r="I816" i="21"/>
  <c r="I817" i="21"/>
  <c r="I818" i="21"/>
  <c r="I819" i="21"/>
  <c r="I820" i="21"/>
  <c r="I821" i="21"/>
  <c r="I822" i="21"/>
  <c r="I823" i="21"/>
  <c r="I824" i="21"/>
  <c r="I825" i="21"/>
  <c r="I826" i="21"/>
  <c r="I827" i="21"/>
  <c r="I828" i="21"/>
  <c r="I829" i="21"/>
  <c r="I830" i="21"/>
  <c r="I831" i="21"/>
  <c r="I832" i="21"/>
  <c r="I833" i="21"/>
  <c r="I834" i="21"/>
  <c r="I835" i="21"/>
  <c r="I836" i="21"/>
  <c r="I837" i="21"/>
  <c r="I838" i="21"/>
  <c r="I839" i="21"/>
  <c r="I840" i="21"/>
  <c r="I841" i="21"/>
  <c r="I842" i="21"/>
  <c r="I843" i="21"/>
  <c r="I844" i="21"/>
  <c r="I845" i="21"/>
  <c r="I846" i="21"/>
  <c r="I847" i="21"/>
  <c r="I848" i="21"/>
  <c r="I849" i="21"/>
  <c r="I850" i="21"/>
  <c r="I851" i="21"/>
  <c r="I852" i="21"/>
  <c r="I853" i="21"/>
  <c r="I854" i="21"/>
  <c r="I36" i="21"/>
  <c r="I855" i="21"/>
  <c r="I856" i="21"/>
  <c r="I857" i="21"/>
  <c r="I858" i="21"/>
  <c r="I859" i="21"/>
  <c r="I860" i="21"/>
  <c r="I861" i="21"/>
  <c r="I862" i="21"/>
  <c r="I863" i="21"/>
  <c r="I864" i="21"/>
  <c r="I865" i="21"/>
  <c r="I866" i="21"/>
  <c r="I867" i="21"/>
  <c r="I868" i="21"/>
  <c r="I869" i="21"/>
  <c r="I870" i="21"/>
  <c r="I16" i="21"/>
  <c r="I871" i="21"/>
  <c r="I872" i="21"/>
  <c r="I873" i="21"/>
  <c r="I874" i="21"/>
  <c r="I875" i="21"/>
  <c r="I2" i="21"/>
  <c r="I876" i="21"/>
  <c r="I877" i="21"/>
  <c r="I878" i="21"/>
  <c r="I879" i="21"/>
  <c r="I880" i="21"/>
  <c r="I881" i="21"/>
  <c r="I882" i="21"/>
  <c r="I883" i="21"/>
  <c r="I884" i="21"/>
  <c r="I885" i="21"/>
  <c r="I886" i="21"/>
  <c r="I887" i="21"/>
  <c r="I888" i="21"/>
  <c r="I889" i="21"/>
  <c r="I890" i="21"/>
  <c r="I891" i="21"/>
  <c r="I892" i="21"/>
  <c r="I893" i="21"/>
  <c r="I894" i="21"/>
  <c r="I895" i="21"/>
  <c r="I896" i="21"/>
  <c r="I897" i="21"/>
  <c r="I898" i="21"/>
  <c r="I899" i="21"/>
  <c r="I900" i="21"/>
  <c r="I901" i="21"/>
  <c r="I902" i="21"/>
  <c r="I903" i="21"/>
  <c r="I904" i="21"/>
  <c r="I905" i="21"/>
  <c r="I906" i="21"/>
  <c r="I907" i="21"/>
  <c r="I908" i="21"/>
  <c r="I909" i="21"/>
  <c r="I910" i="21"/>
  <c r="I911" i="21"/>
  <c r="I912" i="21"/>
  <c r="I913" i="21"/>
  <c r="I914" i="21"/>
  <c r="I915" i="21"/>
  <c r="I916" i="21"/>
  <c r="I917" i="21"/>
  <c r="I18" i="21"/>
  <c r="I918" i="21"/>
  <c r="I919" i="21"/>
  <c r="I920" i="21"/>
  <c r="I921" i="21"/>
  <c r="I922" i="21"/>
  <c r="I923" i="21"/>
  <c r="I924" i="21"/>
  <c r="I925" i="21"/>
  <c r="I926" i="21"/>
  <c r="I927" i="21"/>
  <c r="I928" i="21"/>
  <c r="I929" i="21"/>
  <c r="I930" i="21"/>
  <c r="I931" i="21"/>
  <c r="I932" i="21"/>
  <c r="I933" i="21"/>
  <c r="I934" i="21"/>
  <c r="I935" i="21"/>
  <c r="I936" i="21"/>
  <c r="I937" i="21"/>
  <c r="I938" i="21"/>
  <c r="I939" i="21"/>
  <c r="I940" i="21"/>
  <c r="I941" i="21"/>
  <c r="I942" i="21"/>
  <c r="I943" i="21"/>
  <c r="I944" i="21"/>
  <c r="I945" i="21"/>
  <c r="I946" i="21"/>
  <c r="I20" i="21"/>
  <c r="I947" i="21"/>
  <c r="I948" i="21"/>
  <c r="I949" i="21"/>
  <c r="I950" i="21"/>
  <c r="I951" i="21"/>
  <c r="I952" i="21"/>
  <c r="I953" i="21"/>
  <c r="I954" i="21"/>
  <c r="I955" i="21"/>
  <c r="I956" i="21"/>
  <c r="I957" i="21"/>
  <c r="I958" i="21"/>
  <c r="I959" i="21"/>
  <c r="I960" i="21"/>
  <c r="I961" i="21"/>
  <c r="I962" i="21"/>
  <c r="I963" i="21"/>
  <c r="I964" i="21"/>
  <c r="I965" i="21"/>
  <c r="I966" i="21"/>
  <c r="I22" i="21"/>
  <c r="I967" i="21"/>
  <c r="I968" i="21"/>
  <c r="I969" i="21"/>
  <c r="I970" i="21"/>
  <c r="I971" i="21"/>
  <c r="I972" i="21"/>
  <c r="I973" i="21"/>
  <c r="I974" i="21"/>
  <c r="I975" i="21"/>
  <c r="I976" i="21"/>
  <c r="I977" i="21"/>
  <c r="I978" i="21"/>
  <c r="I979" i="21"/>
  <c r="I980" i="21"/>
  <c r="I981" i="21"/>
  <c r="I982" i="21"/>
  <c r="I983" i="21"/>
  <c r="I984" i="21"/>
  <c r="I985" i="21"/>
  <c r="I986" i="21"/>
  <c r="I987" i="21"/>
  <c r="I988" i="21"/>
  <c r="I989" i="21"/>
  <c r="I990" i="21"/>
  <c r="I991" i="21"/>
  <c r="I992" i="21"/>
  <c r="I993" i="21"/>
  <c r="I994" i="21"/>
  <c r="I995" i="21"/>
  <c r="I996" i="21"/>
  <c r="I997" i="21"/>
  <c r="I998" i="21"/>
  <c r="I999" i="21"/>
  <c r="I1000" i="21"/>
  <c r="I1001" i="21"/>
  <c r="I1002" i="21"/>
  <c r="I1003" i="21"/>
  <c r="I1004" i="21"/>
  <c r="I1005" i="21"/>
  <c r="I1006" i="21"/>
  <c r="I1007" i="21"/>
  <c r="I1008" i="21"/>
  <c r="I1009" i="21"/>
  <c r="I1010" i="21"/>
  <c r="I26" i="21"/>
  <c r="I1011" i="21"/>
  <c r="I1012" i="21"/>
  <c r="I1013" i="21"/>
  <c r="I1014" i="21"/>
  <c r="I1015" i="21"/>
  <c r="I1016" i="21"/>
  <c r="I1017" i="21"/>
  <c r="I1018" i="21"/>
  <c r="I1019" i="21"/>
  <c r="I1020" i="21"/>
  <c r="I1021" i="21"/>
  <c r="I1022" i="21"/>
  <c r="I1023" i="21"/>
  <c r="I1024" i="21"/>
  <c r="I1025" i="21"/>
  <c r="I1026" i="21"/>
  <c r="I1027" i="21"/>
  <c r="I31" i="21"/>
  <c r="I1028" i="21"/>
  <c r="I1029" i="21"/>
  <c r="I1030" i="21"/>
  <c r="I1031" i="21"/>
  <c r="I1032" i="21"/>
  <c r="I1033" i="21"/>
  <c r="I1034" i="21"/>
  <c r="I1035" i="21"/>
  <c r="I1036" i="21"/>
  <c r="I1037" i="21"/>
  <c r="I1038" i="21"/>
  <c r="I1039" i="21"/>
  <c r="I1040" i="21"/>
  <c r="I1041" i="21"/>
  <c r="I1042" i="21"/>
  <c r="I1043" i="21"/>
  <c r="I1044" i="21"/>
  <c r="I1045" i="21"/>
  <c r="I33" i="21"/>
  <c r="I1046" i="21"/>
  <c r="I1047" i="21"/>
  <c r="I1048" i="21"/>
  <c r="I1049" i="21"/>
  <c r="I1050" i="21"/>
  <c r="I1051" i="21"/>
  <c r="I1052" i="21"/>
  <c r="I1053" i="21"/>
  <c r="I1054" i="21"/>
  <c r="I1055" i="21"/>
  <c r="I1056" i="21"/>
  <c r="I1057" i="21"/>
  <c r="I1058" i="21"/>
  <c r="I1059" i="21"/>
  <c r="I1060" i="21"/>
  <c r="I1061" i="21"/>
  <c r="I1062" i="21"/>
  <c r="I1063" i="21"/>
  <c r="I1064" i="21"/>
  <c r="I1065" i="21"/>
  <c r="I1066" i="21"/>
  <c r="I1067" i="21"/>
  <c r="I1068" i="21"/>
  <c r="I1069" i="21"/>
  <c r="I1070" i="21"/>
  <c r="I1071" i="21"/>
  <c r="I1072" i="21"/>
  <c r="I1073" i="21"/>
  <c r="I1074" i="21"/>
  <c r="I1075" i="21"/>
  <c r="I1076" i="21"/>
  <c r="I1077" i="21"/>
  <c r="I1078" i="21"/>
  <c r="I1079" i="21"/>
  <c r="I1080" i="21"/>
  <c r="I1081" i="21"/>
  <c r="I1082" i="21"/>
  <c r="I1083" i="21"/>
  <c r="I1084" i="21"/>
  <c r="I1085" i="21"/>
  <c r="I1086" i="21"/>
  <c r="I1087" i="21"/>
  <c r="I1088" i="21"/>
  <c r="I1089" i="21"/>
  <c r="I1090" i="21"/>
  <c r="I1091" i="21"/>
  <c r="I1092" i="21"/>
  <c r="I37" i="21"/>
  <c r="I1093" i="21"/>
  <c r="I1094" i="21"/>
  <c r="I1095" i="21"/>
  <c r="I1096" i="21"/>
  <c r="I1097" i="21"/>
  <c r="I1098" i="21"/>
  <c r="I1099" i="21"/>
  <c r="I1100" i="21"/>
  <c r="I1101" i="21"/>
  <c r="I1102" i="21"/>
  <c r="I1103" i="21"/>
  <c r="I1104" i="21"/>
  <c r="I1105" i="21"/>
  <c r="I1106" i="21"/>
  <c r="I1107" i="21"/>
  <c r="I1108" i="21"/>
  <c r="I1109" i="21"/>
  <c r="I1110" i="21"/>
  <c r="I1111" i="21"/>
  <c r="I1112" i="21"/>
  <c r="I1113" i="21"/>
  <c r="I1114" i="21"/>
  <c r="I1115" i="21"/>
  <c r="I1116" i="21"/>
  <c r="I1117" i="21"/>
  <c r="I1118" i="21"/>
  <c r="I1119" i="21"/>
  <c r="I1120" i="21"/>
  <c r="I1121" i="21"/>
  <c r="I1122" i="21"/>
  <c r="I1123" i="21"/>
  <c r="I1124" i="21"/>
  <c r="I1125" i="21"/>
  <c r="I1126" i="21"/>
  <c r="I1127" i="21"/>
  <c r="I4" i="21"/>
  <c r="I1128" i="21"/>
  <c r="I1129" i="21"/>
  <c r="I1130" i="21"/>
  <c r="I1131" i="21"/>
  <c r="I3" i="21"/>
  <c r="I1132" i="21"/>
  <c r="I1133" i="21"/>
  <c r="I1134" i="21"/>
  <c r="I1135" i="21"/>
  <c r="I1136" i="21"/>
  <c r="I1137" i="21"/>
  <c r="I1138" i="21"/>
  <c r="I1139" i="21"/>
  <c r="I1140" i="21"/>
  <c r="I1141" i="21"/>
  <c r="I1142" i="21"/>
  <c r="I1143" i="21"/>
  <c r="I1144" i="21"/>
  <c r="I1145" i="21"/>
  <c r="I1146" i="21"/>
  <c r="I1147" i="21"/>
  <c r="I1148" i="21"/>
  <c r="I1149" i="21"/>
  <c r="I1150" i="21"/>
  <c r="I1151" i="21"/>
  <c r="I1152" i="21"/>
  <c r="I1153" i="21"/>
  <c r="I1154" i="21"/>
  <c r="I1155" i="21"/>
  <c r="I1156" i="21"/>
  <c r="I1157" i="21"/>
  <c r="I1158" i="21"/>
  <c r="I1159" i="21"/>
  <c r="I1160" i="21"/>
  <c r="I1161" i="21"/>
  <c r="I1162" i="21"/>
  <c r="I1163" i="21"/>
  <c r="I1164" i="21"/>
  <c r="I1165" i="21"/>
  <c r="I1166" i="21"/>
  <c r="I1167" i="21"/>
  <c r="I1168" i="21"/>
  <c r="I1169" i="21"/>
  <c r="I1170" i="21"/>
  <c r="I1171" i="21"/>
  <c r="I1172" i="21"/>
  <c r="I1173" i="21"/>
  <c r="I1174" i="21"/>
  <c r="I1175" i="21"/>
  <c r="I1176" i="21"/>
  <c r="I1177" i="21"/>
  <c r="I1178" i="21"/>
  <c r="I1179" i="21"/>
  <c r="I1180" i="21"/>
  <c r="I1181" i="21"/>
  <c r="I1182" i="21"/>
  <c r="I1183" i="21"/>
  <c r="I1184" i="21"/>
  <c r="I1185" i="21"/>
  <c r="I5" i="21"/>
  <c r="I1186" i="21"/>
  <c r="I1187" i="21"/>
  <c r="I1188" i="21"/>
  <c r="I1189" i="21"/>
  <c r="I1190" i="21"/>
  <c r="I1191" i="21"/>
  <c r="I1192" i="21"/>
  <c r="I1193" i="21"/>
  <c r="I1194" i="21"/>
  <c r="I1195" i="21"/>
  <c r="I1196" i="21"/>
  <c r="I1197" i="21"/>
  <c r="I1198" i="21"/>
  <c r="I1199" i="21"/>
  <c r="I1200" i="21"/>
  <c r="I1201" i="21"/>
  <c r="I1202" i="21"/>
  <c r="I1203" i="21"/>
  <c r="I1204" i="21"/>
  <c r="I1205" i="21"/>
  <c r="I1206" i="21"/>
  <c r="I1207" i="21"/>
  <c r="I1208" i="21"/>
  <c r="I1209" i="21"/>
  <c r="I1210" i="21"/>
  <c r="I7" i="21"/>
  <c r="I1211" i="21"/>
  <c r="I1212" i="21"/>
  <c r="I1213" i="21"/>
  <c r="I1214" i="21"/>
  <c r="I1215" i="21"/>
  <c r="I1216" i="21"/>
  <c r="I1217" i="21"/>
  <c r="I1218" i="21"/>
  <c r="I1219" i="21"/>
  <c r="I1220" i="21"/>
  <c r="I1221" i="21"/>
  <c r="I6" i="21"/>
  <c r="I1222" i="21"/>
  <c r="I1223" i="21"/>
  <c r="I1224" i="21"/>
  <c r="I1225" i="21"/>
  <c r="I1226" i="21"/>
  <c r="I1227" i="21"/>
  <c r="I1228" i="21"/>
  <c r="I1229" i="21"/>
  <c r="I1230" i="21"/>
  <c r="I1231" i="21"/>
  <c r="I1232" i="21"/>
  <c r="I1233" i="21"/>
  <c r="I1234" i="21"/>
  <c r="I1235" i="21"/>
  <c r="I1236" i="21"/>
  <c r="I1237" i="21"/>
  <c r="I1238" i="21"/>
  <c r="I1239" i="21"/>
  <c r="I1240" i="21"/>
  <c r="I1241" i="21"/>
  <c r="I1242" i="21"/>
  <c r="I1243" i="21"/>
  <c r="I1244" i="21"/>
  <c r="I1245" i="21"/>
  <c r="I1246" i="21"/>
  <c r="I1247" i="21"/>
  <c r="I1248" i="21"/>
  <c r="I1249" i="21"/>
  <c r="I1250" i="21"/>
  <c r="I1251" i="21"/>
  <c r="I1252" i="21"/>
  <c r="I1253" i="21"/>
  <c r="I1254" i="21"/>
  <c r="I1255" i="21"/>
  <c r="I1256" i="21"/>
  <c r="I1257" i="21"/>
  <c r="I1258" i="21"/>
  <c r="I1259" i="21"/>
  <c r="I1260" i="21"/>
  <c r="I1261" i="21"/>
  <c r="I1262" i="21"/>
  <c r="I1263" i="21"/>
  <c r="I1264" i="21"/>
  <c r="I1265" i="21"/>
  <c r="I1266" i="21"/>
  <c r="I1267" i="21"/>
  <c r="I1268" i="21"/>
  <c r="I1269" i="21"/>
  <c r="I1270" i="21"/>
  <c r="I1271" i="21"/>
  <c r="I1272" i="21"/>
  <c r="I1273" i="21"/>
  <c r="I1274" i="21"/>
  <c r="I9" i="21"/>
  <c r="I1275" i="21"/>
  <c r="I1276" i="21"/>
  <c r="I1277" i="21"/>
  <c r="I1278" i="21"/>
  <c r="I1279" i="21"/>
  <c r="I1280" i="21"/>
  <c r="I1281" i="21"/>
  <c r="I1282" i="21"/>
  <c r="I1283" i="21"/>
  <c r="I1284" i="21"/>
  <c r="I1285" i="21"/>
  <c r="I1286" i="21"/>
  <c r="I1287" i="21"/>
  <c r="I1288" i="21"/>
  <c r="I1289" i="21"/>
  <c r="I1290" i="21"/>
  <c r="I1291" i="21"/>
  <c r="I1292" i="21"/>
  <c r="I1293" i="21"/>
  <c r="I1294" i="21"/>
  <c r="I1295" i="21"/>
  <c r="I1296" i="21"/>
  <c r="I1297" i="21"/>
  <c r="I1298" i="21"/>
  <c r="I1299" i="21"/>
  <c r="I1300" i="21"/>
  <c r="I8" i="21"/>
  <c r="I1301" i="21"/>
  <c r="I1302" i="21"/>
  <c r="I1303" i="21"/>
  <c r="I1304" i="21"/>
  <c r="I1305" i="21"/>
  <c r="I1306" i="21"/>
  <c r="I1307" i="21"/>
  <c r="I1308" i="21"/>
  <c r="I1309" i="21"/>
  <c r="I1310" i="21"/>
  <c r="I1311" i="21"/>
  <c r="I1312" i="21"/>
  <c r="I1313" i="21"/>
  <c r="I1314" i="21"/>
  <c r="I1315" i="21"/>
  <c r="I1316" i="21"/>
  <c r="I10" i="21"/>
  <c r="I1317" i="21"/>
  <c r="I1318" i="21"/>
  <c r="I1319" i="21"/>
  <c r="I1320" i="21"/>
  <c r="I1321" i="21"/>
  <c r="I1322" i="21"/>
  <c r="I1323" i="21"/>
  <c r="I1324" i="21"/>
  <c r="I1325" i="21"/>
  <c r="I1326" i="21"/>
  <c r="I1327" i="21"/>
  <c r="I1328" i="21"/>
  <c r="I1329" i="21"/>
  <c r="I1330" i="21"/>
  <c r="I1331" i="21"/>
  <c r="I1332" i="21"/>
  <c r="I1333" i="21"/>
  <c r="I1334" i="21"/>
  <c r="I1335" i="21"/>
  <c r="I1336" i="21"/>
  <c r="I1337" i="21"/>
  <c r="I1338" i="21"/>
  <c r="I1339" i="21"/>
  <c r="I1340" i="21"/>
  <c r="I1341" i="21"/>
  <c r="I1342" i="21"/>
  <c r="I1343" i="21"/>
  <c r="I1344" i="21"/>
  <c r="I1345" i="21"/>
  <c r="I1346" i="21"/>
  <c r="I1347" i="21"/>
  <c r="I1348" i="21"/>
  <c r="I1349" i="21"/>
  <c r="I1350" i="21"/>
  <c r="I1351" i="21"/>
  <c r="I1352" i="21"/>
  <c r="I1353" i="21"/>
  <c r="I1354" i="21"/>
  <c r="I1355" i="21"/>
  <c r="I1356" i="21"/>
  <c r="I1357" i="21"/>
  <c r="I1358" i="21"/>
  <c r="I1359" i="21"/>
  <c r="I1360" i="21"/>
  <c r="I12" i="21"/>
  <c r="I1361" i="21"/>
  <c r="I1362" i="21"/>
  <c r="I1363" i="21"/>
  <c r="I1364" i="21"/>
  <c r="I1365" i="21"/>
  <c r="I1366" i="21"/>
  <c r="I1367" i="21"/>
  <c r="I1368" i="21"/>
  <c r="I1369" i="21"/>
  <c r="I1370" i="21"/>
  <c r="I1371" i="21"/>
  <c r="I1372" i="21"/>
  <c r="I1373" i="21"/>
  <c r="I1374" i="21"/>
  <c r="I1375" i="21"/>
  <c r="I1376" i="21"/>
  <c r="I1377" i="21"/>
  <c r="I1378" i="21"/>
  <c r="I1379" i="21"/>
  <c r="I1380" i="21"/>
  <c r="I1381" i="21"/>
  <c r="I1382" i="21"/>
  <c r="I1383" i="21"/>
  <c r="I1384" i="21"/>
  <c r="I1385" i="21"/>
  <c r="I1386" i="21"/>
  <c r="I1387" i="21"/>
  <c r="I1388" i="21"/>
  <c r="I1389" i="21"/>
  <c r="I11" i="21"/>
  <c r="I1390" i="21"/>
  <c r="I1391" i="21"/>
  <c r="C1391" i="21"/>
  <c r="D1391" i="21"/>
  <c r="I1392" i="21"/>
  <c r="I1393" i="21"/>
  <c r="I1394" i="21"/>
  <c r="I1395" i="21"/>
  <c r="I1396" i="21"/>
  <c r="I1397" i="21"/>
  <c r="I1398" i="21"/>
  <c r="I1399" i="21"/>
  <c r="I1400" i="21"/>
  <c r="I1401" i="21"/>
  <c r="I1402" i="21"/>
  <c r="I1403" i="21"/>
  <c r="I1404" i="21"/>
  <c r="I1405" i="21"/>
  <c r="I1406" i="21"/>
  <c r="I1407" i="21"/>
  <c r="I1408" i="21"/>
  <c r="I1409" i="21"/>
  <c r="I15" i="21"/>
  <c r="I1410" i="21"/>
  <c r="I1411" i="21"/>
  <c r="I1412" i="21"/>
  <c r="I1413" i="21"/>
  <c r="I1414" i="21"/>
  <c r="I1415" i="21"/>
  <c r="I1416" i="21"/>
  <c r="I1417" i="21"/>
  <c r="I1418" i="21"/>
  <c r="I1419" i="21"/>
  <c r="I1420" i="21"/>
  <c r="I1421" i="21"/>
  <c r="I1422" i="21"/>
  <c r="I1423" i="21"/>
  <c r="I1424" i="21"/>
  <c r="I1425" i="21"/>
  <c r="I1426" i="21"/>
  <c r="I1427" i="21"/>
  <c r="I1428" i="21"/>
  <c r="I1429" i="21"/>
  <c r="I1430" i="21"/>
  <c r="I1431" i="21"/>
  <c r="I1432" i="21"/>
  <c r="I1433" i="21"/>
  <c r="I1434" i="21"/>
  <c r="I1435" i="21"/>
  <c r="I1436" i="21"/>
  <c r="I1437" i="21"/>
  <c r="I1438" i="21"/>
  <c r="I1439" i="21"/>
  <c r="I1440" i="21"/>
  <c r="I1441" i="21"/>
  <c r="I1442" i="21"/>
  <c r="I1443" i="21"/>
  <c r="I1444" i="21"/>
  <c r="I1445" i="21"/>
  <c r="I1446" i="21"/>
  <c r="I1447" i="21"/>
  <c r="I1448" i="21"/>
  <c r="I1449" i="21"/>
  <c r="I1450" i="21"/>
  <c r="I1451" i="21"/>
  <c r="I1452" i="21"/>
  <c r="I1453" i="21"/>
  <c r="I1454" i="21"/>
  <c r="I1455" i="21"/>
  <c r="I1456" i="21"/>
  <c r="C1456" i="21"/>
  <c r="I1457" i="21"/>
  <c r="I1458" i="21"/>
  <c r="I1459" i="21"/>
  <c r="I1460" i="21"/>
  <c r="I1461" i="21"/>
  <c r="I1462" i="21"/>
  <c r="I1463" i="21"/>
  <c r="I1464" i="21"/>
  <c r="I1465" i="21"/>
  <c r="I1466" i="21"/>
  <c r="I17" i="21"/>
  <c r="I1467" i="21"/>
  <c r="I1468" i="21"/>
  <c r="I1469" i="21"/>
  <c r="I1470" i="21"/>
  <c r="I1471" i="21"/>
  <c r="I1472" i="21"/>
  <c r="I1473" i="21"/>
  <c r="C1473" i="21"/>
  <c r="I1474" i="21"/>
  <c r="I1475" i="21"/>
  <c r="I1476" i="21"/>
  <c r="I1477" i="21"/>
  <c r="I1478" i="21"/>
  <c r="I1479" i="21"/>
  <c r="I1480" i="21"/>
  <c r="I1481" i="21"/>
  <c r="I1482" i="21"/>
  <c r="I1483" i="21"/>
  <c r="I1484" i="21"/>
  <c r="I1485" i="21"/>
  <c r="I1486" i="21"/>
  <c r="I1487" i="21"/>
  <c r="I1488" i="21"/>
  <c r="I19" i="21"/>
  <c r="I1489" i="21"/>
  <c r="I1490" i="21"/>
  <c r="I1491" i="21"/>
  <c r="I1492" i="21"/>
  <c r="I1493" i="21"/>
  <c r="I1494" i="21"/>
  <c r="I1495" i="21"/>
  <c r="I1496" i="21"/>
  <c r="I1497" i="21"/>
  <c r="I1498" i="21"/>
  <c r="I1499" i="21"/>
  <c r="I1500" i="21"/>
  <c r="I1501" i="21"/>
  <c r="I1502" i="21"/>
  <c r="I1503" i="21"/>
  <c r="I1504" i="21"/>
  <c r="I1505" i="21"/>
  <c r="I1506" i="21"/>
  <c r="I1507" i="21"/>
  <c r="I1508" i="21"/>
  <c r="I1509" i="21"/>
  <c r="I1510" i="21"/>
  <c r="I1511" i="21"/>
  <c r="I1512" i="21"/>
  <c r="I1513" i="21"/>
  <c r="I21" i="21"/>
  <c r="I1514" i="21"/>
  <c r="I1515" i="21"/>
  <c r="I1516" i="21"/>
  <c r="I1517" i="21"/>
  <c r="I1518" i="21"/>
  <c r="I1519" i="21"/>
  <c r="I1520" i="21"/>
  <c r="I1521" i="21"/>
  <c r="I1522" i="21"/>
  <c r="I1523" i="21"/>
  <c r="I1524" i="21"/>
  <c r="I1525" i="21"/>
  <c r="I1526" i="21"/>
  <c r="I1527" i="21"/>
  <c r="I1528" i="21"/>
  <c r="I1529" i="21"/>
  <c r="I1530" i="21"/>
  <c r="I1531" i="21"/>
  <c r="I1532" i="21"/>
  <c r="I1533" i="21"/>
  <c r="I1534" i="21"/>
  <c r="I1535" i="21"/>
  <c r="I1536" i="21"/>
  <c r="I1537" i="21"/>
  <c r="I1538" i="21"/>
  <c r="I1539" i="21"/>
  <c r="I1540" i="21"/>
  <c r="I1541" i="21"/>
  <c r="I1542" i="21"/>
  <c r="I1543" i="21"/>
  <c r="I1544" i="21"/>
  <c r="I1545" i="21"/>
  <c r="I1546" i="21"/>
  <c r="I1547" i="21"/>
  <c r="I1548" i="21"/>
  <c r="I1549" i="21"/>
  <c r="I1550" i="21"/>
  <c r="C1550" i="21"/>
  <c r="I1551" i="21"/>
  <c r="I1552" i="21"/>
  <c r="I1553" i="21"/>
  <c r="I1554" i="21"/>
  <c r="I1555" i="21"/>
  <c r="I1556" i="21"/>
  <c r="I1557" i="21"/>
  <c r="I1558" i="21"/>
  <c r="I1559" i="21"/>
  <c r="I1560" i="21"/>
  <c r="I1561" i="21"/>
  <c r="I1562" i="21"/>
  <c r="I1563" i="21"/>
  <c r="I1564" i="21"/>
  <c r="I1565" i="21"/>
  <c r="I1566" i="21"/>
  <c r="I1567" i="21"/>
  <c r="I1568" i="21"/>
  <c r="I1569" i="21"/>
  <c r="I1570" i="21"/>
  <c r="I24" i="21"/>
  <c r="I1571" i="21"/>
  <c r="I1572" i="21"/>
  <c r="I1573" i="21"/>
  <c r="I1574" i="21"/>
  <c r="I1575" i="21"/>
  <c r="I1576" i="21"/>
  <c r="I1577" i="21"/>
  <c r="I1578" i="21"/>
  <c r="I1579" i="21"/>
  <c r="I1580" i="21"/>
  <c r="I1581" i="21"/>
  <c r="I1582" i="21"/>
  <c r="I1583" i="21"/>
  <c r="I1584" i="21"/>
  <c r="I1585" i="21"/>
  <c r="I1586" i="21"/>
  <c r="I1587" i="21"/>
  <c r="I1588" i="21"/>
  <c r="I1589" i="21"/>
  <c r="I1590" i="21"/>
  <c r="I1591" i="21"/>
  <c r="I1592" i="21"/>
  <c r="I1593" i="21"/>
  <c r="I1594" i="21"/>
  <c r="I1595" i="21"/>
  <c r="I1596" i="21"/>
  <c r="I1597" i="21"/>
  <c r="I1598" i="21"/>
  <c r="I1599" i="21"/>
  <c r="I1600" i="21"/>
  <c r="I25" i="21"/>
  <c r="I1601" i="21"/>
  <c r="I1602" i="21"/>
  <c r="I1603" i="21"/>
  <c r="I1604" i="21"/>
  <c r="I1605" i="21"/>
  <c r="I1606" i="21"/>
  <c r="I1607" i="21"/>
  <c r="I1608" i="21"/>
  <c r="I1609" i="21"/>
  <c r="I1610" i="21"/>
  <c r="I1614" i="21"/>
  <c r="I29" i="21"/>
  <c r="I1618" i="21"/>
  <c r="C1618" i="21"/>
  <c r="C1655" i="21"/>
  <c r="I1655" i="21"/>
  <c r="I1672" i="21"/>
  <c r="I34" i="21"/>
  <c r="C1683" i="21"/>
  <c r="D1683" i="21"/>
  <c r="I1683" i="21"/>
  <c r="C1684" i="21"/>
  <c r="D1684" i="21"/>
  <c r="I1684" i="21"/>
  <c r="I1685" i="21"/>
  <c r="D1685" i="21"/>
  <c r="C1685" i="21"/>
  <c r="D1686" i="21"/>
  <c r="C1686" i="21"/>
  <c r="I1686" i="21"/>
  <c r="I1687" i="21"/>
  <c r="D1687" i="21"/>
  <c r="C1687" i="21"/>
  <c r="C1688" i="21"/>
  <c r="D1688" i="21"/>
  <c r="I1688" i="21"/>
  <c r="C1689" i="21"/>
  <c r="I1689" i="21"/>
  <c r="D1689" i="21"/>
  <c r="D1690" i="21"/>
  <c r="I1690" i="21"/>
  <c r="C1690" i="21"/>
  <c r="D1691" i="21"/>
  <c r="I1691" i="21"/>
  <c r="C1691" i="21"/>
  <c r="C1692" i="21"/>
  <c r="I1692" i="21"/>
  <c r="D1692" i="21"/>
  <c r="D1693" i="21"/>
  <c r="C1693" i="21"/>
  <c r="I1693" i="21"/>
  <c r="C1694" i="21"/>
  <c r="I1694" i="21"/>
  <c r="D1694" i="21"/>
  <c r="D1695" i="21"/>
  <c r="I1695" i="21"/>
  <c r="C1695" i="21"/>
  <c r="D1696" i="21"/>
  <c r="I1696" i="21"/>
  <c r="C1696" i="21"/>
  <c r="I1697" i="21"/>
  <c r="C1697" i="21"/>
  <c r="D1697" i="21"/>
  <c r="I1698" i="21"/>
  <c r="D1698" i="21"/>
  <c r="C1698" i="21"/>
  <c r="I1699" i="21"/>
  <c r="C1699" i="21"/>
  <c r="D1699" i="21"/>
  <c r="I1700" i="21"/>
  <c r="C1700" i="21"/>
  <c r="D1700" i="21"/>
  <c r="I1701" i="21"/>
  <c r="C1701" i="21"/>
  <c r="D1701" i="21"/>
  <c r="D1702" i="21"/>
  <c r="C1702" i="21"/>
  <c r="I1702" i="21"/>
  <c r="D1703" i="21"/>
  <c r="I1703" i="21"/>
  <c r="C1703" i="21"/>
  <c r="I1704" i="21"/>
  <c r="C1704" i="21"/>
  <c r="D1704" i="21"/>
  <c r="D1705" i="21"/>
  <c r="I1705" i="21"/>
  <c r="C1705" i="21"/>
  <c r="D1706" i="21"/>
  <c r="I1706" i="21"/>
  <c r="C1706" i="21"/>
  <c r="C1707" i="21"/>
  <c r="I1707" i="21"/>
  <c r="D1707" i="21"/>
  <c r="I1708" i="21"/>
  <c r="D1708" i="21"/>
  <c r="C1708" i="21"/>
  <c r="D1709" i="21"/>
  <c r="I1709" i="21"/>
  <c r="C1709" i="21"/>
  <c r="I35" i="21"/>
  <c r="I1710" i="21"/>
  <c r="D1710" i="21"/>
  <c r="C1710" i="21"/>
  <c r="D1711" i="21"/>
  <c r="C1711" i="21"/>
  <c r="I1711" i="21"/>
  <c r="I1712" i="21"/>
  <c r="C1712" i="21"/>
  <c r="D1712" i="21"/>
  <c r="I1713" i="21"/>
  <c r="C1713" i="21"/>
  <c r="D1713" i="21"/>
  <c r="I1714" i="21"/>
  <c r="C1714" i="21"/>
  <c r="D1714" i="21"/>
  <c r="I1715" i="21"/>
  <c r="C1715" i="21"/>
  <c r="D1715" i="21"/>
  <c r="D1716" i="21"/>
  <c r="C1716" i="21"/>
  <c r="I1716" i="21"/>
  <c r="I1717" i="21"/>
  <c r="D1717" i="21"/>
  <c r="C1717" i="21"/>
  <c r="D1718" i="21"/>
  <c r="C1718" i="21"/>
  <c r="I1718" i="21"/>
  <c r="C1719" i="21"/>
  <c r="D1719" i="21"/>
  <c r="I1719" i="21"/>
  <c r="D1720" i="21"/>
  <c r="C1720" i="21"/>
  <c r="I1720" i="21"/>
  <c r="D1721" i="21"/>
  <c r="I1721" i="21"/>
  <c r="C1721" i="21"/>
  <c r="C1722" i="21"/>
  <c r="I1722" i="21"/>
  <c r="D1722" i="21"/>
  <c r="D1723" i="21"/>
  <c r="C1723" i="21"/>
  <c r="I1723" i="21"/>
  <c r="C1724" i="21"/>
  <c r="I1724" i="21"/>
  <c r="D1724" i="21"/>
  <c r="C1725" i="21"/>
  <c r="D1725" i="21"/>
  <c r="I1725" i="21"/>
  <c r="D1726" i="21"/>
  <c r="I1726" i="21"/>
  <c r="C1726" i="21"/>
  <c r="C1727" i="21"/>
  <c r="I1727" i="21"/>
  <c r="D1727" i="21"/>
  <c r="D1728" i="21"/>
  <c r="C1728" i="21"/>
  <c r="I1728" i="21"/>
  <c r="I1729" i="21"/>
  <c r="C1729" i="21"/>
  <c r="D1729" i="21"/>
  <c r="I1730" i="21"/>
  <c r="C1730" i="21"/>
  <c r="D1730" i="21"/>
  <c r="I1731" i="21"/>
  <c r="C1731" i="21"/>
  <c r="D1731" i="21"/>
  <c r="I1732" i="21"/>
  <c r="C1732" i="21"/>
  <c r="D1732" i="21"/>
  <c r="C1733" i="21"/>
  <c r="D1733" i="21"/>
  <c r="I1733" i="21"/>
  <c r="D1734" i="21"/>
  <c r="I1734" i="21"/>
  <c r="C1734" i="21"/>
  <c r="D1735" i="21"/>
  <c r="C1735" i="21"/>
  <c r="I1735" i="21"/>
  <c r="C1736" i="21"/>
  <c r="D1736" i="21"/>
  <c r="I1736" i="21"/>
  <c r="C1737" i="21"/>
  <c r="D1737" i="21"/>
  <c r="I1737" i="21"/>
  <c r="C1738" i="21"/>
  <c r="D1738" i="21"/>
  <c r="I1738" i="21"/>
  <c r="C1739" i="21"/>
  <c r="D1739" i="21"/>
  <c r="I1739" i="21"/>
  <c r="I1740" i="21"/>
  <c r="C1740" i="21"/>
  <c r="D1740" i="21"/>
  <c r="D1741" i="21"/>
  <c r="C1741" i="21"/>
  <c r="I1741" i="21"/>
  <c r="D1742" i="21"/>
  <c r="C1742" i="21"/>
  <c r="I1742" i="21"/>
  <c r="I1743" i="21"/>
  <c r="C1743" i="21"/>
  <c r="D1743" i="21"/>
  <c r="D1744" i="21"/>
  <c r="C1744" i="21"/>
  <c r="I1744" i="21"/>
  <c r="D1745" i="21"/>
  <c r="I1745" i="21"/>
  <c r="C1745" i="21"/>
  <c r="I1746" i="21"/>
  <c r="C1746" i="21"/>
  <c r="D1746" i="21"/>
  <c r="D1747" i="21"/>
  <c r="I1747" i="21"/>
  <c r="C1747" i="21"/>
  <c r="C1748" i="21"/>
  <c r="I1748" i="21"/>
  <c r="D1748" i="21"/>
  <c r="D1749" i="21"/>
  <c r="I1749" i="21"/>
  <c r="C1749" i="21"/>
  <c r="C1750" i="21"/>
  <c r="D1750" i="21"/>
  <c r="I1750" i="21"/>
  <c r="C1751" i="21"/>
  <c r="D1751" i="21"/>
  <c r="I1751" i="21"/>
  <c r="C1752" i="21"/>
  <c r="D1752" i="21"/>
  <c r="I1752" i="21"/>
  <c r="D1753" i="21"/>
  <c r="I1753" i="21"/>
  <c r="C1753" i="21"/>
  <c r="D1754" i="21"/>
  <c r="C1754" i="21"/>
  <c r="I1754" i="21"/>
  <c r="D1755" i="21"/>
  <c r="I1755" i="21"/>
  <c r="C1755" i="21"/>
  <c r="C1756" i="21"/>
  <c r="I1756" i="21"/>
  <c r="D1756" i="21"/>
  <c r="C1757" i="21"/>
  <c r="D1757" i="21"/>
  <c r="I1757" i="21"/>
  <c r="C1758" i="21"/>
  <c r="D1758" i="21"/>
  <c r="I1758" i="21"/>
  <c r="C1759" i="21"/>
  <c r="D1759" i="21"/>
  <c r="I1759" i="21"/>
  <c r="C1760" i="21"/>
  <c r="D1760" i="21"/>
  <c r="I1760" i="21"/>
  <c r="C1761" i="21"/>
  <c r="D1761" i="21"/>
  <c r="I1761" i="21"/>
  <c r="C1762" i="21"/>
  <c r="D1762" i="21"/>
  <c r="I1762" i="21"/>
  <c r="C1763" i="21"/>
  <c r="D1763" i="21"/>
  <c r="I1763" i="21"/>
  <c r="C1764" i="21"/>
  <c r="D1764" i="21"/>
  <c r="I1764" i="21"/>
  <c r="D1765" i="21"/>
  <c r="I1765" i="21"/>
  <c r="C1765" i="21"/>
  <c r="C1766" i="21"/>
  <c r="D1766" i="21"/>
  <c r="I1766" i="21"/>
  <c r="C1767" i="21"/>
  <c r="D1767" i="21"/>
  <c r="I1767" i="21"/>
  <c r="C1768" i="21"/>
  <c r="D1768" i="21"/>
  <c r="I1768" i="21"/>
  <c r="C1769" i="21"/>
  <c r="D1769" i="21"/>
  <c r="I1769" i="21"/>
  <c r="I1770" i="21"/>
  <c r="C1770" i="21"/>
  <c r="D1770" i="21"/>
  <c r="I1771" i="21"/>
  <c r="C1771" i="21"/>
  <c r="D1771" i="21"/>
  <c r="I1772" i="21"/>
  <c r="C1772" i="21"/>
  <c r="D1772" i="21"/>
  <c r="C1773" i="21"/>
  <c r="I1773" i="21"/>
  <c r="D1773" i="21"/>
  <c r="C1774" i="21"/>
  <c r="D1774" i="21"/>
  <c r="I1774" i="21"/>
  <c r="I1775" i="21"/>
  <c r="C1775" i="21"/>
  <c r="D1775" i="21"/>
  <c r="I1776" i="21"/>
  <c r="C1776" i="21"/>
  <c r="D1776" i="21"/>
  <c r="I1777" i="21"/>
  <c r="C1777" i="21"/>
  <c r="D1777" i="21"/>
  <c r="I1778" i="21"/>
  <c r="C1778" i="21"/>
  <c r="D1778" i="21"/>
  <c r="C1779" i="21"/>
  <c r="D1779" i="21"/>
  <c r="I1779" i="21"/>
  <c r="C1780" i="21"/>
  <c r="D1780" i="21"/>
  <c r="I1780" i="21"/>
  <c r="C1781" i="21"/>
  <c r="D1781" i="21"/>
  <c r="I1781" i="21"/>
  <c r="C1782" i="21"/>
  <c r="I1782" i="21"/>
  <c r="D1782" i="21"/>
  <c r="C1783" i="21"/>
  <c r="D1783" i="21"/>
  <c r="I1783" i="21"/>
  <c r="C1784" i="21"/>
  <c r="D1784" i="21"/>
  <c r="I1784" i="21"/>
  <c r="C1785" i="21"/>
  <c r="I1785" i="21"/>
  <c r="D1785" i="21"/>
  <c r="I1786" i="21"/>
  <c r="D1786" i="21"/>
  <c r="C1786" i="21"/>
  <c r="D1787" i="21"/>
  <c r="I1787" i="21"/>
  <c r="C1787" i="21"/>
  <c r="I1788" i="21"/>
  <c r="D1788" i="21"/>
  <c r="C1788" i="21"/>
  <c r="D1789" i="21"/>
  <c r="C1789" i="21"/>
  <c r="I1789" i="21"/>
  <c r="C1790" i="21"/>
  <c r="D1790" i="21"/>
  <c r="I1790" i="21"/>
  <c r="I1791" i="21"/>
  <c r="D1791" i="21"/>
  <c r="C1791" i="21"/>
  <c r="I1792" i="21"/>
  <c r="D1792" i="21"/>
  <c r="C1792" i="21"/>
  <c r="D1793" i="21"/>
  <c r="I1793" i="21"/>
  <c r="C1793" i="21"/>
  <c r="I1794" i="21"/>
  <c r="D1794" i="21"/>
  <c r="C1794" i="21"/>
  <c r="D1795" i="21"/>
  <c r="C1795" i="21"/>
  <c r="I1795" i="21"/>
  <c r="C1796" i="21"/>
  <c r="D1796" i="21"/>
  <c r="I1796" i="21"/>
  <c r="D1797" i="21"/>
  <c r="C1797" i="21"/>
  <c r="I1797" i="21"/>
  <c r="D1798" i="21"/>
  <c r="C1798" i="21"/>
  <c r="I1798" i="21"/>
  <c r="D1799" i="21"/>
  <c r="C1799" i="21"/>
  <c r="I1799" i="21"/>
  <c r="D1800" i="21"/>
  <c r="C1800" i="21"/>
  <c r="I1800" i="21"/>
  <c r="C1801" i="21"/>
  <c r="I1801" i="21"/>
  <c r="D1801" i="21"/>
  <c r="I1802" i="21"/>
  <c r="D1802" i="21"/>
  <c r="C1802" i="21"/>
  <c r="D1803" i="21"/>
  <c r="C1803" i="21"/>
  <c r="I1803" i="21"/>
  <c r="C1804" i="21"/>
  <c r="D1804" i="21"/>
  <c r="I1804" i="21"/>
  <c r="C1805" i="21"/>
  <c r="D1805" i="21"/>
  <c r="I1805" i="21"/>
  <c r="C1806" i="21"/>
  <c r="D1806" i="21"/>
  <c r="I1806" i="21"/>
  <c r="C1807" i="21"/>
  <c r="D1807" i="21"/>
  <c r="I1807" i="21"/>
  <c r="C1808" i="21"/>
  <c r="D1808" i="21"/>
  <c r="I1808" i="21"/>
  <c r="C1809" i="21"/>
  <c r="D1809" i="21"/>
  <c r="I1809" i="21"/>
  <c r="C1810" i="21"/>
  <c r="D1810" i="21"/>
  <c r="I1810" i="21"/>
  <c r="C1811" i="21"/>
  <c r="D1811" i="21"/>
  <c r="I1811" i="21"/>
  <c r="C1812" i="21"/>
  <c r="D1812" i="21"/>
  <c r="I1812" i="21"/>
  <c r="C1813" i="21"/>
  <c r="D1813" i="21"/>
  <c r="I1813" i="21"/>
  <c r="D1814" i="21"/>
  <c r="C1814" i="21"/>
  <c r="I1814" i="21"/>
  <c r="D1815" i="21"/>
  <c r="C1815" i="21"/>
  <c r="I1815" i="21"/>
  <c r="C1816" i="21"/>
  <c r="I1816" i="21"/>
  <c r="D1816" i="21"/>
  <c r="C1817" i="21"/>
  <c r="D1817" i="21"/>
  <c r="I1817" i="21"/>
  <c r="C1818" i="21"/>
  <c r="D1818" i="21"/>
  <c r="I1818" i="21"/>
  <c r="C1819" i="21"/>
  <c r="D1819" i="21"/>
  <c r="I1819" i="21"/>
  <c r="D1820" i="21"/>
  <c r="C1820" i="21"/>
  <c r="I1820" i="21"/>
  <c r="C1821" i="21"/>
  <c r="D1821" i="21"/>
  <c r="I1821" i="21"/>
  <c r="C1822" i="21"/>
  <c r="D1822" i="21"/>
  <c r="I1822" i="21"/>
  <c r="C1823" i="21"/>
  <c r="D1823" i="21"/>
  <c r="I1823" i="21"/>
  <c r="C1824" i="21"/>
  <c r="D1824" i="21"/>
  <c r="I1824" i="21"/>
  <c r="C1825" i="21"/>
  <c r="I1825" i="21"/>
  <c r="D1825" i="21"/>
  <c r="D1826" i="21"/>
  <c r="C1826" i="21"/>
  <c r="I1826" i="21"/>
  <c r="C1827" i="21"/>
  <c r="D1827" i="21"/>
  <c r="I1827" i="21"/>
  <c r="C1828" i="21"/>
  <c r="D1828" i="21"/>
  <c r="I1828" i="21"/>
  <c r="D1829" i="21"/>
  <c r="C1829" i="21"/>
  <c r="I1829" i="21"/>
  <c r="D1830" i="21"/>
  <c r="I1830" i="21"/>
  <c r="C1830" i="21"/>
  <c r="C1831" i="21"/>
  <c r="D1831" i="21"/>
  <c r="I1831" i="21"/>
  <c r="C1832" i="21"/>
  <c r="D1832" i="21"/>
  <c r="I1832" i="21"/>
  <c r="C1833" i="21"/>
  <c r="D1833" i="21"/>
  <c r="I1833" i="21"/>
  <c r="I1834" i="21"/>
  <c r="C1834" i="21"/>
  <c r="D1834" i="21"/>
  <c r="C1835" i="21"/>
  <c r="D1835" i="21"/>
  <c r="I1835" i="21"/>
  <c r="I1836" i="21"/>
  <c r="D1836" i="21"/>
  <c r="C1836" i="21"/>
  <c r="D1837" i="21"/>
  <c r="I1837" i="21"/>
  <c r="C1837" i="21"/>
  <c r="C1838" i="21"/>
  <c r="D1838" i="21"/>
  <c r="I1838" i="21"/>
  <c r="C1839" i="21"/>
  <c r="D1839" i="21"/>
  <c r="I1839" i="21"/>
  <c r="D1840" i="21"/>
  <c r="I1840" i="21"/>
  <c r="C1840" i="21"/>
  <c r="D1841" i="21"/>
  <c r="I1841" i="21"/>
  <c r="C1841" i="21"/>
  <c r="D1842" i="21"/>
  <c r="I1842" i="21"/>
  <c r="C1842" i="21"/>
  <c r="I1843" i="21"/>
  <c r="C1843" i="21"/>
  <c r="D1843" i="21"/>
  <c r="C1844" i="21"/>
  <c r="D1844" i="21"/>
  <c r="I1844" i="21"/>
  <c r="C1845" i="21"/>
  <c r="I1845" i="21"/>
  <c r="D1845" i="21"/>
  <c r="I1846" i="21"/>
  <c r="C1846" i="21"/>
  <c r="D1846" i="21"/>
  <c r="I1847" i="21"/>
  <c r="C1847" i="21"/>
  <c r="D1847" i="21"/>
  <c r="C1848" i="21"/>
  <c r="D1848" i="21"/>
  <c r="D1849" i="21"/>
  <c r="I1849" i="21"/>
  <c r="C1849" i="21"/>
  <c r="C1850" i="21"/>
  <c r="I1850" i="21"/>
  <c r="D1850" i="21"/>
  <c r="C1851" i="21"/>
  <c r="I1851" i="21"/>
  <c r="D1851" i="21"/>
  <c r="D1852" i="21"/>
  <c r="C1852" i="21"/>
  <c r="I1852" i="21"/>
  <c r="D1853" i="21"/>
  <c r="I1853" i="21"/>
  <c r="C1853" i="21"/>
  <c r="D1854" i="21"/>
  <c r="I1854" i="21"/>
  <c r="C1854" i="21"/>
  <c r="C1855" i="21"/>
  <c r="D1855" i="21"/>
  <c r="I1855" i="21"/>
  <c r="I1856" i="21"/>
  <c r="C1856" i="21"/>
  <c r="D1856" i="21"/>
  <c r="C1857" i="21"/>
  <c r="D1857" i="21"/>
  <c r="I1857" i="21"/>
  <c r="I1858" i="21"/>
  <c r="C1858" i="21"/>
  <c r="D1858" i="21"/>
  <c r="I1859" i="21"/>
  <c r="C1859" i="21"/>
  <c r="D1859" i="21"/>
  <c r="I1860" i="21"/>
  <c r="C1860" i="21"/>
  <c r="D1860" i="21"/>
  <c r="I1861" i="21"/>
  <c r="C1861" i="21"/>
  <c r="D1861" i="21"/>
  <c r="D1862" i="21"/>
  <c r="C1862" i="21"/>
  <c r="I1862" i="21"/>
  <c r="D1863" i="21"/>
  <c r="C1863" i="21"/>
  <c r="I1863" i="21"/>
  <c r="D1864" i="21"/>
  <c r="C1864" i="21"/>
  <c r="I1864" i="21"/>
  <c r="D1865" i="21"/>
  <c r="I1865" i="21"/>
  <c r="C1865" i="21"/>
  <c r="D1866" i="21"/>
  <c r="I1866" i="21"/>
  <c r="C1866" i="21"/>
  <c r="D1867" i="21"/>
  <c r="I1867" i="21"/>
  <c r="C1867" i="21"/>
  <c r="D1868" i="21"/>
  <c r="C1868" i="21"/>
  <c r="I1868" i="21"/>
  <c r="I1869" i="21"/>
  <c r="D1869" i="21"/>
  <c r="C1869" i="21"/>
  <c r="C1870" i="21"/>
  <c r="D1870" i="21"/>
  <c r="I1870" i="21"/>
  <c r="I1871" i="21"/>
  <c r="C1871" i="21"/>
  <c r="D1871" i="21"/>
  <c r="I1872" i="21"/>
  <c r="D1872" i="21"/>
  <c r="C1872" i="21"/>
  <c r="C1873" i="21"/>
  <c r="I1873" i="21"/>
  <c r="D1873" i="21"/>
  <c r="I1874" i="21"/>
  <c r="C1874" i="21"/>
  <c r="D1874" i="21"/>
  <c r="D1875" i="21"/>
  <c r="I1875" i="21"/>
  <c r="C1875" i="21"/>
  <c r="I1876" i="21"/>
  <c r="C1876" i="21"/>
  <c r="D1876" i="21"/>
  <c r="I1877" i="21"/>
  <c r="C1877" i="21"/>
  <c r="D1877" i="21"/>
  <c r="I1878" i="21"/>
  <c r="C1878" i="21"/>
  <c r="D1878" i="21"/>
  <c r="D1879" i="21"/>
  <c r="C1879" i="21"/>
  <c r="I1879" i="21"/>
  <c r="D1880" i="21"/>
  <c r="C1880" i="21"/>
  <c r="I1880" i="21"/>
  <c r="D1881" i="21"/>
  <c r="I1881" i="21"/>
  <c r="C1881" i="21"/>
  <c r="D1882" i="21"/>
  <c r="C1882" i="21"/>
  <c r="I1882" i="21"/>
  <c r="D1883" i="21"/>
  <c r="I1883" i="21"/>
  <c r="C1883" i="21"/>
  <c r="D1884" i="21"/>
  <c r="I1884" i="21"/>
  <c r="C1884" i="21"/>
  <c r="D1885" i="21"/>
  <c r="I1885" i="21"/>
  <c r="C1885" i="21"/>
  <c r="D1886" i="21"/>
  <c r="C1886" i="21"/>
  <c r="I1886" i="21"/>
  <c r="D1887" i="21"/>
  <c r="I1887" i="21"/>
  <c r="C1887" i="21"/>
  <c r="D1888" i="21"/>
  <c r="C1888" i="21"/>
  <c r="I1888" i="21"/>
  <c r="I1889" i="21"/>
  <c r="D1889" i="21"/>
  <c r="C1889" i="21"/>
  <c r="D1890" i="21"/>
  <c r="I1890" i="21"/>
  <c r="C1890" i="21"/>
  <c r="C1891" i="21"/>
  <c r="I1891" i="21"/>
  <c r="D1891" i="21"/>
  <c r="D1892" i="21"/>
  <c r="I1892" i="21"/>
  <c r="C1892" i="21"/>
  <c r="C1893" i="21"/>
  <c r="D1893" i="21"/>
  <c r="I1893" i="21"/>
  <c r="D1894" i="21"/>
  <c r="C1894" i="21"/>
  <c r="I1894" i="21"/>
  <c r="D1895" i="21"/>
  <c r="I1895" i="21"/>
  <c r="C1895" i="21"/>
  <c r="I1896" i="21"/>
  <c r="D1896" i="21"/>
  <c r="C1896" i="21"/>
  <c r="D1897" i="21"/>
  <c r="I1897" i="21"/>
  <c r="C1897" i="21"/>
  <c r="I1898" i="21"/>
  <c r="C1898" i="21"/>
  <c r="D1898" i="21"/>
  <c r="C1899" i="21"/>
  <c r="D1899" i="21"/>
  <c r="I1899" i="21"/>
  <c r="I1900" i="21"/>
  <c r="D1900" i="21"/>
  <c r="C1900" i="21"/>
  <c r="D1901" i="21"/>
  <c r="I1901" i="21"/>
  <c r="C1901" i="21"/>
  <c r="D1902" i="21"/>
  <c r="C1902" i="21"/>
  <c r="I1902" i="21"/>
  <c r="D1903" i="21"/>
  <c r="C1903" i="21"/>
  <c r="I1903" i="21"/>
  <c r="C1904" i="21"/>
  <c r="D1904" i="21"/>
  <c r="I1904" i="21"/>
  <c r="C1905" i="21"/>
  <c r="I1905" i="21"/>
  <c r="D1905" i="21"/>
  <c r="C1906" i="21"/>
  <c r="I1906" i="21"/>
  <c r="D1906" i="21"/>
  <c r="I1907" i="21"/>
  <c r="C1907" i="21"/>
  <c r="D1907" i="21"/>
  <c r="D1908" i="21"/>
  <c r="C1908" i="21"/>
  <c r="I1908" i="21"/>
  <c r="D1909" i="21"/>
  <c r="C1909" i="21"/>
  <c r="I1909" i="21"/>
  <c r="D1910" i="21"/>
  <c r="I1910" i="21"/>
  <c r="C1910" i="21"/>
  <c r="D1911" i="21"/>
  <c r="C1911" i="21"/>
  <c r="I1911" i="21"/>
  <c r="C1912" i="21"/>
  <c r="D1912" i="21"/>
  <c r="I1912" i="21"/>
  <c r="I1913" i="21"/>
  <c r="C1913" i="21"/>
  <c r="D1913" i="21"/>
  <c r="D1914" i="21"/>
  <c r="C1914" i="21"/>
  <c r="I1914" i="21"/>
  <c r="I1915" i="21"/>
  <c r="D1915" i="21"/>
  <c r="C1915" i="21"/>
  <c r="I1916" i="21"/>
  <c r="C1916" i="21"/>
  <c r="D1916" i="21"/>
  <c r="I1917" i="21"/>
  <c r="C1917" i="21"/>
  <c r="D1917" i="21"/>
  <c r="C1918" i="21"/>
  <c r="D1918" i="21"/>
  <c r="I1918" i="21"/>
  <c r="D1919" i="21"/>
  <c r="C1919" i="21"/>
  <c r="I1919" i="21"/>
  <c r="I1920" i="21"/>
  <c r="C1920" i="21"/>
  <c r="D1920" i="21"/>
  <c r="D1921" i="21"/>
  <c r="C1921" i="21"/>
  <c r="I1921" i="21"/>
  <c r="D1922" i="21"/>
  <c r="C1922" i="21"/>
  <c r="I1922" i="21"/>
  <c r="D1923" i="21"/>
  <c r="C1923" i="21"/>
  <c r="I1923" i="21"/>
  <c r="C1924" i="21"/>
  <c r="D1924" i="21"/>
  <c r="I1924" i="21"/>
  <c r="C1925" i="21"/>
  <c r="I1925" i="21"/>
  <c r="D1925" i="21"/>
  <c r="I1926" i="21"/>
  <c r="C1926" i="21"/>
  <c r="D1926" i="21"/>
  <c r="C1927" i="21"/>
  <c r="I1927" i="21"/>
  <c r="D1927" i="21"/>
  <c r="I1928" i="21"/>
  <c r="D1928" i="21"/>
  <c r="C1928" i="21"/>
  <c r="D1929" i="21"/>
  <c r="I1929" i="21"/>
  <c r="C1929" i="21"/>
  <c r="C1930" i="21"/>
  <c r="I1930" i="21"/>
  <c r="D1930" i="21"/>
  <c r="D1931" i="21"/>
  <c r="I1931" i="21"/>
  <c r="C1931" i="21"/>
  <c r="D1932" i="21"/>
  <c r="C1932" i="21"/>
  <c r="I1932" i="21"/>
  <c r="C1933" i="21"/>
  <c r="I1933" i="21"/>
  <c r="D1933" i="21"/>
  <c r="I1934" i="21"/>
  <c r="D1934" i="21"/>
  <c r="C1934" i="21"/>
  <c r="C1935" i="21"/>
  <c r="I1935" i="21"/>
  <c r="D1935" i="21"/>
  <c r="C1936" i="21"/>
  <c r="D1936" i="21"/>
  <c r="I1936" i="21"/>
  <c r="I1937" i="21"/>
  <c r="C1937" i="21"/>
  <c r="D1937" i="21"/>
  <c r="D1938" i="21"/>
  <c r="I1938" i="21"/>
  <c r="C1938" i="21"/>
  <c r="D1939" i="21"/>
  <c r="I1939" i="21"/>
  <c r="C1939" i="21"/>
  <c r="D1940" i="21"/>
  <c r="I1940" i="21"/>
  <c r="C1940" i="21"/>
  <c r="I1941" i="21"/>
  <c r="C1941" i="21"/>
  <c r="D1941" i="21"/>
  <c r="C1942" i="21"/>
  <c r="I1942" i="21"/>
  <c r="D1942" i="21"/>
  <c r="D1943" i="21"/>
  <c r="C1943" i="21"/>
  <c r="I1943" i="21"/>
  <c r="I1944" i="21"/>
  <c r="D1944" i="21"/>
  <c r="C1944" i="21"/>
  <c r="D1945" i="21"/>
  <c r="I1945" i="21"/>
  <c r="C1945" i="21"/>
  <c r="C1946" i="21"/>
  <c r="I1946" i="21"/>
  <c r="D1946" i="21"/>
  <c r="C1947" i="21"/>
  <c r="I1947" i="21"/>
  <c r="D1947" i="21"/>
  <c r="I1948" i="21"/>
  <c r="C1948" i="21"/>
  <c r="D1948" i="21"/>
  <c r="I1949" i="21"/>
  <c r="C1949" i="21"/>
  <c r="D1949" i="21"/>
  <c r="C1950" i="21"/>
  <c r="D1950" i="21"/>
  <c r="I1950" i="21"/>
  <c r="D1951" i="21"/>
  <c r="I1951" i="21"/>
  <c r="C1951" i="21"/>
  <c r="C1952" i="21"/>
  <c r="I1952" i="21"/>
  <c r="D1952" i="21"/>
  <c r="C1953" i="21"/>
  <c r="I1953" i="21"/>
  <c r="D1953" i="21"/>
  <c r="D1954" i="21"/>
  <c r="C1954" i="21"/>
  <c r="I1954" i="21"/>
  <c r="D1955" i="21"/>
  <c r="C1955" i="21"/>
  <c r="I1955" i="21"/>
  <c r="D1956" i="21"/>
  <c r="C1956" i="21"/>
  <c r="I1956" i="21"/>
  <c r="I1957" i="21"/>
  <c r="C1957" i="21"/>
  <c r="D1957" i="21"/>
  <c r="C1958" i="21"/>
  <c r="D1958" i="21"/>
  <c r="I1958" i="21"/>
  <c r="I1959" i="21"/>
  <c r="C1959" i="21"/>
  <c r="D1959" i="21"/>
  <c r="C1960" i="21"/>
  <c r="I1960" i="21"/>
  <c r="D1960" i="21"/>
  <c r="C1961" i="21"/>
  <c r="I1961" i="21"/>
  <c r="D1961" i="21"/>
  <c r="C1962" i="21"/>
  <c r="I1962" i="21"/>
  <c r="D1962" i="21"/>
  <c r="D1963" i="21"/>
  <c r="C1963" i="21"/>
  <c r="I1963" i="21"/>
  <c r="I1964" i="21"/>
  <c r="D1964" i="21"/>
  <c r="C1964" i="21"/>
  <c r="I1965" i="21"/>
  <c r="D1965" i="21"/>
  <c r="C1965" i="21"/>
  <c r="C1966" i="21"/>
  <c r="D1966" i="21"/>
  <c r="I1966" i="21"/>
  <c r="D1967" i="21"/>
  <c r="I1967" i="21"/>
  <c r="C1967" i="21"/>
  <c r="C1968" i="21"/>
  <c r="I1968" i="21"/>
  <c r="D1968" i="21"/>
  <c r="I1969" i="21"/>
  <c r="D1969" i="21"/>
  <c r="C1969" i="21"/>
  <c r="D1970" i="21"/>
  <c r="I1970" i="21"/>
  <c r="C1970" i="21"/>
  <c r="I1971" i="21"/>
  <c r="C1971" i="21"/>
  <c r="D1971" i="21"/>
  <c r="I1972" i="21"/>
  <c r="C1972" i="21"/>
  <c r="D1972" i="21"/>
  <c r="D1973" i="21"/>
  <c r="C1973" i="21"/>
  <c r="I1973" i="21"/>
  <c r="I1974" i="21"/>
  <c r="C1974" i="21"/>
  <c r="D1974" i="21"/>
  <c r="D1975" i="21"/>
  <c r="C1975" i="21"/>
  <c r="I1975" i="21"/>
  <c r="C1976" i="21"/>
  <c r="I1976" i="21"/>
  <c r="D1976" i="21"/>
  <c r="D1977" i="21"/>
  <c r="C1977" i="21"/>
  <c r="I1977" i="21"/>
  <c r="I1978" i="21"/>
  <c r="C1978" i="21"/>
  <c r="D1978" i="21"/>
  <c r="I1979" i="21"/>
  <c r="D1979" i="21"/>
  <c r="C1979" i="21"/>
  <c r="D1980" i="21"/>
  <c r="I1980" i="21"/>
  <c r="C1980" i="21"/>
  <c r="D1981" i="21"/>
  <c r="I1981" i="21"/>
  <c r="C1981" i="21"/>
  <c r="D1982" i="21"/>
  <c r="I1982" i="21"/>
  <c r="C1982" i="21"/>
  <c r="D1983" i="21"/>
  <c r="I1983" i="21"/>
  <c r="C1983" i="21"/>
  <c r="D1984" i="21"/>
  <c r="I1984" i="21"/>
  <c r="C1984" i="21"/>
  <c r="D1985" i="21"/>
  <c r="I1985" i="21"/>
  <c r="C1985" i="21"/>
  <c r="D1986" i="21"/>
  <c r="I1986" i="21"/>
  <c r="C1986" i="21"/>
  <c r="D1987" i="21"/>
  <c r="I1987" i="21"/>
  <c r="C1987" i="21"/>
  <c r="D1988" i="21"/>
  <c r="C1988" i="21"/>
  <c r="I1988" i="21"/>
  <c r="D1989" i="21"/>
  <c r="I1989" i="21"/>
  <c r="C1989" i="21"/>
  <c r="D1990" i="21"/>
  <c r="I1990" i="21"/>
  <c r="C1990" i="21"/>
  <c r="D1991" i="21"/>
  <c r="I1991" i="21"/>
  <c r="C1991" i="21"/>
  <c r="D1992" i="21"/>
  <c r="I1992" i="21"/>
  <c r="C1992" i="21"/>
  <c r="D1993" i="21"/>
  <c r="C1993" i="21"/>
  <c r="I1993" i="21"/>
  <c r="D1994" i="21"/>
  <c r="I1994" i="21"/>
  <c r="C1994" i="21"/>
  <c r="D1995" i="21"/>
  <c r="I1995" i="21"/>
  <c r="C1995" i="21"/>
  <c r="D1996" i="21"/>
  <c r="I1996" i="21"/>
  <c r="C1996" i="21"/>
  <c r="C1997" i="21"/>
  <c r="D1997" i="21"/>
  <c r="I1997" i="21"/>
  <c r="D1998" i="21"/>
  <c r="C1998" i="21"/>
  <c r="I1998" i="21"/>
  <c r="D1999" i="21"/>
  <c r="I1999" i="21"/>
  <c r="C1999" i="21"/>
  <c r="I39" i="21"/>
  <c r="D2000" i="21"/>
  <c r="C2000" i="21"/>
  <c r="I2000" i="21"/>
  <c r="C2001" i="21"/>
  <c r="I2001" i="21"/>
  <c r="D2001" i="21"/>
  <c r="D2002" i="21"/>
  <c r="I2002" i="21"/>
  <c r="C2002" i="21"/>
  <c r="D2003" i="21"/>
  <c r="I2003" i="21"/>
  <c r="C2003" i="21"/>
  <c r="D2004" i="21"/>
  <c r="I2004" i="21"/>
  <c r="C2004" i="21"/>
  <c r="D2005" i="21"/>
  <c r="I2005" i="21"/>
  <c r="C2005" i="21"/>
  <c r="D2006" i="21"/>
  <c r="I2006" i="21"/>
  <c r="C2006" i="21"/>
  <c r="D2007" i="21"/>
  <c r="I2007" i="21"/>
  <c r="C2007" i="21"/>
  <c r="D2008" i="21"/>
  <c r="I2008" i="21"/>
  <c r="C2008" i="21"/>
  <c r="D2009" i="21"/>
  <c r="I2009" i="21"/>
  <c r="C2009" i="21"/>
  <c r="D2010" i="21"/>
  <c r="I2010" i="21"/>
  <c r="C2010" i="21"/>
  <c r="M45" i="13" a="1"/>
  <c r="N45" i="13" s="1"/>
  <c r="I45" i="13" a="1"/>
  <c r="J45" i="13" s="1"/>
  <c r="M49" i="13" a="1"/>
  <c r="N49" i="13" s="1"/>
  <c r="I49" i="13" a="1"/>
  <c r="J49" i="13" s="1"/>
  <c r="M53" i="13" a="1"/>
  <c r="N53" i="13" s="1"/>
  <c r="I53" i="13" a="1"/>
  <c r="J53" i="13" s="1"/>
  <c r="M56" i="13" a="1"/>
  <c r="N56" i="13" s="1"/>
  <c r="I56" i="13" a="1"/>
  <c r="J56" i="13" s="1"/>
  <c r="I57" i="13" a="1"/>
  <c r="J57" i="13" s="1"/>
  <c r="M57" i="13" a="1"/>
  <c r="N57" i="13" s="1"/>
  <c r="I58" i="13" a="1"/>
  <c r="J58" i="13" s="1"/>
  <c r="M58" i="13" a="1"/>
  <c r="N58" i="13" s="1"/>
  <c r="M100" i="13" a="1"/>
  <c r="N100" i="13" s="1"/>
  <c r="I100" i="13" a="1"/>
  <c r="J100" i="13" s="1"/>
  <c r="M101" i="13" a="1"/>
  <c r="N101" i="13" s="1"/>
  <c r="I101" i="13" a="1"/>
  <c r="J101" i="13" s="1"/>
  <c r="M157" i="13" a="1"/>
  <c r="N157" i="13" s="1"/>
  <c r="I157" i="13" a="1"/>
  <c r="J157" i="13" s="1"/>
  <c r="M178" i="13" a="1"/>
  <c r="N178" i="13" s="1"/>
  <c r="I178" i="13" a="1"/>
  <c r="J178" i="13" s="1"/>
  <c r="X492" i="13"/>
  <c r="H441" i="3" s="1"/>
  <c r="V492" i="13"/>
  <c r="M234" i="13" a="1"/>
  <c r="N234" i="13" s="1"/>
  <c r="I249" i="13" a="1"/>
  <c r="J249" i="13" s="1"/>
  <c r="M244" i="13" a="1"/>
  <c r="N244" i="13" s="1"/>
  <c r="M237" i="13" a="1"/>
  <c r="N237" i="13" s="1"/>
  <c r="M251" i="13" a="1"/>
  <c r="M249" i="13" a="1"/>
  <c r="I244" i="13" a="1"/>
  <c r="J244" i="13" s="1"/>
  <c r="I237" i="13" a="1"/>
  <c r="J237" i="13" s="1"/>
  <c r="I251" i="13" a="1"/>
  <c r="J251" i="13" s="1"/>
  <c r="I234" i="13" a="1"/>
  <c r="J234" i="13" s="1"/>
  <c r="M236" i="13" a="1"/>
  <c r="N236" i="13" s="1"/>
  <c r="I236" i="13" a="1"/>
  <c r="J236" i="13" s="1"/>
  <c r="I246" i="13" a="1"/>
  <c r="J246" i="13" s="1"/>
  <c r="M246" i="13" a="1"/>
  <c r="N246" i="13" s="1"/>
  <c r="I46" i="13" a="1"/>
  <c r="J46" i="13" s="1"/>
  <c r="I73" i="13" a="1"/>
  <c r="J73" i="13" s="1"/>
  <c r="M73" i="13" a="1"/>
  <c r="N73" i="13" s="1"/>
  <c r="I184" i="13" a="1"/>
  <c r="J184" i="13" s="1"/>
  <c r="M184" i="13" a="1"/>
  <c r="N184" i="13" s="1"/>
  <c r="I191" i="13" a="1"/>
  <c r="J191" i="13" s="1"/>
  <c r="M191" i="13" a="1"/>
  <c r="N191" i="13" s="1"/>
  <c r="I192" i="13" a="1"/>
  <c r="J192" i="13" s="1"/>
  <c r="M192" i="13" a="1"/>
  <c r="N192" i="13" s="1"/>
  <c r="Z252" i="13"/>
  <c r="I252" i="13" a="1"/>
  <c r="J252" i="13" s="1"/>
  <c r="I239" i="13" a="1"/>
  <c r="J239" i="13" s="1"/>
  <c r="M252" i="13" a="1"/>
  <c r="N252" i="13" s="1"/>
  <c r="M239" i="13" a="1"/>
  <c r="N239" i="13" s="1"/>
  <c r="M5" i="13" a="1"/>
  <c r="N5" i="13" s="1"/>
  <c r="M160" i="13" a="1"/>
  <c r="N160" i="13" s="1"/>
  <c r="I160" i="13" a="1"/>
  <c r="J160" i="13" s="1"/>
  <c r="I143" i="13" a="1"/>
  <c r="J143" i="13" s="1"/>
  <c r="I135" i="13" a="1"/>
  <c r="J135" i="13" s="1"/>
  <c r="I132" i="13" a="1"/>
  <c r="J132" i="13" s="1"/>
  <c r="I144" i="13" a="1"/>
  <c r="J144" i="13" s="1"/>
  <c r="M141" i="13" a="1"/>
  <c r="N141" i="13" s="1"/>
  <c r="M137" i="13" a="1"/>
  <c r="N137" i="13" s="1"/>
  <c r="I142" i="13" a="1"/>
  <c r="J142" i="13" s="1"/>
  <c r="M140" i="13" a="1"/>
  <c r="N140" i="13" s="1"/>
  <c r="M131" i="13" a="1"/>
  <c r="N131" i="13" s="1"/>
  <c r="M143" i="13" a="1"/>
  <c r="N143" i="13" s="1"/>
  <c r="I140" i="13" a="1"/>
  <c r="J140" i="13" s="1"/>
  <c r="M132" i="13" a="1"/>
  <c r="N132" i="13" s="1"/>
  <c r="I141" i="13" a="1"/>
  <c r="J141" i="13" s="1"/>
  <c r="M144" i="13" a="1"/>
  <c r="N144" i="13" s="1"/>
  <c r="I137" i="13" a="1"/>
  <c r="J137" i="13" s="1"/>
  <c r="M142" i="13" a="1"/>
  <c r="N142" i="13" s="1"/>
  <c r="M135" i="13" a="1"/>
  <c r="N135" i="13" s="1"/>
  <c r="I131" i="13" a="1"/>
  <c r="J131" i="13" s="1"/>
  <c r="Y412" i="13" a="1"/>
  <c r="M168" i="13" a="1"/>
  <c r="N168" i="13" s="1"/>
  <c r="I168" i="13" a="1"/>
  <c r="J168" i="13" s="1"/>
  <c r="I170" i="13" a="1"/>
  <c r="J170" i="13" s="1"/>
  <c r="M170" i="13" a="1"/>
  <c r="N170" i="13" s="1"/>
  <c r="Z263" i="13"/>
  <c r="I265" i="13" a="1"/>
  <c r="J265" i="13" s="1"/>
  <c r="Z265" i="13"/>
  <c r="Z269" i="13"/>
  <c r="Z275" i="13"/>
  <c r="Z279" i="13"/>
  <c r="Z281" i="13"/>
  <c r="Z283" i="13"/>
  <c r="G3" i="11"/>
  <c r="G4" i="11"/>
  <c r="G104" i="11"/>
  <c r="G7" i="11"/>
  <c r="G8" i="11"/>
  <c r="G9" i="11"/>
  <c r="G10" i="11"/>
  <c r="G11" i="11"/>
  <c r="G12" i="11"/>
  <c r="G13" i="11"/>
  <c r="G15" i="11"/>
  <c r="G16" i="11"/>
  <c r="G17" i="11"/>
  <c r="G18" i="11"/>
  <c r="G19" i="11"/>
  <c r="G20" i="11"/>
  <c r="G21" i="11"/>
  <c r="G23" i="11"/>
  <c r="G24" i="11"/>
  <c r="G26" i="11"/>
  <c r="G27" i="11"/>
  <c r="G28" i="11"/>
  <c r="G29" i="11"/>
  <c r="G30" i="11"/>
  <c r="G31" i="11"/>
  <c r="G33" i="11"/>
  <c r="G34" i="11"/>
  <c r="G37" i="11"/>
  <c r="G35" i="11"/>
  <c r="G36" i="11"/>
  <c r="G38" i="11"/>
  <c r="G40" i="11"/>
  <c r="G41" i="11"/>
  <c r="G43" i="11"/>
  <c r="G44" i="11"/>
  <c r="G45" i="11"/>
  <c r="G47" i="11"/>
  <c r="G48" i="11"/>
  <c r="G49" i="11"/>
  <c r="G51" i="11"/>
  <c r="G52" i="11"/>
  <c r="G53" i="11"/>
  <c r="G54" i="11"/>
  <c r="G55" i="11"/>
  <c r="G56" i="11"/>
  <c r="G57" i="11"/>
  <c r="G58" i="11"/>
  <c r="G59" i="11"/>
  <c r="G60" i="11"/>
  <c r="G62" i="11"/>
  <c r="G63" i="11"/>
  <c r="G64" i="11"/>
  <c r="G65" i="11"/>
  <c r="G66" i="11"/>
  <c r="G68" i="11"/>
  <c r="G69" i="11"/>
  <c r="G70" i="11"/>
  <c r="G71" i="11"/>
  <c r="G72" i="11"/>
  <c r="G73" i="11"/>
  <c r="G75" i="11"/>
  <c r="G76" i="11"/>
  <c r="G77" i="11"/>
  <c r="G78" i="11"/>
  <c r="G79" i="11"/>
  <c r="G80" i="11"/>
  <c r="G81" i="11"/>
  <c r="G82" i="11"/>
  <c r="G83" i="11"/>
  <c r="G84" i="11"/>
  <c r="G85" i="11"/>
  <c r="G87" i="11"/>
  <c r="G88" i="11"/>
  <c r="G89" i="11"/>
  <c r="G90" i="11"/>
  <c r="G91" i="11"/>
  <c r="G92" i="11"/>
  <c r="G93" i="11"/>
  <c r="G95" i="11"/>
  <c r="G96" i="11"/>
  <c r="G97" i="11"/>
  <c r="G99" i="11"/>
  <c r="G100" i="11"/>
  <c r="G6" i="11"/>
  <c r="G101" i="11"/>
  <c r="G102" i="11"/>
  <c r="G105" i="11"/>
  <c r="G106" i="11"/>
  <c r="G108" i="11"/>
  <c r="G109" i="11"/>
  <c r="G110" i="11"/>
  <c r="G111" i="11"/>
  <c r="G112" i="11"/>
  <c r="G113" i="11"/>
  <c r="G115" i="11"/>
  <c r="G116" i="11"/>
  <c r="G117" i="11"/>
  <c r="G118" i="11"/>
  <c r="G119" i="11"/>
  <c r="G120" i="11"/>
  <c r="G121" i="11"/>
  <c r="G123" i="11"/>
  <c r="G124" i="11"/>
  <c r="G126" i="11"/>
  <c r="G127" i="11"/>
  <c r="G128" i="11"/>
  <c r="G129" i="11"/>
  <c r="G130" i="11"/>
  <c r="H3" i="11"/>
  <c r="H4" i="11"/>
  <c r="H6" i="11"/>
  <c r="H7" i="11"/>
  <c r="H8" i="11"/>
  <c r="H9" i="11"/>
  <c r="H10" i="11"/>
  <c r="H11" i="11"/>
  <c r="H12" i="11"/>
  <c r="H13" i="11"/>
  <c r="H15" i="11"/>
  <c r="H16" i="11"/>
  <c r="H17" i="11"/>
  <c r="H18" i="11"/>
  <c r="H19" i="11"/>
  <c r="H20" i="11"/>
  <c r="H21" i="11"/>
  <c r="H23" i="11"/>
  <c r="H24" i="11"/>
  <c r="H26" i="11"/>
  <c r="H27" i="11"/>
  <c r="H28" i="11"/>
  <c r="H29" i="11"/>
  <c r="H30" i="11"/>
  <c r="H31" i="11"/>
  <c r="H33" i="11"/>
  <c r="H34" i="11"/>
  <c r="H36" i="11"/>
  <c r="H37" i="11"/>
  <c r="H38" i="11"/>
  <c r="H40" i="11"/>
  <c r="H41" i="11"/>
  <c r="H43" i="11"/>
  <c r="H44" i="11"/>
  <c r="H45" i="11"/>
  <c r="H47" i="11"/>
  <c r="H48" i="11"/>
  <c r="H49" i="11"/>
  <c r="H51" i="11"/>
  <c r="H52" i="11"/>
  <c r="H53" i="11"/>
  <c r="H54" i="11"/>
  <c r="H55" i="11"/>
  <c r="H56" i="11"/>
  <c r="H57" i="11"/>
  <c r="H58" i="11"/>
  <c r="H59" i="11"/>
  <c r="H60" i="11"/>
  <c r="H62" i="11"/>
  <c r="H63" i="11"/>
  <c r="H64" i="11"/>
  <c r="H65" i="11"/>
  <c r="H66" i="11"/>
  <c r="H68" i="11"/>
  <c r="H69" i="11"/>
  <c r="H70" i="11"/>
  <c r="H71" i="11"/>
  <c r="H72" i="11"/>
  <c r="H73" i="11"/>
  <c r="H75" i="11"/>
  <c r="H76" i="11"/>
  <c r="H77" i="11"/>
  <c r="H78" i="11"/>
  <c r="H79" i="11"/>
  <c r="H80" i="11"/>
  <c r="H81" i="11"/>
  <c r="H82" i="11"/>
  <c r="H83" i="11"/>
  <c r="H84" i="11"/>
  <c r="H85" i="11"/>
  <c r="H87" i="11"/>
  <c r="H88" i="11"/>
  <c r="H89" i="11"/>
  <c r="H90" i="11"/>
  <c r="H91" i="11"/>
  <c r="H92" i="11"/>
  <c r="H93" i="11"/>
  <c r="H95" i="11"/>
  <c r="H96" i="11"/>
  <c r="H97" i="11"/>
  <c r="H99" i="11"/>
  <c r="H100" i="11"/>
  <c r="H102" i="11"/>
  <c r="H104" i="11"/>
  <c r="H105" i="11"/>
  <c r="H106" i="11"/>
  <c r="H108" i="11"/>
  <c r="H109" i="11"/>
  <c r="H110" i="11"/>
  <c r="H111" i="11"/>
  <c r="H112" i="11"/>
  <c r="H113" i="11"/>
  <c r="H115" i="11"/>
  <c r="H116" i="11"/>
  <c r="H117" i="11"/>
  <c r="H118" i="11"/>
  <c r="H119" i="11"/>
  <c r="H120" i="11"/>
  <c r="H121" i="11"/>
  <c r="H123" i="11"/>
  <c r="H124" i="11"/>
  <c r="H126" i="11"/>
  <c r="H127" i="11"/>
  <c r="H128" i="11"/>
  <c r="H129" i="11"/>
  <c r="H130" i="11"/>
  <c r="H101" i="11"/>
  <c r="H35" i="11"/>
  <c r="M77" i="13" a="1"/>
  <c r="I77" i="13" a="1"/>
  <c r="J77" i="13" s="1"/>
  <c r="I93" i="13" a="1"/>
  <c r="J93" i="13" s="1"/>
  <c r="M93" i="13" a="1"/>
  <c r="Z291" i="13"/>
  <c r="Z293" i="13"/>
  <c r="Z297" i="13"/>
  <c r="Z300" i="13"/>
  <c r="Z301" i="13"/>
  <c r="Z303" i="13"/>
  <c r="Z307" i="13"/>
  <c r="Z309" i="13"/>
  <c r="Z311" i="13"/>
  <c r="I201" i="13" a="1"/>
  <c r="J201" i="13" s="1"/>
  <c r="M201" i="13" a="1"/>
  <c r="I410" i="13" a="1"/>
  <c r="J410" i="13" s="1"/>
  <c r="F485" i="13"/>
  <c r="D485" i="13" s="1"/>
  <c r="F111" i="28"/>
  <c r="F486" i="13"/>
  <c r="D486" i="13" s="1"/>
  <c r="F112" i="28"/>
  <c r="F487" i="13"/>
  <c r="D487" i="13" s="1"/>
  <c r="F113" i="28"/>
  <c r="F488" i="13"/>
  <c r="D488" i="13" s="1"/>
  <c r="F114" i="28"/>
  <c r="F489" i="13"/>
  <c r="D489" i="13" s="1"/>
  <c r="F115" i="28"/>
  <c r="F491" i="13"/>
  <c r="D491" i="13" s="1"/>
  <c r="F117" i="28"/>
  <c r="F493" i="13"/>
  <c r="D493" i="13" s="1"/>
  <c r="F119" i="28"/>
  <c r="F494" i="13"/>
  <c r="D494" i="13" s="1"/>
  <c r="F120" i="28"/>
  <c r="F495" i="13"/>
  <c r="D495" i="13" s="1"/>
  <c r="F121" i="28"/>
  <c r="F496" i="13"/>
  <c r="D496" i="13" s="1"/>
  <c r="F122" i="28"/>
  <c r="F459" i="13"/>
  <c r="D459" i="13" s="1"/>
  <c r="F123" i="28"/>
  <c r="F429" i="13"/>
  <c r="D429" i="13" s="1"/>
  <c r="F124" i="28"/>
  <c r="F125" i="28"/>
  <c r="F371" i="13"/>
  <c r="D371" i="13" s="1"/>
  <c r="F497" i="13"/>
  <c r="D497" i="13" s="1"/>
  <c r="F126" i="28"/>
  <c r="F498" i="13"/>
  <c r="D498" i="13" s="1"/>
  <c r="F127" i="28"/>
  <c r="F499" i="13"/>
  <c r="D499" i="13" s="1"/>
  <c r="F128" i="28"/>
  <c r="F500" i="13"/>
  <c r="D500" i="13" s="1"/>
  <c r="F129" i="28"/>
  <c r="F501" i="13"/>
  <c r="D501" i="13" s="1"/>
  <c r="F130" i="28"/>
  <c r="F502" i="13"/>
  <c r="D502" i="13" s="1"/>
  <c r="F131" i="28"/>
  <c r="F503" i="13"/>
  <c r="D503" i="13" s="1"/>
  <c r="F132" i="28"/>
  <c r="F504" i="13"/>
  <c r="D504" i="13" s="1"/>
  <c r="F133" i="28"/>
  <c r="F505" i="13"/>
  <c r="D505" i="13" s="1"/>
  <c r="F134" i="28"/>
  <c r="F506" i="13"/>
  <c r="D506" i="13" s="1"/>
  <c r="F135" i="28"/>
  <c r="F447" i="13"/>
  <c r="D447" i="13" s="1"/>
  <c r="F136" i="28"/>
  <c r="F507" i="13"/>
  <c r="D507" i="13" s="1"/>
  <c r="F137" i="28"/>
  <c r="F508" i="13"/>
  <c r="D508" i="13" s="1"/>
  <c r="F138" i="28"/>
  <c r="F509" i="13"/>
  <c r="D509" i="13" s="1"/>
  <c r="F139" i="28"/>
  <c r="F510" i="13"/>
  <c r="D510" i="13" s="1"/>
  <c r="F140" i="28"/>
  <c r="F511" i="13"/>
  <c r="D511" i="13" s="1"/>
  <c r="F141" i="28"/>
  <c r="F512" i="13"/>
  <c r="D512" i="13" s="1"/>
  <c r="F142" i="28"/>
  <c r="F513" i="13"/>
  <c r="D513" i="13" s="1"/>
  <c r="F143" i="28"/>
  <c r="F514" i="13"/>
  <c r="D514" i="13" s="1"/>
  <c r="F144" i="28"/>
  <c r="F515" i="13"/>
  <c r="D515" i="13" s="1"/>
  <c r="F145" i="28"/>
  <c r="F516" i="13"/>
  <c r="D516" i="13" s="1"/>
  <c r="F146" i="28"/>
  <c r="F517" i="13"/>
  <c r="D517" i="13" s="1"/>
  <c r="F147" i="28"/>
  <c r="F490" i="13"/>
  <c r="D490" i="13" s="1"/>
  <c r="F116" i="28"/>
  <c r="I370" i="13" a="1"/>
  <c r="J370" i="13" s="1"/>
  <c r="I35" i="13" a="1"/>
  <c r="J35" i="13" s="1"/>
  <c r="M35" i="13" a="1"/>
  <c r="M96" i="13" a="1"/>
  <c r="I96" i="13" a="1"/>
  <c r="J96" i="13" s="1"/>
  <c r="F400" i="13"/>
  <c r="D400" i="13" s="1"/>
  <c r="F28" i="28"/>
  <c r="F401" i="13"/>
  <c r="D401" i="13" s="1"/>
  <c r="F29" i="28"/>
  <c r="F402" i="13"/>
  <c r="D402" i="13" s="1"/>
  <c r="M30" i="13" s="1" a="1"/>
  <c r="F30" i="28"/>
  <c r="F403" i="13"/>
  <c r="D403" i="13" s="1"/>
  <c r="F31" i="28"/>
  <c r="F404" i="13"/>
  <c r="D404" i="13" s="1"/>
  <c r="F32" i="28"/>
  <c r="F405" i="13"/>
  <c r="D405" i="13" s="1"/>
  <c r="F33" i="28"/>
  <c r="F406" i="13"/>
  <c r="D406" i="13" s="1"/>
  <c r="F34" i="28"/>
  <c r="F407" i="13"/>
  <c r="D407" i="13" s="1"/>
  <c r="F35" i="28"/>
  <c r="F408" i="13"/>
  <c r="D408" i="13" s="1"/>
  <c r="F36" i="28"/>
  <c r="F409" i="13"/>
  <c r="D409" i="13" s="1"/>
  <c r="F37" i="28"/>
  <c r="F410" i="13"/>
  <c r="D410" i="13" s="1"/>
  <c r="F38" i="28"/>
  <c r="F411" i="13"/>
  <c r="D411" i="13" s="1"/>
  <c r="F39" i="28"/>
  <c r="F412" i="13"/>
  <c r="D412" i="13" s="1"/>
  <c r="F40" i="28"/>
  <c r="F413" i="13"/>
  <c r="D413" i="13" s="1"/>
  <c r="F41" i="28"/>
  <c r="F414" i="13"/>
  <c r="D414" i="13" s="1"/>
  <c r="F42" i="28"/>
  <c r="F415" i="13"/>
  <c r="D415" i="13" s="1"/>
  <c r="F43" i="28"/>
  <c r="F416" i="13"/>
  <c r="D416" i="13" s="1"/>
  <c r="I450" i="13" s="1" a="1"/>
  <c r="J450" i="13" s="1"/>
  <c r="F44" i="28"/>
  <c r="F368" i="13"/>
  <c r="D368" i="13" s="1"/>
  <c r="F45" i="28"/>
  <c r="F417" i="13"/>
  <c r="D417" i="13" s="1"/>
  <c r="I313" i="13" s="1" a="1"/>
  <c r="J313" i="13" s="1"/>
  <c r="F46" i="28"/>
  <c r="F418" i="13"/>
  <c r="D418" i="13" s="1"/>
  <c r="F47" i="28"/>
  <c r="F419" i="13"/>
  <c r="D419" i="13" s="1"/>
  <c r="F48" i="28"/>
  <c r="F420" i="13"/>
  <c r="D420" i="13" s="1"/>
  <c r="I357" i="13" s="1" a="1"/>
  <c r="J357" i="13" s="1"/>
  <c r="F49" i="28"/>
  <c r="F421" i="13"/>
  <c r="D421" i="13" s="1"/>
  <c r="F50" i="28"/>
  <c r="F422" i="13"/>
  <c r="D422" i="13" s="1"/>
  <c r="F51" i="28"/>
  <c r="F423" i="13"/>
  <c r="D423" i="13" s="1"/>
  <c r="F52" i="28"/>
  <c r="F424" i="13"/>
  <c r="D424" i="13" s="1"/>
  <c r="F53" i="28"/>
  <c r="F425" i="13"/>
  <c r="D425" i="13" s="1"/>
  <c r="F54" i="28"/>
  <c r="F426" i="13"/>
  <c r="D426" i="13" s="1"/>
  <c r="F55" i="28"/>
  <c r="F427" i="13"/>
  <c r="D427" i="13" s="1"/>
  <c r="F56" i="28"/>
  <c r="F428" i="13"/>
  <c r="D428" i="13" s="1"/>
  <c r="F57" i="28"/>
  <c r="F430" i="13"/>
  <c r="D430" i="13" s="1"/>
  <c r="F58" i="28"/>
  <c r="F431" i="13"/>
  <c r="D431" i="13" s="1"/>
  <c r="F59" i="28"/>
  <c r="F432" i="13"/>
  <c r="D432" i="13" s="1"/>
  <c r="F60" i="28"/>
  <c r="F61" i="28"/>
  <c r="F433" i="13"/>
  <c r="D433" i="13" s="1"/>
  <c r="F434" i="13"/>
  <c r="D434" i="13" s="1"/>
  <c r="F62" i="28"/>
  <c r="F435" i="13"/>
  <c r="D435" i="13" s="1"/>
  <c r="F63" i="28"/>
  <c r="F436" i="13"/>
  <c r="D436" i="13" s="1"/>
  <c r="F64" i="28"/>
  <c r="F65" i="28"/>
  <c r="F437" i="13"/>
  <c r="D437" i="13" s="1"/>
  <c r="F6" i="28"/>
  <c r="F378" i="13"/>
  <c r="D378" i="13" s="1"/>
  <c r="F7" i="28"/>
  <c r="F379" i="13"/>
  <c r="D379" i="13" s="1"/>
  <c r="F380" i="13"/>
  <c r="D380" i="13" s="1"/>
  <c r="F8" i="28"/>
  <c r="F101" i="28"/>
  <c r="F475" i="13"/>
  <c r="D475" i="13" s="1"/>
  <c r="F461" i="13"/>
  <c r="D461" i="13" s="1"/>
  <c r="F87" i="28"/>
  <c r="F438" i="13"/>
  <c r="D438" i="13" s="1"/>
  <c r="F66" i="28"/>
  <c r="F439" i="13"/>
  <c r="D439" i="13" s="1"/>
  <c r="I362" i="13" s="1" a="1"/>
  <c r="J362" i="13" s="1"/>
  <c r="F67" i="28"/>
  <c r="F440" i="13"/>
  <c r="D440" i="13" s="1"/>
  <c r="I350" i="13" s="1" a="1"/>
  <c r="J350" i="13" s="1"/>
  <c r="F68" i="28"/>
  <c r="F441" i="13"/>
  <c r="D441" i="13" s="1"/>
  <c r="F69" i="28"/>
  <c r="F70" i="28"/>
  <c r="F442" i="13"/>
  <c r="D442" i="13" s="1"/>
  <c r="F71" i="28"/>
  <c r="F443" i="13"/>
  <c r="D443" i="13" s="1"/>
  <c r="F72" i="28"/>
  <c r="F444" i="13"/>
  <c r="D444" i="13" s="1"/>
  <c r="F73" i="28"/>
  <c r="F445" i="13"/>
  <c r="D445" i="13" s="1"/>
  <c r="F446" i="13"/>
  <c r="D446" i="13" s="1"/>
  <c r="I310" i="13" s="1" a="1"/>
  <c r="J310" i="13" s="1"/>
  <c r="F74" i="28"/>
  <c r="F448" i="13"/>
  <c r="D448" i="13" s="1"/>
  <c r="F75" i="28"/>
  <c r="F449" i="13"/>
  <c r="D449" i="13" s="1"/>
  <c r="F76" i="28"/>
  <c r="F450" i="13"/>
  <c r="D450" i="13" s="1"/>
  <c r="Z450" i="13" s="1"/>
  <c r="F77" i="28"/>
  <c r="F451" i="13"/>
  <c r="D451" i="13" s="1"/>
  <c r="I304" i="13" s="1" a="1"/>
  <c r="J304" i="13" s="1"/>
  <c r="F78" i="28"/>
  <c r="F452" i="13"/>
  <c r="D452" i="13" s="1"/>
  <c r="F79" i="28"/>
  <c r="F453" i="13"/>
  <c r="D453" i="13" s="1"/>
  <c r="F80" i="28"/>
  <c r="F454" i="13"/>
  <c r="D454" i="13" s="1"/>
  <c r="F81" i="28"/>
  <c r="F455" i="13"/>
  <c r="D455" i="13" s="1"/>
  <c r="F82" i="28"/>
  <c r="F456" i="13"/>
  <c r="D456" i="13" s="1"/>
  <c r="F83" i="28"/>
  <c r="F457" i="13"/>
  <c r="D457" i="13" s="1"/>
  <c r="F84" i="28"/>
  <c r="F458" i="13"/>
  <c r="D458" i="13" s="1"/>
  <c r="F86" i="28"/>
  <c r="F460" i="13"/>
  <c r="D460" i="13" s="1"/>
  <c r="F85" i="28"/>
  <c r="F462" i="13"/>
  <c r="D462" i="13" s="1"/>
  <c r="F88" i="28"/>
  <c r="F463" i="13"/>
  <c r="D463" i="13" s="1"/>
  <c r="F89" i="28"/>
  <c r="F464" i="13"/>
  <c r="D464" i="13" s="1"/>
  <c r="F90" i="28"/>
  <c r="F465" i="13"/>
  <c r="D465" i="13" s="1"/>
  <c r="F91" i="28"/>
  <c r="F466" i="13"/>
  <c r="D466" i="13" s="1"/>
  <c r="F92" i="28"/>
  <c r="F467" i="13"/>
  <c r="D467" i="13" s="1"/>
  <c r="F93" i="28"/>
  <c r="F468" i="13"/>
  <c r="D468" i="13" s="1"/>
  <c r="F94" i="28"/>
  <c r="F469" i="13"/>
  <c r="D469" i="13" s="1"/>
  <c r="F95" i="28"/>
  <c r="F470" i="13"/>
  <c r="D470" i="13" s="1"/>
  <c r="F96" i="28"/>
  <c r="F471" i="13"/>
  <c r="D471" i="13" s="1"/>
  <c r="F97" i="28"/>
  <c r="F472" i="13"/>
  <c r="D472" i="13" s="1"/>
  <c r="F98" i="28"/>
  <c r="F473" i="13"/>
  <c r="D473" i="13" s="1"/>
  <c r="F99" i="28"/>
  <c r="F474" i="13"/>
  <c r="D474" i="13" s="1"/>
  <c r="F100" i="28"/>
  <c r="F476" i="13"/>
  <c r="D476" i="13" s="1"/>
  <c r="F102" i="28"/>
  <c r="F477" i="13"/>
  <c r="D477" i="13" s="1"/>
  <c r="F103" i="28"/>
  <c r="F478" i="13"/>
  <c r="D478" i="13" s="1"/>
  <c r="F104" i="28"/>
  <c r="F479" i="13"/>
  <c r="D479" i="13" s="1"/>
  <c r="F105" i="28"/>
  <c r="F106" i="28"/>
  <c r="F480" i="13"/>
  <c r="D480" i="13" s="1"/>
  <c r="I279" i="13" s="1" a="1"/>
  <c r="J279" i="13" s="1"/>
  <c r="F481" i="13"/>
  <c r="D481" i="13" s="1"/>
  <c r="F107" i="28"/>
  <c r="F482" i="13"/>
  <c r="D482" i="13" s="1"/>
  <c r="F108" i="28"/>
  <c r="F483" i="13"/>
  <c r="D483" i="13" s="1"/>
  <c r="F109" i="28"/>
  <c r="F484" i="13"/>
  <c r="D484" i="13" s="1"/>
  <c r="F110" i="28"/>
  <c r="M227" i="13" a="1"/>
  <c r="N227" i="13" s="1"/>
  <c r="I227" i="13" a="1"/>
  <c r="J227" i="13" s="1"/>
  <c r="I228" i="13" a="1"/>
  <c r="J228" i="13" s="1"/>
  <c r="M228" i="13" a="1"/>
  <c r="N228" i="13" s="1"/>
  <c r="M232" i="13" a="1"/>
  <c r="N232" i="13" s="1"/>
  <c r="I232" i="13" a="1"/>
  <c r="J232" i="13" s="1"/>
  <c r="Z267" i="13"/>
  <c r="M292" i="13" a="1"/>
  <c r="I292" i="13" a="1"/>
  <c r="J292" i="13" s="1"/>
  <c r="I296" i="13" a="1"/>
  <c r="J296" i="13" s="1"/>
  <c r="M296" i="13" a="1"/>
  <c r="N296" i="13" s="1"/>
  <c r="I433" i="13" a="1"/>
  <c r="J433" i="13" s="1"/>
  <c r="I235" i="13" a="1"/>
  <c r="J235" i="13" s="1"/>
  <c r="I528" i="13" a="1"/>
  <c r="J528" i="13" s="1"/>
  <c r="M235" i="13" a="1"/>
  <c r="M528" i="13" a="1"/>
  <c r="M314" i="13" a="1"/>
  <c r="I314" i="13" a="1"/>
  <c r="J314" i="13" s="1"/>
  <c r="Z518" i="13"/>
  <c r="Z441" i="13"/>
  <c r="I352" i="13" a="1"/>
  <c r="J352" i="13" s="1"/>
  <c r="M352" i="13" a="1"/>
  <c r="N352" i="13" s="1"/>
  <c r="M97" i="13" a="1"/>
  <c r="I97" i="13" a="1"/>
  <c r="J97" i="13" s="1"/>
  <c r="M202" i="13" a="1"/>
  <c r="I202" i="13" a="1"/>
  <c r="J202" i="13" s="1"/>
  <c r="I417" i="13" a="1"/>
  <c r="J417" i="13" s="1"/>
  <c r="F369" i="13"/>
  <c r="D369" i="13" s="1"/>
  <c r="I354" i="13" s="1" a="1"/>
  <c r="J354" i="13" s="1"/>
  <c r="F2" i="28"/>
  <c r="F370" i="13"/>
  <c r="D370" i="13" s="1"/>
  <c r="F3" i="28"/>
  <c r="F373" i="13"/>
  <c r="D373" i="13" s="1"/>
  <c r="F4" i="28"/>
  <c r="F375" i="13"/>
  <c r="D375" i="13" s="1"/>
  <c r="F5" i="28"/>
  <c r="F381" i="13"/>
  <c r="D381" i="13" s="1"/>
  <c r="F9" i="28"/>
  <c r="F382" i="13"/>
  <c r="D382" i="13" s="1"/>
  <c r="F10" i="28"/>
  <c r="F383" i="13"/>
  <c r="D383" i="13" s="1"/>
  <c r="F11" i="28"/>
  <c r="F384" i="13"/>
  <c r="D384" i="13" s="1"/>
  <c r="F12" i="28"/>
  <c r="F385" i="13"/>
  <c r="D385" i="13" s="1"/>
  <c r="F13" i="28"/>
  <c r="F386" i="13"/>
  <c r="D386" i="13" s="1"/>
  <c r="F14" i="28"/>
  <c r="F387" i="13"/>
  <c r="D387" i="13" s="1"/>
  <c r="F15" i="28"/>
  <c r="F388" i="13"/>
  <c r="D388" i="13" s="1"/>
  <c r="F16" i="28"/>
  <c r="F389" i="13"/>
  <c r="D389" i="13" s="1"/>
  <c r="F17" i="28"/>
  <c r="F390" i="13"/>
  <c r="D390" i="13" s="1"/>
  <c r="F18" i="28"/>
  <c r="F19" i="28"/>
  <c r="F391" i="13"/>
  <c r="D391" i="13" s="1"/>
  <c r="F20" i="28"/>
  <c r="F392" i="13"/>
  <c r="D392" i="13" s="1"/>
  <c r="F21" i="28"/>
  <c r="F393" i="13"/>
  <c r="D393" i="13" s="1"/>
  <c r="F394" i="13"/>
  <c r="D394" i="13" s="1"/>
  <c r="F22" i="28"/>
  <c r="F395" i="13"/>
  <c r="D395" i="13" s="1"/>
  <c r="F23" i="28"/>
  <c r="F396" i="13"/>
  <c r="D396" i="13" s="1"/>
  <c r="F24" i="28"/>
  <c r="F397" i="13"/>
  <c r="D397" i="13" s="1"/>
  <c r="F25" i="28"/>
  <c r="F398" i="13"/>
  <c r="D398" i="13" s="1"/>
  <c r="F26" i="28"/>
  <c r="F399" i="13"/>
  <c r="D399" i="13" s="1"/>
  <c r="F27" i="28"/>
  <c r="M351" i="13" a="1"/>
  <c r="N351" i="13" s="1"/>
  <c r="I351" i="13" a="1"/>
  <c r="J351" i="13" s="1"/>
  <c r="M293" i="13" a="1"/>
  <c r="Z510" i="13"/>
  <c r="I293" i="13" a="1"/>
  <c r="J293" i="13" s="1"/>
  <c r="F95" i="29"/>
  <c r="I285" i="13" a="1"/>
  <c r="J285" i="13" s="1"/>
  <c r="L513" i="18"/>
  <c r="I248" i="13" a="1"/>
  <c r="J248" i="13" s="1"/>
  <c r="M333" i="13" a="1"/>
  <c r="M91" i="13" a="1"/>
  <c r="M248" i="13" a="1"/>
  <c r="I333" i="13" a="1"/>
  <c r="J333" i="13" s="1"/>
  <c r="I91" i="13" a="1"/>
  <c r="J91" i="13" s="1"/>
  <c r="I344" i="13" a="1"/>
  <c r="J344" i="13" s="1"/>
  <c r="Z417" i="13"/>
  <c r="M313" i="13" a="1"/>
  <c r="F141" i="29"/>
  <c r="M362" i="13" a="1"/>
  <c r="Z439" i="13"/>
  <c r="Z451" i="13"/>
  <c r="M304" i="13" a="1"/>
  <c r="Z487" i="13"/>
  <c r="F127" i="29"/>
  <c r="Z488" i="13"/>
  <c r="N249" i="13"/>
  <c r="Y439" i="13" a="1"/>
  <c r="N37" i="13"/>
  <c r="N251" i="13"/>
  <c r="I479" i="13" a="1"/>
  <c r="J479" i="13" s="1"/>
  <c r="Z579" i="13"/>
  <c r="Z586" i="13"/>
  <c r="Z607" i="13"/>
  <c r="Z612" i="13"/>
  <c r="Z381" i="13"/>
  <c r="Z386" i="13"/>
  <c r="Z389" i="13"/>
  <c r="Z396" i="13"/>
  <c r="Z398" i="13"/>
  <c r="Z400" i="13"/>
  <c r="Z402" i="13"/>
  <c r="Z405" i="13"/>
  <c r="Z408" i="13"/>
  <c r="Z447" i="13"/>
  <c r="Y611" i="13" a="1"/>
  <c r="Y578" i="13" a="1"/>
  <c r="Y577" i="13" a="1"/>
  <c r="Y612" i="13" a="1"/>
  <c r="Y442" i="13" a="1"/>
  <c r="Y495" i="13" a="1"/>
  <c r="Y472" i="13" a="1"/>
  <c r="Y470" i="13" a="1"/>
  <c r="Y506" i="13" a="1"/>
  <c r="Y551" i="13" a="1"/>
  <c r="Y552" i="13" a="1"/>
  <c r="Y589" i="13" a="1"/>
  <c r="Y431" i="13" a="1"/>
  <c r="Y434" i="13" a="1"/>
  <c r="Y436" i="13" a="1"/>
  <c r="Y440" i="13" a="1"/>
  <c r="Y441" i="13" a="1"/>
  <c r="Y454" i="13" a="1"/>
  <c r="Y468" i="13" a="1"/>
  <c r="Y469" i="13" a="1"/>
  <c r="Y471" i="13" a="1"/>
  <c r="Y496" i="13" a="1"/>
  <c r="Y423" i="13" a="1"/>
  <c r="Y416" i="13" a="1"/>
  <c r="Y419" i="13" a="1"/>
  <c r="Y426" i="13" a="1"/>
  <c r="Y427" i="13" a="1"/>
  <c r="Y428" i="13" a="1"/>
  <c r="Y429" i="13" a="1"/>
  <c r="Y430" i="13" a="1"/>
  <c r="Y432" i="13" a="1"/>
  <c r="Y433" i="13" a="1"/>
  <c r="Y435" i="13" a="1"/>
  <c r="Y437" i="13" a="1"/>
  <c r="Y438" i="13" a="1"/>
  <c r="Y406" i="13" a="1"/>
  <c r="Y413" i="13" a="1"/>
  <c r="Y414" i="13" a="1"/>
  <c r="Y415" i="13" a="1"/>
  <c r="Y417" i="13" a="1"/>
  <c r="Y418" i="13" a="1"/>
  <c r="Y420" i="13" a="1"/>
  <c r="Y421" i="13" a="1"/>
  <c r="Y422" i="13" a="1"/>
  <c r="Y424" i="13" a="1"/>
  <c r="Y425" i="13" a="1"/>
  <c r="Y392" i="13" a="1"/>
  <c r="Y401" i="13" a="1"/>
  <c r="Y402" i="13" a="1"/>
  <c r="Y403" i="13" a="1"/>
  <c r="Y404" i="13" a="1"/>
  <c r="Y405" i="13" a="1"/>
  <c r="Y407" i="13" a="1"/>
  <c r="Y408" i="13" a="1"/>
  <c r="Y409" i="13" a="1"/>
  <c r="Y410" i="13" a="1"/>
  <c r="Y411" i="13" a="1"/>
  <c r="Y375" i="13" a="1"/>
  <c r="Y381" i="13" a="1"/>
  <c r="Y377" i="13" a="1"/>
  <c r="Y388" i="13" a="1"/>
  <c r="Y389" i="13" a="1"/>
  <c r="Y390" i="13" a="1"/>
  <c r="Y391" i="13" a="1"/>
  <c r="Y393" i="13" a="1"/>
  <c r="Y394" i="13" a="1"/>
  <c r="Y395" i="13" a="1"/>
  <c r="Y396" i="13" a="1"/>
  <c r="Y397" i="13" a="1"/>
  <c r="Y398" i="13" a="1"/>
  <c r="Y399" i="13" a="1"/>
  <c r="Y400" i="13" a="1"/>
  <c r="Y374" i="13" a="1"/>
  <c r="Y355" i="13" a="1"/>
  <c r="Y376" i="13" a="1"/>
  <c r="Y378" i="13" a="1"/>
  <c r="Y379" i="13" a="1"/>
  <c r="Y380" i="13" a="1"/>
  <c r="Y382" i="13" a="1"/>
  <c r="Y383" i="13" a="1"/>
  <c r="Y384" i="13" a="1"/>
  <c r="Y385" i="13" a="1"/>
  <c r="Y386" i="13" a="1"/>
  <c r="Y387" i="13" a="1"/>
  <c r="Y352" i="13" a="1"/>
  <c r="Y356" i="13" a="1"/>
  <c r="Y357" i="13" a="1"/>
  <c r="Y358" i="13" a="1"/>
  <c r="Y359" i="13" a="1"/>
  <c r="Y360" i="13" a="1"/>
  <c r="Y361" i="13" a="1"/>
  <c r="Y362" i="13" a="1"/>
  <c r="Y353" i="13" a="1"/>
  <c r="Y354" i="13" a="1"/>
  <c r="Y339" i="13" a="1"/>
  <c r="Y343" i="13" a="1"/>
  <c r="Y344" i="13" a="1"/>
  <c r="Y345" i="13" a="1"/>
  <c r="Y346" i="13" a="1"/>
  <c r="Y347" i="13" a="1"/>
  <c r="Y348" i="13" a="1"/>
  <c r="Y349" i="13" a="1"/>
  <c r="Y350" i="13" a="1"/>
  <c r="Y351" i="13" a="1"/>
  <c r="Y335" i="13" a="1"/>
  <c r="Y336" i="13" a="1"/>
  <c r="Y337" i="13" a="1"/>
  <c r="Y338" i="13" a="1"/>
  <c r="Y340" i="13" a="1"/>
  <c r="Y341" i="13" a="1"/>
  <c r="Y342" i="13" a="1"/>
  <c r="Y312" i="13" a="1"/>
  <c r="Y314" i="13" a="1"/>
  <c r="Y316" i="13" a="1"/>
  <c r="Y319" i="13" a="1"/>
  <c r="Y320" i="13" a="1"/>
  <c r="Y321" i="13" a="1"/>
  <c r="Y322" i="13" a="1"/>
  <c r="Y323" i="13" a="1"/>
  <c r="Y324" i="13" a="1"/>
  <c r="Y325" i="13" a="1"/>
  <c r="Y326" i="13" a="1"/>
  <c r="Y327" i="13" a="1"/>
  <c r="Y328" i="13" a="1"/>
  <c r="Y329" i="13" a="1"/>
  <c r="Y330" i="13" a="1"/>
  <c r="Y331" i="13" a="1"/>
  <c r="Y332" i="13" a="1"/>
  <c r="Y333" i="13" a="1"/>
  <c r="Y334" i="13" a="1"/>
  <c r="Y310" i="13" a="1"/>
  <c r="Y309" i="13" a="1"/>
  <c r="Y313" i="13" a="1"/>
  <c r="Y315" i="13" a="1"/>
  <c r="Y317" i="13" a="1"/>
  <c r="Y318" i="13" a="1"/>
  <c r="Y305" i="13" a="1"/>
  <c r="Y306" i="13" a="1"/>
  <c r="Y307" i="13" a="1"/>
  <c r="Y308" i="13" a="1"/>
  <c r="Y311" i="13" a="1"/>
  <c r="Y292" i="13" a="1"/>
  <c r="Y295" i="13" a="1"/>
  <c r="Y296" i="13" a="1"/>
  <c r="Y297" i="13" a="1"/>
  <c r="Y298" i="13" a="1"/>
  <c r="Y299" i="13" a="1"/>
  <c r="Y300" i="13" a="1"/>
  <c r="Y301" i="13" a="1"/>
  <c r="Y302" i="13" a="1"/>
  <c r="Y303" i="13" a="1"/>
  <c r="Y304" i="13" a="1"/>
  <c r="Y262" i="13" a="1"/>
  <c r="Y252" i="13" a="1"/>
  <c r="Y263" i="13" a="1"/>
  <c r="Y264" i="13" a="1"/>
  <c r="Y265" i="13" a="1"/>
  <c r="Y266" i="13" a="1"/>
  <c r="Y267" i="13" a="1"/>
  <c r="Y268" i="13" a="1"/>
  <c r="Y269" i="13" a="1"/>
  <c r="Y270" i="13" a="1"/>
  <c r="Y277" i="13" a="1"/>
  <c r="Y286" i="13" a="1"/>
  <c r="Y294" i="13" a="1"/>
  <c r="Y278" i="13" a="1"/>
  <c r="Y284" i="13" a="1"/>
  <c r="Y293" i="13" a="1"/>
  <c r="Y271" i="13" a="1"/>
  <c r="Y272" i="13" a="1"/>
  <c r="Y273" i="13" a="1"/>
  <c r="Y274" i="13" a="1"/>
  <c r="Y281" i="13" a="1"/>
  <c r="Y288" i="13" a="1"/>
  <c r="Y275" i="13" a="1"/>
  <c r="Y282" i="13" a="1"/>
  <c r="Y290" i="13" a="1"/>
  <c r="Y276" i="13" a="1"/>
  <c r="Y285" i="13" a="1"/>
  <c r="Y279" i="13" a="1"/>
  <c r="Y283" i="13" a="1"/>
  <c r="Y291" i="13" a="1"/>
  <c r="Y280" i="13" a="1"/>
  <c r="Y287" i="13" a="1"/>
  <c r="Y289" i="13" a="1"/>
  <c r="Y253" i="13" a="1"/>
  <c r="Y254" i="13" a="1"/>
  <c r="Y255" i="13" a="1"/>
  <c r="Y256" i="13" a="1"/>
  <c r="Y257" i="13" a="1"/>
  <c r="Y258" i="13" a="1"/>
  <c r="Y259" i="13" a="1"/>
  <c r="Y260" i="13" a="1"/>
  <c r="Y261" i="13" a="1"/>
  <c r="D1197" i="25"/>
  <c r="H1197" i="25"/>
  <c r="D1198" i="25"/>
  <c r="H1198" i="25"/>
  <c r="D1199" i="25"/>
  <c r="H1199" i="25"/>
  <c r="Y251" i="13" a="1"/>
  <c r="Y250" i="13" a="1"/>
  <c r="Y249" i="13" a="1"/>
  <c r="D2" i="25"/>
  <c r="H2" i="25"/>
  <c r="D3" i="25"/>
  <c r="H3" i="25"/>
  <c r="D4" i="25"/>
  <c r="H4" i="25"/>
  <c r="D5" i="25"/>
  <c r="H5" i="25"/>
  <c r="D6" i="25"/>
  <c r="H6" i="25"/>
  <c r="D7" i="25"/>
  <c r="H7" i="25"/>
  <c r="D8" i="25"/>
  <c r="H8" i="25"/>
  <c r="D9" i="25"/>
  <c r="H9" i="25"/>
  <c r="D10" i="25"/>
  <c r="H10" i="25"/>
  <c r="D11" i="25"/>
  <c r="H11" i="25"/>
  <c r="D12" i="25"/>
  <c r="H12" i="25"/>
  <c r="D13" i="25"/>
  <c r="H13" i="25"/>
  <c r="D14" i="25"/>
  <c r="H14" i="25"/>
  <c r="D15" i="25"/>
  <c r="H15" i="25"/>
  <c r="D16" i="25"/>
  <c r="H16" i="25"/>
  <c r="D17" i="25"/>
  <c r="H17" i="25"/>
  <c r="D18" i="25"/>
  <c r="H18" i="25"/>
  <c r="D19" i="25"/>
  <c r="H19" i="25"/>
  <c r="D20" i="25"/>
  <c r="H20" i="25"/>
  <c r="D21" i="25"/>
  <c r="H21" i="25"/>
  <c r="D22" i="25"/>
  <c r="H22" i="25"/>
  <c r="D23" i="25"/>
  <c r="H23" i="25"/>
  <c r="D24" i="25"/>
  <c r="H24" i="25"/>
  <c r="D25" i="25"/>
  <c r="H25" i="25"/>
  <c r="D26" i="25"/>
  <c r="H26" i="25"/>
  <c r="D27" i="25"/>
  <c r="H27" i="25"/>
  <c r="D28" i="25"/>
  <c r="H28" i="25"/>
  <c r="D29" i="25"/>
  <c r="H29" i="25"/>
  <c r="D30" i="25"/>
  <c r="H30" i="25"/>
  <c r="D31" i="25"/>
  <c r="H31" i="25"/>
  <c r="D32" i="25"/>
  <c r="H32" i="25"/>
  <c r="D33" i="25"/>
  <c r="H33" i="25"/>
  <c r="D34" i="25"/>
  <c r="H34" i="25"/>
  <c r="D35" i="25"/>
  <c r="H35" i="25"/>
  <c r="D36" i="25"/>
  <c r="H36" i="25"/>
  <c r="D37" i="25"/>
  <c r="H37" i="25"/>
  <c r="D38" i="25"/>
  <c r="H38" i="25"/>
  <c r="D39" i="25"/>
  <c r="H39" i="25"/>
  <c r="D40" i="25"/>
  <c r="H40" i="25"/>
  <c r="D41" i="25"/>
  <c r="H41" i="25"/>
  <c r="D42" i="25"/>
  <c r="H42" i="25"/>
  <c r="D43" i="25"/>
  <c r="H43" i="25"/>
  <c r="D44" i="25"/>
  <c r="H44" i="25"/>
  <c r="D45" i="25"/>
  <c r="H45" i="25"/>
  <c r="D46" i="25"/>
  <c r="H46" i="25"/>
  <c r="D47" i="25"/>
  <c r="H47" i="25"/>
  <c r="D48" i="25"/>
  <c r="H48" i="25"/>
  <c r="D49" i="25"/>
  <c r="H49" i="25"/>
  <c r="D50" i="25"/>
  <c r="H50" i="25"/>
  <c r="D51" i="25"/>
  <c r="H51" i="25"/>
  <c r="D52" i="25"/>
  <c r="H52" i="25"/>
  <c r="D53" i="25"/>
  <c r="H53" i="25"/>
  <c r="D54" i="25"/>
  <c r="H54" i="25"/>
  <c r="D55" i="25"/>
  <c r="H55" i="25"/>
  <c r="D56" i="25"/>
  <c r="H56" i="25"/>
  <c r="D57" i="25"/>
  <c r="H57" i="25"/>
  <c r="D58" i="25"/>
  <c r="H58" i="25"/>
  <c r="D59" i="25"/>
  <c r="H59" i="25"/>
  <c r="D60" i="25"/>
  <c r="H60" i="25"/>
  <c r="D61" i="25"/>
  <c r="H61" i="25"/>
  <c r="D62" i="25"/>
  <c r="H62" i="25"/>
  <c r="D63" i="25"/>
  <c r="H63" i="25"/>
  <c r="D64" i="25"/>
  <c r="H64" i="25"/>
  <c r="D65" i="25"/>
  <c r="H65" i="25"/>
  <c r="D66" i="25"/>
  <c r="H66" i="25"/>
  <c r="D67" i="25"/>
  <c r="H67" i="25"/>
  <c r="D68" i="25"/>
  <c r="H68" i="25"/>
  <c r="D69" i="25"/>
  <c r="H69" i="25"/>
  <c r="D70" i="25"/>
  <c r="H70" i="25"/>
  <c r="D71" i="25"/>
  <c r="H71" i="25"/>
  <c r="D72" i="25"/>
  <c r="H72" i="25"/>
  <c r="D73" i="25"/>
  <c r="H73" i="25"/>
  <c r="D74" i="25"/>
  <c r="H74" i="25"/>
  <c r="D75" i="25"/>
  <c r="H75" i="25"/>
  <c r="D76" i="25"/>
  <c r="H76" i="25"/>
  <c r="D77" i="25"/>
  <c r="H77" i="25"/>
  <c r="D78" i="25"/>
  <c r="H78" i="25"/>
  <c r="D79" i="25"/>
  <c r="H79" i="25"/>
  <c r="D80" i="25"/>
  <c r="H80" i="25"/>
  <c r="D81" i="25"/>
  <c r="H81" i="25"/>
  <c r="D82" i="25"/>
  <c r="H82" i="25"/>
  <c r="D83" i="25"/>
  <c r="H83" i="25"/>
  <c r="D84" i="25"/>
  <c r="H84" i="25"/>
  <c r="D85" i="25"/>
  <c r="H85" i="25"/>
  <c r="D86" i="25"/>
  <c r="H86" i="25"/>
  <c r="D87" i="25"/>
  <c r="H87" i="25"/>
  <c r="D88" i="25"/>
  <c r="H88" i="25"/>
  <c r="D89" i="25"/>
  <c r="H89" i="25"/>
  <c r="D90" i="25"/>
  <c r="H90" i="25"/>
  <c r="D91" i="25"/>
  <c r="H91" i="25"/>
  <c r="D92" i="25"/>
  <c r="H92" i="25"/>
  <c r="D93" i="25"/>
  <c r="H93" i="25"/>
  <c r="D94" i="25"/>
  <c r="H94" i="25"/>
  <c r="D95" i="25"/>
  <c r="H95" i="25"/>
  <c r="D96" i="25"/>
  <c r="H96" i="25"/>
  <c r="D97" i="25"/>
  <c r="H97" i="25"/>
  <c r="D98" i="25"/>
  <c r="H98" i="25"/>
  <c r="D99" i="25"/>
  <c r="H99" i="25"/>
  <c r="D100" i="25"/>
  <c r="H100" i="25"/>
  <c r="D101" i="25"/>
  <c r="H101" i="25"/>
  <c r="D102" i="25"/>
  <c r="H102" i="25"/>
  <c r="D103" i="25"/>
  <c r="H103" i="25"/>
  <c r="D104" i="25"/>
  <c r="H104" i="25"/>
  <c r="D105" i="25"/>
  <c r="H105" i="25"/>
  <c r="D106" i="25"/>
  <c r="H106" i="25"/>
  <c r="D107" i="25"/>
  <c r="H107" i="25"/>
  <c r="D108" i="25"/>
  <c r="H108" i="25"/>
  <c r="D109" i="25"/>
  <c r="H109" i="25"/>
  <c r="D110" i="25"/>
  <c r="H110" i="25"/>
  <c r="D111" i="25"/>
  <c r="H111" i="25"/>
  <c r="D112" i="25"/>
  <c r="H112" i="25"/>
  <c r="D113" i="25"/>
  <c r="H113" i="25"/>
  <c r="D114" i="25"/>
  <c r="H114" i="25"/>
  <c r="D115" i="25"/>
  <c r="H115" i="25"/>
  <c r="D116" i="25"/>
  <c r="H116" i="25"/>
  <c r="D117" i="25"/>
  <c r="H117" i="25"/>
  <c r="D118" i="25"/>
  <c r="H118" i="25"/>
  <c r="D119" i="25"/>
  <c r="H119" i="25"/>
  <c r="D120" i="25"/>
  <c r="H120" i="25"/>
  <c r="D121" i="25"/>
  <c r="H121" i="25"/>
  <c r="D122" i="25"/>
  <c r="H122" i="25"/>
  <c r="D123" i="25"/>
  <c r="H123" i="25"/>
  <c r="D124" i="25"/>
  <c r="H124" i="25"/>
  <c r="D125" i="25"/>
  <c r="H125" i="25"/>
  <c r="D126" i="25"/>
  <c r="H126" i="25"/>
  <c r="D127" i="25"/>
  <c r="H127" i="25"/>
  <c r="D128" i="25"/>
  <c r="H128" i="25"/>
  <c r="D129" i="25"/>
  <c r="H129" i="25"/>
  <c r="D130" i="25"/>
  <c r="H130" i="25"/>
  <c r="D131" i="25"/>
  <c r="H131" i="25"/>
  <c r="D132" i="25"/>
  <c r="H132" i="25"/>
  <c r="D133" i="25"/>
  <c r="H133" i="25"/>
  <c r="D134" i="25"/>
  <c r="H134" i="25"/>
  <c r="D135" i="25"/>
  <c r="H135" i="25"/>
  <c r="D136" i="25"/>
  <c r="H136" i="25"/>
  <c r="D137" i="25"/>
  <c r="H137" i="25"/>
  <c r="D138" i="25"/>
  <c r="H138" i="25"/>
  <c r="D139" i="25"/>
  <c r="H139" i="25"/>
  <c r="D140" i="25"/>
  <c r="H140" i="25"/>
  <c r="D141" i="25"/>
  <c r="H141" i="25"/>
  <c r="D142" i="25"/>
  <c r="H142" i="25"/>
  <c r="D143" i="25"/>
  <c r="H143" i="25"/>
  <c r="D144" i="25"/>
  <c r="H144" i="25"/>
  <c r="D145" i="25"/>
  <c r="H145" i="25"/>
  <c r="D146" i="25"/>
  <c r="H146" i="25"/>
  <c r="D147" i="25"/>
  <c r="H147" i="25"/>
  <c r="D148" i="25"/>
  <c r="H148" i="25"/>
  <c r="D149" i="25"/>
  <c r="H149" i="25"/>
  <c r="D150" i="25"/>
  <c r="H150" i="25"/>
  <c r="D151" i="25"/>
  <c r="H151" i="25"/>
  <c r="D152" i="25"/>
  <c r="H152" i="25"/>
  <c r="D153" i="25"/>
  <c r="H153" i="25"/>
  <c r="D154" i="25"/>
  <c r="H154" i="25"/>
  <c r="D155" i="25"/>
  <c r="H155" i="25"/>
  <c r="D156" i="25"/>
  <c r="H156" i="25"/>
  <c r="D157" i="25"/>
  <c r="H157" i="25"/>
  <c r="D158" i="25"/>
  <c r="H158" i="25"/>
  <c r="D159" i="25"/>
  <c r="H159" i="25"/>
  <c r="D160" i="25"/>
  <c r="H160" i="25"/>
  <c r="D161" i="25"/>
  <c r="H161" i="25"/>
  <c r="D162" i="25"/>
  <c r="H162" i="25"/>
  <c r="D163" i="25"/>
  <c r="H163" i="25"/>
  <c r="D164" i="25"/>
  <c r="H164" i="25"/>
  <c r="D165" i="25"/>
  <c r="H165" i="25"/>
  <c r="D166" i="25"/>
  <c r="H166" i="25"/>
  <c r="D167" i="25"/>
  <c r="H167" i="25"/>
  <c r="D168" i="25"/>
  <c r="H168" i="25"/>
  <c r="D169" i="25"/>
  <c r="H169" i="25"/>
  <c r="D170" i="25"/>
  <c r="H170" i="25"/>
  <c r="D171" i="25"/>
  <c r="H171" i="25"/>
  <c r="D172" i="25"/>
  <c r="H172" i="25"/>
  <c r="D173" i="25"/>
  <c r="H173" i="25"/>
  <c r="D174" i="25"/>
  <c r="H174" i="25"/>
  <c r="D175" i="25"/>
  <c r="H175" i="25"/>
  <c r="D176" i="25"/>
  <c r="H176" i="25"/>
  <c r="D177" i="25"/>
  <c r="H177" i="25"/>
  <c r="D178" i="25"/>
  <c r="H178" i="25"/>
  <c r="D179" i="25"/>
  <c r="H179" i="25"/>
  <c r="D180" i="25"/>
  <c r="H180" i="25"/>
  <c r="D181" i="25"/>
  <c r="H181" i="25"/>
  <c r="D182" i="25"/>
  <c r="H182" i="25"/>
  <c r="D183" i="25"/>
  <c r="H183" i="25"/>
  <c r="D184" i="25"/>
  <c r="H184" i="25"/>
  <c r="D185" i="25"/>
  <c r="H185" i="25"/>
  <c r="D186" i="25"/>
  <c r="H186" i="25"/>
  <c r="D187" i="25"/>
  <c r="H187" i="25"/>
  <c r="D188" i="25"/>
  <c r="H188" i="25"/>
  <c r="D189" i="25"/>
  <c r="H189" i="25"/>
  <c r="D190" i="25"/>
  <c r="H190" i="25"/>
  <c r="D191" i="25"/>
  <c r="H191" i="25"/>
  <c r="D192" i="25"/>
  <c r="H192" i="25"/>
  <c r="D193" i="25"/>
  <c r="H193" i="25"/>
  <c r="D194" i="25"/>
  <c r="H194" i="25"/>
  <c r="D195" i="25"/>
  <c r="H195" i="25"/>
  <c r="D196" i="25"/>
  <c r="H196" i="25"/>
  <c r="D197" i="25"/>
  <c r="H197" i="25"/>
  <c r="D198" i="25"/>
  <c r="H198" i="25"/>
  <c r="D199" i="25"/>
  <c r="H199" i="25"/>
  <c r="D200" i="25"/>
  <c r="H200" i="25"/>
  <c r="D201" i="25"/>
  <c r="H201" i="25"/>
  <c r="D202" i="25"/>
  <c r="H202" i="25"/>
  <c r="D203" i="25"/>
  <c r="H203" i="25"/>
  <c r="D204" i="25"/>
  <c r="H204" i="25"/>
  <c r="D205" i="25"/>
  <c r="H205" i="25"/>
  <c r="D206" i="25"/>
  <c r="H206" i="25"/>
  <c r="D207" i="25"/>
  <c r="H207" i="25"/>
  <c r="D208" i="25"/>
  <c r="H208" i="25"/>
  <c r="D209" i="25"/>
  <c r="H209" i="25"/>
  <c r="D210" i="25"/>
  <c r="H210" i="25"/>
  <c r="D211" i="25"/>
  <c r="H211" i="25"/>
  <c r="D212" i="25"/>
  <c r="H212" i="25"/>
  <c r="D213" i="25"/>
  <c r="H213" i="25"/>
  <c r="D214" i="25"/>
  <c r="H214" i="25"/>
  <c r="D215" i="25"/>
  <c r="H215" i="25"/>
  <c r="D216" i="25"/>
  <c r="H216" i="25"/>
  <c r="D217" i="25"/>
  <c r="H217" i="25"/>
  <c r="D218" i="25"/>
  <c r="H218" i="25"/>
  <c r="D219" i="25"/>
  <c r="H219" i="25"/>
  <c r="D220" i="25"/>
  <c r="H220" i="25"/>
  <c r="D221" i="25"/>
  <c r="H221" i="25"/>
  <c r="D222" i="25"/>
  <c r="H222" i="25"/>
  <c r="D223" i="25"/>
  <c r="H223" i="25"/>
  <c r="D224" i="25"/>
  <c r="H224" i="25"/>
  <c r="D225" i="25"/>
  <c r="H225" i="25"/>
  <c r="D226" i="25"/>
  <c r="H226" i="25"/>
  <c r="D227" i="25"/>
  <c r="H227" i="25"/>
  <c r="D228" i="25"/>
  <c r="H228" i="25"/>
  <c r="D229" i="25"/>
  <c r="H229" i="25"/>
  <c r="D230" i="25"/>
  <c r="H230" i="25"/>
  <c r="D231" i="25"/>
  <c r="H231" i="25"/>
  <c r="D232" i="25"/>
  <c r="H232" i="25"/>
  <c r="D233" i="25"/>
  <c r="H233" i="25"/>
  <c r="D234" i="25"/>
  <c r="H234" i="25"/>
  <c r="D235" i="25"/>
  <c r="H235" i="25"/>
  <c r="D236" i="25"/>
  <c r="H236" i="25"/>
  <c r="D237" i="25"/>
  <c r="H237" i="25"/>
  <c r="D238" i="25"/>
  <c r="H238" i="25"/>
  <c r="D239" i="25"/>
  <c r="H239" i="25"/>
  <c r="D240" i="25"/>
  <c r="H240" i="25"/>
  <c r="D241" i="25"/>
  <c r="H241" i="25"/>
  <c r="D242" i="25"/>
  <c r="H242" i="25"/>
  <c r="D243" i="25"/>
  <c r="H243" i="25"/>
  <c r="D244" i="25"/>
  <c r="H244" i="25"/>
  <c r="D245" i="25"/>
  <c r="H245" i="25"/>
  <c r="D246" i="25"/>
  <c r="H246" i="25"/>
  <c r="D247" i="25"/>
  <c r="H247" i="25"/>
  <c r="D248" i="25"/>
  <c r="H248" i="25"/>
  <c r="D249" i="25"/>
  <c r="H249" i="25"/>
  <c r="D250" i="25"/>
  <c r="H250" i="25"/>
  <c r="D251" i="25"/>
  <c r="H251" i="25"/>
  <c r="D252" i="25"/>
  <c r="H252" i="25"/>
  <c r="D253" i="25"/>
  <c r="H253" i="25"/>
  <c r="D254" i="25"/>
  <c r="H254" i="25"/>
  <c r="D255" i="25"/>
  <c r="H255" i="25"/>
  <c r="D256" i="25"/>
  <c r="H256" i="25"/>
  <c r="D257" i="25"/>
  <c r="H257" i="25"/>
  <c r="D258" i="25"/>
  <c r="H258" i="25"/>
  <c r="D259" i="25"/>
  <c r="H259" i="25"/>
  <c r="D260" i="25"/>
  <c r="H260" i="25"/>
  <c r="D261" i="25"/>
  <c r="H261" i="25"/>
  <c r="D262" i="25"/>
  <c r="H262" i="25"/>
  <c r="D263" i="25"/>
  <c r="H263" i="25"/>
  <c r="D264" i="25"/>
  <c r="H264" i="25"/>
  <c r="D265" i="25"/>
  <c r="H265" i="25"/>
  <c r="D266" i="25"/>
  <c r="H266" i="25"/>
  <c r="D267" i="25"/>
  <c r="H267" i="25"/>
  <c r="D268" i="25"/>
  <c r="H268" i="25"/>
  <c r="D269" i="25"/>
  <c r="H269" i="25"/>
  <c r="D270" i="25"/>
  <c r="H270" i="25"/>
  <c r="D271" i="25"/>
  <c r="H271" i="25"/>
  <c r="D272" i="25"/>
  <c r="H272" i="25"/>
  <c r="D273" i="25"/>
  <c r="H273" i="25"/>
  <c r="D274" i="25"/>
  <c r="H274" i="25"/>
  <c r="D275" i="25"/>
  <c r="H275" i="25"/>
  <c r="D276" i="25"/>
  <c r="H276" i="25"/>
  <c r="D277" i="25"/>
  <c r="H277" i="25"/>
  <c r="D278" i="25"/>
  <c r="H278" i="25"/>
  <c r="D279" i="25"/>
  <c r="H279" i="25"/>
  <c r="D280" i="25"/>
  <c r="H280" i="25"/>
  <c r="D281" i="25"/>
  <c r="H281" i="25"/>
  <c r="D282" i="25"/>
  <c r="H282" i="25"/>
  <c r="D283" i="25"/>
  <c r="H283" i="25"/>
  <c r="D284" i="25"/>
  <c r="H284" i="25"/>
  <c r="D285" i="25"/>
  <c r="H285" i="25"/>
  <c r="D286" i="25"/>
  <c r="H286" i="25"/>
  <c r="D287" i="25"/>
  <c r="H287" i="25"/>
  <c r="D288" i="25"/>
  <c r="H288" i="25"/>
  <c r="D289" i="25"/>
  <c r="H289" i="25"/>
  <c r="D290" i="25"/>
  <c r="H290" i="25"/>
  <c r="D291" i="25"/>
  <c r="H291" i="25"/>
  <c r="D292" i="25"/>
  <c r="H292" i="25"/>
  <c r="D293" i="25"/>
  <c r="H293" i="25"/>
  <c r="D294" i="25"/>
  <c r="H294" i="25"/>
  <c r="D295" i="25"/>
  <c r="H295" i="25"/>
  <c r="D296" i="25"/>
  <c r="H296" i="25"/>
  <c r="D297" i="25"/>
  <c r="H297" i="25"/>
  <c r="D298" i="25"/>
  <c r="H298" i="25"/>
  <c r="D299" i="25"/>
  <c r="H299" i="25"/>
  <c r="D300" i="25"/>
  <c r="H300" i="25"/>
  <c r="D301" i="25"/>
  <c r="H301" i="25"/>
  <c r="D302" i="25"/>
  <c r="H302" i="25"/>
  <c r="D303" i="25"/>
  <c r="H303" i="25"/>
  <c r="D304" i="25"/>
  <c r="H304" i="25"/>
  <c r="D305" i="25"/>
  <c r="H305" i="25"/>
  <c r="D306" i="25"/>
  <c r="H306" i="25"/>
  <c r="D307" i="25"/>
  <c r="H307" i="25"/>
  <c r="D308" i="25"/>
  <c r="H308" i="25"/>
  <c r="D309" i="25"/>
  <c r="H309" i="25"/>
  <c r="D310" i="25"/>
  <c r="H310" i="25"/>
  <c r="D311" i="25"/>
  <c r="H311" i="25"/>
  <c r="D312" i="25"/>
  <c r="H312" i="25"/>
  <c r="D313" i="25"/>
  <c r="H313" i="25"/>
  <c r="D314" i="25"/>
  <c r="H314" i="25"/>
  <c r="D315" i="25"/>
  <c r="H315" i="25"/>
  <c r="D316" i="25"/>
  <c r="H316" i="25"/>
  <c r="D317" i="25"/>
  <c r="H317" i="25"/>
  <c r="D318" i="25"/>
  <c r="H318" i="25"/>
  <c r="D319" i="25"/>
  <c r="H319" i="25"/>
  <c r="D320" i="25"/>
  <c r="H320" i="25"/>
  <c r="D321" i="25"/>
  <c r="H321" i="25"/>
  <c r="D322" i="25"/>
  <c r="H322" i="25"/>
  <c r="D323" i="25"/>
  <c r="H323" i="25"/>
  <c r="D324" i="25"/>
  <c r="H324" i="25"/>
  <c r="D325" i="25"/>
  <c r="H325" i="25"/>
  <c r="D326" i="25"/>
  <c r="H326" i="25"/>
  <c r="D327" i="25"/>
  <c r="H327" i="25"/>
  <c r="D328" i="25"/>
  <c r="H328" i="25"/>
  <c r="D329" i="25"/>
  <c r="H329" i="25"/>
  <c r="D330" i="25"/>
  <c r="H330" i="25"/>
  <c r="D331" i="25"/>
  <c r="H331" i="25"/>
  <c r="D332" i="25"/>
  <c r="H332" i="25"/>
  <c r="D333" i="25"/>
  <c r="H333" i="25"/>
  <c r="D334" i="25"/>
  <c r="H334" i="25"/>
  <c r="D335" i="25"/>
  <c r="H335" i="25"/>
  <c r="D336" i="25"/>
  <c r="H336" i="25"/>
  <c r="D337" i="25"/>
  <c r="H337" i="25"/>
  <c r="D338" i="25"/>
  <c r="H338" i="25"/>
  <c r="D339" i="25"/>
  <c r="H339" i="25"/>
  <c r="D340" i="25"/>
  <c r="H340" i="25"/>
  <c r="D341" i="25"/>
  <c r="H341" i="25"/>
  <c r="D342" i="25"/>
  <c r="H342" i="25"/>
  <c r="D343" i="25"/>
  <c r="H343" i="25"/>
  <c r="D344" i="25"/>
  <c r="H344" i="25"/>
  <c r="D345" i="25"/>
  <c r="H345" i="25"/>
  <c r="D346" i="25"/>
  <c r="H346" i="25"/>
  <c r="D347" i="25"/>
  <c r="H347" i="25"/>
  <c r="D348" i="25"/>
  <c r="H348" i="25"/>
  <c r="D349" i="25"/>
  <c r="H349" i="25"/>
  <c r="D350" i="25"/>
  <c r="H350" i="25"/>
  <c r="D351" i="25"/>
  <c r="H351" i="25"/>
  <c r="D352" i="25"/>
  <c r="H352" i="25"/>
  <c r="D353" i="25"/>
  <c r="H353" i="25"/>
  <c r="D354" i="25"/>
  <c r="H354" i="25"/>
  <c r="D355" i="25"/>
  <c r="H355" i="25"/>
  <c r="D356" i="25"/>
  <c r="H356" i="25"/>
  <c r="D357" i="25"/>
  <c r="H357" i="25"/>
  <c r="D358" i="25"/>
  <c r="H358" i="25"/>
  <c r="D359" i="25"/>
  <c r="H359" i="25"/>
  <c r="D360" i="25"/>
  <c r="H360" i="25"/>
  <c r="D361" i="25"/>
  <c r="H361" i="25"/>
  <c r="D362" i="25"/>
  <c r="H362" i="25"/>
  <c r="D363" i="25"/>
  <c r="H363" i="25"/>
  <c r="D364" i="25"/>
  <c r="H364" i="25"/>
  <c r="D365" i="25"/>
  <c r="H365" i="25"/>
  <c r="D366" i="25"/>
  <c r="H366" i="25"/>
  <c r="D367" i="25"/>
  <c r="H367" i="25"/>
  <c r="D368" i="25"/>
  <c r="H368" i="25"/>
  <c r="D369" i="25"/>
  <c r="H369" i="25"/>
  <c r="D370" i="25"/>
  <c r="H370" i="25"/>
  <c r="D371" i="25"/>
  <c r="H371" i="25"/>
  <c r="D372" i="25"/>
  <c r="H372" i="25"/>
  <c r="D373" i="25"/>
  <c r="H373" i="25"/>
  <c r="D374" i="25"/>
  <c r="H374" i="25"/>
  <c r="D375" i="25"/>
  <c r="H375" i="25"/>
  <c r="D376" i="25"/>
  <c r="H376" i="25"/>
  <c r="D377" i="25"/>
  <c r="H377" i="25"/>
  <c r="D378" i="25"/>
  <c r="H378" i="25"/>
  <c r="D379" i="25"/>
  <c r="H379" i="25"/>
  <c r="D380" i="25"/>
  <c r="H380" i="25"/>
  <c r="D381" i="25"/>
  <c r="H381" i="25"/>
  <c r="D382" i="25"/>
  <c r="H382" i="25"/>
  <c r="D383" i="25"/>
  <c r="H383" i="25"/>
  <c r="D384" i="25"/>
  <c r="H384" i="25"/>
  <c r="D385" i="25"/>
  <c r="H385" i="25"/>
  <c r="D386" i="25"/>
  <c r="H386" i="25"/>
  <c r="D387" i="25"/>
  <c r="H387" i="25"/>
  <c r="D388" i="25"/>
  <c r="H388" i="25"/>
  <c r="D389" i="25"/>
  <c r="H389" i="25"/>
  <c r="D390" i="25"/>
  <c r="H390" i="25"/>
  <c r="D391" i="25"/>
  <c r="H391" i="25"/>
  <c r="D392" i="25"/>
  <c r="H392" i="25"/>
  <c r="D393" i="25"/>
  <c r="H393" i="25"/>
  <c r="D394" i="25"/>
  <c r="H394" i="25"/>
  <c r="D395" i="25"/>
  <c r="H395" i="25"/>
  <c r="D396" i="25"/>
  <c r="H396" i="25"/>
  <c r="D397" i="25"/>
  <c r="H397" i="25"/>
  <c r="D398" i="25"/>
  <c r="H398" i="25"/>
  <c r="D399" i="25"/>
  <c r="H399" i="25"/>
  <c r="D400" i="25"/>
  <c r="H400" i="25"/>
  <c r="D401" i="25"/>
  <c r="H401" i="25"/>
  <c r="D402" i="25"/>
  <c r="H402" i="25"/>
  <c r="D403" i="25"/>
  <c r="H403" i="25"/>
  <c r="D404" i="25"/>
  <c r="H404" i="25"/>
  <c r="D405" i="25"/>
  <c r="H405" i="25"/>
  <c r="D406" i="25"/>
  <c r="H406" i="25"/>
  <c r="D407" i="25"/>
  <c r="H407" i="25"/>
  <c r="D408" i="25"/>
  <c r="H408" i="25"/>
  <c r="D409" i="25"/>
  <c r="H409" i="25"/>
  <c r="D410" i="25"/>
  <c r="H410" i="25"/>
  <c r="D411" i="25"/>
  <c r="H411" i="25"/>
  <c r="D412" i="25"/>
  <c r="H412" i="25"/>
  <c r="D413" i="25"/>
  <c r="H413" i="25"/>
  <c r="D414" i="25"/>
  <c r="H414" i="25"/>
  <c r="D415" i="25"/>
  <c r="H415" i="25"/>
  <c r="D416" i="25"/>
  <c r="H416" i="25"/>
  <c r="D417" i="25"/>
  <c r="H417" i="25"/>
  <c r="D418" i="25"/>
  <c r="H418" i="25"/>
  <c r="D419" i="25"/>
  <c r="H419" i="25"/>
  <c r="D420" i="25"/>
  <c r="H420" i="25"/>
  <c r="D421" i="25"/>
  <c r="H421" i="25"/>
  <c r="D422" i="25"/>
  <c r="H422" i="25"/>
  <c r="D423" i="25"/>
  <c r="H423" i="25"/>
  <c r="D424" i="25"/>
  <c r="H424" i="25"/>
  <c r="D425" i="25"/>
  <c r="H425" i="25"/>
  <c r="D426" i="25"/>
  <c r="H426" i="25"/>
  <c r="D427" i="25"/>
  <c r="H427" i="25"/>
  <c r="D428" i="25"/>
  <c r="H428" i="25"/>
  <c r="D429" i="25"/>
  <c r="H429" i="25"/>
  <c r="D430" i="25"/>
  <c r="H430" i="25"/>
  <c r="D431" i="25"/>
  <c r="H431" i="25"/>
  <c r="D432" i="25"/>
  <c r="H432" i="25"/>
  <c r="D433" i="25"/>
  <c r="H433" i="25"/>
  <c r="D434" i="25"/>
  <c r="H434" i="25"/>
  <c r="D435" i="25"/>
  <c r="H435" i="25"/>
  <c r="D436" i="25"/>
  <c r="H436" i="25"/>
  <c r="D437" i="25"/>
  <c r="H437" i="25"/>
  <c r="D438" i="25"/>
  <c r="H438" i="25"/>
  <c r="D439" i="25"/>
  <c r="H439" i="25"/>
  <c r="D440" i="25"/>
  <c r="H440" i="25"/>
  <c r="D441" i="25"/>
  <c r="H441" i="25"/>
  <c r="D442" i="25"/>
  <c r="H442" i="25"/>
  <c r="D443" i="25"/>
  <c r="H443" i="25"/>
  <c r="D444" i="25"/>
  <c r="H444" i="25"/>
  <c r="D445" i="25"/>
  <c r="H445" i="25"/>
  <c r="D446" i="25"/>
  <c r="H446" i="25"/>
  <c r="D447" i="25"/>
  <c r="H447" i="25"/>
  <c r="D448" i="25"/>
  <c r="H448" i="25"/>
  <c r="D449" i="25"/>
  <c r="H449" i="25"/>
  <c r="D450" i="25"/>
  <c r="H450" i="25"/>
  <c r="D451" i="25"/>
  <c r="H451" i="25"/>
  <c r="D452" i="25"/>
  <c r="H452" i="25"/>
  <c r="D453" i="25"/>
  <c r="H453" i="25"/>
  <c r="D454" i="25"/>
  <c r="H454" i="25"/>
  <c r="D455" i="25"/>
  <c r="H455" i="25"/>
  <c r="D456" i="25"/>
  <c r="H456" i="25"/>
  <c r="D457" i="25"/>
  <c r="H457" i="25"/>
  <c r="D458" i="25"/>
  <c r="H458" i="25"/>
  <c r="D459" i="25"/>
  <c r="H459" i="25"/>
  <c r="D460" i="25"/>
  <c r="H460" i="25"/>
  <c r="D461" i="25"/>
  <c r="H461" i="25"/>
  <c r="D462" i="25"/>
  <c r="H462" i="25"/>
  <c r="D463" i="25"/>
  <c r="H463" i="25"/>
  <c r="D464" i="25"/>
  <c r="H464" i="25"/>
  <c r="D465" i="25"/>
  <c r="H465" i="25"/>
  <c r="D466" i="25"/>
  <c r="H466" i="25"/>
  <c r="D467" i="25"/>
  <c r="H467" i="25"/>
  <c r="D468" i="25"/>
  <c r="H468" i="25"/>
  <c r="D469" i="25"/>
  <c r="H469" i="25"/>
  <c r="D470" i="25"/>
  <c r="H470" i="25"/>
  <c r="D471" i="25"/>
  <c r="H471" i="25"/>
  <c r="D472" i="25"/>
  <c r="H472" i="25"/>
  <c r="D473" i="25"/>
  <c r="H473" i="25"/>
  <c r="D474" i="25"/>
  <c r="H474" i="25"/>
  <c r="D475" i="25"/>
  <c r="H475" i="25"/>
  <c r="D476" i="25"/>
  <c r="H476" i="25"/>
  <c r="D477" i="25"/>
  <c r="H477" i="25"/>
  <c r="D478" i="25"/>
  <c r="H478" i="25"/>
  <c r="D479" i="25"/>
  <c r="H479" i="25"/>
  <c r="D480" i="25"/>
  <c r="H480" i="25"/>
  <c r="D481" i="25"/>
  <c r="H481" i="25"/>
  <c r="D482" i="25"/>
  <c r="H482" i="25"/>
  <c r="D483" i="25"/>
  <c r="H483" i="25"/>
  <c r="D484" i="25"/>
  <c r="H484" i="25"/>
  <c r="D485" i="25"/>
  <c r="H485" i="25"/>
  <c r="D486" i="25"/>
  <c r="H486" i="25"/>
  <c r="D487" i="25"/>
  <c r="H487" i="25"/>
  <c r="D488" i="25"/>
  <c r="H488" i="25"/>
  <c r="D489" i="25"/>
  <c r="H489" i="25"/>
  <c r="D490" i="25"/>
  <c r="H490" i="25"/>
  <c r="D491" i="25"/>
  <c r="H491" i="25"/>
  <c r="D492" i="25"/>
  <c r="H492" i="25"/>
  <c r="D493" i="25"/>
  <c r="H493" i="25"/>
  <c r="D494" i="25"/>
  <c r="H494" i="25"/>
  <c r="D495" i="25"/>
  <c r="H495" i="25"/>
  <c r="D496" i="25"/>
  <c r="H496" i="25"/>
  <c r="D497" i="25"/>
  <c r="H497" i="25"/>
  <c r="D498" i="25"/>
  <c r="H498" i="25"/>
  <c r="D499" i="25"/>
  <c r="H499" i="25"/>
  <c r="D500" i="25"/>
  <c r="H500" i="25"/>
  <c r="D501" i="25"/>
  <c r="H501" i="25"/>
  <c r="D502" i="25"/>
  <c r="H502" i="25"/>
  <c r="D503" i="25"/>
  <c r="H503" i="25"/>
  <c r="D504" i="25"/>
  <c r="H504" i="25"/>
  <c r="D505" i="25"/>
  <c r="H505" i="25"/>
  <c r="D506" i="25"/>
  <c r="H506" i="25"/>
  <c r="D507" i="25"/>
  <c r="H507" i="25"/>
  <c r="D508" i="25"/>
  <c r="H508" i="25"/>
  <c r="D509" i="25"/>
  <c r="H509" i="25"/>
  <c r="D510" i="25"/>
  <c r="H510" i="25"/>
  <c r="D511" i="25"/>
  <c r="H511" i="25"/>
  <c r="D512" i="25"/>
  <c r="H512" i="25"/>
  <c r="D513" i="25"/>
  <c r="H513" i="25"/>
  <c r="D514" i="25"/>
  <c r="H514" i="25"/>
  <c r="D515" i="25"/>
  <c r="H515" i="25"/>
  <c r="D516" i="25"/>
  <c r="H516" i="25"/>
  <c r="D517" i="25"/>
  <c r="H517" i="25"/>
  <c r="D518" i="25"/>
  <c r="H518" i="25"/>
  <c r="D519" i="25"/>
  <c r="H519" i="25"/>
  <c r="D520" i="25"/>
  <c r="H520" i="25"/>
  <c r="D521" i="25"/>
  <c r="H521" i="25"/>
  <c r="D522" i="25"/>
  <c r="H522" i="25"/>
  <c r="D523" i="25"/>
  <c r="H523" i="25"/>
  <c r="D524" i="25"/>
  <c r="H524" i="25"/>
  <c r="D525" i="25"/>
  <c r="H525" i="25"/>
  <c r="D526" i="25"/>
  <c r="H526" i="25"/>
  <c r="D527" i="25"/>
  <c r="H527" i="25"/>
  <c r="D528" i="25"/>
  <c r="H528" i="25"/>
  <c r="D529" i="25"/>
  <c r="H529" i="25"/>
  <c r="D530" i="25"/>
  <c r="H530" i="25"/>
  <c r="D531" i="25"/>
  <c r="H531" i="25"/>
  <c r="D532" i="25"/>
  <c r="H532" i="25"/>
  <c r="D533" i="25"/>
  <c r="H533" i="25"/>
  <c r="D534" i="25"/>
  <c r="H534" i="25"/>
  <c r="D535" i="25"/>
  <c r="H535" i="25"/>
  <c r="D536" i="25"/>
  <c r="H536" i="25"/>
  <c r="D537" i="25"/>
  <c r="H537" i="25"/>
  <c r="D538" i="25"/>
  <c r="H538" i="25"/>
  <c r="D539" i="25"/>
  <c r="H539" i="25"/>
  <c r="D540" i="25"/>
  <c r="H540" i="25"/>
  <c r="D541" i="25"/>
  <c r="H541" i="25"/>
  <c r="D542" i="25"/>
  <c r="H542" i="25"/>
  <c r="D543" i="25"/>
  <c r="H543" i="25"/>
  <c r="D544" i="25"/>
  <c r="H544" i="25"/>
  <c r="D545" i="25"/>
  <c r="H545" i="25"/>
  <c r="D546" i="25"/>
  <c r="H546" i="25"/>
  <c r="D547" i="25"/>
  <c r="H547" i="25"/>
  <c r="D548" i="25"/>
  <c r="H548" i="25"/>
  <c r="D549" i="25"/>
  <c r="H549" i="25"/>
  <c r="D550" i="25"/>
  <c r="H550" i="25"/>
  <c r="D551" i="25"/>
  <c r="H551" i="25"/>
  <c r="D552" i="25"/>
  <c r="H552" i="25"/>
  <c r="D553" i="25"/>
  <c r="H553" i="25"/>
  <c r="D554" i="25"/>
  <c r="H554" i="25"/>
  <c r="D555" i="25"/>
  <c r="H555" i="25"/>
  <c r="D556" i="25"/>
  <c r="H556" i="25"/>
  <c r="D557" i="25"/>
  <c r="H557" i="25"/>
  <c r="D558" i="25"/>
  <c r="H558" i="25"/>
  <c r="D559" i="25"/>
  <c r="H559" i="25"/>
  <c r="D560" i="25"/>
  <c r="H560" i="25"/>
  <c r="D561" i="25"/>
  <c r="H561" i="25"/>
  <c r="D562" i="25"/>
  <c r="H562" i="25"/>
  <c r="D563" i="25"/>
  <c r="H563" i="25"/>
  <c r="D564" i="25"/>
  <c r="H564" i="25"/>
  <c r="D565" i="25"/>
  <c r="H565" i="25"/>
  <c r="D566" i="25"/>
  <c r="H566" i="25"/>
  <c r="D567" i="25"/>
  <c r="H567" i="25"/>
  <c r="D568" i="25"/>
  <c r="H568" i="25"/>
  <c r="D569" i="25"/>
  <c r="H569" i="25"/>
  <c r="D570" i="25"/>
  <c r="H570" i="25"/>
  <c r="D571" i="25"/>
  <c r="H571" i="25"/>
  <c r="D572" i="25"/>
  <c r="H572" i="25"/>
  <c r="D573" i="25"/>
  <c r="H573" i="25"/>
  <c r="D574" i="25"/>
  <c r="H574" i="25"/>
  <c r="D575" i="25"/>
  <c r="H575" i="25"/>
  <c r="D576" i="25"/>
  <c r="H576" i="25"/>
  <c r="D577" i="25"/>
  <c r="H577" i="25"/>
  <c r="D578" i="25"/>
  <c r="H578" i="25"/>
  <c r="D579" i="25"/>
  <c r="H579" i="25"/>
  <c r="D580" i="25"/>
  <c r="H580" i="25"/>
  <c r="D581" i="25"/>
  <c r="H581" i="25"/>
  <c r="D582" i="25"/>
  <c r="H582" i="25"/>
  <c r="D583" i="25"/>
  <c r="H583" i="25"/>
  <c r="D584" i="25"/>
  <c r="H584" i="25"/>
  <c r="D585" i="25"/>
  <c r="H585" i="25"/>
  <c r="D586" i="25"/>
  <c r="H586" i="25"/>
  <c r="D587" i="25"/>
  <c r="H587" i="25"/>
  <c r="D588" i="25"/>
  <c r="H588" i="25"/>
  <c r="D589" i="25"/>
  <c r="H589" i="25"/>
  <c r="D590" i="25"/>
  <c r="H590" i="25"/>
  <c r="D591" i="25"/>
  <c r="H591" i="25"/>
  <c r="D592" i="25"/>
  <c r="H592" i="25"/>
  <c r="D593" i="25"/>
  <c r="H593" i="25"/>
  <c r="D594" i="25"/>
  <c r="H594" i="25"/>
  <c r="D595" i="25"/>
  <c r="H595" i="25"/>
  <c r="D596" i="25"/>
  <c r="H596" i="25"/>
  <c r="D597" i="25"/>
  <c r="H597" i="25"/>
  <c r="D598" i="25"/>
  <c r="H598" i="25"/>
  <c r="D599" i="25"/>
  <c r="H599" i="25"/>
  <c r="D600" i="25"/>
  <c r="H600" i="25"/>
  <c r="D601" i="25"/>
  <c r="H601" i="25"/>
  <c r="D602" i="25"/>
  <c r="H602" i="25"/>
  <c r="D603" i="25"/>
  <c r="H603" i="25"/>
  <c r="D604" i="25"/>
  <c r="H604" i="25"/>
  <c r="D605" i="25"/>
  <c r="H605" i="25"/>
  <c r="D606" i="25"/>
  <c r="H606" i="25"/>
  <c r="D607" i="25"/>
  <c r="H607" i="25"/>
  <c r="D608" i="25"/>
  <c r="H608" i="25"/>
  <c r="D609" i="25"/>
  <c r="H609" i="25"/>
  <c r="D610" i="25"/>
  <c r="H610" i="25"/>
  <c r="D611" i="25"/>
  <c r="H611" i="25"/>
  <c r="D612" i="25"/>
  <c r="H612" i="25"/>
  <c r="D613" i="25"/>
  <c r="H613" i="25"/>
  <c r="D614" i="25"/>
  <c r="H614" i="25"/>
  <c r="D615" i="25"/>
  <c r="H615" i="25"/>
  <c r="D616" i="25"/>
  <c r="H616" i="25"/>
  <c r="D617" i="25"/>
  <c r="H617" i="25"/>
  <c r="D618" i="25"/>
  <c r="H618" i="25"/>
  <c r="D619" i="25"/>
  <c r="H619" i="25"/>
  <c r="D620" i="25"/>
  <c r="H620" i="25"/>
  <c r="D621" i="25"/>
  <c r="H621" i="25"/>
  <c r="D622" i="25"/>
  <c r="H622" i="25"/>
  <c r="D623" i="25"/>
  <c r="H623" i="25"/>
  <c r="D624" i="25"/>
  <c r="H624" i="25"/>
  <c r="D625" i="25"/>
  <c r="H625" i="25"/>
  <c r="D626" i="25"/>
  <c r="H626" i="25"/>
  <c r="D627" i="25"/>
  <c r="H627" i="25"/>
  <c r="D628" i="25"/>
  <c r="H628" i="25"/>
  <c r="D629" i="25"/>
  <c r="H629" i="25"/>
  <c r="D630" i="25"/>
  <c r="H630" i="25"/>
  <c r="D631" i="25"/>
  <c r="H631" i="25"/>
  <c r="D632" i="25"/>
  <c r="H632" i="25"/>
  <c r="D633" i="25"/>
  <c r="H633" i="25"/>
  <c r="D634" i="25"/>
  <c r="H634" i="25"/>
  <c r="D635" i="25"/>
  <c r="H635" i="25"/>
  <c r="D636" i="25"/>
  <c r="H636" i="25"/>
  <c r="D637" i="25"/>
  <c r="H637" i="25"/>
  <c r="D638" i="25"/>
  <c r="H638" i="25"/>
  <c r="D639" i="25"/>
  <c r="H639" i="25"/>
  <c r="D640" i="25"/>
  <c r="H640" i="25"/>
  <c r="D641" i="25"/>
  <c r="H641" i="25"/>
  <c r="D642" i="25"/>
  <c r="H642" i="25"/>
  <c r="D643" i="25"/>
  <c r="H643" i="25"/>
  <c r="D644" i="25"/>
  <c r="H644" i="25"/>
  <c r="D645" i="25"/>
  <c r="H645" i="25"/>
  <c r="D646" i="25"/>
  <c r="H646" i="25"/>
  <c r="D647" i="25"/>
  <c r="H647" i="25"/>
  <c r="D648" i="25"/>
  <c r="H648" i="25"/>
  <c r="D649" i="25"/>
  <c r="H649" i="25"/>
  <c r="D650" i="25"/>
  <c r="H650" i="25"/>
  <c r="D651" i="25"/>
  <c r="H651" i="25"/>
  <c r="D652" i="25"/>
  <c r="H652" i="25"/>
  <c r="D653" i="25"/>
  <c r="H653" i="25"/>
  <c r="D654" i="25"/>
  <c r="H654" i="25"/>
  <c r="D655" i="25"/>
  <c r="H655" i="25"/>
  <c r="D656" i="25"/>
  <c r="H656" i="25"/>
  <c r="D657" i="25"/>
  <c r="H657" i="25"/>
  <c r="D658" i="25"/>
  <c r="H658" i="25"/>
  <c r="D659" i="25"/>
  <c r="H659" i="25"/>
  <c r="D660" i="25"/>
  <c r="H660" i="25"/>
  <c r="D661" i="25"/>
  <c r="H661" i="25"/>
  <c r="D662" i="25"/>
  <c r="H662" i="25"/>
  <c r="D663" i="25"/>
  <c r="H663" i="25"/>
  <c r="D664" i="25"/>
  <c r="H664" i="25"/>
  <c r="D665" i="25"/>
  <c r="H665" i="25"/>
  <c r="D666" i="25"/>
  <c r="H666" i="25"/>
  <c r="D667" i="25"/>
  <c r="H667" i="25"/>
  <c r="D668" i="25"/>
  <c r="H668" i="25"/>
  <c r="D669" i="25"/>
  <c r="H669" i="25"/>
  <c r="D670" i="25"/>
  <c r="H670" i="25"/>
  <c r="D671" i="25"/>
  <c r="H671" i="25"/>
  <c r="D672" i="25"/>
  <c r="H672" i="25"/>
  <c r="D673" i="25"/>
  <c r="H673" i="25"/>
  <c r="D674" i="25"/>
  <c r="H674" i="25"/>
  <c r="D675" i="25"/>
  <c r="H675" i="25"/>
  <c r="D676" i="25"/>
  <c r="H676" i="25"/>
  <c r="D677" i="25"/>
  <c r="H677" i="25"/>
  <c r="D678" i="25"/>
  <c r="H678" i="25"/>
  <c r="D679" i="25"/>
  <c r="H679" i="25"/>
  <c r="D680" i="25"/>
  <c r="H680" i="25"/>
  <c r="D681" i="25"/>
  <c r="H681" i="25"/>
  <c r="D682" i="25"/>
  <c r="H682" i="25"/>
  <c r="D683" i="25"/>
  <c r="H683" i="25"/>
  <c r="D684" i="25"/>
  <c r="H684" i="25"/>
  <c r="D685" i="25"/>
  <c r="H685" i="25"/>
  <c r="D686" i="25"/>
  <c r="H686" i="25"/>
  <c r="D687" i="25"/>
  <c r="H687" i="25"/>
  <c r="D688" i="25"/>
  <c r="H688" i="25"/>
  <c r="D689" i="25"/>
  <c r="H689" i="25"/>
  <c r="D690" i="25"/>
  <c r="H690" i="25"/>
  <c r="D691" i="25"/>
  <c r="H691" i="25"/>
  <c r="D692" i="25"/>
  <c r="H692" i="25"/>
  <c r="D693" i="25"/>
  <c r="H693" i="25"/>
  <c r="D694" i="25"/>
  <c r="H694" i="25"/>
  <c r="D695" i="25"/>
  <c r="H695" i="25"/>
  <c r="D696" i="25"/>
  <c r="H696" i="25"/>
  <c r="D697" i="25"/>
  <c r="H697" i="25"/>
  <c r="D698" i="25"/>
  <c r="H698" i="25"/>
  <c r="D699" i="25"/>
  <c r="H699" i="25"/>
  <c r="D700" i="25"/>
  <c r="H700" i="25"/>
  <c r="D701" i="25"/>
  <c r="H701" i="25"/>
  <c r="D702" i="25"/>
  <c r="H702" i="25"/>
  <c r="D703" i="25"/>
  <c r="H703" i="25"/>
  <c r="D704" i="25"/>
  <c r="H704" i="25"/>
  <c r="D705" i="25"/>
  <c r="H705" i="25"/>
  <c r="D706" i="25"/>
  <c r="H706" i="25"/>
  <c r="D707" i="25"/>
  <c r="H707" i="25"/>
  <c r="D708" i="25"/>
  <c r="H708" i="25"/>
  <c r="D709" i="25"/>
  <c r="H709" i="25"/>
  <c r="D710" i="25"/>
  <c r="H710" i="25"/>
  <c r="D711" i="25"/>
  <c r="H711" i="25"/>
  <c r="D712" i="25"/>
  <c r="H712" i="25"/>
  <c r="D713" i="25"/>
  <c r="H713" i="25"/>
  <c r="D714" i="25"/>
  <c r="H714" i="25"/>
  <c r="D715" i="25"/>
  <c r="H715" i="25"/>
  <c r="D716" i="25"/>
  <c r="H716" i="25"/>
  <c r="D717" i="25"/>
  <c r="H717" i="25"/>
  <c r="D718" i="25"/>
  <c r="H718" i="25"/>
  <c r="D719" i="25"/>
  <c r="H719" i="25"/>
  <c r="D720" i="25"/>
  <c r="H720" i="25"/>
  <c r="D721" i="25"/>
  <c r="H721" i="25"/>
  <c r="D722" i="25"/>
  <c r="H722" i="25"/>
  <c r="D723" i="25"/>
  <c r="H723" i="25"/>
  <c r="D724" i="25"/>
  <c r="H724" i="25"/>
  <c r="D725" i="25"/>
  <c r="H725" i="25"/>
  <c r="D726" i="25"/>
  <c r="H726" i="25"/>
  <c r="D727" i="25"/>
  <c r="H727" i="25"/>
  <c r="D728" i="25"/>
  <c r="H728" i="25"/>
  <c r="D729" i="25"/>
  <c r="H729" i="25"/>
  <c r="D730" i="25"/>
  <c r="H730" i="25"/>
  <c r="D731" i="25"/>
  <c r="H731" i="25"/>
  <c r="D732" i="25"/>
  <c r="H732" i="25"/>
  <c r="D733" i="25"/>
  <c r="H733" i="25"/>
  <c r="D734" i="25"/>
  <c r="H734" i="25"/>
  <c r="D735" i="25"/>
  <c r="H735" i="25"/>
  <c r="D736" i="25"/>
  <c r="H736" i="25"/>
  <c r="D737" i="25"/>
  <c r="H737" i="25"/>
  <c r="D738" i="25"/>
  <c r="H738" i="25"/>
  <c r="D739" i="25"/>
  <c r="H739" i="25"/>
  <c r="D740" i="25"/>
  <c r="H740" i="25"/>
  <c r="D741" i="25"/>
  <c r="H741" i="25"/>
  <c r="D742" i="25"/>
  <c r="H742" i="25"/>
  <c r="D743" i="25"/>
  <c r="H743" i="25"/>
  <c r="D744" i="25"/>
  <c r="H744" i="25"/>
  <c r="D745" i="25"/>
  <c r="H745" i="25"/>
  <c r="D746" i="25"/>
  <c r="H746" i="25"/>
  <c r="D747" i="25"/>
  <c r="H747" i="25"/>
  <c r="D748" i="25"/>
  <c r="H748" i="25"/>
  <c r="D749" i="25"/>
  <c r="H749" i="25"/>
  <c r="D750" i="25"/>
  <c r="H750" i="25"/>
  <c r="D751" i="25"/>
  <c r="H751" i="25"/>
  <c r="D752" i="25"/>
  <c r="H752" i="25"/>
  <c r="D753" i="25"/>
  <c r="H753" i="25"/>
  <c r="D754" i="25"/>
  <c r="H754" i="25"/>
  <c r="D755" i="25"/>
  <c r="H755" i="25"/>
  <c r="D756" i="25"/>
  <c r="H756" i="25"/>
  <c r="D757" i="25"/>
  <c r="H757" i="25"/>
  <c r="D758" i="25"/>
  <c r="H758" i="25"/>
  <c r="D759" i="25"/>
  <c r="H759" i="25"/>
  <c r="D760" i="25"/>
  <c r="H760" i="25"/>
  <c r="D761" i="25"/>
  <c r="H761" i="25"/>
  <c r="D762" i="25"/>
  <c r="H762" i="25"/>
  <c r="D763" i="25"/>
  <c r="H763" i="25"/>
  <c r="D764" i="25"/>
  <c r="H764" i="25"/>
  <c r="D765" i="25"/>
  <c r="H765" i="25"/>
  <c r="D766" i="25"/>
  <c r="H766" i="25"/>
  <c r="D767" i="25"/>
  <c r="H767" i="25"/>
  <c r="D768" i="25"/>
  <c r="H768" i="25"/>
  <c r="D769" i="25"/>
  <c r="H769" i="25"/>
  <c r="D770" i="25"/>
  <c r="H770" i="25"/>
  <c r="D771" i="25"/>
  <c r="H771" i="25"/>
  <c r="D772" i="25"/>
  <c r="H772" i="25"/>
  <c r="D773" i="25"/>
  <c r="H773" i="25"/>
  <c r="D774" i="25"/>
  <c r="H774" i="25"/>
  <c r="D775" i="25"/>
  <c r="H775" i="25"/>
  <c r="D776" i="25"/>
  <c r="H776" i="25"/>
  <c r="D777" i="25"/>
  <c r="H777" i="25"/>
  <c r="D778" i="25"/>
  <c r="H778" i="25"/>
  <c r="D779" i="25"/>
  <c r="H779" i="25"/>
  <c r="D780" i="25"/>
  <c r="H780" i="25"/>
  <c r="D781" i="25"/>
  <c r="H781" i="25"/>
  <c r="D782" i="25"/>
  <c r="H782" i="25"/>
  <c r="D783" i="25"/>
  <c r="H783" i="25"/>
  <c r="D784" i="25"/>
  <c r="H784" i="25"/>
  <c r="D785" i="25"/>
  <c r="H785" i="25"/>
  <c r="D786" i="25"/>
  <c r="H786" i="25"/>
  <c r="D787" i="25"/>
  <c r="H787" i="25"/>
  <c r="D788" i="25"/>
  <c r="H788" i="25"/>
  <c r="D789" i="25"/>
  <c r="H789" i="25"/>
  <c r="D790" i="25"/>
  <c r="H790" i="25"/>
  <c r="D791" i="25"/>
  <c r="H791" i="25"/>
  <c r="D792" i="25"/>
  <c r="H792" i="25"/>
  <c r="D793" i="25"/>
  <c r="H793" i="25"/>
  <c r="D794" i="25"/>
  <c r="H794" i="25"/>
  <c r="D795" i="25"/>
  <c r="H795" i="25"/>
  <c r="D796" i="25"/>
  <c r="H796" i="25"/>
  <c r="D797" i="25"/>
  <c r="H797" i="25"/>
  <c r="D798" i="25"/>
  <c r="H798" i="25"/>
  <c r="D799" i="25"/>
  <c r="H799" i="25"/>
  <c r="D800" i="25"/>
  <c r="H800" i="25"/>
  <c r="D801" i="25"/>
  <c r="H801" i="25"/>
  <c r="D802" i="25"/>
  <c r="H802" i="25"/>
  <c r="D803" i="25"/>
  <c r="H803" i="25"/>
  <c r="D804" i="25"/>
  <c r="H804" i="25"/>
  <c r="D805" i="25"/>
  <c r="H805" i="25"/>
  <c r="D806" i="25"/>
  <c r="H806" i="25"/>
  <c r="D807" i="25"/>
  <c r="H807" i="25"/>
  <c r="D808" i="25"/>
  <c r="H808" i="25"/>
  <c r="D809" i="25"/>
  <c r="H809" i="25"/>
  <c r="D810" i="25"/>
  <c r="H810" i="25"/>
  <c r="D811" i="25"/>
  <c r="H811" i="25"/>
  <c r="D812" i="25"/>
  <c r="H812" i="25"/>
  <c r="D813" i="25"/>
  <c r="H813" i="25"/>
  <c r="D814" i="25"/>
  <c r="H814" i="25"/>
  <c r="D815" i="25"/>
  <c r="H815" i="25"/>
  <c r="D816" i="25"/>
  <c r="H816" i="25"/>
  <c r="D817" i="25"/>
  <c r="H817" i="25"/>
  <c r="D818" i="25"/>
  <c r="H818" i="25"/>
  <c r="D819" i="25"/>
  <c r="H819" i="25"/>
  <c r="D820" i="25"/>
  <c r="H820" i="25"/>
  <c r="D821" i="25"/>
  <c r="H821" i="25"/>
  <c r="D822" i="25"/>
  <c r="H822" i="25"/>
  <c r="D823" i="25"/>
  <c r="H823" i="25"/>
  <c r="D824" i="25"/>
  <c r="H824" i="25"/>
  <c r="D825" i="25"/>
  <c r="H825" i="25"/>
  <c r="D826" i="25"/>
  <c r="H826" i="25"/>
  <c r="D827" i="25"/>
  <c r="H827" i="25"/>
  <c r="D828" i="25"/>
  <c r="H828" i="25"/>
  <c r="D829" i="25"/>
  <c r="H829" i="25"/>
  <c r="D830" i="25"/>
  <c r="H830" i="25"/>
  <c r="D831" i="25"/>
  <c r="H831" i="25"/>
  <c r="D832" i="25"/>
  <c r="H832" i="25"/>
  <c r="D833" i="25"/>
  <c r="H833" i="25"/>
  <c r="D834" i="25"/>
  <c r="H834" i="25"/>
  <c r="D835" i="25"/>
  <c r="H835" i="25"/>
  <c r="D836" i="25"/>
  <c r="H836" i="25"/>
  <c r="D837" i="25"/>
  <c r="H837" i="25"/>
  <c r="D838" i="25"/>
  <c r="H838" i="25"/>
  <c r="D839" i="25"/>
  <c r="H839" i="25"/>
  <c r="D840" i="25"/>
  <c r="H840" i="25"/>
  <c r="D841" i="25"/>
  <c r="H841" i="25"/>
  <c r="D842" i="25"/>
  <c r="H842" i="25"/>
  <c r="D843" i="25"/>
  <c r="H843" i="25"/>
  <c r="D844" i="25"/>
  <c r="H844" i="25"/>
  <c r="D845" i="25"/>
  <c r="H845" i="25"/>
  <c r="D846" i="25"/>
  <c r="H846" i="25"/>
  <c r="D847" i="25"/>
  <c r="H847" i="25"/>
  <c r="D848" i="25"/>
  <c r="H848" i="25"/>
  <c r="D849" i="25"/>
  <c r="H849" i="25"/>
  <c r="D850" i="25"/>
  <c r="H850" i="25"/>
  <c r="D851" i="25"/>
  <c r="H851" i="25"/>
  <c r="D852" i="25"/>
  <c r="H852" i="25"/>
  <c r="D853" i="25"/>
  <c r="H853" i="25"/>
  <c r="D854" i="25"/>
  <c r="H854" i="25"/>
  <c r="D855" i="25"/>
  <c r="H855" i="25"/>
  <c r="D856" i="25"/>
  <c r="H856" i="25"/>
  <c r="D857" i="25"/>
  <c r="H857" i="25"/>
  <c r="D858" i="25"/>
  <c r="H858" i="25"/>
  <c r="D859" i="25"/>
  <c r="H859" i="25"/>
  <c r="D860" i="25"/>
  <c r="H860" i="25"/>
  <c r="D861" i="25"/>
  <c r="H861" i="25"/>
  <c r="D862" i="25"/>
  <c r="H862" i="25"/>
  <c r="D863" i="25"/>
  <c r="H863" i="25"/>
  <c r="D864" i="25"/>
  <c r="H864" i="25"/>
  <c r="D865" i="25"/>
  <c r="H865" i="25"/>
  <c r="D866" i="25"/>
  <c r="H866" i="25"/>
  <c r="D867" i="25"/>
  <c r="H867" i="25"/>
  <c r="D868" i="25"/>
  <c r="H868" i="25"/>
  <c r="D869" i="25"/>
  <c r="H869" i="25"/>
  <c r="D870" i="25"/>
  <c r="H870" i="25"/>
  <c r="D871" i="25"/>
  <c r="H871" i="25"/>
  <c r="D872" i="25"/>
  <c r="H872" i="25"/>
  <c r="D873" i="25"/>
  <c r="H873" i="25"/>
  <c r="D874" i="25"/>
  <c r="H874" i="25"/>
  <c r="D875" i="25"/>
  <c r="H875" i="25"/>
  <c r="D876" i="25"/>
  <c r="H876" i="25"/>
  <c r="D877" i="25"/>
  <c r="H877" i="25"/>
  <c r="D878" i="25"/>
  <c r="H878" i="25"/>
  <c r="D879" i="25"/>
  <c r="H879" i="25"/>
  <c r="D880" i="25"/>
  <c r="H880" i="25"/>
  <c r="D881" i="25"/>
  <c r="H881" i="25"/>
  <c r="D882" i="25"/>
  <c r="H882" i="25"/>
  <c r="D883" i="25"/>
  <c r="H883" i="25"/>
  <c r="D884" i="25"/>
  <c r="H884" i="25"/>
  <c r="D885" i="25"/>
  <c r="H885" i="25"/>
  <c r="D886" i="25"/>
  <c r="H886" i="25"/>
  <c r="D887" i="25"/>
  <c r="H887" i="25"/>
  <c r="D888" i="25"/>
  <c r="H888" i="25"/>
  <c r="D889" i="25"/>
  <c r="H889" i="25"/>
  <c r="D890" i="25"/>
  <c r="H890" i="25"/>
  <c r="D891" i="25"/>
  <c r="H891" i="25"/>
  <c r="D892" i="25"/>
  <c r="H892" i="25"/>
  <c r="D893" i="25"/>
  <c r="H893" i="25"/>
  <c r="D894" i="25"/>
  <c r="H894" i="25"/>
  <c r="D895" i="25"/>
  <c r="H895" i="25"/>
  <c r="D896" i="25"/>
  <c r="H896" i="25"/>
  <c r="D897" i="25"/>
  <c r="H897" i="25"/>
  <c r="D898" i="25"/>
  <c r="H898" i="25"/>
  <c r="D899" i="25"/>
  <c r="H899" i="25"/>
  <c r="D900" i="25"/>
  <c r="H900" i="25"/>
  <c r="D901" i="25"/>
  <c r="H901" i="25"/>
  <c r="D902" i="25"/>
  <c r="H902" i="25"/>
  <c r="D903" i="25"/>
  <c r="H903" i="25"/>
  <c r="D904" i="25"/>
  <c r="H904" i="25"/>
  <c r="D905" i="25"/>
  <c r="H905" i="25"/>
  <c r="D906" i="25"/>
  <c r="H906" i="25"/>
  <c r="D907" i="25"/>
  <c r="H907" i="25"/>
  <c r="D908" i="25"/>
  <c r="H908" i="25"/>
  <c r="D909" i="25"/>
  <c r="H909" i="25"/>
  <c r="D910" i="25"/>
  <c r="H910" i="25"/>
  <c r="D911" i="25"/>
  <c r="H911" i="25"/>
  <c r="D912" i="25"/>
  <c r="H912" i="25"/>
  <c r="D913" i="25"/>
  <c r="H913" i="25"/>
  <c r="D914" i="25"/>
  <c r="H914" i="25"/>
  <c r="D915" i="25"/>
  <c r="H915" i="25"/>
  <c r="D916" i="25"/>
  <c r="H916" i="25"/>
  <c r="D917" i="25"/>
  <c r="H917" i="25"/>
  <c r="D918" i="25"/>
  <c r="H918" i="25"/>
  <c r="D919" i="25"/>
  <c r="H919" i="25"/>
  <c r="D920" i="25"/>
  <c r="H920" i="25"/>
  <c r="D921" i="25"/>
  <c r="H921" i="25"/>
  <c r="D922" i="25"/>
  <c r="H922" i="25"/>
  <c r="D923" i="25"/>
  <c r="H923" i="25"/>
  <c r="D924" i="25"/>
  <c r="H924" i="25"/>
  <c r="D925" i="25"/>
  <c r="H925" i="25"/>
  <c r="D926" i="25"/>
  <c r="H926" i="25"/>
  <c r="D927" i="25"/>
  <c r="H927" i="25"/>
  <c r="D928" i="25"/>
  <c r="H928" i="25"/>
  <c r="D929" i="25"/>
  <c r="H929" i="25"/>
  <c r="D930" i="25"/>
  <c r="H930" i="25"/>
  <c r="D931" i="25"/>
  <c r="H931" i="25"/>
  <c r="D932" i="25"/>
  <c r="H932" i="25"/>
  <c r="D933" i="25"/>
  <c r="H933" i="25"/>
  <c r="D934" i="25"/>
  <c r="H934" i="25"/>
  <c r="D935" i="25"/>
  <c r="H935" i="25"/>
  <c r="D936" i="25"/>
  <c r="H936" i="25"/>
  <c r="D937" i="25"/>
  <c r="H937" i="25"/>
  <c r="D938" i="25"/>
  <c r="H938" i="25"/>
  <c r="D939" i="25"/>
  <c r="H939" i="25"/>
  <c r="D940" i="25"/>
  <c r="H940" i="25"/>
  <c r="D941" i="25"/>
  <c r="H941" i="25"/>
  <c r="D942" i="25"/>
  <c r="H942" i="25"/>
  <c r="D943" i="25"/>
  <c r="H943" i="25"/>
  <c r="D944" i="25"/>
  <c r="H944" i="25"/>
  <c r="D945" i="25"/>
  <c r="H945" i="25"/>
  <c r="D946" i="25"/>
  <c r="H946" i="25"/>
  <c r="D947" i="25"/>
  <c r="H947" i="25"/>
  <c r="D948" i="25"/>
  <c r="H948" i="25"/>
  <c r="D949" i="25"/>
  <c r="H949" i="25"/>
  <c r="D950" i="25"/>
  <c r="H950" i="25"/>
  <c r="D951" i="25"/>
  <c r="H951" i="25"/>
  <c r="D952" i="25"/>
  <c r="H952" i="25"/>
  <c r="D953" i="25"/>
  <c r="H953" i="25"/>
  <c r="D954" i="25"/>
  <c r="H954" i="25"/>
  <c r="D955" i="25"/>
  <c r="H955" i="25"/>
  <c r="D956" i="25"/>
  <c r="H956" i="25"/>
  <c r="D957" i="25"/>
  <c r="H957" i="25"/>
  <c r="D958" i="25"/>
  <c r="H958" i="25"/>
  <c r="D959" i="25"/>
  <c r="H959" i="25"/>
  <c r="D960" i="25"/>
  <c r="H960" i="25"/>
  <c r="D961" i="25"/>
  <c r="H961" i="25"/>
  <c r="D962" i="25"/>
  <c r="H962" i="25"/>
  <c r="D963" i="25"/>
  <c r="H963" i="25"/>
  <c r="D964" i="25"/>
  <c r="H964" i="25"/>
  <c r="D965" i="25"/>
  <c r="H965" i="25"/>
  <c r="D966" i="25"/>
  <c r="H966" i="25"/>
  <c r="D967" i="25"/>
  <c r="H967" i="25"/>
  <c r="D968" i="25"/>
  <c r="H968" i="25"/>
  <c r="D969" i="25"/>
  <c r="H969" i="25"/>
  <c r="D970" i="25"/>
  <c r="H970" i="25"/>
  <c r="D971" i="25"/>
  <c r="H971" i="25"/>
  <c r="D972" i="25"/>
  <c r="H972" i="25"/>
  <c r="D973" i="25"/>
  <c r="H973" i="25"/>
  <c r="D974" i="25"/>
  <c r="H974" i="25"/>
  <c r="D975" i="25"/>
  <c r="H975" i="25"/>
  <c r="D976" i="25"/>
  <c r="H976" i="25"/>
  <c r="D977" i="25"/>
  <c r="H977" i="25"/>
  <c r="D978" i="25"/>
  <c r="H978" i="25"/>
  <c r="D979" i="25"/>
  <c r="H979" i="25"/>
  <c r="D980" i="25"/>
  <c r="H980" i="25"/>
  <c r="D981" i="25"/>
  <c r="H981" i="25"/>
  <c r="D982" i="25"/>
  <c r="H982" i="25"/>
  <c r="D983" i="25"/>
  <c r="H983" i="25"/>
  <c r="D984" i="25"/>
  <c r="H984" i="25"/>
  <c r="D985" i="25"/>
  <c r="H985" i="25"/>
  <c r="D986" i="25"/>
  <c r="H986" i="25"/>
  <c r="D987" i="25"/>
  <c r="H987" i="25"/>
  <c r="D988" i="25"/>
  <c r="H988" i="25"/>
  <c r="D989" i="25"/>
  <c r="H989" i="25"/>
  <c r="D990" i="25"/>
  <c r="H990" i="25"/>
  <c r="D991" i="25"/>
  <c r="H991" i="25"/>
  <c r="D992" i="25"/>
  <c r="H992" i="25"/>
  <c r="D993" i="25"/>
  <c r="H993" i="25"/>
  <c r="D994" i="25"/>
  <c r="H994" i="25"/>
  <c r="D995" i="25"/>
  <c r="H995" i="25"/>
  <c r="D996" i="25"/>
  <c r="H996" i="25"/>
  <c r="D997" i="25"/>
  <c r="H997" i="25"/>
  <c r="D998" i="25"/>
  <c r="H998" i="25"/>
  <c r="D999" i="25"/>
  <c r="H999" i="25"/>
  <c r="D1000" i="25"/>
  <c r="H1000" i="25"/>
  <c r="D1001" i="25"/>
  <c r="H1001" i="25"/>
  <c r="D1002" i="25"/>
  <c r="H1002" i="25"/>
  <c r="D1003" i="25"/>
  <c r="H1003" i="25"/>
  <c r="D1004" i="25"/>
  <c r="H1004" i="25"/>
  <c r="D1005" i="25"/>
  <c r="H1005" i="25"/>
  <c r="D1006" i="25"/>
  <c r="H1006" i="25"/>
  <c r="D1007" i="25"/>
  <c r="H1007" i="25"/>
  <c r="D1008" i="25"/>
  <c r="H1008" i="25"/>
  <c r="D1009" i="25"/>
  <c r="H1009" i="25"/>
  <c r="D1010" i="25"/>
  <c r="H1010" i="25"/>
  <c r="D1011" i="25"/>
  <c r="H1011" i="25"/>
  <c r="D1012" i="25"/>
  <c r="H1012" i="25"/>
  <c r="D1013" i="25"/>
  <c r="H1013" i="25"/>
  <c r="D1014" i="25"/>
  <c r="H1014" i="25"/>
  <c r="D1015" i="25"/>
  <c r="H1015" i="25"/>
  <c r="D1016" i="25"/>
  <c r="H1016" i="25"/>
  <c r="D1017" i="25"/>
  <c r="H1017" i="25"/>
  <c r="D1018" i="25"/>
  <c r="H1018" i="25"/>
  <c r="D1019" i="25"/>
  <c r="H1019" i="25"/>
  <c r="D1020" i="25"/>
  <c r="H1020" i="25"/>
  <c r="D1021" i="25"/>
  <c r="H1021" i="25"/>
  <c r="D1022" i="25"/>
  <c r="H1022" i="25"/>
  <c r="D1023" i="25"/>
  <c r="H1023" i="25"/>
  <c r="D1024" i="25"/>
  <c r="H1024" i="25"/>
  <c r="D1025" i="25"/>
  <c r="H1025" i="25"/>
  <c r="D1026" i="25"/>
  <c r="H1026" i="25"/>
  <c r="D1027" i="25"/>
  <c r="H1027" i="25"/>
  <c r="D1028" i="25"/>
  <c r="H1028" i="25"/>
  <c r="D1029" i="25"/>
  <c r="H1029" i="25"/>
  <c r="D1030" i="25"/>
  <c r="H1030" i="25"/>
  <c r="D1031" i="25"/>
  <c r="H1031" i="25"/>
  <c r="D1032" i="25"/>
  <c r="H1032" i="25"/>
  <c r="D1033" i="25"/>
  <c r="H1033" i="25"/>
  <c r="D1034" i="25"/>
  <c r="H1034" i="25"/>
  <c r="D1035" i="25"/>
  <c r="H1035" i="25"/>
  <c r="D1036" i="25"/>
  <c r="H1036" i="25"/>
  <c r="D1037" i="25"/>
  <c r="H1037" i="25"/>
  <c r="D1038" i="25"/>
  <c r="H1038" i="25"/>
  <c r="D1039" i="25"/>
  <c r="H1039" i="25"/>
  <c r="D1040" i="25"/>
  <c r="H1040" i="25"/>
  <c r="D1041" i="25"/>
  <c r="H1041" i="25"/>
  <c r="D1042" i="25"/>
  <c r="H1042" i="25"/>
  <c r="D1043" i="25"/>
  <c r="H1043" i="25"/>
  <c r="D1044" i="25"/>
  <c r="H1044" i="25"/>
  <c r="D1045" i="25"/>
  <c r="H1045" i="25"/>
  <c r="D1046" i="25"/>
  <c r="H1046" i="25"/>
  <c r="D1047" i="25"/>
  <c r="H1047" i="25"/>
  <c r="D1048" i="25"/>
  <c r="H1048" i="25"/>
  <c r="D1049" i="25"/>
  <c r="H1049" i="25"/>
  <c r="D1050" i="25"/>
  <c r="H1050" i="25"/>
  <c r="D1051" i="25"/>
  <c r="H1051" i="25"/>
  <c r="D1052" i="25"/>
  <c r="H1052" i="25"/>
  <c r="D1053" i="25"/>
  <c r="H1053" i="25"/>
  <c r="D1054" i="25"/>
  <c r="H1054" i="25"/>
  <c r="D1055" i="25"/>
  <c r="H1055" i="25"/>
  <c r="D1056" i="25"/>
  <c r="H1056" i="25"/>
  <c r="D1057" i="25"/>
  <c r="H1057" i="25"/>
  <c r="D1058" i="25"/>
  <c r="H1058" i="25"/>
  <c r="D1059" i="25"/>
  <c r="H1059" i="25"/>
  <c r="D1060" i="25"/>
  <c r="H1060" i="25"/>
  <c r="D1061" i="25"/>
  <c r="H1061" i="25"/>
  <c r="D1062" i="25"/>
  <c r="H1062" i="25"/>
  <c r="D1063" i="25"/>
  <c r="H1063" i="25"/>
  <c r="D1064" i="25"/>
  <c r="H1064" i="25"/>
  <c r="D1065" i="25"/>
  <c r="H1065" i="25"/>
  <c r="D1066" i="25"/>
  <c r="H1066" i="25"/>
  <c r="D1067" i="25"/>
  <c r="H1067" i="25"/>
  <c r="D1068" i="25"/>
  <c r="H1068" i="25"/>
  <c r="D1069" i="25"/>
  <c r="H1069" i="25"/>
  <c r="D1070" i="25"/>
  <c r="H1070" i="25"/>
  <c r="D1071" i="25"/>
  <c r="H1071" i="25"/>
  <c r="D1072" i="25"/>
  <c r="H1072" i="25"/>
  <c r="D1073" i="25"/>
  <c r="H1073" i="25"/>
  <c r="D1074" i="25"/>
  <c r="H1074" i="25"/>
  <c r="D1075" i="25"/>
  <c r="H1075" i="25"/>
  <c r="D1076" i="25"/>
  <c r="H1076" i="25"/>
  <c r="D1077" i="25"/>
  <c r="H1077" i="25"/>
  <c r="D1078" i="25"/>
  <c r="H1078" i="25"/>
  <c r="D1079" i="25"/>
  <c r="H1079" i="25"/>
  <c r="D1080" i="25"/>
  <c r="H1080" i="25"/>
  <c r="D1081" i="25"/>
  <c r="H1081" i="25"/>
  <c r="D1082" i="25"/>
  <c r="H1082" i="25"/>
  <c r="D1083" i="25"/>
  <c r="H1083" i="25"/>
  <c r="D1084" i="25"/>
  <c r="H1084" i="25"/>
  <c r="D1085" i="25"/>
  <c r="H1085" i="25"/>
  <c r="D1086" i="25"/>
  <c r="H1086" i="25"/>
  <c r="D1087" i="25"/>
  <c r="H1087" i="25"/>
  <c r="D1088" i="25"/>
  <c r="H1088" i="25"/>
  <c r="D1089" i="25"/>
  <c r="H1089" i="25"/>
  <c r="D1090" i="25"/>
  <c r="H1090" i="25"/>
  <c r="D1091" i="25"/>
  <c r="H1091" i="25"/>
  <c r="D1092" i="25"/>
  <c r="H1092" i="25"/>
  <c r="D1093" i="25"/>
  <c r="H1093" i="25"/>
  <c r="D1094" i="25"/>
  <c r="H1094" i="25"/>
  <c r="D1095" i="25"/>
  <c r="H1095" i="25"/>
  <c r="D1096" i="25"/>
  <c r="H1096" i="25"/>
  <c r="D1097" i="25"/>
  <c r="H1097" i="25"/>
  <c r="D1098" i="25"/>
  <c r="H1098" i="25"/>
  <c r="D1099" i="25"/>
  <c r="H1099" i="25"/>
  <c r="D1100" i="25"/>
  <c r="H1100" i="25"/>
  <c r="D1101" i="25"/>
  <c r="H1101" i="25"/>
  <c r="D1102" i="25"/>
  <c r="H1102" i="25"/>
  <c r="D1103" i="25"/>
  <c r="H1103" i="25"/>
  <c r="D1104" i="25"/>
  <c r="H1104" i="25"/>
  <c r="D1105" i="25"/>
  <c r="H1105" i="25"/>
  <c r="D1106" i="25"/>
  <c r="H1106" i="25"/>
  <c r="D1107" i="25"/>
  <c r="H1107" i="25"/>
  <c r="D1108" i="25"/>
  <c r="H1108" i="25"/>
  <c r="D1109" i="25"/>
  <c r="H1109" i="25"/>
  <c r="D1110" i="25"/>
  <c r="H1110" i="25"/>
  <c r="D1111" i="25"/>
  <c r="H1111" i="25"/>
  <c r="D1112" i="25"/>
  <c r="H1112" i="25"/>
  <c r="D1113" i="25"/>
  <c r="H1113" i="25"/>
  <c r="D1114" i="25"/>
  <c r="H1114" i="25"/>
  <c r="D1115" i="25"/>
  <c r="H1115" i="25"/>
  <c r="D1116" i="25"/>
  <c r="H1116" i="25"/>
  <c r="D1117" i="25"/>
  <c r="H1117" i="25"/>
  <c r="D1118" i="25"/>
  <c r="H1118" i="25"/>
  <c r="D1119" i="25"/>
  <c r="H1119" i="25"/>
  <c r="D1120" i="25"/>
  <c r="H1120" i="25"/>
  <c r="D1121" i="25"/>
  <c r="H1121" i="25"/>
  <c r="D1122" i="25"/>
  <c r="H1122" i="25"/>
  <c r="D1123" i="25"/>
  <c r="H1123" i="25"/>
  <c r="D1124" i="25"/>
  <c r="H1124" i="25"/>
  <c r="D1125" i="25"/>
  <c r="H1125" i="25"/>
  <c r="D1126" i="25"/>
  <c r="H1126" i="25"/>
  <c r="D1127" i="25"/>
  <c r="H1127" i="25"/>
  <c r="D1128" i="25"/>
  <c r="H1128" i="25"/>
  <c r="D1129" i="25"/>
  <c r="H1129" i="25"/>
  <c r="D1130" i="25"/>
  <c r="H1130" i="25"/>
  <c r="D1131" i="25"/>
  <c r="H1131" i="25"/>
  <c r="D1132" i="25"/>
  <c r="H1132" i="25"/>
  <c r="D1133" i="25"/>
  <c r="H1133" i="25"/>
  <c r="D1134" i="25"/>
  <c r="H1134" i="25"/>
  <c r="D1135" i="25"/>
  <c r="H1135" i="25"/>
  <c r="D1136" i="25"/>
  <c r="H1136" i="25"/>
  <c r="D1137" i="25"/>
  <c r="H1137" i="25"/>
  <c r="D1138" i="25"/>
  <c r="H1138" i="25"/>
  <c r="D1139" i="25"/>
  <c r="H1139" i="25"/>
  <c r="D1140" i="25"/>
  <c r="H1140" i="25"/>
  <c r="D1141" i="25"/>
  <c r="H1141" i="25"/>
  <c r="D1142" i="25"/>
  <c r="H1142" i="25"/>
  <c r="D1143" i="25"/>
  <c r="H1143" i="25"/>
  <c r="D1144" i="25"/>
  <c r="H1144" i="25"/>
  <c r="D1145" i="25"/>
  <c r="H1145" i="25"/>
  <c r="D1146" i="25"/>
  <c r="H1146" i="25"/>
  <c r="D1147" i="25"/>
  <c r="H1147" i="25"/>
  <c r="D1148" i="25"/>
  <c r="H1148" i="25"/>
  <c r="D1149" i="25"/>
  <c r="H1149" i="25"/>
  <c r="D1150" i="25"/>
  <c r="H1150" i="25"/>
  <c r="D1151" i="25"/>
  <c r="H1151" i="25"/>
  <c r="D1152" i="25"/>
  <c r="H1152" i="25"/>
  <c r="D1153" i="25"/>
  <c r="H1153" i="25"/>
  <c r="D1154" i="25"/>
  <c r="H1154" i="25"/>
  <c r="D1155" i="25"/>
  <c r="H1155" i="25"/>
  <c r="D1156" i="25"/>
  <c r="H1156" i="25"/>
  <c r="D1157" i="25"/>
  <c r="H1157" i="25"/>
  <c r="D1158" i="25"/>
  <c r="H1158" i="25"/>
  <c r="D1159" i="25"/>
  <c r="H1159" i="25"/>
  <c r="D1160" i="25"/>
  <c r="H1160" i="25"/>
  <c r="D1161" i="25"/>
  <c r="H1161" i="25"/>
  <c r="D1162" i="25"/>
  <c r="H1162" i="25"/>
  <c r="D1163" i="25"/>
  <c r="H1163" i="25"/>
  <c r="D1164" i="25"/>
  <c r="H1164" i="25"/>
  <c r="D1165" i="25"/>
  <c r="H1165" i="25"/>
  <c r="D1166" i="25"/>
  <c r="H1166" i="25"/>
  <c r="D1167" i="25"/>
  <c r="H1167" i="25"/>
  <c r="D1168" i="25"/>
  <c r="H1168" i="25"/>
  <c r="D1169" i="25"/>
  <c r="H1169" i="25"/>
  <c r="D1170" i="25"/>
  <c r="H1170" i="25"/>
  <c r="D1171" i="25"/>
  <c r="H1171" i="25"/>
  <c r="D1172" i="25"/>
  <c r="H1172" i="25"/>
  <c r="D1173" i="25"/>
  <c r="H1173" i="25"/>
  <c r="D1174" i="25"/>
  <c r="H1174" i="25"/>
  <c r="D1175" i="25"/>
  <c r="H1175" i="25"/>
  <c r="D1176" i="25"/>
  <c r="H1176" i="25"/>
  <c r="D1177" i="25"/>
  <c r="H1177" i="25"/>
  <c r="D1178" i="25"/>
  <c r="H1178" i="25"/>
  <c r="D1179" i="25"/>
  <c r="H1179" i="25"/>
  <c r="D1180" i="25"/>
  <c r="H1180" i="25"/>
  <c r="D1181" i="25"/>
  <c r="H1181" i="25"/>
  <c r="D1182" i="25"/>
  <c r="H1182" i="25"/>
  <c r="D1183" i="25"/>
  <c r="H1183" i="25"/>
  <c r="D1184" i="25"/>
  <c r="H1184" i="25"/>
  <c r="D1185" i="25"/>
  <c r="H1185" i="25"/>
  <c r="D1186" i="25"/>
  <c r="H1186" i="25"/>
  <c r="D1187" i="25"/>
  <c r="H1187" i="25"/>
  <c r="D1188" i="25"/>
  <c r="H1188" i="25"/>
  <c r="D1189" i="25"/>
  <c r="H1189" i="25"/>
  <c r="D1190" i="25"/>
  <c r="H1190" i="25"/>
  <c r="D1191" i="25"/>
  <c r="H1191" i="25"/>
  <c r="D1192" i="25"/>
  <c r="H1192" i="25"/>
  <c r="D1193" i="25"/>
  <c r="H1193" i="25"/>
  <c r="D1194" i="25"/>
  <c r="H1194" i="25"/>
  <c r="D1195" i="25"/>
  <c r="H1195" i="25"/>
  <c r="D1196" i="25"/>
  <c r="H1196" i="25"/>
  <c r="D1200" i="25"/>
  <c r="H1200" i="25"/>
  <c r="D1201" i="25"/>
  <c r="H1201" i="25"/>
  <c r="D1202" i="25"/>
  <c r="H1202" i="25"/>
  <c r="D1203" i="25"/>
  <c r="H1203" i="25"/>
  <c r="D1204" i="25"/>
  <c r="H1204" i="25"/>
  <c r="D1205" i="25"/>
  <c r="H1205" i="25"/>
  <c r="D1206" i="25"/>
  <c r="H1206" i="25"/>
  <c r="D1207" i="25"/>
  <c r="H1207" i="25"/>
  <c r="D1208" i="25"/>
  <c r="H1208" i="25"/>
  <c r="D1209" i="25"/>
  <c r="H1209" i="25"/>
  <c r="D1210" i="25"/>
  <c r="H1210" i="25"/>
  <c r="D1211" i="25"/>
  <c r="H1211" i="25"/>
  <c r="D1212" i="25"/>
  <c r="H1212" i="25"/>
  <c r="D1213" i="25"/>
  <c r="H1213" i="25"/>
  <c r="D1214" i="25"/>
  <c r="H1214" i="25"/>
  <c r="D1215" i="25"/>
  <c r="H1215" i="25"/>
  <c r="D1216" i="25"/>
  <c r="H1216" i="25"/>
  <c r="D1217" i="25"/>
  <c r="H1217" i="25"/>
  <c r="D1218" i="25"/>
  <c r="H1218" i="25"/>
  <c r="D1219" i="25"/>
  <c r="H1219" i="25"/>
  <c r="D1220" i="25"/>
  <c r="H1220" i="25"/>
  <c r="D1221" i="25"/>
  <c r="H1221" i="25"/>
  <c r="D1222" i="25"/>
  <c r="H1222" i="25"/>
  <c r="D1223" i="25"/>
  <c r="H1223" i="25"/>
  <c r="D1224" i="25"/>
  <c r="H1224" i="25"/>
  <c r="D1225" i="25"/>
  <c r="H1225" i="25"/>
  <c r="D1226" i="25"/>
  <c r="H1226" i="25"/>
  <c r="D1227" i="25"/>
  <c r="H1227" i="25"/>
  <c r="D1228" i="25"/>
  <c r="H1228" i="25"/>
  <c r="D1229" i="25"/>
  <c r="H1229" i="25"/>
  <c r="D1230" i="25"/>
  <c r="H1230" i="25"/>
  <c r="D1231" i="25"/>
  <c r="H1231" i="25"/>
  <c r="D1232" i="25"/>
  <c r="H1232" i="25"/>
  <c r="D1233" i="25"/>
  <c r="H1233" i="25"/>
  <c r="D1234" i="25"/>
  <c r="H1234" i="25"/>
  <c r="D1235" i="25"/>
  <c r="H1235" i="25"/>
  <c r="D1236" i="25"/>
  <c r="H1236" i="25"/>
  <c r="D1237" i="25"/>
  <c r="H1237" i="25"/>
  <c r="D1238" i="25"/>
  <c r="H1238" i="25"/>
  <c r="D1239" i="25"/>
  <c r="H1239" i="25"/>
  <c r="D1240" i="25"/>
  <c r="H1240" i="25"/>
  <c r="D1241" i="25"/>
  <c r="H1241" i="25"/>
  <c r="D1242" i="25"/>
  <c r="H1242" i="25"/>
  <c r="D1243" i="25"/>
  <c r="H1243" i="25"/>
  <c r="D1244" i="25"/>
  <c r="H1244" i="25"/>
  <c r="D1245" i="25"/>
  <c r="H1245" i="25"/>
  <c r="D1246" i="25"/>
  <c r="H1246" i="25"/>
  <c r="D1247" i="25"/>
  <c r="H1247" i="25"/>
  <c r="D1248" i="25"/>
  <c r="H1248" i="25"/>
  <c r="D1249" i="25"/>
  <c r="H1249" i="25"/>
  <c r="D1250" i="25"/>
  <c r="H1250" i="25"/>
  <c r="D1251" i="25"/>
  <c r="H1251" i="25"/>
  <c r="D1252" i="25"/>
  <c r="H1252" i="25"/>
  <c r="D1253" i="25"/>
  <c r="H1253" i="25"/>
  <c r="D1254" i="25"/>
  <c r="H1254" i="25"/>
  <c r="D1255" i="25"/>
  <c r="H1255" i="25"/>
  <c r="D1256" i="25"/>
  <c r="H1256" i="25"/>
  <c r="D1257" i="25"/>
  <c r="H1257" i="25"/>
  <c r="D1258" i="25"/>
  <c r="H1258" i="25"/>
  <c r="D1259" i="25"/>
  <c r="H1259" i="25"/>
  <c r="D1260" i="25"/>
  <c r="H1260" i="25"/>
  <c r="D1261" i="25"/>
  <c r="H1261" i="25"/>
  <c r="D1262" i="25"/>
  <c r="H1262" i="25"/>
  <c r="D1263" i="25"/>
  <c r="H1263" i="25"/>
  <c r="D1264" i="25"/>
  <c r="H1264" i="25"/>
  <c r="D1265" i="25"/>
  <c r="H1265" i="25"/>
  <c r="D1266" i="25"/>
  <c r="H1266" i="25"/>
  <c r="D1267" i="25"/>
  <c r="H1267" i="25"/>
  <c r="D1268" i="25"/>
  <c r="H1268" i="25"/>
  <c r="D1269" i="25"/>
  <c r="H1269" i="25"/>
  <c r="D1270" i="25"/>
  <c r="H1270" i="25"/>
  <c r="D1271" i="25"/>
  <c r="H1271" i="25"/>
  <c r="D1272" i="25"/>
  <c r="H1272" i="25"/>
  <c r="D1273" i="25"/>
  <c r="H1273" i="25"/>
  <c r="D1274" i="25"/>
  <c r="H1274" i="25"/>
  <c r="D1275" i="25"/>
  <c r="H1275" i="25"/>
  <c r="D1276" i="25"/>
  <c r="H1276" i="25"/>
  <c r="D1277" i="25"/>
  <c r="H1277" i="25"/>
  <c r="D1278" i="25"/>
  <c r="H1278" i="25"/>
  <c r="D1279" i="25"/>
  <c r="H1279" i="25"/>
  <c r="D1280" i="25"/>
  <c r="H1280" i="25"/>
  <c r="D1281" i="25"/>
  <c r="H1281" i="25"/>
  <c r="D1282" i="25"/>
  <c r="H1282" i="25"/>
  <c r="D1283" i="25"/>
  <c r="H1283" i="25"/>
  <c r="D1284" i="25"/>
  <c r="H1284" i="25"/>
  <c r="D1285" i="25"/>
  <c r="H1285" i="25"/>
  <c r="D1286" i="25"/>
  <c r="H1286" i="25"/>
  <c r="D1287" i="25"/>
  <c r="H1287" i="25"/>
  <c r="D1288" i="25"/>
  <c r="H1288" i="25"/>
  <c r="D1289" i="25"/>
  <c r="H1289" i="25"/>
  <c r="D1290" i="25"/>
  <c r="H1290" i="25"/>
  <c r="D1291" i="25"/>
  <c r="H1291" i="25"/>
  <c r="D1292" i="25"/>
  <c r="H1292" i="25"/>
  <c r="D1293" i="25"/>
  <c r="H1293" i="25"/>
  <c r="D1294" i="25"/>
  <c r="H1294" i="25"/>
  <c r="D1295" i="25"/>
  <c r="H1295" i="25"/>
  <c r="D1296" i="25"/>
  <c r="H1296" i="25"/>
  <c r="D1297" i="25"/>
  <c r="H1297" i="25"/>
  <c r="D1298" i="25"/>
  <c r="H1298" i="25"/>
  <c r="D1299" i="25"/>
  <c r="H1299" i="25"/>
  <c r="D1300" i="25"/>
  <c r="H1300" i="25"/>
  <c r="D1301" i="25"/>
  <c r="H1301" i="25"/>
  <c r="D1302" i="25"/>
  <c r="H1302" i="25"/>
  <c r="D1303" i="25"/>
  <c r="H1303" i="25"/>
  <c r="D1304" i="25"/>
  <c r="H1304" i="25"/>
  <c r="D1305" i="25"/>
  <c r="H1305" i="25"/>
  <c r="D1306" i="25"/>
  <c r="H1306" i="25"/>
  <c r="D1307" i="25"/>
  <c r="H1307" i="25"/>
  <c r="D1308" i="25"/>
  <c r="H1308" i="25"/>
  <c r="D1309" i="25"/>
  <c r="H1309" i="25"/>
  <c r="D1310" i="25"/>
  <c r="H1310" i="25"/>
  <c r="D1311" i="25"/>
  <c r="H1311" i="25"/>
  <c r="D1312" i="25"/>
  <c r="H1312" i="25"/>
  <c r="D1313" i="25"/>
  <c r="H1313" i="25"/>
  <c r="D1314" i="25"/>
  <c r="H1314" i="25"/>
  <c r="D1315" i="25"/>
  <c r="H1315" i="25"/>
  <c r="D1316" i="25"/>
  <c r="H1316" i="25"/>
  <c r="D1317" i="25"/>
  <c r="H1317" i="25"/>
  <c r="D1318" i="25"/>
  <c r="H1318" i="25"/>
  <c r="D1319" i="25"/>
  <c r="H1319" i="25"/>
  <c r="D1320" i="25"/>
  <c r="H1320" i="25"/>
  <c r="D1321" i="25"/>
  <c r="H1321" i="25"/>
  <c r="D1322" i="25"/>
  <c r="H1322" i="25"/>
  <c r="D1323" i="25"/>
  <c r="H1323" i="25"/>
  <c r="D1324" i="25"/>
  <c r="H1324" i="25"/>
  <c r="D1325" i="25"/>
  <c r="H1325" i="25"/>
  <c r="D1326" i="25"/>
  <c r="H1326" i="25"/>
  <c r="D1327" i="25"/>
  <c r="H1327" i="25"/>
  <c r="D1328" i="25"/>
  <c r="H1328" i="25"/>
  <c r="D1329" i="25"/>
  <c r="H1329" i="25"/>
  <c r="D1330" i="25"/>
  <c r="H1330" i="25"/>
  <c r="D1331" i="25"/>
  <c r="H1331" i="25"/>
  <c r="D1332" i="25"/>
  <c r="H1332" i="25"/>
  <c r="D1333" i="25"/>
  <c r="H1333" i="25"/>
  <c r="D1334" i="25"/>
  <c r="H1334" i="25"/>
  <c r="D1335" i="25"/>
  <c r="H1335" i="25"/>
  <c r="D1336" i="25"/>
  <c r="H1336" i="25"/>
  <c r="D1337" i="25"/>
  <c r="H1337" i="25"/>
  <c r="D1338" i="25"/>
  <c r="H1338" i="25"/>
  <c r="D1339" i="25"/>
  <c r="H1339" i="25"/>
  <c r="D1340" i="25"/>
  <c r="H1340" i="25"/>
  <c r="D1341" i="25"/>
  <c r="H1341" i="25"/>
  <c r="D1342" i="25"/>
  <c r="H1342" i="25"/>
  <c r="D1343" i="25"/>
  <c r="H1343" i="25"/>
  <c r="D1344" i="25"/>
  <c r="H1344" i="25"/>
  <c r="D1345" i="25"/>
  <c r="H1345" i="25"/>
  <c r="D1346" i="25"/>
  <c r="H1346" i="25"/>
  <c r="D1347" i="25"/>
  <c r="H1347" i="25"/>
  <c r="D1348" i="25"/>
  <c r="H1348" i="25"/>
  <c r="D1349" i="25"/>
  <c r="H1349" i="25"/>
  <c r="D1350" i="25"/>
  <c r="H1350" i="25"/>
  <c r="D1351" i="25"/>
  <c r="H1351" i="25"/>
  <c r="D1352" i="25"/>
  <c r="H1352" i="25"/>
  <c r="D1353" i="25"/>
  <c r="H1353" i="25"/>
  <c r="D1354" i="25"/>
  <c r="H1354" i="25"/>
  <c r="D1355" i="25"/>
  <c r="H1355" i="25"/>
  <c r="D1356" i="25"/>
  <c r="H1356" i="25"/>
  <c r="D1357" i="25"/>
  <c r="H1357" i="25"/>
  <c r="D1358" i="25"/>
  <c r="H1358" i="25"/>
  <c r="D1359" i="25"/>
  <c r="H1359" i="25"/>
  <c r="D1360" i="25"/>
  <c r="H1360" i="25"/>
  <c r="D1361" i="25"/>
  <c r="H1361" i="25"/>
  <c r="D1362" i="25"/>
  <c r="H1362" i="25"/>
  <c r="D1363" i="25"/>
  <c r="H1363" i="25"/>
  <c r="D1364" i="25"/>
  <c r="H1364" i="25"/>
  <c r="D1365" i="25"/>
  <c r="H1365" i="25"/>
  <c r="D1366" i="25"/>
  <c r="H1366" i="25"/>
  <c r="D1367" i="25"/>
  <c r="H1367" i="25"/>
  <c r="D1368" i="25"/>
  <c r="H1368" i="25"/>
  <c r="D1369" i="25"/>
  <c r="H1369" i="25"/>
  <c r="D1370" i="25"/>
  <c r="H1370" i="25"/>
  <c r="D1371" i="25"/>
  <c r="H1371" i="25"/>
  <c r="D1372" i="25"/>
  <c r="H1372" i="25"/>
  <c r="D1373" i="25"/>
  <c r="H1373" i="25"/>
  <c r="D1374" i="25"/>
  <c r="H1374" i="25"/>
  <c r="D1375" i="25"/>
  <c r="H1375" i="25"/>
  <c r="D1376" i="25"/>
  <c r="H1376" i="25"/>
  <c r="D1377" i="25"/>
  <c r="H1377" i="25"/>
  <c r="D1378" i="25"/>
  <c r="H1378" i="25"/>
  <c r="D1379" i="25"/>
  <c r="H1379" i="25"/>
  <c r="D1380" i="25"/>
  <c r="H1380" i="25"/>
  <c r="D1381" i="25"/>
  <c r="H1381" i="25"/>
  <c r="D1382" i="25"/>
  <c r="H1382" i="25"/>
  <c r="D1383" i="25"/>
  <c r="H1383" i="25"/>
  <c r="D1384" i="25"/>
  <c r="H1384" i="25"/>
  <c r="D1385" i="25"/>
  <c r="H1385" i="25"/>
  <c r="D1386" i="25"/>
  <c r="H1386" i="25"/>
  <c r="D1387" i="25"/>
  <c r="H1387" i="25"/>
  <c r="D1388" i="25"/>
  <c r="H1388" i="25"/>
  <c r="D1389" i="25"/>
  <c r="H1389" i="25"/>
  <c r="D1390" i="25"/>
  <c r="H1390" i="25"/>
  <c r="D1391" i="25"/>
  <c r="H1391" i="25"/>
  <c r="D1392" i="25"/>
  <c r="H1392" i="25"/>
  <c r="D1393" i="25"/>
  <c r="H1393" i="25"/>
  <c r="D1394" i="25"/>
  <c r="H1394" i="25"/>
  <c r="D1395" i="25"/>
  <c r="H1395" i="25"/>
  <c r="D1396" i="25"/>
  <c r="H1396" i="25"/>
  <c r="D1397" i="25"/>
  <c r="H1397" i="25"/>
  <c r="D1398" i="25"/>
  <c r="H1398" i="25"/>
  <c r="D1399" i="25"/>
  <c r="H1399" i="25"/>
  <c r="D1400" i="25"/>
  <c r="H1400" i="25"/>
  <c r="D1401" i="25"/>
  <c r="H1401" i="25"/>
  <c r="D1402" i="25"/>
  <c r="H1402" i="25"/>
  <c r="D1403" i="25"/>
  <c r="H1403" i="25"/>
  <c r="D1404" i="25"/>
  <c r="H1404" i="25"/>
  <c r="D1405" i="25"/>
  <c r="H1405" i="25"/>
  <c r="D1406" i="25"/>
  <c r="H1406" i="25"/>
  <c r="D1407" i="25"/>
  <c r="H1407" i="25"/>
  <c r="D1408" i="25"/>
  <c r="H1408" i="25"/>
  <c r="D1409" i="25"/>
  <c r="H1409" i="25"/>
  <c r="D1410" i="25"/>
  <c r="H1410" i="25"/>
  <c r="D1411" i="25"/>
  <c r="H1411" i="25"/>
  <c r="D1412" i="25"/>
  <c r="H1412" i="25"/>
  <c r="D1413" i="25"/>
  <c r="H1413" i="25"/>
  <c r="D1414" i="25"/>
  <c r="H1414" i="25"/>
  <c r="D1415" i="25"/>
  <c r="H1415" i="25"/>
  <c r="D1416" i="25"/>
  <c r="H1416" i="25"/>
  <c r="D1417" i="25"/>
  <c r="H1417" i="25"/>
  <c r="D1418" i="25"/>
  <c r="H1418" i="25"/>
  <c r="D1419" i="25"/>
  <c r="H1419" i="25"/>
  <c r="D1420" i="25"/>
  <c r="H1420" i="25"/>
  <c r="D1421" i="25"/>
  <c r="H1421" i="25"/>
  <c r="D1422" i="25"/>
  <c r="H1422" i="25"/>
  <c r="D1423" i="25"/>
  <c r="H1423" i="25"/>
  <c r="D1424" i="25"/>
  <c r="H1424" i="25"/>
  <c r="D1425" i="25"/>
  <c r="H1425" i="25"/>
  <c r="D1426" i="25"/>
  <c r="H1426" i="25"/>
  <c r="D1427" i="25"/>
  <c r="H1427" i="25"/>
  <c r="D1428" i="25"/>
  <c r="H1428" i="25"/>
  <c r="D1429" i="25"/>
  <c r="H1429" i="25"/>
  <c r="D1430" i="25"/>
  <c r="H1430" i="25"/>
  <c r="D1431" i="25"/>
  <c r="H1431" i="25"/>
  <c r="D1432" i="25"/>
  <c r="H1432" i="25"/>
  <c r="D1433" i="25"/>
  <c r="H1433" i="25"/>
  <c r="D1434" i="25"/>
  <c r="H1434" i="25"/>
  <c r="D1435" i="25"/>
  <c r="H1435" i="25"/>
  <c r="D1436" i="25"/>
  <c r="H1436" i="25"/>
  <c r="D1437" i="25"/>
  <c r="H1437" i="25"/>
  <c r="D1438" i="25"/>
  <c r="H1438" i="25"/>
  <c r="D1439" i="25"/>
  <c r="H1439" i="25"/>
  <c r="D1440" i="25"/>
  <c r="H1440" i="25"/>
  <c r="D1441" i="25"/>
  <c r="H1441" i="25"/>
  <c r="D1442" i="25"/>
  <c r="H1442" i="25"/>
  <c r="D1443" i="25"/>
  <c r="H1443" i="25"/>
  <c r="D1444" i="25"/>
  <c r="H1444" i="25"/>
  <c r="D1445" i="25"/>
  <c r="H1445" i="25"/>
  <c r="D1446" i="25"/>
  <c r="H1446" i="25"/>
  <c r="D1447" i="25"/>
  <c r="H1447" i="25"/>
  <c r="D1448" i="25"/>
  <c r="H1448" i="25"/>
  <c r="D1449" i="25"/>
  <c r="H1449" i="25"/>
  <c r="D1450" i="25"/>
  <c r="H1450" i="25"/>
  <c r="D1451" i="25"/>
  <c r="H1451" i="25"/>
  <c r="D1452" i="25"/>
  <c r="H1452" i="25"/>
  <c r="D1453" i="25"/>
  <c r="H1453" i="25"/>
  <c r="D1454" i="25"/>
  <c r="H1454" i="25"/>
  <c r="D1455" i="25"/>
  <c r="H1455" i="25"/>
  <c r="D1456" i="25"/>
  <c r="H1456" i="25"/>
  <c r="D1457" i="25"/>
  <c r="H1457" i="25"/>
  <c r="D1458" i="25"/>
  <c r="H1458" i="25"/>
  <c r="D1459" i="25"/>
  <c r="H1459" i="25"/>
  <c r="D1460" i="25"/>
  <c r="H1460" i="25"/>
  <c r="D1461" i="25"/>
  <c r="H1461" i="25"/>
  <c r="D1462" i="25"/>
  <c r="H1462" i="25"/>
  <c r="D1463" i="25"/>
  <c r="H1463" i="25"/>
  <c r="D1464" i="25"/>
  <c r="H1464" i="25"/>
  <c r="D1465" i="25"/>
  <c r="H1465" i="25"/>
  <c r="D1466" i="25"/>
  <c r="H1466" i="25"/>
  <c r="D1467" i="25"/>
  <c r="H1467" i="25"/>
  <c r="D1468" i="25"/>
  <c r="H1468" i="25"/>
  <c r="D1469" i="25"/>
  <c r="H1469" i="25"/>
  <c r="D1470" i="25"/>
  <c r="H1470" i="25"/>
  <c r="D1471" i="25"/>
  <c r="H1471" i="25"/>
  <c r="D1472" i="25"/>
  <c r="H1472" i="25"/>
  <c r="D1473" i="25"/>
  <c r="H1473" i="25"/>
  <c r="D1474" i="25"/>
  <c r="H1474" i="25"/>
  <c r="D1475" i="25"/>
  <c r="H1475" i="25"/>
  <c r="D1476" i="25"/>
  <c r="H1476" i="25"/>
  <c r="D1477" i="25"/>
  <c r="H1477" i="25"/>
  <c r="D1478" i="25"/>
  <c r="H1478" i="25"/>
  <c r="D1479" i="25"/>
  <c r="H1479" i="25"/>
  <c r="D1480" i="25"/>
  <c r="H1480" i="25"/>
  <c r="D1481" i="25"/>
  <c r="H1481" i="25"/>
  <c r="D1482" i="25"/>
  <c r="H1482" i="25"/>
  <c r="D1483" i="25"/>
  <c r="H1483" i="25"/>
  <c r="D1484" i="25"/>
  <c r="H1484" i="25"/>
  <c r="D1485" i="25"/>
  <c r="H1485" i="25"/>
  <c r="D1486" i="25"/>
  <c r="H1486" i="25"/>
  <c r="D1487" i="25"/>
  <c r="H1487" i="25"/>
  <c r="D1488" i="25"/>
  <c r="H1488" i="25"/>
  <c r="D1489" i="25"/>
  <c r="H1489" i="25"/>
  <c r="D1490" i="25"/>
  <c r="H1490" i="25"/>
  <c r="D1491" i="25"/>
  <c r="H1491" i="25"/>
  <c r="D1492" i="25"/>
  <c r="H1492" i="25"/>
  <c r="D1493" i="25"/>
  <c r="H1493" i="25"/>
  <c r="D1494" i="25"/>
  <c r="H1494" i="25"/>
  <c r="D1495" i="25"/>
  <c r="H1495" i="25"/>
  <c r="D1496" i="25"/>
  <c r="H1496" i="25"/>
  <c r="D1497" i="25"/>
  <c r="H1497" i="25"/>
  <c r="D1498" i="25"/>
  <c r="H1498" i="25"/>
  <c r="D1499" i="25"/>
  <c r="H1499" i="25"/>
  <c r="D1500" i="25"/>
  <c r="H1500" i="25"/>
  <c r="D1501" i="25"/>
  <c r="H1501" i="25"/>
  <c r="D1502" i="25"/>
  <c r="H1502" i="25"/>
  <c r="D1503" i="25"/>
  <c r="H1503" i="25"/>
  <c r="D1504" i="25"/>
  <c r="H1504" i="25"/>
  <c r="D1505" i="25"/>
  <c r="H1505" i="25"/>
  <c r="D1506" i="25"/>
  <c r="H1506" i="25"/>
  <c r="D1507" i="25"/>
  <c r="H1507" i="25"/>
  <c r="D1508" i="25"/>
  <c r="H1508" i="25"/>
  <c r="D1509" i="25"/>
  <c r="H1509" i="25"/>
  <c r="D1510" i="25"/>
  <c r="H1510" i="25"/>
  <c r="D1511" i="25"/>
  <c r="H1511" i="25"/>
  <c r="D1512" i="25"/>
  <c r="H1512" i="25"/>
  <c r="D1513" i="25"/>
  <c r="H1513" i="25"/>
  <c r="D1514" i="25"/>
  <c r="H1514" i="25"/>
  <c r="D1515" i="25"/>
  <c r="H1515" i="25"/>
  <c r="D1516" i="25"/>
  <c r="H1516" i="25"/>
  <c r="D1517" i="25"/>
  <c r="H1517" i="25"/>
  <c r="D1518" i="25"/>
  <c r="H1518" i="25"/>
  <c r="D1519" i="25"/>
  <c r="H1519" i="25"/>
  <c r="D1520" i="25"/>
  <c r="H1520" i="25"/>
  <c r="D1521" i="25"/>
  <c r="H1521" i="25"/>
  <c r="D1522" i="25"/>
  <c r="H1522" i="25"/>
  <c r="D1523" i="25"/>
  <c r="H1523" i="25"/>
  <c r="D1524" i="25"/>
  <c r="H1524" i="25"/>
  <c r="D1525" i="25"/>
  <c r="H1525" i="25"/>
  <c r="D1526" i="25"/>
  <c r="H1526" i="25"/>
  <c r="D1527" i="25"/>
  <c r="H1527" i="25"/>
  <c r="D1528" i="25"/>
  <c r="H1528" i="25"/>
  <c r="D1529" i="25"/>
  <c r="H1529" i="25"/>
  <c r="D1530" i="25"/>
  <c r="H1530" i="25"/>
  <c r="D1531" i="25"/>
  <c r="H1531" i="25"/>
  <c r="D1532" i="25"/>
  <c r="H1532" i="25"/>
  <c r="D1533" i="25"/>
  <c r="H1533" i="25"/>
  <c r="D1534" i="25"/>
  <c r="H1534" i="25"/>
  <c r="D1535" i="25"/>
  <c r="H1535" i="25"/>
  <c r="D1536" i="25"/>
  <c r="H1536" i="25"/>
  <c r="D1537" i="25"/>
  <c r="H1537" i="25"/>
  <c r="D1538" i="25"/>
  <c r="H1538" i="25"/>
  <c r="D1539" i="25"/>
  <c r="H1539" i="25"/>
  <c r="D1540" i="25"/>
  <c r="H1540" i="25"/>
  <c r="D1541" i="25"/>
  <c r="H1541" i="25"/>
  <c r="D1542" i="25"/>
  <c r="H1542" i="25"/>
  <c r="D1543" i="25"/>
  <c r="H1543" i="25"/>
  <c r="D1544" i="25"/>
  <c r="H1544" i="25"/>
  <c r="D1545" i="25"/>
  <c r="H1545" i="25"/>
  <c r="D1546" i="25"/>
  <c r="H1546" i="25"/>
  <c r="D1547" i="25"/>
  <c r="H1547" i="25"/>
  <c r="D1548" i="25"/>
  <c r="H1548" i="25"/>
  <c r="D1549" i="25"/>
  <c r="H1549" i="25"/>
  <c r="D1550" i="25"/>
  <c r="H1550" i="25"/>
  <c r="D1551" i="25"/>
  <c r="H1551" i="25"/>
  <c r="D1552" i="25"/>
  <c r="H1552" i="25"/>
  <c r="D1553" i="25"/>
  <c r="H1553" i="25"/>
  <c r="D1554" i="25"/>
  <c r="H1554" i="25"/>
  <c r="D1555" i="25"/>
  <c r="H1555" i="25"/>
  <c r="D1556" i="25"/>
  <c r="H1556" i="25"/>
  <c r="D1557" i="25"/>
  <c r="H1557" i="25"/>
  <c r="D1558" i="25"/>
  <c r="H1558" i="25"/>
  <c r="D1559" i="25"/>
  <c r="H1559" i="25"/>
  <c r="D1560" i="25"/>
  <c r="H1560" i="25"/>
  <c r="D1561" i="25"/>
  <c r="H1561" i="25"/>
  <c r="D1562" i="25"/>
  <c r="H1562" i="25"/>
  <c r="D1563" i="25"/>
  <c r="H1563" i="25"/>
  <c r="D1564" i="25"/>
  <c r="H1564" i="25"/>
  <c r="D1565" i="25"/>
  <c r="H1565" i="25"/>
  <c r="D1566" i="25"/>
  <c r="H1566" i="25"/>
  <c r="D1567" i="25"/>
  <c r="H1567" i="25"/>
  <c r="D1568" i="25"/>
  <c r="H1568" i="25"/>
  <c r="D1569" i="25"/>
  <c r="H1569" i="25"/>
  <c r="D1570" i="25"/>
  <c r="H1570" i="25"/>
  <c r="D1571" i="25"/>
  <c r="H1571" i="25"/>
  <c r="D1572" i="25"/>
  <c r="H1572" i="25"/>
  <c r="D1573" i="25"/>
  <c r="H1573" i="25"/>
  <c r="D1574" i="25"/>
  <c r="H1574" i="25"/>
  <c r="D1575" i="25"/>
  <c r="H1575" i="25"/>
  <c r="D1576" i="25"/>
  <c r="H1576" i="25"/>
  <c r="D1577" i="25"/>
  <c r="H1577" i="25"/>
  <c r="D1578" i="25"/>
  <c r="H1578" i="25"/>
  <c r="D1579" i="25"/>
  <c r="H1579" i="25"/>
  <c r="D1580" i="25"/>
  <c r="H1580" i="25"/>
  <c r="D1581" i="25"/>
  <c r="H1581" i="25"/>
  <c r="D1582" i="25"/>
  <c r="H1582" i="25"/>
  <c r="D1583" i="25"/>
  <c r="H1583" i="25"/>
  <c r="D1584" i="25"/>
  <c r="H1584" i="25"/>
  <c r="D1585" i="25"/>
  <c r="H1585" i="25"/>
  <c r="D1586" i="25"/>
  <c r="H1586" i="25"/>
  <c r="D1587" i="25"/>
  <c r="H1587" i="25"/>
  <c r="D1588" i="25"/>
  <c r="H1588" i="25"/>
  <c r="D1589" i="25"/>
  <c r="H1589" i="25"/>
  <c r="D1590" i="25"/>
  <c r="H1590" i="25"/>
  <c r="D1591" i="25"/>
  <c r="H1591" i="25"/>
  <c r="D1592" i="25"/>
  <c r="H1592" i="25"/>
  <c r="D1593" i="25"/>
  <c r="H1593" i="25"/>
  <c r="D1594" i="25"/>
  <c r="H1594" i="25"/>
  <c r="D1595" i="25"/>
  <c r="H1595" i="25"/>
  <c r="D1596" i="25"/>
  <c r="H1596" i="25"/>
  <c r="D1597" i="25"/>
  <c r="H1597" i="25"/>
  <c r="D1598" i="25"/>
  <c r="H1598" i="25"/>
  <c r="D1599" i="25"/>
  <c r="H1599" i="25"/>
  <c r="D1600" i="25"/>
  <c r="H1600" i="25"/>
  <c r="D1601" i="25"/>
  <c r="H1601" i="25"/>
  <c r="D1602" i="25"/>
  <c r="H1602" i="25"/>
  <c r="D1603" i="25"/>
  <c r="H1603" i="25"/>
  <c r="D1604" i="25"/>
  <c r="H1604" i="25"/>
  <c r="D1605" i="25"/>
  <c r="H1605" i="25"/>
  <c r="D1606" i="25"/>
  <c r="H1606" i="25"/>
  <c r="D1607" i="25"/>
  <c r="H1607" i="25"/>
  <c r="D1608" i="25"/>
  <c r="H1608" i="25"/>
  <c r="D1609" i="25"/>
  <c r="H1609" i="25"/>
  <c r="D1610" i="25"/>
  <c r="H1610" i="25"/>
  <c r="D1611" i="25"/>
  <c r="H1611" i="25"/>
  <c r="D1612" i="25"/>
  <c r="H1612" i="25"/>
  <c r="D1613" i="25"/>
  <c r="H1613" i="25"/>
  <c r="D1614" i="25"/>
  <c r="H1614" i="25"/>
  <c r="D1615" i="25"/>
  <c r="H1615" i="25"/>
  <c r="D1616" i="25"/>
  <c r="H1616" i="25"/>
  <c r="D1617" i="25"/>
  <c r="H1617" i="25"/>
  <c r="D1618" i="25"/>
  <c r="H1618" i="25"/>
  <c r="D1619" i="25"/>
  <c r="H1619" i="25"/>
  <c r="D1620" i="25"/>
  <c r="H1620" i="25"/>
  <c r="D1621" i="25"/>
  <c r="H1621" i="25"/>
  <c r="D1622" i="25"/>
  <c r="H1622" i="25"/>
  <c r="D1623" i="25"/>
  <c r="H1623" i="25"/>
  <c r="D1624" i="25"/>
  <c r="H1624" i="25"/>
  <c r="D1625" i="25"/>
  <c r="H1625" i="25"/>
  <c r="D1626" i="25"/>
  <c r="H1626" i="25"/>
  <c r="D1627" i="25"/>
  <c r="H1627" i="25"/>
  <c r="D1628" i="25"/>
  <c r="H1628" i="25"/>
  <c r="D1629" i="25"/>
  <c r="H1629" i="25"/>
  <c r="D1630" i="25"/>
  <c r="H1630" i="25"/>
  <c r="D1631" i="25"/>
  <c r="H1631" i="25"/>
  <c r="D1632" i="25"/>
  <c r="H1632" i="25"/>
  <c r="D1633" i="25"/>
  <c r="H1633" i="25"/>
  <c r="D1634" i="25"/>
  <c r="H1634" i="25"/>
  <c r="D1635" i="25"/>
  <c r="H1635" i="25"/>
  <c r="D1636" i="25"/>
  <c r="H1636" i="25"/>
  <c r="D1637" i="25"/>
  <c r="H1637" i="25"/>
  <c r="D1638" i="25"/>
  <c r="H1638" i="25"/>
  <c r="D1639" i="25"/>
  <c r="H1639" i="25"/>
  <c r="D1640" i="25"/>
  <c r="H1640" i="25"/>
  <c r="D1641" i="25"/>
  <c r="H1641" i="25"/>
  <c r="D1642" i="25"/>
  <c r="H1642" i="25"/>
  <c r="D1643" i="25"/>
  <c r="H1643" i="25"/>
  <c r="D1644" i="25"/>
  <c r="H1644" i="25"/>
  <c r="D1645" i="25"/>
  <c r="H1645" i="25"/>
  <c r="D1646" i="25"/>
  <c r="H1646" i="25"/>
  <c r="D1647" i="25"/>
  <c r="H1647" i="25"/>
  <c r="D1648" i="25"/>
  <c r="H1648" i="25"/>
  <c r="D1649" i="25"/>
  <c r="H1649" i="25"/>
  <c r="D1650" i="25"/>
  <c r="H1650" i="25"/>
  <c r="D1651" i="25"/>
  <c r="H1651" i="25"/>
  <c r="D1652" i="25"/>
  <c r="H1652" i="25"/>
  <c r="D1653" i="25"/>
  <c r="H1653" i="25"/>
  <c r="D1654" i="25"/>
  <c r="H1654" i="25"/>
  <c r="D1655" i="25"/>
  <c r="H1655" i="25"/>
  <c r="D1656" i="25"/>
  <c r="H1656" i="25"/>
  <c r="D1657" i="25"/>
  <c r="H1657" i="25"/>
  <c r="D1658" i="25"/>
  <c r="H1658" i="25"/>
  <c r="D1659" i="25"/>
  <c r="H1659" i="25"/>
  <c r="D1660" i="25"/>
  <c r="H1660" i="25"/>
  <c r="D1661" i="25"/>
  <c r="H1661" i="25"/>
  <c r="D1662" i="25"/>
  <c r="H1662" i="25"/>
  <c r="D1663" i="25"/>
  <c r="H1663" i="25"/>
  <c r="D1664" i="25"/>
  <c r="H1664" i="25"/>
  <c r="D1665" i="25"/>
  <c r="H1665" i="25"/>
  <c r="D1666" i="25"/>
  <c r="H1666" i="25"/>
  <c r="D1667" i="25"/>
  <c r="H1667" i="25"/>
  <c r="D1668" i="25"/>
  <c r="H1668" i="25"/>
  <c r="D1669" i="25"/>
  <c r="H1669" i="25"/>
  <c r="D1670" i="25"/>
  <c r="H1670" i="25"/>
  <c r="D1671" i="25"/>
  <c r="H1671" i="25"/>
  <c r="D1672" i="25"/>
  <c r="H1672" i="25"/>
  <c r="D1673" i="25"/>
  <c r="H1673" i="25"/>
  <c r="D1674" i="25"/>
  <c r="H1674" i="25"/>
  <c r="D1675" i="25"/>
  <c r="H1675" i="25"/>
  <c r="D1676" i="25"/>
  <c r="H1676" i="25"/>
  <c r="D1677" i="25"/>
  <c r="H1677" i="25"/>
  <c r="D1678" i="25"/>
  <c r="H1678" i="25"/>
  <c r="D1679" i="25"/>
  <c r="H1679" i="25"/>
  <c r="D1680" i="25"/>
  <c r="H1680" i="25"/>
  <c r="D1681" i="25"/>
  <c r="H1681" i="25"/>
  <c r="D1682" i="25"/>
  <c r="H1682" i="25"/>
  <c r="D1683" i="25"/>
  <c r="H1683" i="25"/>
  <c r="D1684" i="25"/>
  <c r="H1684" i="25"/>
  <c r="D1685" i="25"/>
  <c r="H1685" i="25"/>
  <c r="D1686" i="25"/>
  <c r="H1686" i="25"/>
  <c r="D1687" i="25"/>
  <c r="H1687" i="25"/>
  <c r="D1688" i="25"/>
  <c r="H1688" i="25"/>
  <c r="D1689" i="25"/>
  <c r="H1689" i="25"/>
  <c r="D1690" i="25"/>
  <c r="H1690" i="25"/>
  <c r="D1691" i="25"/>
  <c r="H1691" i="25"/>
  <c r="D1692" i="25"/>
  <c r="H1692" i="25"/>
  <c r="D1693" i="25"/>
  <c r="H1693" i="25"/>
  <c r="D1694" i="25"/>
  <c r="H1694" i="25"/>
  <c r="D1695" i="25"/>
  <c r="H1695" i="25"/>
  <c r="D1696" i="25"/>
  <c r="H1696" i="25"/>
  <c r="D1697" i="25"/>
  <c r="H1697" i="25"/>
  <c r="D1698" i="25"/>
  <c r="H1698" i="25"/>
  <c r="D1699" i="25"/>
  <c r="H1699" i="25"/>
  <c r="D1700" i="25"/>
  <c r="H1700" i="25"/>
  <c r="D1701" i="25"/>
  <c r="H1701" i="25"/>
  <c r="D1702" i="25"/>
  <c r="H1702" i="25"/>
  <c r="D1703" i="25"/>
  <c r="H1703" i="25"/>
  <c r="D1704" i="25"/>
  <c r="H1704" i="25"/>
  <c r="D1705" i="25"/>
  <c r="H1705" i="25"/>
  <c r="D1706" i="25"/>
  <c r="H1706" i="25"/>
  <c r="D1707" i="25"/>
  <c r="H1707" i="25"/>
  <c r="D1708" i="25"/>
  <c r="H1708" i="25"/>
  <c r="D1709" i="25"/>
  <c r="H1709" i="25"/>
  <c r="D1710" i="25"/>
  <c r="H1710" i="25"/>
  <c r="D1711" i="25"/>
  <c r="H1711" i="25"/>
  <c r="D1712" i="25"/>
  <c r="H1712" i="25"/>
  <c r="D1713" i="25"/>
  <c r="H1713" i="25"/>
  <c r="D1714" i="25"/>
  <c r="H1714" i="25"/>
  <c r="D1715" i="25"/>
  <c r="H1715" i="25"/>
  <c r="D1716" i="25"/>
  <c r="H1716" i="25"/>
  <c r="D1717" i="25"/>
  <c r="H1717" i="25"/>
  <c r="D1718" i="25"/>
  <c r="H1718" i="25"/>
  <c r="D1719" i="25"/>
  <c r="H1719" i="25"/>
  <c r="D1720" i="25"/>
  <c r="H1720" i="25"/>
  <c r="D1721" i="25"/>
  <c r="H1721" i="25"/>
  <c r="D1722" i="25"/>
  <c r="H1722" i="25"/>
  <c r="D1723" i="25"/>
  <c r="H1723" i="25"/>
  <c r="D1724" i="25"/>
  <c r="H1724" i="25"/>
  <c r="D1725" i="25"/>
  <c r="H1725" i="25"/>
  <c r="D1726" i="25"/>
  <c r="H1726" i="25"/>
  <c r="D1727" i="25"/>
  <c r="H1727" i="25"/>
  <c r="D1728" i="25"/>
  <c r="H1728" i="25"/>
  <c r="D1729" i="25"/>
  <c r="H1729" i="25"/>
  <c r="D1730" i="25"/>
  <c r="H1730" i="25"/>
  <c r="D1731" i="25"/>
  <c r="H1731" i="25"/>
  <c r="D1732" i="25"/>
  <c r="H1732" i="25"/>
  <c r="D1733" i="25"/>
  <c r="H1733" i="25"/>
  <c r="D1734" i="25"/>
  <c r="H1734" i="25"/>
  <c r="D1735" i="25"/>
  <c r="H1735" i="25"/>
  <c r="D1736" i="25"/>
  <c r="H1736" i="25"/>
  <c r="D1737" i="25"/>
  <c r="H1737" i="25"/>
  <c r="D1738" i="25"/>
  <c r="H1738" i="25"/>
  <c r="D1739" i="25"/>
  <c r="H1739" i="25"/>
  <c r="D1740" i="25"/>
  <c r="H1740" i="25"/>
  <c r="D1741" i="25"/>
  <c r="H1741" i="25"/>
  <c r="D1742" i="25"/>
  <c r="H1742" i="25"/>
  <c r="D1743" i="25"/>
  <c r="H1743" i="25"/>
  <c r="D1744" i="25"/>
  <c r="H1744" i="25"/>
  <c r="D1745" i="25"/>
  <c r="H1745" i="25"/>
  <c r="D1746" i="25"/>
  <c r="H1746" i="25"/>
  <c r="D1747" i="25"/>
  <c r="H1747" i="25"/>
  <c r="D1748" i="25"/>
  <c r="H1748" i="25"/>
  <c r="D1749" i="25"/>
  <c r="H1749" i="25"/>
  <c r="D1750" i="25"/>
  <c r="H1750" i="25"/>
  <c r="D1751" i="25"/>
  <c r="H1751" i="25"/>
  <c r="D1752" i="25"/>
  <c r="H1752" i="25"/>
  <c r="D1753" i="25"/>
  <c r="H1753" i="25"/>
  <c r="D1754" i="25"/>
  <c r="H1754" i="25"/>
  <c r="D1755" i="25"/>
  <c r="H1755" i="25"/>
  <c r="D1756" i="25"/>
  <c r="H1756" i="25"/>
  <c r="D1757" i="25"/>
  <c r="H1757" i="25"/>
  <c r="D1758" i="25"/>
  <c r="H1758" i="25"/>
  <c r="D1759" i="25"/>
  <c r="H1759" i="25"/>
  <c r="D1760" i="25"/>
  <c r="H1760" i="25"/>
  <c r="D1761" i="25"/>
  <c r="H1761" i="25"/>
  <c r="D1762" i="25"/>
  <c r="H1762" i="25"/>
  <c r="D1763" i="25"/>
  <c r="H1763" i="25"/>
  <c r="D1764" i="25"/>
  <c r="H1764" i="25"/>
  <c r="D1765" i="25"/>
  <c r="H1765" i="25"/>
  <c r="D1766" i="25"/>
  <c r="H1766" i="25"/>
  <c r="D1767" i="25"/>
  <c r="H1767" i="25"/>
  <c r="D1768" i="25"/>
  <c r="H1768" i="25"/>
  <c r="D1769" i="25"/>
  <c r="H1769" i="25"/>
  <c r="D1770" i="25"/>
  <c r="H1770" i="25"/>
  <c r="D1771" i="25"/>
  <c r="H1771" i="25"/>
  <c r="D1772" i="25"/>
  <c r="H1772" i="25"/>
  <c r="D1773" i="25"/>
  <c r="H1773" i="25"/>
  <c r="D1774" i="25"/>
  <c r="H1774" i="25"/>
  <c r="D1775" i="25"/>
  <c r="H1775" i="25"/>
  <c r="D1776" i="25"/>
  <c r="H1776" i="25"/>
  <c r="D1777" i="25"/>
  <c r="H1777" i="25"/>
  <c r="D1778" i="25"/>
  <c r="H1778" i="25"/>
  <c r="D1779" i="25"/>
  <c r="H1779" i="25"/>
  <c r="D1780" i="25"/>
  <c r="H1780" i="25"/>
  <c r="D1781" i="25"/>
  <c r="H1781" i="25"/>
  <c r="D1782" i="25"/>
  <c r="H1782" i="25"/>
  <c r="D1783" i="25"/>
  <c r="H1783" i="25"/>
  <c r="D1784" i="25"/>
  <c r="H1784" i="25"/>
  <c r="D1785" i="25"/>
  <c r="H1785" i="25"/>
  <c r="D1786" i="25"/>
  <c r="H1786" i="25"/>
  <c r="D1787" i="25"/>
  <c r="H1787" i="25"/>
  <c r="D1788" i="25"/>
  <c r="H1788" i="25"/>
  <c r="D1789" i="25"/>
  <c r="H1789" i="25"/>
  <c r="D1790" i="25"/>
  <c r="H1790" i="25"/>
  <c r="D1791" i="25"/>
  <c r="H1791" i="25"/>
  <c r="D1792" i="25"/>
  <c r="H1792" i="25"/>
  <c r="D1793" i="25"/>
  <c r="H1793" i="25"/>
  <c r="D1794" i="25"/>
  <c r="H1794" i="25"/>
  <c r="D1795" i="25"/>
  <c r="H1795" i="25"/>
  <c r="D1796" i="25"/>
  <c r="H1796" i="25"/>
  <c r="D1797" i="25"/>
  <c r="H1797" i="25"/>
  <c r="D1798" i="25"/>
  <c r="H1798" i="25"/>
  <c r="D1799" i="25"/>
  <c r="H1799" i="25"/>
  <c r="D1800" i="25"/>
  <c r="H1800" i="25"/>
  <c r="D1801" i="25"/>
  <c r="H1801" i="25"/>
  <c r="D1802" i="25"/>
  <c r="H1802" i="25"/>
  <c r="D1803" i="25"/>
  <c r="H1803" i="25"/>
  <c r="D1804" i="25"/>
  <c r="H1804" i="25"/>
  <c r="D1805" i="25"/>
  <c r="H1805" i="25"/>
  <c r="D1806" i="25"/>
  <c r="H1806" i="25"/>
  <c r="D1807" i="25"/>
  <c r="H1807" i="25"/>
  <c r="D1808" i="25"/>
  <c r="H1808" i="25"/>
  <c r="D1809" i="25"/>
  <c r="H1809" i="25"/>
  <c r="D1810" i="25"/>
  <c r="H1810" i="25"/>
  <c r="D1811" i="25"/>
  <c r="H1811" i="25"/>
  <c r="D1812" i="25"/>
  <c r="H1812" i="25"/>
  <c r="D1813" i="25"/>
  <c r="H1813" i="25"/>
  <c r="D1814" i="25"/>
  <c r="H1814" i="25"/>
  <c r="D1815" i="25"/>
  <c r="H1815" i="25"/>
  <c r="D1816" i="25"/>
  <c r="H1816" i="25"/>
  <c r="D1817" i="25"/>
  <c r="H1817" i="25"/>
  <c r="D1818" i="25"/>
  <c r="H1818" i="25"/>
  <c r="D1819" i="25"/>
  <c r="H1819" i="25"/>
  <c r="D1820" i="25"/>
  <c r="H1820" i="25"/>
  <c r="D1821" i="25"/>
  <c r="H1821" i="25"/>
  <c r="D1822" i="25"/>
  <c r="H1822" i="25"/>
  <c r="D1823" i="25"/>
  <c r="H1823" i="25"/>
  <c r="D1824" i="25"/>
  <c r="H1824" i="25"/>
  <c r="D1825" i="25"/>
  <c r="H1825" i="25"/>
  <c r="D1826" i="25"/>
  <c r="H1826" i="25"/>
  <c r="D1827" i="25"/>
  <c r="H1827" i="25"/>
  <c r="D1828" i="25"/>
  <c r="H1828" i="25"/>
  <c r="D1829" i="25"/>
  <c r="H1829" i="25"/>
  <c r="D1830" i="25"/>
  <c r="H1830" i="25"/>
  <c r="D1831" i="25"/>
  <c r="H1831" i="25"/>
  <c r="D1832" i="25"/>
  <c r="H1832" i="25"/>
  <c r="D1833" i="25"/>
  <c r="H1833" i="25"/>
  <c r="D1834" i="25"/>
  <c r="H1834" i="25"/>
  <c r="D1835" i="25"/>
  <c r="H1835" i="25"/>
  <c r="D1836" i="25"/>
  <c r="H1836" i="25"/>
  <c r="D1837" i="25"/>
  <c r="H1837" i="25"/>
  <c r="D1838" i="25"/>
  <c r="H1838" i="25"/>
  <c r="D1839" i="25"/>
  <c r="H1839" i="25"/>
  <c r="D1840" i="25"/>
  <c r="H1840" i="25"/>
  <c r="D1841" i="25"/>
  <c r="H1841" i="25"/>
  <c r="D1842" i="25"/>
  <c r="H1842" i="25"/>
  <c r="D1843" i="25"/>
  <c r="H1843" i="25"/>
  <c r="D1844" i="25"/>
  <c r="H1844" i="25"/>
  <c r="D1845" i="25"/>
  <c r="H1845" i="25"/>
  <c r="D1846" i="25"/>
  <c r="H1846" i="25"/>
  <c r="D1847" i="25"/>
  <c r="H1847" i="25"/>
  <c r="D1848" i="25"/>
  <c r="H1848" i="25"/>
  <c r="D1849" i="25"/>
  <c r="H1849" i="25"/>
  <c r="D1850" i="25"/>
  <c r="H1850" i="25"/>
  <c r="D1851" i="25"/>
  <c r="H1851" i="25"/>
  <c r="D1852" i="25"/>
  <c r="H1852" i="25"/>
  <c r="D1853" i="25"/>
  <c r="H1853" i="25"/>
  <c r="D1854" i="25"/>
  <c r="H1854" i="25"/>
  <c r="D1855" i="25"/>
  <c r="H1855" i="25"/>
  <c r="D1856" i="25"/>
  <c r="H1856" i="25"/>
  <c r="D1857" i="25"/>
  <c r="H1857" i="25"/>
  <c r="D1858" i="25"/>
  <c r="H1858" i="25"/>
  <c r="D1859" i="25"/>
  <c r="H1859" i="25"/>
  <c r="D1860" i="25"/>
  <c r="H1860" i="25"/>
  <c r="D1861" i="25"/>
  <c r="H1861" i="25"/>
  <c r="D1862" i="25"/>
  <c r="H1862" i="25"/>
  <c r="D1863" i="25"/>
  <c r="H1863" i="25"/>
  <c r="D1864" i="25"/>
  <c r="H1864" i="25"/>
  <c r="D1865" i="25"/>
  <c r="H1865" i="25"/>
  <c r="D1866" i="25"/>
  <c r="H1866" i="25"/>
  <c r="D1867" i="25"/>
  <c r="H1867" i="25"/>
  <c r="D1868" i="25"/>
  <c r="H1868" i="25"/>
  <c r="D1869" i="25"/>
  <c r="H1869" i="25"/>
  <c r="D1870" i="25"/>
  <c r="H1870" i="25"/>
  <c r="D1871" i="25"/>
  <c r="H1871" i="25"/>
  <c r="D1872" i="25"/>
  <c r="H1872" i="25"/>
  <c r="D1873" i="25"/>
  <c r="H1873" i="25"/>
  <c r="D1874" i="25"/>
  <c r="H1874" i="25"/>
  <c r="D1875" i="25"/>
  <c r="H1875" i="25"/>
  <c r="D1876" i="25"/>
  <c r="H1876" i="25"/>
  <c r="D1877" i="25"/>
  <c r="H1877" i="25"/>
  <c r="D1878" i="25"/>
  <c r="H1878" i="25"/>
  <c r="D1879" i="25"/>
  <c r="H1879" i="25"/>
  <c r="D1880" i="25"/>
  <c r="H1880" i="25"/>
  <c r="D1881" i="25"/>
  <c r="H1881" i="25"/>
  <c r="D1882" i="25"/>
  <c r="H1882" i="25"/>
  <c r="D1883" i="25"/>
  <c r="H1883" i="25"/>
  <c r="D1884" i="25"/>
  <c r="H1884" i="25"/>
  <c r="D1885" i="25"/>
  <c r="H1885" i="25"/>
  <c r="D1886" i="25"/>
  <c r="H1886" i="25"/>
  <c r="D1887" i="25"/>
  <c r="H1887" i="25"/>
  <c r="D1888" i="25"/>
  <c r="H1888" i="25"/>
  <c r="D1889" i="25"/>
  <c r="H1889" i="25"/>
  <c r="D1890" i="25"/>
  <c r="H1890" i="25"/>
  <c r="D1891" i="25"/>
  <c r="H1891" i="25"/>
  <c r="D1892" i="25"/>
  <c r="H1892" i="25"/>
  <c r="D1893" i="25"/>
  <c r="H1893" i="25"/>
  <c r="D1894" i="25"/>
  <c r="H1894" i="25"/>
  <c r="D1895" i="25"/>
  <c r="H1895" i="25"/>
  <c r="D1896" i="25"/>
  <c r="H1896" i="25"/>
  <c r="D1897" i="25"/>
  <c r="H1897" i="25"/>
  <c r="D1898" i="25"/>
  <c r="H1898" i="25"/>
  <c r="D1899" i="25"/>
  <c r="H1899" i="25"/>
  <c r="D1900" i="25"/>
  <c r="H1900" i="25"/>
  <c r="D1901" i="25"/>
  <c r="H1901" i="25"/>
  <c r="D1902" i="25"/>
  <c r="H1902" i="25"/>
  <c r="D1903" i="25"/>
  <c r="H1903" i="25"/>
  <c r="D1904" i="25"/>
  <c r="H1904" i="25"/>
  <c r="D1905" i="25"/>
  <c r="H1905" i="25"/>
  <c r="D1906" i="25"/>
  <c r="H1906" i="25"/>
  <c r="D1907" i="25"/>
  <c r="H1907" i="25"/>
  <c r="D1908" i="25"/>
  <c r="H1908" i="25"/>
  <c r="D1909" i="25"/>
  <c r="H1909" i="25"/>
  <c r="D1910" i="25"/>
  <c r="H1910" i="25"/>
  <c r="D1911" i="25"/>
  <c r="H1911" i="25"/>
  <c r="D1912" i="25"/>
  <c r="H1912" i="25"/>
  <c r="D1913" i="25"/>
  <c r="H1913" i="25"/>
  <c r="D1914" i="25"/>
  <c r="H1914" i="25"/>
  <c r="D1915" i="25"/>
  <c r="H1915" i="25"/>
  <c r="D1916" i="25"/>
  <c r="H1916" i="25"/>
  <c r="D1917" i="25"/>
  <c r="H1917" i="25"/>
  <c r="D1918" i="25"/>
  <c r="H1918" i="25"/>
  <c r="D1919" i="25"/>
  <c r="H1919" i="25"/>
  <c r="D1920" i="25"/>
  <c r="H1920" i="25"/>
  <c r="D1921" i="25"/>
  <c r="H1921" i="25"/>
  <c r="D1922" i="25"/>
  <c r="H1922" i="25"/>
  <c r="D1923" i="25"/>
  <c r="H1923" i="25"/>
  <c r="D1924" i="25"/>
  <c r="H1924" i="25"/>
  <c r="D1925" i="25"/>
  <c r="H1925" i="25"/>
  <c r="D1926" i="25"/>
  <c r="H1926" i="25"/>
  <c r="D1927" i="25"/>
  <c r="H1927" i="25"/>
  <c r="D1928" i="25"/>
  <c r="H1928" i="25"/>
  <c r="D1929" i="25"/>
  <c r="H1929" i="25"/>
  <c r="D1930" i="25"/>
  <c r="H1930" i="25"/>
  <c r="D1931" i="25"/>
  <c r="H1931" i="25"/>
  <c r="D1932" i="25"/>
  <c r="H1932" i="25"/>
  <c r="D1933" i="25"/>
  <c r="H1933" i="25"/>
  <c r="D1934" i="25"/>
  <c r="H1934" i="25"/>
  <c r="D1935" i="25"/>
  <c r="H1935" i="25"/>
  <c r="D1936" i="25"/>
  <c r="H1936" i="25"/>
  <c r="D1937" i="25"/>
  <c r="H1937" i="25"/>
  <c r="D1938" i="25"/>
  <c r="H1938" i="25"/>
  <c r="D1939" i="25"/>
  <c r="H1939" i="25"/>
  <c r="D1940" i="25"/>
  <c r="H1940" i="25"/>
  <c r="D1941" i="25"/>
  <c r="H1941" i="25"/>
  <c r="D1942" i="25"/>
  <c r="H1942" i="25"/>
  <c r="D1943" i="25"/>
  <c r="H1943" i="25"/>
  <c r="D1944" i="25"/>
  <c r="H1944" i="25"/>
  <c r="D1945" i="25"/>
  <c r="H1945" i="25"/>
  <c r="D1946" i="25"/>
  <c r="H1946" i="25"/>
  <c r="D1947" i="25"/>
  <c r="H1947" i="25"/>
  <c r="D1948" i="25"/>
  <c r="H1948" i="25"/>
  <c r="D1949" i="25"/>
  <c r="H1949" i="25"/>
  <c r="D1950" i="25"/>
  <c r="H1950" i="25"/>
  <c r="D1951" i="25"/>
  <c r="H1951" i="25"/>
  <c r="D1952" i="25"/>
  <c r="H1952" i="25"/>
  <c r="D1953" i="25"/>
  <c r="H1953" i="25"/>
  <c r="D1954" i="25"/>
  <c r="H1954" i="25"/>
  <c r="D1955" i="25"/>
  <c r="H1955" i="25"/>
  <c r="D1956" i="25"/>
  <c r="H1956" i="25"/>
  <c r="D1957" i="25"/>
  <c r="H1957" i="25"/>
  <c r="D1958" i="25"/>
  <c r="H1958" i="25"/>
  <c r="D1959" i="25"/>
  <c r="H1959" i="25"/>
  <c r="D1960" i="25"/>
  <c r="H1960" i="25"/>
  <c r="D1961" i="25"/>
  <c r="H1961" i="25"/>
  <c r="D1962" i="25"/>
  <c r="H1962" i="25"/>
  <c r="D1963" i="25"/>
  <c r="H1963" i="25"/>
  <c r="D1964" i="25"/>
  <c r="H1964" i="25"/>
  <c r="D1965" i="25"/>
  <c r="H1965" i="25"/>
  <c r="D1966" i="25"/>
  <c r="H1966" i="25"/>
  <c r="D1967" i="25"/>
  <c r="H1967" i="25"/>
  <c r="D1968" i="25"/>
  <c r="H1968" i="25"/>
  <c r="D1969" i="25"/>
  <c r="H1969" i="25"/>
  <c r="D1970" i="25"/>
  <c r="H1970" i="25"/>
  <c r="D1971" i="25"/>
  <c r="H1971" i="25"/>
  <c r="D1972" i="25"/>
  <c r="H1972" i="25"/>
  <c r="D1973" i="25"/>
  <c r="H1973" i="25"/>
  <c r="D1974" i="25"/>
  <c r="H1974" i="25"/>
  <c r="D1975" i="25"/>
  <c r="H1975" i="25"/>
  <c r="D1976" i="25"/>
  <c r="H1976" i="25"/>
  <c r="D1977" i="25"/>
  <c r="H1977" i="25"/>
  <c r="D1978" i="25"/>
  <c r="H1978" i="25"/>
  <c r="D1979" i="25"/>
  <c r="H1979" i="25"/>
  <c r="D1980" i="25"/>
  <c r="H1980" i="25"/>
  <c r="D1981" i="25"/>
  <c r="H1981" i="25"/>
  <c r="D1982" i="25"/>
  <c r="H1982" i="25"/>
  <c r="D1983" i="25"/>
  <c r="H1983" i="25"/>
  <c r="D1984" i="25"/>
  <c r="H1984" i="25"/>
  <c r="D1985" i="25"/>
  <c r="H1985" i="25"/>
  <c r="D1986" i="25"/>
  <c r="H1986" i="25"/>
  <c r="D1987" i="25"/>
  <c r="H1987" i="25"/>
  <c r="D1988" i="25"/>
  <c r="H1988" i="25"/>
  <c r="D1989" i="25"/>
  <c r="H1989" i="25"/>
  <c r="D1990" i="25"/>
  <c r="H1990" i="25"/>
  <c r="D1991" i="25"/>
  <c r="H1991" i="25"/>
  <c r="D1992" i="25"/>
  <c r="H1992" i="25"/>
  <c r="D1993" i="25"/>
  <c r="H1993" i="25"/>
  <c r="D1994" i="25"/>
  <c r="H1994" i="25"/>
  <c r="D1995" i="25"/>
  <c r="H1995" i="25"/>
  <c r="D1996" i="25"/>
  <c r="H1996" i="25"/>
  <c r="D1997" i="25"/>
  <c r="H1997" i="25"/>
  <c r="D1998" i="25"/>
  <c r="H1998" i="25"/>
  <c r="D1999" i="25"/>
  <c r="H1999" i="25"/>
  <c r="D2000" i="25"/>
  <c r="H2000" i="25"/>
  <c r="D2001" i="25"/>
  <c r="H2001" i="25"/>
  <c r="D2002" i="25"/>
  <c r="H2002" i="25"/>
  <c r="D2003" i="25"/>
  <c r="H2003" i="25"/>
  <c r="D2004" i="25"/>
  <c r="H2004" i="25"/>
  <c r="D2005" i="25"/>
  <c r="H2005" i="25"/>
  <c r="D2006" i="25"/>
  <c r="H2006" i="25"/>
  <c r="D2007" i="25"/>
  <c r="H2007" i="25"/>
  <c r="D2008" i="25"/>
  <c r="H2008" i="25"/>
  <c r="D2009" i="25"/>
  <c r="H2009" i="25"/>
  <c r="D2010" i="25"/>
  <c r="H2010" i="25"/>
  <c r="Y221" i="13" a="1"/>
  <c r="Y229" i="13" a="1"/>
  <c r="Y233" i="13" a="1"/>
  <c r="Y237" i="13" a="1"/>
  <c r="Y248" i="13" a="1"/>
  <c r="Y222" i="13" a="1"/>
  <c r="Y228" i="13" a="1"/>
  <c r="Y234" i="13" a="1"/>
  <c r="Y241" i="13" a="1"/>
  <c r="Y247" i="13" a="1"/>
  <c r="Y224" i="13" a="1"/>
  <c r="Y227" i="13" a="1"/>
  <c r="Y232" i="13" a="1"/>
  <c r="Y238" i="13" a="1"/>
  <c r="Y245" i="13" a="1"/>
  <c r="Y220" i="13" a="1"/>
  <c r="Y225" i="13" a="1"/>
  <c r="Y236" i="13" a="1"/>
  <c r="Y240" i="13" a="1"/>
  <c r="Y243" i="13" a="1"/>
  <c r="Y219" i="13" a="1"/>
  <c r="Y226" i="13" a="1"/>
  <c r="Y235" i="13" a="1"/>
  <c r="Y242" i="13" a="1"/>
  <c r="Y244" i="13" a="1"/>
  <c r="Y223" i="13" a="1"/>
  <c r="Y230" i="13" a="1"/>
  <c r="Y231" i="13" a="1"/>
  <c r="Y239" i="13" a="1"/>
  <c r="Y246" i="13" a="1"/>
  <c r="Y215" i="13" a="1"/>
  <c r="Y217" i="13" a="1"/>
  <c r="Y214" i="13" a="1"/>
  <c r="Y218" i="13" a="1"/>
  <c r="Y210" i="13" a="1"/>
  <c r="Y216" i="13" a="1"/>
  <c r="Y591" i="13" a="1"/>
  <c r="Y590" i="13" a="1"/>
  <c r="Y601" i="13" a="1"/>
  <c r="Y592" i="13" a="1"/>
  <c r="Y570" i="13" a="1"/>
  <c r="Y602" i="13" a="1"/>
  <c r="Y603" i="13" a="1"/>
  <c r="Y604" i="13" a="1"/>
  <c r="Y605" i="13" a="1"/>
  <c r="Y206" i="13" a="1"/>
  <c r="Y606" i="13" a="1"/>
  <c r="Y607" i="13" a="1"/>
  <c r="Y608" i="13" a="1"/>
  <c r="Y609" i="13" a="1"/>
  <c r="Y610" i="13" a="1"/>
  <c r="Y211" i="13" a="1"/>
  <c r="Y213" i="13" a="1"/>
  <c r="Y212" i="13" a="1"/>
  <c r="Y593" i="13" a="1"/>
  <c r="Y594" i="13" a="1"/>
  <c r="Y595" i="13" a="1"/>
  <c r="Y596" i="13" a="1"/>
  <c r="Y597" i="13" a="1"/>
  <c r="Y598" i="13" a="1"/>
  <c r="Y599" i="13" a="1"/>
  <c r="Y600" i="13" a="1"/>
  <c r="Y563" i="13" a="1"/>
  <c r="Y579" i="13" a="1"/>
  <c r="Y580" i="13" a="1"/>
  <c r="Y581" i="13" a="1"/>
  <c r="Y582" i="13" a="1"/>
  <c r="Y583" i="13" a="1"/>
  <c r="Y584" i="13" a="1"/>
  <c r="Y585" i="13" a="1"/>
  <c r="Y586" i="13" a="1"/>
  <c r="Y587" i="13" a="1"/>
  <c r="Y588" i="13" a="1"/>
  <c r="Y568" i="13" a="1"/>
  <c r="Y571" i="13" a="1"/>
  <c r="Y572" i="13" a="1"/>
  <c r="Y573" i="13" a="1"/>
  <c r="Y574" i="13" a="1"/>
  <c r="Y575" i="13" a="1"/>
  <c r="Y576" i="13" a="1"/>
  <c r="Y557" i="13" a="1"/>
  <c r="Y564" i="13" a="1"/>
  <c r="Y565" i="13" a="1"/>
  <c r="Y566" i="13" a="1"/>
  <c r="Y567" i="13" a="1"/>
  <c r="Y569" i="13" a="1"/>
  <c r="Y548" i="13" a="1"/>
  <c r="Y553" i="13" a="1"/>
  <c r="Y554" i="13" a="1"/>
  <c r="Y555" i="13" a="1"/>
  <c r="Y556" i="13" a="1"/>
  <c r="Y558" i="13" a="1"/>
  <c r="Y559" i="13" a="1"/>
  <c r="Y560" i="13" a="1"/>
  <c r="Y561" i="13" a="1"/>
  <c r="Y562" i="13" a="1"/>
  <c r="Y538" i="13" a="1"/>
  <c r="Y536" i="13" a="1"/>
  <c r="Y526" i="13" a="1"/>
  <c r="Y542" i="13" a="1"/>
  <c r="Y543" i="13" a="1"/>
  <c r="Y544" i="13" a="1"/>
  <c r="Y545" i="13" a="1"/>
  <c r="Y546" i="13" a="1"/>
  <c r="Y547" i="13" a="1"/>
  <c r="Y549" i="13" a="1"/>
  <c r="Y550" i="13" a="1"/>
  <c r="Y527" i="13" a="1"/>
  <c r="Y533" i="13" a="1"/>
  <c r="Y534" i="13" a="1"/>
  <c r="Y535" i="13" a="1"/>
  <c r="Y537" i="13" a="1"/>
  <c r="Y539" i="13" a="1"/>
  <c r="Y540" i="13" a="1"/>
  <c r="Y541" i="13" a="1"/>
  <c r="Y528" i="13" a="1"/>
  <c r="Y529" i="13" a="1"/>
  <c r="Y530" i="13" a="1"/>
  <c r="Y531" i="13" a="1"/>
  <c r="Y532" i="13" a="1"/>
  <c r="Y514" i="13" a="1"/>
  <c r="Y507" i="13" a="1"/>
  <c r="Y516" i="13" a="1"/>
  <c r="Y517" i="13" a="1"/>
  <c r="Y518" i="13" a="1"/>
  <c r="Y519" i="13" a="1"/>
  <c r="Y520" i="13" a="1"/>
  <c r="Y521" i="13" a="1"/>
  <c r="Y522" i="13" a="1"/>
  <c r="Y523" i="13" a="1"/>
  <c r="Y524" i="13" a="1"/>
  <c r="Y525" i="13" a="1"/>
  <c r="Y503" i="13" a="1"/>
  <c r="Y508" i="13" a="1"/>
  <c r="Y509" i="13" a="1"/>
  <c r="Y510" i="13" a="1"/>
  <c r="Y511" i="13" a="1"/>
  <c r="Y512" i="13" a="1"/>
  <c r="Y513" i="13" a="1"/>
  <c r="Y515" i="13" a="1"/>
  <c r="Y473" i="13" a="1"/>
  <c r="Y497" i="13" a="1"/>
  <c r="Y498" i="13" a="1"/>
  <c r="Y499" i="13" a="1"/>
  <c r="Y500" i="13" a="1"/>
  <c r="Y501" i="13" a="1"/>
  <c r="Y502" i="13" a="1"/>
  <c r="Y504" i="13" a="1"/>
  <c r="Y505" i="13" a="1"/>
  <c r="Y479" i="13" a="1"/>
  <c r="Y482" i="13" a="1"/>
  <c r="Y484" i="13" a="1"/>
  <c r="Y485" i="13" a="1"/>
  <c r="Y486" i="13" a="1"/>
  <c r="Y487" i="13" a="1"/>
  <c r="Y488" i="13" a="1"/>
  <c r="Y489" i="13" a="1"/>
  <c r="Y490" i="13" a="1"/>
  <c r="Y491" i="13" a="1"/>
  <c r="Y493" i="13" a="1"/>
  <c r="Y494" i="13" a="1"/>
  <c r="Y460" i="13" a="1"/>
  <c r="Y474" i="13" a="1"/>
  <c r="Y475" i="13" a="1"/>
  <c r="Y476" i="13" a="1"/>
  <c r="Y477" i="13" a="1"/>
  <c r="Y478" i="13" a="1"/>
  <c r="Y480" i="13" a="1"/>
  <c r="Y481" i="13" a="1"/>
  <c r="Y483" i="13" a="1"/>
  <c r="Y455" i="13" a="1"/>
  <c r="Y456" i="13" a="1"/>
  <c r="Y457" i="13" a="1"/>
  <c r="Y458" i="13" a="1"/>
  <c r="Y459" i="13" a="1"/>
  <c r="Y200" i="13" a="1"/>
  <c r="Y209" i="13" a="1"/>
  <c r="Y198" i="13" a="1"/>
  <c r="Y205" i="13" a="1"/>
  <c r="Y461" i="13" a="1"/>
  <c r="Y462" i="13" a="1"/>
  <c r="Y463" i="13" a="1"/>
  <c r="Y464" i="13" a="1"/>
  <c r="Y465" i="13" a="1"/>
  <c r="Y466" i="13" a="1"/>
  <c r="Y467" i="13" a="1"/>
  <c r="Y199" i="13" a="1"/>
  <c r="Y204" i="13" a="1"/>
  <c r="Y202" i="13" a="1"/>
  <c r="Y201" i="13" a="1"/>
  <c r="Y207" i="13" a="1"/>
  <c r="Y203" i="13" a="1"/>
  <c r="Y208" i="13" a="1"/>
  <c r="Y444" i="13" a="1"/>
  <c r="Y446" i="13" a="1"/>
  <c r="Y443" i="13" a="1"/>
  <c r="Y451" i="13" a="1"/>
  <c r="Y452" i="13" a="1"/>
  <c r="Y453" i="13" a="1"/>
  <c r="Y445" i="13" a="1"/>
  <c r="Y447" i="13" a="1"/>
  <c r="Y448" i="13" a="1"/>
  <c r="Y449" i="13" a="1"/>
  <c r="Y450" i="13" a="1"/>
  <c r="Y363" i="13" a="1"/>
  <c r="Y365" i="13" a="1"/>
  <c r="Y364" i="13" a="1"/>
  <c r="Y370" i="13" a="1"/>
  <c r="Y369" i="13" a="1"/>
  <c r="Y368" i="13" a="1"/>
  <c r="Y367" i="13" a="1"/>
  <c r="Y366" i="13" a="1"/>
  <c r="Y371" i="13" a="1"/>
  <c r="Y372" i="13" a="1"/>
  <c r="Y373" i="13" a="1"/>
  <c r="Y187" i="13" a="1"/>
  <c r="Y188" i="13" a="1"/>
  <c r="Y189" i="13" a="1"/>
  <c r="Y190" i="13" a="1"/>
  <c r="Y191" i="13" a="1"/>
  <c r="Y192" i="13" a="1"/>
  <c r="Y193" i="13" a="1"/>
  <c r="Y194" i="13" a="1"/>
  <c r="Y195" i="13" a="1"/>
  <c r="Y196" i="13" a="1"/>
  <c r="Y197" i="13" a="1"/>
  <c r="C150" i="21"/>
  <c r="D150" i="21"/>
  <c r="D151" i="21"/>
  <c r="C151" i="21"/>
  <c r="D152" i="21"/>
  <c r="C152" i="21"/>
  <c r="D153" i="21"/>
  <c r="C153" i="21"/>
  <c r="D154" i="21"/>
  <c r="C154" i="21"/>
  <c r="D155" i="21"/>
  <c r="C155" i="21"/>
  <c r="D156" i="21"/>
  <c r="C156" i="21"/>
  <c r="C157" i="21"/>
  <c r="D157" i="21"/>
  <c r="D158" i="21"/>
  <c r="C158" i="21"/>
  <c r="D159" i="21"/>
  <c r="C159" i="21"/>
  <c r="D160" i="21"/>
  <c r="C160" i="21"/>
  <c r="D161" i="21"/>
  <c r="C161" i="21"/>
  <c r="D162" i="21"/>
  <c r="C162" i="21"/>
  <c r="D163" i="21"/>
  <c r="C163" i="21"/>
  <c r="D164" i="21"/>
  <c r="C164" i="21"/>
  <c r="D165" i="21"/>
  <c r="C165" i="21"/>
  <c r="D166" i="21"/>
  <c r="C166" i="21"/>
  <c r="D167" i="21"/>
  <c r="C167" i="21"/>
  <c r="C168" i="21"/>
  <c r="D168" i="21"/>
  <c r="D169" i="21"/>
  <c r="C169" i="21"/>
  <c r="D170" i="21"/>
  <c r="C170" i="21"/>
  <c r="D171" i="21"/>
  <c r="C171" i="21"/>
  <c r="C172" i="21"/>
  <c r="D172" i="21"/>
  <c r="D173" i="21"/>
  <c r="C173" i="21"/>
  <c r="D174" i="21"/>
  <c r="C174" i="21"/>
  <c r="D175" i="21"/>
  <c r="C175" i="21"/>
  <c r="C176" i="21"/>
  <c r="D176" i="21"/>
  <c r="D177" i="21"/>
  <c r="C177" i="21"/>
  <c r="D178" i="21"/>
  <c r="C178" i="21"/>
  <c r="D179" i="21"/>
  <c r="C179" i="21"/>
  <c r="C180" i="21"/>
  <c r="D180" i="21"/>
  <c r="D181" i="21"/>
  <c r="C181" i="21"/>
  <c r="D182" i="21"/>
  <c r="C182" i="21"/>
  <c r="D183" i="21"/>
  <c r="C183" i="21"/>
  <c r="C184" i="21"/>
  <c r="D184" i="21"/>
  <c r="D185" i="21"/>
  <c r="C185" i="21"/>
  <c r="D186" i="21"/>
  <c r="C186" i="21"/>
  <c r="D187" i="21"/>
  <c r="C187" i="21"/>
  <c r="D188" i="21"/>
  <c r="C188" i="21"/>
  <c r="D189" i="21"/>
  <c r="C189" i="21"/>
  <c r="D190" i="21"/>
  <c r="C190" i="21"/>
  <c r="C191" i="21"/>
  <c r="D191" i="21"/>
  <c r="C192" i="21"/>
  <c r="D192" i="21"/>
  <c r="C193" i="21"/>
  <c r="D193" i="21"/>
  <c r="C194" i="21"/>
  <c r="D194" i="21"/>
  <c r="C195" i="21"/>
  <c r="D195" i="21"/>
  <c r="C196" i="21"/>
  <c r="D196" i="21"/>
  <c r="D197" i="21"/>
  <c r="C197" i="21"/>
  <c r="C198" i="21"/>
  <c r="D198" i="21"/>
  <c r="D199" i="21"/>
  <c r="C199" i="21"/>
  <c r="D200" i="21"/>
  <c r="C200" i="21"/>
  <c r="D201" i="21"/>
  <c r="C201" i="21"/>
  <c r="C202" i="21"/>
  <c r="D202" i="21"/>
  <c r="C203" i="21"/>
  <c r="D203" i="21"/>
  <c r="C204" i="21"/>
  <c r="D204" i="21"/>
  <c r="C205" i="21"/>
  <c r="D205" i="21"/>
  <c r="D206" i="21"/>
  <c r="C206" i="21"/>
  <c r="D207" i="21"/>
  <c r="C207" i="21"/>
  <c r="D208" i="21"/>
  <c r="C208" i="21"/>
  <c r="D209" i="21"/>
  <c r="C209" i="21"/>
  <c r="C210" i="21"/>
  <c r="D210" i="21"/>
  <c r="D211" i="21"/>
  <c r="C211" i="21"/>
  <c r="D212" i="21"/>
  <c r="C212" i="21"/>
  <c r="C213" i="21"/>
  <c r="D213" i="21"/>
  <c r="C214" i="21"/>
  <c r="D214" i="21"/>
  <c r="C215" i="21"/>
  <c r="D215" i="21"/>
  <c r="D216" i="21"/>
  <c r="C216" i="21"/>
  <c r="C217" i="21"/>
  <c r="D217" i="21"/>
  <c r="C218" i="21"/>
  <c r="D218" i="21"/>
  <c r="C219" i="21"/>
  <c r="D219" i="21"/>
  <c r="C220" i="21"/>
  <c r="D220" i="21"/>
  <c r="C221" i="21"/>
  <c r="D221" i="21"/>
  <c r="C222" i="21"/>
  <c r="D222" i="21"/>
  <c r="C223" i="21"/>
  <c r="D223" i="21"/>
  <c r="D224" i="21"/>
  <c r="C224" i="21"/>
  <c r="D225" i="21"/>
  <c r="C225" i="21"/>
  <c r="C226" i="21"/>
  <c r="D226" i="21"/>
  <c r="D227" i="21"/>
  <c r="C227" i="21"/>
  <c r="C228" i="21"/>
  <c r="D228" i="21"/>
  <c r="C229" i="21"/>
  <c r="D229" i="21"/>
  <c r="D230" i="21"/>
  <c r="C230" i="21"/>
  <c r="D231" i="21"/>
  <c r="C231" i="21"/>
  <c r="C232" i="21"/>
  <c r="D232" i="21"/>
  <c r="C233" i="21"/>
  <c r="D233" i="21"/>
  <c r="C234" i="21"/>
  <c r="D234" i="21"/>
  <c r="D235" i="21"/>
  <c r="C235" i="21"/>
  <c r="C236" i="21"/>
  <c r="D236" i="21"/>
  <c r="C237" i="21"/>
  <c r="D237" i="21"/>
  <c r="C238" i="21"/>
  <c r="D238" i="21"/>
  <c r="C239" i="21"/>
  <c r="D239" i="21"/>
  <c r="C240" i="21"/>
  <c r="D240" i="21"/>
  <c r="D241" i="21"/>
  <c r="C241" i="21"/>
  <c r="D242" i="21"/>
  <c r="C242" i="21"/>
  <c r="D243" i="21"/>
  <c r="C243" i="21"/>
  <c r="C244" i="21"/>
  <c r="D244" i="21"/>
  <c r="C245" i="21"/>
  <c r="D245" i="21"/>
  <c r="D246" i="21"/>
  <c r="C246" i="21"/>
  <c r="D247" i="21"/>
  <c r="C247" i="21"/>
  <c r="D248" i="21"/>
  <c r="C248" i="21"/>
  <c r="D249" i="21"/>
  <c r="C249" i="21"/>
  <c r="D250" i="21"/>
  <c r="C250" i="21"/>
  <c r="C251" i="21"/>
  <c r="D251" i="21"/>
  <c r="D252" i="21"/>
  <c r="C252" i="21"/>
  <c r="D253" i="21"/>
  <c r="C253" i="21"/>
  <c r="D254" i="21"/>
  <c r="C254" i="21"/>
  <c r="D255" i="21"/>
  <c r="C255" i="21"/>
  <c r="C256" i="21"/>
  <c r="D256" i="21"/>
  <c r="D257" i="21"/>
  <c r="C257" i="21"/>
  <c r="D258" i="21"/>
  <c r="C258" i="21"/>
  <c r="D259" i="21"/>
  <c r="C259" i="21"/>
  <c r="D260" i="21"/>
  <c r="C260" i="21"/>
  <c r="D261" i="21"/>
  <c r="C261" i="21"/>
  <c r="C262" i="21"/>
  <c r="D262" i="21"/>
  <c r="D263" i="21"/>
  <c r="C263" i="21"/>
  <c r="D264" i="21"/>
  <c r="C264" i="21"/>
  <c r="D265" i="21"/>
  <c r="C265" i="21"/>
  <c r="D266" i="21"/>
  <c r="C266" i="21"/>
  <c r="D267" i="21"/>
  <c r="C267" i="21"/>
  <c r="D268" i="21"/>
  <c r="C268" i="21"/>
  <c r="D269" i="21"/>
  <c r="C269" i="21"/>
  <c r="D270" i="21"/>
  <c r="C270" i="21"/>
  <c r="C271" i="21"/>
  <c r="D271" i="21"/>
  <c r="D272" i="21"/>
  <c r="C272" i="21"/>
  <c r="D273" i="21"/>
  <c r="C273" i="21"/>
  <c r="C274" i="21"/>
  <c r="D274" i="21"/>
  <c r="C275" i="21"/>
  <c r="D275" i="21"/>
  <c r="D276" i="21"/>
  <c r="C276" i="21"/>
  <c r="C277" i="21"/>
  <c r="D277" i="21"/>
  <c r="C278" i="21"/>
  <c r="D278" i="21"/>
  <c r="C279" i="21"/>
  <c r="D279" i="21"/>
  <c r="D280" i="21"/>
  <c r="C280" i="21"/>
  <c r="C281" i="21"/>
  <c r="D281" i="21"/>
  <c r="C282" i="21"/>
  <c r="D282" i="21"/>
  <c r="D283" i="21"/>
  <c r="C283" i="21"/>
  <c r="D284" i="21"/>
  <c r="C284" i="21"/>
  <c r="D285" i="21"/>
  <c r="C285" i="21"/>
  <c r="C286" i="21"/>
  <c r="D286" i="21"/>
  <c r="D287" i="21"/>
  <c r="C287" i="21"/>
  <c r="C288" i="21"/>
  <c r="D288" i="21"/>
  <c r="D289" i="21"/>
  <c r="C289" i="21"/>
  <c r="D290" i="21"/>
  <c r="C290" i="21"/>
  <c r="D291" i="21"/>
  <c r="C291" i="21"/>
  <c r="D292" i="21"/>
  <c r="C292" i="21"/>
  <c r="D293" i="21"/>
  <c r="C293" i="21"/>
  <c r="C294" i="21"/>
  <c r="D294" i="21"/>
  <c r="D295" i="21"/>
  <c r="C295" i="21"/>
  <c r="C296" i="21"/>
  <c r="D296" i="21"/>
  <c r="C297" i="21"/>
  <c r="D297" i="21"/>
  <c r="C298" i="21"/>
  <c r="D298" i="21"/>
  <c r="D299" i="21"/>
  <c r="C299" i="21"/>
  <c r="D300" i="21"/>
  <c r="C300" i="21"/>
  <c r="D301" i="21"/>
  <c r="C301" i="21"/>
  <c r="D302" i="21"/>
  <c r="C302" i="21"/>
  <c r="C303" i="21"/>
  <c r="D303" i="21"/>
  <c r="C304" i="21"/>
  <c r="D304" i="21"/>
  <c r="C305" i="21"/>
  <c r="D305" i="21"/>
  <c r="D306" i="21"/>
  <c r="C306" i="21"/>
  <c r="D307" i="21"/>
  <c r="C307" i="21"/>
  <c r="C308" i="21"/>
  <c r="D308" i="21"/>
  <c r="C309" i="21"/>
  <c r="D309" i="21"/>
  <c r="C310" i="21"/>
  <c r="D310" i="21"/>
  <c r="C311" i="21"/>
  <c r="D311" i="21"/>
  <c r="D312" i="21"/>
  <c r="C312" i="21"/>
  <c r="D313" i="21"/>
  <c r="C313" i="21"/>
  <c r="D314" i="21"/>
  <c r="C314" i="21"/>
  <c r="D315" i="21"/>
  <c r="C315" i="21"/>
  <c r="D316" i="21"/>
  <c r="C316" i="21"/>
  <c r="C317" i="21"/>
  <c r="D317" i="21"/>
  <c r="D318" i="21"/>
  <c r="C318" i="21"/>
  <c r="C319" i="21"/>
  <c r="D319" i="21"/>
  <c r="C320" i="21"/>
  <c r="D320" i="21"/>
  <c r="C321" i="21"/>
  <c r="D321" i="21"/>
  <c r="C322" i="21"/>
  <c r="D322" i="21"/>
  <c r="D323" i="21"/>
  <c r="C323" i="21"/>
  <c r="C324" i="21"/>
  <c r="D324" i="21"/>
  <c r="C325" i="21"/>
  <c r="D325" i="21"/>
  <c r="C326" i="21"/>
  <c r="D326" i="21"/>
  <c r="D327" i="21"/>
  <c r="C327" i="21"/>
  <c r="C328" i="21"/>
  <c r="D328" i="21"/>
  <c r="C329" i="21"/>
  <c r="D329" i="21"/>
  <c r="D330" i="21"/>
  <c r="C330" i="21"/>
  <c r="C331" i="21"/>
  <c r="D331" i="21"/>
  <c r="D332" i="21"/>
  <c r="C332" i="21"/>
  <c r="D333" i="21"/>
  <c r="C333" i="21"/>
  <c r="D334" i="21"/>
  <c r="C334" i="21"/>
  <c r="C335" i="21"/>
  <c r="D335" i="21"/>
  <c r="D336" i="21"/>
  <c r="C336" i="21"/>
  <c r="D337" i="21"/>
  <c r="C337" i="21"/>
  <c r="C338" i="21"/>
  <c r="D338" i="21"/>
  <c r="D339" i="21"/>
  <c r="C339" i="21"/>
  <c r="C340" i="21"/>
  <c r="D340" i="21"/>
  <c r="D341" i="21"/>
  <c r="C341" i="21"/>
  <c r="D342" i="21"/>
  <c r="C342" i="21"/>
  <c r="C343" i="21"/>
  <c r="D343" i="21"/>
  <c r="D344" i="21"/>
  <c r="C344" i="21"/>
  <c r="D345" i="21"/>
  <c r="C345" i="21"/>
  <c r="C346" i="21"/>
  <c r="D346" i="21"/>
  <c r="D347" i="21"/>
  <c r="C347" i="21"/>
  <c r="D348" i="21"/>
  <c r="C348" i="21"/>
  <c r="D349" i="21"/>
  <c r="C349" i="21"/>
  <c r="C350" i="21"/>
  <c r="D350" i="21"/>
  <c r="D351" i="21"/>
  <c r="C351" i="21"/>
  <c r="D352" i="21"/>
  <c r="C352" i="21"/>
  <c r="D353" i="21"/>
  <c r="C353" i="21"/>
  <c r="C354" i="21"/>
  <c r="D354" i="21"/>
  <c r="D355" i="21"/>
  <c r="C355" i="21"/>
  <c r="C356" i="21"/>
  <c r="D356" i="21"/>
  <c r="C357" i="21"/>
  <c r="D357" i="21"/>
  <c r="C358" i="21"/>
  <c r="D358" i="21"/>
  <c r="C359" i="21"/>
  <c r="D359" i="21"/>
  <c r="C360" i="21"/>
  <c r="D360" i="21"/>
  <c r="C361" i="21"/>
  <c r="D361" i="21"/>
  <c r="D362" i="21"/>
  <c r="C362" i="21"/>
  <c r="D363" i="21"/>
  <c r="C363" i="21"/>
  <c r="D364" i="21"/>
  <c r="C364" i="21"/>
  <c r="C365" i="21"/>
  <c r="D365" i="21"/>
  <c r="C366" i="21"/>
  <c r="D366" i="21"/>
  <c r="D367" i="21"/>
  <c r="C367" i="21"/>
  <c r="D368" i="21"/>
  <c r="C368" i="21"/>
  <c r="C369" i="21"/>
  <c r="D369" i="21"/>
  <c r="C370" i="21"/>
  <c r="D370" i="21"/>
  <c r="D371" i="21"/>
  <c r="C371" i="21"/>
  <c r="D372" i="21"/>
  <c r="C372" i="21"/>
  <c r="C373" i="21"/>
  <c r="D373" i="21"/>
  <c r="D374" i="21"/>
  <c r="C374" i="21"/>
  <c r="D375" i="21"/>
  <c r="C375" i="21"/>
  <c r="D376" i="21"/>
  <c r="C376" i="21"/>
  <c r="D377" i="21"/>
  <c r="C377" i="21"/>
  <c r="D378" i="21"/>
  <c r="C378" i="21"/>
  <c r="C379" i="21"/>
  <c r="D379" i="21"/>
  <c r="C380" i="21"/>
  <c r="D380" i="21"/>
  <c r="C381" i="21"/>
  <c r="D381" i="21"/>
  <c r="D382" i="21"/>
  <c r="C382" i="21"/>
  <c r="C383" i="21"/>
  <c r="D383" i="21"/>
  <c r="C384" i="21"/>
  <c r="D384" i="21"/>
  <c r="C385" i="21"/>
  <c r="D385" i="21"/>
  <c r="C386" i="21"/>
  <c r="D386" i="21"/>
  <c r="C387" i="21"/>
  <c r="D387" i="21"/>
  <c r="D388" i="21"/>
  <c r="C388" i="21"/>
  <c r="C389" i="21"/>
  <c r="D389" i="21"/>
  <c r="C390" i="21"/>
  <c r="D390" i="21"/>
  <c r="D391" i="21"/>
  <c r="C391" i="21"/>
  <c r="D392" i="21"/>
  <c r="C392" i="21"/>
  <c r="C393" i="21"/>
  <c r="D393" i="21"/>
  <c r="C394" i="21"/>
  <c r="D394" i="21"/>
  <c r="D395" i="21"/>
  <c r="C395" i="21"/>
  <c r="D396" i="21"/>
  <c r="C396" i="21"/>
  <c r="C397" i="21"/>
  <c r="D397" i="21"/>
  <c r="C398" i="21"/>
  <c r="D398" i="21"/>
  <c r="D399" i="21"/>
  <c r="C399" i="21"/>
  <c r="D400" i="21"/>
  <c r="C400" i="21"/>
  <c r="D401" i="21"/>
  <c r="C401" i="21"/>
  <c r="C402" i="21"/>
  <c r="D402" i="21"/>
  <c r="C403" i="21"/>
  <c r="D403" i="21"/>
  <c r="C404" i="21"/>
  <c r="D404" i="21"/>
  <c r="C405" i="21"/>
  <c r="D405" i="21"/>
  <c r="D406" i="21"/>
  <c r="C406" i="21"/>
  <c r="D407" i="21"/>
  <c r="C407" i="21"/>
  <c r="D408" i="21"/>
  <c r="C408" i="21"/>
  <c r="D409" i="21"/>
  <c r="C409" i="21"/>
  <c r="C410" i="21"/>
  <c r="D410" i="21"/>
  <c r="C411" i="21"/>
  <c r="D411" i="21"/>
  <c r="C412" i="21"/>
  <c r="D412" i="21"/>
  <c r="C413" i="21"/>
  <c r="D413" i="21"/>
  <c r="D414" i="21"/>
  <c r="C414" i="21"/>
  <c r="D415" i="21"/>
  <c r="C415" i="21"/>
  <c r="C416" i="21"/>
  <c r="D416" i="21"/>
  <c r="D417" i="21"/>
  <c r="C417" i="21"/>
  <c r="D418" i="21"/>
  <c r="C418" i="21"/>
  <c r="D419" i="21"/>
  <c r="C419" i="21"/>
  <c r="C420" i="21"/>
  <c r="D420" i="21"/>
  <c r="C421" i="21"/>
  <c r="D421" i="21"/>
  <c r="C422" i="21"/>
  <c r="D422" i="21"/>
  <c r="D423" i="21"/>
  <c r="C423" i="21"/>
  <c r="D424" i="21"/>
  <c r="C424" i="21"/>
  <c r="D425" i="21"/>
  <c r="C425" i="21"/>
  <c r="D426" i="21"/>
  <c r="C426" i="21"/>
  <c r="D427" i="21"/>
  <c r="C427" i="21"/>
  <c r="D428" i="21"/>
  <c r="C428" i="21"/>
  <c r="D429" i="21"/>
  <c r="C429" i="21"/>
  <c r="D430" i="21"/>
  <c r="C430" i="21"/>
  <c r="C431" i="21"/>
  <c r="D431" i="21"/>
  <c r="C432" i="21"/>
  <c r="D432" i="21"/>
  <c r="C433" i="21"/>
  <c r="D433" i="21"/>
  <c r="C434" i="21"/>
  <c r="D434" i="21"/>
  <c r="C435" i="21"/>
  <c r="D435" i="21"/>
  <c r="C436" i="21"/>
  <c r="D436" i="21"/>
  <c r="D437" i="21"/>
  <c r="C437" i="21"/>
  <c r="D438" i="21"/>
  <c r="C438" i="21"/>
  <c r="D439" i="21"/>
  <c r="C439" i="21"/>
  <c r="D440" i="21"/>
  <c r="C440" i="21"/>
  <c r="D441" i="21"/>
  <c r="C441" i="21"/>
  <c r="D442" i="21"/>
  <c r="C442" i="21"/>
  <c r="C443" i="21"/>
  <c r="D443" i="21"/>
  <c r="C444" i="21"/>
  <c r="D444" i="21"/>
  <c r="C445" i="21"/>
  <c r="D445" i="21"/>
  <c r="C446" i="21"/>
  <c r="D446" i="21"/>
  <c r="C447" i="21"/>
  <c r="D447" i="21"/>
  <c r="C448" i="21"/>
  <c r="D448" i="21"/>
  <c r="D449" i="21"/>
  <c r="C449" i="21"/>
  <c r="D450" i="21"/>
  <c r="C450" i="21"/>
  <c r="D451" i="21"/>
  <c r="C451" i="21"/>
  <c r="D452" i="21"/>
  <c r="C452" i="21"/>
  <c r="D453" i="21"/>
  <c r="C453" i="21"/>
  <c r="D454" i="21"/>
  <c r="C454" i="21"/>
  <c r="C455" i="21"/>
  <c r="D455" i="21"/>
  <c r="C456" i="21"/>
  <c r="D456" i="21"/>
  <c r="C457" i="21"/>
  <c r="D457" i="21"/>
  <c r="C458" i="21"/>
  <c r="D458" i="21"/>
  <c r="C459" i="21"/>
  <c r="D459" i="21"/>
  <c r="D460" i="21"/>
  <c r="C460" i="21"/>
  <c r="D461" i="21"/>
  <c r="C461" i="21"/>
  <c r="D462" i="21"/>
  <c r="C462" i="21"/>
  <c r="D463" i="21"/>
  <c r="C463" i="21"/>
  <c r="D464" i="21"/>
  <c r="C464" i="21"/>
  <c r="D465" i="21"/>
  <c r="C465" i="21"/>
  <c r="D466" i="21"/>
  <c r="C466" i="21"/>
  <c r="D467" i="21"/>
  <c r="C467" i="21"/>
  <c r="D468" i="21"/>
  <c r="C468" i="21"/>
  <c r="D469" i="21"/>
  <c r="C469" i="21"/>
  <c r="D470" i="21"/>
  <c r="C470" i="21"/>
  <c r="C471" i="21"/>
  <c r="D471" i="21"/>
  <c r="D472" i="21"/>
  <c r="C472" i="21"/>
  <c r="C473" i="21"/>
  <c r="D473" i="21"/>
  <c r="C474" i="21"/>
  <c r="D474" i="21"/>
  <c r="C475" i="21"/>
  <c r="D475" i="21"/>
  <c r="D476" i="21"/>
  <c r="C476" i="21"/>
  <c r="C477" i="21"/>
  <c r="D477" i="21"/>
  <c r="C478" i="21"/>
  <c r="D478" i="21"/>
  <c r="D479" i="21"/>
  <c r="C479" i="21"/>
  <c r="D480" i="21"/>
  <c r="C480" i="21"/>
  <c r="D481" i="21"/>
  <c r="C481" i="21"/>
  <c r="D482" i="21"/>
  <c r="C482" i="21"/>
  <c r="D483" i="21"/>
  <c r="C483" i="21"/>
  <c r="D484" i="21"/>
  <c r="C484" i="21"/>
  <c r="D485" i="21"/>
  <c r="C485" i="21"/>
  <c r="C486" i="21"/>
  <c r="D486" i="21"/>
  <c r="D487" i="21"/>
  <c r="C487" i="21"/>
  <c r="D488" i="21"/>
  <c r="C488" i="21"/>
  <c r="D489" i="21"/>
  <c r="C489" i="21"/>
  <c r="D490" i="21"/>
  <c r="C490" i="21"/>
  <c r="C491" i="21"/>
  <c r="D491" i="21"/>
  <c r="C492" i="21"/>
  <c r="D492" i="21"/>
  <c r="C493" i="21"/>
  <c r="D493" i="21"/>
  <c r="C494" i="21"/>
  <c r="D494" i="21"/>
  <c r="C495" i="21"/>
  <c r="D495" i="21"/>
  <c r="C496" i="21"/>
  <c r="D496" i="21"/>
  <c r="C497" i="21"/>
  <c r="D497" i="21"/>
  <c r="D498" i="21"/>
  <c r="C498" i="21"/>
  <c r="C499" i="21"/>
  <c r="D499" i="21"/>
  <c r="D500" i="21"/>
  <c r="C500" i="21"/>
  <c r="D501" i="21"/>
  <c r="C501" i="21"/>
  <c r="D502" i="21"/>
  <c r="C502" i="21"/>
  <c r="D503" i="21"/>
  <c r="C503" i="21"/>
  <c r="D504" i="21"/>
  <c r="C504" i="21"/>
  <c r="D505" i="21"/>
  <c r="C505" i="21"/>
  <c r="D506" i="21"/>
  <c r="C506" i="21"/>
  <c r="D507" i="21"/>
  <c r="C507" i="21"/>
  <c r="C508" i="21"/>
  <c r="D508" i="21"/>
  <c r="D509" i="21"/>
  <c r="C509" i="21"/>
  <c r="D510" i="21"/>
  <c r="C510" i="21"/>
  <c r="D511" i="21"/>
  <c r="C511" i="21"/>
  <c r="I28" i="21"/>
  <c r="D512" i="21"/>
  <c r="C512" i="21"/>
  <c r="C513" i="21"/>
  <c r="D513" i="21"/>
  <c r="C514" i="21"/>
  <c r="D514" i="21"/>
  <c r="C515" i="21"/>
  <c r="D515" i="21"/>
  <c r="D516" i="21"/>
  <c r="C516" i="21"/>
  <c r="C517" i="21"/>
  <c r="D517" i="21"/>
  <c r="C518" i="21"/>
  <c r="D518" i="21"/>
  <c r="D519" i="21"/>
  <c r="C519" i="21"/>
  <c r="C520" i="21"/>
  <c r="D520" i="21"/>
  <c r="D521" i="21"/>
  <c r="C521" i="21"/>
  <c r="D522" i="21"/>
  <c r="C522" i="21"/>
  <c r="D523" i="21"/>
  <c r="C523" i="21"/>
  <c r="D524" i="21"/>
  <c r="C524" i="21"/>
  <c r="D525" i="21"/>
  <c r="C525" i="21"/>
  <c r="D526" i="21"/>
  <c r="C526" i="21"/>
  <c r="D527" i="21"/>
  <c r="C527" i="21"/>
  <c r="D528" i="21"/>
  <c r="C528" i="21"/>
  <c r="D529" i="21"/>
  <c r="C529" i="21"/>
  <c r="D530" i="21"/>
  <c r="C530" i="21"/>
  <c r="C531" i="21"/>
  <c r="D531" i="21"/>
  <c r="D532" i="21"/>
  <c r="C532" i="21"/>
  <c r="D533" i="21"/>
  <c r="C533" i="21"/>
  <c r="D534" i="21"/>
  <c r="C534" i="21"/>
  <c r="D535" i="21"/>
  <c r="C535" i="21"/>
  <c r="D536" i="21"/>
  <c r="C536" i="21"/>
  <c r="C537" i="21"/>
  <c r="D537" i="21"/>
  <c r="C538" i="21"/>
  <c r="D538" i="21"/>
  <c r="D539" i="21"/>
  <c r="C539" i="21"/>
  <c r="C540" i="21"/>
  <c r="D540" i="21"/>
  <c r="D541" i="21"/>
  <c r="C541" i="21"/>
  <c r="C542" i="21"/>
  <c r="D542" i="21"/>
  <c r="C543" i="21"/>
  <c r="D543" i="21"/>
  <c r="D544" i="21"/>
  <c r="C544" i="21"/>
  <c r="C545" i="21"/>
  <c r="D545" i="21"/>
  <c r="D546" i="21"/>
  <c r="C546" i="21"/>
  <c r="D547" i="21"/>
  <c r="C547" i="21"/>
  <c r="D548" i="21"/>
  <c r="C548" i="21"/>
  <c r="D549" i="21"/>
  <c r="C549" i="21"/>
  <c r="D550" i="21"/>
  <c r="C550" i="21"/>
  <c r="D551" i="21"/>
  <c r="C551" i="21"/>
  <c r="D552" i="21"/>
  <c r="C552" i="21"/>
  <c r="D553" i="21"/>
  <c r="C553" i="21"/>
  <c r="D554" i="21"/>
  <c r="C554" i="21"/>
  <c r="C555" i="21"/>
  <c r="D555" i="21"/>
  <c r="C556" i="21"/>
  <c r="D556" i="21"/>
  <c r="D557" i="21"/>
  <c r="C557" i="21"/>
  <c r="I13" i="21"/>
  <c r="D558" i="21"/>
  <c r="C558" i="21"/>
  <c r="D559" i="21"/>
  <c r="C559" i="21"/>
  <c r="D560" i="21"/>
  <c r="C560" i="21"/>
  <c r="D561" i="21"/>
  <c r="C561" i="21"/>
  <c r="D562" i="21"/>
  <c r="C562" i="21"/>
  <c r="D563" i="21"/>
  <c r="C563" i="21"/>
  <c r="C564" i="21"/>
  <c r="D564" i="21"/>
  <c r="D565" i="21"/>
  <c r="C565" i="21"/>
  <c r="C566" i="21"/>
  <c r="D566" i="21"/>
  <c r="C567" i="21"/>
  <c r="D567" i="21"/>
  <c r="C568" i="21"/>
  <c r="D568" i="21"/>
  <c r="C569" i="21"/>
  <c r="D569" i="21"/>
  <c r="C570" i="21"/>
  <c r="D570" i="21"/>
  <c r="C571" i="21"/>
  <c r="D571" i="21"/>
  <c r="C572" i="21"/>
  <c r="D572" i="21"/>
  <c r="C573" i="21"/>
  <c r="D573" i="21"/>
  <c r="C574" i="21"/>
  <c r="D574" i="21"/>
  <c r="C575" i="21"/>
  <c r="D575" i="21"/>
  <c r="C576" i="21"/>
  <c r="D576" i="21"/>
  <c r="D577" i="21"/>
  <c r="C577" i="21"/>
  <c r="C578" i="21"/>
  <c r="D578" i="21"/>
  <c r="C579" i="21"/>
  <c r="D579" i="21"/>
  <c r="D580" i="21"/>
  <c r="C580" i="21"/>
  <c r="D581" i="21"/>
  <c r="C581" i="21"/>
  <c r="D582" i="21"/>
  <c r="C582" i="21"/>
  <c r="D583" i="21"/>
  <c r="C583" i="21"/>
  <c r="D584" i="21"/>
  <c r="C584" i="21"/>
  <c r="C585" i="21"/>
  <c r="D585" i="21"/>
  <c r="C586" i="21"/>
  <c r="D586" i="21"/>
  <c r="D587" i="21"/>
  <c r="C587" i="21"/>
  <c r="D588" i="21"/>
  <c r="C588" i="21"/>
  <c r="C589" i="21"/>
  <c r="D589" i="21"/>
  <c r="D590" i="21"/>
  <c r="C590" i="21"/>
  <c r="C591" i="21"/>
  <c r="D591" i="21"/>
  <c r="C592" i="21"/>
  <c r="D592" i="21"/>
  <c r="C593" i="21"/>
  <c r="D593" i="21"/>
  <c r="C594" i="21"/>
  <c r="D594" i="21"/>
  <c r="D595" i="21"/>
  <c r="C595" i="21"/>
  <c r="D596" i="21"/>
  <c r="C596" i="21"/>
  <c r="D597" i="21"/>
  <c r="C597" i="21"/>
  <c r="C598" i="21"/>
  <c r="D598" i="21"/>
  <c r="D599" i="21"/>
  <c r="C599" i="21"/>
  <c r="D600" i="21"/>
  <c r="C600" i="21"/>
  <c r="D601" i="21"/>
  <c r="C601" i="21"/>
  <c r="D602" i="21"/>
  <c r="C602" i="21"/>
  <c r="D603" i="21"/>
  <c r="C603" i="21"/>
  <c r="D604" i="21"/>
  <c r="C604" i="21"/>
  <c r="C605" i="21"/>
  <c r="D605" i="21"/>
  <c r="C606" i="21"/>
  <c r="D606" i="21"/>
  <c r="C607" i="21"/>
  <c r="D607" i="21"/>
  <c r="D608" i="21"/>
  <c r="C608" i="21"/>
  <c r="D609" i="21"/>
  <c r="C609" i="21"/>
  <c r="D610" i="21"/>
  <c r="C610" i="21"/>
  <c r="D611" i="21"/>
  <c r="C611" i="21"/>
  <c r="D612" i="21"/>
  <c r="C612" i="21"/>
  <c r="D613" i="21"/>
  <c r="C613" i="21"/>
  <c r="C614" i="21"/>
  <c r="D614" i="21"/>
  <c r="C615" i="21"/>
  <c r="D615" i="21"/>
  <c r="D616" i="21"/>
  <c r="C616" i="21"/>
  <c r="C617" i="21"/>
  <c r="D617" i="21"/>
  <c r="D618" i="21"/>
  <c r="C618" i="21"/>
  <c r="D619" i="21"/>
  <c r="C619" i="21"/>
  <c r="C620" i="21"/>
  <c r="D620" i="21"/>
  <c r="D621" i="21"/>
  <c r="C621" i="21"/>
  <c r="C622" i="21"/>
  <c r="D622" i="21"/>
  <c r="C623" i="21"/>
  <c r="D623" i="21"/>
  <c r="C624" i="21"/>
  <c r="D624" i="21"/>
  <c r="C625" i="21"/>
  <c r="D625" i="21"/>
  <c r="D626" i="21"/>
  <c r="C626" i="21"/>
  <c r="D627" i="21"/>
  <c r="C627" i="21"/>
  <c r="C628" i="21"/>
  <c r="D628" i="21"/>
  <c r="D629" i="21"/>
  <c r="C629" i="21"/>
  <c r="D630" i="21"/>
  <c r="C630" i="21"/>
  <c r="D631" i="21"/>
  <c r="C631" i="21"/>
  <c r="D632" i="21"/>
  <c r="C632" i="21"/>
  <c r="D633" i="21"/>
  <c r="C633" i="21"/>
  <c r="D634" i="21"/>
  <c r="C634" i="21"/>
  <c r="D635" i="21"/>
  <c r="C635" i="21"/>
  <c r="D636" i="21"/>
  <c r="C636" i="21"/>
  <c r="D637" i="21"/>
  <c r="C637" i="21"/>
  <c r="D638" i="21"/>
  <c r="C638" i="21"/>
  <c r="D639" i="21"/>
  <c r="C639" i="21"/>
  <c r="D640" i="21"/>
  <c r="C640" i="21"/>
  <c r="C641" i="21"/>
  <c r="D641" i="21"/>
  <c r="C642" i="21"/>
  <c r="D642" i="21"/>
  <c r="C643" i="21"/>
  <c r="D643" i="21"/>
  <c r="C644" i="21"/>
  <c r="D644" i="21"/>
  <c r="C645" i="21"/>
  <c r="D645" i="21"/>
  <c r="C646" i="21"/>
  <c r="D646" i="21"/>
  <c r="D647" i="21"/>
  <c r="C647" i="21"/>
  <c r="D648" i="21"/>
  <c r="C648" i="21"/>
  <c r="C649" i="21"/>
  <c r="D649" i="21"/>
  <c r="D650" i="21"/>
  <c r="C650" i="21"/>
  <c r="D651" i="21"/>
  <c r="C651" i="21"/>
  <c r="D652" i="21"/>
  <c r="C652" i="21"/>
  <c r="D653" i="21"/>
  <c r="C653" i="21"/>
  <c r="C654" i="21"/>
  <c r="D654" i="21"/>
  <c r="D655" i="21"/>
  <c r="C655" i="21"/>
  <c r="D656" i="21"/>
  <c r="C656" i="21"/>
  <c r="C657" i="21"/>
  <c r="D657" i="21"/>
  <c r="D658" i="21"/>
  <c r="C658" i="21"/>
  <c r="D659" i="21"/>
  <c r="C659" i="21"/>
  <c r="D660" i="21"/>
  <c r="C660" i="21"/>
  <c r="C661" i="21"/>
  <c r="D661" i="21"/>
  <c r="D662" i="21"/>
  <c r="C662" i="21"/>
  <c r="C663" i="21"/>
  <c r="D663" i="21"/>
  <c r="C664" i="21"/>
  <c r="D664" i="21"/>
  <c r="C665" i="21"/>
  <c r="D665" i="21"/>
  <c r="C666" i="21"/>
  <c r="D666" i="21"/>
  <c r="D667" i="21"/>
  <c r="C667" i="21"/>
  <c r="D668" i="21"/>
  <c r="C668" i="21"/>
  <c r="D669" i="21"/>
  <c r="C669" i="21"/>
  <c r="D670" i="21"/>
  <c r="C670" i="21"/>
  <c r="C671" i="21"/>
  <c r="D671" i="21"/>
  <c r="C672" i="21"/>
  <c r="D672" i="21"/>
  <c r="C673" i="21"/>
  <c r="D673" i="21"/>
  <c r="C674" i="21"/>
  <c r="D674" i="21"/>
  <c r="D675" i="21"/>
  <c r="C675" i="21"/>
  <c r="D676" i="21"/>
  <c r="C676" i="21"/>
  <c r="D677" i="21"/>
  <c r="C677" i="21"/>
  <c r="D678" i="21"/>
  <c r="C678" i="21"/>
  <c r="C679" i="21"/>
  <c r="D679" i="21"/>
  <c r="C680" i="21"/>
  <c r="D680" i="21"/>
  <c r="C681" i="21"/>
  <c r="D681" i="21"/>
  <c r="D682" i="21"/>
  <c r="C682" i="21"/>
  <c r="C683" i="21"/>
  <c r="D683" i="21"/>
  <c r="C684" i="21"/>
  <c r="D684" i="21"/>
  <c r="D685" i="21"/>
  <c r="C685" i="21"/>
  <c r="C686" i="21"/>
  <c r="D686" i="21"/>
  <c r="C687" i="21"/>
  <c r="D687" i="21"/>
  <c r="D688" i="21"/>
  <c r="C688" i="21"/>
  <c r="D689" i="21"/>
  <c r="C689" i="21"/>
  <c r="D690" i="21"/>
  <c r="C690" i="21"/>
  <c r="C691" i="21"/>
  <c r="D691" i="21"/>
  <c r="D692" i="21"/>
  <c r="C692" i="21"/>
  <c r="D693" i="21"/>
  <c r="C693" i="21"/>
  <c r="D694" i="21"/>
  <c r="C694" i="21"/>
  <c r="C695" i="21"/>
  <c r="D695" i="21"/>
  <c r="D696" i="21"/>
  <c r="C696" i="21"/>
  <c r="D697" i="21"/>
  <c r="C697" i="21"/>
  <c r="D698" i="21"/>
  <c r="C698" i="21"/>
  <c r="C699" i="21"/>
  <c r="D699" i="21"/>
  <c r="D700" i="21"/>
  <c r="C700" i="21"/>
  <c r="D701" i="21"/>
  <c r="C701" i="21"/>
  <c r="D702" i="21"/>
  <c r="C702" i="21"/>
  <c r="D703" i="21"/>
  <c r="C703" i="21"/>
  <c r="C704" i="21"/>
  <c r="D704" i="21"/>
  <c r="D705" i="21"/>
  <c r="C705" i="21"/>
  <c r="C706" i="21"/>
  <c r="D706" i="21"/>
  <c r="C707" i="21"/>
  <c r="D707" i="21"/>
  <c r="C708" i="21"/>
  <c r="D708" i="21"/>
  <c r="C709" i="21"/>
  <c r="D709" i="21"/>
  <c r="D710" i="21"/>
  <c r="C710" i="21"/>
  <c r="C711" i="21"/>
  <c r="D711" i="21"/>
  <c r="D712" i="21"/>
  <c r="C712" i="21"/>
  <c r="D713" i="21"/>
  <c r="C713" i="21"/>
  <c r="C714" i="21"/>
  <c r="D714" i="21"/>
  <c r="D715" i="21"/>
  <c r="C715" i="21"/>
  <c r="D716" i="21"/>
  <c r="C716" i="21"/>
  <c r="D717" i="21"/>
  <c r="C717" i="21"/>
  <c r="D718" i="21"/>
  <c r="C718" i="21"/>
  <c r="D719" i="21"/>
  <c r="C719" i="21"/>
  <c r="C720" i="21"/>
  <c r="D720" i="21"/>
  <c r="C721" i="21"/>
  <c r="D721" i="21"/>
  <c r="D722" i="21"/>
  <c r="C722" i="21"/>
  <c r="D723" i="21"/>
  <c r="C723" i="21"/>
  <c r="C724" i="21"/>
  <c r="D724" i="21"/>
  <c r="D725" i="21"/>
  <c r="C725" i="21"/>
  <c r="D726" i="21"/>
  <c r="C726" i="21"/>
  <c r="D727" i="21"/>
  <c r="C727" i="21"/>
  <c r="C728" i="21"/>
  <c r="D728" i="21"/>
  <c r="C729" i="21"/>
  <c r="D729" i="21"/>
  <c r="C730" i="21"/>
  <c r="D730" i="21"/>
  <c r="D731" i="21"/>
  <c r="C731" i="21"/>
  <c r="C732" i="21"/>
  <c r="D732" i="21"/>
  <c r="C733" i="21"/>
  <c r="D733" i="21"/>
  <c r="C734" i="21"/>
  <c r="D734" i="21"/>
  <c r="C735" i="21"/>
  <c r="D735" i="21"/>
  <c r="C736" i="21"/>
  <c r="D736" i="21"/>
  <c r="D737" i="21"/>
  <c r="C737" i="21"/>
  <c r="D738" i="21"/>
  <c r="C738" i="21"/>
  <c r="D739" i="21"/>
  <c r="C739" i="21"/>
  <c r="C740" i="21"/>
  <c r="D740" i="21"/>
  <c r="D741" i="21"/>
  <c r="C741" i="21"/>
  <c r="D742" i="21"/>
  <c r="C742" i="21"/>
  <c r="D743" i="21"/>
  <c r="C743" i="21"/>
  <c r="D744" i="21"/>
  <c r="C744" i="21"/>
  <c r="D745" i="21"/>
  <c r="C745" i="21"/>
  <c r="D746" i="21"/>
  <c r="C746" i="21"/>
  <c r="D747" i="21"/>
  <c r="C747" i="21"/>
  <c r="D748" i="21"/>
  <c r="C748" i="21"/>
  <c r="D749" i="21"/>
  <c r="C749" i="21"/>
  <c r="D750" i="21"/>
  <c r="C750" i="21"/>
  <c r="D751" i="21"/>
  <c r="C751" i="21"/>
  <c r="D752" i="21"/>
  <c r="C752" i="21"/>
  <c r="C753" i="21"/>
  <c r="D753" i="21"/>
  <c r="D754" i="21"/>
  <c r="C754" i="21"/>
  <c r="D755" i="21"/>
  <c r="C755" i="21"/>
  <c r="D756" i="21"/>
  <c r="C756" i="21"/>
  <c r="D757" i="21"/>
  <c r="C757" i="21"/>
  <c r="D758" i="21"/>
  <c r="C758" i="21"/>
  <c r="D759" i="21"/>
  <c r="C759" i="21"/>
  <c r="C760" i="21"/>
  <c r="D760" i="21"/>
  <c r="D761" i="21"/>
  <c r="C761" i="21"/>
  <c r="D762" i="21"/>
  <c r="C762" i="21"/>
  <c r="D763" i="21"/>
  <c r="C763" i="21"/>
  <c r="D764" i="21"/>
  <c r="C764" i="21"/>
  <c r="D765" i="21"/>
  <c r="C765" i="21"/>
  <c r="D766" i="21"/>
  <c r="C766" i="21"/>
  <c r="D767" i="21"/>
  <c r="C767" i="21"/>
  <c r="C768" i="21"/>
  <c r="D768" i="21"/>
  <c r="C769" i="21"/>
  <c r="D769" i="21"/>
  <c r="C770" i="21"/>
  <c r="D770" i="21"/>
  <c r="C771" i="21"/>
  <c r="D771" i="21"/>
  <c r="C772" i="21"/>
  <c r="D772" i="21"/>
  <c r="D773" i="21"/>
  <c r="C773" i="21"/>
  <c r="C774" i="21"/>
  <c r="D774" i="21"/>
  <c r="C775" i="21"/>
  <c r="D775" i="21"/>
  <c r="D776" i="21"/>
  <c r="C776" i="21"/>
  <c r="D777" i="21"/>
  <c r="C777" i="21"/>
  <c r="D778" i="21"/>
  <c r="C778" i="21"/>
  <c r="D779" i="21"/>
  <c r="C779" i="21"/>
  <c r="D780" i="21"/>
  <c r="C780" i="21"/>
  <c r="C781" i="21"/>
  <c r="D781" i="21"/>
  <c r="C782" i="21"/>
  <c r="D782" i="21"/>
  <c r="D783" i="21"/>
  <c r="C783" i="21"/>
  <c r="D784" i="21"/>
  <c r="C784" i="21"/>
  <c r="D785" i="21"/>
  <c r="C785" i="21"/>
  <c r="D786" i="21"/>
  <c r="C786" i="21"/>
  <c r="D787" i="21"/>
  <c r="C787" i="21"/>
  <c r="D788" i="21"/>
  <c r="C788" i="21"/>
  <c r="D789" i="21"/>
  <c r="C789" i="21"/>
  <c r="D790" i="21"/>
  <c r="C790" i="21"/>
  <c r="D791" i="21"/>
  <c r="C791" i="21"/>
  <c r="D792" i="21"/>
  <c r="C792" i="21"/>
  <c r="D793" i="21"/>
  <c r="C793" i="21"/>
  <c r="D794" i="21"/>
  <c r="C794" i="21"/>
  <c r="C795" i="21"/>
  <c r="D795" i="21"/>
  <c r="D796" i="21"/>
  <c r="C796" i="21"/>
  <c r="C797" i="21"/>
  <c r="D797" i="21"/>
  <c r="C798" i="21"/>
  <c r="D798" i="21"/>
  <c r="C799" i="21"/>
  <c r="D799" i="21"/>
  <c r="D800" i="21"/>
  <c r="C800" i="21"/>
  <c r="D801" i="21"/>
  <c r="C801" i="21"/>
  <c r="D802" i="21"/>
  <c r="C802" i="21"/>
  <c r="D803" i="21"/>
  <c r="C803" i="21"/>
  <c r="C804" i="21"/>
  <c r="D804" i="21"/>
  <c r="D805" i="21"/>
  <c r="C805" i="21"/>
  <c r="D806" i="21"/>
  <c r="C806" i="21"/>
  <c r="D807" i="21"/>
  <c r="C807" i="21"/>
  <c r="D808" i="21"/>
  <c r="C808" i="21"/>
  <c r="D809" i="21"/>
  <c r="C809" i="21"/>
  <c r="D810" i="21"/>
  <c r="C810" i="21"/>
  <c r="D811" i="21"/>
  <c r="C811" i="21"/>
  <c r="D812" i="21"/>
  <c r="C812" i="21"/>
  <c r="D813" i="21"/>
  <c r="C813" i="21"/>
  <c r="D814" i="21"/>
  <c r="C814" i="21"/>
  <c r="D815" i="21"/>
  <c r="C815" i="21"/>
  <c r="C816" i="21"/>
  <c r="D816" i="21"/>
  <c r="D817" i="21"/>
  <c r="C817" i="21"/>
  <c r="D818" i="21"/>
  <c r="C818" i="21"/>
  <c r="D819" i="21"/>
  <c r="C819" i="21"/>
  <c r="C820" i="21"/>
  <c r="D820" i="21"/>
  <c r="C821" i="21"/>
  <c r="D821" i="21"/>
  <c r="C822" i="21"/>
  <c r="D822" i="21"/>
  <c r="C823" i="21"/>
  <c r="D823" i="21"/>
  <c r="C824" i="21"/>
  <c r="D824" i="21"/>
  <c r="C825" i="21"/>
  <c r="D825" i="21"/>
  <c r="D826" i="21"/>
  <c r="C826" i="21"/>
  <c r="D827" i="21"/>
  <c r="C827" i="21"/>
  <c r="D828" i="21"/>
  <c r="C828" i="21"/>
  <c r="D829" i="21"/>
  <c r="C829" i="21"/>
  <c r="D830" i="21"/>
  <c r="C830" i="21"/>
  <c r="D831" i="21"/>
  <c r="C831" i="21"/>
  <c r="C832" i="21"/>
  <c r="D832" i="21"/>
  <c r="D833" i="21"/>
  <c r="C833" i="21"/>
  <c r="D834" i="21"/>
  <c r="C834" i="21"/>
  <c r="D835" i="21"/>
  <c r="C835" i="21"/>
  <c r="C836" i="21"/>
  <c r="D836" i="21"/>
  <c r="D837" i="21"/>
  <c r="C837" i="21"/>
  <c r="D838" i="21"/>
  <c r="C838" i="21"/>
  <c r="D839" i="21"/>
  <c r="C839" i="21"/>
  <c r="D840" i="21"/>
  <c r="C840" i="21"/>
  <c r="D841" i="21"/>
  <c r="C841" i="21"/>
  <c r="D842" i="21"/>
  <c r="C842" i="21"/>
  <c r="D843" i="21"/>
  <c r="C843" i="21"/>
  <c r="D844" i="21"/>
  <c r="C844" i="21"/>
  <c r="D845" i="21"/>
  <c r="C845" i="21"/>
  <c r="C846" i="21"/>
  <c r="D846" i="21"/>
  <c r="D847" i="21"/>
  <c r="C847" i="21"/>
  <c r="D848" i="21"/>
  <c r="C848" i="21"/>
  <c r="D849" i="21"/>
  <c r="C849" i="21"/>
  <c r="D850" i="21"/>
  <c r="C850" i="21"/>
  <c r="D851" i="21"/>
  <c r="C851" i="21"/>
  <c r="C852" i="21"/>
  <c r="D852" i="21"/>
  <c r="C853" i="21"/>
  <c r="D853" i="21"/>
  <c r="D854" i="21"/>
  <c r="C854" i="21"/>
  <c r="D855" i="21"/>
  <c r="C855" i="21"/>
  <c r="D856" i="21"/>
  <c r="C856" i="21"/>
  <c r="D857" i="21"/>
  <c r="C857" i="21"/>
  <c r="C858" i="21"/>
  <c r="D858" i="21"/>
  <c r="D859" i="21"/>
  <c r="C859" i="21"/>
  <c r="D860" i="21"/>
  <c r="C860" i="21"/>
  <c r="D861" i="21"/>
  <c r="C861" i="21"/>
  <c r="C862" i="21"/>
  <c r="D862" i="21"/>
  <c r="D863" i="21"/>
  <c r="C863" i="21"/>
  <c r="D864" i="21"/>
  <c r="C864" i="21"/>
  <c r="D865" i="21"/>
  <c r="C865" i="21"/>
  <c r="D866" i="21"/>
  <c r="C866" i="21"/>
  <c r="D867" i="21"/>
  <c r="C867" i="21"/>
  <c r="D868" i="21"/>
  <c r="C868" i="21"/>
  <c r="D869" i="21"/>
  <c r="C869" i="21"/>
  <c r="C870" i="21"/>
  <c r="D870" i="21"/>
  <c r="C871" i="21"/>
  <c r="D871" i="21"/>
  <c r="C872" i="21"/>
  <c r="D872" i="21"/>
  <c r="C873" i="21"/>
  <c r="D873" i="21"/>
  <c r="C874" i="21"/>
  <c r="D874" i="21"/>
  <c r="C875" i="21"/>
  <c r="D875" i="21"/>
  <c r="D876" i="21"/>
  <c r="C876" i="21"/>
  <c r="D877" i="21"/>
  <c r="C877" i="21"/>
  <c r="D878" i="21"/>
  <c r="C878" i="21"/>
  <c r="D879" i="21"/>
  <c r="C879" i="21"/>
  <c r="D880" i="21"/>
  <c r="C880" i="21"/>
  <c r="D881" i="21"/>
  <c r="C881" i="21"/>
  <c r="C882" i="21"/>
  <c r="D882" i="21"/>
  <c r="D883" i="21"/>
  <c r="C883" i="21"/>
  <c r="C884" i="21"/>
  <c r="D884" i="21"/>
  <c r="D885" i="21"/>
  <c r="C885" i="21"/>
  <c r="C886" i="21"/>
  <c r="D886" i="21"/>
  <c r="D887" i="21"/>
  <c r="C887" i="21"/>
  <c r="D888" i="21"/>
  <c r="C888" i="21"/>
  <c r="D889" i="21"/>
  <c r="C889" i="21"/>
  <c r="D890" i="21"/>
  <c r="C890" i="21"/>
  <c r="D891" i="21"/>
  <c r="C891" i="21"/>
  <c r="D892" i="21"/>
  <c r="C892" i="21"/>
  <c r="D893" i="21"/>
  <c r="C893" i="21"/>
  <c r="C894" i="21"/>
  <c r="D894" i="21"/>
  <c r="C895" i="21"/>
  <c r="D895" i="21"/>
  <c r="C896" i="21"/>
  <c r="D896" i="21"/>
  <c r="D897" i="21"/>
  <c r="C897" i="21"/>
  <c r="D898" i="21"/>
  <c r="C898" i="21"/>
  <c r="I50" i="21"/>
  <c r="C899" i="21"/>
  <c r="D899" i="21"/>
  <c r="D900" i="21"/>
  <c r="C900" i="21"/>
  <c r="C901" i="21"/>
  <c r="D901" i="21"/>
  <c r="D902" i="21"/>
  <c r="C902" i="21"/>
  <c r="D903" i="21"/>
  <c r="C903" i="21"/>
  <c r="D904" i="21"/>
  <c r="C904" i="21"/>
  <c r="I51" i="21"/>
  <c r="C905" i="21"/>
  <c r="D905" i="21"/>
  <c r="D906" i="21"/>
  <c r="C906" i="21"/>
  <c r="I52" i="21"/>
  <c r="C907" i="21"/>
  <c r="D907" i="21"/>
  <c r="D908" i="21"/>
  <c r="C908" i="21"/>
  <c r="C909" i="21"/>
  <c r="D909" i="21"/>
  <c r="D910" i="21"/>
  <c r="C910" i="21"/>
  <c r="C911" i="21"/>
  <c r="D911" i="21"/>
  <c r="D912" i="21"/>
  <c r="C912" i="21"/>
  <c r="C913" i="21"/>
  <c r="D913" i="21"/>
  <c r="D914" i="21"/>
  <c r="C914" i="21"/>
  <c r="C915" i="21"/>
  <c r="D915" i="21"/>
  <c r="C916" i="21"/>
  <c r="D916" i="21"/>
  <c r="D917" i="21"/>
  <c r="C917" i="21"/>
  <c r="C918" i="21"/>
  <c r="D918" i="21"/>
  <c r="D919" i="21"/>
  <c r="C919" i="21"/>
  <c r="C920" i="21"/>
  <c r="D920" i="21"/>
  <c r="D921" i="21"/>
  <c r="C921" i="21"/>
  <c r="D922" i="21"/>
  <c r="C922" i="21"/>
  <c r="D923" i="21"/>
  <c r="C923" i="21"/>
  <c r="D924" i="21"/>
  <c r="C924" i="21"/>
  <c r="D925" i="21"/>
  <c r="C925" i="21"/>
  <c r="D926" i="21"/>
  <c r="C926" i="21"/>
  <c r="D927" i="21"/>
  <c r="C927" i="21"/>
  <c r="D928" i="21"/>
  <c r="C928" i="21"/>
  <c r="C929" i="21"/>
  <c r="D929" i="21"/>
  <c r="D930" i="21"/>
  <c r="C930" i="21"/>
  <c r="D931" i="21"/>
  <c r="C931" i="21"/>
  <c r="D932" i="21"/>
  <c r="C932" i="21"/>
  <c r="D933" i="21"/>
  <c r="C933" i="21"/>
  <c r="D934" i="21"/>
  <c r="C934" i="21"/>
  <c r="D935" i="21"/>
  <c r="C935" i="21"/>
  <c r="D936" i="21"/>
  <c r="C936" i="21"/>
  <c r="C937" i="21"/>
  <c r="D937" i="21"/>
  <c r="D938" i="21"/>
  <c r="C938" i="21"/>
  <c r="D939" i="21"/>
  <c r="C939" i="21"/>
  <c r="D940" i="21"/>
  <c r="C940" i="21"/>
  <c r="C941" i="21"/>
  <c r="D941" i="21"/>
  <c r="C942" i="21"/>
  <c r="D942" i="21"/>
  <c r="D943" i="21"/>
  <c r="C943" i="21"/>
  <c r="D944" i="21"/>
  <c r="C944" i="21"/>
  <c r="D945" i="21"/>
  <c r="C945" i="21"/>
  <c r="C946" i="21"/>
  <c r="D946" i="21"/>
  <c r="D947" i="21"/>
  <c r="C947" i="21"/>
  <c r="D948" i="21"/>
  <c r="C948" i="21"/>
  <c r="C949" i="21"/>
  <c r="D949" i="21"/>
  <c r="C950" i="21"/>
  <c r="D950" i="21"/>
  <c r="D951" i="21"/>
  <c r="C951" i="21"/>
  <c r="D952" i="21"/>
  <c r="C952" i="21"/>
  <c r="D953" i="21"/>
  <c r="C953" i="21"/>
  <c r="D954" i="21"/>
  <c r="C954" i="21"/>
  <c r="C955" i="21"/>
  <c r="D955" i="21"/>
  <c r="C956" i="21"/>
  <c r="D956" i="21"/>
  <c r="C957" i="21"/>
  <c r="D957" i="21"/>
  <c r="C958" i="21"/>
  <c r="D958" i="21"/>
  <c r="C959" i="21"/>
  <c r="D959" i="21"/>
  <c r="C960" i="21"/>
  <c r="D960" i="21"/>
  <c r="C961" i="21"/>
  <c r="D961" i="21"/>
  <c r="D962" i="21"/>
  <c r="C962" i="21"/>
  <c r="C963" i="21"/>
  <c r="D963" i="21"/>
  <c r="C964" i="21"/>
  <c r="D964" i="21"/>
  <c r="D965" i="21"/>
  <c r="C965" i="21"/>
  <c r="D966" i="21"/>
  <c r="C966" i="21"/>
  <c r="D967" i="21"/>
  <c r="C967" i="21"/>
  <c r="D968" i="21"/>
  <c r="C968" i="21"/>
  <c r="C969" i="21"/>
  <c r="D969" i="21"/>
  <c r="C970" i="21"/>
  <c r="D970" i="21"/>
  <c r="C971" i="21"/>
  <c r="D971" i="21"/>
  <c r="D972" i="21"/>
  <c r="C972" i="21"/>
  <c r="D973" i="21"/>
  <c r="C973" i="21"/>
  <c r="D974" i="21"/>
  <c r="C974" i="21"/>
  <c r="D975" i="21"/>
  <c r="C975" i="21"/>
  <c r="D976" i="21"/>
  <c r="C976" i="21"/>
  <c r="D977" i="21"/>
  <c r="C977" i="21"/>
  <c r="C978" i="21"/>
  <c r="D978" i="21"/>
  <c r="D979" i="21"/>
  <c r="C979" i="21"/>
  <c r="C980" i="21"/>
  <c r="D980" i="21"/>
  <c r="D981" i="21"/>
  <c r="C981" i="21"/>
  <c r="D982" i="21"/>
  <c r="C982" i="21"/>
  <c r="D983" i="21"/>
  <c r="C983" i="21"/>
  <c r="D984" i="21"/>
  <c r="C984" i="21"/>
  <c r="C985" i="21"/>
  <c r="D985" i="21"/>
  <c r="C986" i="21"/>
  <c r="D986" i="21"/>
  <c r="C987" i="21"/>
  <c r="D987" i="21"/>
  <c r="C988" i="21"/>
  <c r="D988" i="21"/>
  <c r="D989" i="21"/>
  <c r="C989" i="21"/>
  <c r="C990" i="21"/>
  <c r="D990" i="21"/>
  <c r="C991" i="21"/>
  <c r="D991" i="21"/>
  <c r="D992" i="21"/>
  <c r="C992" i="21"/>
  <c r="C993" i="21"/>
  <c r="D993" i="21"/>
  <c r="D994" i="21"/>
  <c r="C994" i="21"/>
  <c r="D995" i="21"/>
  <c r="C995" i="21"/>
  <c r="D996" i="21"/>
  <c r="C996" i="21"/>
  <c r="D997" i="21"/>
  <c r="C997" i="21"/>
  <c r="C998" i="21"/>
  <c r="D998" i="21"/>
  <c r="D999" i="21"/>
  <c r="C999" i="21"/>
  <c r="C1000" i="21"/>
  <c r="D1000" i="21"/>
  <c r="C1001" i="21"/>
  <c r="D1001" i="21"/>
  <c r="C1002" i="21"/>
  <c r="D1002" i="21"/>
  <c r="C1003" i="21"/>
  <c r="D1003" i="21"/>
  <c r="D1004" i="21"/>
  <c r="C1004" i="21"/>
  <c r="C1005" i="21"/>
  <c r="D1005" i="21"/>
  <c r="D1006" i="21"/>
  <c r="C1006" i="21"/>
  <c r="C1007" i="21"/>
  <c r="D1007" i="21"/>
  <c r="C1008" i="21"/>
  <c r="D1008" i="21"/>
  <c r="C1009" i="21"/>
  <c r="D1009" i="21"/>
  <c r="C1010" i="21"/>
  <c r="D1010" i="21"/>
  <c r="D1011" i="21"/>
  <c r="C1011" i="21"/>
  <c r="D1012" i="21"/>
  <c r="C1012" i="21"/>
  <c r="D1013" i="21"/>
  <c r="C1013" i="21"/>
  <c r="D1014" i="21"/>
  <c r="C1014" i="21"/>
  <c r="C1015" i="21"/>
  <c r="D1015" i="21"/>
  <c r="D1016" i="21"/>
  <c r="C1016" i="21"/>
  <c r="D1017" i="21"/>
  <c r="C1017" i="21"/>
  <c r="D1018" i="21"/>
  <c r="C1018" i="21"/>
  <c r="D1019" i="21"/>
  <c r="C1019" i="21"/>
  <c r="D1020" i="21"/>
  <c r="C1020" i="21"/>
  <c r="D1021" i="21"/>
  <c r="C1021" i="21"/>
  <c r="D1022" i="21"/>
  <c r="C1022" i="21"/>
  <c r="D1023" i="21"/>
  <c r="C1023" i="21"/>
  <c r="C1024" i="21"/>
  <c r="D1024" i="21"/>
  <c r="D1025" i="21"/>
  <c r="C1025" i="21"/>
  <c r="D1026" i="21"/>
  <c r="C1026" i="21"/>
  <c r="C1027" i="21"/>
  <c r="D1027" i="21"/>
  <c r="C1028" i="21"/>
  <c r="D1028" i="21"/>
  <c r="C1029" i="21"/>
  <c r="D1029" i="21"/>
  <c r="C1030" i="21"/>
  <c r="D1030" i="21"/>
  <c r="C1031" i="21"/>
  <c r="D1031" i="21"/>
  <c r="D1032" i="21"/>
  <c r="C1032" i="21"/>
  <c r="C1033" i="21"/>
  <c r="D1033" i="21"/>
  <c r="C1034" i="21"/>
  <c r="D1034" i="21"/>
  <c r="C1035" i="21"/>
  <c r="D1035" i="21"/>
  <c r="D1036" i="21"/>
  <c r="C1036" i="21"/>
  <c r="D1037" i="21"/>
  <c r="C1037" i="21"/>
  <c r="D1038" i="21"/>
  <c r="C1038" i="21"/>
  <c r="D1039" i="21"/>
  <c r="C1039" i="21"/>
  <c r="D1040" i="21"/>
  <c r="C1040" i="21"/>
  <c r="D1041" i="21"/>
  <c r="C1041" i="21"/>
  <c r="C1042" i="21"/>
  <c r="D1042" i="21"/>
  <c r="D1043" i="21"/>
  <c r="C1043" i="21"/>
  <c r="C1044" i="21"/>
  <c r="D1044" i="21"/>
  <c r="C1045" i="21"/>
  <c r="D1045" i="21"/>
  <c r="C1046" i="21"/>
  <c r="D1046" i="21"/>
  <c r="C1047" i="21"/>
  <c r="D1047" i="21"/>
  <c r="C1048" i="21"/>
  <c r="D1048" i="21"/>
  <c r="C1049" i="21"/>
  <c r="D1049" i="21"/>
  <c r="C1050" i="21"/>
  <c r="D1050" i="21"/>
  <c r="C1051" i="21"/>
  <c r="D1051" i="21"/>
  <c r="D1052" i="21"/>
  <c r="C1052" i="21"/>
  <c r="D1053" i="21"/>
  <c r="C1053" i="21"/>
  <c r="C1054" i="21"/>
  <c r="D1054" i="21"/>
  <c r="D1055" i="21"/>
  <c r="C1055" i="21"/>
  <c r="D1056" i="21"/>
  <c r="C1056" i="21"/>
  <c r="C1057" i="21"/>
  <c r="D1057" i="21"/>
  <c r="C1058" i="21"/>
  <c r="D1058" i="21"/>
  <c r="D1059" i="21"/>
  <c r="C1059" i="21"/>
  <c r="D1060" i="21"/>
  <c r="C1060" i="21"/>
  <c r="D1061" i="21"/>
  <c r="C1061" i="21"/>
  <c r="D1062" i="21"/>
  <c r="C1062" i="21"/>
  <c r="D1063" i="21"/>
  <c r="C1063" i="21"/>
  <c r="D1064" i="21"/>
  <c r="C1064" i="21"/>
  <c r="D1065" i="21"/>
  <c r="C1065" i="21"/>
  <c r="D1066" i="21"/>
  <c r="C1066" i="21"/>
  <c r="D1067" i="21"/>
  <c r="C1067" i="21"/>
  <c r="D1068" i="21"/>
  <c r="C1068" i="21"/>
  <c r="D1069" i="21"/>
  <c r="C1069" i="21"/>
  <c r="D1070" i="21"/>
  <c r="C1070" i="21"/>
  <c r="C1071" i="21"/>
  <c r="D1071" i="21"/>
  <c r="D1072" i="21"/>
  <c r="C1072" i="21"/>
  <c r="D1073" i="21"/>
  <c r="C1073" i="21"/>
  <c r="C1074" i="21"/>
  <c r="D1074" i="21"/>
  <c r="D1075" i="21"/>
  <c r="C1075" i="21"/>
  <c r="D1076" i="21"/>
  <c r="C1076" i="21"/>
  <c r="D1077" i="21"/>
  <c r="C1077" i="21"/>
  <c r="D1078" i="21"/>
  <c r="C1078" i="21"/>
  <c r="C1079" i="21"/>
  <c r="D1079" i="21"/>
  <c r="C1080" i="21"/>
  <c r="D1080" i="21"/>
  <c r="C1081" i="21"/>
  <c r="D1081" i="21"/>
  <c r="C1082" i="21"/>
  <c r="D1082" i="21"/>
  <c r="C1083" i="21"/>
  <c r="D1083" i="21"/>
  <c r="C1084" i="21"/>
  <c r="D1084" i="21"/>
  <c r="C1085" i="21"/>
  <c r="D1085" i="21"/>
  <c r="C1086" i="21"/>
  <c r="D1086" i="21"/>
  <c r="C1087" i="21"/>
  <c r="D1087" i="21"/>
  <c r="C1088" i="21"/>
  <c r="D1088" i="21"/>
  <c r="C1089" i="21"/>
  <c r="D1089" i="21"/>
  <c r="D1090" i="21"/>
  <c r="C1090" i="21"/>
  <c r="D1091" i="21"/>
  <c r="C1091" i="21"/>
  <c r="D1092" i="21"/>
  <c r="C1092" i="21"/>
  <c r="D1093" i="21"/>
  <c r="C1093" i="21"/>
  <c r="C1094" i="21"/>
  <c r="D1094" i="21"/>
  <c r="C1095" i="21"/>
  <c r="D1095" i="21"/>
  <c r="C1096" i="21"/>
  <c r="D1096" i="21"/>
  <c r="C1097" i="21"/>
  <c r="D1097" i="21"/>
  <c r="D1098" i="21"/>
  <c r="C1098" i="21"/>
  <c r="C1099" i="21"/>
  <c r="D1099" i="21"/>
  <c r="C1100" i="21"/>
  <c r="D1100" i="21"/>
  <c r="C1101" i="21"/>
  <c r="D1101" i="21"/>
  <c r="C1102" i="21"/>
  <c r="D1102" i="21"/>
  <c r="C1103" i="21"/>
  <c r="D1103" i="21"/>
  <c r="C1104" i="21"/>
  <c r="D1104" i="21"/>
  <c r="D1105" i="21"/>
  <c r="C1105" i="21"/>
  <c r="D1106" i="21"/>
  <c r="C1106" i="21"/>
  <c r="D1107" i="21"/>
  <c r="C1107" i="21"/>
  <c r="D1108" i="21"/>
  <c r="C1108" i="21"/>
  <c r="D1109" i="21"/>
  <c r="C1109" i="21"/>
  <c r="D1110" i="21"/>
  <c r="C1110" i="21"/>
  <c r="D1111" i="21"/>
  <c r="C1111" i="21"/>
  <c r="D1112" i="21"/>
  <c r="C1112" i="21"/>
  <c r="D1113" i="21"/>
  <c r="C1113" i="21"/>
  <c r="D1114" i="21"/>
  <c r="C1114" i="21"/>
  <c r="D1115" i="21"/>
  <c r="C1115" i="21"/>
  <c r="D1116" i="21"/>
  <c r="C1116" i="21"/>
  <c r="D1117" i="21"/>
  <c r="C1117" i="21"/>
  <c r="D1118" i="21"/>
  <c r="C1118" i="21"/>
  <c r="D1119" i="21"/>
  <c r="C1119" i="21"/>
  <c r="D1120" i="21"/>
  <c r="C1120" i="21"/>
  <c r="C1121" i="21"/>
  <c r="D1121" i="21"/>
  <c r="C1122" i="21"/>
  <c r="D1122" i="21"/>
  <c r="C1123" i="21"/>
  <c r="D1123" i="21"/>
  <c r="C1124" i="21"/>
  <c r="D1124" i="21"/>
  <c r="C1125" i="21"/>
  <c r="D1125" i="21"/>
  <c r="C1126" i="21"/>
  <c r="D1126" i="21"/>
  <c r="C1127" i="21"/>
  <c r="D1127" i="21"/>
  <c r="C1128" i="21"/>
  <c r="D1128" i="21"/>
  <c r="C1129" i="21"/>
  <c r="D1129" i="21"/>
  <c r="C1130" i="21"/>
  <c r="D1130" i="21"/>
  <c r="C1131" i="21"/>
  <c r="D1131" i="21"/>
  <c r="D1132" i="21"/>
  <c r="C1132" i="21"/>
  <c r="C1133" i="21"/>
  <c r="D1133" i="21"/>
  <c r="C1134" i="21"/>
  <c r="D1134" i="21"/>
  <c r="D1135" i="21"/>
  <c r="C1135" i="21"/>
  <c r="D1136" i="21"/>
  <c r="C1136" i="21"/>
  <c r="D1137" i="21"/>
  <c r="C1137" i="21"/>
  <c r="D1138" i="21"/>
  <c r="C1138" i="21"/>
  <c r="D1139" i="21"/>
  <c r="C1139" i="21"/>
  <c r="D1140" i="21"/>
  <c r="C1140" i="21"/>
  <c r="D1141" i="21"/>
  <c r="C1141" i="21"/>
  <c r="D1142" i="21"/>
  <c r="C1142" i="21"/>
  <c r="D1143" i="21"/>
  <c r="C1143" i="21"/>
  <c r="D1144" i="21"/>
  <c r="C1144" i="21"/>
  <c r="D1145" i="21"/>
  <c r="C1145" i="21"/>
  <c r="D1146" i="21"/>
  <c r="C1146" i="21"/>
  <c r="D1147" i="21"/>
  <c r="C1147" i="21"/>
  <c r="D1148" i="21"/>
  <c r="C1148" i="21"/>
  <c r="D1149" i="21"/>
  <c r="C1149" i="21"/>
  <c r="D1150" i="21"/>
  <c r="C1150" i="21"/>
  <c r="D1151" i="21"/>
  <c r="C1151" i="21"/>
  <c r="D1152" i="21"/>
  <c r="C1152" i="21"/>
  <c r="D1153" i="21"/>
  <c r="C1153" i="21"/>
  <c r="D1154" i="21"/>
  <c r="C1154" i="21"/>
  <c r="D1155" i="21"/>
  <c r="C1155" i="21"/>
  <c r="D1156" i="21"/>
  <c r="C1156" i="21"/>
  <c r="D1157" i="21"/>
  <c r="C1157" i="21"/>
  <c r="D1158" i="21"/>
  <c r="C1158" i="21"/>
  <c r="D1159" i="21"/>
  <c r="C1159" i="21"/>
  <c r="D1160" i="21"/>
  <c r="C1160" i="21"/>
  <c r="D1161" i="21"/>
  <c r="C1161" i="21"/>
  <c r="D1162" i="21"/>
  <c r="C1162" i="21"/>
  <c r="D1163" i="21"/>
  <c r="C1163" i="21"/>
  <c r="D1164" i="21"/>
  <c r="C1164" i="21"/>
  <c r="D1165" i="21"/>
  <c r="C1165" i="21"/>
  <c r="D1166" i="21"/>
  <c r="C1166" i="21"/>
  <c r="D1167" i="21"/>
  <c r="C1167" i="21"/>
  <c r="D1168" i="21"/>
  <c r="C1168" i="21"/>
  <c r="D1169" i="21"/>
  <c r="C1169" i="21"/>
  <c r="D1170" i="21"/>
  <c r="C1170" i="21"/>
  <c r="D1171" i="21"/>
  <c r="C1171" i="21"/>
  <c r="D1172" i="21"/>
  <c r="C1172" i="21"/>
  <c r="D1173" i="21"/>
  <c r="C1173" i="21"/>
  <c r="D1174" i="21"/>
  <c r="C1174" i="21"/>
  <c r="D1175" i="21"/>
  <c r="C1175" i="21"/>
  <c r="D1176" i="21"/>
  <c r="C1176" i="21"/>
  <c r="D1177" i="21"/>
  <c r="C1177" i="21"/>
  <c r="D1178" i="21"/>
  <c r="C1178" i="21"/>
  <c r="D1179" i="21"/>
  <c r="C1179" i="21"/>
  <c r="D1180" i="21"/>
  <c r="C1180" i="21"/>
  <c r="D1181" i="21"/>
  <c r="C1181" i="21"/>
  <c r="D1182" i="21"/>
  <c r="C1182" i="21"/>
  <c r="D1183" i="21"/>
  <c r="C1183" i="21"/>
  <c r="D1184" i="21"/>
  <c r="C1184" i="21"/>
  <c r="D1185" i="21"/>
  <c r="C1185" i="21"/>
  <c r="D1186" i="21"/>
  <c r="C1186" i="21"/>
  <c r="D1187" i="21"/>
  <c r="C1187" i="21"/>
  <c r="D1188" i="21"/>
  <c r="C1188" i="21"/>
  <c r="D1189" i="21"/>
  <c r="C1189" i="21"/>
  <c r="D1190" i="21"/>
  <c r="C1190" i="21"/>
  <c r="D1191" i="21"/>
  <c r="C1191" i="21"/>
  <c r="D1192" i="21"/>
  <c r="C1192" i="21"/>
  <c r="D1193" i="21"/>
  <c r="C1193" i="21"/>
  <c r="D1194" i="21"/>
  <c r="C1194" i="21"/>
  <c r="D1195" i="21"/>
  <c r="C1195" i="21"/>
  <c r="D1196" i="21"/>
  <c r="C1196" i="21"/>
  <c r="D1197" i="21"/>
  <c r="C1197" i="21"/>
  <c r="D1198" i="21"/>
  <c r="C1198" i="21"/>
  <c r="D1199" i="21"/>
  <c r="C1199" i="21"/>
  <c r="D1200" i="21"/>
  <c r="C1200" i="21"/>
  <c r="D1201" i="21"/>
  <c r="C1201" i="21"/>
  <c r="D1202" i="21"/>
  <c r="C1202" i="21"/>
  <c r="D1203" i="21"/>
  <c r="C1203" i="21"/>
  <c r="D1204" i="21"/>
  <c r="C1204" i="21"/>
  <c r="D1205" i="21"/>
  <c r="C1205" i="21"/>
  <c r="D1206" i="21"/>
  <c r="C1206" i="21"/>
  <c r="D1207" i="21"/>
  <c r="C1207" i="21"/>
  <c r="D1208" i="21"/>
  <c r="C1208" i="21"/>
  <c r="D1209" i="21"/>
  <c r="C1209" i="21"/>
  <c r="D1210" i="21"/>
  <c r="C1210" i="21"/>
  <c r="D1211" i="21"/>
  <c r="C1211" i="21"/>
  <c r="D1212" i="21"/>
  <c r="C1212" i="21"/>
  <c r="D1213" i="21"/>
  <c r="C1213" i="21"/>
  <c r="D1214" i="21"/>
  <c r="C1214" i="21"/>
  <c r="D1215" i="21"/>
  <c r="C1215" i="21"/>
  <c r="D1216" i="21"/>
  <c r="C1216" i="21"/>
  <c r="D1217" i="21"/>
  <c r="C1217" i="21"/>
  <c r="D1218" i="21"/>
  <c r="C1218" i="21"/>
  <c r="D1219" i="21"/>
  <c r="C1219" i="21"/>
  <c r="D1220" i="21"/>
  <c r="C1220" i="21"/>
  <c r="D1221" i="21"/>
  <c r="C1221" i="21"/>
  <c r="D1222" i="21"/>
  <c r="C1222" i="21"/>
  <c r="D1223" i="21"/>
  <c r="C1223" i="21"/>
  <c r="D1224" i="21"/>
  <c r="C1224" i="21"/>
  <c r="D1225" i="21"/>
  <c r="C1225" i="21"/>
  <c r="D1226" i="21"/>
  <c r="C1226" i="21"/>
  <c r="D1227" i="21"/>
  <c r="C1227" i="21"/>
  <c r="D1228" i="21"/>
  <c r="C1228" i="21"/>
  <c r="D1229" i="21"/>
  <c r="C1229" i="21"/>
  <c r="D1230" i="21"/>
  <c r="C1230" i="21"/>
  <c r="D1231" i="21"/>
  <c r="C1231" i="21"/>
  <c r="D1232" i="21"/>
  <c r="C1232" i="21"/>
  <c r="D1233" i="21"/>
  <c r="C1233" i="21"/>
  <c r="D1234" i="21"/>
  <c r="C1234" i="21"/>
  <c r="D1235" i="21"/>
  <c r="C1235" i="21"/>
  <c r="D1236" i="21"/>
  <c r="C1236" i="21"/>
  <c r="D1237" i="21"/>
  <c r="C1237" i="21"/>
  <c r="D1238" i="21"/>
  <c r="C1238" i="21"/>
  <c r="D1239" i="21"/>
  <c r="C1239" i="21"/>
  <c r="D1240" i="21"/>
  <c r="C1240" i="21"/>
  <c r="D1241" i="21"/>
  <c r="C1241" i="21"/>
  <c r="C1242" i="21"/>
  <c r="D1242" i="21"/>
  <c r="D1243" i="21"/>
  <c r="C1243" i="21"/>
  <c r="D1244" i="21"/>
  <c r="C1244" i="21"/>
  <c r="D1245" i="21"/>
  <c r="C1245" i="21"/>
  <c r="D1246" i="21"/>
  <c r="C1246" i="21"/>
  <c r="C1247" i="21"/>
  <c r="D1247" i="21"/>
  <c r="D1248" i="21"/>
  <c r="C1248" i="21"/>
  <c r="D1249" i="21"/>
  <c r="C1249" i="21"/>
  <c r="D1250" i="21"/>
  <c r="C1250" i="21"/>
  <c r="D1251" i="21"/>
  <c r="C1251" i="21"/>
  <c r="D1252" i="21"/>
  <c r="C1252" i="21"/>
  <c r="C1253" i="21"/>
  <c r="D1253" i="21"/>
  <c r="D1254" i="21"/>
  <c r="C1254" i="21"/>
  <c r="D1255" i="21"/>
  <c r="C1255" i="21"/>
  <c r="C1256" i="21"/>
  <c r="D1256" i="21"/>
  <c r="C1257" i="21"/>
  <c r="D1257" i="21"/>
  <c r="D1258" i="21"/>
  <c r="C1258" i="21"/>
  <c r="D1259" i="21"/>
  <c r="C1259" i="21"/>
  <c r="D1260" i="21"/>
  <c r="C1260" i="21"/>
  <c r="D1261" i="21"/>
  <c r="C1261" i="21"/>
  <c r="C1262" i="21"/>
  <c r="D1262" i="21"/>
  <c r="C1263" i="21"/>
  <c r="D1263" i="21"/>
  <c r="C1264" i="21"/>
  <c r="D1264" i="21"/>
  <c r="D1265" i="21"/>
  <c r="C1265" i="21"/>
  <c r="D1266" i="21"/>
  <c r="C1266" i="21"/>
  <c r="D1267" i="21"/>
  <c r="C1267" i="21"/>
  <c r="D1268" i="21"/>
  <c r="C1268" i="21"/>
  <c r="D1269" i="21"/>
  <c r="C1269" i="21"/>
  <c r="C1270" i="21"/>
  <c r="D1270" i="21"/>
  <c r="C1271" i="21"/>
  <c r="D1271" i="21"/>
  <c r="C1272" i="21"/>
  <c r="D1272" i="21"/>
  <c r="C1273" i="21"/>
  <c r="D1273" i="21"/>
  <c r="D1274" i="21"/>
  <c r="C1274" i="21"/>
  <c r="D1275" i="21"/>
  <c r="C1275" i="21"/>
  <c r="D1276" i="21"/>
  <c r="C1276" i="21"/>
  <c r="C1277" i="21"/>
  <c r="D1277" i="21"/>
  <c r="D1278" i="21"/>
  <c r="C1278" i="21"/>
  <c r="D1279" i="21"/>
  <c r="C1279" i="21"/>
  <c r="C1280" i="21"/>
  <c r="D1280" i="21"/>
  <c r="C1281" i="21"/>
  <c r="D1281" i="21"/>
  <c r="C1282" i="21"/>
  <c r="D1282" i="21"/>
  <c r="D1283" i="21"/>
  <c r="C1283" i="21"/>
  <c r="D1284" i="21"/>
  <c r="C1284" i="21"/>
  <c r="D1285" i="21"/>
  <c r="C1285" i="21"/>
  <c r="D1286" i="21"/>
  <c r="C1286" i="21"/>
  <c r="D1287" i="21"/>
  <c r="C1287" i="21"/>
  <c r="D1288" i="21"/>
  <c r="C1288" i="21"/>
  <c r="D1289" i="21"/>
  <c r="C1289" i="21"/>
  <c r="D1290" i="21"/>
  <c r="C1290" i="21"/>
  <c r="D1291" i="21"/>
  <c r="C1291" i="21"/>
  <c r="C1292" i="21"/>
  <c r="D1292" i="21"/>
  <c r="D1293" i="21"/>
  <c r="C1293" i="21"/>
  <c r="D1294" i="21"/>
  <c r="C1294" i="21"/>
  <c r="D1295" i="21"/>
  <c r="C1295" i="21"/>
  <c r="D1296" i="21"/>
  <c r="C1296" i="21"/>
  <c r="D1297" i="21"/>
  <c r="C1297" i="21"/>
  <c r="D1298" i="21"/>
  <c r="C1298" i="21"/>
  <c r="D1299" i="21"/>
  <c r="C1299" i="21"/>
  <c r="C1300" i="21"/>
  <c r="D1300" i="21"/>
  <c r="D1301" i="21"/>
  <c r="C1301" i="21"/>
  <c r="D1302" i="21"/>
  <c r="C1302" i="21"/>
  <c r="D1303" i="21"/>
  <c r="C1303" i="21"/>
  <c r="D1304" i="21"/>
  <c r="C1304" i="21"/>
  <c r="C1305" i="21"/>
  <c r="D1305" i="21"/>
  <c r="D1306" i="21"/>
  <c r="C1306" i="21"/>
  <c r="D1307" i="21"/>
  <c r="C1307" i="21"/>
  <c r="D1308" i="21"/>
  <c r="C1308" i="21"/>
  <c r="C1309" i="21"/>
  <c r="D1309" i="21"/>
  <c r="D1310" i="21"/>
  <c r="C1310" i="21"/>
  <c r="C1311" i="21"/>
  <c r="D1311" i="21"/>
  <c r="D1312" i="21"/>
  <c r="C1312" i="21"/>
  <c r="D1313" i="21"/>
  <c r="C1313" i="21"/>
  <c r="C1314" i="21"/>
  <c r="D1314" i="21"/>
  <c r="D1315" i="21"/>
  <c r="C1315" i="21"/>
  <c r="D1316" i="21"/>
  <c r="C1316" i="21"/>
  <c r="C1317" i="21"/>
  <c r="D1317" i="21"/>
  <c r="C1318" i="21"/>
  <c r="D1318" i="21"/>
  <c r="D1319" i="21"/>
  <c r="C1319" i="21"/>
  <c r="C1320" i="21"/>
  <c r="D1320" i="21"/>
  <c r="D1321" i="21"/>
  <c r="C1321" i="21"/>
  <c r="C1322" i="21"/>
  <c r="D1322" i="21"/>
  <c r="C1323" i="21"/>
  <c r="D1323" i="21"/>
  <c r="D1324" i="21"/>
  <c r="C1324" i="21"/>
  <c r="D1325" i="21"/>
  <c r="C1325" i="21"/>
  <c r="D1326" i="21"/>
  <c r="C1326" i="21"/>
  <c r="D1327" i="21"/>
  <c r="C1327" i="21"/>
  <c r="D1328" i="21"/>
  <c r="C1328" i="21"/>
  <c r="D1329" i="21"/>
  <c r="C1329" i="21"/>
  <c r="D1330" i="21"/>
  <c r="C1330" i="21"/>
  <c r="D1331" i="21"/>
  <c r="C1331" i="21"/>
  <c r="C1332" i="21"/>
  <c r="D1332" i="21"/>
  <c r="C1333" i="21"/>
  <c r="D1333" i="21"/>
  <c r="D1334" i="21"/>
  <c r="C1334" i="21"/>
  <c r="C1335" i="21"/>
  <c r="D1335" i="21"/>
  <c r="C1336" i="21"/>
  <c r="D1336" i="21"/>
  <c r="D1337" i="21"/>
  <c r="C1337" i="21"/>
  <c r="D1338" i="21"/>
  <c r="C1338" i="21"/>
  <c r="C1339" i="21"/>
  <c r="D1339" i="21"/>
  <c r="D1340" i="21"/>
  <c r="C1340" i="21"/>
  <c r="D1341" i="21"/>
  <c r="C1341" i="21"/>
  <c r="D1342" i="21"/>
  <c r="C1342" i="21"/>
  <c r="D1343" i="21"/>
  <c r="C1343" i="21"/>
  <c r="C1344" i="21"/>
  <c r="D1344" i="21"/>
  <c r="C1345" i="21"/>
  <c r="D1345" i="21"/>
  <c r="D1346" i="21"/>
  <c r="C1346" i="21"/>
  <c r="C1347" i="21"/>
  <c r="D1347" i="21"/>
  <c r="D1348" i="21"/>
  <c r="C1348" i="21"/>
  <c r="D1349" i="21"/>
  <c r="C1349" i="21"/>
  <c r="D1350" i="21"/>
  <c r="C1350" i="21"/>
  <c r="D1351" i="21"/>
  <c r="C1351" i="21"/>
  <c r="D1352" i="21"/>
  <c r="C1352" i="21"/>
  <c r="C1353" i="21"/>
  <c r="D1353" i="21"/>
  <c r="C1354" i="21"/>
  <c r="D1354" i="21"/>
  <c r="C1355" i="21"/>
  <c r="D1355" i="21"/>
  <c r="D1356" i="21"/>
  <c r="C1356" i="21"/>
  <c r="C1357" i="21"/>
  <c r="D1357" i="21"/>
  <c r="C1358" i="21"/>
  <c r="D1358" i="21"/>
  <c r="C1359" i="21"/>
  <c r="D1359" i="21"/>
  <c r="D1360" i="21"/>
  <c r="C1360" i="21"/>
  <c r="C1361" i="21"/>
  <c r="D1361" i="21"/>
  <c r="D1362" i="21"/>
  <c r="C1362" i="21"/>
  <c r="D1363" i="21"/>
  <c r="C1363" i="21"/>
  <c r="C1364" i="21"/>
  <c r="D1364" i="21"/>
  <c r="C1365" i="21"/>
  <c r="D1365" i="21"/>
  <c r="C1366" i="21"/>
  <c r="D1366" i="21"/>
  <c r="C1367" i="21"/>
  <c r="D1367" i="21"/>
  <c r="C1368" i="21"/>
  <c r="D1368" i="21"/>
  <c r="D1369" i="21"/>
  <c r="C1369" i="21"/>
  <c r="D1456" i="21"/>
  <c r="D1473" i="21"/>
  <c r="D1550" i="21"/>
  <c r="I53" i="21"/>
  <c r="I55" i="21"/>
  <c r="W377" i="13"/>
  <c r="I54" i="21"/>
  <c r="I14" i="21"/>
  <c r="I58" i="21"/>
  <c r="I30" i="21"/>
  <c r="W379" i="13"/>
  <c r="I59" i="21"/>
  <c r="I60" i="21"/>
  <c r="I32" i="21"/>
  <c r="X619" i="13"/>
  <c r="H561" i="3" s="1"/>
  <c r="V619" i="13"/>
  <c r="X618" i="13"/>
  <c r="H352" i="3" s="1"/>
  <c r="V618" i="13"/>
  <c r="V617" i="13"/>
  <c r="X617" i="13"/>
  <c r="H351" i="3" s="1"/>
  <c r="X616" i="13"/>
  <c r="H435" i="3" s="1"/>
  <c r="V616" i="13"/>
  <c r="X615" i="13"/>
  <c r="H416" i="3" s="1"/>
  <c r="V615" i="13"/>
  <c r="V614" i="13"/>
  <c r="X614" i="13"/>
  <c r="H426" i="3" s="1"/>
  <c r="V613" i="13"/>
  <c r="X613" i="13"/>
  <c r="H354" i="3" s="1"/>
  <c r="X2" i="13"/>
  <c r="V2" i="13"/>
  <c r="X5" i="13"/>
  <c r="V5" i="13"/>
  <c r="V14" i="13"/>
  <c r="X14" i="13"/>
  <c r="V22" i="13"/>
  <c r="X22" i="13"/>
  <c r="V25" i="13"/>
  <c r="X25" i="13"/>
  <c r="X31" i="13"/>
  <c r="H26" i="3" s="1"/>
  <c r="V31" i="13"/>
  <c r="X32" i="13"/>
  <c r="V32" i="13"/>
  <c r="X39" i="13"/>
  <c r="V39" i="13"/>
  <c r="V42" i="13"/>
  <c r="X42" i="13"/>
  <c r="V46" i="13"/>
  <c r="X46" i="13"/>
  <c r="V50" i="13"/>
  <c r="X50" i="13"/>
  <c r="V55" i="13"/>
  <c r="X55" i="13"/>
  <c r="H45" i="3" s="1"/>
  <c r="V61" i="13"/>
  <c r="X61" i="13"/>
  <c r="X67" i="13"/>
  <c r="V67" i="13"/>
  <c r="X74" i="13"/>
  <c r="V74" i="13"/>
  <c r="V86" i="13"/>
  <c r="X86" i="13"/>
  <c r="X94" i="13"/>
  <c r="V94" i="13"/>
  <c r="X98" i="13"/>
  <c r="V98" i="13"/>
  <c r="X103" i="13"/>
  <c r="V103" i="13"/>
  <c r="X107" i="13"/>
  <c r="V107" i="13"/>
  <c r="V114" i="13"/>
  <c r="X114" i="13"/>
  <c r="V122" i="13"/>
  <c r="X122" i="13"/>
  <c r="X125" i="13"/>
  <c r="V125" i="13"/>
  <c r="X254" i="13"/>
  <c r="H233" i="3" s="1"/>
  <c r="V254" i="13"/>
  <c r="V256" i="13"/>
  <c r="X256" i="13"/>
  <c r="H235" i="3" s="1"/>
  <c r="V257" i="13"/>
  <c r="X257" i="13"/>
  <c r="H236" i="3" s="1"/>
  <c r="V258" i="13"/>
  <c r="X258" i="13"/>
  <c r="H237" i="3" s="1"/>
  <c r="V259" i="13"/>
  <c r="X259" i="13"/>
  <c r="H238" i="3" s="1"/>
  <c r="V260" i="13"/>
  <c r="X260" i="13"/>
  <c r="H239" i="3" s="1"/>
  <c r="X261" i="13"/>
  <c r="H240" i="3" s="1"/>
  <c r="V261" i="13"/>
  <c r="X262" i="13"/>
  <c r="H241" i="3" s="1"/>
  <c r="V262" i="13"/>
  <c r="X263" i="13"/>
  <c r="H242" i="3" s="1"/>
  <c r="V263" i="13"/>
  <c r="V264" i="13"/>
  <c r="X264" i="13"/>
  <c r="H243" i="3" s="1"/>
  <c r="V265" i="13"/>
  <c r="X265" i="13"/>
  <c r="H244" i="3" s="1"/>
  <c r="V266" i="13"/>
  <c r="X266" i="13"/>
  <c r="H245" i="3" s="1"/>
  <c r="X267" i="13"/>
  <c r="H246" i="3" s="1"/>
  <c r="V267" i="13"/>
  <c r="V268" i="13"/>
  <c r="X268" i="13"/>
  <c r="H247" i="3" s="1"/>
  <c r="X270" i="13"/>
  <c r="H249" i="3" s="1"/>
  <c r="V270" i="13"/>
  <c r="V271" i="13"/>
  <c r="X271" i="13"/>
  <c r="H250" i="3" s="1"/>
  <c r="V272" i="13"/>
  <c r="X272" i="13"/>
  <c r="H251" i="3" s="1"/>
  <c r="X274" i="13"/>
  <c r="H253" i="3" s="1"/>
  <c r="V274" i="13"/>
  <c r="V276" i="13"/>
  <c r="X276" i="13"/>
  <c r="H255" i="3" s="1"/>
  <c r="X278" i="13"/>
  <c r="H257" i="3" s="1"/>
  <c r="V278" i="13"/>
  <c r="V280" i="13"/>
  <c r="X280" i="13"/>
  <c r="H259" i="3" s="1"/>
  <c r="X281" i="13"/>
  <c r="H260" i="3" s="1"/>
  <c r="V281" i="13"/>
  <c r="X282" i="13"/>
  <c r="H261" i="3" s="1"/>
  <c r="V282" i="13"/>
  <c r="V283" i="13"/>
  <c r="X283" i="13"/>
  <c r="H262" i="3" s="1"/>
  <c r="V284" i="13"/>
  <c r="X284" i="13"/>
  <c r="H263" i="3" s="1"/>
  <c r="V285" i="13"/>
  <c r="X285" i="13"/>
  <c r="H264" i="3" s="1"/>
  <c r="V286" i="13"/>
  <c r="X286" i="13"/>
  <c r="H265" i="3" s="1"/>
  <c r="V288" i="13"/>
  <c r="X288" i="13"/>
  <c r="H267" i="3" s="1"/>
  <c r="X289" i="13"/>
  <c r="H268" i="3" s="1"/>
  <c r="V289" i="13"/>
  <c r="V290" i="13"/>
  <c r="X290" i="13"/>
  <c r="H269" i="3" s="1"/>
  <c r="X291" i="13"/>
  <c r="H270" i="3" s="1"/>
  <c r="V291" i="13"/>
  <c r="X292" i="13"/>
  <c r="H271" i="3" s="1"/>
  <c r="V292" i="13"/>
  <c r="X293" i="13"/>
  <c r="H272" i="3" s="1"/>
  <c r="V293" i="13"/>
  <c r="X294" i="13"/>
  <c r="H273" i="3" s="1"/>
  <c r="V294" i="13"/>
  <c r="X295" i="13"/>
  <c r="H274" i="3" s="1"/>
  <c r="V295" i="13"/>
  <c r="V296" i="13"/>
  <c r="X296" i="13"/>
  <c r="H275" i="3" s="1"/>
  <c r="V298" i="13"/>
  <c r="X298" i="13"/>
  <c r="H277" i="3" s="1"/>
  <c r="X299" i="13"/>
  <c r="H278" i="3" s="1"/>
  <c r="V299" i="13"/>
  <c r="X300" i="13"/>
  <c r="H279" i="3" s="1"/>
  <c r="V300" i="13"/>
  <c r="V301" i="13"/>
  <c r="X301" i="13"/>
  <c r="H280" i="3" s="1"/>
  <c r="V302" i="13"/>
  <c r="X302" i="13"/>
  <c r="H281" i="3" s="1"/>
  <c r="X303" i="13"/>
  <c r="H282" i="3" s="1"/>
  <c r="V303" i="13"/>
  <c r="V304" i="13"/>
  <c r="X304" i="13"/>
  <c r="H283" i="3" s="1"/>
  <c r="X305" i="13"/>
  <c r="H284" i="3" s="1"/>
  <c r="V305" i="13"/>
  <c r="V306" i="13"/>
  <c r="X306" i="13"/>
  <c r="H285" i="3" s="1"/>
  <c r="V307" i="13"/>
  <c r="X307" i="13"/>
  <c r="H286" i="3" s="1"/>
  <c r="X308" i="13"/>
  <c r="H287" i="3" s="1"/>
  <c r="V308" i="13"/>
  <c r="X310" i="13"/>
  <c r="H289" i="3" s="1"/>
  <c r="V310" i="13"/>
  <c r="X311" i="13"/>
  <c r="H290" i="3" s="1"/>
  <c r="V311" i="13"/>
  <c r="X312" i="13"/>
  <c r="H291" i="3" s="1"/>
  <c r="V312" i="13"/>
  <c r="X313" i="13"/>
  <c r="H292" i="3" s="1"/>
  <c r="V313" i="13"/>
  <c r="X314" i="13"/>
  <c r="H293" i="3" s="1"/>
  <c r="V314" i="13"/>
  <c r="X316" i="13"/>
  <c r="H295" i="3" s="1"/>
  <c r="V316" i="13"/>
  <c r="V317" i="13"/>
  <c r="X317" i="13"/>
  <c r="H296" i="3" s="1"/>
  <c r="X318" i="13"/>
  <c r="H297" i="3" s="1"/>
  <c r="V318" i="13"/>
  <c r="X319" i="13"/>
  <c r="H298" i="3" s="1"/>
  <c r="V319" i="13"/>
  <c r="X320" i="13"/>
  <c r="H299" i="3" s="1"/>
  <c r="V320" i="13"/>
  <c r="X321" i="13"/>
  <c r="H300" i="3" s="1"/>
  <c r="V321" i="13"/>
  <c r="X322" i="13"/>
  <c r="H301" i="3" s="1"/>
  <c r="V322" i="13"/>
  <c r="X323" i="13"/>
  <c r="H302" i="3" s="1"/>
  <c r="V323" i="13"/>
  <c r="V324" i="13"/>
  <c r="X324" i="13"/>
  <c r="H303" i="3" s="1"/>
  <c r="V325" i="13"/>
  <c r="X325" i="13"/>
  <c r="H304" i="3" s="1"/>
  <c r="X326" i="13"/>
  <c r="H305" i="3" s="1"/>
  <c r="V326" i="13"/>
  <c r="X327" i="13"/>
  <c r="H306" i="3" s="1"/>
  <c r="V327" i="13"/>
  <c r="V328" i="13"/>
  <c r="X328" i="13"/>
  <c r="H307" i="3" s="1"/>
  <c r="V330" i="13"/>
  <c r="X330" i="13"/>
  <c r="H309" i="3" s="1"/>
  <c r="V332" i="13"/>
  <c r="X332" i="13"/>
  <c r="H311" i="3" s="1"/>
  <c r="V334" i="13"/>
  <c r="X334" i="13"/>
  <c r="H313" i="3" s="1"/>
  <c r="V336" i="13"/>
  <c r="X336" i="13"/>
  <c r="H315" i="3" s="1"/>
  <c r="X338" i="13"/>
  <c r="H317" i="3" s="1"/>
  <c r="V338" i="13"/>
  <c r="V340" i="13"/>
  <c r="X340" i="13"/>
  <c r="H319" i="3" s="1"/>
  <c r="V342" i="13"/>
  <c r="X342" i="13"/>
  <c r="H321" i="3" s="1"/>
  <c r="V343" i="13"/>
  <c r="X343" i="13"/>
  <c r="H322" i="3" s="1"/>
  <c r="V344" i="13"/>
  <c r="X344" i="13"/>
  <c r="H323" i="3" s="1"/>
  <c r="X345" i="13"/>
  <c r="H324" i="3" s="1"/>
  <c r="V345" i="13"/>
  <c r="V346" i="13"/>
  <c r="X346" i="13"/>
  <c r="H325" i="3" s="1"/>
  <c r="V347" i="13"/>
  <c r="X347" i="13"/>
  <c r="H326" i="3" s="1"/>
  <c r="V348" i="13"/>
  <c r="X348" i="13"/>
  <c r="H327" i="3" s="1"/>
  <c r="X350" i="13"/>
  <c r="H329" i="3" s="1"/>
  <c r="V350" i="13"/>
  <c r="X351" i="13"/>
  <c r="H330" i="3" s="1"/>
  <c r="V351" i="13"/>
  <c r="V352" i="13"/>
  <c r="X352" i="13"/>
  <c r="H331" i="3" s="1"/>
  <c r="V353" i="13"/>
  <c r="X353" i="13"/>
  <c r="H332" i="3" s="1"/>
  <c r="V354" i="13"/>
  <c r="X354" i="13"/>
  <c r="H333" i="3" s="1"/>
  <c r="V356" i="13"/>
  <c r="X356" i="13"/>
  <c r="H335" i="3" s="1"/>
  <c r="X358" i="13"/>
  <c r="H337" i="3" s="1"/>
  <c r="V358" i="13"/>
  <c r="X359" i="13"/>
  <c r="H338" i="3" s="1"/>
  <c r="V359" i="13"/>
  <c r="X360" i="13"/>
  <c r="H339" i="3" s="1"/>
  <c r="V360" i="13"/>
  <c r="V361" i="13"/>
  <c r="X361" i="13"/>
  <c r="H340" i="3" s="1"/>
  <c r="V362" i="13"/>
  <c r="X362" i="13"/>
  <c r="H341" i="3" s="1"/>
  <c r="V363" i="13"/>
  <c r="X363" i="13"/>
  <c r="H342" i="3" s="1"/>
  <c r="X364" i="13"/>
  <c r="H343" i="3" s="1"/>
  <c r="V364" i="13"/>
  <c r="V365" i="13"/>
  <c r="X365" i="13"/>
  <c r="H344" i="3" s="1"/>
  <c r="V366" i="13"/>
  <c r="X366" i="13"/>
  <c r="H345" i="3" s="1"/>
  <c r="X367" i="13"/>
  <c r="H346" i="3" s="1"/>
  <c r="V367" i="13"/>
  <c r="V368" i="13"/>
  <c r="X368" i="13"/>
  <c r="H347" i="3" s="1"/>
  <c r="X369" i="13"/>
  <c r="H348" i="3" s="1"/>
  <c r="V369" i="13"/>
  <c r="X370" i="13"/>
  <c r="H349" i="3" s="1"/>
  <c r="V370" i="13"/>
  <c r="V371" i="13"/>
  <c r="X371" i="13"/>
  <c r="H350" i="3" s="1"/>
  <c r="V372" i="13"/>
  <c r="X372" i="13"/>
  <c r="V373" i="13"/>
  <c r="X373" i="13"/>
  <c r="V374" i="13"/>
  <c r="X374" i="13"/>
  <c r="V375" i="13"/>
  <c r="X375" i="13"/>
  <c r="X376" i="13"/>
  <c r="V376" i="13"/>
  <c r="X377" i="13"/>
  <c r="V377" i="13"/>
  <c r="V378" i="13"/>
  <c r="X378" i="13"/>
  <c r="V379" i="13"/>
  <c r="X379" i="13"/>
  <c r="V380" i="13"/>
  <c r="X380" i="13"/>
  <c r="V381" i="13"/>
  <c r="X381" i="13"/>
  <c r="V382" i="13"/>
  <c r="X382" i="13"/>
  <c r="V383" i="13"/>
  <c r="X383" i="13"/>
  <c r="X384" i="13"/>
  <c r="V384" i="13"/>
  <c r="X385" i="13"/>
  <c r="V385" i="13"/>
  <c r="V386" i="13"/>
  <c r="X386" i="13"/>
  <c r="X387" i="13"/>
  <c r="V387" i="13"/>
  <c r="V388" i="13"/>
  <c r="X388" i="13"/>
  <c r="V389" i="13"/>
  <c r="X389" i="13"/>
  <c r="X390" i="13"/>
  <c r="V390" i="13"/>
  <c r="V391" i="13"/>
  <c r="X391" i="13"/>
  <c r="V392" i="13"/>
  <c r="X392" i="13"/>
  <c r="X393" i="13"/>
  <c r="V393" i="13"/>
  <c r="X394" i="13"/>
  <c r="V394" i="13"/>
  <c r="X395" i="13"/>
  <c r="V395" i="13"/>
  <c r="X396" i="13"/>
  <c r="V396" i="13"/>
  <c r="V397" i="13"/>
  <c r="X397" i="13"/>
  <c r="X398" i="13"/>
  <c r="V398" i="13"/>
  <c r="V399" i="13"/>
  <c r="X399" i="13"/>
  <c r="X400" i="13"/>
  <c r="V400" i="13"/>
  <c r="X401" i="13"/>
  <c r="V401" i="13"/>
  <c r="X402" i="13"/>
  <c r="V402" i="13"/>
  <c r="X403" i="13"/>
  <c r="V403" i="13"/>
  <c r="V404" i="13"/>
  <c r="X404" i="13"/>
  <c r="V405" i="13"/>
  <c r="X405" i="13"/>
  <c r="X406" i="13"/>
  <c r="V406" i="13"/>
  <c r="V407" i="13"/>
  <c r="X407" i="13"/>
  <c r="X408" i="13"/>
  <c r="V408" i="13"/>
  <c r="X409" i="13"/>
  <c r="H353" i="3" s="1"/>
  <c r="V409" i="13"/>
  <c r="V410" i="13"/>
  <c r="X410" i="13"/>
  <c r="H355" i="3" s="1"/>
  <c r="X411" i="13"/>
  <c r="H356" i="3" s="1"/>
  <c r="V411" i="13"/>
  <c r="X412" i="13"/>
  <c r="H357" i="3" s="1"/>
  <c r="V412" i="13"/>
  <c r="V413" i="13"/>
  <c r="X413" i="13"/>
  <c r="H358" i="3" s="1"/>
  <c r="X414" i="13"/>
  <c r="H359" i="3" s="1"/>
  <c r="V414" i="13"/>
  <c r="V415" i="13"/>
  <c r="X415" i="13"/>
  <c r="H360" i="3" s="1"/>
  <c r="V416" i="13"/>
  <c r="X416" i="13"/>
  <c r="H361" i="3" s="1"/>
  <c r="V417" i="13"/>
  <c r="X417" i="13"/>
  <c r="H362" i="3" s="1"/>
  <c r="X418" i="13"/>
  <c r="H363" i="3" s="1"/>
  <c r="V418" i="13"/>
  <c r="X419" i="13"/>
  <c r="H364" i="3" s="1"/>
  <c r="V419" i="13"/>
  <c r="X420" i="13"/>
  <c r="H365" i="3" s="1"/>
  <c r="V420" i="13"/>
  <c r="X421" i="13"/>
  <c r="H366" i="3" s="1"/>
  <c r="V421" i="13"/>
  <c r="X422" i="13"/>
  <c r="H367" i="3" s="1"/>
  <c r="V422" i="13"/>
  <c r="X423" i="13"/>
  <c r="H368" i="3" s="1"/>
  <c r="V423" i="13"/>
  <c r="V424" i="13"/>
  <c r="X424" i="13"/>
  <c r="H369" i="3" s="1"/>
  <c r="X425" i="13"/>
  <c r="H370" i="3" s="1"/>
  <c r="V425" i="13"/>
  <c r="X426" i="13"/>
  <c r="H371" i="3" s="1"/>
  <c r="V426" i="13"/>
  <c r="X427" i="13"/>
  <c r="H372" i="3" s="1"/>
  <c r="V427" i="13"/>
  <c r="X428" i="13"/>
  <c r="H373" i="3" s="1"/>
  <c r="V428" i="13"/>
  <c r="X429" i="13"/>
  <c r="H374" i="3" s="1"/>
  <c r="V429" i="13"/>
  <c r="X430" i="13"/>
  <c r="H375" i="3" s="1"/>
  <c r="V430" i="13"/>
  <c r="V431" i="13"/>
  <c r="X431" i="13"/>
  <c r="H376" i="3" s="1"/>
  <c r="V432" i="13"/>
  <c r="X432" i="13"/>
  <c r="H377" i="3" s="1"/>
  <c r="X433" i="13"/>
  <c r="H378" i="3" s="1"/>
  <c r="V433" i="13"/>
  <c r="V434" i="13"/>
  <c r="X434" i="13"/>
  <c r="H379" i="3" s="1"/>
  <c r="V435" i="13"/>
  <c r="X435" i="13"/>
  <c r="H380" i="3" s="1"/>
  <c r="V436" i="13"/>
  <c r="X436" i="13"/>
  <c r="H381" i="3" s="1"/>
  <c r="X437" i="13"/>
  <c r="H382" i="3" s="1"/>
  <c r="V437" i="13"/>
  <c r="V438" i="13"/>
  <c r="X438" i="13"/>
  <c r="H383" i="3" s="1"/>
  <c r="X439" i="13"/>
  <c r="H384" i="3" s="1"/>
  <c r="V439" i="13"/>
  <c r="V440" i="13"/>
  <c r="X440" i="13"/>
  <c r="H385" i="3" s="1"/>
  <c r="V441" i="13"/>
  <c r="X441" i="13"/>
  <c r="H386" i="3" s="1"/>
  <c r="V442" i="13"/>
  <c r="X442" i="13"/>
  <c r="H387" i="3" s="1"/>
  <c r="X443" i="13"/>
  <c r="H388" i="3" s="1"/>
  <c r="V443" i="13"/>
  <c r="V444" i="13"/>
  <c r="X444" i="13"/>
  <c r="H389" i="3" s="1"/>
  <c r="X445" i="13"/>
  <c r="H390" i="3" s="1"/>
  <c r="V445" i="13"/>
  <c r="V446" i="13"/>
  <c r="X446" i="13"/>
  <c r="H391" i="3" s="1"/>
  <c r="V447" i="13"/>
  <c r="X447" i="13"/>
  <c r="H392" i="3" s="1"/>
  <c r="V448" i="13"/>
  <c r="X448" i="13"/>
  <c r="H393" i="3" s="1"/>
  <c r="V449" i="13"/>
  <c r="X449" i="13"/>
  <c r="H394" i="3" s="1"/>
  <c r="V450" i="13"/>
  <c r="X450" i="13"/>
  <c r="H395" i="3" s="1"/>
  <c r="X451" i="13"/>
  <c r="H396" i="3" s="1"/>
  <c r="V451" i="13"/>
  <c r="V452" i="13"/>
  <c r="X452" i="13"/>
  <c r="H397" i="3" s="1"/>
  <c r="V453" i="13"/>
  <c r="X453" i="13"/>
  <c r="H398" i="3" s="1"/>
  <c r="V454" i="13"/>
  <c r="X454" i="13"/>
  <c r="H399" i="3" s="1"/>
  <c r="V455" i="13"/>
  <c r="X455" i="13"/>
  <c r="H400" i="3" s="1"/>
  <c r="V456" i="13"/>
  <c r="X456" i="13"/>
  <c r="H401" i="3" s="1"/>
  <c r="X457" i="13"/>
  <c r="H402" i="3" s="1"/>
  <c r="V457" i="13"/>
  <c r="V458" i="13"/>
  <c r="X458" i="13"/>
  <c r="H403" i="3" s="1"/>
  <c r="V459" i="13"/>
  <c r="X459" i="13"/>
  <c r="H404" i="3" s="1"/>
  <c r="X460" i="13"/>
  <c r="H405" i="3" s="1"/>
  <c r="V460" i="13"/>
  <c r="X461" i="13"/>
  <c r="H406" i="3" s="1"/>
  <c r="V461" i="13"/>
  <c r="V462" i="13"/>
  <c r="X462" i="13"/>
  <c r="H407" i="3" s="1"/>
  <c r="X463" i="13"/>
  <c r="H409" i="3" s="1"/>
  <c r="V463" i="13"/>
  <c r="V464" i="13"/>
  <c r="X464" i="13"/>
  <c r="H410" i="3" s="1"/>
  <c r="V465" i="13"/>
  <c r="X465" i="13"/>
  <c r="H411" i="3" s="1"/>
  <c r="X466" i="13"/>
  <c r="H412" i="3" s="1"/>
  <c r="V466" i="13"/>
  <c r="V467" i="13"/>
  <c r="X467" i="13"/>
  <c r="H413" i="3" s="1"/>
  <c r="V468" i="13"/>
  <c r="X468" i="13"/>
  <c r="H414" i="3" s="1"/>
  <c r="V469" i="13"/>
  <c r="X469" i="13"/>
  <c r="H415" i="3" s="1"/>
  <c r="V470" i="13"/>
  <c r="X470" i="13"/>
  <c r="H417" i="3" s="1"/>
  <c r="V471" i="13"/>
  <c r="X471" i="13"/>
  <c r="H418" i="3" s="1"/>
  <c r="X472" i="13"/>
  <c r="H419" i="3" s="1"/>
  <c r="V472" i="13"/>
  <c r="X473" i="13"/>
  <c r="H420" i="3" s="1"/>
  <c r="V473" i="13"/>
  <c r="V474" i="13"/>
  <c r="X474" i="13"/>
  <c r="H421" i="3" s="1"/>
  <c r="V475" i="13"/>
  <c r="X475" i="13"/>
  <c r="H422" i="3" s="1"/>
  <c r="X476" i="13"/>
  <c r="H423" i="3" s="1"/>
  <c r="V476" i="13"/>
  <c r="V477" i="13"/>
  <c r="X477" i="13"/>
  <c r="H424" i="3" s="1"/>
  <c r="V478" i="13"/>
  <c r="X478" i="13"/>
  <c r="H425" i="3" s="1"/>
  <c r="V479" i="13"/>
  <c r="X479" i="13"/>
  <c r="H427" i="3" s="1"/>
  <c r="X480" i="13"/>
  <c r="H428" i="3" s="1"/>
  <c r="V480" i="13"/>
  <c r="X481" i="13"/>
  <c r="H429" i="3" s="1"/>
  <c r="V481" i="13"/>
  <c r="V482" i="13"/>
  <c r="X482" i="13"/>
  <c r="H430" i="3" s="1"/>
  <c r="V483" i="13"/>
  <c r="X483" i="13"/>
  <c r="H431" i="3" s="1"/>
  <c r="V484" i="13"/>
  <c r="X484" i="13"/>
  <c r="H432" i="3" s="1"/>
  <c r="V485" i="13"/>
  <c r="X485" i="13"/>
  <c r="H433" i="3" s="1"/>
  <c r="X486" i="13"/>
  <c r="H434" i="3" s="1"/>
  <c r="V486" i="13"/>
  <c r="X487" i="13"/>
  <c r="H436" i="3" s="1"/>
  <c r="V487" i="13"/>
  <c r="X488" i="13"/>
  <c r="H437" i="3" s="1"/>
  <c r="V488" i="13"/>
  <c r="V489" i="13"/>
  <c r="X489" i="13"/>
  <c r="H438" i="3" s="1"/>
  <c r="X490" i="13"/>
  <c r="H439" i="3" s="1"/>
  <c r="V490" i="13"/>
  <c r="X491" i="13"/>
  <c r="H440" i="3" s="1"/>
  <c r="V491" i="13"/>
  <c r="V493" i="13"/>
  <c r="X493" i="13"/>
  <c r="H442" i="3" s="1"/>
  <c r="V494" i="13"/>
  <c r="X494" i="13"/>
  <c r="H443" i="3" s="1"/>
  <c r="X495" i="13"/>
  <c r="H444" i="3" s="1"/>
  <c r="V495" i="13"/>
  <c r="V496" i="13"/>
  <c r="X496" i="13"/>
  <c r="H445" i="3" s="1"/>
  <c r="V497" i="13"/>
  <c r="X497" i="13"/>
  <c r="H446" i="3" s="1"/>
  <c r="X498" i="13"/>
  <c r="H447" i="3" s="1"/>
  <c r="V498" i="13"/>
  <c r="X499" i="13"/>
  <c r="H448" i="3" s="1"/>
  <c r="V499" i="13"/>
  <c r="V500" i="13"/>
  <c r="X500" i="13"/>
  <c r="H449" i="3" s="1"/>
  <c r="X501" i="13"/>
  <c r="H450" i="3" s="1"/>
  <c r="V501" i="13"/>
  <c r="X502" i="13"/>
  <c r="H451" i="3" s="1"/>
  <c r="V502" i="13"/>
  <c r="V503" i="13"/>
  <c r="X503" i="13"/>
  <c r="H452" i="3" s="1"/>
  <c r="X504" i="13"/>
  <c r="H453" i="3" s="1"/>
  <c r="V504" i="13"/>
  <c r="X505" i="13"/>
  <c r="H454" i="3" s="1"/>
  <c r="V505" i="13"/>
  <c r="V506" i="13"/>
  <c r="X506" i="13"/>
  <c r="H408" i="3" s="1"/>
  <c r="X507" i="13"/>
  <c r="H455" i="3" s="1"/>
  <c r="V507" i="13"/>
  <c r="V508" i="13"/>
  <c r="X508" i="13"/>
  <c r="H456" i="3" s="1"/>
  <c r="X509" i="13"/>
  <c r="H457" i="3" s="1"/>
  <c r="V509" i="13"/>
  <c r="X510" i="13"/>
  <c r="H458" i="3" s="1"/>
  <c r="V510" i="13"/>
  <c r="V511" i="13"/>
  <c r="X511" i="13"/>
  <c r="H459" i="3" s="1"/>
  <c r="X512" i="13"/>
  <c r="H460" i="3" s="1"/>
  <c r="V512" i="13"/>
  <c r="V513" i="13"/>
  <c r="X513" i="13"/>
  <c r="H461" i="3" s="1"/>
  <c r="V514" i="13"/>
  <c r="X514" i="13"/>
  <c r="H462" i="3" s="1"/>
  <c r="V515" i="13"/>
  <c r="X515" i="13"/>
  <c r="H463" i="3" s="1"/>
  <c r="X516" i="13"/>
  <c r="H464" i="3" s="1"/>
  <c r="V516" i="13"/>
  <c r="X517" i="13"/>
  <c r="H465" i="3" s="1"/>
  <c r="V517" i="13"/>
  <c r="N203" i="13"/>
  <c r="Z299" i="13"/>
  <c r="M600" i="13" a="1"/>
  <c r="N600" i="13" s="1"/>
  <c r="I600" i="13" a="1"/>
  <c r="J600" i="13" s="1"/>
  <c r="Z609" i="13"/>
  <c r="L413" i="18"/>
  <c r="L463" i="18"/>
  <c r="L469" i="18"/>
  <c r="L478" i="18"/>
  <c r="L484" i="18"/>
  <c r="L554" i="18"/>
  <c r="L565" i="18"/>
  <c r="L566" i="18"/>
  <c r="L569" i="18"/>
  <c r="L570" i="18"/>
  <c r="Z273" i="13"/>
  <c r="M250" i="13" a="1"/>
  <c r="N250" i="13" s="1"/>
  <c r="I250" i="13" a="1"/>
  <c r="J250" i="13" s="1"/>
  <c r="Z305" i="13"/>
  <c r="Z606" i="13"/>
  <c r="Z610" i="13"/>
  <c r="N195" i="13"/>
  <c r="B4" i="32"/>
  <c r="F5" i="32"/>
  <c r="C5" i="32"/>
  <c r="C4" i="32"/>
  <c r="Y183" i="13" a="1"/>
  <c r="Y186" i="13" a="1"/>
  <c r="Y184" i="13" a="1"/>
  <c r="Y185" i="13" a="1"/>
  <c r="Y181" i="13" a="1"/>
  <c r="Y180" i="13" a="1"/>
  <c r="Y182" i="13" a="1"/>
  <c r="J12" i="21"/>
  <c r="J109" i="21"/>
  <c r="J8" i="21"/>
  <c r="J9" i="21"/>
  <c r="J7" i="21"/>
  <c r="J6" i="21"/>
  <c r="J5" i="21"/>
  <c r="J4" i="21"/>
  <c r="J3" i="21"/>
  <c r="J2" i="21"/>
  <c r="J10" i="21"/>
  <c r="J11" i="21"/>
  <c r="J14" i="21"/>
  <c r="J15" i="21"/>
  <c r="J13" i="21"/>
  <c r="J16" i="21"/>
  <c r="J19" i="21"/>
  <c r="J20" i="21"/>
  <c r="J17" i="21"/>
  <c r="J18" i="21"/>
  <c r="J22" i="21"/>
  <c r="J23" i="21"/>
  <c r="J24" i="21"/>
  <c r="J25" i="21"/>
  <c r="J21" i="21"/>
  <c r="J29" i="21"/>
  <c r="J30" i="21"/>
  <c r="J31" i="21"/>
  <c r="J28" i="21"/>
  <c r="J26" i="21"/>
  <c r="J27" i="21"/>
  <c r="J32" i="21"/>
  <c r="J35" i="21"/>
  <c r="J36" i="21"/>
  <c r="J34" i="21"/>
  <c r="J33" i="21"/>
  <c r="J37" i="21"/>
  <c r="J40" i="21"/>
  <c r="J39" i="21"/>
  <c r="J41" i="21"/>
  <c r="J38" i="21"/>
  <c r="J43" i="21"/>
  <c r="J44" i="21"/>
  <c r="J47" i="21"/>
  <c r="J45" i="21"/>
  <c r="J46" i="21"/>
  <c r="J42" i="21"/>
  <c r="J48" i="21"/>
  <c r="J50" i="21"/>
  <c r="J49" i="21"/>
  <c r="J51" i="21"/>
  <c r="J52" i="21"/>
  <c r="J53" i="21"/>
  <c r="J56" i="21"/>
  <c r="J54" i="21"/>
  <c r="J55" i="21"/>
  <c r="J57" i="21"/>
  <c r="J60" i="21"/>
  <c r="J58" i="21"/>
  <c r="J59" i="21"/>
  <c r="J62" i="21"/>
  <c r="J61" i="21"/>
  <c r="J63" i="21"/>
  <c r="J66" i="21"/>
  <c r="J67" i="21"/>
  <c r="J64" i="21"/>
  <c r="J65" i="21"/>
  <c r="J68" i="21"/>
  <c r="J70" i="21"/>
  <c r="J71" i="21"/>
  <c r="J74" i="21"/>
  <c r="J73" i="21"/>
  <c r="J72" i="21"/>
  <c r="J69" i="21"/>
  <c r="J80" i="21"/>
  <c r="J77" i="21"/>
  <c r="J76" i="21"/>
  <c r="J75" i="21"/>
  <c r="J78" i="21"/>
  <c r="J79" i="21"/>
  <c r="J85" i="21"/>
  <c r="J82" i="21"/>
  <c r="J83" i="21"/>
  <c r="J86" i="21"/>
  <c r="J84" i="21"/>
  <c r="J81" i="21"/>
  <c r="J92" i="21"/>
  <c r="J89" i="21"/>
  <c r="J88" i="21"/>
  <c r="J87" i="21"/>
  <c r="J90" i="21"/>
  <c r="J91" i="21"/>
  <c r="J93" i="21"/>
  <c r="J96" i="21"/>
  <c r="J94" i="21"/>
  <c r="J95" i="21"/>
  <c r="J99" i="21"/>
  <c r="J98" i="21"/>
  <c r="J100" i="21"/>
  <c r="J97" i="21"/>
  <c r="I319" i="13" a="1"/>
  <c r="J319" i="13" s="1"/>
  <c r="Y59" i="13" a="1"/>
  <c r="Y7" i="13" a="1"/>
  <c r="J104" i="21"/>
  <c r="J107" i="21"/>
  <c r="J105" i="21"/>
  <c r="J102" i="21"/>
  <c r="J106" i="21"/>
  <c r="J103" i="21"/>
  <c r="J101" i="21"/>
  <c r="J108" i="21"/>
  <c r="J111" i="21"/>
  <c r="J114" i="21"/>
  <c r="J112" i="21"/>
  <c r="J110" i="21"/>
  <c r="J115" i="21"/>
  <c r="J113" i="21"/>
  <c r="J116" i="21"/>
  <c r="J117" i="21"/>
  <c r="J118" i="21"/>
  <c r="J121" i="21"/>
  <c r="J124" i="21"/>
  <c r="J119" i="21"/>
  <c r="J123" i="21"/>
  <c r="J120" i="21"/>
  <c r="J122" i="21"/>
  <c r="J127" i="21"/>
  <c r="J131" i="21"/>
  <c r="J126" i="21"/>
  <c r="J130" i="21"/>
  <c r="J125" i="21"/>
  <c r="J128" i="21"/>
  <c r="J129" i="21"/>
  <c r="J134" i="21"/>
  <c r="J132" i="21"/>
  <c r="J137" i="21"/>
  <c r="J133" i="21"/>
  <c r="J136" i="21"/>
  <c r="J135" i="21"/>
  <c r="J138" i="21"/>
  <c r="J142" i="21"/>
  <c r="J143" i="21"/>
  <c r="J140" i="21"/>
  <c r="J144" i="21"/>
  <c r="J139" i="21"/>
  <c r="J141" i="21"/>
  <c r="J145" i="21"/>
  <c r="J146" i="21"/>
  <c r="J147" i="21"/>
  <c r="J150" i="21"/>
  <c r="J149" i="21"/>
  <c r="J151" i="21"/>
  <c r="J148" i="21"/>
  <c r="J158" i="21"/>
  <c r="J159" i="21"/>
  <c r="J155" i="21"/>
  <c r="J152" i="21"/>
  <c r="J153" i="21"/>
  <c r="J154" i="21"/>
  <c r="J157" i="21"/>
  <c r="J160" i="21"/>
  <c r="J156" i="21"/>
  <c r="J166" i="21"/>
  <c r="J164" i="21"/>
  <c r="J161" i="21"/>
  <c r="J162" i="21"/>
  <c r="J163" i="21"/>
  <c r="J167" i="21"/>
  <c r="J165" i="21"/>
  <c r="J173" i="21"/>
  <c r="J169" i="21"/>
  <c r="J170" i="21"/>
  <c r="J172" i="21"/>
  <c r="J168" i="21"/>
  <c r="J171" i="21"/>
  <c r="J175" i="21"/>
  <c r="J174" i="21"/>
  <c r="J181" i="21"/>
  <c r="J179" i="21"/>
  <c r="J182" i="21"/>
  <c r="J177" i="21"/>
  <c r="J180" i="21"/>
  <c r="J178" i="21"/>
  <c r="J176" i="21"/>
  <c r="J185" i="21"/>
  <c r="J189" i="21"/>
  <c r="J188" i="21"/>
  <c r="J186" i="21"/>
  <c r="J184" i="21"/>
  <c r="J187" i="21"/>
  <c r="J190" i="21"/>
  <c r="J183" i="21"/>
  <c r="J191" i="21"/>
  <c r="J197" i="21"/>
  <c r="J195" i="21"/>
  <c r="J192" i="21"/>
  <c r="J198" i="21"/>
  <c r="J194" i="21"/>
  <c r="J196" i="21"/>
  <c r="J199" i="21"/>
  <c r="J193" i="21"/>
  <c r="J207" i="21"/>
  <c r="J200" i="21"/>
  <c r="J208" i="21"/>
  <c r="J205" i="21"/>
  <c r="J202" i="21"/>
  <c r="J204" i="21"/>
  <c r="J201" i="21"/>
  <c r="J203" i="21"/>
  <c r="J206" i="21"/>
  <c r="J210" i="21"/>
  <c r="J212" i="21"/>
  <c r="J211" i="21"/>
  <c r="J209" i="21"/>
  <c r="J214" i="21"/>
  <c r="J213" i="21"/>
  <c r="J217" i="21"/>
  <c r="J215" i="21"/>
  <c r="J216" i="21"/>
  <c r="J220" i="21"/>
  <c r="J221" i="21"/>
  <c r="J222" i="21"/>
  <c r="J218" i="21"/>
  <c r="J219" i="21"/>
  <c r="J227" i="21"/>
  <c r="J224" i="21"/>
  <c r="J225" i="21"/>
  <c r="J223" i="21"/>
  <c r="J226" i="21"/>
  <c r="J230" i="21"/>
  <c r="J229" i="21"/>
  <c r="J232" i="21"/>
  <c r="J228" i="21"/>
  <c r="J231" i="21"/>
  <c r="J245" i="21"/>
  <c r="J246" i="21"/>
  <c r="J244" i="21"/>
  <c r="J243" i="21"/>
  <c r="J248" i="21"/>
  <c r="J249" i="21"/>
  <c r="J250" i="21"/>
  <c r="J247" i="21"/>
  <c r="J251" i="21"/>
  <c r="J252" i="21"/>
  <c r="J253" i="21"/>
  <c r="J254" i="21"/>
  <c r="J258" i="21"/>
  <c r="J257" i="21"/>
  <c r="J256" i="21"/>
  <c r="J255" i="21"/>
  <c r="J261" i="21"/>
  <c r="J259" i="21"/>
  <c r="J263" i="21"/>
  <c r="J260" i="21"/>
  <c r="J262" i="21"/>
  <c r="J266" i="21"/>
  <c r="J267" i="21"/>
  <c r="J264" i="21"/>
  <c r="J265" i="21"/>
  <c r="J268" i="21"/>
  <c r="J270" i="21"/>
  <c r="J271" i="21"/>
  <c r="J269" i="21"/>
  <c r="J273" i="21"/>
  <c r="J276" i="21"/>
  <c r="J275" i="21"/>
  <c r="J272" i="21"/>
  <c r="J274" i="21"/>
  <c r="J279" i="21"/>
  <c r="J277" i="21"/>
  <c r="J280" i="21"/>
  <c r="J278" i="21"/>
  <c r="J281" i="21"/>
  <c r="J288" i="21"/>
  <c r="J285" i="21"/>
  <c r="J289" i="21"/>
  <c r="J283" i="21"/>
  <c r="J287" i="21"/>
  <c r="J286" i="21"/>
  <c r="J282" i="21"/>
  <c r="J284" i="21"/>
  <c r="J290" i="21"/>
  <c r="J299" i="21"/>
  <c r="J297" i="21"/>
  <c r="J292" i="21"/>
  <c r="J294" i="21"/>
  <c r="J295" i="21"/>
  <c r="J293" i="21"/>
  <c r="J298" i="21"/>
  <c r="J296" i="21"/>
  <c r="J291" i="21"/>
  <c r="J304" i="21"/>
  <c r="J302" i="21"/>
  <c r="J305" i="21"/>
  <c r="J303" i="21"/>
  <c r="J307" i="21"/>
  <c r="J308" i="21"/>
  <c r="J301" i="21"/>
  <c r="J300" i="21"/>
  <c r="J306" i="21"/>
  <c r="J313" i="21"/>
  <c r="J310" i="21"/>
  <c r="J311" i="21"/>
  <c r="J314" i="21"/>
  <c r="J316" i="21"/>
  <c r="J312" i="21"/>
  <c r="J309" i="21"/>
  <c r="J315" i="21"/>
  <c r="J317" i="21"/>
  <c r="J324" i="21"/>
  <c r="J319" i="21"/>
  <c r="J322" i="21"/>
  <c r="J325" i="21"/>
  <c r="J320" i="21"/>
  <c r="J318" i="21"/>
  <c r="J326" i="21"/>
  <c r="J321" i="21"/>
  <c r="J323" i="21"/>
  <c r="J330" i="21"/>
  <c r="J328" i="21"/>
  <c r="J327" i="21"/>
  <c r="J329" i="21"/>
  <c r="J333" i="21"/>
  <c r="J335" i="21"/>
  <c r="J334" i="21"/>
  <c r="J332" i="21"/>
  <c r="J331" i="21"/>
  <c r="J341" i="21"/>
  <c r="J342" i="21"/>
  <c r="J338" i="21"/>
  <c r="J336" i="21"/>
  <c r="J339" i="21"/>
  <c r="J340" i="21"/>
  <c r="J344" i="21"/>
  <c r="J337" i="21"/>
  <c r="J343" i="21"/>
  <c r="J347" i="21"/>
  <c r="J345" i="21"/>
  <c r="J348" i="21"/>
  <c r="J346" i="21"/>
  <c r="J349" i="21"/>
  <c r="J350" i="21"/>
  <c r="J351" i="21"/>
  <c r="J352" i="21"/>
  <c r="J353" i="21"/>
  <c r="J354" i="21"/>
  <c r="J355" i="21"/>
  <c r="J356" i="21"/>
  <c r="J362" i="21"/>
  <c r="J361" i="21"/>
  <c r="J360" i="21"/>
  <c r="J359" i="21"/>
  <c r="J363" i="21"/>
  <c r="J364" i="21"/>
  <c r="J365" i="21"/>
  <c r="J366" i="21"/>
  <c r="J368" i="21"/>
  <c r="J369" i="21"/>
  <c r="J371" i="21"/>
  <c r="J370" i="21"/>
  <c r="J367" i="21"/>
  <c r="J372" i="21"/>
  <c r="J373" i="21"/>
  <c r="J375" i="21"/>
  <c r="J374" i="21"/>
  <c r="J377" i="21"/>
  <c r="J378" i="21"/>
  <c r="J376" i="21"/>
  <c r="J379" i="21"/>
  <c r="J381" i="21"/>
  <c r="J380" i="21"/>
  <c r="J383" i="21"/>
  <c r="J384" i="21"/>
  <c r="J382" i="21"/>
  <c r="J388" i="21"/>
  <c r="J387" i="21"/>
  <c r="J385" i="21"/>
  <c r="J386" i="21"/>
  <c r="J389" i="21"/>
  <c r="J391" i="21"/>
  <c r="J390" i="21"/>
  <c r="Y179" i="13" a="1"/>
  <c r="Y170" i="13" a="1"/>
  <c r="Y172" i="13" a="1"/>
  <c r="Y178" i="13" a="1"/>
  <c r="Y174" i="13" a="1"/>
  <c r="Y492" i="13" a="1"/>
  <c r="Y177" i="13" a="1"/>
  <c r="Y171" i="13" a="1"/>
  <c r="Y176" i="13" a="1"/>
  <c r="Y173" i="13" a="1"/>
  <c r="Y169" i="13" a="1"/>
  <c r="Y175" i="13" a="1"/>
  <c r="Y35" i="13" a="1"/>
  <c r="Y41" i="13" a="1"/>
  <c r="Y27" i="13" a="1"/>
  <c r="Y2" i="13" a="1"/>
  <c r="Y29" i="13" a="1"/>
  <c r="Y43" i="13" a="1"/>
  <c r="Y12" i="13" a="1"/>
  <c r="Y11" i="13" a="1"/>
  <c r="Y8" i="13" a="1"/>
  <c r="Y13" i="13" a="1"/>
  <c r="Y10" i="13" a="1"/>
  <c r="Y9" i="13" a="1"/>
  <c r="J233" i="21"/>
  <c r="J235" i="21"/>
  <c r="J236" i="21"/>
  <c r="J234" i="21"/>
  <c r="J241" i="21"/>
  <c r="J240" i="21"/>
  <c r="J238" i="21"/>
  <c r="J237" i="21"/>
  <c r="J239" i="21"/>
  <c r="J242" i="21"/>
  <c r="J980" i="21"/>
  <c r="J985" i="21"/>
  <c r="J987" i="21"/>
  <c r="J989" i="21"/>
  <c r="J991" i="21"/>
  <c r="J999" i="21"/>
  <c r="J996" i="21"/>
  <c r="J998" i="21"/>
  <c r="J994" i="21"/>
  <c r="J997" i="21"/>
  <c r="J995" i="21"/>
  <c r="J1004" i="21"/>
  <c r="J1000" i="21"/>
  <c r="J1003" i="21"/>
  <c r="J1002" i="21"/>
  <c r="J1001" i="21"/>
  <c r="J1005" i="21"/>
  <c r="J1008" i="21"/>
  <c r="J1011" i="21"/>
  <c r="J1007" i="21"/>
  <c r="J1006" i="21"/>
  <c r="J1009" i="21"/>
  <c r="J1010" i="21"/>
  <c r="J1013" i="21"/>
  <c r="J1014" i="21"/>
  <c r="J1012" i="21"/>
  <c r="J1016" i="21"/>
  <c r="J1017" i="21"/>
  <c r="J1015" i="21"/>
  <c r="J1018" i="21"/>
  <c r="J1020" i="21"/>
  <c r="J1019" i="21"/>
  <c r="J1022" i="21"/>
  <c r="J1023" i="21"/>
  <c r="J1021" i="21"/>
  <c r="J1028" i="21"/>
  <c r="J1029" i="21"/>
  <c r="J1024" i="21"/>
  <c r="J1027" i="21"/>
  <c r="J1025" i="21"/>
  <c r="J1026" i="21"/>
  <c r="J1030" i="21"/>
  <c r="J1031" i="21"/>
  <c r="J1033" i="21"/>
  <c r="J1032" i="21"/>
  <c r="J1036" i="21"/>
  <c r="J1035" i="21"/>
  <c r="J1034" i="21"/>
  <c r="J1043" i="21"/>
  <c r="J1039" i="21"/>
  <c r="J1042" i="21"/>
  <c r="J1037" i="21"/>
  <c r="J1045" i="21"/>
  <c r="J1044" i="21"/>
  <c r="J1040" i="21"/>
  <c r="J1041" i="21"/>
  <c r="J1038" i="21"/>
  <c r="J1048" i="21"/>
  <c r="J1047" i="21"/>
  <c r="J1046" i="21"/>
  <c r="J1050" i="21"/>
  <c r="J1049" i="21"/>
  <c r="J1053" i="21"/>
  <c r="J1051" i="21"/>
  <c r="J1054" i="21"/>
  <c r="J1055" i="21"/>
  <c r="J1052" i="21"/>
  <c r="J1056" i="21"/>
  <c r="J1060" i="21"/>
  <c r="J1058" i="21"/>
  <c r="J1057" i="21"/>
  <c r="J1059" i="21"/>
  <c r="J1062" i="21"/>
  <c r="J1061" i="21"/>
  <c r="J1065" i="21"/>
  <c r="J1064" i="21"/>
  <c r="J1066" i="21"/>
  <c r="J1067" i="21"/>
  <c r="J1063" i="21"/>
  <c r="J1073" i="21"/>
  <c r="J1070" i="21"/>
  <c r="J1069" i="21"/>
  <c r="J1072" i="21"/>
  <c r="J1068" i="21"/>
  <c r="J1071" i="21"/>
  <c r="J1075" i="21"/>
  <c r="J1074" i="21"/>
  <c r="J1076" i="21"/>
  <c r="J1077" i="21"/>
  <c r="J1078" i="21"/>
  <c r="J1083" i="21"/>
  <c r="J1082" i="21"/>
  <c r="J1079" i="21"/>
  <c r="J1080" i="21"/>
  <c r="J1084" i="21"/>
  <c r="J1081" i="21"/>
  <c r="J1092" i="21"/>
  <c r="J1093" i="21"/>
  <c r="J1090" i="21"/>
  <c r="J1086" i="21"/>
  <c r="J1085" i="21"/>
  <c r="J1091" i="21"/>
  <c r="J1089" i="21"/>
  <c r="J1087" i="21"/>
  <c r="J1088" i="21"/>
  <c r="J1095" i="21"/>
  <c r="J1096" i="21"/>
  <c r="J1098" i="21"/>
  <c r="J1094" i="21"/>
  <c r="J1097" i="21"/>
  <c r="J1102" i="21"/>
  <c r="J1103" i="21"/>
  <c r="J1100" i="21"/>
  <c r="J1099" i="21"/>
  <c r="J1101" i="21"/>
  <c r="J1106" i="21"/>
  <c r="J1107" i="21"/>
  <c r="J1108" i="21"/>
  <c r="J1104" i="21"/>
  <c r="J1105" i="21"/>
  <c r="J1109" i="21"/>
  <c r="J1114" i="21"/>
  <c r="J1111" i="21"/>
  <c r="J1113" i="21"/>
  <c r="J1112" i="21"/>
  <c r="J1110" i="21"/>
  <c r="J1116" i="21"/>
  <c r="J1115" i="21"/>
  <c r="J1118" i="21"/>
  <c r="J1117" i="21"/>
  <c r="J1119" i="21"/>
  <c r="J1123" i="21"/>
  <c r="J1124" i="21"/>
  <c r="J1121" i="21"/>
  <c r="J1120" i="21"/>
  <c r="J1122" i="21"/>
  <c r="J1127" i="21"/>
  <c r="J1129" i="21"/>
  <c r="J1128" i="21"/>
  <c r="J1126" i="21"/>
  <c r="J1125" i="21"/>
  <c r="J1130" i="21"/>
  <c r="J1135" i="21"/>
  <c r="J1133" i="21"/>
  <c r="J1134" i="21"/>
  <c r="J1136" i="21"/>
  <c r="J1132" i="21"/>
  <c r="J1131" i="21"/>
  <c r="J1140" i="21"/>
  <c r="J1139" i="21"/>
  <c r="J1142" i="21"/>
  <c r="J1143" i="21"/>
  <c r="J1145" i="21"/>
  <c r="J1137" i="21"/>
  <c r="J1141" i="21"/>
  <c r="J1144" i="21"/>
  <c r="J1138" i="21"/>
  <c r="J1150" i="21"/>
  <c r="J1149" i="21"/>
  <c r="J1146" i="21"/>
  <c r="J1148" i="21"/>
  <c r="J1147" i="21"/>
  <c r="J1155" i="21"/>
  <c r="J1154" i="21"/>
  <c r="J1152" i="21"/>
  <c r="J1151" i="21"/>
  <c r="J1153" i="21"/>
  <c r="J1156" i="21"/>
  <c r="J1158" i="21"/>
  <c r="J1160" i="21"/>
  <c r="J1159" i="21"/>
  <c r="J1157" i="21"/>
  <c r="J1165" i="21"/>
  <c r="J1161" i="21"/>
  <c r="J1162" i="21"/>
  <c r="J1166" i="21"/>
  <c r="J1163" i="21"/>
  <c r="J1164" i="21"/>
  <c r="J1169" i="21"/>
  <c r="J1170" i="21"/>
  <c r="J1171" i="21"/>
  <c r="J1167" i="21"/>
  <c r="J1168" i="21"/>
  <c r="J1172" i="21"/>
  <c r="J1176" i="21"/>
  <c r="J1175" i="21"/>
  <c r="J1173" i="21"/>
  <c r="J1177" i="21"/>
  <c r="J1174" i="21"/>
  <c r="J1181" i="21"/>
  <c r="J1180" i="21"/>
  <c r="J1178" i="21"/>
  <c r="J1183" i="21"/>
  <c r="J1179" i="21"/>
  <c r="J1182" i="21"/>
  <c r="J1188" i="21"/>
  <c r="J1184" i="21"/>
  <c r="J1189" i="21"/>
  <c r="J1185" i="21"/>
  <c r="J1187" i="21"/>
  <c r="J1186" i="21"/>
  <c r="J1191" i="21"/>
  <c r="J1198" i="21"/>
  <c r="J1195" i="21"/>
  <c r="J1192" i="21"/>
  <c r="J1190" i="21"/>
  <c r="J1194" i="21"/>
  <c r="J1196" i="21"/>
  <c r="J1197" i="21"/>
  <c r="J1193" i="21"/>
  <c r="J1202" i="21"/>
  <c r="J1201" i="21"/>
  <c r="J1204" i="21"/>
  <c r="J1200" i="21"/>
  <c r="J1199" i="21"/>
  <c r="J1205" i="21"/>
  <c r="J1203" i="21"/>
  <c r="J1208" i="21"/>
  <c r="J1209" i="21"/>
  <c r="J1206" i="21"/>
  <c r="J1207" i="21"/>
  <c r="J1211" i="21"/>
  <c r="J1210" i="21"/>
  <c r="J1212" i="21"/>
  <c r="J1215" i="21"/>
  <c r="J1214" i="21"/>
  <c r="J1216" i="21"/>
  <c r="J1213" i="21"/>
  <c r="J1223" i="21"/>
  <c r="J1220" i="21"/>
  <c r="J1217" i="21"/>
  <c r="J1221" i="21"/>
  <c r="J1218" i="21"/>
  <c r="J1222" i="21"/>
  <c r="J1219" i="21"/>
  <c r="J1225" i="21"/>
  <c r="J1224" i="21"/>
  <c r="J1228" i="21"/>
  <c r="J1227" i="21"/>
  <c r="J1226" i="21"/>
  <c r="J1232" i="21"/>
  <c r="J1230" i="21"/>
  <c r="J1233" i="21"/>
  <c r="J1229" i="21"/>
  <c r="J1231" i="21"/>
  <c r="J1234" i="21"/>
  <c r="J1239" i="21"/>
  <c r="J1238" i="21"/>
  <c r="J1237" i="21"/>
  <c r="J1235" i="21"/>
  <c r="J1236" i="21"/>
  <c r="J1240" i="21"/>
  <c r="J1241" i="21"/>
  <c r="J1244" i="21"/>
  <c r="J1243" i="21"/>
  <c r="J1242" i="21"/>
  <c r="J1245" i="21"/>
  <c r="J1249" i="21"/>
  <c r="J1248" i="21"/>
  <c r="J1247" i="21"/>
  <c r="J1246" i="21"/>
  <c r="J1250" i="21"/>
  <c r="J1253" i="21"/>
  <c r="J1255" i="21"/>
  <c r="J1251" i="21"/>
  <c r="J1252" i="21"/>
  <c r="J1256" i="21"/>
  <c r="J1254" i="21"/>
  <c r="J1258" i="21"/>
  <c r="J1261" i="21"/>
  <c r="J1257" i="21"/>
  <c r="J1259" i="21"/>
  <c r="J1260" i="21"/>
  <c r="J1262" i="21"/>
  <c r="J1266" i="21"/>
  <c r="J1265" i="21"/>
  <c r="J1263" i="21"/>
  <c r="J1264" i="21"/>
  <c r="J1267" i="21"/>
  <c r="J1271" i="21"/>
  <c r="J1268" i="21"/>
  <c r="J1269" i="21"/>
  <c r="J1270" i="21"/>
  <c r="J1276" i="21"/>
  <c r="J1272" i="21"/>
  <c r="J1275" i="21"/>
  <c r="J1273" i="21"/>
  <c r="J1274" i="21"/>
  <c r="J1278" i="21"/>
  <c r="J1281" i="21"/>
  <c r="J1280" i="21"/>
  <c r="J1279" i="21"/>
  <c r="J1277" i="21"/>
  <c r="J1282" i="21"/>
  <c r="J1287" i="21"/>
  <c r="J1292" i="21"/>
  <c r="J1286" i="21"/>
  <c r="J1289" i="21"/>
  <c r="J1285" i="21"/>
  <c r="J1290" i="21"/>
  <c r="J1283" i="21"/>
  <c r="J1293" i="21"/>
  <c r="J1284" i="21"/>
  <c r="J1291" i="21"/>
  <c r="J1294" i="21"/>
  <c r="J1288" i="21"/>
  <c r="J1296" i="21"/>
  <c r="J1302" i="21"/>
  <c r="J1301" i="21"/>
  <c r="J1295" i="21"/>
  <c r="J1303" i="21"/>
  <c r="J1304" i="21"/>
  <c r="J1298" i="21"/>
  <c r="J1300" i="21"/>
  <c r="J1305" i="21"/>
  <c r="J1297" i="21"/>
  <c r="J1306" i="21"/>
  <c r="J1299" i="21"/>
  <c r="J1307" i="21"/>
  <c r="J1311" i="21"/>
  <c r="J1318" i="21"/>
  <c r="J1312" i="21"/>
  <c r="J1317" i="21"/>
  <c r="J1310" i="21"/>
  <c r="J1314" i="21"/>
  <c r="J1308" i="21"/>
  <c r="J1315" i="21"/>
  <c r="J1309" i="21"/>
  <c r="J1316" i="21"/>
  <c r="J1313" i="21"/>
  <c r="J1320" i="21"/>
  <c r="J1319" i="21"/>
  <c r="J1321" i="21"/>
  <c r="J1323" i="21"/>
  <c r="J1327" i="21"/>
  <c r="J1322" i="21"/>
  <c r="J1326" i="21"/>
  <c r="J1329" i="21"/>
  <c r="J1330" i="21"/>
  <c r="J1324" i="21"/>
  <c r="J1325" i="21"/>
  <c r="J1328" i="21"/>
  <c r="J1336" i="21"/>
  <c r="J1339" i="21"/>
  <c r="J1335" i="21"/>
  <c r="J1334" i="21"/>
  <c r="J1333" i="21"/>
  <c r="J1338" i="21"/>
  <c r="J1331" i="21"/>
  <c r="J1337" i="21"/>
  <c r="J1332" i="21"/>
  <c r="J1344" i="21"/>
  <c r="J1341" i="21"/>
  <c r="J1343" i="21"/>
  <c r="J1342" i="21"/>
  <c r="J1345" i="21"/>
  <c r="J1348" i="21"/>
  <c r="J1347" i="21"/>
  <c r="J1346" i="21"/>
  <c r="J1340" i="21"/>
  <c r="J1352" i="21"/>
  <c r="J1354" i="21"/>
  <c r="J1353" i="21"/>
  <c r="J1356" i="21"/>
  <c r="J1349" i="21"/>
  <c r="J1355" i="21"/>
  <c r="J1357" i="21"/>
  <c r="J1351" i="21"/>
  <c r="J1350" i="21"/>
  <c r="J1362" i="21"/>
  <c r="J1365" i="21"/>
  <c r="J1363" i="21"/>
  <c r="J1359" i="21"/>
  <c r="J1366" i="21"/>
  <c r="J1361" i="21"/>
  <c r="J1358" i="21"/>
  <c r="J1360" i="21"/>
  <c r="J1364" i="21"/>
  <c r="J1372" i="21"/>
  <c r="J1371" i="21"/>
  <c r="J1376" i="21"/>
  <c r="J1374" i="21"/>
  <c r="J1367" i="21"/>
  <c r="J1375" i="21"/>
  <c r="J1369" i="21"/>
  <c r="J1373" i="21"/>
  <c r="J1370" i="21"/>
  <c r="J1368" i="21"/>
  <c r="J1383" i="21"/>
  <c r="J1382" i="21"/>
  <c r="J1378" i="21"/>
  <c r="J1384" i="21"/>
  <c r="J1386" i="21"/>
  <c r="J1381" i="21"/>
  <c r="J1385" i="21"/>
  <c r="J1380" i="21"/>
  <c r="J1377" i="21"/>
  <c r="J1379" i="21"/>
  <c r="J1388" i="21"/>
  <c r="J1387" i="21"/>
  <c r="J1389" i="21"/>
  <c r="J1393" i="21"/>
  <c r="J1392" i="21"/>
  <c r="J1391" i="21"/>
  <c r="J1390" i="21"/>
  <c r="J1394" i="21"/>
  <c r="J1395" i="21"/>
  <c r="J1397" i="21"/>
  <c r="J1396" i="21"/>
  <c r="J1398" i="21"/>
  <c r="J1400" i="21"/>
  <c r="J1401" i="21"/>
  <c r="J1399" i="21"/>
  <c r="J1403" i="21"/>
  <c r="J1406" i="21"/>
  <c r="J1407" i="21"/>
  <c r="J1402" i="21"/>
  <c r="J1405" i="21"/>
  <c r="J1404" i="21"/>
  <c r="J1411" i="21"/>
  <c r="J1412" i="21"/>
  <c r="J1409" i="21"/>
  <c r="J1408" i="21"/>
  <c r="J1413" i="21"/>
  <c r="J1410" i="21"/>
  <c r="J1418" i="21"/>
  <c r="J1417" i="21"/>
  <c r="J1415" i="21"/>
  <c r="J1419" i="21"/>
  <c r="J1414" i="21"/>
  <c r="J1416" i="21"/>
  <c r="J1422" i="21"/>
  <c r="J1421" i="21"/>
  <c r="J1420" i="21"/>
  <c r="J1425" i="21"/>
  <c r="J1423" i="21"/>
  <c r="J1424" i="21"/>
  <c r="J1426" i="21"/>
  <c r="J1428" i="21"/>
  <c r="J1427" i="21"/>
  <c r="J1431" i="21"/>
  <c r="J1429" i="21"/>
  <c r="J1430" i="21"/>
  <c r="J1434" i="21"/>
  <c r="J1433" i="21"/>
  <c r="J1432" i="21"/>
  <c r="J1438" i="21"/>
  <c r="J1439" i="21"/>
  <c r="J1435" i="21"/>
  <c r="J1436" i="21"/>
  <c r="J1437" i="21"/>
  <c r="J1441" i="21"/>
  <c r="J1444" i="21"/>
  <c r="J1442" i="21"/>
  <c r="J1440" i="21"/>
  <c r="J1443" i="21"/>
  <c r="J1447" i="21"/>
  <c r="J1445" i="21"/>
  <c r="J1446" i="21"/>
  <c r="J1449" i="21"/>
  <c r="J1448" i="21"/>
  <c r="J1452" i="21"/>
  <c r="J1453" i="21"/>
  <c r="J1451" i="21"/>
  <c r="J1450" i="21"/>
  <c r="J1454" i="21"/>
  <c r="J1457" i="21"/>
  <c r="J1456" i="21"/>
  <c r="J1459" i="21"/>
  <c r="J1455" i="21"/>
  <c r="J1458" i="21"/>
  <c r="J1462" i="21"/>
  <c r="J1461" i="21"/>
  <c r="J1460" i="21"/>
  <c r="J1463" i="21"/>
  <c r="J1464" i="21"/>
  <c r="J1465" i="21"/>
  <c r="J1467" i="21"/>
  <c r="J1466" i="21"/>
  <c r="J1468" i="21"/>
  <c r="J1469" i="21"/>
  <c r="J1470" i="21"/>
  <c r="J1471" i="21"/>
  <c r="J1473" i="21"/>
  <c r="J1472" i="21"/>
  <c r="J1474" i="21"/>
  <c r="J1476" i="21"/>
  <c r="J1477" i="21"/>
  <c r="J1475" i="21"/>
  <c r="J1479" i="21"/>
  <c r="J1478" i="21"/>
  <c r="J1480" i="21"/>
  <c r="J1483" i="21"/>
  <c r="J1493" i="21"/>
  <c r="J1490" i="21"/>
  <c r="J1488" i="21"/>
  <c r="J1487" i="21"/>
  <c r="J1491" i="21"/>
  <c r="J1486" i="21"/>
  <c r="J1489" i="21"/>
  <c r="J1492" i="21"/>
  <c r="J1485" i="21"/>
  <c r="J1484" i="21"/>
  <c r="J1482" i="21"/>
  <c r="J1499" i="21"/>
  <c r="J1495" i="21"/>
  <c r="J1496" i="21"/>
  <c r="J1502" i="21"/>
  <c r="J1498" i="21"/>
  <c r="J1503" i="21"/>
  <c r="J1505" i="21"/>
  <c r="J1501" i="21"/>
  <c r="J1494" i="21"/>
  <c r="J1504" i="21"/>
  <c r="J1500" i="21"/>
  <c r="J1497" i="21"/>
  <c r="J1510" i="21"/>
  <c r="J1512" i="21"/>
  <c r="J1509" i="21"/>
  <c r="J1514" i="21"/>
  <c r="J1517" i="21"/>
  <c r="J1507" i="21"/>
  <c r="J1513" i="21"/>
  <c r="J1516" i="21"/>
  <c r="J1506" i="21"/>
  <c r="J1515" i="21"/>
  <c r="J1511" i="21"/>
  <c r="J1508" i="21"/>
  <c r="J1524" i="21"/>
  <c r="J1522" i="21"/>
  <c r="J1519" i="21"/>
  <c r="J1526" i="21"/>
  <c r="J1529" i="21"/>
  <c r="J1525" i="21"/>
  <c r="J1520" i="21"/>
  <c r="J1528" i="21"/>
  <c r="J1527" i="21"/>
  <c r="J1521" i="21"/>
  <c r="J1518" i="21"/>
  <c r="J1523" i="21"/>
  <c r="J1538" i="21"/>
  <c r="J1532" i="21"/>
  <c r="J1535" i="21"/>
  <c r="J1537" i="21"/>
  <c r="J1539" i="21"/>
  <c r="J1541" i="21"/>
  <c r="J1530" i="21"/>
  <c r="J1534" i="21"/>
  <c r="J1540" i="21"/>
  <c r="J1536" i="21"/>
  <c r="J1533" i="21"/>
  <c r="J1531" i="21"/>
  <c r="J1545" i="21"/>
  <c r="J1546" i="21"/>
  <c r="J1542" i="21"/>
  <c r="J1543" i="21"/>
  <c r="J1544" i="21"/>
  <c r="J1548" i="21"/>
  <c r="J1549" i="21"/>
  <c r="J1551" i="21"/>
  <c r="J1552" i="21"/>
  <c r="J1547" i="21"/>
  <c r="J1550" i="21"/>
  <c r="J1558" i="21"/>
  <c r="J1555" i="21"/>
  <c r="J1556" i="21"/>
  <c r="J1553" i="21"/>
  <c r="J1557" i="21"/>
  <c r="J1554" i="21"/>
  <c r="J1564" i="21"/>
  <c r="J1560" i="21"/>
  <c r="J1565" i="21"/>
  <c r="J1561" i="21"/>
  <c r="J1562" i="21"/>
  <c r="J1559" i="21"/>
  <c r="J1566" i="21"/>
  <c r="J1563" i="21"/>
  <c r="J1568" i="21"/>
  <c r="J1573" i="21"/>
  <c r="J1570" i="21"/>
  <c r="J1567" i="21"/>
  <c r="J1572" i="21"/>
  <c r="J1574" i="21"/>
  <c r="J1571" i="21"/>
  <c r="J1569" i="21"/>
  <c r="J1584" i="21"/>
  <c r="J1575" i="21"/>
  <c r="J1578" i="21"/>
  <c r="J1585" i="21"/>
  <c r="J1576" i="21"/>
  <c r="J1579" i="21"/>
  <c r="J1582" i="21"/>
  <c r="J1581" i="21"/>
  <c r="J1580" i="21"/>
  <c r="J1583" i="21"/>
  <c r="J1586" i="21"/>
  <c r="J1577" i="21"/>
  <c r="J1587" i="21"/>
  <c r="J1598" i="21"/>
  <c r="J1590" i="21"/>
  <c r="J1594" i="21"/>
  <c r="J1597" i="21"/>
  <c r="J1593" i="21"/>
  <c r="J1589" i="21"/>
  <c r="J1588" i="21"/>
  <c r="J1595" i="21"/>
  <c r="J1592" i="21"/>
  <c r="J1596" i="21"/>
  <c r="J1591" i="21"/>
  <c r="J1610" i="21"/>
  <c r="J1601" i="21"/>
  <c r="J1603" i="21"/>
  <c r="J1608" i="21"/>
  <c r="J1599" i="21"/>
  <c r="J1609" i="21"/>
  <c r="J1602" i="21"/>
  <c r="J1606" i="21"/>
  <c r="J1600" i="21"/>
  <c r="J1607" i="21"/>
  <c r="J1604" i="21"/>
  <c r="J1605" i="21"/>
  <c r="J1617" i="21"/>
  <c r="J1621" i="21"/>
  <c r="J1619" i="21"/>
  <c r="J1615" i="21"/>
  <c r="J1618" i="21"/>
  <c r="J1620" i="21"/>
  <c r="J1614" i="21"/>
  <c r="J1611" i="21"/>
  <c r="J1613" i="21"/>
  <c r="J1622" i="21"/>
  <c r="J1612" i="21"/>
  <c r="J1616" i="21"/>
  <c r="J1629" i="21"/>
  <c r="J1632" i="21"/>
  <c r="J1633" i="21"/>
  <c r="J1631" i="21"/>
  <c r="J1627" i="21"/>
  <c r="J1626" i="21"/>
  <c r="J1630" i="21"/>
  <c r="J1634" i="21"/>
  <c r="J1625" i="21"/>
  <c r="J1623" i="21"/>
  <c r="J1628" i="21"/>
  <c r="J1624" i="21"/>
  <c r="J1637" i="21"/>
  <c r="J1635" i="21"/>
  <c r="J1636" i="21"/>
  <c r="J1638" i="21"/>
  <c r="J1639" i="21"/>
  <c r="J1640" i="21"/>
  <c r="J1641" i="21"/>
  <c r="J1642" i="21"/>
  <c r="J1645" i="21"/>
  <c r="J1646" i="21"/>
  <c r="J1643" i="21"/>
  <c r="J1644" i="21"/>
  <c r="J1648" i="21"/>
  <c r="J1649" i="21"/>
  <c r="J1650" i="21"/>
  <c r="J1647" i="21"/>
  <c r="J1651" i="21"/>
  <c r="J1654" i="21"/>
  <c r="J1652" i="21"/>
  <c r="J1653" i="21"/>
  <c r="J1656" i="21"/>
  <c r="J1657" i="21"/>
  <c r="J1658" i="21"/>
  <c r="J1655" i="21"/>
  <c r="J1659" i="21"/>
  <c r="J1660" i="21"/>
  <c r="J1662" i="21"/>
  <c r="J1661" i="21"/>
  <c r="J1663" i="21"/>
  <c r="J1664" i="21"/>
  <c r="J1665" i="21"/>
  <c r="J1666" i="21"/>
  <c r="J1667" i="21"/>
  <c r="J1669" i="21"/>
  <c r="J1668" i="21"/>
  <c r="J1670" i="21"/>
  <c r="J1674" i="21"/>
  <c r="J1673" i="21"/>
  <c r="J1671" i="21"/>
  <c r="J1672" i="21"/>
  <c r="J1677" i="21"/>
  <c r="J1676" i="21"/>
  <c r="J1675" i="21"/>
  <c r="J1683" i="21"/>
  <c r="J1680" i="21"/>
  <c r="J1685" i="21"/>
  <c r="J1679" i="21"/>
  <c r="J1684" i="21"/>
  <c r="J1681" i="21"/>
  <c r="J1687" i="21"/>
  <c r="J1682" i="21"/>
  <c r="J1686" i="21"/>
  <c r="J1692" i="21"/>
  <c r="J1688" i="21"/>
  <c r="J1691" i="21"/>
  <c r="J1689" i="21"/>
  <c r="J1690" i="21"/>
  <c r="J1694" i="21"/>
  <c r="J1695" i="21"/>
  <c r="J1693" i="21"/>
  <c r="J1703" i="21"/>
  <c r="J1698" i="21"/>
  <c r="J1697" i="21"/>
  <c r="J1701" i="21"/>
  <c r="J1702" i="21"/>
  <c r="J1700" i="21"/>
  <c r="J1699" i="21"/>
  <c r="I263" i="13" a="1"/>
  <c r="J263" i="13" s="1"/>
  <c r="I67" i="13" a="1"/>
  <c r="J67" i="13" s="1"/>
  <c r="M88" i="13" a="1"/>
  <c r="I88" i="13" a="1"/>
  <c r="J88" i="13" s="1"/>
  <c r="G102" i="29"/>
  <c r="G53" i="29"/>
  <c r="Z343" i="13"/>
  <c r="Z521" i="13"/>
  <c r="Z523" i="13"/>
  <c r="Z527" i="13"/>
  <c r="Z530" i="13"/>
  <c r="Z534" i="13"/>
  <c r="Z537" i="13"/>
  <c r="Z540" i="13"/>
  <c r="Z542" i="13"/>
  <c r="Z545" i="13"/>
  <c r="Z555" i="13"/>
  <c r="Z580" i="13"/>
  <c r="Z585" i="13"/>
  <c r="Z591" i="13"/>
  <c r="Z594" i="13"/>
  <c r="Z599" i="13"/>
  <c r="Z602" i="13"/>
  <c r="Z604" i="13"/>
  <c r="Z329" i="13"/>
  <c r="Z337" i="13"/>
  <c r="Z345" i="13"/>
  <c r="Z347" i="13"/>
  <c r="Z355" i="13"/>
  <c r="Z519" i="13"/>
  <c r="Z525" i="13"/>
  <c r="Z528" i="13"/>
  <c r="Z563" i="13"/>
  <c r="Z566" i="13"/>
  <c r="Z570" i="13"/>
  <c r="Z572" i="13"/>
  <c r="Z577" i="13"/>
  <c r="Z582" i="13"/>
  <c r="Z588" i="13"/>
  <c r="Z595" i="13"/>
  <c r="Z598" i="13"/>
  <c r="Z603" i="13"/>
  <c r="Z321" i="13"/>
  <c r="Z323" i="13"/>
  <c r="Z325" i="13"/>
  <c r="Z367" i="13"/>
  <c r="Z522" i="13"/>
  <c r="Z526" i="13"/>
  <c r="Z536" i="13"/>
  <c r="Z539" i="13"/>
  <c r="Z541" i="13"/>
  <c r="Z544" i="13"/>
  <c r="Z547" i="13"/>
  <c r="Z553" i="13"/>
  <c r="Z556" i="13"/>
  <c r="Z562" i="13"/>
  <c r="Z565" i="13"/>
  <c r="Z568" i="13"/>
  <c r="Z573" i="13"/>
  <c r="Z581" i="13"/>
  <c r="Z589" i="13"/>
  <c r="Z592" i="13"/>
  <c r="Z597" i="13"/>
  <c r="Z600" i="13"/>
  <c r="Z605" i="13"/>
  <c r="Z315" i="13"/>
  <c r="Z333" i="13"/>
  <c r="Z339" i="13"/>
  <c r="Z359" i="13"/>
  <c r="Z361" i="13"/>
  <c r="Z365" i="13"/>
  <c r="Z520" i="13"/>
  <c r="Z524" i="13"/>
  <c r="Z529" i="13"/>
  <c r="Z533" i="13"/>
  <c r="Z538" i="13"/>
  <c r="Z543" i="13"/>
  <c r="Z546" i="13"/>
  <c r="Z551" i="13"/>
  <c r="Z554" i="13"/>
  <c r="Z557" i="13"/>
  <c r="Z561" i="13"/>
  <c r="Z564" i="13"/>
  <c r="Z567" i="13"/>
  <c r="Z569" i="13"/>
  <c r="Z571" i="13"/>
  <c r="Z576" i="13"/>
  <c r="Z590" i="13"/>
  <c r="Z593" i="13"/>
  <c r="Z596" i="13"/>
  <c r="Z601" i="13"/>
  <c r="L440" i="18"/>
  <c r="L441" i="18"/>
  <c r="I281" i="13" a="1"/>
  <c r="J281" i="13" s="1"/>
  <c r="Z327" i="13"/>
  <c r="Z578" i="13"/>
  <c r="Z587" i="13"/>
  <c r="Z611" i="13"/>
  <c r="Z54" i="13"/>
  <c r="Z57" i="13"/>
  <c r="Z62" i="13"/>
  <c r="Z65" i="13"/>
  <c r="Z69" i="13"/>
  <c r="Z72" i="13"/>
  <c r="Z76" i="13"/>
  <c r="Z78" i="13"/>
  <c r="Z80" i="13"/>
  <c r="Z83" i="13"/>
  <c r="Z87" i="13"/>
  <c r="Z104" i="13"/>
  <c r="Z108" i="13"/>
  <c r="Z110" i="13"/>
  <c r="Z113" i="13"/>
  <c r="Z117" i="13"/>
  <c r="Z119" i="13"/>
  <c r="Z127" i="13"/>
  <c r="Z129" i="13"/>
  <c r="Z134" i="13"/>
  <c r="Z149" i="13"/>
  <c r="Z152" i="13"/>
  <c r="Z154" i="13"/>
  <c r="Z156" i="13"/>
  <c r="Z157" i="13"/>
  <c r="Z159" i="13"/>
  <c r="Z161" i="13"/>
  <c r="Z165" i="13"/>
  <c r="Z168" i="13"/>
  <c r="Z170" i="13"/>
  <c r="Z172" i="13"/>
  <c r="Z175" i="13"/>
  <c r="Z177" i="13"/>
  <c r="Z179" i="13"/>
  <c r="Z181" i="13"/>
  <c r="Z183" i="13"/>
  <c r="Z185" i="13"/>
  <c r="Z187" i="13"/>
  <c r="Z189" i="13"/>
  <c r="Z191" i="13"/>
  <c r="Z193" i="13"/>
  <c r="Z195" i="13"/>
  <c r="Z197" i="13"/>
  <c r="Z200" i="13"/>
  <c r="Z202" i="13"/>
  <c r="Z204" i="13"/>
  <c r="Z207" i="13"/>
  <c r="Z209" i="13"/>
  <c r="Z211" i="13"/>
  <c r="Z213" i="13"/>
  <c r="Z214" i="13"/>
  <c r="Z216" i="13"/>
  <c r="Z218" i="13"/>
  <c r="Z222" i="13"/>
  <c r="Z225" i="13"/>
  <c r="Z227" i="13"/>
  <c r="Z229" i="13"/>
  <c r="Z231" i="13"/>
  <c r="Z233" i="13"/>
  <c r="Z235" i="13"/>
  <c r="Z237" i="13"/>
  <c r="Z239" i="13"/>
  <c r="Z243" i="13"/>
  <c r="Z246" i="13"/>
  <c r="Z249" i="13"/>
  <c r="Z3" i="13"/>
  <c r="Z6" i="13"/>
  <c r="Z7" i="13"/>
  <c r="Z8" i="13"/>
  <c r="Z9" i="13"/>
  <c r="Z10" i="13"/>
  <c r="Z12" i="13"/>
  <c r="Z13" i="13"/>
  <c r="Z16" i="13"/>
  <c r="Z17" i="13"/>
  <c r="Z18" i="13"/>
  <c r="Z19" i="13"/>
  <c r="Z20" i="13"/>
  <c r="Z21" i="13"/>
  <c r="Z23" i="13"/>
  <c r="Z31" i="13"/>
  <c r="Z33" i="13"/>
  <c r="Z34" i="13"/>
  <c r="Z35" i="13"/>
  <c r="Z36" i="13"/>
  <c r="Z37" i="13"/>
  <c r="Z40" i="13"/>
  <c r="Z48" i="13"/>
  <c r="Z51" i="13"/>
  <c r="Z52" i="13"/>
  <c r="Z55" i="13"/>
  <c r="Z56" i="13"/>
  <c r="Z58" i="13"/>
  <c r="Z60" i="13"/>
  <c r="Z63" i="13"/>
  <c r="Z64" i="13"/>
  <c r="Z70" i="13"/>
  <c r="Z73" i="13"/>
  <c r="Z75" i="13"/>
  <c r="Z79" i="13"/>
  <c r="Z81" i="13"/>
  <c r="Z82" i="13"/>
  <c r="Z88" i="13"/>
  <c r="Z95" i="13"/>
  <c r="Z96" i="13"/>
  <c r="Z99" i="13"/>
  <c r="Z100" i="13"/>
  <c r="Z105" i="13"/>
  <c r="Z111" i="13"/>
  <c r="Z116" i="13"/>
  <c r="Z118" i="13"/>
  <c r="Z120" i="13"/>
  <c r="Z126" i="13"/>
  <c r="Z128" i="13"/>
  <c r="Z131" i="13"/>
  <c r="Z133" i="13"/>
  <c r="Z135" i="13"/>
  <c r="Z137" i="13"/>
  <c r="Z138" i="13"/>
  <c r="Z139" i="13"/>
  <c r="Z140" i="13"/>
  <c r="Z141" i="13"/>
  <c r="Z142" i="13"/>
  <c r="Z143" i="13"/>
  <c r="Z144" i="13"/>
  <c r="Z147" i="13"/>
  <c r="Z148" i="13"/>
  <c r="Z150" i="13"/>
  <c r="Z151" i="13"/>
  <c r="Z153" i="13"/>
  <c r="Z155" i="13"/>
  <c r="Z158" i="13"/>
  <c r="Z160" i="13"/>
  <c r="Z162" i="13"/>
  <c r="Z164" i="13"/>
  <c r="Z166" i="13"/>
  <c r="Z167" i="13"/>
  <c r="Z169" i="13"/>
  <c r="Z171" i="13"/>
  <c r="Z173" i="13"/>
  <c r="Z174" i="13"/>
  <c r="Z176" i="13"/>
  <c r="Z178" i="13"/>
  <c r="Z180" i="13"/>
  <c r="Z182" i="13"/>
  <c r="Z184" i="13"/>
  <c r="Z186" i="13"/>
  <c r="Z188" i="13"/>
  <c r="Z190" i="13"/>
  <c r="Z192" i="13"/>
  <c r="Z194" i="13"/>
  <c r="Z196" i="13"/>
  <c r="Z198" i="13"/>
  <c r="Z199" i="13"/>
  <c r="Z201" i="13"/>
  <c r="Z203" i="13"/>
  <c r="Z205" i="13"/>
  <c r="Z206" i="13"/>
  <c r="Z208" i="13"/>
  <c r="Z210" i="13"/>
  <c r="Z212" i="13"/>
  <c r="Z215" i="13"/>
  <c r="Z217" i="13"/>
  <c r="Z219" i="13"/>
  <c r="Z221" i="13"/>
  <c r="Z223" i="13"/>
  <c r="Z224" i="13"/>
  <c r="Z226" i="13"/>
  <c r="Z228" i="13"/>
  <c r="Z230" i="13"/>
  <c r="Z232" i="13"/>
  <c r="Z234" i="13"/>
  <c r="Z236" i="13"/>
  <c r="Z244" i="13"/>
  <c r="Z247" i="13"/>
  <c r="Z248" i="13"/>
  <c r="Z285" i="13"/>
  <c r="L550" i="18"/>
  <c r="L552" i="18"/>
  <c r="L451" i="18"/>
  <c r="L442" i="18"/>
  <c r="L432" i="18"/>
  <c r="L430" i="18"/>
  <c r="L425" i="18"/>
  <c r="L491" i="18"/>
  <c r="L500" i="18"/>
  <c r="L504" i="18"/>
  <c r="L506" i="18"/>
  <c r="L510" i="18"/>
  <c r="L512" i="18"/>
  <c r="L515" i="18"/>
  <c r="L517" i="18"/>
  <c r="L520" i="18"/>
  <c r="L522" i="18"/>
  <c r="L525" i="18"/>
  <c r="L527" i="18"/>
  <c r="L528" i="18"/>
  <c r="L529" i="18"/>
  <c r="L437" i="18"/>
  <c r="L531" i="18"/>
  <c r="L534" i="18"/>
  <c r="L541" i="18"/>
  <c r="L547" i="18"/>
  <c r="L416" i="18"/>
  <c r="L418" i="18"/>
  <c r="L420" i="18"/>
  <c r="L429" i="18"/>
  <c r="L431" i="18"/>
  <c r="L435" i="18"/>
  <c r="L438" i="18"/>
  <c r="L443" i="18"/>
  <c r="L448" i="18"/>
  <c r="L457" i="18"/>
  <c r="L468" i="18"/>
  <c r="L474" i="18"/>
  <c r="L481" i="18"/>
  <c r="L487" i="18"/>
  <c r="L495" i="18"/>
  <c r="L509" i="18"/>
  <c r="L511" i="18"/>
  <c r="L714" i="18"/>
  <c r="L667" i="18"/>
  <c r="I14" i="13" a="1"/>
  <c r="J14" i="13" s="1"/>
  <c r="I280" i="13" a="1"/>
  <c r="J280" i="13" s="1"/>
  <c r="M14" i="13" a="1"/>
  <c r="M25" i="13" a="1"/>
  <c r="I25" i="13" a="1"/>
  <c r="J25" i="13" s="1"/>
  <c r="M42" i="13" a="1"/>
  <c r="I42" i="13" a="1"/>
  <c r="J42" i="13" s="1"/>
  <c r="Z123" i="13"/>
  <c r="M156" i="13" a="1"/>
  <c r="I156" i="13" a="1"/>
  <c r="J156" i="13" s="1"/>
  <c r="Z132" i="13"/>
  <c r="I257" i="13" a="1"/>
  <c r="J257" i="13" s="1"/>
  <c r="Z531" i="13"/>
  <c r="Z532" i="13"/>
  <c r="H32" i="29"/>
  <c r="H29" i="29"/>
  <c r="H37" i="29"/>
  <c r="H36" i="29"/>
  <c r="H31" i="29"/>
  <c r="H35" i="29"/>
  <c r="H34" i="29"/>
  <c r="H33" i="29"/>
  <c r="H28" i="29"/>
  <c r="H30" i="29"/>
  <c r="C135" i="29"/>
  <c r="C131" i="29"/>
  <c r="C134" i="29"/>
  <c r="C132" i="29"/>
  <c r="H59" i="29"/>
  <c r="H58" i="29"/>
  <c r="H57" i="29"/>
  <c r="H56" i="29"/>
  <c r="H55" i="29"/>
  <c r="H54" i="29"/>
  <c r="H61" i="29"/>
  <c r="H60" i="29"/>
  <c r="H62" i="29"/>
  <c r="H64" i="29"/>
  <c r="H65" i="29"/>
  <c r="H67" i="29"/>
  <c r="H69" i="29"/>
  <c r="H68" i="29"/>
  <c r="H70" i="29"/>
  <c r="H6" i="29"/>
  <c r="H5" i="29"/>
  <c r="H4" i="29"/>
  <c r="H7" i="29"/>
  <c r="H8" i="29"/>
  <c r="H9" i="29"/>
  <c r="H142" i="29"/>
  <c r="H10" i="29"/>
  <c r="H11" i="29"/>
  <c r="H14" i="29"/>
  <c r="H13" i="29"/>
  <c r="H12" i="29"/>
  <c r="H15" i="29"/>
  <c r="H18" i="29"/>
  <c r="H24" i="29"/>
  <c r="H25" i="29"/>
  <c r="H26" i="29"/>
  <c r="H27" i="29"/>
  <c r="H17" i="29"/>
  <c r="H20" i="29"/>
  <c r="H16" i="29"/>
  <c r="H19" i="29"/>
  <c r="H23" i="29"/>
  <c r="H21" i="29"/>
  <c r="H22" i="29"/>
  <c r="H39" i="29"/>
  <c r="H40" i="29"/>
  <c r="H38" i="29"/>
  <c r="H98" i="29"/>
  <c r="H96" i="29"/>
  <c r="H99" i="29"/>
  <c r="H97" i="29"/>
  <c r="H100" i="29"/>
  <c r="H101" i="29"/>
  <c r="H102" i="29"/>
  <c r="H85" i="29"/>
  <c r="H84" i="29"/>
  <c r="H86" i="29"/>
  <c r="H88" i="29"/>
  <c r="H87" i="29"/>
  <c r="H89" i="29"/>
  <c r="H90" i="29"/>
  <c r="H93" i="29"/>
  <c r="H92" i="29"/>
  <c r="H91" i="29"/>
  <c r="H106" i="29"/>
  <c r="H105" i="29"/>
  <c r="H108" i="29"/>
  <c r="H109" i="29"/>
  <c r="H112" i="29"/>
  <c r="H111" i="29"/>
  <c r="H113" i="29"/>
  <c r="H117" i="29"/>
  <c r="H114" i="29"/>
  <c r="H115" i="29"/>
  <c r="H116" i="29"/>
  <c r="H120" i="29"/>
  <c r="H119" i="29"/>
  <c r="H121" i="29"/>
  <c r="H122" i="29"/>
  <c r="H118" i="29"/>
  <c r="H125" i="29"/>
  <c r="H124" i="29"/>
  <c r="H123" i="29"/>
  <c r="H126" i="29"/>
  <c r="H130" i="29"/>
  <c r="H128" i="29"/>
  <c r="H129" i="29"/>
  <c r="H127" i="29"/>
  <c r="H132" i="29"/>
  <c r="H133" i="29"/>
  <c r="H131" i="29"/>
  <c r="H134" i="29"/>
  <c r="H138" i="29"/>
  <c r="H137" i="29"/>
  <c r="H136" i="29"/>
  <c r="H135" i="29"/>
  <c r="H139" i="29"/>
  <c r="H140" i="29"/>
  <c r="H45" i="29"/>
  <c r="H48" i="29"/>
  <c r="H46" i="29"/>
  <c r="H47" i="29"/>
  <c r="H41" i="29"/>
  <c r="H42" i="29"/>
  <c r="H43" i="29"/>
  <c r="H44" i="29"/>
  <c r="H49" i="29"/>
  <c r="H50" i="29"/>
  <c r="H72" i="29"/>
  <c r="H74" i="29"/>
  <c r="H73" i="29"/>
  <c r="H76" i="29"/>
  <c r="H77" i="29"/>
  <c r="H75" i="29"/>
  <c r="I443" i="13" a="1"/>
  <c r="J443" i="13" s="1"/>
  <c r="I438" i="13" a="1"/>
  <c r="J438" i="13" s="1"/>
  <c r="Y70" i="13" a="1"/>
  <c r="Y68" i="13" a="1"/>
  <c r="Y63" i="13" a="1"/>
  <c r="Y46" i="13" a="1"/>
  <c r="Y64" i="13" a="1"/>
  <c r="Y61" i="13" a="1"/>
  <c r="Y47" i="13" a="1"/>
  <c r="Y60" i="13" a="1"/>
  <c r="Y45" i="13" a="1"/>
  <c r="Y62" i="13" a="1"/>
  <c r="Y48" i="13" a="1"/>
  <c r="Y50" i="13" a="1"/>
  <c r="Y49" i="13" a="1"/>
  <c r="Y52" i="13" a="1"/>
  <c r="Y51" i="13" a="1"/>
  <c r="Y53" i="13" a="1"/>
  <c r="Y54" i="13" a="1"/>
  <c r="Y36" i="13" a="1"/>
  <c r="Y37" i="13" a="1"/>
  <c r="Y38" i="13" a="1"/>
  <c r="Y39" i="13" a="1"/>
  <c r="Y40" i="13" a="1"/>
  <c r="Y42" i="13" a="1"/>
  <c r="Y44" i="13" a="1"/>
  <c r="Y25" i="13" a="1"/>
  <c r="Y26" i="13" a="1"/>
  <c r="Y28" i="13" a="1"/>
  <c r="Y30" i="13" a="1"/>
  <c r="Y31" i="13" a="1"/>
  <c r="Y32" i="13" a="1"/>
  <c r="Y33" i="13" a="1"/>
  <c r="Y34" i="13" a="1"/>
  <c r="Y14" i="13" a="1"/>
  <c r="Y15" i="13" a="1"/>
  <c r="Y19" i="13" a="1"/>
  <c r="Y16" i="13" a="1"/>
  <c r="Y20" i="13" a="1"/>
  <c r="Y21" i="13" a="1"/>
  <c r="Y17" i="13" a="1"/>
  <c r="Y18" i="13" a="1"/>
  <c r="Y22" i="13" a="1"/>
  <c r="Y23" i="13" a="1"/>
  <c r="Y24" i="13" a="1"/>
  <c r="Y3" i="13" a="1"/>
  <c r="Y4" i="13" a="1"/>
  <c r="Y5" i="13" a="1"/>
  <c r="Y6" i="13" a="1"/>
  <c r="M485" i="13" a="1"/>
  <c r="I485" i="13" a="1"/>
  <c r="J485" i="13" s="1"/>
  <c r="Z11" i="13"/>
  <c r="I5" i="13" a="1"/>
  <c r="J5" i="13" s="1"/>
  <c r="I444" i="13" a="1"/>
  <c r="J444" i="13" s="1"/>
  <c r="I455" i="13" a="1"/>
  <c r="J455" i="13" s="1"/>
  <c r="N253" i="13"/>
  <c r="I297" i="13" a="1"/>
  <c r="J297" i="13" s="1"/>
  <c r="L465" i="13"/>
  <c r="K465" i="13"/>
  <c r="K428" i="13"/>
  <c r="L428" i="13"/>
  <c r="L420" i="13"/>
  <c r="K420" i="13"/>
  <c r="L374" i="13"/>
  <c r="C374" i="13" s="1"/>
  <c r="Q374" i="13" s="1"/>
  <c r="K374" i="13"/>
  <c r="K380" i="13"/>
  <c r="L380" i="13"/>
  <c r="L386" i="13"/>
  <c r="K386" i="13"/>
  <c r="L392" i="13"/>
  <c r="K392" i="13"/>
  <c r="K398" i="13"/>
  <c r="L398" i="13"/>
  <c r="L404" i="13"/>
  <c r="K404" i="13"/>
  <c r="L55" i="13"/>
  <c r="C55" i="13" s="1"/>
  <c r="Q55" i="13" s="1"/>
  <c r="K55" i="13"/>
  <c r="L375" i="13"/>
  <c r="K375" i="13"/>
  <c r="K381" i="13"/>
  <c r="L381" i="13"/>
  <c r="K387" i="13"/>
  <c r="L387" i="13"/>
  <c r="L393" i="13"/>
  <c r="K393" i="13"/>
  <c r="K399" i="13"/>
  <c r="L399" i="13"/>
  <c r="K405" i="13"/>
  <c r="L405" i="13"/>
  <c r="K372" i="13"/>
  <c r="L372" i="13"/>
  <c r="C372" i="13" s="1"/>
  <c r="Q372" i="13" s="1"/>
  <c r="K378" i="13"/>
  <c r="L378" i="13"/>
  <c r="L384" i="13"/>
  <c r="K384" i="13"/>
  <c r="L390" i="13"/>
  <c r="K390" i="13"/>
  <c r="K396" i="13"/>
  <c r="L396" i="13"/>
  <c r="K402" i="13"/>
  <c r="L402" i="13"/>
  <c r="L408" i="13"/>
  <c r="K408" i="13"/>
  <c r="K373" i="13"/>
  <c r="L373" i="13"/>
  <c r="L379" i="13"/>
  <c r="K379" i="13"/>
  <c r="L385" i="13"/>
  <c r="K385" i="13"/>
  <c r="L391" i="13"/>
  <c r="K391" i="13"/>
  <c r="K397" i="13"/>
  <c r="L397" i="13"/>
  <c r="L403" i="13"/>
  <c r="K403" i="13"/>
  <c r="L264" i="13"/>
  <c r="C264" i="13" s="1"/>
  <c r="Q264" i="13" s="1"/>
  <c r="E243" i="3" s="1"/>
  <c r="K264" i="13"/>
  <c r="K376" i="13"/>
  <c r="L376" i="13"/>
  <c r="C376" i="13" s="1"/>
  <c r="Q376" i="13" s="1"/>
  <c r="K382" i="13"/>
  <c r="L382" i="13"/>
  <c r="L388" i="13"/>
  <c r="K388" i="13"/>
  <c r="K394" i="13"/>
  <c r="L394" i="13"/>
  <c r="K400" i="13"/>
  <c r="L400" i="13"/>
  <c r="K406" i="13"/>
  <c r="L406" i="13"/>
  <c r="K266" i="13"/>
  <c r="L266" i="13"/>
  <c r="C266" i="13" s="1"/>
  <c r="Q266" i="13" s="1"/>
  <c r="E245" i="3" s="1"/>
  <c r="K377" i="13"/>
  <c r="L377" i="13"/>
  <c r="C377" i="13" s="1"/>
  <c r="Q377" i="13" s="1"/>
  <c r="L383" i="13"/>
  <c r="K383" i="13"/>
  <c r="K389" i="13"/>
  <c r="L389" i="13"/>
  <c r="K395" i="13"/>
  <c r="L395" i="13"/>
  <c r="K401" i="13"/>
  <c r="L401" i="13"/>
  <c r="L407" i="13"/>
  <c r="K407" i="13"/>
  <c r="L318" i="13"/>
  <c r="C318" i="13" s="1"/>
  <c r="K318" i="13"/>
  <c r="L32" i="13"/>
  <c r="D32" i="13" s="1"/>
  <c r="K32" i="13"/>
  <c r="L74" i="13"/>
  <c r="D74" i="13" s="1"/>
  <c r="K74" i="13"/>
  <c r="K98" i="13"/>
  <c r="L98" i="13"/>
  <c r="D98" i="13" s="1"/>
  <c r="L103" i="13"/>
  <c r="D103" i="13" s="1"/>
  <c r="K103" i="13"/>
  <c r="L125" i="13"/>
  <c r="D125" i="13" s="1"/>
  <c r="K125" i="13"/>
  <c r="L360" i="13"/>
  <c r="C360" i="13" s="1"/>
  <c r="K360" i="13"/>
  <c r="L34" i="13"/>
  <c r="C34" i="13" s="1"/>
  <c r="K34" i="13"/>
  <c r="L36" i="13"/>
  <c r="C36" i="13" s="1"/>
  <c r="K36" i="13"/>
  <c r="L37" i="13"/>
  <c r="C37" i="13" s="1"/>
  <c r="K37" i="13"/>
  <c r="L45" i="13"/>
  <c r="C45" i="13" s="1"/>
  <c r="K45" i="13"/>
  <c r="K38" i="13"/>
  <c r="L38" i="13"/>
  <c r="C38" i="13" s="1"/>
  <c r="L48" i="13"/>
  <c r="C48" i="13" s="1"/>
  <c r="K48" i="13"/>
  <c r="L49" i="13"/>
  <c r="C49" i="13" s="1"/>
  <c r="K49" i="13"/>
  <c r="L53" i="13"/>
  <c r="C53" i="13" s="1"/>
  <c r="K53" i="13"/>
  <c r="L52" i="13"/>
  <c r="C52" i="13" s="1"/>
  <c r="K52" i="13"/>
  <c r="L59" i="13"/>
  <c r="C59" i="13" s="1"/>
  <c r="K59" i="13"/>
  <c r="L56" i="13"/>
  <c r="C56" i="13" s="1"/>
  <c r="K56" i="13"/>
  <c r="L66" i="13"/>
  <c r="C66" i="13" s="1"/>
  <c r="K66" i="13"/>
  <c r="L71" i="13"/>
  <c r="C71" i="13" s="1"/>
  <c r="K71" i="13"/>
  <c r="L70" i="13"/>
  <c r="C70" i="13" s="1"/>
  <c r="K70" i="13"/>
  <c r="L76" i="13"/>
  <c r="C76" i="13" s="1"/>
  <c r="K76" i="13"/>
  <c r="K534" i="13"/>
  <c r="L534" i="13"/>
  <c r="C534" i="13" s="1"/>
  <c r="L522" i="13"/>
  <c r="C522" i="13" s="1"/>
  <c r="K522" i="13"/>
  <c r="K89" i="13"/>
  <c r="L89" i="13"/>
  <c r="C89" i="13" s="1"/>
  <c r="L92" i="13"/>
  <c r="C92" i="13" s="1"/>
  <c r="K92" i="13"/>
  <c r="L541" i="13"/>
  <c r="C541" i="13" s="1"/>
  <c r="K541" i="13"/>
  <c r="K206" i="13"/>
  <c r="L206" i="13"/>
  <c r="C206" i="13" s="1"/>
  <c r="K529" i="13"/>
  <c r="L529" i="13"/>
  <c r="C529" i="13" s="1"/>
  <c r="L133" i="13"/>
  <c r="C133" i="13" s="1"/>
  <c r="K133" i="13"/>
  <c r="L134" i="13"/>
  <c r="C134" i="13" s="1"/>
  <c r="K134" i="13"/>
  <c r="L136" i="13"/>
  <c r="C136" i="13" s="1"/>
  <c r="K136" i="13"/>
  <c r="L139" i="13"/>
  <c r="C139" i="13" s="1"/>
  <c r="K139" i="13"/>
  <c r="K152" i="13"/>
  <c r="L152" i="13"/>
  <c r="C152" i="13" s="1"/>
  <c r="L153" i="13"/>
  <c r="C153" i="13" s="1"/>
  <c r="K153" i="13"/>
  <c r="K154" i="13"/>
  <c r="L154" i="13"/>
  <c r="C154" i="13" s="1"/>
  <c r="L155" i="13"/>
  <c r="C155" i="13" s="1"/>
  <c r="K155" i="13"/>
  <c r="L158" i="13"/>
  <c r="C158" i="13" s="1"/>
  <c r="K158" i="13"/>
  <c r="L159" i="13"/>
  <c r="C159" i="13" s="1"/>
  <c r="K159" i="13"/>
  <c r="L169" i="13"/>
  <c r="C169" i="13" s="1"/>
  <c r="K169" i="13"/>
  <c r="K172" i="13"/>
  <c r="L172" i="13"/>
  <c r="C172" i="13" s="1"/>
  <c r="K173" i="13"/>
  <c r="L173" i="13"/>
  <c r="C173" i="13" s="1"/>
  <c r="K174" i="13"/>
  <c r="L174" i="13"/>
  <c r="C174" i="13" s="1"/>
  <c r="L175" i="13"/>
  <c r="C175" i="13" s="1"/>
  <c r="K175" i="13"/>
  <c r="L176" i="13"/>
  <c r="C176" i="13" s="1"/>
  <c r="K176" i="13"/>
  <c r="L177" i="13"/>
  <c r="C177" i="13" s="1"/>
  <c r="K177" i="13"/>
  <c r="L179" i="13"/>
  <c r="C179" i="13" s="1"/>
  <c r="K179" i="13"/>
  <c r="L180" i="13"/>
  <c r="C180" i="13" s="1"/>
  <c r="K180" i="13"/>
  <c r="L181" i="13"/>
  <c r="C181" i="13" s="1"/>
  <c r="K181" i="13"/>
  <c r="L182" i="13"/>
  <c r="C182" i="13" s="1"/>
  <c r="K182" i="13"/>
  <c r="K183" i="13"/>
  <c r="L183" i="13"/>
  <c r="C183" i="13" s="1"/>
  <c r="L185" i="13"/>
  <c r="C185" i="13" s="1"/>
  <c r="K185" i="13"/>
  <c r="L186" i="13"/>
  <c r="C186" i="13" s="1"/>
  <c r="K186" i="13"/>
  <c r="L187" i="13"/>
  <c r="C187" i="13" s="1"/>
  <c r="K187" i="13"/>
  <c r="L188" i="13"/>
  <c r="C188" i="13" s="1"/>
  <c r="K188" i="13"/>
  <c r="K189" i="13"/>
  <c r="L189" i="13"/>
  <c r="C189" i="13" s="1"/>
  <c r="K190" i="13"/>
  <c r="L190" i="13"/>
  <c r="C190" i="13" s="1"/>
  <c r="K194" i="13"/>
  <c r="L194" i="13"/>
  <c r="C194" i="13" s="1"/>
  <c r="K195" i="13"/>
  <c r="L195" i="13"/>
  <c r="C195" i="13" s="1"/>
  <c r="L196" i="13"/>
  <c r="C196" i="13" s="1"/>
  <c r="K196" i="13"/>
  <c r="L197" i="13"/>
  <c r="C197" i="13" s="1"/>
  <c r="K197" i="13"/>
  <c r="K198" i="13"/>
  <c r="L198" i="13"/>
  <c r="C198" i="13" s="1"/>
  <c r="L199" i="13"/>
  <c r="C199" i="13" s="1"/>
  <c r="K199" i="13"/>
  <c r="K200" i="13"/>
  <c r="L200" i="13"/>
  <c r="C200" i="13" s="1"/>
  <c r="K203" i="13"/>
  <c r="L203" i="13"/>
  <c r="C203" i="13" s="1"/>
  <c r="L204" i="13"/>
  <c r="C204" i="13" s="1"/>
  <c r="K204" i="13"/>
  <c r="L205" i="13"/>
  <c r="C205" i="13" s="1"/>
  <c r="K205" i="13"/>
  <c r="L224" i="13"/>
  <c r="C224" i="13" s="1"/>
  <c r="K224" i="13"/>
  <c r="K225" i="13"/>
  <c r="L225" i="13"/>
  <c r="C225" i="13" s="1"/>
  <c r="K226" i="13"/>
  <c r="L226" i="13"/>
  <c r="C226" i="13" s="1"/>
  <c r="L229" i="13"/>
  <c r="C229" i="13" s="1"/>
  <c r="K229" i="13"/>
  <c r="K230" i="13"/>
  <c r="L230" i="13"/>
  <c r="C230" i="13" s="1"/>
  <c r="L231" i="13"/>
  <c r="C231" i="13" s="1"/>
  <c r="K231" i="13"/>
  <c r="L233" i="13"/>
  <c r="C233" i="13" s="1"/>
  <c r="K233" i="13"/>
  <c r="L238" i="13"/>
  <c r="C238" i="13" s="1"/>
  <c r="K238" i="13"/>
  <c r="K242" i="13"/>
  <c r="L242" i="13"/>
  <c r="C242" i="13" s="1"/>
  <c r="K243" i="13"/>
  <c r="L243" i="13"/>
  <c r="C243" i="13" s="1"/>
  <c r="L245" i="13"/>
  <c r="C245" i="13" s="1"/>
  <c r="K245" i="13"/>
  <c r="K247" i="13"/>
  <c r="L247" i="13"/>
  <c r="C247" i="13" s="1"/>
  <c r="L253" i="13"/>
  <c r="C253" i="13" s="1"/>
  <c r="K253" i="13"/>
  <c r="I457" i="13" a="1"/>
  <c r="J457" i="13" s="1"/>
  <c r="M511" i="13" a="1"/>
  <c r="M509" i="13" a="1"/>
  <c r="M507" i="13" a="1"/>
  <c r="M516" i="13" a="1"/>
  <c r="M515" i="13" a="1"/>
  <c r="M512" i="13" a="1"/>
  <c r="I510" i="13" a="1"/>
  <c r="J510" i="13" s="1"/>
  <c r="M510" i="13" a="1"/>
  <c r="F28" i="29"/>
  <c r="Z163" i="13"/>
  <c r="Z277" i="13"/>
  <c r="I274" i="13" a="1"/>
  <c r="J274" i="13" s="1"/>
  <c r="M299" i="13" a="1"/>
  <c r="N299" i="13" s="1"/>
  <c r="I299" i="13" a="1"/>
  <c r="J299" i="13" s="1"/>
  <c r="I322" i="13" a="1"/>
  <c r="J322" i="13" s="1"/>
  <c r="I320" i="13" a="1"/>
  <c r="J320" i="13" s="1"/>
  <c r="M325" i="13" a="1"/>
  <c r="I325" i="13" a="1"/>
  <c r="J325" i="13" s="1"/>
  <c r="I514" i="13" a="1"/>
  <c r="J514" i="13" s="1"/>
  <c r="I508" i="13" a="1"/>
  <c r="J508" i="13" s="1"/>
  <c r="M502" i="13" a="1"/>
  <c r="M501" i="13" a="1"/>
  <c r="M500" i="13" a="1"/>
  <c r="M499" i="13" a="1"/>
  <c r="M517" i="13" a="1"/>
  <c r="M514" i="13" a="1"/>
  <c r="M508" i="13" a="1"/>
  <c r="I31" i="13" a="1"/>
  <c r="J31" i="13" s="1"/>
  <c r="M31" i="13" a="1"/>
  <c r="N31" i="13" s="1"/>
  <c r="G74" i="29"/>
  <c r="I482" i="13" a="1"/>
  <c r="J482" i="13" s="1"/>
  <c r="I483" i="13" a="1"/>
  <c r="J483" i="13" s="1"/>
  <c r="I481" i="13" a="1"/>
  <c r="J481" i="13" s="1"/>
  <c r="Z360" i="13"/>
  <c r="I513" i="13" a="1"/>
  <c r="J513" i="13" s="1"/>
  <c r="M513" i="13" a="1"/>
  <c r="Z363" i="13"/>
  <c r="M503" i="13" a="1"/>
  <c r="I503" i="13" a="1"/>
  <c r="J503" i="13" s="1"/>
  <c r="Z296" i="13"/>
  <c r="G101" i="29"/>
  <c r="Z308" i="13"/>
  <c r="M297" i="13" a="1"/>
  <c r="I2" i="13" a="1"/>
  <c r="J2" i="13" s="1"/>
  <c r="Z4" i="13"/>
  <c r="I22" i="13" a="1"/>
  <c r="J22" i="13" s="1"/>
  <c r="I506" i="13" a="1"/>
  <c r="J506" i="13" s="1"/>
  <c r="Z28" i="13"/>
  <c r="F11" i="29"/>
  <c r="Z30" i="13"/>
  <c r="I409" i="13" a="1"/>
  <c r="J409" i="13" s="1"/>
  <c r="Z145" i="13"/>
  <c r="M370" i="13" a="1"/>
  <c r="F63" i="29"/>
  <c r="Z38" i="13"/>
  <c r="M32" i="13" a="1"/>
  <c r="M274" i="13" a="1"/>
  <c r="Z41" i="13"/>
  <c r="I39" i="13" a="1"/>
  <c r="J39" i="13" s="1"/>
  <c r="M39" i="13" a="1"/>
  <c r="Z49" i="13"/>
  <c r="M46" i="13" a="1"/>
  <c r="Z53" i="13"/>
  <c r="I50" i="13" a="1"/>
  <c r="J50" i="13" s="1"/>
  <c r="M50" i="13" a="1"/>
  <c r="Z59" i="13"/>
  <c r="M265" i="13" a="1"/>
  <c r="I61" i="13" a="1"/>
  <c r="J61" i="13" s="1"/>
  <c r="M61" i="13" a="1"/>
  <c r="M67" i="13" a="1"/>
  <c r="N67" i="13" s="1"/>
  <c r="M263" i="13" a="1"/>
  <c r="M74" i="13" a="1"/>
  <c r="F15" i="29"/>
  <c r="I267" i="13" a="1"/>
  <c r="J267" i="13" s="1"/>
  <c r="M267" i="13" a="1"/>
  <c r="Z89" i="13"/>
  <c r="I86" i="13" a="1"/>
  <c r="J86" i="13" s="1"/>
  <c r="M86" i="13" a="1"/>
  <c r="Z90" i="13"/>
  <c r="M344" i="13" a="1"/>
  <c r="I467" i="13" a="1"/>
  <c r="J467" i="13" s="1"/>
  <c r="M467" i="13" a="1"/>
  <c r="F123" i="29"/>
  <c r="Z92" i="13"/>
  <c r="F134" i="29"/>
  <c r="F132" i="29"/>
  <c r="Z93" i="13"/>
  <c r="F49" i="29"/>
  <c r="Z97" i="13"/>
  <c r="M94" i="13" a="1"/>
  <c r="I94" i="13" a="1"/>
  <c r="J94" i="13" s="1"/>
  <c r="Z101" i="13"/>
  <c r="M98" i="13" a="1"/>
  <c r="Z102" i="13"/>
  <c r="M282" i="13" a="1"/>
  <c r="I282" i="13" a="1"/>
  <c r="J282" i="13" s="1"/>
  <c r="Z106" i="13"/>
  <c r="M103" i="13" a="1"/>
  <c r="I107" i="13" a="1"/>
  <c r="J107" i="13" s="1"/>
  <c r="M107" i="13" a="1"/>
  <c r="Z121" i="13"/>
  <c r="M114" i="13" a="1"/>
  <c r="I114" i="13" a="1"/>
  <c r="J114" i="13" s="1"/>
  <c r="Z124" i="13"/>
  <c r="I122" i="13" a="1"/>
  <c r="J122" i="13" s="1"/>
  <c r="M122" i="13" a="1"/>
  <c r="Z130" i="13"/>
  <c r="M125" i="13" a="1"/>
  <c r="Z136" i="13"/>
  <c r="M371" i="13" a="1"/>
  <c r="F34" i="29"/>
  <c r="M285" i="13" a="1"/>
  <c r="Z146" i="13"/>
  <c r="I424" i="13" a="1"/>
  <c r="J424" i="13" s="1"/>
  <c r="G57" i="29"/>
  <c r="G54" i="29"/>
  <c r="G56" i="29"/>
  <c r="G58" i="29"/>
  <c r="G60" i="29"/>
  <c r="G62" i="29"/>
  <c r="G55" i="29"/>
  <c r="G61" i="29"/>
  <c r="I425" i="13" a="1"/>
  <c r="J425" i="13" s="1"/>
  <c r="I426" i="13" a="1"/>
  <c r="J426" i="13" s="1"/>
  <c r="I427" i="13" a="1"/>
  <c r="J427" i="13" s="1"/>
  <c r="I432" i="13" a="1"/>
  <c r="J432" i="13" s="1"/>
  <c r="G59" i="29"/>
  <c r="I421" i="13" a="1"/>
  <c r="J421" i="13" s="1"/>
  <c r="I419" i="13" a="1"/>
  <c r="J419" i="13" s="1"/>
  <c r="I423" i="13" a="1"/>
  <c r="J423" i="13" s="1"/>
  <c r="N258" i="13"/>
  <c r="Z259" i="13"/>
  <c r="I260" i="13" a="1"/>
  <c r="J260" i="13" s="1"/>
  <c r="M260" i="13" a="1"/>
  <c r="Z261" i="13"/>
  <c r="I262" i="13" a="1"/>
  <c r="J262" i="13" s="1"/>
  <c r="M262" i="13" a="1"/>
  <c r="Z262" i="13"/>
  <c r="G70" i="29"/>
  <c r="G69" i="29"/>
  <c r="G68" i="29"/>
  <c r="G67" i="29"/>
  <c r="G5" i="29"/>
  <c r="G4" i="29"/>
  <c r="G6" i="29"/>
  <c r="M368" i="13" a="1"/>
  <c r="G9" i="29"/>
  <c r="G7" i="29"/>
  <c r="G8" i="29"/>
  <c r="I368" i="13" a="1"/>
  <c r="J368" i="13" s="1"/>
  <c r="I273" i="13" a="1"/>
  <c r="J273" i="13" s="1"/>
  <c r="M273" i="13" a="1"/>
  <c r="Z274" i="13"/>
  <c r="M275" i="13" a="1"/>
  <c r="I275" i="13" a="1"/>
  <c r="J275" i="13" s="1"/>
  <c r="M277" i="13" a="1"/>
  <c r="I277" i="13" a="1"/>
  <c r="J277" i="13" s="1"/>
  <c r="G11" i="29"/>
  <c r="G142" i="29"/>
  <c r="G10" i="29"/>
  <c r="G13" i="29"/>
  <c r="G15" i="29"/>
  <c r="G12" i="29"/>
  <c r="G14" i="29"/>
  <c r="I507" i="13" a="1"/>
  <c r="J507" i="13" s="1"/>
  <c r="I515" i="13" a="1"/>
  <c r="J515" i="13" s="1"/>
  <c r="I516" i="13" a="1"/>
  <c r="J516" i="13" s="1"/>
  <c r="I497" i="13" a="1"/>
  <c r="J497" i="13" s="1"/>
  <c r="I470" i="13" a="1"/>
  <c r="J470" i="13" s="1"/>
  <c r="I509" i="13" a="1"/>
  <c r="J509" i="13" s="1"/>
  <c r="I512" i="13" a="1"/>
  <c r="J512" i="13" s="1"/>
  <c r="I511" i="13" a="1"/>
  <c r="J511" i="13" s="1"/>
  <c r="G27" i="29"/>
  <c r="G25" i="29"/>
  <c r="G23" i="29"/>
  <c r="G21" i="29"/>
  <c r="G19" i="29"/>
  <c r="G17" i="29"/>
  <c r="I431" i="13" a="1"/>
  <c r="J431" i="13" s="1"/>
  <c r="I430" i="13" a="1"/>
  <c r="J430" i="13" s="1"/>
  <c r="I422" i="13" a="1"/>
  <c r="J422" i="13" s="1"/>
  <c r="I418" i="13" a="1"/>
  <c r="J418" i="13" s="1"/>
  <c r="I456" i="13" a="1"/>
  <c r="J456" i="13" s="1"/>
  <c r="I412" i="13" a="1"/>
  <c r="J412" i="13" s="1"/>
  <c r="I445" i="13" a="1"/>
  <c r="J445" i="13" s="1"/>
  <c r="I414" i="13" a="1"/>
  <c r="J414" i="13" s="1"/>
  <c r="I413" i="13" a="1"/>
  <c r="J413" i="13" s="1"/>
  <c r="I415" i="13" a="1"/>
  <c r="J415" i="13" s="1"/>
  <c r="Z295" i="13"/>
  <c r="I452" i="13" a="1"/>
  <c r="J452" i="13" s="1"/>
  <c r="I463" i="13" a="1"/>
  <c r="J463" i="13" s="1"/>
  <c r="I298" i="13" a="1"/>
  <c r="J298" i="13" s="1"/>
  <c r="I446" i="13" a="1"/>
  <c r="J446" i="13" s="1"/>
  <c r="I309" i="13" a="1"/>
  <c r="J309" i="13" s="1"/>
  <c r="I471" i="13" a="1"/>
  <c r="J471" i="13" s="1"/>
  <c r="I447" i="13" a="1"/>
  <c r="J447" i="13" s="1"/>
  <c r="I495" i="13" a="1"/>
  <c r="J495" i="13" s="1"/>
  <c r="G64" i="29"/>
  <c r="G65" i="29"/>
  <c r="M319" i="13" a="1"/>
  <c r="Z290" i="13"/>
  <c r="Z304" i="13"/>
  <c r="Z257" i="13"/>
  <c r="I258" i="13" a="1"/>
  <c r="J258" i="13" s="1"/>
  <c r="G24" i="29"/>
  <c r="G22" i="29"/>
  <c r="G16" i="29"/>
  <c r="G18" i="29"/>
  <c r="G20" i="29"/>
  <c r="G26" i="29"/>
  <c r="Z284" i="13"/>
  <c r="G36" i="29"/>
  <c r="G35" i="29"/>
  <c r="G37" i="29"/>
  <c r="G28" i="29"/>
  <c r="G30" i="29"/>
  <c r="G32" i="29"/>
  <c r="G33" i="29"/>
  <c r="G29" i="29"/>
  <c r="G31" i="29"/>
  <c r="G34" i="29"/>
  <c r="G38" i="29"/>
  <c r="G40" i="29"/>
  <c r="G39" i="29"/>
  <c r="Z294" i="13"/>
  <c r="G98" i="29"/>
  <c r="G100" i="29"/>
  <c r="G96" i="29"/>
  <c r="G99" i="29"/>
  <c r="G97" i="29"/>
  <c r="G86" i="29"/>
  <c r="G85" i="29"/>
  <c r="G84" i="29"/>
  <c r="I434" i="13" a="1"/>
  <c r="J434" i="13" s="1"/>
  <c r="I435" i="13" a="1"/>
  <c r="J435" i="13" s="1"/>
  <c r="Z310" i="13"/>
  <c r="G87" i="29"/>
  <c r="G89" i="29"/>
  <c r="G88" i="29"/>
  <c r="Z314" i="13"/>
  <c r="M315" i="13" a="1"/>
  <c r="I315" i="13" a="1"/>
  <c r="J315" i="13" s="1"/>
  <c r="Z316" i="13"/>
  <c r="G93" i="29"/>
  <c r="G92" i="29"/>
  <c r="G90" i="29"/>
  <c r="G91" i="29"/>
  <c r="Z317" i="13"/>
  <c r="I416" i="13" a="1"/>
  <c r="J416" i="13" s="1"/>
  <c r="M416" i="13" a="1"/>
  <c r="Z318" i="13"/>
  <c r="G105" i="29"/>
  <c r="G106" i="29"/>
  <c r="Z319" i="13"/>
  <c r="M322" i="13" a="1"/>
  <c r="M320" i="13" a="1"/>
  <c r="M321" i="13" a="1"/>
  <c r="I321" i="13" a="1"/>
  <c r="J321" i="13" s="1"/>
  <c r="Z322" i="13"/>
  <c r="G109" i="29"/>
  <c r="G108" i="29"/>
  <c r="Z326" i="13"/>
  <c r="G111" i="29"/>
  <c r="I478" i="13" a="1"/>
  <c r="J478" i="13" s="1"/>
  <c r="I491" i="13" a="1"/>
  <c r="J491" i="13" s="1"/>
  <c r="G112" i="29"/>
  <c r="G113" i="29"/>
  <c r="I473" i="13" a="1"/>
  <c r="J473" i="13" s="1"/>
  <c r="I472" i="13" a="1"/>
  <c r="J472" i="13" s="1"/>
  <c r="G115" i="29"/>
  <c r="G116" i="29"/>
  <c r="G114" i="29"/>
  <c r="G117" i="29"/>
  <c r="Z330" i="13"/>
  <c r="G122" i="29"/>
  <c r="G120" i="29"/>
  <c r="G119" i="29"/>
  <c r="G121" i="29"/>
  <c r="G118" i="29"/>
  <c r="Z331" i="13"/>
  <c r="M332" i="13" a="1"/>
  <c r="I332" i="13" a="1"/>
  <c r="J332" i="13" s="1"/>
  <c r="G124" i="29"/>
  <c r="G126" i="29"/>
  <c r="G125" i="29"/>
  <c r="G123" i="29"/>
  <c r="G129" i="29"/>
  <c r="G128" i="29"/>
  <c r="G127" i="29"/>
  <c r="G130" i="29"/>
  <c r="G132" i="29"/>
  <c r="G133" i="29"/>
  <c r="G131" i="29"/>
  <c r="G135" i="29"/>
  <c r="G137" i="29"/>
  <c r="G134" i="29"/>
  <c r="G136" i="29"/>
  <c r="G138" i="29"/>
  <c r="G139" i="29"/>
  <c r="G140" i="29"/>
  <c r="I517" i="13" a="1"/>
  <c r="J517" i="13" s="1"/>
  <c r="G42" i="29"/>
  <c r="G45" i="29"/>
  <c r="G41" i="29"/>
  <c r="G47" i="29"/>
  <c r="G44" i="29"/>
  <c r="G46" i="29"/>
  <c r="I498" i="13" a="1"/>
  <c r="J498" i="13" s="1"/>
  <c r="G48" i="29"/>
  <c r="I499" i="13" a="1"/>
  <c r="J499" i="13" s="1"/>
  <c r="I500" i="13" a="1"/>
  <c r="J500" i="13" s="1"/>
  <c r="I501" i="13" a="1"/>
  <c r="J501" i="13" s="1"/>
  <c r="I502" i="13" a="1"/>
  <c r="J502" i="13" s="1"/>
  <c r="G43" i="29"/>
  <c r="G49" i="29"/>
  <c r="G50" i="29"/>
  <c r="M326" i="13" a="1"/>
  <c r="I326" i="13" a="1"/>
  <c r="J326" i="13" s="1"/>
  <c r="Z15" i="13"/>
  <c r="M280" i="13" a="1"/>
  <c r="M342" i="13" a="1"/>
  <c r="I342" i="13" a="1"/>
  <c r="J342" i="13" s="1"/>
  <c r="Z26" i="13"/>
  <c r="I464" i="13" a="1"/>
  <c r="J464" i="13" s="1"/>
  <c r="M318" i="13" a="1"/>
  <c r="M464" i="13" a="1"/>
  <c r="Z27" i="13"/>
  <c r="I449" i="13" a="1"/>
  <c r="J449" i="13" s="1"/>
  <c r="M449" i="13" a="1"/>
  <c r="Z29" i="13"/>
  <c r="M455" i="13" a="1"/>
  <c r="M444" i="13" a="1"/>
  <c r="Z77" i="13"/>
  <c r="M281" i="13" a="1"/>
  <c r="F30" i="29"/>
  <c r="Z220" i="13"/>
  <c r="M425" i="13" a="1"/>
  <c r="M426" i="13" a="1"/>
  <c r="M424" i="13" a="1"/>
  <c r="M432" i="13" a="1"/>
  <c r="M427" i="13" a="1"/>
  <c r="Z255" i="13"/>
  <c r="I505" i="13" a="1"/>
  <c r="J505" i="13" s="1"/>
  <c r="M505" i="13" a="1"/>
  <c r="Z287" i="13"/>
  <c r="Z292" i="13"/>
  <c r="I453" i="13" a="1"/>
  <c r="J453" i="13" s="1"/>
  <c r="M417" i="13" a="1"/>
  <c r="Z312" i="13"/>
  <c r="G107" i="29"/>
  <c r="Z320" i="13"/>
  <c r="G72" i="29"/>
  <c r="G73" i="29"/>
  <c r="G75" i="29"/>
  <c r="G76" i="29"/>
  <c r="G77" i="29"/>
  <c r="G78" i="29"/>
  <c r="M420" i="13" a="1"/>
  <c r="Z372" i="13"/>
  <c r="Z374" i="13"/>
  <c r="Z376" i="13"/>
  <c r="Z377" i="13"/>
  <c r="Z302" i="13"/>
  <c r="Z306" i="13"/>
  <c r="Z268" i="13"/>
  <c r="Z270" i="13"/>
  <c r="Z272" i="13"/>
  <c r="Z276" i="13"/>
  <c r="Z278" i="13"/>
  <c r="Z280" i="13"/>
  <c r="Z282" i="13"/>
  <c r="Z288" i="13"/>
  <c r="Z366" i="13"/>
  <c r="M419" i="13" a="1"/>
  <c r="M421" i="13" a="1"/>
  <c r="M439" i="13" a="1"/>
  <c r="M409" i="13" a="1"/>
  <c r="I439" i="13" a="1"/>
  <c r="J439" i="13" s="1"/>
  <c r="M480" i="13" a="1"/>
  <c r="I480" i="13" a="1"/>
  <c r="J480" i="13" s="1"/>
  <c r="M497" i="13" a="1"/>
  <c r="M470" i="13" a="1"/>
  <c r="M422" i="13" a="1"/>
  <c r="M430" i="13" a="1"/>
  <c r="M431" i="13" a="1"/>
  <c r="I437" i="13" a="1"/>
  <c r="J437" i="13" s="1"/>
  <c r="M437" i="13" a="1"/>
  <c r="Z289" i="13"/>
  <c r="I458" i="13" a="1"/>
  <c r="J458" i="13" s="1"/>
  <c r="M458" i="13" a="1"/>
  <c r="M456" i="13" a="1"/>
  <c r="M418" i="13" a="1"/>
  <c r="M413" i="13" a="1"/>
  <c r="M414" i="13" a="1"/>
  <c r="M415" i="13" a="1"/>
  <c r="M412" i="13" a="1"/>
  <c r="M445" i="13" a="1"/>
  <c r="M298" i="13" a="1"/>
  <c r="M452" i="13" a="1"/>
  <c r="M463" i="13" a="1"/>
  <c r="I460" i="13" a="1"/>
  <c r="J460" i="13" s="1"/>
  <c r="M460" i="13" a="1"/>
  <c r="M461" i="13" a="1"/>
  <c r="I461" i="13" a="1"/>
  <c r="J461" i="13" s="1"/>
  <c r="M411" i="13" a="1"/>
  <c r="I411" i="13" a="1"/>
  <c r="J411" i="13" s="1"/>
  <c r="M451" i="13" a="1"/>
  <c r="I451" i="13" a="1"/>
  <c r="J451" i="13" s="1"/>
  <c r="G83" i="29"/>
  <c r="M465" i="13" a="1"/>
  <c r="I459" i="13" a="1"/>
  <c r="J459" i="13" s="1"/>
  <c r="M459" i="13" a="1"/>
  <c r="M435" i="13" a="1"/>
  <c r="M433" i="13" a="1"/>
  <c r="M434" i="13" a="1"/>
  <c r="I454" i="13" a="1"/>
  <c r="J454" i="13" s="1"/>
  <c r="M454" i="13" a="1"/>
  <c r="M309" i="13" a="1"/>
  <c r="M446" i="13" a="1"/>
  <c r="M428" i="13" a="1"/>
  <c r="M479" i="13" a="1"/>
  <c r="I442" i="13" a="1"/>
  <c r="J442" i="13" s="1"/>
  <c r="M442" i="13" a="1"/>
  <c r="Z313" i="13"/>
  <c r="I462" i="13" a="1"/>
  <c r="J462" i="13" s="1"/>
  <c r="M462" i="13" a="1"/>
  <c r="I448" i="13" a="1"/>
  <c r="J448" i="13" s="1"/>
  <c r="M448" i="13" a="1"/>
  <c r="M495" i="13" a="1"/>
  <c r="M447" i="13" a="1"/>
  <c r="M471" i="13" a="1"/>
  <c r="M466" i="13" a="1"/>
  <c r="I466" i="13" a="1"/>
  <c r="J466" i="13" s="1"/>
  <c r="I475" i="13" a="1"/>
  <c r="J475" i="13" s="1"/>
  <c r="M475" i="13" a="1"/>
  <c r="M478" i="13" a="1"/>
  <c r="M491" i="13" a="1"/>
  <c r="Z328" i="13"/>
  <c r="M472" i="13" a="1"/>
  <c r="M473" i="13" a="1"/>
  <c r="I474" i="13" a="1"/>
  <c r="J474" i="13" s="1"/>
  <c r="M474" i="13" a="1"/>
  <c r="I488" i="13" a="1"/>
  <c r="J488" i="13" s="1"/>
  <c r="M488" i="13" a="1"/>
  <c r="Z334" i="13"/>
  <c r="I487" i="13" a="1"/>
  <c r="J487" i="13" s="1"/>
  <c r="M487" i="13" a="1"/>
  <c r="Z335" i="13"/>
  <c r="M457" i="13" a="1"/>
  <c r="I489" i="13" a="1"/>
  <c r="J489" i="13" s="1"/>
  <c r="M489" i="13" a="1"/>
  <c r="I476" i="13" a="1"/>
  <c r="J476" i="13" s="1"/>
  <c r="M476" i="13" a="1"/>
  <c r="Z340" i="13"/>
  <c r="I477" i="13" a="1"/>
  <c r="J477" i="13" s="1"/>
  <c r="M477" i="13" a="1"/>
  <c r="Z341" i="13"/>
  <c r="I486" i="13" a="1"/>
  <c r="J486" i="13" s="1"/>
  <c r="Z342" i="13"/>
  <c r="M498" i="13" a="1"/>
  <c r="Z258" i="13"/>
  <c r="M443" i="13" a="1"/>
  <c r="M438" i="13" a="1"/>
  <c r="M506" i="13" a="1"/>
  <c r="Z24" i="13"/>
  <c r="F105" i="29"/>
  <c r="Z43" i="13"/>
  <c r="F125" i="29"/>
  <c r="Z44" i="13"/>
  <c r="F136" i="29"/>
  <c r="Z45" i="13"/>
  <c r="F114" i="29"/>
  <c r="Z47" i="13"/>
  <c r="F54" i="29"/>
  <c r="Z66" i="13"/>
  <c r="F67" i="29"/>
  <c r="Z68" i="13"/>
  <c r="F120" i="29"/>
  <c r="Z71" i="13"/>
  <c r="F3" i="29"/>
  <c r="Z84" i="13"/>
  <c r="F118" i="29"/>
  <c r="Z85" i="13"/>
  <c r="F129" i="29"/>
  <c r="Z91" i="13"/>
  <c r="F24" i="29"/>
  <c r="Z109" i="13"/>
  <c r="F19" i="29"/>
  <c r="Z112" i="13"/>
  <c r="F119" i="29"/>
  <c r="Z115" i="13"/>
  <c r="F108" i="29"/>
  <c r="Z238" i="13"/>
  <c r="F13" i="29"/>
  <c r="Z240" i="13"/>
  <c r="F12" i="29"/>
  <c r="Z241" i="13"/>
  <c r="F14" i="29"/>
  <c r="Z242" i="13"/>
  <c r="F110" i="29"/>
  <c r="Z245" i="13"/>
  <c r="F103" i="29"/>
  <c r="Z250" i="13"/>
  <c r="F113" i="29"/>
  <c r="Z251" i="13"/>
  <c r="F107" i="29"/>
  <c r="Z253" i="13"/>
  <c r="Z254" i="13"/>
  <c r="M423" i="13" a="1"/>
  <c r="Z256" i="13"/>
  <c r="M257" i="13" a="1"/>
  <c r="G66" i="29"/>
  <c r="Z260" i="13"/>
  <c r="G2" i="29"/>
  <c r="Z264" i="13"/>
  <c r="G3" i="29"/>
  <c r="Z266" i="13"/>
  <c r="Z271" i="13"/>
  <c r="Z286" i="13"/>
  <c r="G95" i="29"/>
  <c r="M453" i="13" a="1"/>
  <c r="G103" i="29"/>
  <c r="Z298" i="13"/>
  <c r="G147" i="29"/>
  <c r="G110" i="29"/>
  <c r="Z324" i="13"/>
  <c r="G144" i="29"/>
  <c r="Z332" i="13"/>
  <c r="G145" i="29"/>
  <c r="Z336" i="13"/>
  <c r="G146" i="29"/>
  <c r="Z338" i="13"/>
  <c r="I490" i="13" a="1"/>
  <c r="J490" i="13" s="1"/>
  <c r="M490" i="13" a="1"/>
  <c r="Z344" i="13"/>
  <c r="Z346" i="13"/>
  <c r="M436" i="13" a="1"/>
  <c r="I436" i="13" a="1"/>
  <c r="J436" i="13" s="1"/>
  <c r="I349" i="13" a="1"/>
  <c r="J349" i="13" s="1"/>
  <c r="Z348" i="13"/>
  <c r="M349" i="13" a="1"/>
  <c r="Z349" i="13"/>
  <c r="I440" i="13" a="1"/>
  <c r="J440" i="13" s="1"/>
  <c r="M440" i="13" a="1"/>
  <c r="M481" i="13" a="1"/>
  <c r="M483" i="13" a="1"/>
  <c r="Z350" i="13"/>
  <c r="M482" i="13" a="1"/>
  <c r="I441" i="13" a="1"/>
  <c r="J441" i="13" s="1"/>
  <c r="Z351" i="13"/>
  <c r="M441" i="13" a="1"/>
  <c r="I369" i="13" a="1"/>
  <c r="J369" i="13" s="1"/>
  <c r="Z352" i="13"/>
  <c r="M369" i="13" a="1"/>
  <c r="Z353" i="13"/>
  <c r="I358" i="13" a="1"/>
  <c r="J358" i="13" s="1"/>
  <c r="M358" i="13" a="1"/>
  <c r="Z354" i="13"/>
  <c r="M355" i="13" a="1"/>
  <c r="I355" i="13" a="1"/>
  <c r="J355" i="13" s="1"/>
  <c r="Z356" i="13"/>
  <c r="Z357" i="13"/>
  <c r="M284" i="13" a="1"/>
  <c r="I284" i="13" a="1"/>
  <c r="J284" i="13" s="1"/>
  <c r="Z358" i="13"/>
  <c r="M410" i="13" a="1"/>
  <c r="G51" i="29"/>
  <c r="M429" i="13" a="1"/>
  <c r="I429" i="13" a="1"/>
  <c r="J429" i="13" s="1"/>
  <c r="Z362" i="13"/>
  <c r="G52" i="29"/>
  <c r="I496" i="13" a="1"/>
  <c r="J496" i="13" s="1"/>
  <c r="Z364" i="13"/>
  <c r="M496" i="13" a="1"/>
  <c r="F87" i="29"/>
  <c r="Z535" i="13"/>
  <c r="F101" i="29"/>
  <c r="Z548" i="13"/>
  <c r="F102" i="29"/>
  <c r="Z549" i="13"/>
  <c r="F5" i="29"/>
  <c r="Z550" i="13"/>
  <c r="F4" i="29"/>
  <c r="Z552" i="13"/>
  <c r="F68" i="29"/>
  <c r="Z558" i="13"/>
  <c r="F69" i="29"/>
  <c r="Z559" i="13"/>
  <c r="F70" i="29"/>
  <c r="Z560" i="13"/>
  <c r="M493" i="13" a="1"/>
  <c r="Z574" i="13"/>
  <c r="I493" i="13" a="1"/>
  <c r="J493" i="13" s="1"/>
  <c r="I494" i="13" a="1"/>
  <c r="J494" i="13" s="1"/>
  <c r="M494" i="13" a="1"/>
  <c r="Z575" i="13"/>
  <c r="F93" i="29"/>
  <c r="M468" i="13" a="1"/>
  <c r="I468" i="13" a="1"/>
  <c r="J468" i="13" s="1"/>
  <c r="Z583" i="13"/>
  <c r="M469" i="13" a="1"/>
  <c r="I469" i="13" a="1"/>
  <c r="J469" i="13" s="1"/>
  <c r="Z584" i="13"/>
  <c r="Z608" i="13"/>
  <c r="M484" i="13" a="1"/>
  <c r="I484" i="13" a="1"/>
  <c r="J484" i="13" s="1"/>
  <c r="P4" i="27" a="1"/>
  <c r="Y87" i="13" a="1"/>
  <c r="Y77" i="13" a="1"/>
  <c r="J889" i="21"/>
  <c r="Y79" i="13" a="1"/>
  <c r="Y81" i="13" a="1"/>
  <c r="Y80" i="13" a="1"/>
  <c r="Y83" i="13" a="1"/>
  <c r="Y82" i="13" a="1"/>
  <c r="Y65" i="13" a="1"/>
  <c r="Y84" i="13" a="1"/>
  <c r="Y66" i="13" a="1"/>
  <c r="J358" i="21"/>
  <c r="J357" i="21"/>
  <c r="Y69" i="13" a="1"/>
  <c r="Y71" i="13" a="1"/>
  <c r="J898" i="21"/>
  <c r="J897" i="21"/>
  <c r="J900" i="21"/>
  <c r="J899" i="21"/>
  <c r="J896" i="21"/>
  <c r="J905" i="21"/>
  <c r="J904" i="21"/>
  <c r="J903" i="21"/>
  <c r="J901" i="21"/>
  <c r="J902" i="21"/>
  <c r="J910" i="21"/>
  <c r="J907" i="21"/>
  <c r="J906" i="21"/>
  <c r="J908" i="21"/>
  <c r="J909" i="21"/>
  <c r="J914" i="21"/>
  <c r="J913" i="21"/>
  <c r="J911" i="21"/>
  <c r="J916" i="21"/>
  <c r="J912" i="21"/>
  <c r="J915" i="21"/>
  <c r="J920" i="21"/>
  <c r="J922" i="21"/>
  <c r="J918" i="21"/>
  <c r="J921" i="21"/>
  <c r="J917" i="21"/>
  <c r="J919" i="21"/>
  <c r="J924" i="21"/>
  <c r="J926" i="21"/>
  <c r="J925" i="21"/>
  <c r="J923" i="21"/>
  <c r="Y72" i="13" a="1"/>
  <c r="J930" i="21"/>
  <c r="J929" i="21"/>
  <c r="J927" i="21"/>
  <c r="J928" i="21"/>
  <c r="J931" i="21"/>
  <c r="J940" i="21"/>
  <c r="J938" i="21"/>
  <c r="J941" i="21"/>
  <c r="J939" i="21"/>
  <c r="J944" i="21"/>
  <c r="J942" i="21"/>
  <c r="J943" i="21"/>
  <c r="J947" i="21"/>
  <c r="J945" i="21"/>
  <c r="J946" i="21"/>
  <c r="J949" i="21"/>
  <c r="J948" i="21"/>
  <c r="J953" i="21"/>
  <c r="J950" i="21"/>
  <c r="J952" i="21"/>
  <c r="J951" i="21"/>
  <c r="J958" i="21"/>
  <c r="J954" i="21"/>
  <c r="J955" i="21"/>
  <c r="J957" i="21"/>
  <c r="J959" i="21"/>
  <c r="J956" i="21"/>
  <c r="J963" i="21"/>
  <c r="J964" i="21"/>
  <c r="J962" i="21"/>
  <c r="J960" i="21"/>
  <c r="J965" i="21"/>
  <c r="J961" i="21"/>
  <c r="J971" i="21"/>
  <c r="J966" i="21"/>
  <c r="J968" i="21"/>
  <c r="J970" i="21"/>
  <c r="J973" i="21"/>
  <c r="J974" i="21"/>
  <c r="J972" i="21"/>
  <c r="J967" i="21"/>
  <c r="J969" i="21"/>
  <c r="J976" i="21"/>
  <c r="J978" i="21"/>
  <c r="J979" i="21"/>
  <c r="Y73" i="13" a="1"/>
  <c r="Y67" i="13" a="1"/>
  <c r="J977" i="21"/>
  <c r="J975" i="21"/>
  <c r="J983" i="21"/>
  <c r="J981" i="21"/>
  <c r="J982" i="21"/>
  <c r="J984" i="21"/>
  <c r="J986" i="21"/>
  <c r="J988" i="21"/>
  <c r="J990" i="21"/>
  <c r="J992" i="21"/>
  <c r="J993" i="21"/>
  <c r="Y55" i="13" a="1"/>
  <c r="Y56" i="13" a="1"/>
  <c r="Y74" i="13" a="1"/>
  <c r="Y57" i="13" a="1"/>
  <c r="Y58" i="13" a="1"/>
  <c r="Y101" i="13" a="1"/>
  <c r="Y102" i="13" a="1"/>
  <c r="Y103" i="13" a="1"/>
  <c r="Y105" i="13" a="1"/>
  <c r="Y85" i="13" a="1"/>
  <c r="Y86" i="13" a="1"/>
  <c r="Y104" i="13" a="1"/>
  <c r="Y88" i="13" a="1"/>
  <c r="Y90" i="13" a="1"/>
  <c r="Y89" i="13" a="1"/>
  <c r="Y92" i="13" a="1"/>
  <c r="Y94" i="13" a="1"/>
  <c r="Y91" i="13" a="1"/>
  <c r="Y93" i="13" a="1"/>
  <c r="Y75" i="13" a="1"/>
  <c r="Y76" i="13" a="1"/>
  <c r="J1678" i="21"/>
  <c r="J1696" i="21"/>
  <c r="J1704" i="21"/>
  <c r="J1708" i="21"/>
  <c r="J1711" i="21"/>
  <c r="J1707" i="21"/>
  <c r="J1712" i="21"/>
  <c r="J1706" i="21"/>
  <c r="J1705" i="21"/>
  <c r="J1710" i="21"/>
  <c r="J1709" i="21"/>
  <c r="J1718" i="21"/>
  <c r="J1719" i="21"/>
  <c r="J1720" i="21"/>
  <c r="J1716" i="21"/>
  <c r="J1717" i="21"/>
  <c r="J1713" i="21"/>
  <c r="J1715" i="21"/>
  <c r="J1714" i="21"/>
  <c r="J1725" i="21"/>
  <c r="J1726" i="21"/>
  <c r="J1727" i="21"/>
  <c r="J1728" i="21"/>
  <c r="J1723" i="21"/>
  <c r="J1722" i="21"/>
  <c r="J1724" i="21"/>
  <c r="J1721" i="21"/>
  <c r="J1731" i="21"/>
  <c r="J1730" i="21"/>
  <c r="J1734" i="21"/>
  <c r="J1735" i="21"/>
  <c r="J1733" i="21"/>
  <c r="J1732" i="21"/>
  <c r="J1729" i="21"/>
  <c r="J1736" i="21"/>
  <c r="J1738" i="21"/>
  <c r="J1737" i="21"/>
  <c r="J1740" i="21"/>
  <c r="J1741" i="21"/>
  <c r="J1739" i="21"/>
  <c r="J1746" i="21"/>
  <c r="J1742" i="21"/>
  <c r="J1744" i="21"/>
  <c r="J1743" i="21"/>
  <c r="J1745" i="21"/>
  <c r="J1748" i="21"/>
  <c r="J1749" i="21"/>
  <c r="J1747" i="21"/>
  <c r="J1750" i="21"/>
  <c r="J1751" i="21"/>
  <c r="J1753" i="21"/>
  <c r="J1755" i="21"/>
  <c r="J1754" i="21"/>
  <c r="J1752" i="21"/>
  <c r="J1756" i="21"/>
  <c r="J1757" i="21"/>
  <c r="J1759" i="21"/>
  <c r="J1761" i="21"/>
  <c r="J1758" i="21"/>
  <c r="J1760" i="21"/>
  <c r="J1765" i="21"/>
  <c r="J1766" i="21"/>
  <c r="J1764" i="21"/>
  <c r="J1762" i="21"/>
  <c r="J1763" i="21"/>
  <c r="J1770" i="21"/>
  <c r="J1772" i="21"/>
  <c r="J1769" i="21"/>
  <c r="J1771" i="21"/>
  <c r="J1773" i="21"/>
  <c r="J1768" i="21"/>
  <c r="J1767" i="21"/>
  <c r="J1777" i="21"/>
  <c r="J1774" i="21"/>
  <c r="J1776" i="21"/>
  <c r="J1775" i="21"/>
  <c r="J1779" i="21"/>
  <c r="J1778" i="21"/>
  <c r="J1780" i="21"/>
  <c r="J1781" i="21"/>
  <c r="J1787" i="21"/>
  <c r="J1786" i="21"/>
  <c r="J1784" i="21"/>
  <c r="J1788" i="21"/>
  <c r="J1785" i="21"/>
  <c r="J1783" i="21"/>
  <c r="J1782" i="21"/>
  <c r="J1789" i="21"/>
  <c r="J1797" i="21"/>
  <c r="J1794" i="21"/>
  <c r="J1792" i="21"/>
  <c r="J1796" i="21"/>
  <c r="J1798" i="21"/>
  <c r="J1793" i="21"/>
  <c r="J1795" i="21"/>
  <c r="J1803" i="21"/>
  <c r="J1799" i="21"/>
  <c r="J1801" i="21"/>
  <c r="J1800" i="21"/>
  <c r="J1804" i="21"/>
  <c r="J1802" i="21"/>
  <c r="J1805" i="21"/>
  <c r="J1806" i="21"/>
  <c r="J1807" i="21"/>
  <c r="J1809" i="21"/>
  <c r="J1808" i="21"/>
  <c r="J1812" i="21"/>
  <c r="J1811" i="21"/>
  <c r="J1813" i="21"/>
  <c r="J1810" i="21"/>
  <c r="J1815" i="21"/>
  <c r="J1814" i="21"/>
  <c r="J1816" i="21"/>
  <c r="J1824" i="21"/>
  <c r="J1823" i="21"/>
  <c r="J1821" i="21"/>
  <c r="J1822" i="21"/>
  <c r="J1820" i="21"/>
  <c r="J1819" i="21"/>
  <c r="J1817" i="21"/>
  <c r="J1818" i="21"/>
  <c r="J1825" i="21"/>
  <c r="J1826" i="21"/>
  <c r="J1830" i="21"/>
  <c r="J1828" i="21"/>
  <c r="J1831" i="21"/>
  <c r="J1829" i="21"/>
  <c r="J1827" i="21"/>
  <c r="J1833" i="21"/>
  <c r="J1835" i="21"/>
  <c r="J1837" i="21"/>
  <c r="J1832" i="21"/>
  <c r="J1834" i="21"/>
  <c r="J1836" i="21"/>
  <c r="J1840" i="21"/>
  <c r="J1838" i="21"/>
  <c r="J1839" i="21"/>
  <c r="J1841" i="21"/>
  <c r="J1842" i="21"/>
  <c r="J1846" i="21"/>
  <c r="J1845" i="21"/>
  <c r="J1844" i="21"/>
  <c r="J1843" i="21"/>
  <c r="J1848" i="21"/>
  <c r="J1847" i="21"/>
  <c r="J1855" i="21"/>
  <c r="J1851" i="21"/>
  <c r="J1850" i="21"/>
  <c r="J1849" i="21"/>
  <c r="J1852" i="21"/>
  <c r="J1853" i="21"/>
  <c r="J1854" i="21"/>
  <c r="J1859" i="21"/>
  <c r="J1858" i="21"/>
  <c r="J1857" i="21"/>
  <c r="J1856" i="21"/>
  <c r="J1862" i="21"/>
  <c r="J1868" i="21"/>
  <c r="J1864" i="21"/>
  <c r="J1866" i="21"/>
  <c r="J1869" i="21"/>
  <c r="J1863" i="21"/>
  <c r="J1865" i="21"/>
  <c r="J1867" i="21"/>
  <c r="J1861" i="21"/>
  <c r="J1860" i="21"/>
  <c r="Y78" i="13" a="1"/>
  <c r="J1874" i="21"/>
  <c r="J1873" i="21"/>
  <c r="J1872" i="21"/>
  <c r="J1875" i="21"/>
  <c r="J1870" i="21"/>
  <c r="J1871" i="21"/>
  <c r="J1882" i="21"/>
  <c r="J1884" i="21"/>
  <c r="J1881" i="21"/>
  <c r="J1878" i="21"/>
  <c r="J1876" i="21"/>
  <c r="J1877" i="21"/>
  <c r="J1879" i="21"/>
  <c r="J1880" i="21"/>
  <c r="J1883" i="21"/>
  <c r="J1890" i="21"/>
  <c r="J1887" i="21"/>
  <c r="J1894" i="21"/>
  <c r="J1886" i="21"/>
  <c r="J1889" i="21"/>
  <c r="J1892" i="21"/>
  <c r="J1895" i="21"/>
  <c r="J1893" i="21"/>
  <c r="J1885" i="21"/>
  <c r="J1888" i="21"/>
  <c r="J1891" i="21"/>
  <c r="J1896" i="21"/>
  <c r="J1898" i="21"/>
  <c r="J1897" i="21"/>
  <c r="J1899" i="21"/>
  <c r="J1901" i="21"/>
  <c r="J1903" i="21"/>
  <c r="J1902" i="21"/>
  <c r="J1900" i="21"/>
  <c r="J1906" i="21"/>
  <c r="J1904" i="21"/>
  <c r="J1905" i="21"/>
  <c r="J1912" i="21"/>
  <c r="J1907" i="21"/>
  <c r="J1911" i="21"/>
  <c r="J1908" i="21"/>
  <c r="J1910" i="21"/>
  <c r="J1909" i="21"/>
  <c r="J1913" i="21"/>
  <c r="J1914" i="21"/>
  <c r="J1915" i="21"/>
  <c r="J1916" i="21"/>
  <c r="J1917" i="21"/>
  <c r="J1918" i="21"/>
  <c r="J1919" i="21"/>
  <c r="J1920" i="21"/>
  <c r="J1922" i="21"/>
  <c r="J1921" i="21"/>
  <c r="J1923" i="21"/>
  <c r="J1927" i="21"/>
  <c r="J1924" i="21"/>
  <c r="J1926" i="21"/>
  <c r="J1925" i="21"/>
  <c r="J1928" i="21"/>
  <c r="J1929" i="21"/>
  <c r="J1933" i="21"/>
  <c r="J1932" i="21"/>
  <c r="J1931" i="21"/>
  <c r="J1930" i="21"/>
  <c r="J1934" i="21"/>
  <c r="J1935" i="21"/>
  <c r="J1936" i="21"/>
  <c r="J1937" i="21"/>
  <c r="J1945" i="21"/>
  <c r="J1938" i="21"/>
  <c r="J1941" i="21"/>
  <c r="J1944" i="21"/>
  <c r="J1947" i="21"/>
  <c r="J1946" i="21"/>
  <c r="J1942" i="21"/>
  <c r="J1943" i="21"/>
  <c r="J1939" i="21"/>
  <c r="J1940" i="21"/>
  <c r="J1948" i="21"/>
  <c r="J1951" i="21"/>
  <c r="J1958" i="21"/>
  <c r="J1953" i="21"/>
  <c r="J1957" i="21"/>
  <c r="J1949" i="21"/>
  <c r="J1952" i="21"/>
  <c r="J1955" i="21"/>
  <c r="J1956" i="21"/>
  <c r="J1954" i="21"/>
  <c r="J1950" i="21"/>
  <c r="J1959" i="21"/>
  <c r="J1964" i="21"/>
  <c r="J1961" i="21"/>
  <c r="J1962" i="21"/>
  <c r="J1960" i="21"/>
  <c r="J1966" i="21"/>
  <c r="J1965" i="21"/>
  <c r="J1963" i="21"/>
  <c r="J1970" i="21"/>
  <c r="J1968" i="21"/>
  <c r="J1969" i="21"/>
  <c r="J1973" i="21"/>
  <c r="J1971" i="21"/>
  <c r="J1967" i="21"/>
  <c r="J1974" i="21"/>
  <c r="J1972" i="21"/>
  <c r="J1977" i="21"/>
  <c r="J1979" i="21"/>
  <c r="J1982" i="21"/>
  <c r="J1976" i="21"/>
  <c r="J1975" i="21"/>
  <c r="J1980" i="21"/>
  <c r="J1978" i="21"/>
  <c r="J1981" i="21"/>
  <c r="J1985" i="21"/>
  <c r="J1984" i="21"/>
  <c r="J1990" i="21"/>
  <c r="J1986" i="21"/>
  <c r="J1983" i="21"/>
  <c r="J1987" i="21"/>
  <c r="J1989" i="21"/>
  <c r="J1988" i="21"/>
  <c r="J1992" i="21"/>
  <c r="J1994" i="21"/>
  <c r="J1991" i="21"/>
  <c r="J1993" i="21"/>
  <c r="J1995" i="21"/>
  <c r="J1999" i="21"/>
  <c r="J1998" i="21"/>
  <c r="J1996" i="21"/>
  <c r="J2000" i="21"/>
  <c r="J1997" i="21"/>
  <c r="J2001" i="21"/>
  <c r="J2004" i="21"/>
  <c r="J2003" i="21"/>
  <c r="J2002" i="21"/>
  <c r="J2005" i="21"/>
  <c r="J2006" i="21"/>
  <c r="J2007" i="21"/>
  <c r="J2008" i="21"/>
  <c r="J2009" i="21"/>
  <c r="J2010" i="21"/>
  <c r="Y143" i="13" a="1"/>
  <c r="Y144" i="13" a="1"/>
  <c r="Y145" i="13" a="1"/>
  <c r="Y617" i="13" a="1"/>
  <c r="Y618" i="13" a="1"/>
  <c r="Y614" i="13" a="1"/>
  <c r="Y616" i="13" a="1"/>
  <c r="Y619" i="13" a="1"/>
  <c r="Y615" i="13" a="1"/>
  <c r="Y613" i="13" a="1"/>
  <c r="Y146" i="13" a="1"/>
  <c r="Y147" i="13" a="1"/>
  <c r="Y136" i="13" a="1"/>
  <c r="Y137" i="13" a="1"/>
  <c r="Y148" i="13" a="1"/>
  <c r="Y139" i="13" a="1"/>
  <c r="Y138" i="13" a="1"/>
  <c r="Y149" i="13" a="1"/>
  <c r="Y141" i="13" a="1"/>
  <c r="Y140" i="13" a="1"/>
  <c r="Y150" i="13" a="1"/>
  <c r="Y126" i="13" a="1"/>
  <c r="Y142" i="13" a="1"/>
  <c r="Y151" i="13" a="1"/>
  <c r="Y127" i="13" a="1"/>
  <c r="Y128" i="13" a="1"/>
  <c r="Y130" i="13" a="1"/>
  <c r="Y152" i="13" a="1"/>
  <c r="Y129" i="13" a="1"/>
  <c r="J393" i="21"/>
  <c r="J392" i="21"/>
  <c r="J394" i="21"/>
  <c r="J395" i="21"/>
  <c r="J396" i="21"/>
  <c r="J398" i="21"/>
  <c r="J399" i="21"/>
  <c r="J397" i="21"/>
  <c r="J402" i="21"/>
  <c r="J400" i="21"/>
  <c r="J401" i="21"/>
  <c r="J403" i="21"/>
  <c r="J404" i="21"/>
  <c r="J405" i="21"/>
  <c r="J406" i="21"/>
  <c r="J407" i="21"/>
  <c r="J408" i="21"/>
  <c r="J409" i="21"/>
  <c r="J410" i="21"/>
  <c r="J411" i="21"/>
  <c r="J413" i="21"/>
  <c r="J412" i="21"/>
  <c r="J414" i="21"/>
  <c r="J415" i="21"/>
  <c r="J417" i="21"/>
  <c r="J422" i="21"/>
  <c r="J416" i="21"/>
  <c r="J423" i="21"/>
  <c r="J421" i="21"/>
  <c r="J420" i="21"/>
  <c r="J419" i="21"/>
  <c r="J418" i="21"/>
  <c r="Y153" i="13" a="1"/>
  <c r="Y131" i="13" a="1"/>
  <c r="Y132" i="13" a="1"/>
  <c r="J425" i="21"/>
  <c r="J426" i="21"/>
  <c r="J427" i="21"/>
  <c r="J424" i="21"/>
  <c r="J428" i="21"/>
  <c r="J431" i="21"/>
  <c r="J432" i="21"/>
  <c r="J430" i="21"/>
  <c r="J429" i="21"/>
  <c r="J436" i="21"/>
  <c r="J434" i="21"/>
  <c r="J435" i="21"/>
  <c r="J433" i="21"/>
  <c r="J439" i="21"/>
  <c r="J438" i="21"/>
  <c r="J440" i="21"/>
  <c r="J437" i="21"/>
  <c r="J442" i="21"/>
  <c r="J441" i="21"/>
  <c r="J445" i="21"/>
  <c r="J444" i="21"/>
  <c r="J443" i="21"/>
  <c r="J447" i="21"/>
  <c r="J448" i="21"/>
  <c r="J446" i="21"/>
  <c r="J449" i="21"/>
  <c r="J450" i="21"/>
  <c r="J453" i="21"/>
  <c r="J451" i="21"/>
  <c r="J455" i="21"/>
  <c r="J454" i="21"/>
  <c r="J452" i="21"/>
  <c r="J458" i="21"/>
  <c r="J457" i="21"/>
  <c r="J459" i="21"/>
  <c r="J460" i="21"/>
  <c r="J456" i="21"/>
  <c r="J463" i="21"/>
  <c r="J461" i="21"/>
  <c r="J464" i="21"/>
  <c r="J462" i="21"/>
  <c r="J467" i="21"/>
  <c r="J466" i="21"/>
  <c r="J468" i="21"/>
  <c r="J465" i="21"/>
  <c r="J469" i="21"/>
  <c r="J472" i="21"/>
  <c r="J470" i="21"/>
  <c r="J471" i="21"/>
  <c r="J473" i="21"/>
  <c r="J477" i="21"/>
  <c r="J475" i="21"/>
  <c r="J476" i="21"/>
  <c r="J474" i="21"/>
  <c r="J481" i="21"/>
  <c r="J482" i="21"/>
  <c r="J480" i="21"/>
  <c r="J478" i="21"/>
  <c r="J479" i="21"/>
  <c r="J484" i="21"/>
  <c r="J486" i="21"/>
  <c r="J483" i="21"/>
  <c r="J487" i="21"/>
  <c r="J485" i="21"/>
  <c r="Y133" i="13" a="1"/>
  <c r="Y134" i="13" a="1"/>
  <c r="J496" i="21"/>
  <c r="J492" i="21"/>
  <c r="J490" i="21"/>
  <c r="J488" i="21"/>
  <c r="J493" i="21"/>
  <c r="J495" i="21"/>
  <c r="J491" i="21"/>
  <c r="J489" i="21"/>
  <c r="Y154" i="13" a="1"/>
  <c r="J494" i="21"/>
  <c r="J500" i="21"/>
  <c r="J499" i="21"/>
  <c r="J502" i="21"/>
  <c r="J498" i="21"/>
  <c r="J501" i="21"/>
  <c r="J497" i="21"/>
  <c r="J506" i="21"/>
  <c r="J508" i="21"/>
  <c r="J507" i="21"/>
  <c r="J504" i="21"/>
  <c r="J505" i="21"/>
  <c r="J503" i="21"/>
  <c r="J511" i="21"/>
  <c r="J510" i="21"/>
  <c r="J513" i="21"/>
  <c r="J512" i="21"/>
  <c r="J509" i="21"/>
  <c r="J514" i="21"/>
  <c r="J516" i="21"/>
  <c r="J518" i="21"/>
  <c r="J515" i="21"/>
  <c r="J517" i="21"/>
  <c r="J519" i="21"/>
  <c r="J521" i="21"/>
  <c r="J520" i="21"/>
  <c r="J526" i="21"/>
  <c r="J524" i="21"/>
  <c r="J522" i="21"/>
  <c r="J525" i="21"/>
  <c r="J527" i="21"/>
  <c r="J523" i="21"/>
  <c r="J528" i="21"/>
  <c r="J531" i="21"/>
  <c r="J533" i="21"/>
  <c r="J530" i="21"/>
  <c r="J529" i="21"/>
  <c r="J532" i="21"/>
  <c r="J534" i="21"/>
  <c r="J537" i="21"/>
  <c r="J535" i="21"/>
  <c r="J538" i="21"/>
  <c r="J536" i="21"/>
  <c r="J542" i="21"/>
  <c r="J539" i="21"/>
  <c r="J540" i="21"/>
  <c r="J541" i="21"/>
  <c r="J544" i="21"/>
  <c r="J545" i="21"/>
  <c r="J543" i="21"/>
  <c r="J546" i="21"/>
  <c r="J551" i="21"/>
  <c r="J549" i="21"/>
  <c r="J547" i="21"/>
  <c r="J550" i="21"/>
  <c r="J548" i="21"/>
  <c r="Y116" i="13" a="1"/>
  <c r="Y155" i="13" a="1"/>
  <c r="Y135" i="13" a="1"/>
  <c r="J552" i="21"/>
  <c r="J553" i="21"/>
  <c r="J555" i="21"/>
  <c r="J554" i="21"/>
  <c r="J558" i="21"/>
  <c r="J556" i="21"/>
  <c r="J559" i="21"/>
  <c r="J557" i="21"/>
  <c r="J561" i="21"/>
  <c r="J560" i="21"/>
  <c r="J563" i="21"/>
  <c r="J562" i="21"/>
  <c r="J565" i="21"/>
  <c r="J567" i="21"/>
  <c r="J564" i="21"/>
  <c r="J566" i="21"/>
  <c r="J569" i="21"/>
  <c r="J570" i="21"/>
  <c r="J568" i="21"/>
  <c r="J571" i="21"/>
  <c r="J574" i="21"/>
  <c r="J576" i="21"/>
  <c r="J572" i="21"/>
  <c r="J575" i="21"/>
  <c r="J573" i="21"/>
  <c r="J579" i="21"/>
  <c r="J581" i="21"/>
  <c r="J577" i="21"/>
  <c r="J578" i="21"/>
  <c r="J580" i="21"/>
  <c r="J584" i="21"/>
  <c r="J585" i="21"/>
  <c r="J586" i="21"/>
  <c r="J582" i="21"/>
  <c r="J583" i="21"/>
  <c r="J590" i="21"/>
  <c r="J587" i="21"/>
  <c r="J589" i="21"/>
  <c r="J591" i="21"/>
  <c r="J588" i="21"/>
  <c r="J595" i="21"/>
  <c r="J594" i="21"/>
  <c r="J592" i="21"/>
  <c r="J593" i="21"/>
  <c r="J599" i="21"/>
  <c r="J598" i="21"/>
  <c r="J596" i="21"/>
  <c r="J597" i="21"/>
  <c r="J603" i="21"/>
  <c r="J600" i="21"/>
  <c r="J602" i="21"/>
  <c r="J601" i="21"/>
  <c r="J605" i="21"/>
  <c r="J607" i="21"/>
  <c r="J606" i="21"/>
  <c r="J608" i="21"/>
  <c r="J604" i="21"/>
  <c r="J613" i="21"/>
  <c r="J609" i="21"/>
  <c r="J610" i="21"/>
  <c r="J611" i="21"/>
  <c r="J612" i="21"/>
  <c r="Y156" i="13" a="1"/>
  <c r="Y118" i="13" a="1"/>
  <c r="Y117" i="13" a="1"/>
  <c r="J617" i="21"/>
  <c r="J619" i="21"/>
  <c r="J615" i="21"/>
  <c r="J614" i="21"/>
  <c r="J616" i="21"/>
  <c r="J618" i="21"/>
  <c r="J624" i="21"/>
  <c r="J621" i="21"/>
  <c r="J623" i="21"/>
  <c r="J622" i="21"/>
  <c r="J625" i="21"/>
  <c r="J620" i="21"/>
  <c r="J631" i="21"/>
  <c r="J626" i="21"/>
  <c r="J629" i="21"/>
  <c r="J627" i="21"/>
  <c r="J628" i="21"/>
  <c r="J630" i="21"/>
  <c r="J634" i="21"/>
  <c r="J636" i="21"/>
  <c r="J638" i="21"/>
  <c r="J637" i="21"/>
  <c r="J635" i="21"/>
  <c r="J633" i="21"/>
  <c r="J632" i="21"/>
  <c r="J642" i="21"/>
  <c r="J644" i="21"/>
  <c r="J646" i="21"/>
  <c r="J641" i="21"/>
  <c r="J639" i="21"/>
  <c r="J640" i="21"/>
  <c r="J645" i="21"/>
  <c r="J643" i="21"/>
  <c r="J649" i="21"/>
  <c r="J648" i="21"/>
  <c r="J650" i="21"/>
  <c r="J647" i="21"/>
  <c r="J651" i="21"/>
  <c r="J653" i="21"/>
  <c r="J652" i="21"/>
  <c r="J658" i="21"/>
  <c r="J657" i="21"/>
  <c r="J659" i="21"/>
  <c r="J656" i="21"/>
  <c r="J654" i="21"/>
  <c r="J655" i="21"/>
  <c r="J665" i="21"/>
  <c r="J660" i="21"/>
  <c r="J662" i="21"/>
  <c r="J667" i="21"/>
  <c r="J661" i="21"/>
  <c r="J664" i="21"/>
  <c r="J666" i="21"/>
  <c r="J663" i="21"/>
  <c r="Y120" i="13" a="1"/>
  <c r="Y119" i="13" a="1"/>
  <c r="Y157" i="13" a="1"/>
  <c r="J669" i="21"/>
  <c r="J673" i="21"/>
  <c r="J671" i="21"/>
  <c r="J672" i="21"/>
  <c r="J668" i="21"/>
  <c r="J670" i="21"/>
  <c r="J674" i="21"/>
  <c r="J676" i="21"/>
  <c r="J678" i="21"/>
  <c r="J679" i="21"/>
  <c r="J677" i="21"/>
  <c r="J675" i="21"/>
  <c r="J680" i="21"/>
  <c r="J682" i="21"/>
  <c r="J684" i="21"/>
  <c r="J683" i="21"/>
  <c r="J686" i="21"/>
  <c r="J685" i="21"/>
  <c r="J681" i="21"/>
  <c r="J687" i="21"/>
  <c r="J693" i="21"/>
  <c r="J688" i="21"/>
  <c r="J690" i="21"/>
  <c r="J692" i="21"/>
  <c r="J691" i="21"/>
  <c r="J689" i="21"/>
  <c r="J698" i="21"/>
  <c r="J700" i="21"/>
  <c r="J694" i="21"/>
  <c r="J695" i="21"/>
  <c r="J697" i="21"/>
  <c r="J696" i="21"/>
  <c r="J699" i="21"/>
  <c r="J705" i="21"/>
  <c r="J701" i="21"/>
  <c r="J706" i="21"/>
  <c r="J704" i="21"/>
  <c r="J702" i="21"/>
  <c r="J703" i="21"/>
  <c r="J709" i="21"/>
  <c r="J707" i="21"/>
  <c r="J710" i="21"/>
  <c r="J711" i="21"/>
  <c r="J712" i="21"/>
  <c r="J708" i="21"/>
  <c r="J714" i="21"/>
  <c r="J715" i="21"/>
  <c r="J716" i="21"/>
  <c r="J713" i="21"/>
  <c r="J717" i="21"/>
  <c r="J719" i="21"/>
  <c r="J721" i="21"/>
  <c r="J723" i="21"/>
  <c r="J722" i="21"/>
  <c r="J718" i="21"/>
  <c r="J720" i="21"/>
  <c r="J731" i="21"/>
  <c r="J732" i="21"/>
  <c r="J725" i="21"/>
  <c r="J727" i="21"/>
  <c r="J730" i="21"/>
  <c r="J724" i="21"/>
  <c r="J726" i="21"/>
  <c r="J728" i="21"/>
  <c r="J729" i="21"/>
  <c r="Y158" i="13" a="1"/>
  <c r="Y122" i="13" a="1"/>
  <c r="Y121" i="13" a="1"/>
  <c r="J733" i="21"/>
  <c r="J734" i="21"/>
  <c r="J736" i="21"/>
  <c r="J738" i="21"/>
  <c r="J737" i="21"/>
  <c r="J735" i="21"/>
  <c r="J740" i="21"/>
  <c r="J744" i="21"/>
  <c r="J739" i="21"/>
  <c r="J742" i="21"/>
  <c r="J743" i="21"/>
  <c r="J745" i="21"/>
  <c r="J741" i="21"/>
  <c r="J750" i="21"/>
  <c r="J753" i="21"/>
  <c r="J752" i="21"/>
  <c r="J747" i="21"/>
  <c r="J746" i="21"/>
  <c r="J748" i="21"/>
  <c r="J749" i="21"/>
  <c r="J751" i="21"/>
  <c r="J760" i="21"/>
  <c r="J762" i="21"/>
  <c r="J755" i="21"/>
  <c r="J754" i="21"/>
  <c r="J756" i="21"/>
  <c r="J761" i="21"/>
  <c r="J759" i="21"/>
  <c r="J758" i="21"/>
  <c r="J757" i="21"/>
  <c r="J765" i="21"/>
  <c r="J764" i="21"/>
  <c r="J766" i="21"/>
  <c r="J767" i="21"/>
  <c r="J763" i="21"/>
  <c r="J770" i="21"/>
  <c r="J771" i="21"/>
  <c r="J773" i="21"/>
  <c r="J775" i="21"/>
  <c r="J772" i="21"/>
  <c r="J769" i="21"/>
  <c r="J768" i="21"/>
  <c r="J774" i="21"/>
  <c r="J779" i="21"/>
  <c r="J781" i="21"/>
  <c r="J780" i="21"/>
  <c r="J778" i="21"/>
  <c r="J776" i="21"/>
  <c r="J777" i="21"/>
  <c r="J786" i="21"/>
  <c r="J782" i="21"/>
  <c r="J784" i="21"/>
  <c r="J783" i="21"/>
  <c r="J785" i="21"/>
  <c r="J787" i="21"/>
  <c r="Y123" i="13" a="1"/>
  <c r="Y159" i="13" a="1"/>
  <c r="J792" i="21"/>
  <c r="J791" i="21"/>
  <c r="J788" i="21"/>
  <c r="J790" i="21"/>
  <c r="J793" i="21"/>
  <c r="J795" i="21"/>
  <c r="J789" i="21"/>
  <c r="J794" i="21"/>
  <c r="Y124" i="13" a="1"/>
  <c r="J798" i="21"/>
  <c r="J801" i="21"/>
  <c r="J799" i="21"/>
  <c r="J797" i="21"/>
  <c r="J796" i="21"/>
  <c r="J800" i="21"/>
  <c r="J805" i="21"/>
  <c r="J803" i="21"/>
  <c r="J804" i="21"/>
  <c r="J802" i="21"/>
  <c r="J806" i="21"/>
  <c r="J808" i="21"/>
  <c r="J807" i="21"/>
  <c r="J811" i="21"/>
  <c r="J809" i="21"/>
  <c r="J812" i="21"/>
  <c r="J810" i="21"/>
  <c r="J814" i="21"/>
  <c r="J816" i="21"/>
  <c r="J818" i="21"/>
  <c r="J819" i="21"/>
  <c r="J817" i="21"/>
  <c r="J815" i="21"/>
  <c r="J813" i="21"/>
  <c r="J821" i="21"/>
  <c r="J820" i="21"/>
  <c r="J824" i="21"/>
  <c r="J822" i="21"/>
  <c r="J823" i="21"/>
  <c r="J825" i="21"/>
  <c r="J828" i="21"/>
  <c r="J826" i="21"/>
  <c r="J829" i="21"/>
  <c r="J830" i="21"/>
  <c r="J827" i="21"/>
  <c r="J835" i="21"/>
  <c r="J837" i="21"/>
  <c r="J832" i="21"/>
  <c r="J834" i="21"/>
  <c r="J836" i="21"/>
  <c r="J831" i="21"/>
  <c r="J833" i="21"/>
  <c r="J838" i="21"/>
  <c r="J840" i="21"/>
  <c r="J841" i="21"/>
  <c r="J839" i="21"/>
  <c r="Y125" i="13" a="1"/>
  <c r="Y160" i="13" a="1"/>
  <c r="J843" i="21"/>
  <c r="J842" i="21"/>
  <c r="J844" i="21"/>
  <c r="J846" i="21"/>
  <c r="J845" i="21"/>
  <c r="J847" i="21"/>
  <c r="J848" i="21"/>
  <c r="J854" i="21"/>
  <c r="Y106" i="13" a="1"/>
  <c r="J851" i="21"/>
  <c r="J853" i="21"/>
  <c r="J849" i="21"/>
  <c r="J852" i="21"/>
  <c r="J850" i="21"/>
  <c r="J859" i="21"/>
  <c r="J857" i="21"/>
  <c r="J858" i="21"/>
  <c r="J856" i="21"/>
  <c r="J860" i="21"/>
  <c r="J855" i="21"/>
  <c r="J864" i="21"/>
  <c r="J862" i="21"/>
  <c r="J861" i="21"/>
  <c r="J863" i="21"/>
  <c r="J870" i="21"/>
  <c r="J868" i="21"/>
  <c r="J872" i="21"/>
  <c r="J873" i="21"/>
  <c r="J871" i="21"/>
  <c r="J869" i="21"/>
  <c r="J867" i="21"/>
  <c r="J865" i="21"/>
  <c r="J866" i="21"/>
  <c r="J877" i="21"/>
  <c r="J880" i="21"/>
  <c r="J878" i="21"/>
  <c r="J875" i="21"/>
  <c r="J876" i="21"/>
  <c r="J882" i="21"/>
  <c r="J874" i="21"/>
  <c r="J881" i="21"/>
  <c r="J879" i="21"/>
  <c r="J887" i="21"/>
  <c r="J885" i="21"/>
  <c r="J883" i="21"/>
  <c r="J888" i="21"/>
  <c r="J890" i="21"/>
  <c r="J884" i="21"/>
  <c r="J891" i="21"/>
  <c r="J886" i="21"/>
  <c r="J892" i="21"/>
  <c r="J893" i="21"/>
  <c r="J894" i="21"/>
  <c r="J895" i="21"/>
  <c r="Y161" i="13" a="1"/>
  <c r="Y107" i="13" a="1"/>
  <c r="Y108" i="13" a="1"/>
  <c r="J933" i="21"/>
  <c r="J935" i="21"/>
  <c r="J937" i="21"/>
  <c r="J934" i="21"/>
  <c r="J936" i="21"/>
  <c r="J932" i="21"/>
  <c r="Y109" i="13" a="1"/>
  <c r="Y162" i="13" a="1"/>
  <c r="Y110" i="13" a="1"/>
  <c r="Y111" i="13" a="1"/>
  <c r="Y163" i="13" a="1"/>
  <c r="Y112" i="13" a="1"/>
  <c r="Y113" i="13" a="1"/>
  <c r="Y164" i="13" a="1"/>
  <c r="Y114" i="13" a="1"/>
  <c r="Y115" i="13" a="1"/>
  <c r="Y165" i="13" a="1"/>
  <c r="Y95" i="13" a="1"/>
  <c r="J1481" i="21"/>
  <c r="Y96" i="13" a="1"/>
  <c r="Y166" i="13" a="1"/>
  <c r="Y97" i="13" a="1"/>
  <c r="Y98" i="13" a="1"/>
  <c r="Y167" i="13" a="1"/>
  <c r="J1790" i="21"/>
  <c r="J1791" i="21"/>
  <c r="Y99" i="13" a="1"/>
  <c r="Y100" i="13" a="1"/>
  <c r="Y168" i="13" a="1"/>
  <c r="A2" i="34" a="1"/>
  <c r="Z617" i="13"/>
  <c r="I60" i="13" a="1"/>
  <c r="J60" i="13" s="1"/>
  <c r="M60" i="13" a="1"/>
  <c r="G81" i="29"/>
  <c r="G94" i="29"/>
  <c r="G104" i="29"/>
  <c r="G82" i="29"/>
  <c r="G141" i="29"/>
  <c r="G71" i="29"/>
  <c r="G79" i="29"/>
  <c r="M519" i="13" a="1"/>
  <c r="I519" i="13" a="1"/>
  <c r="J519" i="13" s="1"/>
  <c r="F8" i="29"/>
  <c r="F10" i="29"/>
  <c r="N375" i="13"/>
  <c r="P375" i="13"/>
  <c r="N387" i="13"/>
  <c r="P387" i="13"/>
  <c r="N399" i="13"/>
  <c r="P399" i="13"/>
  <c r="N372" i="13"/>
  <c r="P372" i="13"/>
  <c r="N378" i="13"/>
  <c r="P378" i="13"/>
  <c r="N384" i="13"/>
  <c r="P384" i="13"/>
  <c r="N408" i="13"/>
  <c r="P408" i="13"/>
  <c r="N486" i="13"/>
  <c r="N2" i="13"/>
  <c r="Z619" i="13"/>
  <c r="F148" i="29"/>
  <c r="Z618" i="13"/>
  <c r="I17" i="13" a="1"/>
  <c r="J17" i="13" s="1"/>
  <c r="M17" i="13" a="1"/>
  <c r="M18" i="13" a="1"/>
  <c r="I18" i="13" a="1"/>
  <c r="J18" i="13" s="1"/>
  <c r="M19" i="13" a="1"/>
  <c r="I19" i="13" a="1"/>
  <c r="J19" i="13" s="1"/>
  <c r="I21" i="13" a="1"/>
  <c r="J21" i="13" s="1"/>
  <c r="M21" i="13" a="1"/>
  <c r="I24" i="13" a="1"/>
  <c r="J24" i="13" s="1"/>
  <c r="M24" i="13" a="1"/>
  <c r="G63" i="29"/>
  <c r="M145" i="13" a="1"/>
  <c r="I145" i="13" a="1"/>
  <c r="J145" i="13" s="1"/>
  <c r="M13" i="13" a="1"/>
  <c r="I13" i="13" a="1"/>
  <c r="J13" i="13" s="1"/>
  <c r="F106" i="29"/>
  <c r="I41" i="13" a="1"/>
  <c r="J41" i="13" s="1"/>
  <c r="M41" i="13" a="1"/>
  <c r="I7" i="13" a="1"/>
  <c r="J7" i="13" s="1"/>
  <c r="M7" i="13" a="1"/>
  <c r="I8" i="13" a="1"/>
  <c r="J8" i="13" s="1"/>
  <c r="M8" i="13" a="1"/>
  <c r="M9" i="13" a="1"/>
  <c r="I9" i="13" a="1"/>
  <c r="J9" i="13" s="1"/>
  <c r="F2" i="29"/>
  <c r="I10" i="13" a="1"/>
  <c r="J10" i="13" s="1"/>
  <c r="M10" i="13" a="1"/>
  <c r="I214" i="13" a="1"/>
  <c r="J214" i="13" s="1"/>
  <c r="M209" i="13" a="1"/>
  <c r="I209" i="13" a="1"/>
  <c r="J209" i="13" s="1"/>
  <c r="M214" i="13" a="1"/>
  <c r="I208" i="13" a="1"/>
  <c r="J208" i="13" s="1"/>
  <c r="M208" i="13" a="1"/>
  <c r="M210" i="13" a="1"/>
  <c r="I210" i="13" a="1"/>
  <c r="J210" i="13" s="1"/>
  <c r="I211" i="13" a="1"/>
  <c r="J211" i="13" s="1"/>
  <c r="M211" i="13" a="1"/>
  <c r="M212" i="13" a="1"/>
  <c r="I212" i="13" a="1"/>
  <c r="J212" i="13" s="1"/>
  <c r="M213" i="13" a="1"/>
  <c r="I213" i="13" a="1"/>
  <c r="J213" i="13" s="1"/>
  <c r="M215" i="13" a="1"/>
  <c r="I215" i="13" a="1"/>
  <c r="J215" i="13" s="1"/>
  <c r="I216" i="13" a="1"/>
  <c r="J216" i="13" s="1"/>
  <c r="M216" i="13" a="1"/>
  <c r="I217" i="13" a="1"/>
  <c r="J217" i="13" s="1"/>
  <c r="M217" i="13" a="1"/>
  <c r="Z492" i="13"/>
  <c r="Z616" i="13"/>
  <c r="Z615" i="13"/>
  <c r="Z614" i="13"/>
  <c r="M116" i="13" a="1"/>
  <c r="I116" i="13" a="1"/>
  <c r="J116" i="13" s="1"/>
  <c r="M117" i="13" a="1"/>
  <c r="I117" i="13" a="1"/>
  <c r="J117" i="13" s="1"/>
  <c r="M64" i="13" a="1"/>
  <c r="I64" i="13" a="1"/>
  <c r="J64" i="13" s="1"/>
  <c r="M65" i="13" a="1"/>
  <c r="I65" i="13" a="1"/>
  <c r="J65" i="13" s="1"/>
  <c r="F17" i="29"/>
  <c r="I105" i="13" a="1"/>
  <c r="J105" i="13" s="1"/>
  <c r="M105" i="13" a="1"/>
  <c r="I106" i="13" a="1"/>
  <c r="J106" i="13" s="1"/>
  <c r="M106" i="13" a="1"/>
  <c r="I110" i="13" a="1"/>
  <c r="J110" i="13" s="1"/>
  <c r="M110" i="13" a="1"/>
  <c r="F18" i="29"/>
  <c r="M124" i="13" a="1"/>
  <c r="I124" i="13" a="1"/>
  <c r="J124" i="13" s="1"/>
  <c r="I127" i="13" a="1"/>
  <c r="J127" i="13" s="1"/>
  <c r="M127" i="13" a="1"/>
  <c r="I223" i="13" a="1"/>
  <c r="J223" i="13" s="1"/>
  <c r="M223" i="13" a="1"/>
  <c r="I149" i="13" a="1"/>
  <c r="J149" i="13" s="1"/>
  <c r="M149" i="13" a="1"/>
  <c r="F35" i="29"/>
  <c r="F36" i="29"/>
  <c r="M151" i="13" a="1"/>
  <c r="I151" i="13" a="1"/>
  <c r="J151" i="13" s="1"/>
  <c r="I162" i="13" a="1"/>
  <c r="J162" i="13" s="1"/>
  <c r="M162" i="13" a="1"/>
  <c r="F33" i="29"/>
  <c r="I171" i="13" a="1"/>
  <c r="J171" i="13" s="1"/>
  <c r="M171" i="13" a="1"/>
  <c r="F37" i="29"/>
  <c r="M148" i="13" a="1"/>
  <c r="F32" i="29"/>
  <c r="I150" i="13" a="1"/>
  <c r="J150" i="13" s="1"/>
  <c r="M150" i="13" a="1"/>
  <c r="I148" i="13" a="1"/>
  <c r="J148" i="13" s="1"/>
  <c r="I161" i="13" a="1"/>
  <c r="J161" i="13" s="1"/>
  <c r="M161" i="13" a="1"/>
  <c r="F31" i="29"/>
  <c r="F29" i="29"/>
  <c r="I221" i="13" a="1"/>
  <c r="J221" i="13" s="1"/>
  <c r="M221" i="13" a="1"/>
  <c r="I207" i="13" a="1"/>
  <c r="J207" i="13" s="1"/>
  <c r="M207" i="13" a="1"/>
  <c r="I218" i="13" a="1"/>
  <c r="J218" i="13" s="1"/>
  <c r="M218" i="13" a="1"/>
  <c r="I619" i="13" a="1"/>
  <c r="J619" i="13" s="1"/>
  <c r="M619" i="13" a="1"/>
  <c r="M219" i="13" a="1"/>
  <c r="I219" i="13" a="1"/>
  <c r="J219" i="13" s="1"/>
  <c r="G80" i="29"/>
  <c r="I539" i="13" a="1"/>
  <c r="J539" i="13" s="1"/>
  <c r="M539" i="13" a="1"/>
  <c r="M543" i="13" a="1"/>
  <c r="I543" i="13" a="1"/>
  <c r="J543" i="13" s="1"/>
  <c r="M276" i="13" a="1"/>
  <c r="I276" i="13" a="1"/>
  <c r="J276" i="13" s="1"/>
  <c r="M272" i="13" a="1"/>
  <c r="I272" i="13" a="1"/>
  <c r="J272" i="13" s="1"/>
  <c r="M617" i="13" a="1"/>
  <c r="I617" i="13" a="1"/>
  <c r="J617" i="13" s="1"/>
  <c r="I118" i="13" a="1"/>
  <c r="J118" i="13" s="1"/>
  <c r="M118" i="13" a="1"/>
  <c r="M241" i="13" a="1"/>
  <c r="I241" i="13" a="1"/>
  <c r="J241" i="13" s="1"/>
  <c r="I119" i="13" a="1"/>
  <c r="J119" i="13" s="1"/>
  <c r="M119" i="13" a="1"/>
  <c r="M63" i="13" a="1"/>
  <c r="I63" i="13" a="1"/>
  <c r="J63" i="13" s="1"/>
  <c r="M240" i="13" a="1"/>
  <c r="I240" i="13" a="1"/>
  <c r="J240" i="13" s="1"/>
  <c r="I112" i="13" a="1"/>
  <c r="J112" i="13" s="1"/>
  <c r="M112" i="13" a="1"/>
  <c r="I111" i="13" a="1"/>
  <c r="J111" i="13" s="1"/>
  <c r="M111" i="13" a="1"/>
  <c r="M113" i="13" a="1"/>
  <c r="I113" i="13" a="1"/>
  <c r="J113" i="13" s="1"/>
  <c r="M120" i="13" a="1"/>
  <c r="I120" i="13" a="1"/>
  <c r="J120" i="13" s="1"/>
  <c r="I121" i="13" a="1"/>
  <c r="J121" i="13" s="1"/>
  <c r="M121" i="13" a="1"/>
  <c r="M128" i="13" a="1"/>
  <c r="I128" i="13" a="1"/>
  <c r="J128" i="13" s="1"/>
  <c r="M129" i="13" a="1"/>
  <c r="I129" i="13" a="1"/>
  <c r="J129" i="13" s="1"/>
  <c r="M130" i="13" a="1"/>
  <c r="I130" i="13" a="1"/>
  <c r="J130" i="13" s="1"/>
  <c r="I193" i="13" a="1"/>
  <c r="J193" i="13" s="1"/>
  <c r="M193" i="13" a="1"/>
  <c r="I222" i="13" a="1"/>
  <c r="J222" i="13" s="1"/>
  <c r="M222" i="13" a="1"/>
  <c r="I147" i="13" a="1"/>
  <c r="J147" i="13" s="1"/>
  <c r="M147" i="13" a="1"/>
  <c r="I167" i="13" a="1"/>
  <c r="J167" i="13" s="1"/>
  <c r="M167" i="13" a="1"/>
  <c r="I146" i="13" a="1"/>
  <c r="J146" i="13" s="1"/>
  <c r="M146" i="13" a="1"/>
  <c r="M220" i="13" a="1"/>
  <c r="I220" i="13" a="1"/>
  <c r="J220" i="13" s="1"/>
  <c r="M166" i="13" a="1"/>
  <c r="I166" i="13" a="1"/>
  <c r="J166" i="13" s="1"/>
  <c r="I165" i="13" a="1"/>
  <c r="J165" i="13" s="1"/>
  <c r="M165" i="13" a="1"/>
  <c r="I164" i="13" a="1"/>
  <c r="J164" i="13" s="1"/>
  <c r="M164" i="13" a="1"/>
  <c r="I163" i="13" a="1"/>
  <c r="J163" i="13" s="1"/>
  <c r="M163" i="13" a="1"/>
  <c r="I330" i="13" a="1"/>
  <c r="J330" i="13" s="1"/>
  <c r="M330" i="13" a="1"/>
  <c r="I334" i="13" a="1"/>
  <c r="J334" i="13" s="1"/>
  <c r="M336" i="13" a="1"/>
  <c r="I336" i="13" a="1"/>
  <c r="J336" i="13" s="1"/>
  <c r="M334" i="13" a="1"/>
  <c r="M338" i="13" a="1"/>
  <c r="I338" i="13" a="1"/>
  <c r="J338" i="13" s="1"/>
  <c r="M340" i="13" a="1"/>
  <c r="I340" i="13" a="1"/>
  <c r="J340" i="13" s="1"/>
  <c r="M526" i="13" a="1"/>
  <c r="I526" i="13" a="1"/>
  <c r="J526" i="13" s="1"/>
  <c r="M524" i="13" a="1"/>
  <c r="I524" i="13" a="1"/>
  <c r="J524" i="13" s="1"/>
  <c r="G148" i="29"/>
  <c r="I618" i="13" a="1"/>
  <c r="J618" i="13" s="1"/>
  <c r="M618" i="13" a="1"/>
  <c r="G143" i="29"/>
  <c r="M613" i="13" a="1"/>
  <c r="I613" i="13" a="1"/>
  <c r="J613" i="13" s="1"/>
  <c r="N264" i="13"/>
  <c r="P264" i="13"/>
  <c r="P266" i="13"/>
  <c r="N266" i="13"/>
  <c r="N55" i="13"/>
  <c r="P55" i="13"/>
  <c r="N360" i="13"/>
  <c r="A613" i="30"/>
  <c r="A601" i="30"/>
  <c r="A534" i="30"/>
  <c r="A508" i="30"/>
  <c r="A494" i="30"/>
  <c r="A477" i="30"/>
  <c r="A459" i="30"/>
  <c r="A443" i="30"/>
  <c r="A420" i="30"/>
  <c r="A406" i="30"/>
  <c r="A383" i="30"/>
  <c r="A348" i="30"/>
  <c r="A312" i="30"/>
  <c r="A302" i="30"/>
  <c r="A295" i="30"/>
  <c r="A275" i="30"/>
  <c r="A256" i="30"/>
  <c r="A234" i="30"/>
  <c r="A213" i="30"/>
  <c r="A204" i="30"/>
  <c r="A184" i="30"/>
  <c r="A159" i="30"/>
  <c r="A143" i="30"/>
  <c r="A134" i="30"/>
  <c r="A99" i="30"/>
  <c r="A81" i="30"/>
  <c r="A49" i="30"/>
  <c r="A30" i="30"/>
  <c r="A14" i="30"/>
  <c r="A605" i="30"/>
  <c r="A583" i="30"/>
  <c r="A570" i="30"/>
  <c r="A552" i="30"/>
  <c r="A517" i="30"/>
  <c r="A487" i="30"/>
  <c r="A463" i="30"/>
  <c r="A441" i="30"/>
  <c r="A435" i="30"/>
  <c r="A422" i="30"/>
  <c r="A397" i="30"/>
  <c r="A377" i="30"/>
  <c r="A324" i="30"/>
  <c r="A287" i="30"/>
  <c r="A277" i="30"/>
  <c r="A258" i="30"/>
  <c r="A241" i="30"/>
  <c r="A232" i="30"/>
  <c r="A219" i="30"/>
  <c r="A192" i="30"/>
  <c r="A181" i="30"/>
  <c r="A79" i="30"/>
  <c r="A37" i="30"/>
  <c r="A18" i="30"/>
  <c r="A574" i="30"/>
  <c r="A569" i="30"/>
  <c r="A553" i="30"/>
  <c r="A537" i="30"/>
  <c r="A533" i="30"/>
  <c r="A525" i="30"/>
  <c r="A515" i="30"/>
  <c r="A509" i="30"/>
  <c r="A507" i="30"/>
  <c r="A502" i="30"/>
  <c r="A492" i="30"/>
  <c r="A438" i="30"/>
  <c r="A421" i="30"/>
  <c r="A304" i="30"/>
  <c r="A283" i="30"/>
  <c r="A278" i="30"/>
  <c r="A242" i="30"/>
  <c r="A223" i="30"/>
  <c r="A211" i="30"/>
  <c r="A196" i="30"/>
  <c r="A157" i="30"/>
  <c r="A141" i="30"/>
  <c r="A127" i="30"/>
  <c r="A74" i="30"/>
  <c r="A70" i="30"/>
  <c r="A59" i="30"/>
  <c r="A51" i="30"/>
  <c r="A43" i="30"/>
  <c r="A34" i="30"/>
  <c r="A15" i="30"/>
  <c r="A612" i="30"/>
  <c r="A606" i="30"/>
  <c r="A597" i="30"/>
  <c r="A585" i="30"/>
  <c r="A573" i="30"/>
  <c r="A514" i="30"/>
  <c r="A510" i="30"/>
  <c r="A498" i="30"/>
  <c r="A484" i="30"/>
  <c r="A469" i="30"/>
  <c r="A449" i="30"/>
  <c r="A440" i="30"/>
  <c r="A409" i="30"/>
  <c r="A372" i="30"/>
  <c r="A347" i="30"/>
  <c r="A311" i="30"/>
  <c r="A284" i="30"/>
  <c r="A271" i="30"/>
  <c r="A261" i="30"/>
  <c r="A240" i="30"/>
  <c r="A220" i="30"/>
  <c r="A205" i="30"/>
  <c r="A189" i="30"/>
  <c r="A173" i="30"/>
  <c r="A160" i="30"/>
  <c r="A149" i="30"/>
  <c r="A132" i="30"/>
  <c r="A116" i="30"/>
  <c r="A92" i="30"/>
  <c r="A80" i="30"/>
  <c r="A57" i="30"/>
  <c r="A48" i="30"/>
  <c r="A36" i="30"/>
  <c r="A22" i="30"/>
  <c r="A5" i="30"/>
  <c r="A587" i="30"/>
  <c r="A581" i="30"/>
  <c r="A564" i="30"/>
  <c r="A548" i="30"/>
  <c r="A532" i="30"/>
  <c r="A506" i="30"/>
  <c r="A475" i="30"/>
  <c r="A439" i="30"/>
  <c r="A423" i="30"/>
  <c r="A405" i="30"/>
  <c r="A399" i="30"/>
  <c r="A385" i="30"/>
  <c r="A380" i="30"/>
  <c r="A375" i="30"/>
  <c r="A371" i="30"/>
  <c r="A365" i="30"/>
  <c r="A353" i="30"/>
  <c r="A344" i="30"/>
  <c r="A339" i="30"/>
  <c r="A327" i="30"/>
  <c r="A255" i="30"/>
  <c r="A227" i="30"/>
  <c r="A195" i="30"/>
  <c r="A170" i="30"/>
  <c r="A148" i="30"/>
  <c r="A120" i="30"/>
  <c r="A108" i="30"/>
  <c r="A100" i="30"/>
  <c r="A89" i="30"/>
  <c r="A75" i="30"/>
  <c r="A69" i="30"/>
  <c r="A58" i="30"/>
  <c r="A7" i="30"/>
  <c r="A591" i="30"/>
  <c r="A572" i="30"/>
  <c r="A561" i="30"/>
  <c r="A523" i="30"/>
  <c r="A513" i="30"/>
  <c r="A495" i="30"/>
  <c r="A473" i="30"/>
  <c r="A462" i="30"/>
  <c r="A436" i="30"/>
  <c r="A410" i="30"/>
  <c r="A389" i="30"/>
  <c r="A328" i="30"/>
  <c r="A308" i="30"/>
  <c r="A280" i="30"/>
  <c r="A250" i="30"/>
  <c r="A225" i="30"/>
  <c r="A210" i="30"/>
  <c r="A190" i="30"/>
  <c r="A171" i="30"/>
  <c r="A146" i="30"/>
  <c r="A133" i="30"/>
  <c r="A128" i="30"/>
  <c r="A86" i="30"/>
  <c r="A593" i="30"/>
  <c r="A584" i="30"/>
  <c r="A575" i="30"/>
  <c r="A563" i="30"/>
  <c r="A559" i="30"/>
  <c r="A551" i="30"/>
  <c r="A545" i="30"/>
  <c r="A542" i="30"/>
  <c r="A512" i="30"/>
  <c r="A497" i="30"/>
  <c r="A472" i="30"/>
  <c r="A447" i="30"/>
  <c r="A427" i="30"/>
  <c r="A398" i="30"/>
  <c r="A378" i="30"/>
  <c r="A354" i="30"/>
  <c r="A346" i="30"/>
  <c r="A341" i="30"/>
  <c r="A329" i="30"/>
  <c r="A315" i="30"/>
  <c r="A252" i="30"/>
  <c r="A245" i="30"/>
  <c r="A231" i="30"/>
  <c r="A215" i="30"/>
  <c r="A183" i="30"/>
  <c r="A165" i="30"/>
  <c r="A139" i="30"/>
  <c r="A113" i="30"/>
  <c r="A67" i="30"/>
  <c r="A56" i="30"/>
  <c r="A40" i="30"/>
  <c r="A29" i="30"/>
  <c r="A17" i="30"/>
  <c r="A8" i="30"/>
  <c r="A604" i="30"/>
  <c r="A596" i="30"/>
  <c r="A592" i="30"/>
  <c r="A526" i="30"/>
  <c r="A516" i="30"/>
  <c r="A505" i="30"/>
  <c r="A491" i="30"/>
  <c r="A471" i="30"/>
  <c r="A454" i="30"/>
  <c r="A437" i="30"/>
  <c r="A400" i="30"/>
  <c r="A381" i="30"/>
  <c r="A369" i="30"/>
  <c r="A357" i="30"/>
  <c r="A340" i="30"/>
  <c r="A319" i="30"/>
  <c r="A299" i="30"/>
  <c r="A289" i="30"/>
  <c r="A272" i="30"/>
  <c r="A247" i="30"/>
  <c r="A221" i="30"/>
  <c r="A207" i="30"/>
  <c r="A197" i="30"/>
  <c r="A166" i="30"/>
  <c r="A155" i="30"/>
  <c r="A109" i="30"/>
  <c r="A87" i="30"/>
  <c r="A68" i="30"/>
  <c r="A45" i="30"/>
  <c r="A26" i="30"/>
  <c r="A10" i="30"/>
  <c r="A610" i="30"/>
  <c r="A595" i="30"/>
  <c r="A589" i="30"/>
  <c r="A577" i="30"/>
  <c r="A557" i="30"/>
  <c r="A539" i="30"/>
  <c r="A530" i="30"/>
  <c r="A501" i="30"/>
  <c r="A428" i="30"/>
  <c r="A413" i="30"/>
  <c r="A393" i="30"/>
  <c r="A367" i="30"/>
  <c r="A355" i="30"/>
  <c r="A335" i="30"/>
  <c r="A305" i="30"/>
  <c r="A296" i="30"/>
  <c r="A282" i="30"/>
  <c r="A266" i="30"/>
  <c r="A248" i="30"/>
  <c r="A229" i="30"/>
  <c r="A214" i="30"/>
  <c r="A188" i="30"/>
  <c r="A169" i="30"/>
  <c r="A158" i="30"/>
  <c r="A152" i="30"/>
  <c r="A129" i="30"/>
  <c r="A126" i="30"/>
  <c r="A118" i="30"/>
  <c r="A97" i="30"/>
  <c r="A60" i="30"/>
  <c r="A53" i="30"/>
  <c r="A23" i="30"/>
  <c r="A6" i="30"/>
  <c r="A611" i="30"/>
  <c r="A607" i="30"/>
  <c r="A565" i="30"/>
  <c r="A547" i="30"/>
  <c r="A496" i="30"/>
  <c r="A479" i="30"/>
  <c r="A474" i="30"/>
  <c r="A461" i="30"/>
  <c r="A450" i="30"/>
  <c r="A442" i="30"/>
  <c r="A403" i="30"/>
  <c r="A387" i="30"/>
  <c r="A370" i="30"/>
  <c r="A330" i="30"/>
  <c r="A309" i="30"/>
  <c r="A290" i="30"/>
  <c r="A268" i="30"/>
  <c r="A236" i="30"/>
  <c r="A179" i="30"/>
  <c r="A151" i="30"/>
  <c r="A136" i="30"/>
  <c r="A114" i="30"/>
  <c r="A94" i="30"/>
  <c r="A83" i="30"/>
  <c r="A38" i="30"/>
  <c r="A28" i="30"/>
  <c r="A9" i="30"/>
  <c r="A608" i="30"/>
  <c r="A602" i="30"/>
  <c r="A579" i="30"/>
  <c r="A528" i="30"/>
  <c r="A476" i="30"/>
  <c r="A464" i="30"/>
  <c r="A445" i="30"/>
  <c r="A433" i="30"/>
  <c r="A424" i="30"/>
  <c r="A415" i="30"/>
  <c r="A390" i="30"/>
  <c r="A366" i="30"/>
  <c r="A356" i="30"/>
  <c r="A317" i="30"/>
  <c r="A298" i="30"/>
  <c r="A276" i="30"/>
  <c r="A265" i="30"/>
  <c r="A244" i="30"/>
  <c r="A237" i="30"/>
  <c r="A226" i="30"/>
  <c r="A209" i="30"/>
  <c r="A193" i="30"/>
  <c r="A178" i="30"/>
  <c r="A168" i="30"/>
  <c r="A153" i="30"/>
  <c r="A138" i="30"/>
  <c r="A124" i="30"/>
  <c r="A110" i="30"/>
  <c r="A84" i="30"/>
  <c r="A66" i="30"/>
  <c r="A55" i="30"/>
  <c r="A41" i="30"/>
  <c r="A31" i="30"/>
  <c r="A603" i="30"/>
  <c r="A598" i="30"/>
  <c r="A576" i="30"/>
  <c r="A560" i="30"/>
  <c r="A541" i="30"/>
  <c r="A527" i="30"/>
  <c r="A480" i="30"/>
  <c r="A466" i="30"/>
  <c r="A426" i="30"/>
  <c r="A411" i="30"/>
  <c r="A396" i="30"/>
  <c r="A391" i="30"/>
  <c r="A314" i="30"/>
  <c r="A286" i="30"/>
  <c r="A273" i="30"/>
  <c r="A251" i="30"/>
  <c r="A222" i="30"/>
  <c r="A202" i="30"/>
  <c r="A175" i="30"/>
  <c r="A162" i="30"/>
  <c r="A135" i="30"/>
  <c r="A106" i="30"/>
  <c r="A85" i="30"/>
  <c r="A52" i="30"/>
  <c r="A25" i="30"/>
  <c r="A16" i="30"/>
  <c r="A594" i="30"/>
  <c r="A586" i="30"/>
  <c r="A566" i="30"/>
  <c r="A556" i="30"/>
  <c r="A544" i="30"/>
  <c r="A519" i="30"/>
  <c r="A499" i="30"/>
  <c r="A488" i="30"/>
  <c r="A467" i="30"/>
  <c r="A452" i="30"/>
  <c r="A431" i="30"/>
  <c r="A395" i="30"/>
  <c r="A368" i="30"/>
  <c r="A352" i="30"/>
  <c r="A342" i="30"/>
  <c r="A331" i="30"/>
  <c r="A316" i="30"/>
  <c r="A313" i="30"/>
  <c r="A292" i="30"/>
  <c r="A285" i="30"/>
  <c r="A274" i="30"/>
  <c r="A267" i="30"/>
  <c r="A243" i="30"/>
  <c r="A198" i="30"/>
  <c r="A187" i="30"/>
  <c r="A180" i="30"/>
  <c r="A167" i="30"/>
  <c r="A142" i="30"/>
  <c r="A119" i="30"/>
  <c r="A107" i="30"/>
  <c r="A96" i="30"/>
  <c r="A578" i="30"/>
  <c r="A567" i="30"/>
  <c r="A555" i="30"/>
  <c r="A538" i="30"/>
  <c r="A531" i="30"/>
  <c r="A518" i="30"/>
  <c r="A493" i="30"/>
  <c r="A468" i="30"/>
  <c r="A455" i="30"/>
  <c r="A407" i="30"/>
  <c r="A392" i="30"/>
  <c r="A360" i="30"/>
  <c r="A322" i="30"/>
  <c r="A310" i="30"/>
  <c r="A249" i="30"/>
  <c r="A208" i="30"/>
  <c r="A199" i="30"/>
  <c r="A176" i="30"/>
  <c r="A156" i="30"/>
  <c r="A125" i="30"/>
  <c r="A105" i="30"/>
  <c r="A90" i="30"/>
  <c r="A62" i="30"/>
  <c r="A50" i="30"/>
  <c r="A33" i="30"/>
  <c r="A11" i="30"/>
  <c r="A3" i="30"/>
  <c r="A609" i="30"/>
  <c r="A550" i="30"/>
  <c r="A543" i="30"/>
  <c r="A540" i="30"/>
  <c r="A521" i="30"/>
  <c r="A511" i="30"/>
  <c r="A500" i="30"/>
  <c r="A485" i="30"/>
  <c r="A465" i="30"/>
  <c r="A448" i="30"/>
  <c r="A425" i="30"/>
  <c r="A412" i="30"/>
  <c r="A388" i="30"/>
  <c r="A373" i="30"/>
  <c r="A362" i="30"/>
  <c r="A343" i="30"/>
  <c r="A332" i="30"/>
  <c r="A306" i="30"/>
  <c r="A281" i="30"/>
  <c r="A259" i="30"/>
  <c r="A238" i="30"/>
  <c r="A228" i="30"/>
  <c r="A218" i="30"/>
  <c r="A147" i="30"/>
  <c r="A140" i="30"/>
  <c r="A117" i="30"/>
  <c r="A91" i="30"/>
  <c r="A72" i="30"/>
  <c r="A63" i="30"/>
  <c r="A35" i="30"/>
  <c r="A20" i="30"/>
  <c r="A2" i="30"/>
  <c r="A599" i="30"/>
  <c r="A562" i="30"/>
  <c r="A546" i="30"/>
  <c r="A522" i="30"/>
  <c r="A490" i="30"/>
  <c r="A478" i="30"/>
  <c r="A451" i="30"/>
  <c r="A418" i="30"/>
  <c r="A386" i="30"/>
  <c r="A363" i="30"/>
  <c r="A350" i="30"/>
  <c r="A300" i="30"/>
  <c r="A291" i="30"/>
  <c r="A270" i="30"/>
  <c r="A253" i="30"/>
  <c r="A235" i="30"/>
  <c r="A224" i="30"/>
  <c r="A194" i="30"/>
  <c r="A185" i="30"/>
  <c r="A177" i="30"/>
  <c r="A164" i="30"/>
  <c r="A122" i="30"/>
  <c r="A112" i="30"/>
  <c r="A103" i="30"/>
  <c r="A93" i="30"/>
  <c r="A82" i="30"/>
  <c r="A65" i="30"/>
  <c r="A42" i="30"/>
  <c r="A32" i="30"/>
  <c r="A580" i="30"/>
  <c r="A558" i="30"/>
  <c r="A481" i="30"/>
  <c r="A470" i="30"/>
  <c r="A457" i="30"/>
  <c r="A446" i="30"/>
  <c r="A430" i="30"/>
  <c r="A408" i="30"/>
  <c r="A394" i="30"/>
  <c r="A379" i="30"/>
  <c r="A374" i="30"/>
  <c r="A358" i="30"/>
  <c r="A345" i="30"/>
  <c r="A337" i="30"/>
  <c r="A323" i="30"/>
  <c r="A301" i="30"/>
  <c r="A263" i="30"/>
  <c r="A230" i="30"/>
  <c r="A216" i="30"/>
  <c r="A201" i="30"/>
  <c r="A161" i="30"/>
  <c r="A145" i="30"/>
  <c r="A131" i="30"/>
  <c r="A98" i="30"/>
  <c r="A88" i="30"/>
  <c r="A64" i="30"/>
  <c r="A54" i="30"/>
  <c r="A47" i="30"/>
  <c r="A19" i="30"/>
  <c r="A12" i="30"/>
  <c r="A4" i="30"/>
  <c r="A590" i="30"/>
  <c r="A520" i="30"/>
  <c r="A503" i="30"/>
  <c r="A489" i="30"/>
  <c r="A456" i="30"/>
  <c r="A429" i="30"/>
  <c r="A417" i="30"/>
  <c r="A404" i="30"/>
  <c r="A376" i="30"/>
  <c r="A361" i="30"/>
  <c r="A351" i="30"/>
  <c r="A338" i="30"/>
  <c r="A325" i="30"/>
  <c r="A303" i="30"/>
  <c r="A294" i="30"/>
  <c r="A269" i="30"/>
  <c r="A254" i="30"/>
  <c r="A233" i="30"/>
  <c r="A200" i="30"/>
  <c r="A182" i="30"/>
  <c r="A163" i="30"/>
  <c r="A144" i="30"/>
  <c r="A102" i="30"/>
  <c r="A77" i="30"/>
  <c r="A73" i="30"/>
  <c r="A27" i="30"/>
  <c r="A13" i="30"/>
  <c r="A568" i="30"/>
  <c r="A554" i="30"/>
  <c r="A524" i="30"/>
  <c r="A486" i="30"/>
  <c r="A453" i="30"/>
  <c r="A432" i="30"/>
  <c r="A414" i="30"/>
  <c r="A349" i="30"/>
  <c r="A336" i="30"/>
  <c r="A320" i="30"/>
  <c r="A307" i="30"/>
  <c r="A293" i="30"/>
  <c r="A279" i="30"/>
  <c r="A262" i="30"/>
  <c r="A246" i="30"/>
  <c r="A212" i="30"/>
  <c r="A186" i="30"/>
  <c r="A130" i="30"/>
  <c r="A115" i="30"/>
  <c r="A95" i="30"/>
  <c r="A78" i="30"/>
  <c r="A71" i="30"/>
  <c r="A61" i="30"/>
  <c r="A46" i="30"/>
  <c r="A39" i="30"/>
  <c r="A21" i="30"/>
  <c r="A582" i="30"/>
  <c r="A549" i="30"/>
  <c r="A536" i="30"/>
  <c r="A529" i="30"/>
  <c r="A482" i="30"/>
  <c r="A458" i="30"/>
  <c r="A444" i="30"/>
  <c r="A419" i="30"/>
  <c r="A401" i="30"/>
  <c r="A384" i="30"/>
  <c r="A364" i="30"/>
  <c r="A359" i="30"/>
  <c r="A334" i="30"/>
  <c r="A321" i="30"/>
  <c r="A297" i="30"/>
  <c r="A288" i="30"/>
  <c r="A260" i="30"/>
  <c r="A217" i="30"/>
  <c r="A206" i="30"/>
  <c r="A174" i="30"/>
  <c r="A154" i="30"/>
  <c r="A137" i="30"/>
  <c r="A123" i="30"/>
  <c r="A111" i="30"/>
  <c r="A104" i="30"/>
  <c r="A600" i="30"/>
  <c r="A588" i="30"/>
  <c r="A571" i="30"/>
  <c r="A535" i="30"/>
  <c r="A504" i="30"/>
  <c r="A483" i="30"/>
  <c r="A460" i="30"/>
  <c r="A434" i="30"/>
  <c r="A416" i="30"/>
  <c r="A402" i="30"/>
  <c r="A382" i="30"/>
  <c r="A333" i="30"/>
  <c r="A326" i="30"/>
  <c r="A318" i="30"/>
  <c r="A257" i="30"/>
  <c r="A239" i="30"/>
  <c r="A203" i="30"/>
  <c r="A191" i="30"/>
  <c r="A172" i="30"/>
  <c r="A150" i="30"/>
  <c r="A121" i="30"/>
  <c r="A101" i="30"/>
  <c r="A76" i="30"/>
  <c r="A44" i="30"/>
  <c r="A24" i="30"/>
  <c r="A264" i="30"/>
  <c r="K371" i="13" l="1"/>
  <c r="L371" i="13"/>
  <c r="I353" i="13" a="1"/>
  <c r="J353" i="13" s="1"/>
  <c r="M353" i="13" a="1"/>
  <c r="N353" i="13" s="1"/>
  <c r="M363" i="13" a="1"/>
  <c r="I363" i="13" a="1"/>
  <c r="J363" i="13" s="1"/>
  <c r="M345" i="13" a="1"/>
  <c r="I345" i="13" a="1"/>
  <c r="J345" i="13" s="1"/>
  <c r="I327" i="13" a="1"/>
  <c r="J327" i="13" s="1"/>
  <c r="M327" i="13" a="1"/>
  <c r="Z505" i="13"/>
  <c r="I256" i="13" a="1"/>
  <c r="J256" i="13" s="1"/>
  <c r="M256" i="13" a="1"/>
  <c r="N256" i="13" s="1"/>
  <c r="I303" i="13" a="1"/>
  <c r="J303" i="13" s="1"/>
  <c r="M303" i="13" a="1"/>
  <c r="I295" i="13" a="1"/>
  <c r="J295" i="13" s="1"/>
  <c r="M295" i="13" a="1"/>
  <c r="N295" i="13" s="1"/>
  <c r="I287" i="13" a="1"/>
  <c r="J287" i="13" s="1"/>
  <c r="M287" i="13" a="1"/>
  <c r="M307" i="13" a="1"/>
  <c r="I307" i="13" a="1"/>
  <c r="J307" i="13" s="1"/>
  <c r="P183" i="13"/>
  <c r="Q183" i="13" s="1"/>
  <c r="E162" i="3" s="1"/>
  <c r="K2011" i="21"/>
  <c r="L2011" i="21" s="1"/>
  <c r="M2011" i="21"/>
  <c r="L57" i="13"/>
  <c r="C57" i="13" s="1"/>
  <c r="K57" i="13"/>
  <c r="K600" i="13"/>
  <c r="L600" i="13"/>
  <c r="C600" i="13" s="1"/>
  <c r="K58" i="13"/>
  <c r="L58" i="13"/>
  <c r="C58" i="13" s="1"/>
  <c r="K100" i="13"/>
  <c r="L100" i="13"/>
  <c r="C100" i="13" s="1"/>
  <c r="L101" i="13"/>
  <c r="C101" i="13" s="1"/>
  <c r="K101" i="13"/>
  <c r="K157" i="13"/>
  <c r="L157" i="13"/>
  <c r="C157" i="13" s="1"/>
  <c r="K178" i="13"/>
  <c r="L178" i="13"/>
  <c r="C178" i="13" s="1"/>
  <c r="L46" i="13"/>
  <c r="D46" i="13" s="1"/>
  <c r="K46" i="13"/>
  <c r="L73" i="13"/>
  <c r="C73" i="13" s="1"/>
  <c r="K73" i="13"/>
  <c r="L184" i="13"/>
  <c r="C184" i="13" s="1"/>
  <c r="K184" i="13"/>
  <c r="L191" i="13"/>
  <c r="C191" i="13" s="1"/>
  <c r="K191" i="13"/>
  <c r="K192" i="13"/>
  <c r="L192" i="13"/>
  <c r="C192" i="13" s="1"/>
  <c r="K160" i="13"/>
  <c r="L160" i="13"/>
  <c r="C160" i="13" s="1"/>
  <c r="L143" i="13"/>
  <c r="C143" i="13" s="1"/>
  <c r="K143" i="13"/>
  <c r="K135" i="13"/>
  <c r="L135" i="13"/>
  <c r="C135" i="13" s="1"/>
  <c r="L132" i="13"/>
  <c r="C132" i="13" s="1"/>
  <c r="K132" i="13"/>
  <c r="K144" i="13"/>
  <c r="L144" i="13"/>
  <c r="C144" i="13" s="1"/>
  <c r="K142" i="13"/>
  <c r="L142" i="13"/>
  <c r="C142" i="13" s="1"/>
  <c r="K140" i="13"/>
  <c r="L140" i="13"/>
  <c r="C140" i="13" s="1"/>
  <c r="L141" i="13"/>
  <c r="C141" i="13" s="1"/>
  <c r="K141" i="13"/>
  <c r="L137" i="13"/>
  <c r="C137" i="13" s="1"/>
  <c r="K137" i="13"/>
  <c r="K131" i="13"/>
  <c r="L131" i="13"/>
  <c r="C131" i="13" s="1"/>
  <c r="K168" i="13"/>
  <c r="L168" i="13"/>
  <c r="C168" i="13" s="1"/>
  <c r="K170" i="13"/>
  <c r="L170" i="13"/>
  <c r="C170" i="13" s="1"/>
  <c r="I614" i="13" a="1"/>
  <c r="J614" i="13" s="1"/>
  <c r="F126" i="29"/>
  <c r="M614" i="13" a="1"/>
  <c r="N614" i="13" s="1"/>
  <c r="M615" i="13" a="1"/>
  <c r="N615" i="13" s="1"/>
  <c r="F133" i="29"/>
  <c r="I615" i="13" a="1"/>
  <c r="J615" i="13" s="1"/>
  <c r="I62" i="13" a="1"/>
  <c r="J62" i="13" s="1"/>
  <c r="M62" i="13" a="1"/>
  <c r="N62" i="13" s="1"/>
  <c r="I289" i="13" a="1"/>
  <c r="J289" i="13" s="1"/>
  <c r="F81" i="29"/>
  <c r="M492" i="13" a="1"/>
  <c r="N492" i="13" s="1"/>
  <c r="I492" i="13" a="1"/>
  <c r="J492" i="13" s="1"/>
  <c r="L237" i="13"/>
  <c r="C237" i="13" s="1"/>
  <c r="K237" i="13"/>
  <c r="K234" i="13"/>
  <c r="L234" i="13"/>
  <c r="C234" i="13" s="1"/>
  <c r="L236" i="13"/>
  <c r="C236" i="13" s="1"/>
  <c r="K236" i="13"/>
  <c r="L252" i="13"/>
  <c r="C252" i="13" s="1"/>
  <c r="K252" i="13"/>
  <c r="K239" i="13"/>
  <c r="L239" i="13"/>
  <c r="C239" i="13" s="1"/>
  <c r="L249" i="13"/>
  <c r="C249" i="13" s="1"/>
  <c r="K249" i="13"/>
  <c r="L244" i="13"/>
  <c r="C244" i="13" s="1"/>
  <c r="K244" i="13"/>
  <c r="K251" i="13"/>
  <c r="L251" i="13"/>
  <c r="C251" i="13" s="1"/>
  <c r="K246" i="13"/>
  <c r="L246" i="13"/>
  <c r="C246" i="13" s="1"/>
  <c r="P56" i="13"/>
  <c r="Q56" i="13" s="1"/>
  <c r="E46" i="3" s="1"/>
  <c r="E45" i="3"/>
  <c r="I190" i="25"/>
  <c r="I188" i="25"/>
  <c r="I186" i="25"/>
  <c r="I184" i="25"/>
  <c r="I191" i="25"/>
  <c r="I189" i="25"/>
  <c r="I187" i="25"/>
  <c r="I185" i="25"/>
  <c r="I183" i="25"/>
  <c r="P37" i="13"/>
  <c r="Q37" i="13" s="1"/>
  <c r="E31" i="3" s="1"/>
  <c r="I198" i="25"/>
  <c r="I196" i="25"/>
  <c r="I194" i="25"/>
  <c r="I192" i="25"/>
  <c r="I199" i="25"/>
  <c r="I197" i="25"/>
  <c r="I195" i="25"/>
  <c r="I193" i="25"/>
  <c r="P38" i="13"/>
  <c r="Q38" i="13" s="1"/>
  <c r="E32" i="3" s="1"/>
  <c r="I231" i="25"/>
  <c r="I229" i="25"/>
  <c r="I232" i="25"/>
  <c r="I230" i="25"/>
  <c r="I228" i="25"/>
  <c r="P242" i="13"/>
  <c r="Q242" i="13" s="1"/>
  <c r="E221" i="3" s="1"/>
  <c r="I241" i="25"/>
  <c r="I239" i="25"/>
  <c r="I237" i="25"/>
  <c r="I240" i="25"/>
  <c r="I238" i="25"/>
  <c r="P49" i="13"/>
  <c r="Q49" i="13" s="1"/>
  <c r="E40" i="3" s="1"/>
  <c r="I245" i="25"/>
  <c r="I243" i="25"/>
  <c r="I246" i="25"/>
  <c r="I244" i="25"/>
  <c r="I242" i="25"/>
  <c r="P246" i="13"/>
  <c r="I257" i="25"/>
  <c r="I255" i="25"/>
  <c r="I258" i="25"/>
  <c r="I256" i="25"/>
  <c r="I253" i="25"/>
  <c r="I251" i="25"/>
  <c r="I254" i="25"/>
  <c r="I252" i="25"/>
  <c r="P53" i="13"/>
  <c r="Q53" i="13" s="1"/>
  <c r="E43" i="3" s="1"/>
  <c r="I280" i="25"/>
  <c r="I281" i="25"/>
  <c r="I279" i="25"/>
  <c r="I278" i="25"/>
  <c r="I277" i="25"/>
  <c r="P253" i="13"/>
  <c r="Q253" i="13" s="1"/>
  <c r="E232" i="3" s="1"/>
  <c r="P238" i="13"/>
  <c r="Q238" i="13" s="1"/>
  <c r="E217" i="3" s="1"/>
  <c r="P245" i="13"/>
  <c r="Q245" i="13" s="1"/>
  <c r="E224" i="3" s="1"/>
  <c r="I271" i="25"/>
  <c r="I270" i="25"/>
  <c r="I269" i="25"/>
  <c r="I268" i="25"/>
  <c r="P58" i="13"/>
  <c r="I265" i="25"/>
  <c r="I267" i="25"/>
  <c r="I266" i="25"/>
  <c r="I264" i="25"/>
  <c r="P57" i="13"/>
  <c r="I276" i="25"/>
  <c r="I275" i="25"/>
  <c r="I274" i="25"/>
  <c r="I273" i="25"/>
  <c r="I272" i="25"/>
  <c r="P59" i="13"/>
  <c r="Q59" i="13" s="1"/>
  <c r="E49" i="3" s="1"/>
  <c r="I358" i="25"/>
  <c r="I357" i="25"/>
  <c r="I356" i="25"/>
  <c r="I355" i="25"/>
  <c r="I354" i="25"/>
  <c r="I353" i="25"/>
  <c r="I352" i="25"/>
  <c r="I351" i="25"/>
  <c r="I350" i="25"/>
  <c r="I349" i="25"/>
  <c r="P71" i="13"/>
  <c r="Q71" i="13" s="1"/>
  <c r="E59" i="3" s="1"/>
  <c r="I366" i="25"/>
  <c r="I365" i="25"/>
  <c r="I364" i="25"/>
  <c r="I363" i="25"/>
  <c r="I487" i="25"/>
  <c r="I486" i="25"/>
  <c r="I485" i="25"/>
  <c r="I484" i="25"/>
  <c r="I483" i="25"/>
  <c r="I378" i="25"/>
  <c r="I377" i="25"/>
  <c r="I376" i="25"/>
  <c r="I375" i="25"/>
  <c r="I374" i="25"/>
  <c r="I373" i="25"/>
  <c r="I482" i="25"/>
  <c r="I481" i="25"/>
  <c r="I480" i="25"/>
  <c r="I479" i="25"/>
  <c r="I478" i="25"/>
  <c r="P101" i="13"/>
  <c r="I693" i="25"/>
  <c r="I692" i="25"/>
  <c r="I687" i="25"/>
  <c r="I689" i="25"/>
  <c r="I690" i="25"/>
  <c r="I691" i="25"/>
  <c r="I688" i="25"/>
  <c r="I440" i="25"/>
  <c r="I439" i="25"/>
  <c r="I438" i="25"/>
  <c r="I437" i="25"/>
  <c r="I455" i="25"/>
  <c r="I454" i="25"/>
  <c r="I453" i="25"/>
  <c r="I452" i="25"/>
  <c r="I451" i="25"/>
  <c r="I767" i="25"/>
  <c r="I764" i="25"/>
  <c r="I766" i="25"/>
  <c r="I763" i="25"/>
  <c r="I765" i="25"/>
  <c r="P132" i="13"/>
  <c r="P143" i="13"/>
  <c r="P142" i="13"/>
  <c r="P141" i="13"/>
  <c r="P137" i="13"/>
  <c r="P140" i="13"/>
  <c r="I1609" i="25"/>
  <c r="I1599" i="25"/>
  <c r="I1610" i="25"/>
  <c r="I1607" i="25"/>
  <c r="I1600" i="25"/>
  <c r="I1602" i="25"/>
  <c r="I1603" i="25"/>
  <c r="I1606" i="25"/>
  <c r="I1605" i="25"/>
  <c r="I1604" i="25"/>
  <c r="I1608" i="25"/>
  <c r="I1601" i="25"/>
  <c r="I1228" i="25"/>
  <c r="I1227" i="25"/>
  <c r="I1226" i="25"/>
  <c r="I1225" i="25"/>
  <c r="I1224" i="25"/>
  <c r="I1239" i="25"/>
  <c r="I1238" i="25"/>
  <c r="I1237" i="25"/>
  <c r="I1236" i="25"/>
  <c r="I1235" i="25"/>
  <c r="P134" i="13"/>
  <c r="Q134" i="13" s="1"/>
  <c r="E113" i="3" s="1"/>
  <c r="P190" i="13"/>
  <c r="Q190" i="13" s="1"/>
  <c r="E169" i="3" s="1"/>
  <c r="P187" i="13"/>
  <c r="Q187" i="13" s="1"/>
  <c r="E166" i="3" s="1"/>
  <c r="I1244" i="25"/>
  <c r="I1243" i="25"/>
  <c r="I1242" i="25"/>
  <c r="I1241" i="25"/>
  <c r="I1240" i="25"/>
  <c r="P199" i="13"/>
  <c r="Q199" i="13" s="1"/>
  <c r="E178" i="3" s="1"/>
  <c r="P194" i="13"/>
  <c r="Q194" i="13" s="1"/>
  <c r="E173" i="3" s="1"/>
  <c r="I1261" i="25"/>
  <c r="I1260" i="25"/>
  <c r="I1259" i="25"/>
  <c r="I1258" i="25"/>
  <c r="I1257" i="25"/>
  <c r="P200" i="13"/>
  <c r="Q200" i="13" s="1"/>
  <c r="E179" i="3" s="1"/>
  <c r="I1271" i="25"/>
  <c r="I1270" i="25"/>
  <c r="I1269" i="25"/>
  <c r="I1268" i="25"/>
  <c r="I1267" i="25"/>
  <c r="P204" i="13"/>
  <c r="Q204" i="13" s="1"/>
  <c r="E183" i="3" s="1"/>
  <c r="I1276" i="25"/>
  <c r="I1275" i="25"/>
  <c r="I1274" i="25"/>
  <c r="I1273" i="25"/>
  <c r="I1272" i="25"/>
  <c r="I1339" i="25"/>
  <c r="I1338" i="25"/>
  <c r="I1337" i="25"/>
  <c r="I1336" i="25"/>
  <c r="I1335" i="25"/>
  <c r="I1334" i="25"/>
  <c r="I1333" i="25"/>
  <c r="I1332" i="25"/>
  <c r="I1331" i="25"/>
  <c r="P158" i="13"/>
  <c r="Q158" i="13" s="1"/>
  <c r="E137" i="3" s="1"/>
  <c r="I1348" i="25"/>
  <c r="I1347" i="25"/>
  <c r="I1346" i="25"/>
  <c r="I1345" i="25"/>
  <c r="I1344" i="25"/>
  <c r="I1343" i="25"/>
  <c r="I1342" i="25"/>
  <c r="I1341" i="25"/>
  <c r="I1340" i="25"/>
  <c r="P159" i="13"/>
  <c r="Q159" i="13" s="1"/>
  <c r="E138" i="3" s="1"/>
  <c r="I1357" i="25"/>
  <c r="I1356" i="25"/>
  <c r="I1355" i="25"/>
  <c r="I1354" i="25"/>
  <c r="I1353" i="25"/>
  <c r="I1352" i="25"/>
  <c r="I1351" i="25"/>
  <c r="I1350" i="25"/>
  <c r="I1349" i="25"/>
  <c r="P160" i="13"/>
  <c r="I1366" i="25"/>
  <c r="I1365" i="25"/>
  <c r="I1364" i="25"/>
  <c r="I1363" i="25"/>
  <c r="I1362" i="25"/>
  <c r="I1361" i="25"/>
  <c r="I1360" i="25"/>
  <c r="I1359" i="25"/>
  <c r="I1358" i="25"/>
  <c r="I1376" i="25"/>
  <c r="I1375" i="25"/>
  <c r="I1374" i="25"/>
  <c r="I1373" i="25"/>
  <c r="I1372" i="25"/>
  <c r="I1371" i="25"/>
  <c r="I1370" i="25"/>
  <c r="I1369" i="25"/>
  <c r="I1368" i="25"/>
  <c r="I1367" i="25"/>
  <c r="P169" i="13"/>
  <c r="Q169" i="13" s="1"/>
  <c r="E148" i="3" s="1"/>
  <c r="I1386" i="25"/>
  <c r="I1385" i="25"/>
  <c r="I1384" i="25"/>
  <c r="I1383" i="25"/>
  <c r="I1382" i="25"/>
  <c r="I1381" i="25"/>
  <c r="I1380" i="25"/>
  <c r="I1379" i="25"/>
  <c r="I1378" i="25"/>
  <c r="I1377" i="25"/>
  <c r="I1463" i="25"/>
  <c r="I1462" i="25"/>
  <c r="I1461" i="25"/>
  <c r="I1460" i="25"/>
  <c r="P188" i="13"/>
  <c r="Q188" i="13" s="1"/>
  <c r="E167" i="3" s="1"/>
  <c r="I1474" i="25"/>
  <c r="I1473" i="25"/>
  <c r="I1472" i="25"/>
  <c r="P191" i="13"/>
  <c r="I1477" i="25"/>
  <c r="I1476" i="25"/>
  <c r="I1475" i="25"/>
  <c r="P192" i="13"/>
  <c r="I1483" i="25"/>
  <c r="I1490" i="25"/>
  <c r="I1493" i="25"/>
  <c r="I1491" i="25"/>
  <c r="I1489" i="25"/>
  <c r="I1486" i="25"/>
  <c r="I1484" i="25"/>
  <c r="I1482" i="25"/>
  <c r="I1492" i="25"/>
  <c r="I1488" i="25"/>
  <c r="I1487" i="25"/>
  <c r="I1485" i="25"/>
  <c r="P195" i="13"/>
  <c r="Q195" i="13" s="1"/>
  <c r="E174" i="3" s="1"/>
  <c r="I1505" i="25"/>
  <c r="I1504" i="25"/>
  <c r="I1503" i="25"/>
  <c r="I1502" i="25"/>
  <c r="I1501" i="25"/>
  <c r="I1500" i="25"/>
  <c r="I1499" i="25"/>
  <c r="I1498" i="25"/>
  <c r="I1497" i="25"/>
  <c r="I1496" i="25"/>
  <c r="I1495" i="25"/>
  <c r="I1494" i="25"/>
  <c r="P196" i="13"/>
  <c r="Q196" i="13" s="1"/>
  <c r="E175" i="3" s="1"/>
  <c r="I1509" i="25"/>
  <c r="I1514" i="25"/>
  <c r="I1517" i="25"/>
  <c r="I1515" i="25"/>
  <c r="I1512" i="25"/>
  <c r="I1510" i="25"/>
  <c r="I1507" i="25"/>
  <c r="I1508" i="25"/>
  <c r="I1516" i="25"/>
  <c r="I1511" i="25"/>
  <c r="I1513" i="25"/>
  <c r="I1506" i="25"/>
  <c r="P197" i="13"/>
  <c r="Q197" i="13" s="1"/>
  <c r="E176" i="3" s="1"/>
  <c r="I1546" i="25"/>
  <c r="I1545" i="25"/>
  <c r="I1544" i="25"/>
  <c r="I1543" i="25"/>
  <c r="I1542" i="25"/>
  <c r="I1570" i="25"/>
  <c r="I1572" i="25"/>
  <c r="I1573" i="25"/>
  <c r="I1574" i="25"/>
  <c r="I1571" i="25"/>
  <c r="I1567" i="25"/>
  <c r="I1568" i="25"/>
  <c r="I1569" i="25"/>
  <c r="I1585" i="25"/>
  <c r="I1581" i="25"/>
  <c r="I1579" i="25"/>
  <c r="I1578" i="25"/>
  <c r="I1586" i="25"/>
  <c r="I1577" i="25"/>
  <c r="I1576" i="25"/>
  <c r="I1582" i="25"/>
  <c r="I1575" i="25"/>
  <c r="I1584" i="25"/>
  <c r="I1583" i="25"/>
  <c r="I1580" i="25"/>
  <c r="P205" i="13"/>
  <c r="Q205" i="13" s="1"/>
  <c r="E184" i="3" s="1"/>
  <c r="I1588" i="25"/>
  <c r="I1587" i="25"/>
  <c r="I1598" i="25"/>
  <c r="I1592" i="25"/>
  <c r="I1597" i="25"/>
  <c r="I1589" i="25"/>
  <c r="I1594" i="25"/>
  <c r="I1593" i="25"/>
  <c r="I1590" i="25"/>
  <c r="I1595" i="25"/>
  <c r="I1596" i="25"/>
  <c r="I1591" i="25"/>
  <c r="P206" i="13"/>
  <c r="Q206" i="13" s="1"/>
  <c r="E185" i="3" s="1"/>
  <c r="I1688" i="25"/>
  <c r="I1695" i="25"/>
  <c r="I1696" i="25"/>
  <c r="I1694" i="25"/>
  <c r="I1693" i="25"/>
  <c r="I1691" i="25"/>
  <c r="I1690" i="25"/>
  <c r="I1689" i="25"/>
  <c r="I1692" i="25"/>
  <c r="I1761" i="25"/>
  <c r="I1760" i="25"/>
  <c r="I1759" i="25"/>
  <c r="I1758" i="25"/>
  <c r="I1757" i="25"/>
  <c r="I1773" i="25"/>
  <c r="I1772" i="25"/>
  <c r="I1771" i="25"/>
  <c r="I1770" i="25"/>
  <c r="I1769" i="25"/>
  <c r="I1768" i="25"/>
  <c r="I1767" i="25"/>
  <c r="I1775" i="25"/>
  <c r="I1774" i="25"/>
  <c r="I1779" i="25"/>
  <c r="I1778" i="25"/>
  <c r="I1777" i="25"/>
  <c r="I1776" i="25"/>
  <c r="I1781" i="25"/>
  <c r="I1780" i="25"/>
  <c r="I1798" i="25"/>
  <c r="I1797" i="25"/>
  <c r="I1795" i="25"/>
  <c r="I1794" i="25"/>
  <c r="I1793" i="25"/>
  <c r="I1792" i="25"/>
  <c r="I1796" i="25"/>
  <c r="I1809" i="25"/>
  <c r="I1808" i="25"/>
  <c r="I1807" i="25"/>
  <c r="I1806" i="25"/>
  <c r="I1810" i="25"/>
  <c r="I1811" i="25"/>
  <c r="I1812" i="25"/>
  <c r="I1813" i="25"/>
  <c r="I1816" i="25"/>
  <c r="I1814" i="25"/>
  <c r="I1815" i="25"/>
  <c r="I1818" i="25"/>
  <c r="I1817" i="25"/>
  <c r="I1819" i="25"/>
  <c r="I1820" i="25"/>
  <c r="I1821" i="25"/>
  <c r="I1823" i="25"/>
  <c r="I1824" i="25"/>
  <c r="I1822" i="25"/>
  <c r="I1843" i="25"/>
  <c r="I1845" i="25"/>
  <c r="I1844" i="25"/>
  <c r="I1846" i="25"/>
  <c r="I1842" i="25"/>
  <c r="I1847" i="25"/>
  <c r="I1848" i="25"/>
  <c r="K265" i="13"/>
  <c r="L265" i="13"/>
  <c r="C265" i="13" s="1"/>
  <c r="Q265" i="13" s="1"/>
  <c r="E244" i="3" s="1"/>
  <c r="L77" i="13"/>
  <c r="C77" i="13" s="1"/>
  <c r="K77" i="13"/>
  <c r="L93" i="13"/>
  <c r="C93" i="13" s="1"/>
  <c r="K93" i="13"/>
  <c r="L201" i="13"/>
  <c r="C201" i="13" s="1"/>
  <c r="K201" i="13"/>
  <c r="F138" i="29"/>
  <c r="M616" i="13" a="1"/>
  <c r="I616" i="13" a="1"/>
  <c r="J616" i="13" s="1"/>
  <c r="N327" i="13"/>
  <c r="K410" i="13"/>
  <c r="L410" i="13"/>
  <c r="I343" i="13" a="1"/>
  <c r="J343" i="13" s="1"/>
  <c r="M343" i="13" a="1"/>
  <c r="I286" i="13" a="1"/>
  <c r="J286" i="13" s="1"/>
  <c r="Z503" i="13"/>
  <c r="M286" i="13" a="1"/>
  <c r="Z513" i="13"/>
  <c r="M361" i="13" a="1"/>
  <c r="I361" i="13" a="1"/>
  <c r="J361" i="13" s="1"/>
  <c r="F80" i="29"/>
  <c r="F47" i="29"/>
  <c r="Z514" i="13"/>
  <c r="K370" i="13"/>
  <c r="L370" i="13"/>
  <c r="L35" i="13"/>
  <c r="C35" i="13" s="1"/>
  <c r="K35" i="13"/>
  <c r="C465" i="13"/>
  <c r="C420" i="13"/>
  <c r="C410" i="13"/>
  <c r="I174" i="25"/>
  <c r="I172" i="25"/>
  <c r="I170" i="25"/>
  <c r="I168" i="25"/>
  <c r="I175" i="25"/>
  <c r="I173" i="25"/>
  <c r="I171" i="25"/>
  <c r="I169" i="25"/>
  <c r="L96" i="13"/>
  <c r="C96" i="13" s="1"/>
  <c r="K96" i="13"/>
  <c r="M108" i="13" a="1"/>
  <c r="I108" i="13" a="1"/>
  <c r="J108" i="13" s="1"/>
  <c r="I47" i="13" a="1"/>
  <c r="J47" i="13" s="1"/>
  <c r="Z406" i="13"/>
  <c r="M43" i="13" a="1"/>
  <c r="I43" i="13" a="1"/>
  <c r="J43" i="13" s="1"/>
  <c r="M47" i="13" a="1"/>
  <c r="C406" i="13"/>
  <c r="Q406" i="13" s="1"/>
  <c r="M367" i="13" a="1"/>
  <c r="N367" i="13" s="1"/>
  <c r="I367" i="13" a="1"/>
  <c r="J367" i="13" s="1"/>
  <c r="I359" i="13" a="1"/>
  <c r="J359" i="13" s="1"/>
  <c r="F79" i="29"/>
  <c r="M359" i="13" a="1"/>
  <c r="N359" i="13" s="1"/>
  <c r="Z410" i="13"/>
  <c r="I271" i="13" a="1"/>
  <c r="J271" i="13" s="1"/>
  <c r="M271" i="13" a="1"/>
  <c r="I291" i="13" a="1"/>
  <c r="J291" i="13" s="1"/>
  <c r="M291" i="13" a="1"/>
  <c r="Z418" i="13"/>
  <c r="F94" i="29"/>
  <c r="M255" i="13" a="1"/>
  <c r="N255" i="13" s="1"/>
  <c r="I255" i="13" a="1"/>
  <c r="J255" i="13" s="1"/>
  <c r="F57" i="29"/>
  <c r="Z423" i="13"/>
  <c r="Z425" i="13"/>
  <c r="F59" i="29"/>
  <c r="Z427" i="13"/>
  <c r="F61" i="29"/>
  <c r="Z432" i="13"/>
  <c r="F62" i="29"/>
  <c r="I312" i="13" a="1"/>
  <c r="J312" i="13" s="1"/>
  <c r="Z442" i="13"/>
  <c r="M312" i="13" a="1"/>
  <c r="I346" i="13" a="1"/>
  <c r="J346" i="13" s="1"/>
  <c r="M346" i="13" a="1"/>
  <c r="N346" i="13" s="1"/>
  <c r="Z452" i="13"/>
  <c r="M3" i="13" a="1"/>
  <c r="I3" i="13" a="1"/>
  <c r="J3" i="13" s="1"/>
  <c r="N77" i="13"/>
  <c r="P77" i="13"/>
  <c r="N93" i="13"/>
  <c r="P93" i="13"/>
  <c r="I1549" i="25"/>
  <c r="I1548" i="25"/>
  <c r="I1552" i="25"/>
  <c r="I1550" i="25"/>
  <c r="I1547" i="25"/>
  <c r="I1551" i="25"/>
  <c r="M290" i="13" a="1"/>
  <c r="I290" i="13" a="1"/>
  <c r="J290" i="13" s="1"/>
  <c r="Z416" i="13"/>
  <c r="M450" i="13" a="1"/>
  <c r="N450" i="13" s="1"/>
  <c r="Z419" i="13"/>
  <c r="F55" i="29"/>
  <c r="F58" i="29"/>
  <c r="Z424" i="13"/>
  <c r="I335" i="13" a="1"/>
  <c r="J335" i="13" s="1"/>
  <c r="Z379" i="13"/>
  <c r="C379" i="13"/>
  <c r="Q379" i="13" s="1"/>
  <c r="F130" i="29"/>
  <c r="M335" i="13" a="1"/>
  <c r="I324" i="13" a="1"/>
  <c r="J324" i="13" s="1"/>
  <c r="Z475" i="13"/>
  <c r="M324" i="13" a="1"/>
  <c r="I301" i="13" a="1"/>
  <c r="J301" i="13" s="1"/>
  <c r="Z461" i="13"/>
  <c r="M301" i="13" a="1"/>
  <c r="N301" i="13" s="1"/>
  <c r="F104" i="29"/>
  <c r="Z465" i="13"/>
  <c r="I305" i="13" a="1"/>
  <c r="J305" i="13" s="1"/>
  <c r="F83" i="29"/>
  <c r="M305" i="13" a="1"/>
  <c r="Z476" i="13"/>
  <c r="P201" i="13"/>
  <c r="N201" i="13"/>
  <c r="F128" i="29"/>
  <c r="Z485" i="13"/>
  <c r="F9" i="29"/>
  <c r="Z493" i="13"/>
  <c r="Z495" i="13"/>
  <c r="F91" i="29"/>
  <c r="F27" i="29"/>
  <c r="Z497" i="13"/>
  <c r="C400" i="13"/>
  <c r="Q400" i="13" s="1"/>
  <c r="I29" i="13" a="1"/>
  <c r="J29" i="13" s="1"/>
  <c r="M29" i="13" a="1"/>
  <c r="I4" i="13" a="1"/>
  <c r="J4" i="13" s="1"/>
  <c r="M4" i="13" a="1"/>
  <c r="I33" i="13" a="1"/>
  <c r="J33" i="13" s="1"/>
  <c r="M33" i="13" a="1"/>
  <c r="Z486" i="13"/>
  <c r="F139" i="29"/>
  <c r="Z489" i="13"/>
  <c r="Z491" i="13"/>
  <c r="F112" i="29"/>
  <c r="Z494" i="13"/>
  <c r="F75" i="29"/>
  <c r="Z496" i="13"/>
  <c r="M365" i="13" a="1"/>
  <c r="I365" i="13" a="1"/>
  <c r="J365" i="13" s="1"/>
  <c r="F52" i="29"/>
  <c r="I306" i="13" a="1"/>
  <c r="J306" i="13" s="1"/>
  <c r="M306" i="13" a="1"/>
  <c r="Z459" i="13"/>
  <c r="Z429" i="13"/>
  <c r="F51" i="29"/>
  <c r="M138" i="13" a="1"/>
  <c r="C371" i="13"/>
  <c r="Q371" i="13" s="1"/>
  <c r="E350" i="3" s="1"/>
  <c r="Z371" i="13"/>
  <c r="I138" i="13" a="1"/>
  <c r="J138" i="13" s="1"/>
  <c r="F46" i="29"/>
  <c r="Z498" i="13"/>
  <c r="F44" i="29"/>
  <c r="Z499" i="13"/>
  <c r="F41" i="29"/>
  <c r="Z500" i="13"/>
  <c r="F45" i="29"/>
  <c r="Z501" i="13"/>
  <c r="F43" i="29"/>
  <c r="Z502" i="13"/>
  <c r="Z504" i="13"/>
  <c r="Z506" i="13"/>
  <c r="I356" i="13" a="1"/>
  <c r="J356" i="13" s="1"/>
  <c r="M356" i="13" a="1"/>
  <c r="N356" i="13" s="1"/>
  <c r="F26" i="29"/>
  <c r="Z507" i="13"/>
  <c r="F48" i="29"/>
  <c r="Z508" i="13"/>
  <c r="F23" i="29"/>
  <c r="Z509" i="13"/>
  <c r="F20" i="29"/>
  <c r="Z511" i="13"/>
  <c r="F21" i="29"/>
  <c r="Z512" i="13"/>
  <c r="F25" i="29"/>
  <c r="Z515" i="13"/>
  <c r="F22" i="29"/>
  <c r="Z516" i="13"/>
  <c r="F42" i="29"/>
  <c r="Z517" i="13"/>
  <c r="Z490" i="13"/>
  <c r="F50" i="29"/>
  <c r="I347" i="13" a="1"/>
  <c r="J347" i="13" s="1"/>
  <c r="M347" i="13" a="1"/>
  <c r="N347" i="13" s="1"/>
  <c r="Z436" i="13"/>
  <c r="F71" i="29"/>
  <c r="I269" i="13" a="1"/>
  <c r="J269" i="13" s="1"/>
  <c r="M269" i="13" a="1"/>
  <c r="M259" i="13" a="1"/>
  <c r="N259" i="13" s="1"/>
  <c r="I259" i="13" a="1"/>
  <c r="J259" i="13" s="1"/>
  <c r="M268" i="13" a="1"/>
  <c r="Z444" i="13"/>
  <c r="I268" i="13" a="1"/>
  <c r="J268" i="13" s="1"/>
  <c r="M316" i="13" a="1"/>
  <c r="I316" i="13" a="1"/>
  <c r="J316" i="13" s="1"/>
  <c r="Z453" i="13"/>
  <c r="M294" i="13" a="1"/>
  <c r="N294" i="13" s="1"/>
  <c r="I294" i="13" a="1"/>
  <c r="J294" i="13" s="1"/>
  <c r="Z455" i="13"/>
  <c r="M270" i="13" a="1"/>
  <c r="I270" i="13" a="1"/>
  <c r="J270" i="13" s="1"/>
  <c r="Z457" i="13"/>
  <c r="I364" i="13" a="1"/>
  <c r="J364" i="13" s="1"/>
  <c r="M364" i="13" a="1"/>
  <c r="I300" i="13" a="1"/>
  <c r="J300" i="13" s="1"/>
  <c r="M300" i="13" a="1"/>
  <c r="N300" i="13" s="1"/>
  <c r="I278" i="13" a="1"/>
  <c r="J278" i="13" s="1"/>
  <c r="Z464" i="13"/>
  <c r="M278" i="13" a="1"/>
  <c r="F92" i="29"/>
  <c r="Z468" i="13"/>
  <c r="I317" i="13" a="1"/>
  <c r="J317" i="13" s="1"/>
  <c r="M317" i="13" a="1"/>
  <c r="N317" i="13" s="1"/>
  <c r="K227" i="13"/>
  <c r="L227" i="13"/>
  <c r="C227" i="13" s="1"/>
  <c r="Q227" i="13" s="1"/>
  <c r="L228" i="13"/>
  <c r="C228" i="13" s="1"/>
  <c r="K228" i="13"/>
  <c r="L232" i="13"/>
  <c r="C232" i="13" s="1"/>
  <c r="Q232" i="13" s="1"/>
  <c r="K232" i="13"/>
  <c r="L327" i="13"/>
  <c r="C327" i="13" s="1"/>
  <c r="K327" i="13"/>
  <c r="K256" i="13"/>
  <c r="L256" i="13"/>
  <c r="C256" i="13" s="1"/>
  <c r="N287" i="13"/>
  <c r="N292" i="13"/>
  <c r="P35" i="13"/>
  <c r="N35" i="13"/>
  <c r="N96" i="13"/>
  <c r="M115" i="13" a="1"/>
  <c r="C401" i="13"/>
  <c r="Q401" i="13" s="1"/>
  <c r="I115" i="13" a="1"/>
  <c r="J115" i="13" s="1"/>
  <c r="Z401" i="13"/>
  <c r="I30" i="13" a="1"/>
  <c r="J30" i="13" s="1"/>
  <c r="C402" i="13"/>
  <c r="Q402" i="13" s="1"/>
  <c r="I102" i="13" a="1"/>
  <c r="J102" i="13" s="1"/>
  <c r="M102" i="13" a="1"/>
  <c r="C403" i="13"/>
  <c r="Q403" i="13" s="1"/>
  <c r="Z403" i="13"/>
  <c r="M6" i="13" a="1"/>
  <c r="I6" i="13" a="1"/>
  <c r="J6" i="13" s="1"/>
  <c r="C404" i="13"/>
  <c r="Q404" i="13" s="1"/>
  <c r="Z404" i="13"/>
  <c r="M79" i="13" a="1"/>
  <c r="M40" i="13" a="1"/>
  <c r="C405" i="13"/>
  <c r="Q405" i="13" s="1"/>
  <c r="I79" i="13" a="1"/>
  <c r="J79" i="13" s="1"/>
  <c r="I40" i="13" a="1"/>
  <c r="J40" i="13" s="1"/>
  <c r="C407" i="13"/>
  <c r="Q407" i="13" s="1"/>
  <c r="Z407" i="13"/>
  <c r="C408" i="13"/>
  <c r="Q408" i="13" s="1"/>
  <c r="M99" i="13" a="1"/>
  <c r="I123" i="13" a="1"/>
  <c r="J123" i="13" s="1"/>
  <c r="I99" i="13" a="1"/>
  <c r="J99" i="13" s="1"/>
  <c r="M123" i="13" a="1"/>
  <c r="M366" i="13" a="1"/>
  <c r="M504" i="13" a="1"/>
  <c r="I504" i="13" a="1"/>
  <c r="J504" i="13" s="1"/>
  <c r="I366" i="13" a="1"/>
  <c r="J366" i="13" s="1"/>
  <c r="F53" i="29"/>
  <c r="Z409" i="13"/>
  <c r="Z411" i="13"/>
  <c r="F82" i="29"/>
  <c r="F97" i="29"/>
  <c r="Z412" i="13"/>
  <c r="F98" i="29"/>
  <c r="Z413" i="13"/>
  <c r="F99" i="29"/>
  <c r="Z414" i="13"/>
  <c r="F100" i="29"/>
  <c r="Z415" i="13"/>
  <c r="Z368" i="13"/>
  <c r="F7" i="29"/>
  <c r="M357" i="13" a="1"/>
  <c r="Z420" i="13"/>
  <c r="F78" i="29"/>
  <c r="F56" i="29"/>
  <c r="Z421" i="13"/>
  <c r="Z422" i="13"/>
  <c r="F39" i="29"/>
  <c r="F60" i="29"/>
  <c r="Z426" i="13"/>
  <c r="Z428" i="13"/>
  <c r="C428" i="13"/>
  <c r="F89" i="29"/>
  <c r="Z430" i="13"/>
  <c r="F40" i="29"/>
  <c r="Z431" i="13"/>
  <c r="F38" i="29"/>
  <c r="F84" i="29"/>
  <c r="Z433" i="13"/>
  <c r="Z434" i="13"/>
  <c r="F85" i="29"/>
  <c r="F86" i="29"/>
  <c r="Z435" i="13"/>
  <c r="M289" i="13" a="1"/>
  <c r="Z437" i="13"/>
  <c r="C378" i="13"/>
  <c r="Q378" i="13" s="1"/>
  <c r="F6" i="29"/>
  <c r="Z378" i="13"/>
  <c r="M337" i="13" a="1"/>
  <c r="C380" i="13"/>
  <c r="Q380" i="13" s="1"/>
  <c r="I337" i="13" a="1"/>
  <c r="J337" i="13" s="1"/>
  <c r="F135" i="29"/>
  <c r="F131" i="29"/>
  <c r="Z380" i="13"/>
  <c r="F65" i="29"/>
  <c r="Z438" i="13"/>
  <c r="M350" i="13" a="1"/>
  <c r="N350" i="13" s="1"/>
  <c r="Z440" i="13"/>
  <c r="Z443" i="13"/>
  <c r="F64" i="29"/>
  <c r="F96" i="29"/>
  <c r="Z445" i="13"/>
  <c r="M310" i="13" a="1"/>
  <c r="Z446" i="13"/>
  <c r="Z448" i="13"/>
  <c r="M288" i="13" a="1"/>
  <c r="Z449" i="13"/>
  <c r="I288" i="13" a="1"/>
  <c r="J288" i="13" s="1"/>
  <c r="M308" i="13" a="1"/>
  <c r="Z454" i="13"/>
  <c r="I308" i="13" a="1"/>
  <c r="J308" i="13" s="1"/>
  <c r="Z456" i="13"/>
  <c r="M302" i="13" a="1"/>
  <c r="Z458" i="13"/>
  <c r="I302" i="13" a="1"/>
  <c r="J302" i="13" s="1"/>
  <c r="Z460" i="13"/>
  <c r="Z462" i="13"/>
  <c r="Z463" i="13"/>
  <c r="M348" i="13" a="1"/>
  <c r="I348" i="13" a="1"/>
  <c r="J348" i="13" s="1"/>
  <c r="M323" i="13" a="1"/>
  <c r="I323" i="13" a="1"/>
  <c r="J323" i="13" s="1"/>
  <c r="Z466" i="13"/>
  <c r="F109" i="29"/>
  <c r="M328" i="13" a="1"/>
  <c r="Z467" i="13"/>
  <c r="I328" i="13" a="1"/>
  <c r="J328" i="13" s="1"/>
  <c r="F77" i="29"/>
  <c r="Z469" i="13"/>
  <c r="I283" i="13" a="1"/>
  <c r="J283" i="13" s="1"/>
  <c r="M283" i="13" a="1"/>
  <c r="N283" i="13" s="1"/>
  <c r="Z470" i="13"/>
  <c r="F16" i="29"/>
  <c r="Z472" i="13"/>
  <c r="F117" i="29"/>
  <c r="Z473" i="13"/>
  <c r="F116" i="29"/>
  <c r="Z474" i="13"/>
  <c r="F121" i="29"/>
  <c r="M341" i="13" a="1"/>
  <c r="Z477" i="13"/>
  <c r="I341" i="13" a="1"/>
  <c r="J341" i="13" s="1"/>
  <c r="F140" i="29"/>
  <c r="I311" i="13" a="1"/>
  <c r="J311" i="13" s="1"/>
  <c r="M311" i="13" a="1"/>
  <c r="Z479" i="13"/>
  <c r="F88" i="29"/>
  <c r="M279" i="13" a="1"/>
  <c r="Z480" i="13"/>
  <c r="F142" i="29"/>
  <c r="M254" i="13" a="1"/>
  <c r="N254" i="13" s="1"/>
  <c r="I254" i="13" a="1"/>
  <c r="J254" i="13" s="1"/>
  <c r="F90" i="29"/>
  <c r="Z471" i="13"/>
  <c r="Z478" i="13"/>
  <c r="F111" i="29"/>
  <c r="Z481" i="13"/>
  <c r="F72" i="29"/>
  <c r="Z482" i="13"/>
  <c r="F73" i="29"/>
  <c r="Z483" i="13"/>
  <c r="F74" i="29"/>
  <c r="Z484" i="13"/>
  <c r="F76" i="29"/>
  <c r="I1839" i="25"/>
  <c r="I1838" i="25"/>
  <c r="I1840" i="25"/>
  <c r="I1841" i="25"/>
  <c r="K292" i="13"/>
  <c r="L292" i="13"/>
  <c r="C292" i="13" s="1"/>
  <c r="C370" i="13"/>
  <c r="K295" i="13"/>
  <c r="L295" i="13"/>
  <c r="C295" i="13" s="1"/>
  <c r="K296" i="13"/>
  <c r="L296" i="13"/>
  <c r="C296" i="13" s="1"/>
  <c r="N303" i="13"/>
  <c r="N307" i="13"/>
  <c r="L307" i="13"/>
  <c r="C307" i="13" s="1"/>
  <c r="K307" i="13"/>
  <c r="K433" i="13"/>
  <c r="L433" i="13"/>
  <c r="C433" i="13" s="1"/>
  <c r="L235" i="13"/>
  <c r="C235" i="13" s="1"/>
  <c r="K235" i="13"/>
  <c r="L528" i="13"/>
  <c r="C528" i="13" s="1"/>
  <c r="K528" i="13"/>
  <c r="N314" i="13"/>
  <c r="L314" i="13"/>
  <c r="C314" i="13" s="1"/>
  <c r="K314" i="13"/>
  <c r="K353" i="13"/>
  <c r="L353" i="13"/>
  <c r="C353" i="13" s="1"/>
  <c r="N363" i="13"/>
  <c r="K363" i="13"/>
  <c r="L363" i="13"/>
  <c r="C363" i="13" s="1"/>
  <c r="N345" i="13"/>
  <c r="L345" i="13"/>
  <c r="C345" i="13" s="1"/>
  <c r="K345" i="13"/>
  <c r="L352" i="13"/>
  <c r="C352" i="13" s="1"/>
  <c r="K352" i="13"/>
  <c r="K97" i="13"/>
  <c r="L97" i="13"/>
  <c r="C97" i="13" s="1"/>
  <c r="K202" i="13"/>
  <c r="L202" i="13"/>
  <c r="C202" i="13" s="1"/>
  <c r="K417" i="13"/>
  <c r="L417" i="13"/>
  <c r="C417" i="13" s="1"/>
  <c r="M109" i="13" a="1"/>
  <c r="N109" i="13" s="1"/>
  <c r="I109" i="13" a="1"/>
  <c r="J109" i="13" s="1"/>
  <c r="M23" i="13" a="1"/>
  <c r="N23" i="13" s="1"/>
  <c r="I23" i="13" a="1"/>
  <c r="J23" i="13" s="1"/>
  <c r="M27" i="13" a="1"/>
  <c r="I27" i="13" a="1"/>
  <c r="J27" i="13" s="1"/>
  <c r="M28" i="13" a="1"/>
  <c r="I28" i="13" a="1"/>
  <c r="J28" i="13" s="1"/>
  <c r="C398" i="13"/>
  <c r="Q398" i="13" s="1"/>
  <c r="M104" i="13" a="1"/>
  <c r="M11" i="13" a="1"/>
  <c r="I11" i="13" a="1"/>
  <c r="J11" i="13" s="1"/>
  <c r="I104" i="13" a="1"/>
  <c r="J104" i="13" s="1"/>
  <c r="L351" i="13"/>
  <c r="C351" i="13" s="1"/>
  <c r="K351" i="13"/>
  <c r="N293" i="13"/>
  <c r="K293" i="13"/>
  <c r="L293" i="13"/>
  <c r="C293" i="13" s="1"/>
  <c r="K285" i="13"/>
  <c r="L285" i="13"/>
  <c r="C285" i="13" s="1"/>
  <c r="L248" i="13"/>
  <c r="C248" i="13" s="1"/>
  <c r="K248" i="13"/>
  <c r="N333" i="13"/>
  <c r="N91" i="13"/>
  <c r="K333" i="13"/>
  <c r="L333" i="13"/>
  <c r="C333" i="13" s="1"/>
  <c r="K91" i="13"/>
  <c r="L91" i="13"/>
  <c r="C91" i="13" s="1"/>
  <c r="L344" i="13"/>
  <c r="C344" i="13" s="1"/>
  <c r="K344" i="13"/>
  <c r="N313" i="13"/>
  <c r="N362" i="13"/>
  <c r="N304" i="13"/>
  <c r="L479" i="13"/>
  <c r="C479" i="13" s="1"/>
  <c r="K479" i="13"/>
  <c r="N235" i="13"/>
  <c r="N528" i="13"/>
  <c r="I339" i="13" a="1"/>
  <c r="J339" i="13" s="1"/>
  <c r="C375" i="13"/>
  <c r="Q375" i="13" s="1"/>
  <c r="F137" i="29"/>
  <c r="Z375" i="13"/>
  <c r="M339" i="13" a="1"/>
  <c r="C384" i="13"/>
  <c r="Q384" i="13" s="1"/>
  <c r="I87" i="13" a="1"/>
  <c r="J87" i="13" s="1"/>
  <c r="Z384" i="13"/>
  <c r="M87" i="13" a="1"/>
  <c r="I81" i="13" a="1"/>
  <c r="J81" i="13" s="1"/>
  <c r="M81" i="13" a="1"/>
  <c r="Z385" i="13"/>
  <c r="C385" i="13"/>
  <c r="Q385" i="13" s="1"/>
  <c r="C394" i="13"/>
  <c r="Q394" i="13" s="1"/>
  <c r="I84" i="13" a="1"/>
  <c r="J84" i="13" s="1"/>
  <c r="Z394" i="13"/>
  <c r="M84" i="13" a="1"/>
  <c r="I95" i="13" a="1"/>
  <c r="J95" i="13" s="1"/>
  <c r="M95" i="13" a="1"/>
  <c r="Z395" i="13"/>
  <c r="C395" i="13"/>
  <c r="Q395" i="13" s="1"/>
  <c r="I1262" i="25"/>
  <c r="I1263" i="25"/>
  <c r="I1264" i="25"/>
  <c r="I1265" i="25"/>
  <c r="I1266" i="25"/>
  <c r="N97" i="13"/>
  <c r="P202" i="13"/>
  <c r="N202" i="13"/>
  <c r="M261" i="13" a="1"/>
  <c r="N261" i="13" s="1"/>
  <c r="I261" i="13" a="1"/>
  <c r="J261" i="13" s="1"/>
  <c r="F66" i="29"/>
  <c r="Z370" i="13"/>
  <c r="F115" i="29"/>
  <c r="Z373" i="13"/>
  <c r="I329" i="13" a="1"/>
  <c r="J329" i="13" s="1"/>
  <c r="M329" i="13" a="1"/>
  <c r="C373" i="13"/>
  <c r="Q373" i="13" s="1"/>
  <c r="I80" i="13" a="1"/>
  <c r="J80" i="13" s="1"/>
  <c r="C381" i="13"/>
  <c r="Q381" i="13" s="1"/>
  <c r="I54" i="13" a="1"/>
  <c r="J54" i="13" s="1"/>
  <c r="M80" i="13" a="1"/>
  <c r="M54" i="13" a="1"/>
  <c r="I26" i="13" a="1"/>
  <c r="J26" i="13" s="1"/>
  <c r="M26" i="13" a="1"/>
  <c r="C382" i="13"/>
  <c r="Q382" i="13" s="1"/>
  <c r="Z382" i="13"/>
  <c r="M69" i="13" a="1"/>
  <c r="I69" i="13" a="1"/>
  <c r="J69" i="13" s="1"/>
  <c r="I51" i="13" a="1"/>
  <c r="J51" i="13" s="1"/>
  <c r="Z383" i="13"/>
  <c r="M51" i="13" a="1"/>
  <c r="C383" i="13"/>
  <c r="Q383" i="13" s="1"/>
  <c r="C386" i="13"/>
  <c r="Q386" i="13" s="1"/>
  <c r="I20" i="13" a="1"/>
  <c r="J20" i="13" s="1"/>
  <c r="M20" i="13" a="1"/>
  <c r="Z387" i="13"/>
  <c r="I82" i="13" a="1"/>
  <c r="J82" i="13" s="1"/>
  <c r="M82" i="13" a="1"/>
  <c r="C387" i="13"/>
  <c r="Q387" i="13" s="1"/>
  <c r="C389" i="13"/>
  <c r="Q389" i="13" s="1"/>
  <c r="I72" i="13" a="1"/>
  <c r="J72" i="13" s="1"/>
  <c r="M72" i="13" a="1"/>
  <c r="C390" i="13"/>
  <c r="Q390" i="13" s="1"/>
  <c r="I12" i="13" a="1"/>
  <c r="J12" i="13" s="1"/>
  <c r="M12" i="13" a="1"/>
  <c r="Z390" i="13"/>
  <c r="I90" i="13" a="1"/>
  <c r="J90" i="13" s="1"/>
  <c r="M331" i="13" a="1"/>
  <c r="F122" i="29"/>
  <c r="Z391" i="13"/>
  <c r="M85" i="13" a="1"/>
  <c r="M90" i="13" a="1"/>
  <c r="I85" i="13" a="1"/>
  <c r="J85" i="13" s="1"/>
  <c r="C391" i="13"/>
  <c r="Q391" i="13" s="1"/>
  <c r="I331" i="13" a="1"/>
  <c r="J331" i="13" s="1"/>
  <c r="C392" i="13"/>
  <c r="Q392" i="13" s="1"/>
  <c r="M83" i="13" a="1"/>
  <c r="Z392" i="13"/>
  <c r="I83" i="13" a="1"/>
  <c r="J83" i="13" s="1"/>
  <c r="C393" i="13"/>
  <c r="Q393" i="13" s="1"/>
  <c r="M44" i="13" a="1"/>
  <c r="F124" i="29"/>
  <c r="Z393" i="13"/>
  <c r="I44" i="13" a="1"/>
  <c r="J44" i="13" s="1"/>
  <c r="I15" i="13" a="1"/>
  <c r="J15" i="13" s="1"/>
  <c r="C396" i="13"/>
  <c r="Q396" i="13" s="1"/>
  <c r="M15" i="13" a="1"/>
  <c r="C397" i="13"/>
  <c r="Q397" i="13" s="1"/>
  <c r="Z397" i="13"/>
  <c r="I75" i="13" a="1"/>
  <c r="J75" i="13" s="1"/>
  <c r="M75" i="13" a="1"/>
  <c r="I78" i="13" a="1"/>
  <c r="J78" i="13" s="1"/>
  <c r="C399" i="13"/>
  <c r="Q399" i="13" s="1"/>
  <c r="Z399" i="13"/>
  <c r="M78" i="13" a="1"/>
  <c r="M354" i="13" a="1"/>
  <c r="Z369" i="13"/>
  <c r="I126" i="13" a="1"/>
  <c r="J126" i="13" s="1"/>
  <c r="C388" i="13"/>
  <c r="Q388" i="13" s="1"/>
  <c r="Z388" i="13"/>
  <c r="M126" i="13" a="1"/>
  <c r="M16" i="13" a="1"/>
  <c r="I16" i="13" a="1"/>
  <c r="J16" i="13" s="1"/>
  <c r="N248" i="13"/>
  <c r="K1879" i="21"/>
  <c r="L1879" i="21" s="1"/>
  <c r="M1879" i="21"/>
  <c r="M2009" i="21"/>
  <c r="K2009" i="21"/>
  <c r="L2009" i="21" s="1"/>
  <c r="K2010" i="21"/>
  <c r="L2010" i="21" s="1"/>
  <c r="M2010" i="21"/>
  <c r="L263" i="13"/>
  <c r="C263" i="13" s="1"/>
  <c r="K263" i="13"/>
  <c r="N316" i="13"/>
  <c r="L290" i="13"/>
  <c r="C290" i="13" s="1"/>
  <c r="K290" i="13"/>
  <c r="N290" i="13"/>
  <c r="L250" i="13"/>
  <c r="C250" i="13" s="1"/>
  <c r="K250" i="13"/>
  <c r="N364" i="13"/>
  <c r="P87" i="13"/>
  <c r="N87" i="13"/>
  <c r="N81" i="13"/>
  <c r="P95" i="13"/>
  <c r="N95" i="13"/>
  <c r="L87" i="13"/>
  <c r="C87" i="13" s="1"/>
  <c r="Q87" i="13" s="1"/>
  <c r="K87" i="13"/>
  <c r="L81" i="13"/>
  <c r="C81" i="13" s="1"/>
  <c r="K81" i="13"/>
  <c r="K95" i="13"/>
  <c r="L95" i="13"/>
  <c r="C95" i="13" s="1"/>
  <c r="Q95" i="13" s="1"/>
  <c r="N278" i="13"/>
  <c r="K278" i="13"/>
  <c r="L278" i="13"/>
  <c r="C278" i="13" s="1"/>
  <c r="L319" i="13"/>
  <c r="C319" i="13" s="1"/>
  <c r="Q319" i="13" s="1"/>
  <c r="K319" i="13"/>
  <c r="F6" i="32"/>
  <c r="C6" i="32"/>
  <c r="B6" i="32"/>
  <c r="B5" i="32"/>
  <c r="L281" i="13"/>
  <c r="C281" i="13" s="1"/>
  <c r="K281" i="13"/>
  <c r="L257" i="13"/>
  <c r="C257" i="13" s="1"/>
  <c r="K257" i="13"/>
  <c r="K12" i="21"/>
  <c r="L12" i="21" s="1"/>
  <c r="M12" i="21"/>
  <c r="M1880" i="21"/>
  <c r="K1880" i="21"/>
  <c r="L1880" i="21" s="1"/>
  <c r="M1883" i="21"/>
  <c r="K1883" i="21"/>
  <c r="L1883" i="21" s="1"/>
  <c r="K1886" i="21"/>
  <c r="L1886" i="21" s="1"/>
  <c r="M1886" i="21"/>
  <c r="M1889" i="21"/>
  <c r="K1889" i="21"/>
  <c r="L1889" i="21" s="1"/>
  <c r="M1892" i="21"/>
  <c r="K1892" i="21"/>
  <c r="L1892" i="21" s="1"/>
  <c r="K1895" i="21"/>
  <c r="L1895" i="21" s="1"/>
  <c r="M1895" i="21"/>
  <c r="K1898" i="21"/>
  <c r="L1898" i="21" s="1"/>
  <c r="M1898" i="21"/>
  <c r="K1901" i="21"/>
  <c r="L1901" i="21" s="1"/>
  <c r="M1901" i="21"/>
  <c r="M1906" i="21"/>
  <c r="K1906" i="21"/>
  <c r="L1906" i="21" s="1"/>
  <c r="K1912" i="21"/>
  <c r="L1912" i="21" s="1"/>
  <c r="M1912" i="21"/>
  <c r="K1907" i="21"/>
  <c r="M1907" i="21"/>
  <c r="V297" i="13" s="1"/>
  <c r="M1913" i="21"/>
  <c r="V329" i="13" s="1"/>
  <c r="K1913" i="21"/>
  <c r="M1919" i="21"/>
  <c r="V341" i="13" s="1"/>
  <c r="K1919" i="21"/>
  <c r="K1924" i="21"/>
  <c r="L1924" i="21" s="1"/>
  <c r="M1924" i="21"/>
  <c r="K1925" i="21"/>
  <c r="L1925" i="21" s="1"/>
  <c r="M1925" i="21"/>
  <c r="M1931" i="21"/>
  <c r="K1931" i="21"/>
  <c r="L1931" i="21" s="1"/>
  <c r="M1930" i="21"/>
  <c r="V167" i="13" s="1"/>
  <c r="K1930" i="21"/>
  <c r="K1936" i="21"/>
  <c r="M1936" i="21"/>
  <c r="V165" i="13" s="1"/>
  <c r="K1937" i="21"/>
  <c r="M1937" i="21"/>
  <c r="V161" i="13" s="1"/>
  <c r="M1946" i="21"/>
  <c r="K1946" i="21"/>
  <c r="L1946" i="21" s="1"/>
  <c r="M1942" i="21"/>
  <c r="K1942" i="21"/>
  <c r="L1942" i="21" s="1"/>
  <c r="K1943" i="21"/>
  <c r="L1943" i="21" s="1"/>
  <c r="M1943" i="21"/>
  <c r="M1949" i="21"/>
  <c r="K1949" i="21"/>
  <c r="L1949" i="21" s="1"/>
  <c r="M1952" i="21"/>
  <c r="K1952" i="21"/>
  <c r="L1952" i="21" s="1"/>
  <c r="M1955" i="21"/>
  <c r="K1955" i="21"/>
  <c r="L1955" i="21" s="1"/>
  <c r="M109" i="21"/>
  <c r="K109" i="21"/>
  <c r="L109" i="21" s="1"/>
  <c r="K1882" i="21"/>
  <c r="L1882" i="21" s="1"/>
  <c r="M1882" i="21"/>
  <c r="M1877" i="21"/>
  <c r="K1877" i="21"/>
  <c r="L1877" i="21" s="1"/>
  <c r="M1893" i="21"/>
  <c r="K1893" i="21"/>
  <c r="L1893" i="21" s="1"/>
  <c r="K1885" i="21"/>
  <c r="M1885" i="21"/>
  <c r="V275" i="13" s="1"/>
  <c r="M1888" i="21"/>
  <c r="K1888" i="21"/>
  <c r="L1888" i="21" s="1"/>
  <c r="M1891" i="21"/>
  <c r="K1891" i="21"/>
  <c r="L1891" i="21" s="1"/>
  <c r="K1897" i="21"/>
  <c r="M1897" i="21"/>
  <c r="V287" i="13" s="1"/>
  <c r="K1899" i="21"/>
  <c r="L1899" i="21" s="1"/>
  <c r="M1899" i="21"/>
  <c r="K1902" i="21"/>
  <c r="L1902" i="21" s="1"/>
  <c r="M1902" i="21"/>
  <c r="K1905" i="21"/>
  <c r="L1905" i="21" s="1"/>
  <c r="M1905" i="21"/>
  <c r="M1910" i="21"/>
  <c r="K1910" i="21"/>
  <c r="L1910" i="21" s="1"/>
  <c r="K1909" i="21"/>
  <c r="L1909" i="21" s="1"/>
  <c r="M1909" i="21"/>
  <c r="K1918" i="21"/>
  <c r="M1918" i="21"/>
  <c r="V339" i="13" s="1"/>
  <c r="M1920" i="21"/>
  <c r="V349" i="13" s="1"/>
  <c r="K1920" i="21"/>
  <c r="M1923" i="21"/>
  <c r="V355" i="13" s="1"/>
  <c r="K1923" i="21"/>
  <c r="M1927" i="21"/>
  <c r="K1927" i="21"/>
  <c r="L1927" i="21" s="1"/>
  <c r="M1958" i="21"/>
  <c r="K1958" i="21"/>
  <c r="L1958" i="21" s="1"/>
  <c r="K1964" i="21"/>
  <c r="L1964" i="21" s="1"/>
  <c r="M1964" i="21"/>
  <c r="K1961" i="21"/>
  <c r="L1961" i="21" s="1"/>
  <c r="M1961" i="21"/>
  <c r="K1970" i="21"/>
  <c r="L1970" i="21" s="1"/>
  <c r="M1970" i="21"/>
  <c r="K1973" i="21"/>
  <c r="L1973" i="21" s="1"/>
  <c r="M1973" i="21"/>
  <c r="K1967" i="21"/>
  <c r="M1967" i="21"/>
  <c r="V147" i="13" s="1"/>
  <c r="M1979" i="21"/>
  <c r="K1979" i="21"/>
  <c r="L1979" i="21" s="1"/>
  <c r="K1982" i="21"/>
  <c r="L1982" i="21" s="1"/>
  <c r="M1982" i="21"/>
  <c r="M1976" i="21"/>
  <c r="K1976" i="21"/>
  <c r="L1976" i="21" s="1"/>
  <c r="M1985" i="21"/>
  <c r="K1985" i="21"/>
  <c r="L1985" i="21" s="1"/>
  <c r="M1988" i="21"/>
  <c r="K1988" i="21"/>
  <c r="L1988" i="21" s="1"/>
  <c r="M1994" i="21"/>
  <c r="K1994" i="21"/>
  <c r="L1994" i="21" s="1"/>
  <c r="K1991" i="21"/>
  <c r="M1991" i="21"/>
  <c r="V150" i="13" s="1"/>
  <c r="K2000" i="21"/>
  <c r="L2000" i="21" s="1"/>
  <c r="M2000" i="21"/>
  <c r="K1997" i="21"/>
  <c r="L1997" i="21" s="1"/>
  <c r="M1997" i="21"/>
  <c r="M2003" i="21"/>
  <c r="K2003" i="21"/>
  <c r="L2003" i="21" s="1"/>
  <c r="K2006" i="21"/>
  <c r="L2006" i="21" s="1"/>
  <c r="M2006" i="21"/>
  <c r="K1884" i="21"/>
  <c r="L1884" i="21" s="1"/>
  <c r="M1884" i="21"/>
  <c r="M1881" i="21"/>
  <c r="K1881" i="21"/>
  <c r="L1881" i="21" s="1"/>
  <c r="M1878" i="21"/>
  <c r="K1878" i="21"/>
  <c r="L1878" i="21" s="1"/>
  <c r="K1890" i="21"/>
  <c r="L1890" i="21" s="1"/>
  <c r="M1890" i="21"/>
  <c r="K1887" i="21"/>
  <c r="L1887" i="21" s="1"/>
  <c r="M1887" i="21"/>
  <c r="K1894" i="21"/>
  <c r="L1894" i="21" s="1"/>
  <c r="M1894" i="21"/>
  <c r="K1896" i="21"/>
  <c r="M1896" i="21"/>
  <c r="V279" i="13" s="1"/>
  <c r="M1903" i="21"/>
  <c r="K1903" i="21"/>
  <c r="L1903" i="21" s="1"/>
  <c r="K1900" i="21"/>
  <c r="M1900" i="21"/>
  <c r="V309" i="13" s="1"/>
  <c r="M1904" i="21"/>
  <c r="V315" i="13" s="1"/>
  <c r="K1904" i="21"/>
  <c r="M1911" i="21"/>
  <c r="K1911" i="21"/>
  <c r="L1911" i="21" s="1"/>
  <c r="K1908" i="21"/>
  <c r="L1908" i="21" s="1"/>
  <c r="M1908" i="21"/>
  <c r="K1914" i="21"/>
  <c r="M1914" i="21"/>
  <c r="V331" i="13" s="1"/>
  <c r="K1922" i="21"/>
  <c r="L1922" i="21" s="1"/>
  <c r="M1922" i="21"/>
  <c r="K1921" i="21"/>
  <c r="L1921" i="21" s="1"/>
  <c r="M1921" i="21"/>
  <c r="M1926" i="21"/>
  <c r="K1926" i="21"/>
  <c r="L1926" i="21" s="1"/>
  <c r="K1928" i="21"/>
  <c r="M1928" i="21"/>
  <c r="V357" i="13" s="1"/>
  <c r="K1932" i="21"/>
  <c r="L1932" i="21" s="1"/>
  <c r="M1932" i="21"/>
  <c r="M1934" i="21"/>
  <c r="V220" i="13" s="1"/>
  <c r="K1934" i="21"/>
  <c r="K1938" i="21"/>
  <c r="L1938" i="21" s="1"/>
  <c r="M1938" i="21"/>
  <c r="M1941" i="21"/>
  <c r="K1941" i="21"/>
  <c r="L1941" i="21" s="1"/>
  <c r="M1944" i="21"/>
  <c r="K1944" i="21"/>
  <c r="L1944" i="21" s="1"/>
  <c r="M1947" i="21"/>
  <c r="K1947" i="21"/>
  <c r="L1947" i="21" s="1"/>
  <c r="K1951" i="21"/>
  <c r="L1951" i="21" s="1"/>
  <c r="M1951" i="21"/>
  <c r="M1953" i="21"/>
  <c r="K1953" i="21"/>
  <c r="L1953" i="21" s="1"/>
  <c r="M1957" i="21"/>
  <c r="K1957" i="21"/>
  <c r="L1957" i="21" s="1"/>
  <c r="K1959" i="21"/>
  <c r="M1959" i="21"/>
  <c r="V146" i="13" s="1"/>
  <c r="M1965" i="21"/>
  <c r="K1965" i="21"/>
  <c r="L1965" i="21" s="1"/>
  <c r="K1963" i="21"/>
  <c r="L1963" i="21" s="1"/>
  <c r="M1963" i="21"/>
  <c r="M1968" i="21"/>
  <c r="K1968" i="21"/>
  <c r="L1968" i="21" s="1"/>
  <c r="K1974" i="21"/>
  <c r="L1974" i="21" s="1"/>
  <c r="M1974" i="21"/>
  <c r="M1972" i="21"/>
  <c r="K1972" i="21"/>
  <c r="L1972" i="21" s="1"/>
  <c r="M1980" i="21"/>
  <c r="K1980" i="21"/>
  <c r="L1980" i="21" s="1"/>
  <c r="K1978" i="21"/>
  <c r="L1978" i="21" s="1"/>
  <c r="M1978" i="21"/>
  <c r="K1984" i="21"/>
  <c r="L1984" i="21" s="1"/>
  <c r="M1984" i="21"/>
  <c r="M1990" i="21"/>
  <c r="K1990" i="21"/>
  <c r="L1990" i="21" s="1"/>
  <c r="M1986" i="21"/>
  <c r="K1986" i="21"/>
  <c r="L1986" i="21" s="1"/>
  <c r="K1992" i="21"/>
  <c r="L1992" i="21" s="1"/>
  <c r="M1992" i="21"/>
  <c r="K1998" i="21"/>
  <c r="L1998" i="21" s="1"/>
  <c r="M1998" i="21"/>
  <c r="K1996" i="21"/>
  <c r="M1996" i="21"/>
  <c r="V151" i="13" s="1"/>
  <c r="M2002" i="21"/>
  <c r="V171" i="13" s="1"/>
  <c r="K2002" i="21"/>
  <c r="M2005" i="21"/>
  <c r="K2005" i="21"/>
  <c r="L2005" i="21" s="1"/>
  <c r="M2007" i="21"/>
  <c r="V221" i="13" s="1"/>
  <c r="K2007" i="21"/>
  <c r="K8" i="21"/>
  <c r="L8" i="21" s="1"/>
  <c r="M8" i="21"/>
  <c r="M9" i="21"/>
  <c r="K9" i="21"/>
  <c r="L9" i="21" s="1"/>
  <c r="M7" i="21"/>
  <c r="K7" i="21"/>
  <c r="L7" i="21" s="1"/>
  <c r="M6" i="21"/>
  <c r="K6" i="21"/>
  <c r="L6" i="21" s="1"/>
  <c r="M5" i="21"/>
  <c r="K5" i="21"/>
  <c r="L5" i="21" s="1"/>
  <c r="K4" i="21"/>
  <c r="L4" i="21" s="1"/>
  <c r="M4" i="21"/>
  <c r="M3" i="21"/>
  <c r="K3" i="21"/>
  <c r="L3" i="21" s="1"/>
  <c r="K2" i="21"/>
  <c r="M2" i="21"/>
  <c r="V3" i="13" s="1"/>
  <c r="K10" i="21"/>
  <c r="M10" i="21"/>
  <c r="V4" i="13" s="1"/>
  <c r="K11" i="21"/>
  <c r="L11" i="21" s="1"/>
  <c r="M11" i="21"/>
  <c r="M14" i="21"/>
  <c r="K14" i="21"/>
  <c r="L14" i="21" s="1"/>
  <c r="K15" i="21"/>
  <c r="L15" i="21" s="1"/>
  <c r="M15" i="21"/>
  <c r="M13" i="21"/>
  <c r="K13" i="21"/>
  <c r="L13" i="21" s="1"/>
  <c r="K16" i="21"/>
  <c r="L16" i="21" s="1"/>
  <c r="M16" i="21"/>
  <c r="M19" i="21"/>
  <c r="K19" i="21"/>
  <c r="L19" i="21" s="1"/>
  <c r="K17" i="21"/>
  <c r="M17" i="21"/>
  <c r="V6" i="13" s="1"/>
  <c r="K18" i="21"/>
  <c r="L18" i="21" s="1"/>
  <c r="M18" i="21"/>
  <c r="M245" i="21"/>
  <c r="K245" i="21"/>
  <c r="L245" i="21" s="1"/>
  <c r="K246" i="21"/>
  <c r="L246" i="21" s="1"/>
  <c r="M246" i="21"/>
  <c r="K244" i="21"/>
  <c r="L244" i="21" s="1"/>
  <c r="M244" i="21"/>
  <c r="M243" i="21"/>
  <c r="K243" i="21"/>
  <c r="L243" i="21" s="1"/>
  <c r="K248" i="21"/>
  <c r="L248" i="21" s="1"/>
  <c r="M248" i="21"/>
  <c r="M249" i="21"/>
  <c r="K249" i="21"/>
  <c r="L249" i="21" s="1"/>
  <c r="M362" i="21"/>
  <c r="K362" i="21"/>
  <c r="L362" i="21" s="1"/>
  <c r="K361" i="21"/>
  <c r="L361" i="21" s="1"/>
  <c r="M361" i="21"/>
  <c r="M360" i="21"/>
  <c r="K360" i="21"/>
  <c r="L360" i="21" s="1"/>
  <c r="M359" i="21"/>
  <c r="V72" i="13" s="1"/>
  <c r="K359" i="21"/>
  <c r="M363" i="21"/>
  <c r="V73" i="13" s="1"/>
  <c r="K363" i="21"/>
  <c r="M364" i="21"/>
  <c r="K364" i="21"/>
  <c r="L364" i="21" s="1"/>
  <c r="K365" i="21"/>
  <c r="L365" i="21" s="1"/>
  <c r="M365" i="21"/>
  <c r="K366" i="21"/>
  <c r="L366" i="21" s="1"/>
  <c r="M366" i="21"/>
  <c r="K368" i="21"/>
  <c r="L368" i="21" s="1"/>
  <c r="M368" i="21"/>
  <c r="M369" i="21"/>
  <c r="K369" i="21"/>
  <c r="L369" i="21" s="1"/>
  <c r="M371" i="21"/>
  <c r="K371" i="21"/>
  <c r="L371" i="21" s="1"/>
  <c r="M370" i="21"/>
  <c r="K370" i="21"/>
  <c r="L370" i="21" s="1"/>
  <c r="K367" i="21"/>
  <c r="M367" i="21"/>
  <c r="V75" i="13" s="1"/>
  <c r="K372" i="21"/>
  <c r="L372" i="21" s="1"/>
  <c r="M372" i="21"/>
  <c r="K373" i="21"/>
  <c r="M373" i="21"/>
  <c r="V76" i="13" s="1"/>
  <c r="K375" i="21"/>
  <c r="L375" i="21" s="1"/>
  <c r="M375" i="21"/>
  <c r="M374" i="21"/>
  <c r="K374" i="21"/>
  <c r="L374" i="21" s="1"/>
  <c r="K377" i="21"/>
  <c r="L377" i="21" s="1"/>
  <c r="M377" i="21"/>
  <c r="M378" i="21"/>
  <c r="K378" i="21"/>
  <c r="L378" i="21" s="1"/>
  <c r="K376" i="21"/>
  <c r="L376" i="21" s="1"/>
  <c r="M376" i="21"/>
  <c r="K379" i="21"/>
  <c r="M379" i="21"/>
  <c r="V77" i="13" s="1"/>
  <c r="K381" i="21"/>
  <c r="L381" i="21" s="1"/>
  <c r="M381" i="21"/>
  <c r="M380" i="21"/>
  <c r="K380" i="21"/>
  <c r="L380" i="21" s="1"/>
  <c r="M383" i="21"/>
  <c r="K383" i="21"/>
  <c r="L383" i="21" s="1"/>
  <c r="K384" i="21"/>
  <c r="L384" i="21" s="1"/>
  <c r="M384" i="21"/>
  <c r="K382" i="21"/>
  <c r="L382" i="21" s="1"/>
  <c r="M382" i="21"/>
  <c r="K388" i="21"/>
  <c r="L388" i="21" s="1"/>
  <c r="M388" i="21"/>
  <c r="M387" i="21"/>
  <c r="K387" i="21"/>
  <c r="L387" i="21" s="1"/>
  <c r="K385" i="21"/>
  <c r="M385" i="21"/>
  <c r="V78" i="13" s="1"/>
  <c r="M386" i="21"/>
  <c r="K386" i="21"/>
  <c r="L386" i="21" s="1"/>
  <c r="K389" i="21"/>
  <c r="L389" i="21" s="1"/>
  <c r="M389" i="21"/>
  <c r="K391" i="21"/>
  <c r="L391" i="21" s="1"/>
  <c r="M391" i="21"/>
  <c r="M390" i="21"/>
  <c r="V79" i="13" s="1"/>
  <c r="K390" i="21"/>
  <c r="M1929" i="21"/>
  <c r="V163" i="13" s="1"/>
  <c r="K1929" i="21"/>
  <c r="K1933" i="21"/>
  <c r="L1933" i="21" s="1"/>
  <c r="M1933" i="21"/>
  <c r="M1935" i="21"/>
  <c r="V166" i="13" s="1"/>
  <c r="K1935" i="21"/>
  <c r="M20" i="21"/>
  <c r="K20" i="21"/>
  <c r="L20" i="21" s="1"/>
  <c r="M22" i="21"/>
  <c r="K22" i="21"/>
  <c r="L22" i="21" s="1"/>
  <c r="M23" i="21"/>
  <c r="K23" i="21"/>
  <c r="L23" i="21" s="1"/>
  <c r="K24" i="21"/>
  <c r="L24" i="21" s="1"/>
  <c r="M24" i="21"/>
  <c r="K25" i="21"/>
  <c r="L25" i="21" s="1"/>
  <c r="M25" i="21"/>
  <c r="M21" i="21"/>
  <c r="V7" i="13" s="1"/>
  <c r="K21" i="21"/>
  <c r="K29" i="21"/>
  <c r="L29" i="21" s="1"/>
  <c r="M29" i="21"/>
  <c r="K30" i="21"/>
  <c r="L30" i="21" s="1"/>
  <c r="M30" i="21"/>
  <c r="K31" i="21"/>
  <c r="L31" i="21" s="1"/>
  <c r="M31" i="21"/>
  <c r="M28" i="21"/>
  <c r="K28" i="21"/>
  <c r="L28" i="21" s="1"/>
  <c r="K26" i="21"/>
  <c r="M26" i="21"/>
  <c r="V8" i="13" s="1"/>
  <c r="M27" i="21"/>
  <c r="K27" i="21"/>
  <c r="L27" i="21" s="1"/>
  <c r="K32" i="21"/>
  <c r="M32" i="21"/>
  <c r="V9" i="13" s="1"/>
  <c r="M35" i="21"/>
  <c r="K35" i="21"/>
  <c r="L35" i="21" s="1"/>
  <c r="M36" i="21"/>
  <c r="K36" i="21"/>
  <c r="L36" i="21" s="1"/>
  <c r="M34" i="21"/>
  <c r="K34" i="21"/>
  <c r="L34" i="21" s="1"/>
  <c r="M33" i="21"/>
  <c r="K33" i="21"/>
  <c r="L33" i="21" s="1"/>
  <c r="M37" i="21"/>
  <c r="V10" i="13" s="1"/>
  <c r="K37" i="21"/>
  <c r="K40" i="21"/>
  <c r="L40" i="21" s="1"/>
  <c r="M40" i="21"/>
  <c r="K39" i="21"/>
  <c r="L39" i="21" s="1"/>
  <c r="M39" i="21"/>
  <c r="M41" i="21"/>
  <c r="K41" i="21"/>
  <c r="L41" i="21" s="1"/>
  <c r="K38" i="21"/>
  <c r="L38" i="21" s="1"/>
  <c r="M38" i="21"/>
  <c r="K43" i="21"/>
  <c r="L43" i="21" s="1"/>
  <c r="M43" i="21"/>
  <c r="K44" i="21"/>
  <c r="L44" i="21" s="1"/>
  <c r="M44" i="21"/>
  <c r="M47" i="21"/>
  <c r="K47" i="21"/>
  <c r="L47" i="21" s="1"/>
  <c r="M45" i="21"/>
  <c r="K45" i="21"/>
  <c r="L45" i="21" s="1"/>
  <c r="M46" i="21"/>
  <c r="K46" i="21"/>
  <c r="L46" i="21" s="1"/>
  <c r="M42" i="21"/>
  <c r="V11" i="13" s="1"/>
  <c r="K42" i="21"/>
  <c r="K48" i="21"/>
  <c r="M48" i="21"/>
  <c r="V12" i="13" s="1"/>
  <c r="M50" i="21"/>
  <c r="K50" i="21"/>
  <c r="L50" i="21" s="1"/>
  <c r="M49" i="21"/>
  <c r="K49" i="21"/>
  <c r="L49" i="21" s="1"/>
  <c r="K51" i="21"/>
  <c r="L51" i="21" s="1"/>
  <c r="M51" i="21"/>
  <c r="M52" i="21"/>
  <c r="V13" i="13" s="1"/>
  <c r="K52" i="21"/>
  <c r="M53" i="21"/>
  <c r="K53" i="21"/>
  <c r="L53" i="21" s="1"/>
  <c r="K56" i="21"/>
  <c r="L56" i="21" s="1"/>
  <c r="M56" i="21"/>
  <c r="K54" i="21"/>
  <c r="L54" i="21" s="1"/>
  <c r="M54" i="21"/>
  <c r="M55" i="21"/>
  <c r="K55" i="21"/>
  <c r="L55" i="21" s="1"/>
  <c r="M57" i="21"/>
  <c r="V15" i="13" s="1"/>
  <c r="K57" i="21"/>
  <c r="K60" i="21"/>
  <c r="L60" i="21" s="1"/>
  <c r="M60" i="21"/>
  <c r="M58" i="21"/>
  <c r="K58" i="21"/>
  <c r="L58" i="21" s="1"/>
  <c r="K59" i="21"/>
  <c r="L59" i="21" s="1"/>
  <c r="M59" i="21"/>
  <c r="M62" i="21"/>
  <c r="K62" i="21"/>
  <c r="L62" i="21" s="1"/>
  <c r="K61" i="21"/>
  <c r="L61" i="21" s="1"/>
  <c r="M61" i="21"/>
  <c r="M63" i="21"/>
  <c r="V16" i="13" s="1"/>
  <c r="K63" i="21"/>
  <c r="M66" i="21"/>
  <c r="K66" i="21"/>
  <c r="L66" i="21" s="1"/>
  <c r="K67" i="21"/>
  <c r="L67" i="21" s="1"/>
  <c r="M67" i="21"/>
  <c r="M64" i="21"/>
  <c r="K64" i="21"/>
  <c r="L64" i="21" s="1"/>
  <c r="K65" i="21"/>
  <c r="L65" i="21" s="1"/>
  <c r="M65" i="21"/>
  <c r="M68" i="21"/>
  <c r="K68" i="21"/>
  <c r="L68" i="21" s="1"/>
  <c r="K70" i="21"/>
  <c r="L70" i="21" s="1"/>
  <c r="M70" i="21"/>
  <c r="M71" i="21"/>
  <c r="K71" i="21"/>
  <c r="L71" i="21" s="1"/>
  <c r="M74" i="21"/>
  <c r="K74" i="21"/>
  <c r="L74" i="21" s="1"/>
  <c r="M73" i="21"/>
  <c r="K73" i="21"/>
  <c r="L73" i="21" s="1"/>
  <c r="K72" i="21"/>
  <c r="L72" i="21" s="1"/>
  <c r="M72" i="21"/>
  <c r="M69" i="21"/>
  <c r="V17" i="13" s="1"/>
  <c r="K69" i="21"/>
  <c r="M77" i="21"/>
  <c r="K77" i="21"/>
  <c r="L77" i="21" s="1"/>
  <c r="K76" i="21"/>
  <c r="L76" i="21" s="1"/>
  <c r="M76" i="21"/>
  <c r="K75" i="21"/>
  <c r="M75" i="21"/>
  <c r="V18" i="13" s="1"/>
  <c r="K78" i="21"/>
  <c r="L78" i="21" s="1"/>
  <c r="M78" i="21"/>
  <c r="K79" i="21"/>
  <c r="L79" i="21" s="1"/>
  <c r="M79" i="21"/>
  <c r="M288" i="21"/>
  <c r="K288" i="21"/>
  <c r="L288" i="21" s="1"/>
  <c r="M285" i="21"/>
  <c r="K285" i="21"/>
  <c r="L285" i="21" s="1"/>
  <c r="K289" i="21"/>
  <c r="L289" i="21" s="1"/>
  <c r="M289" i="21"/>
  <c r="K283" i="21"/>
  <c r="L283" i="21" s="1"/>
  <c r="M283" i="21"/>
  <c r="M287" i="21"/>
  <c r="K287" i="21"/>
  <c r="L287" i="21" s="1"/>
  <c r="M286" i="21"/>
  <c r="K286" i="21"/>
  <c r="L286" i="21" s="1"/>
  <c r="K282" i="21"/>
  <c r="M282" i="21"/>
  <c r="V60" i="13" s="1"/>
  <c r="M284" i="21"/>
  <c r="K284" i="21"/>
  <c r="L284" i="21" s="1"/>
  <c r="K290" i="21"/>
  <c r="L290" i="21" s="1"/>
  <c r="M290" i="21"/>
  <c r="K299" i="21"/>
  <c r="L299" i="21" s="1"/>
  <c r="M299" i="21"/>
  <c r="M297" i="21"/>
  <c r="K297" i="21"/>
  <c r="L297" i="21" s="1"/>
  <c r="K292" i="21"/>
  <c r="L292" i="21" s="1"/>
  <c r="M292" i="21"/>
  <c r="K294" i="21"/>
  <c r="L294" i="21" s="1"/>
  <c r="M294" i="21"/>
  <c r="K295" i="21"/>
  <c r="L295" i="21" s="1"/>
  <c r="M295" i="21"/>
  <c r="K293" i="21"/>
  <c r="L293" i="21" s="1"/>
  <c r="M293" i="21"/>
  <c r="K298" i="21"/>
  <c r="L298" i="21" s="1"/>
  <c r="M298" i="21"/>
  <c r="K296" i="21"/>
  <c r="L296" i="21" s="1"/>
  <c r="M296" i="21"/>
  <c r="K291" i="21"/>
  <c r="M291" i="21"/>
  <c r="V62" i="13" s="1"/>
  <c r="M300" i="21"/>
  <c r="V63" i="13" s="1"/>
  <c r="K300" i="21"/>
  <c r="M80" i="21"/>
  <c r="K80" i="21"/>
  <c r="L80" i="21" s="1"/>
  <c r="K85" i="21"/>
  <c r="L85" i="21" s="1"/>
  <c r="M85" i="21"/>
  <c r="M82" i="21"/>
  <c r="K82" i="21"/>
  <c r="L82" i="21" s="1"/>
  <c r="K83" i="21"/>
  <c r="L83" i="21" s="1"/>
  <c r="M83" i="21"/>
  <c r="K86" i="21"/>
  <c r="L86" i="21" s="1"/>
  <c r="M86" i="21"/>
  <c r="K84" i="21"/>
  <c r="L84" i="21" s="1"/>
  <c r="M84" i="21"/>
  <c r="M81" i="21"/>
  <c r="V19" i="13" s="1"/>
  <c r="K81" i="21"/>
  <c r="K92" i="21"/>
  <c r="L92" i="21" s="1"/>
  <c r="M92" i="21"/>
  <c r="M89" i="21"/>
  <c r="K89" i="21"/>
  <c r="L89" i="21" s="1"/>
  <c r="M88" i="21"/>
  <c r="K88" i="21"/>
  <c r="L88" i="21" s="1"/>
  <c r="M87" i="21"/>
  <c r="V20" i="13" s="1"/>
  <c r="K87" i="21"/>
  <c r="M90" i="21"/>
  <c r="K90" i="21"/>
  <c r="L90" i="21" s="1"/>
  <c r="M91" i="21"/>
  <c r="K91" i="21"/>
  <c r="L91" i="21" s="1"/>
  <c r="M93" i="21"/>
  <c r="K93" i="21"/>
  <c r="L93" i="21" s="1"/>
  <c r="M96" i="21"/>
  <c r="K96" i="21"/>
  <c r="L96" i="21" s="1"/>
  <c r="M94" i="21"/>
  <c r="V21" i="13" s="1"/>
  <c r="K94" i="21"/>
  <c r="M95" i="21"/>
  <c r="K95" i="21"/>
  <c r="L95" i="21" s="1"/>
  <c r="K99" i="21"/>
  <c r="L99" i="21" s="1"/>
  <c r="M99" i="21"/>
  <c r="M98" i="21"/>
  <c r="K98" i="21"/>
  <c r="L98" i="21" s="1"/>
  <c r="M100" i="21"/>
  <c r="K100" i="21"/>
  <c r="L100" i="21" s="1"/>
  <c r="M97" i="21"/>
  <c r="K97" i="21"/>
  <c r="L97" i="21" s="1"/>
  <c r="K104" i="21"/>
  <c r="L104" i="21" s="1"/>
  <c r="M104" i="21"/>
  <c r="M107" i="21"/>
  <c r="K107" i="21"/>
  <c r="L107" i="21" s="1"/>
  <c r="K105" i="21"/>
  <c r="L105" i="21" s="1"/>
  <c r="M105" i="21"/>
  <c r="M102" i="21"/>
  <c r="K102" i="21"/>
  <c r="L102" i="21" s="1"/>
  <c r="K106" i="21"/>
  <c r="L106" i="21" s="1"/>
  <c r="M106" i="21"/>
  <c r="K103" i="21"/>
  <c r="L103" i="21" s="1"/>
  <c r="M103" i="21"/>
  <c r="M101" i="21"/>
  <c r="V23" i="13" s="1"/>
  <c r="K101" i="21"/>
  <c r="K108" i="21"/>
  <c r="L108" i="21" s="1"/>
  <c r="M108" i="21"/>
  <c r="K111" i="21"/>
  <c r="L111" i="21" s="1"/>
  <c r="M111" i="21"/>
  <c r="K114" i="21"/>
  <c r="L114" i="21" s="1"/>
  <c r="M114" i="21"/>
  <c r="K112" i="21"/>
  <c r="L112" i="21" s="1"/>
  <c r="M112" i="21"/>
  <c r="K110" i="21"/>
  <c r="M110" i="21"/>
  <c r="V24" i="13" s="1"/>
  <c r="K115" i="21"/>
  <c r="L115" i="21" s="1"/>
  <c r="M115" i="21"/>
  <c r="M113" i="21"/>
  <c r="K113" i="21"/>
  <c r="L113" i="21" s="1"/>
  <c r="M116" i="21"/>
  <c r="K116" i="21"/>
  <c r="L116" i="21" s="1"/>
  <c r="K117" i="21"/>
  <c r="L117" i="21" s="1"/>
  <c r="M117" i="21"/>
  <c r="M118" i="21"/>
  <c r="K118" i="21"/>
  <c r="L118" i="21" s="1"/>
  <c r="M121" i="21"/>
  <c r="K121" i="21"/>
  <c r="L121" i="21" s="1"/>
  <c r="K124" i="21"/>
  <c r="L124" i="21" s="1"/>
  <c r="M124" i="21"/>
  <c r="K119" i="21"/>
  <c r="M119" i="21"/>
  <c r="V26" i="13" s="1"/>
  <c r="K123" i="21"/>
  <c r="L123" i="21" s="1"/>
  <c r="M123" i="21"/>
  <c r="K120" i="21"/>
  <c r="L120" i="21" s="1"/>
  <c r="M120" i="21"/>
  <c r="M122" i="21"/>
  <c r="K122" i="21"/>
  <c r="L122" i="21" s="1"/>
  <c r="K127" i="21"/>
  <c r="L127" i="21" s="1"/>
  <c r="M127" i="21"/>
  <c r="K131" i="21"/>
  <c r="L131" i="21" s="1"/>
  <c r="M131" i="21"/>
  <c r="M126" i="21"/>
  <c r="K126" i="21"/>
  <c r="L126" i="21" s="1"/>
  <c r="M130" i="21"/>
  <c r="K130" i="21"/>
  <c r="L130" i="21" s="1"/>
  <c r="K125" i="21"/>
  <c r="M125" i="21"/>
  <c r="V27" i="13" s="1"/>
  <c r="M128" i="21"/>
  <c r="K128" i="21"/>
  <c r="L128" i="21" s="1"/>
  <c r="K129" i="21"/>
  <c r="L129" i="21" s="1"/>
  <c r="M129" i="21"/>
  <c r="M134" i="21"/>
  <c r="K134" i="21"/>
  <c r="L134" i="21" s="1"/>
  <c r="M132" i="21"/>
  <c r="V28" i="13" s="1"/>
  <c r="K132" i="21"/>
  <c r="M137" i="21"/>
  <c r="K137" i="21"/>
  <c r="L137" i="21" s="1"/>
  <c r="K133" i="21"/>
  <c r="L133" i="21" s="1"/>
  <c r="M133" i="21"/>
  <c r="K136" i="21"/>
  <c r="L136" i="21" s="1"/>
  <c r="M136" i="21"/>
  <c r="M135" i="21"/>
  <c r="K135" i="21"/>
  <c r="L135" i="21" s="1"/>
  <c r="K138" i="21"/>
  <c r="L138" i="21" s="1"/>
  <c r="M138" i="21"/>
  <c r="M142" i="21"/>
  <c r="K142" i="21"/>
  <c r="L142" i="21" s="1"/>
  <c r="M143" i="21"/>
  <c r="K143" i="21"/>
  <c r="L143" i="21" s="1"/>
  <c r="M140" i="21"/>
  <c r="K140" i="21"/>
  <c r="L140" i="21" s="1"/>
  <c r="M144" i="21"/>
  <c r="K144" i="21"/>
  <c r="L144" i="21" s="1"/>
  <c r="M139" i="21"/>
  <c r="V29" i="13" s="1"/>
  <c r="K139" i="21"/>
  <c r="M141" i="21"/>
  <c r="K141" i="21"/>
  <c r="L141" i="21" s="1"/>
  <c r="K145" i="21"/>
  <c r="L145" i="21" s="1"/>
  <c r="M145" i="21"/>
  <c r="K146" i="21"/>
  <c r="M146" i="21"/>
  <c r="V30" i="13" s="1"/>
  <c r="K147" i="21"/>
  <c r="L147" i="21" s="1"/>
  <c r="M147" i="21"/>
  <c r="K150" i="21"/>
  <c r="L150" i="21" s="1"/>
  <c r="M150" i="21"/>
  <c r="M149" i="21"/>
  <c r="K149" i="21"/>
  <c r="L149" i="21" s="1"/>
  <c r="K151" i="21"/>
  <c r="L151" i="21" s="1"/>
  <c r="M151" i="21"/>
  <c r="M148" i="21"/>
  <c r="K148" i="21"/>
  <c r="L148" i="21" s="1"/>
  <c r="M158" i="21"/>
  <c r="K158" i="21"/>
  <c r="L158" i="21" s="1"/>
  <c r="M159" i="21"/>
  <c r="K159" i="21"/>
  <c r="L159" i="21" s="1"/>
  <c r="K155" i="21"/>
  <c r="L155" i="21" s="1"/>
  <c r="M155" i="21"/>
  <c r="K152" i="21"/>
  <c r="M152" i="21"/>
  <c r="V145" i="13" s="1"/>
  <c r="K153" i="21"/>
  <c r="L153" i="21" s="1"/>
  <c r="M153" i="21"/>
  <c r="M154" i="21"/>
  <c r="K154" i="21"/>
  <c r="L154" i="21" s="1"/>
  <c r="M157" i="21"/>
  <c r="K157" i="21"/>
  <c r="L157" i="21" s="1"/>
  <c r="M160" i="21"/>
  <c r="K160" i="21"/>
  <c r="L160" i="21" s="1"/>
  <c r="M156" i="21"/>
  <c r="K156" i="21"/>
  <c r="L156" i="21" s="1"/>
  <c r="M166" i="21"/>
  <c r="K166" i="21"/>
  <c r="L166" i="21" s="1"/>
  <c r="M164" i="21"/>
  <c r="K164" i="21"/>
  <c r="L164" i="21" s="1"/>
  <c r="M161" i="21"/>
  <c r="V33" i="13" s="1"/>
  <c r="K161" i="21"/>
  <c r="M162" i="21"/>
  <c r="K162" i="21"/>
  <c r="L162" i="21" s="1"/>
  <c r="K163" i="21"/>
  <c r="L163" i="21" s="1"/>
  <c r="M163" i="21"/>
  <c r="M167" i="21"/>
  <c r="K167" i="21"/>
  <c r="L167" i="21" s="1"/>
  <c r="K165" i="21"/>
  <c r="L165" i="21" s="1"/>
  <c r="M165" i="21"/>
  <c r="M168" i="21"/>
  <c r="V34" i="13" s="1"/>
  <c r="K168" i="21"/>
  <c r="M304" i="21"/>
  <c r="K304" i="21"/>
  <c r="L304" i="21" s="1"/>
  <c r="K302" i="21"/>
  <c r="L302" i="21" s="1"/>
  <c r="M302" i="21"/>
  <c r="K305" i="21"/>
  <c r="L305" i="21" s="1"/>
  <c r="M305" i="21"/>
  <c r="K303" i="21"/>
  <c r="L303" i="21" s="1"/>
  <c r="M303" i="21"/>
  <c r="K307" i="21"/>
  <c r="L307" i="21" s="1"/>
  <c r="M307" i="21"/>
  <c r="K308" i="21"/>
  <c r="L308" i="21" s="1"/>
  <c r="M308" i="21"/>
  <c r="K301" i="21"/>
  <c r="L301" i="21" s="1"/>
  <c r="M301" i="21"/>
  <c r="K306" i="21"/>
  <c r="L306" i="21" s="1"/>
  <c r="M306" i="21"/>
  <c r="K313" i="21"/>
  <c r="L313" i="21" s="1"/>
  <c r="M313" i="21"/>
  <c r="K310" i="21"/>
  <c r="L310" i="21" s="1"/>
  <c r="M310" i="21"/>
  <c r="K311" i="21"/>
  <c r="L311" i="21" s="1"/>
  <c r="M311" i="21"/>
  <c r="M314" i="21"/>
  <c r="K314" i="21"/>
  <c r="L314" i="21" s="1"/>
  <c r="M316" i="21"/>
  <c r="K316" i="21"/>
  <c r="L316" i="21" s="1"/>
  <c r="M312" i="21"/>
  <c r="K312" i="21"/>
  <c r="L312" i="21" s="1"/>
  <c r="K309" i="21"/>
  <c r="M309" i="21"/>
  <c r="V64" i="13" s="1"/>
  <c r="M315" i="21"/>
  <c r="K315" i="21"/>
  <c r="L315" i="21" s="1"/>
  <c r="M317" i="21"/>
  <c r="K317" i="21"/>
  <c r="L317" i="21" s="1"/>
  <c r="K318" i="21"/>
  <c r="M318" i="21"/>
  <c r="V65" i="13" s="1"/>
  <c r="K67" i="13"/>
  <c r="L67" i="13"/>
  <c r="D67" i="13" s="1"/>
  <c r="K88" i="13"/>
  <c r="L88" i="13"/>
  <c r="C88" i="13" s="1"/>
  <c r="K14" i="13"/>
  <c r="L14" i="13"/>
  <c r="D14" i="13" s="1"/>
  <c r="L280" i="13"/>
  <c r="C280" i="13" s="1"/>
  <c r="K280" i="13"/>
  <c r="L25" i="13"/>
  <c r="D25" i="13" s="1"/>
  <c r="K25" i="13"/>
  <c r="L42" i="13"/>
  <c r="D42" i="13" s="1"/>
  <c r="K42" i="13"/>
  <c r="K156" i="13"/>
  <c r="L156" i="13"/>
  <c r="C156" i="13" s="1"/>
  <c r="L443" i="13"/>
  <c r="C443" i="13" s="1"/>
  <c r="K443" i="13"/>
  <c r="K438" i="13"/>
  <c r="L438" i="13"/>
  <c r="C438" i="13" s="1"/>
  <c r="K485" i="13"/>
  <c r="L485" i="13"/>
  <c r="C485" i="13" s="1"/>
  <c r="M173" i="21"/>
  <c r="K173" i="21"/>
  <c r="L173" i="21" s="1"/>
  <c r="K169" i="21"/>
  <c r="L169" i="21" s="1"/>
  <c r="M169" i="21"/>
  <c r="K170" i="21"/>
  <c r="L170" i="21" s="1"/>
  <c r="M170" i="21"/>
  <c r="M172" i="21"/>
  <c r="K172" i="21"/>
  <c r="L172" i="21" s="1"/>
  <c r="K171" i="21"/>
  <c r="L171" i="21" s="1"/>
  <c r="M171" i="21"/>
  <c r="K175" i="21"/>
  <c r="L175" i="21" s="1"/>
  <c r="M175" i="21"/>
  <c r="M174" i="21"/>
  <c r="K174" i="21"/>
  <c r="L174" i="21" s="1"/>
  <c r="K181" i="21"/>
  <c r="L181" i="21" s="1"/>
  <c r="M181" i="21"/>
  <c r="M179" i="21"/>
  <c r="K179" i="21"/>
  <c r="L179" i="21" s="1"/>
  <c r="M182" i="21"/>
  <c r="K182" i="21"/>
  <c r="L182" i="21" s="1"/>
  <c r="M177" i="21"/>
  <c r="K177" i="21"/>
  <c r="L177" i="21" s="1"/>
  <c r="K180" i="21"/>
  <c r="L180" i="21" s="1"/>
  <c r="M180" i="21"/>
  <c r="K178" i="21"/>
  <c r="L178" i="21" s="1"/>
  <c r="M178" i="21"/>
  <c r="K176" i="21"/>
  <c r="M176" i="21"/>
  <c r="V35" i="13" s="1"/>
  <c r="K185" i="21"/>
  <c r="L185" i="21" s="1"/>
  <c r="M185" i="21"/>
  <c r="M189" i="21"/>
  <c r="K189" i="21"/>
  <c r="L189" i="21" s="1"/>
  <c r="K188" i="21"/>
  <c r="L188" i="21" s="1"/>
  <c r="M188" i="21"/>
  <c r="M186" i="21"/>
  <c r="K186" i="21"/>
  <c r="L186" i="21" s="1"/>
  <c r="M184" i="21"/>
  <c r="K184" i="21"/>
  <c r="L184" i="21" s="1"/>
  <c r="M187" i="21"/>
  <c r="K187" i="21"/>
  <c r="L187" i="21" s="1"/>
  <c r="K190" i="21"/>
  <c r="L190" i="21" s="1"/>
  <c r="M190" i="21"/>
  <c r="K183" i="21"/>
  <c r="M183" i="21"/>
  <c r="V36" i="13" s="1"/>
  <c r="M191" i="21"/>
  <c r="K191" i="21"/>
  <c r="L191" i="21" s="1"/>
  <c r="K197" i="21"/>
  <c r="L197" i="21" s="1"/>
  <c r="M197" i="21"/>
  <c r="K195" i="21"/>
  <c r="L195" i="21" s="1"/>
  <c r="M195" i="21"/>
  <c r="M192" i="21"/>
  <c r="V37" i="13" s="1"/>
  <c r="K192" i="21"/>
  <c r="M198" i="21"/>
  <c r="K198" i="21"/>
  <c r="L198" i="21" s="1"/>
  <c r="K194" i="21"/>
  <c r="L194" i="21" s="1"/>
  <c r="M194" i="21"/>
  <c r="M196" i="21"/>
  <c r="K196" i="21"/>
  <c r="L196" i="21" s="1"/>
  <c r="K199" i="21"/>
  <c r="L199" i="21" s="1"/>
  <c r="M199" i="21"/>
  <c r="M193" i="21"/>
  <c r="K193" i="21"/>
  <c r="L193" i="21" s="1"/>
  <c r="M207" i="21"/>
  <c r="K207" i="21"/>
  <c r="L207" i="21" s="1"/>
  <c r="M200" i="21"/>
  <c r="V38" i="13" s="1"/>
  <c r="K200" i="21"/>
  <c r="M208" i="21"/>
  <c r="K208" i="21"/>
  <c r="L208" i="21" s="1"/>
  <c r="K205" i="21"/>
  <c r="L205" i="21" s="1"/>
  <c r="M205" i="21"/>
  <c r="K202" i="21"/>
  <c r="L202" i="21" s="1"/>
  <c r="M202" i="21"/>
  <c r="K204" i="21"/>
  <c r="L204" i="21" s="1"/>
  <c r="M204" i="21"/>
  <c r="K201" i="21"/>
  <c r="L201" i="21" s="1"/>
  <c r="M201" i="21"/>
  <c r="M203" i="21"/>
  <c r="K203" i="21"/>
  <c r="L203" i="21" s="1"/>
  <c r="M206" i="21"/>
  <c r="K206" i="21"/>
  <c r="L206" i="21" s="1"/>
  <c r="M210" i="21"/>
  <c r="K210" i="21"/>
  <c r="L210" i="21" s="1"/>
  <c r="K212" i="21"/>
  <c r="L212" i="21" s="1"/>
  <c r="M212" i="21"/>
  <c r="K211" i="21"/>
  <c r="L211" i="21" s="1"/>
  <c r="M211" i="21"/>
  <c r="K209" i="21"/>
  <c r="M209" i="21"/>
  <c r="V40" i="13" s="1"/>
  <c r="K214" i="21"/>
  <c r="L214" i="21" s="1"/>
  <c r="M214" i="21"/>
  <c r="K213" i="21"/>
  <c r="M213" i="21"/>
  <c r="V41" i="13" s="1"/>
  <c r="M217" i="21"/>
  <c r="K217" i="21"/>
  <c r="L217" i="21" s="1"/>
  <c r="M215" i="21"/>
  <c r="K215" i="21"/>
  <c r="L215" i="21" s="1"/>
  <c r="K216" i="21"/>
  <c r="L216" i="21" s="1"/>
  <c r="M216" i="21"/>
  <c r="K220" i="21"/>
  <c r="L220" i="21" s="1"/>
  <c r="M220" i="21"/>
  <c r="K221" i="21"/>
  <c r="L221" i="21" s="1"/>
  <c r="M221" i="21"/>
  <c r="M222" i="21"/>
  <c r="K222" i="21"/>
  <c r="L222" i="21" s="1"/>
  <c r="K218" i="21"/>
  <c r="M218" i="21"/>
  <c r="V43" i="13" s="1"/>
  <c r="K219" i="21"/>
  <c r="L219" i="21" s="1"/>
  <c r="M219" i="21"/>
  <c r="K227" i="21"/>
  <c r="L227" i="21" s="1"/>
  <c r="M227" i="21"/>
  <c r="M224" i="21"/>
  <c r="K224" i="21"/>
  <c r="L224" i="21" s="1"/>
  <c r="M225" i="21"/>
  <c r="K225" i="21"/>
  <c r="L225" i="21" s="1"/>
  <c r="M223" i="21"/>
  <c r="V44" i="13" s="1"/>
  <c r="K223" i="21"/>
  <c r="M226" i="21"/>
  <c r="K226" i="21"/>
  <c r="L226" i="21" s="1"/>
  <c r="K230" i="21"/>
  <c r="L230" i="21" s="1"/>
  <c r="M230" i="21"/>
  <c r="K229" i="21"/>
  <c r="L229" i="21" s="1"/>
  <c r="M229" i="21"/>
  <c r="K232" i="21"/>
  <c r="L232" i="21" s="1"/>
  <c r="M232" i="21"/>
  <c r="K228" i="21"/>
  <c r="M228" i="21"/>
  <c r="V45" i="13" s="1"/>
  <c r="M231" i="21"/>
  <c r="K231" i="21"/>
  <c r="L231" i="21" s="1"/>
  <c r="M250" i="21"/>
  <c r="K250" i="21"/>
  <c r="L250" i="21" s="1"/>
  <c r="K247" i="21"/>
  <c r="M247" i="21"/>
  <c r="V51" i="13" s="1"/>
  <c r="K251" i="21"/>
  <c r="M251" i="21"/>
  <c r="V52" i="13" s="1"/>
  <c r="K252" i="21"/>
  <c r="L252" i="21" s="1"/>
  <c r="M252" i="21"/>
  <c r="K253" i="21"/>
  <c r="L253" i="21" s="1"/>
  <c r="M253" i="21"/>
  <c r="K254" i="21"/>
  <c r="L254" i="21" s="1"/>
  <c r="M254" i="21"/>
  <c r="M258" i="21"/>
  <c r="K258" i="21"/>
  <c r="L258" i="21" s="1"/>
  <c r="M257" i="21"/>
  <c r="K257" i="21"/>
  <c r="L257" i="21" s="1"/>
  <c r="M256" i="21"/>
  <c r="K256" i="21"/>
  <c r="L256" i="21" s="1"/>
  <c r="K255" i="21"/>
  <c r="M255" i="21"/>
  <c r="V53" i="13" s="1"/>
  <c r="K261" i="21"/>
  <c r="L261" i="21" s="1"/>
  <c r="M261" i="21"/>
  <c r="M259" i="21"/>
  <c r="V54" i="13" s="1"/>
  <c r="K259" i="21"/>
  <c r="K263" i="21"/>
  <c r="L263" i="21" s="1"/>
  <c r="M263" i="21"/>
  <c r="K260" i="21"/>
  <c r="L260" i="21" s="1"/>
  <c r="M260" i="21"/>
  <c r="M262" i="21"/>
  <c r="K262" i="21"/>
  <c r="L262" i="21" s="1"/>
  <c r="M266" i="21"/>
  <c r="K266" i="21"/>
  <c r="L266" i="21" s="1"/>
  <c r="K267" i="21"/>
  <c r="L267" i="21" s="1"/>
  <c r="M267" i="21"/>
  <c r="K264" i="21"/>
  <c r="M264" i="21"/>
  <c r="V56" i="13" s="1"/>
  <c r="K265" i="21"/>
  <c r="L265" i="21" s="1"/>
  <c r="M265" i="21"/>
  <c r="K268" i="21"/>
  <c r="M268" i="21"/>
  <c r="V57" i="13" s="1"/>
  <c r="K270" i="21"/>
  <c r="L270" i="21" s="1"/>
  <c r="M270" i="21"/>
  <c r="M271" i="21"/>
  <c r="K271" i="21"/>
  <c r="L271" i="21" s="1"/>
  <c r="K269" i="21"/>
  <c r="L269" i="21" s="1"/>
  <c r="M269" i="21"/>
  <c r="K273" i="21"/>
  <c r="L273" i="21" s="1"/>
  <c r="M273" i="21"/>
  <c r="K276" i="21"/>
  <c r="L276" i="21" s="1"/>
  <c r="M276" i="21"/>
  <c r="K275" i="21"/>
  <c r="L275" i="21" s="1"/>
  <c r="M275" i="21"/>
  <c r="K272" i="21"/>
  <c r="M272" i="21"/>
  <c r="V58" i="13" s="1"/>
  <c r="K274" i="21"/>
  <c r="L274" i="21" s="1"/>
  <c r="M274" i="21"/>
  <c r="K279" i="21"/>
  <c r="L279" i="21" s="1"/>
  <c r="M279" i="21"/>
  <c r="K277" i="21"/>
  <c r="M277" i="21"/>
  <c r="V59" i="13" s="1"/>
  <c r="M280" i="21"/>
  <c r="K280" i="21"/>
  <c r="L280" i="21" s="1"/>
  <c r="M278" i="21"/>
  <c r="K278" i="21"/>
  <c r="L278" i="21" s="1"/>
  <c r="K281" i="21"/>
  <c r="L281" i="21" s="1"/>
  <c r="M281" i="21"/>
  <c r="M324" i="21"/>
  <c r="K324" i="21"/>
  <c r="L324" i="21" s="1"/>
  <c r="M319" i="21"/>
  <c r="K319" i="21"/>
  <c r="L319" i="21" s="1"/>
  <c r="K322" i="21"/>
  <c r="L322" i="21" s="1"/>
  <c r="M322" i="21"/>
  <c r="K325" i="21"/>
  <c r="L325" i="21" s="1"/>
  <c r="M325" i="21"/>
  <c r="K320" i="21"/>
  <c r="L320" i="21" s="1"/>
  <c r="M320" i="21"/>
  <c r="K326" i="21"/>
  <c r="L326" i="21" s="1"/>
  <c r="M326" i="21"/>
  <c r="K321" i="21"/>
  <c r="L321" i="21" s="1"/>
  <c r="M321" i="21"/>
  <c r="M323" i="21"/>
  <c r="K323" i="21"/>
  <c r="L323" i="21" s="1"/>
  <c r="M330" i="21"/>
  <c r="K330" i="21"/>
  <c r="L330" i="21" s="1"/>
  <c r="K328" i="21"/>
  <c r="L328" i="21" s="1"/>
  <c r="M328" i="21"/>
  <c r="M327" i="21"/>
  <c r="V66" i="13" s="1"/>
  <c r="K327" i="21"/>
  <c r="K329" i="21"/>
  <c r="L329" i="21" s="1"/>
  <c r="M329" i="21"/>
  <c r="K333" i="21"/>
  <c r="L333" i="21" s="1"/>
  <c r="M333" i="21"/>
  <c r="M335" i="21"/>
  <c r="K335" i="21"/>
  <c r="L335" i="21" s="1"/>
  <c r="K334" i="21"/>
  <c r="L334" i="21" s="1"/>
  <c r="M334" i="21"/>
  <c r="K332" i="21"/>
  <c r="L332" i="21" s="1"/>
  <c r="M332" i="21"/>
  <c r="M331" i="21"/>
  <c r="K331" i="21"/>
  <c r="L331" i="21" s="1"/>
  <c r="K341" i="21"/>
  <c r="L341" i="21" s="1"/>
  <c r="M341" i="21"/>
  <c r="K342" i="21"/>
  <c r="L342" i="21" s="1"/>
  <c r="M342" i="21"/>
  <c r="K338" i="21"/>
  <c r="L338" i="21" s="1"/>
  <c r="M338" i="21"/>
  <c r="M336" i="21"/>
  <c r="V68" i="13" s="1"/>
  <c r="K336" i="21"/>
  <c r="M339" i="21"/>
  <c r="K339" i="21"/>
  <c r="L339" i="21" s="1"/>
  <c r="M340" i="21"/>
  <c r="K340" i="21"/>
  <c r="L340" i="21" s="1"/>
  <c r="M344" i="21"/>
  <c r="K344" i="21"/>
  <c r="L344" i="21" s="1"/>
  <c r="M337" i="21"/>
  <c r="K337" i="21"/>
  <c r="L337" i="21" s="1"/>
  <c r="M343" i="21"/>
  <c r="K343" i="21"/>
  <c r="L343" i="21" s="1"/>
  <c r="K347" i="21"/>
  <c r="L347" i="21" s="1"/>
  <c r="M347" i="21"/>
  <c r="K345" i="21"/>
  <c r="M345" i="21"/>
  <c r="V69" i="13" s="1"/>
  <c r="K348" i="21"/>
  <c r="L348" i="21" s="1"/>
  <c r="M348" i="21"/>
  <c r="K346" i="21"/>
  <c r="L346" i="21" s="1"/>
  <c r="M346" i="21"/>
  <c r="M349" i="21"/>
  <c r="V70" i="13" s="1"/>
  <c r="K349" i="21"/>
  <c r="M350" i="21"/>
  <c r="K350" i="21"/>
  <c r="L350" i="21" s="1"/>
  <c r="K351" i="21"/>
  <c r="L351" i="21" s="1"/>
  <c r="M351" i="21"/>
  <c r="K352" i="21"/>
  <c r="L352" i="21" s="1"/>
  <c r="M352" i="21"/>
  <c r="M353" i="21"/>
  <c r="K353" i="21"/>
  <c r="L353" i="21" s="1"/>
  <c r="M354" i="21"/>
  <c r="V71" i="13" s="1"/>
  <c r="K354" i="21"/>
  <c r="M355" i="21"/>
  <c r="K355" i="21"/>
  <c r="L355" i="21" s="1"/>
  <c r="M356" i="21"/>
  <c r="K356" i="21"/>
  <c r="L356" i="21" s="1"/>
  <c r="M233" i="21"/>
  <c r="V47" i="13" s="1"/>
  <c r="K233" i="21"/>
  <c r="K235" i="21"/>
  <c r="L235" i="21" s="1"/>
  <c r="M235" i="21"/>
  <c r="M236" i="21"/>
  <c r="K236" i="21"/>
  <c r="L236" i="21" s="1"/>
  <c r="K234" i="21"/>
  <c r="L234" i="21" s="1"/>
  <c r="M234" i="21"/>
  <c r="K241" i="21"/>
  <c r="L241" i="21" s="1"/>
  <c r="M241" i="21"/>
  <c r="M240" i="21"/>
  <c r="K240" i="21"/>
  <c r="L240" i="21" s="1"/>
  <c r="K238" i="21"/>
  <c r="L238" i="21" s="1"/>
  <c r="M238" i="21"/>
  <c r="M237" i="21"/>
  <c r="V48" i="13" s="1"/>
  <c r="K237" i="21"/>
  <c r="M239" i="21"/>
  <c r="K239" i="21"/>
  <c r="L239" i="21" s="1"/>
  <c r="M242" i="21"/>
  <c r="V49" i="13" s="1"/>
  <c r="K242" i="21"/>
  <c r="M980" i="21"/>
  <c r="V570" i="13" s="1"/>
  <c r="K980" i="21"/>
  <c r="K985" i="21"/>
  <c r="M985" i="21"/>
  <c r="V577" i="13" s="1"/>
  <c r="M987" i="21"/>
  <c r="K987" i="21"/>
  <c r="L987" i="21" s="1"/>
  <c r="M989" i="21"/>
  <c r="K989" i="21"/>
  <c r="L989" i="21" s="1"/>
  <c r="K991" i="21"/>
  <c r="L991" i="21" s="1"/>
  <c r="M991" i="21"/>
  <c r="M999" i="21"/>
  <c r="K999" i="21"/>
  <c r="L999" i="21" s="1"/>
  <c r="K996" i="21"/>
  <c r="L996" i="21" s="1"/>
  <c r="M996" i="21"/>
  <c r="K998" i="21"/>
  <c r="L998" i="21" s="1"/>
  <c r="M998" i="21"/>
  <c r="K994" i="21"/>
  <c r="M994" i="21"/>
  <c r="V579" i="13" s="1"/>
  <c r="K997" i="21"/>
  <c r="L997" i="21" s="1"/>
  <c r="M997" i="21"/>
  <c r="K995" i="21"/>
  <c r="L995" i="21" s="1"/>
  <c r="M995" i="21"/>
  <c r="K1004" i="21"/>
  <c r="L1004" i="21" s="1"/>
  <c r="M1004" i="21"/>
  <c r="K1000" i="21"/>
  <c r="M1000" i="21"/>
  <c r="V585" i="13" s="1"/>
  <c r="M1003" i="21"/>
  <c r="K1003" i="21"/>
  <c r="L1003" i="21" s="1"/>
  <c r="M1002" i="21"/>
  <c r="K1002" i="21"/>
  <c r="L1002" i="21" s="1"/>
  <c r="M1001" i="21"/>
  <c r="K1001" i="21"/>
  <c r="L1001" i="21" s="1"/>
  <c r="K1005" i="21"/>
  <c r="L1005" i="21" s="1"/>
  <c r="M1005" i="21"/>
  <c r="M1008" i="21"/>
  <c r="K1008" i="21"/>
  <c r="L1008" i="21" s="1"/>
  <c r="K1011" i="21"/>
  <c r="L1011" i="21" s="1"/>
  <c r="M1011" i="21"/>
  <c r="K1007" i="21"/>
  <c r="L1007" i="21" s="1"/>
  <c r="M1007" i="21"/>
  <c r="K1006" i="21"/>
  <c r="M1006" i="21"/>
  <c r="V587" i="13" s="1"/>
  <c r="K1009" i="21"/>
  <c r="L1009" i="21" s="1"/>
  <c r="M1009" i="21"/>
  <c r="K1010" i="21"/>
  <c r="L1010" i="21" s="1"/>
  <c r="M1010" i="21"/>
  <c r="M1013" i="21"/>
  <c r="K1013" i="21"/>
  <c r="L1013" i="21" s="1"/>
  <c r="M1014" i="21"/>
  <c r="K1014" i="21"/>
  <c r="L1014" i="21" s="1"/>
  <c r="M1012" i="21"/>
  <c r="V580" i="13" s="1"/>
  <c r="K1012" i="21"/>
  <c r="M1016" i="21"/>
  <c r="K1016" i="21"/>
  <c r="L1016" i="21" s="1"/>
  <c r="M1017" i="21"/>
  <c r="K1017" i="21"/>
  <c r="L1017" i="21" s="1"/>
  <c r="M1015" i="21"/>
  <c r="K1015" i="21"/>
  <c r="L1015" i="21" s="1"/>
  <c r="M1018" i="21"/>
  <c r="V581" i="13" s="1"/>
  <c r="K1018" i="21"/>
  <c r="K1020" i="21"/>
  <c r="L1020" i="21" s="1"/>
  <c r="M1020" i="21"/>
  <c r="M1019" i="21"/>
  <c r="K1019" i="21"/>
  <c r="L1019" i="21" s="1"/>
  <c r="M1022" i="21"/>
  <c r="K1022" i="21"/>
  <c r="L1022" i="21" s="1"/>
  <c r="K1023" i="21"/>
  <c r="L1023" i="21" s="1"/>
  <c r="M1023" i="21"/>
  <c r="M1021" i="21"/>
  <c r="K1021" i="21"/>
  <c r="L1021" i="21" s="1"/>
  <c r="M1028" i="21"/>
  <c r="K1028" i="21"/>
  <c r="L1028" i="21" s="1"/>
  <c r="M1029" i="21"/>
  <c r="K1029" i="21"/>
  <c r="L1029" i="21" s="1"/>
  <c r="K1024" i="21"/>
  <c r="M1024" i="21"/>
  <c r="V582" i="13" s="1"/>
  <c r="K1027" i="21"/>
  <c r="L1027" i="21" s="1"/>
  <c r="M1027" i="21"/>
  <c r="M1025" i="21"/>
  <c r="K1025" i="21"/>
  <c r="L1025" i="21" s="1"/>
  <c r="K1026" i="21"/>
  <c r="L1026" i="21" s="1"/>
  <c r="M1026" i="21"/>
  <c r="M1030" i="21"/>
  <c r="V583" i="13" s="1"/>
  <c r="K1030" i="21"/>
  <c r="K1031" i="21"/>
  <c r="L1031" i="21" s="1"/>
  <c r="M1031" i="21"/>
  <c r="K1033" i="21"/>
  <c r="L1033" i="21" s="1"/>
  <c r="M1033" i="21"/>
  <c r="K1032" i="21"/>
  <c r="L1032" i="21" s="1"/>
  <c r="M1032" i="21"/>
  <c r="M1036" i="21"/>
  <c r="K1036" i="21"/>
  <c r="L1036" i="21" s="1"/>
  <c r="M1035" i="21"/>
  <c r="K1035" i="21"/>
  <c r="L1035" i="21" s="1"/>
  <c r="K1034" i="21"/>
  <c r="L1034" i="21" s="1"/>
  <c r="M1034" i="21"/>
  <c r="K1043" i="21"/>
  <c r="L1043" i="21" s="1"/>
  <c r="M1043" i="21"/>
  <c r="K1039" i="21"/>
  <c r="L1039" i="21" s="1"/>
  <c r="M1039" i="21"/>
  <c r="K1042" i="21"/>
  <c r="L1042" i="21" s="1"/>
  <c r="M1042" i="21"/>
  <c r="M1037" i="21"/>
  <c r="V584" i="13" s="1"/>
  <c r="K1037" i="21"/>
  <c r="K1045" i="21"/>
  <c r="L1045" i="21" s="1"/>
  <c r="M1045" i="21"/>
  <c r="M1044" i="21"/>
  <c r="K1044" i="21"/>
  <c r="L1044" i="21" s="1"/>
  <c r="M1040" i="21"/>
  <c r="K1040" i="21"/>
  <c r="L1040" i="21" s="1"/>
  <c r="K1041" i="21"/>
  <c r="L1041" i="21" s="1"/>
  <c r="M1041" i="21"/>
  <c r="M1038" i="21"/>
  <c r="K1038" i="21"/>
  <c r="L1038" i="21" s="1"/>
  <c r="M1048" i="21"/>
  <c r="K1048" i="21"/>
  <c r="L1048" i="21" s="1"/>
  <c r="K1047" i="21"/>
  <c r="L1047" i="21" s="1"/>
  <c r="M1047" i="21"/>
  <c r="M1046" i="21"/>
  <c r="V589" i="13" s="1"/>
  <c r="K1046" i="21"/>
  <c r="M1050" i="21"/>
  <c r="K1050" i="21"/>
  <c r="L1050" i="21" s="1"/>
  <c r="K1049" i="21"/>
  <c r="L1049" i="21" s="1"/>
  <c r="M1049" i="21"/>
  <c r="M1053" i="21"/>
  <c r="K1053" i="21"/>
  <c r="L1053" i="21" s="1"/>
  <c r="M1051" i="21"/>
  <c r="V588" i="13" s="1"/>
  <c r="K1051" i="21"/>
  <c r="K1054" i="21"/>
  <c r="L1054" i="21" s="1"/>
  <c r="M1054" i="21"/>
  <c r="K1055" i="21"/>
  <c r="L1055" i="21" s="1"/>
  <c r="M1055" i="21"/>
  <c r="K1052" i="21"/>
  <c r="L1052" i="21" s="1"/>
  <c r="M1052" i="21"/>
  <c r="K1056" i="21"/>
  <c r="M1056" i="21"/>
  <c r="V586" i="13" s="1"/>
  <c r="K1060" i="21"/>
  <c r="L1060" i="21" s="1"/>
  <c r="M1060" i="21"/>
  <c r="M1058" i="21"/>
  <c r="K1058" i="21"/>
  <c r="L1058" i="21" s="1"/>
  <c r="K1057" i="21"/>
  <c r="L1057" i="21" s="1"/>
  <c r="M1057" i="21"/>
  <c r="K1059" i="21"/>
  <c r="L1059" i="21" s="1"/>
  <c r="M1059" i="21"/>
  <c r="K1062" i="21"/>
  <c r="L1062" i="21" s="1"/>
  <c r="M1062" i="21"/>
  <c r="K1061" i="21"/>
  <c r="L1061" i="21" s="1"/>
  <c r="M1061" i="21"/>
  <c r="M1065" i="21"/>
  <c r="K1065" i="21"/>
  <c r="L1065" i="21" s="1"/>
  <c r="M1064" i="21"/>
  <c r="K1064" i="21"/>
  <c r="L1064" i="21" s="1"/>
  <c r="M1066" i="21"/>
  <c r="K1066" i="21"/>
  <c r="L1066" i="21" s="1"/>
  <c r="K1067" i="21"/>
  <c r="L1067" i="21" s="1"/>
  <c r="M1067" i="21"/>
  <c r="K1063" i="21"/>
  <c r="M1063" i="21"/>
  <c r="V591" i="13" s="1"/>
  <c r="M1073" i="21"/>
  <c r="K1073" i="21"/>
  <c r="L1073" i="21" s="1"/>
  <c r="K1070" i="21"/>
  <c r="L1070" i="21" s="1"/>
  <c r="M1070" i="21"/>
  <c r="K1069" i="21"/>
  <c r="L1069" i="21" s="1"/>
  <c r="M1069" i="21"/>
  <c r="K1072" i="21"/>
  <c r="L1072" i="21" s="1"/>
  <c r="M1072" i="21"/>
  <c r="M1068" i="21"/>
  <c r="V593" i="13" s="1"/>
  <c r="K1068" i="21"/>
  <c r="M1071" i="21"/>
  <c r="K1071" i="21"/>
  <c r="L1071" i="21" s="1"/>
  <c r="K1075" i="21"/>
  <c r="L1075" i="21" s="1"/>
  <c r="M1075" i="21"/>
  <c r="M1074" i="21"/>
  <c r="V590" i="13" s="1"/>
  <c r="K1074" i="21"/>
  <c r="M1076" i="21"/>
  <c r="K1076" i="21"/>
  <c r="L1076" i="21" s="1"/>
  <c r="M1077" i="21"/>
  <c r="K1077" i="21"/>
  <c r="L1077" i="21" s="1"/>
  <c r="M1078" i="21"/>
  <c r="K1078" i="21"/>
  <c r="L1078" i="21" s="1"/>
  <c r="M1083" i="21"/>
  <c r="K1083" i="21"/>
  <c r="L1083" i="21" s="1"/>
  <c r="M1082" i="21"/>
  <c r="K1082" i="21"/>
  <c r="L1082" i="21" s="1"/>
  <c r="K1079" i="21"/>
  <c r="M1079" i="21"/>
  <c r="V594" i="13" s="1"/>
  <c r="M1080" i="21"/>
  <c r="K1080" i="21"/>
  <c r="L1080" i="21" s="1"/>
  <c r="K1084" i="21"/>
  <c r="L1084" i="21" s="1"/>
  <c r="M1084" i="21"/>
  <c r="K1081" i="21"/>
  <c r="L1081" i="21" s="1"/>
  <c r="M1081" i="21"/>
  <c r="M1092" i="21"/>
  <c r="K1092" i="21"/>
  <c r="L1092" i="21" s="1"/>
  <c r="M1093" i="21"/>
  <c r="K1093" i="21"/>
  <c r="L1093" i="21" s="1"/>
  <c r="K1090" i="21"/>
  <c r="L1090" i="21" s="1"/>
  <c r="M1090" i="21"/>
  <c r="K1086" i="21"/>
  <c r="L1086" i="21" s="1"/>
  <c r="M1086" i="21"/>
  <c r="K1085" i="21"/>
  <c r="M1085" i="21"/>
  <c r="V592" i="13" s="1"/>
  <c r="M1091" i="21"/>
  <c r="K1091" i="21"/>
  <c r="L1091" i="21" s="1"/>
  <c r="K1089" i="21"/>
  <c r="L1089" i="21" s="1"/>
  <c r="M1089" i="21"/>
  <c r="K1087" i="21"/>
  <c r="L1087" i="21" s="1"/>
  <c r="M1087" i="21"/>
  <c r="M1088" i="21"/>
  <c r="K1088" i="21"/>
  <c r="L1088" i="21" s="1"/>
  <c r="M1095" i="21"/>
  <c r="K1095" i="21"/>
  <c r="L1095" i="21" s="1"/>
  <c r="M1096" i="21"/>
  <c r="K1096" i="21"/>
  <c r="L1096" i="21" s="1"/>
  <c r="K1098" i="21"/>
  <c r="L1098" i="21" s="1"/>
  <c r="M1098" i="21"/>
  <c r="K1094" i="21"/>
  <c r="M1094" i="21"/>
  <c r="V595" i="13" s="1"/>
  <c r="M1097" i="21"/>
  <c r="K1097" i="21"/>
  <c r="L1097" i="21" s="1"/>
  <c r="K1102" i="21"/>
  <c r="L1102" i="21" s="1"/>
  <c r="M1102" i="21"/>
  <c r="K1103" i="21"/>
  <c r="L1103" i="21" s="1"/>
  <c r="M1103" i="21"/>
  <c r="M1100" i="21"/>
  <c r="K1100" i="21"/>
  <c r="L1100" i="21" s="1"/>
  <c r="M1099" i="21"/>
  <c r="V596" i="13" s="1"/>
  <c r="K1099" i="21"/>
  <c r="K1101" i="21"/>
  <c r="L1101" i="21" s="1"/>
  <c r="M1101" i="21"/>
  <c r="K1106" i="21"/>
  <c r="L1106" i="21" s="1"/>
  <c r="M1106" i="21"/>
  <c r="K1107" i="21"/>
  <c r="L1107" i="21" s="1"/>
  <c r="M1107" i="21"/>
  <c r="K1108" i="21"/>
  <c r="L1108" i="21" s="1"/>
  <c r="M1108" i="21"/>
  <c r="K1104" i="21"/>
  <c r="M1104" i="21"/>
  <c r="V597" i="13" s="1"/>
  <c r="M1105" i="21"/>
  <c r="K1105" i="21"/>
  <c r="L1105" i="21" s="1"/>
  <c r="K1109" i="21"/>
  <c r="M1109" i="21"/>
  <c r="V611" i="13" s="1"/>
  <c r="K1114" i="21"/>
  <c r="L1114" i="21" s="1"/>
  <c r="M1114" i="21"/>
  <c r="K1111" i="21"/>
  <c r="L1111" i="21" s="1"/>
  <c r="M1111" i="21"/>
  <c r="K1113" i="21"/>
  <c r="L1113" i="21" s="1"/>
  <c r="M1113" i="21"/>
  <c r="K1112" i="21"/>
  <c r="L1112" i="21" s="1"/>
  <c r="M1112" i="21"/>
  <c r="M1110" i="21"/>
  <c r="K1110" i="21"/>
  <c r="L1110" i="21" s="1"/>
  <c r="K1116" i="21"/>
  <c r="L1116" i="21" s="1"/>
  <c r="M1116" i="21"/>
  <c r="M1115" i="21"/>
  <c r="V604" i="13" s="1"/>
  <c r="K1115" i="21"/>
  <c r="K1118" i="21"/>
  <c r="L1118" i="21" s="1"/>
  <c r="M1118" i="21"/>
  <c r="M1117" i="21"/>
  <c r="K1117" i="21"/>
  <c r="L1117" i="21" s="1"/>
  <c r="K1119" i="21"/>
  <c r="L1119" i="21" s="1"/>
  <c r="M1119" i="21"/>
  <c r="M1123" i="21"/>
  <c r="K1123" i="21"/>
  <c r="L1123" i="21" s="1"/>
  <c r="M1124" i="21"/>
  <c r="K1124" i="21"/>
  <c r="L1124" i="21" s="1"/>
  <c r="K1121" i="21"/>
  <c r="L1121" i="21" s="1"/>
  <c r="M1121" i="21"/>
  <c r="M1120" i="21"/>
  <c r="V605" i="13" s="1"/>
  <c r="K1120" i="21"/>
  <c r="K1122" i="21"/>
  <c r="L1122" i="21" s="1"/>
  <c r="M1122" i="21"/>
  <c r="M1127" i="21"/>
  <c r="K1127" i="21"/>
  <c r="L1127" i="21" s="1"/>
  <c r="M1129" i="21"/>
  <c r="K1129" i="21"/>
  <c r="L1129" i="21" s="1"/>
  <c r="M1128" i="21"/>
  <c r="K1128" i="21"/>
  <c r="L1128" i="21" s="1"/>
  <c r="K1126" i="21"/>
  <c r="L1126" i="21" s="1"/>
  <c r="M1126" i="21"/>
  <c r="K1125" i="21"/>
  <c r="M1125" i="21"/>
  <c r="V606" i="13" s="1"/>
  <c r="M1130" i="21"/>
  <c r="V607" i="13" s="1"/>
  <c r="K1130" i="21"/>
  <c r="K1135" i="21"/>
  <c r="L1135" i="21" s="1"/>
  <c r="M1135" i="21"/>
  <c r="K1133" i="21"/>
  <c r="L1133" i="21" s="1"/>
  <c r="M1133" i="21"/>
  <c r="K1134" i="21"/>
  <c r="L1134" i="21" s="1"/>
  <c r="M1134" i="21"/>
  <c r="M1136" i="21"/>
  <c r="K1136" i="21"/>
  <c r="L1136" i="21" s="1"/>
  <c r="K1132" i="21"/>
  <c r="L1132" i="21" s="1"/>
  <c r="M1132" i="21"/>
  <c r="K1131" i="21"/>
  <c r="L1131" i="21" s="1"/>
  <c r="M1131" i="21"/>
  <c r="K1140" i="21"/>
  <c r="L1140" i="21" s="1"/>
  <c r="M1140" i="21"/>
  <c r="K1139" i="21"/>
  <c r="L1139" i="21" s="1"/>
  <c r="M1139" i="21"/>
  <c r="K1142" i="21"/>
  <c r="L1142" i="21" s="1"/>
  <c r="M1142" i="21"/>
  <c r="M1143" i="21"/>
  <c r="K1143" i="21"/>
  <c r="L1143" i="21" s="1"/>
  <c r="K1145" i="21"/>
  <c r="L1145" i="21" s="1"/>
  <c r="M1145" i="21"/>
  <c r="M1137" i="21"/>
  <c r="V608" i="13" s="1"/>
  <c r="K1137" i="21"/>
  <c r="M1141" i="21"/>
  <c r="K1141" i="21"/>
  <c r="L1141" i="21" s="1"/>
  <c r="M1144" i="21"/>
  <c r="K1144" i="21"/>
  <c r="L1144" i="21" s="1"/>
  <c r="M1138" i="21"/>
  <c r="K1138" i="21"/>
  <c r="L1138" i="21" s="1"/>
  <c r="M1150" i="21"/>
  <c r="K1150" i="21"/>
  <c r="L1150" i="21" s="1"/>
  <c r="K1149" i="21"/>
  <c r="L1149" i="21" s="1"/>
  <c r="M1149" i="21"/>
  <c r="M1146" i="21"/>
  <c r="V610" i="13" s="1"/>
  <c r="K1146" i="21"/>
  <c r="M1148" i="21"/>
  <c r="K1148" i="21"/>
  <c r="L1148" i="21" s="1"/>
  <c r="M1147" i="21"/>
  <c r="K1147" i="21"/>
  <c r="L1147" i="21" s="1"/>
  <c r="K1155" i="21"/>
  <c r="L1155" i="21" s="1"/>
  <c r="M1155" i="21"/>
  <c r="M1154" i="21"/>
  <c r="K1154" i="21"/>
  <c r="L1154" i="21" s="1"/>
  <c r="M1152" i="21"/>
  <c r="K1152" i="21"/>
  <c r="L1152" i="21" s="1"/>
  <c r="M1151" i="21"/>
  <c r="V603" i="13" s="1"/>
  <c r="K1151" i="21"/>
  <c r="M1153" i="21"/>
  <c r="K1153" i="21"/>
  <c r="L1153" i="21" s="1"/>
  <c r="K1156" i="21"/>
  <c r="M1156" i="21"/>
  <c r="V602" i="13" s="1"/>
  <c r="K1158" i="21"/>
  <c r="L1158" i="21" s="1"/>
  <c r="M1158" i="21"/>
  <c r="K1160" i="21"/>
  <c r="L1160" i="21" s="1"/>
  <c r="M1160" i="21"/>
  <c r="K1159" i="21"/>
  <c r="L1159" i="21" s="1"/>
  <c r="M1159" i="21"/>
  <c r="M1157" i="21"/>
  <c r="K1157" i="21"/>
  <c r="L1157" i="21" s="1"/>
  <c r="K1165" i="21"/>
  <c r="L1165" i="21" s="1"/>
  <c r="M1165" i="21"/>
  <c r="M1161" i="21"/>
  <c r="V601" i="13" s="1"/>
  <c r="K1161" i="21"/>
  <c r="M1162" i="21"/>
  <c r="K1162" i="21"/>
  <c r="L1162" i="21" s="1"/>
  <c r="K1166" i="21"/>
  <c r="L1166" i="21" s="1"/>
  <c r="M1166" i="21"/>
  <c r="M1163" i="21"/>
  <c r="K1163" i="21"/>
  <c r="L1163" i="21" s="1"/>
  <c r="M1164" i="21"/>
  <c r="K1164" i="21"/>
  <c r="L1164" i="21" s="1"/>
  <c r="K1169" i="21"/>
  <c r="L1169" i="21" s="1"/>
  <c r="M1169" i="21"/>
  <c r="M1170" i="21"/>
  <c r="K1170" i="21"/>
  <c r="L1170" i="21" s="1"/>
  <c r="K1171" i="21"/>
  <c r="L1171" i="21" s="1"/>
  <c r="M1171" i="21"/>
  <c r="K1167" i="21"/>
  <c r="M1167" i="21"/>
  <c r="V609" i="13" s="1"/>
  <c r="M1168" i="21"/>
  <c r="K1168" i="21"/>
  <c r="L1168" i="21" s="1"/>
  <c r="M1172" i="21"/>
  <c r="V612" i="13" s="1"/>
  <c r="K1172" i="21"/>
  <c r="K1176" i="21"/>
  <c r="L1176" i="21" s="1"/>
  <c r="M1176" i="21"/>
  <c r="M1175" i="21"/>
  <c r="K1175" i="21"/>
  <c r="L1175" i="21" s="1"/>
  <c r="M1173" i="21"/>
  <c r="K1173" i="21"/>
  <c r="L1173" i="21" s="1"/>
  <c r="K1177" i="21"/>
  <c r="L1177" i="21" s="1"/>
  <c r="M1177" i="21"/>
  <c r="K1174" i="21"/>
  <c r="L1174" i="21" s="1"/>
  <c r="M1174" i="21"/>
  <c r="M1181" i="21"/>
  <c r="K1181" i="21"/>
  <c r="L1181" i="21" s="1"/>
  <c r="M1180" i="21"/>
  <c r="K1180" i="21"/>
  <c r="L1180" i="21" s="1"/>
  <c r="M1178" i="21"/>
  <c r="V599" i="13" s="1"/>
  <c r="K1178" i="21"/>
  <c r="K1183" i="21"/>
  <c r="L1183" i="21" s="1"/>
  <c r="M1183" i="21"/>
  <c r="K1179" i="21"/>
  <c r="L1179" i="21" s="1"/>
  <c r="M1179" i="21"/>
  <c r="K1182" i="21"/>
  <c r="L1182" i="21" s="1"/>
  <c r="M1182" i="21"/>
  <c r="M1188" i="21"/>
  <c r="K1188" i="21"/>
  <c r="L1188" i="21" s="1"/>
  <c r="M1184" i="21"/>
  <c r="V600" i="13" s="1"/>
  <c r="K1184" i="21"/>
  <c r="M1189" i="21"/>
  <c r="K1189" i="21"/>
  <c r="L1189" i="21" s="1"/>
  <c r="K1185" i="21"/>
  <c r="L1185" i="21" s="1"/>
  <c r="M1185" i="21"/>
  <c r="M1187" i="21"/>
  <c r="K1187" i="21"/>
  <c r="L1187" i="21" s="1"/>
  <c r="M1186" i="21"/>
  <c r="K1186" i="21"/>
  <c r="L1186" i="21" s="1"/>
  <c r="K1191" i="21"/>
  <c r="L1191" i="21" s="1"/>
  <c r="M1191" i="21"/>
  <c r="K1198" i="21"/>
  <c r="L1198" i="21" s="1"/>
  <c r="M1198" i="21"/>
  <c r="K1195" i="21"/>
  <c r="L1195" i="21" s="1"/>
  <c r="M1195" i="21"/>
  <c r="M1192" i="21"/>
  <c r="K1192" i="21"/>
  <c r="L1192" i="21" s="1"/>
  <c r="K1190" i="21"/>
  <c r="M1190" i="21"/>
  <c r="V529" i="13" s="1"/>
  <c r="M1194" i="21"/>
  <c r="K1194" i="21"/>
  <c r="L1194" i="21" s="1"/>
  <c r="K1196" i="21"/>
  <c r="L1196" i="21" s="1"/>
  <c r="M1196" i="21"/>
  <c r="M1197" i="21"/>
  <c r="K1197" i="21"/>
  <c r="L1197" i="21" s="1"/>
  <c r="K1193" i="21"/>
  <c r="L1193" i="21" s="1"/>
  <c r="M1193" i="21"/>
  <c r="M1202" i="21"/>
  <c r="K1202" i="21"/>
  <c r="L1202" i="21" s="1"/>
  <c r="M1201" i="21"/>
  <c r="K1201" i="21"/>
  <c r="L1201" i="21" s="1"/>
  <c r="M1204" i="21"/>
  <c r="K1204" i="21"/>
  <c r="L1204" i="21" s="1"/>
  <c r="K1200" i="21"/>
  <c r="L1200" i="21" s="1"/>
  <c r="M1200" i="21"/>
  <c r="K1199" i="21"/>
  <c r="M1199" i="21"/>
  <c r="V598" i="13" s="1"/>
  <c r="K1205" i="21"/>
  <c r="L1205" i="21" s="1"/>
  <c r="M1205" i="21"/>
  <c r="M1203" i="21"/>
  <c r="K1203" i="21"/>
  <c r="L1203" i="21" s="1"/>
  <c r="K1208" i="21"/>
  <c r="L1208" i="21" s="1"/>
  <c r="M1208" i="21"/>
  <c r="M1209" i="21"/>
  <c r="K1209" i="21"/>
  <c r="L1209" i="21" s="1"/>
  <c r="K1206" i="21"/>
  <c r="M1206" i="21"/>
  <c r="V131" i="13" s="1"/>
  <c r="M1207" i="21"/>
  <c r="K1207" i="21"/>
  <c r="L1207" i="21" s="1"/>
  <c r="K1211" i="21"/>
  <c r="L1211" i="21" s="1"/>
  <c r="M1211" i="21"/>
  <c r="M1210" i="21"/>
  <c r="K1210" i="21"/>
  <c r="L1210" i="21" s="1"/>
  <c r="M1212" i="21"/>
  <c r="V132" i="13" s="1"/>
  <c r="K1212" i="21"/>
  <c r="M1215" i="21"/>
  <c r="K1215" i="21"/>
  <c r="L1215" i="21" s="1"/>
  <c r="K1214" i="21"/>
  <c r="L1214" i="21" s="1"/>
  <c r="M1214" i="21"/>
  <c r="K1216" i="21"/>
  <c r="L1216" i="21" s="1"/>
  <c r="M1216" i="21"/>
  <c r="M1213" i="21"/>
  <c r="K1213" i="21"/>
  <c r="L1213" i="21" s="1"/>
  <c r="M1223" i="21"/>
  <c r="K1223" i="21"/>
  <c r="L1223" i="21" s="1"/>
  <c r="M1220" i="21"/>
  <c r="K1220" i="21"/>
  <c r="L1220" i="21" s="1"/>
  <c r="M1217" i="21"/>
  <c r="V133" i="13" s="1"/>
  <c r="K1217" i="21"/>
  <c r="K1221" i="21"/>
  <c r="L1221" i="21" s="1"/>
  <c r="M1221" i="21"/>
  <c r="M1218" i="21"/>
  <c r="K1218" i="21"/>
  <c r="L1218" i="21" s="1"/>
  <c r="K1222" i="21"/>
  <c r="L1222" i="21" s="1"/>
  <c r="M1222" i="21"/>
  <c r="K1219" i="21"/>
  <c r="L1219" i="21" s="1"/>
  <c r="M1219" i="21"/>
  <c r="K1225" i="21"/>
  <c r="L1225" i="21" s="1"/>
  <c r="M1225" i="21"/>
  <c r="M1224" i="21"/>
  <c r="V134" i="13" s="1"/>
  <c r="K1224" i="21"/>
  <c r="K1228" i="21"/>
  <c r="L1228" i="21" s="1"/>
  <c r="M1228" i="21"/>
  <c r="M1227" i="21"/>
  <c r="K1227" i="21"/>
  <c r="L1227" i="21" s="1"/>
  <c r="K1226" i="21"/>
  <c r="L1226" i="21" s="1"/>
  <c r="M1226" i="21"/>
  <c r="K1232" i="21"/>
  <c r="L1232" i="21" s="1"/>
  <c r="M1232" i="21"/>
  <c r="M1230" i="21"/>
  <c r="K1230" i="21"/>
  <c r="L1230" i="21" s="1"/>
  <c r="K1233" i="21"/>
  <c r="L1233" i="21" s="1"/>
  <c r="M1233" i="21"/>
  <c r="K1229" i="21"/>
  <c r="M1229" i="21"/>
  <c r="V135" i="13" s="1"/>
  <c r="K1231" i="21"/>
  <c r="L1231" i="21" s="1"/>
  <c r="M1231" i="21"/>
  <c r="M1234" i="21"/>
  <c r="K1234" i="21"/>
  <c r="L1234" i="21" s="1"/>
  <c r="K1239" i="21"/>
  <c r="L1239" i="21" s="1"/>
  <c r="M1239" i="21"/>
  <c r="K1238" i="21"/>
  <c r="L1238" i="21" s="1"/>
  <c r="M1238" i="21"/>
  <c r="K1237" i="21"/>
  <c r="L1237" i="21" s="1"/>
  <c r="M1237" i="21"/>
  <c r="K1235" i="21"/>
  <c r="M1235" i="21"/>
  <c r="V136" i="13" s="1"/>
  <c r="K1236" i="21"/>
  <c r="L1236" i="21" s="1"/>
  <c r="M1236" i="21"/>
  <c r="K1240" i="21"/>
  <c r="M1240" i="21"/>
  <c r="V137" i="13" s="1"/>
  <c r="M1241" i="21"/>
  <c r="K1241" i="21"/>
  <c r="L1241" i="21" s="1"/>
  <c r="K1244" i="21"/>
  <c r="L1244" i="21" s="1"/>
  <c r="M1244" i="21"/>
  <c r="K1243" i="21"/>
  <c r="L1243" i="21" s="1"/>
  <c r="M1243" i="21"/>
  <c r="M1242" i="21"/>
  <c r="K1242" i="21"/>
  <c r="L1242" i="21" s="1"/>
  <c r="K1245" i="21"/>
  <c r="M1245" i="21"/>
  <c r="V138" i="13" s="1"/>
  <c r="M1249" i="21"/>
  <c r="K1249" i="21"/>
  <c r="L1249" i="21" s="1"/>
  <c r="K1248" i="21"/>
  <c r="L1248" i="21" s="1"/>
  <c r="M1248" i="21"/>
  <c r="M1247" i="21"/>
  <c r="K1247" i="21"/>
  <c r="L1247" i="21" s="1"/>
  <c r="M1246" i="21"/>
  <c r="K1246" i="21"/>
  <c r="L1246" i="21" s="1"/>
  <c r="M1250" i="21"/>
  <c r="K1250" i="21"/>
  <c r="L1250" i="21" s="1"/>
  <c r="M1253" i="21"/>
  <c r="K1253" i="21"/>
  <c r="L1253" i="21" s="1"/>
  <c r="M1255" i="21"/>
  <c r="K1255" i="21"/>
  <c r="L1255" i="21" s="1"/>
  <c r="K1251" i="21"/>
  <c r="M1251" i="21"/>
  <c r="V139" i="13" s="1"/>
  <c r="M1252" i="21"/>
  <c r="K1252" i="21"/>
  <c r="L1252" i="21" s="1"/>
  <c r="M1256" i="21"/>
  <c r="K1256" i="21"/>
  <c r="L1256" i="21" s="1"/>
  <c r="K1254" i="21"/>
  <c r="L1254" i="21" s="1"/>
  <c r="M1254" i="21"/>
  <c r="K1258" i="21"/>
  <c r="L1258" i="21" s="1"/>
  <c r="M1258" i="21"/>
  <c r="K1261" i="21"/>
  <c r="L1261" i="21" s="1"/>
  <c r="M1261" i="21"/>
  <c r="K1257" i="21"/>
  <c r="M1257" i="21"/>
  <c r="V140" i="13" s="1"/>
  <c r="M1259" i="21"/>
  <c r="K1259" i="21"/>
  <c r="L1259" i="21" s="1"/>
  <c r="M1260" i="21"/>
  <c r="K1260" i="21"/>
  <c r="L1260" i="21" s="1"/>
  <c r="K1262" i="21"/>
  <c r="M1262" i="21"/>
  <c r="V141" i="13" s="1"/>
  <c r="K1266" i="21"/>
  <c r="L1266" i="21" s="1"/>
  <c r="M1266" i="21"/>
  <c r="M1265" i="21"/>
  <c r="K1265" i="21"/>
  <c r="L1265" i="21" s="1"/>
  <c r="K1263" i="21"/>
  <c r="L1263" i="21" s="1"/>
  <c r="M1263" i="21"/>
  <c r="K1264" i="21"/>
  <c r="L1264" i="21" s="1"/>
  <c r="M1264" i="21"/>
  <c r="M1267" i="21"/>
  <c r="V142" i="13" s="1"/>
  <c r="K1267" i="21"/>
  <c r="M1271" i="21"/>
  <c r="K1271" i="21"/>
  <c r="L1271" i="21" s="1"/>
  <c r="K1268" i="21"/>
  <c r="L1268" i="21" s="1"/>
  <c r="M1268" i="21"/>
  <c r="M1269" i="21"/>
  <c r="K1269" i="21"/>
  <c r="L1269" i="21" s="1"/>
  <c r="M1270" i="21"/>
  <c r="K1270" i="21"/>
  <c r="L1270" i="21" s="1"/>
  <c r="M1276" i="21"/>
  <c r="K1276" i="21"/>
  <c r="L1276" i="21" s="1"/>
  <c r="K1272" i="21"/>
  <c r="M1272" i="21"/>
  <c r="V143" i="13" s="1"/>
  <c r="K1275" i="21"/>
  <c r="L1275" i="21" s="1"/>
  <c r="M1275" i="21"/>
  <c r="M1273" i="21"/>
  <c r="K1273" i="21"/>
  <c r="L1273" i="21" s="1"/>
  <c r="M1274" i="21"/>
  <c r="K1274" i="21"/>
  <c r="L1274" i="21" s="1"/>
  <c r="K1278" i="21"/>
  <c r="L1278" i="21" s="1"/>
  <c r="M1278" i="21"/>
  <c r="M1281" i="21"/>
  <c r="K1281" i="21"/>
  <c r="L1281" i="21" s="1"/>
  <c r="M1280" i="21"/>
  <c r="K1280" i="21"/>
  <c r="L1280" i="21" s="1"/>
  <c r="M1279" i="21"/>
  <c r="K1279" i="21"/>
  <c r="L1279" i="21" s="1"/>
  <c r="K1277" i="21"/>
  <c r="M1277" i="21"/>
  <c r="V144" i="13" s="1"/>
  <c r="M1282" i="21"/>
  <c r="K1282" i="21"/>
  <c r="L1282" i="21" s="1"/>
  <c r="M1287" i="21"/>
  <c r="K1287" i="21"/>
  <c r="L1287" i="21" s="1"/>
  <c r="M1292" i="21"/>
  <c r="K1292" i="21"/>
  <c r="L1292" i="21" s="1"/>
  <c r="K1286" i="21"/>
  <c r="L1286" i="21" s="1"/>
  <c r="M1286" i="21"/>
  <c r="M1289" i="21"/>
  <c r="K1289" i="21"/>
  <c r="L1289" i="21" s="1"/>
  <c r="K1285" i="21"/>
  <c r="L1285" i="21" s="1"/>
  <c r="M1285" i="21"/>
  <c r="K1290" i="21"/>
  <c r="L1290" i="21" s="1"/>
  <c r="M1290" i="21"/>
  <c r="K1283" i="21"/>
  <c r="M1283" i="21"/>
  <c r="V152" i="13" s="1"/>
  <c r="K1293" i="21"/>
  <c r="L1293" i="21" s="1"/>
  <c r="M1293" i="21"/>
  <c r="M1284" i="21"/>
  <c r="K1284" i="21"/>
  <c r="L1284" i="21" s="1"/>
  <c r="M1291" i="21"/>
  <c r="K1291" i="21"/>
  <c r="L1291" i="21" s="1"/>
  <c r="K1294" i="21"/>
  <c r="L1294" i="21" s="1"/>
  <c r="M1294" i="21"/>
  <c r="K1288" i="21"/>
  <c r="L1288" i="21" s="1"/>
  <c r="M1288" i="21"/>
  <c r="M1296" i="21"/>
  <c r="K1296" i="21"/>
  <c r="L1296" i="21" s="1"/>
  <c r="K1302" i="21"/>
  <c r="L1302" i="21" s="1"/>
  <c r="M1302" i="21"/>
  <c r="K1301" i="21"/>
  <c r="L1301" i="21" s="1"/>
  <c r="M1301" i="21"/>
  <c r="K1295" i="21"/>
  <c r="M1295" i="21"/>
  <c r="V153" i="13" s="1"/>
  <c r="M1303" i="21"/>
  <c r="K1303" i="21"/>
  <c r="L1303" i="21" s="1"/>
  <c r="K1304" i="21"/>
  <c r="L1304" i="21" s="1"/>
  <c r="M1304" i="21"/>
  <c r="M1298" i="21"/>
  <c r="K1298" i="21"/>
  <c r="L1298" i="21" s="1"/>
  <c r="K1300" i="21"/>
  <c r="L1300" i="21" s="1"/>
  <c r="M1300" i="21"/>
  <c r="K1305" i="21"/>
  <c r="L1305" i="21" s="1"/>
  <c r="M1305" i="21"/>
  <c r="M1297" i="21"/>
  <c r="K1297" i="21"/>
  <c r="L1297" i="21" s="1"/>
  <c r="K1306" i="21"/>
  <c r="L1306" i="21" s="1"/>
  <c r="M1306" i="21"/>
  <c r="K1299" i="21"/>
  <c r="L1299" i="21" s="1"/>
  <c r="M1299" i="21"/>
  <c r="M1307" i="21"/>
  <c r="V154" i="13" s="1"/>
  <c r="K1307" i="21"/>
  <c r="M1311" i="21"/>
  <c r="K1311" i="21"/>
  <c r="L1311" i="21" s="1"/>
  <c r="K1318" i="21"/>
  <c r="L1318" i="21" s="1"/>
  <c r="M1318" i="21"/>
  <c r="M1312" i="21"/>
  <c r="K1312" i="21"/>
  <c r="L1312" i="21" s="1"/>
  <c r="M1317" i="21"/>
  <c r="K1317" i="21"/>
  <c r="L1317" i="21" s="1"/>
  <c r="M1310" i="21"/>
  <c r="K1310" i="21"/>
  <c r="L1310" i="21" s="1"/>
  <c r="K1314" i="21"/>
  <c r="L1314" i="21" s="1"/>
  <c r="M1314" i="21"/>
  <c r="M1308" i="21"/>
  <c r="K1308" i="21"/>
  <c r="L1308" i="21" s="1"/>
  <c r="K1315" i="21"/>
  <c r="L1315" i="21" s="1"/>
  <c r="M1315" i="21"/>
  <c r="M1309" i="21"/>
  <c r="K1309" i="21"/>
  <c r="L1309" i="21" s="1"/>
  <c r="M1316" i="21"/>
  <c r="K1316" i="21"/>
  <c r="L1316" i="21" s="1"/>
  <c r="M1313" i="21"/>
  <c r="K1313" i="21"/>
  <c r="L1313" i="21" s="1"/>
  <c r="M1320" i="21"/>
  <c r="K1320" i="21"/>
  <c r="L1320" i="21" s="1"/>
  <c r="K1319" i="21"/>
  <c r="M1319" i="21"/>
  <c r="V155" i="13" s="1"/>
  <c r="K1321" i="21"/>
  <c r="L1321" i="21" s="1"/>
  <c r="M1321" i="21"/>
  <c r="M1323" i="21"/>
  <c r="K1323" i="21"/>
  <c r="L1323" i="21" s="1"/>
  <c r="M1327" i="21"/>
  <c r="K1327" i="21"/>
  <c r="L1327" i="21" s="1"/>
  <c r="K1322" i="21"/>
  <c r="M1322" i="21"/>
  <c r="V156" i="13" s="1"/>
  <c r="K1326" i="21"/>
  <c r="L1326" i="21" s="1"/>
  <c r="M1326" i="21"/>
  <c r="M1329" i="21"/>
  <c r="K1329" i="21"/>
  <c r="L1329" i="21" s="1"/>
  <c r="M1330" i="21"/>
  <c r="K1330" i="21"/>
  <c r="L1330" i="21" s="1"/>
  <c r="M1324" i="21"/>
  <c r="K1324" i="21"/>
  <c r="L1324" i="21" s="1"/>
  <c r="K1325" i="21"/>
  <c r="L1325" i="21" s="1"/>
  <c r="M1325" i="21"/>
  <c r="M1328" i="21"/>
  <c r="K1328" i="21"/>
  <c r="L1328" i="21" s="1"/>
  <c r="M1336" i="21"/>
  <c r="K1336" i="21"/>
  <c r="L1336" i="21" s="1"/>
  <c r="M1339" i="21"/>
  <c r="K1339" i="21"/>
  <c r="L1339" i="21" s="1"/>
  <c r="M1335" i="21"/>
  <c r="K1335" i="21"/>
  <c r="L1335" i="21" s="1"/>
  <c r="M1334" i="21"/>
  <c r="K1334" i="21"/>
  <c r="L1334" i="21" s="1"/>
  <c r="K1333" i="21"/>
  <c r="L1333" i="21" s="1"/>
  <c r="M1333" i="21"/>
  <c r="M1338" i="21"/>
  <c r="K1338" i="21"/>
  <c r="L1338" i="21" s="1"/>
  <c r="K1331" i="21"/>
  <c r="M1331" i="21"/>
  <c r="V157" i="13" s="1"/>
  <c r="K1337" i="21"/>
  <c r="L1337" i="21" s="1"/>
  <c r="M1337" i="21"/>
  <c r="M1332" i="21"/>
  <c r="K1332" i="21"/>
  <c r="L1332" i="21" s="1"/>
  <c r="M1344" i="21"/>
  <c r="K1344" i="21"/>
  <c r="L1344" i="21" s="1"/>
  <c r="K1341" i="21"/>
  <c r="L1341" i="21" s="1"/>
  <c r="M1341" i="21"/>
  <c r="K1343" i="21"/>
  <c r="L1343" i="21" s="1"/>
  <c r="M1343" i="21"/>
  <c r="M1342" i="21"/>
  <c r="K1342" i="21"/>
  <c r="L1342" i="21" s="1"/>
  <c r="M1345" i="21"/>
  <c r="K1345" i="21"/>
  <c r="L1345" i="21" s="1"/>
  <c r="M1348" i="21"/>
  <c r="K1348" i="21"/>
  <c r="L1348" i="21" s="1"/>
  <c r="K1347" i="21"/>
  <c r="L1347" i="21" s="1"/>
  <c r="M1347" i="21"/>
  <c r="M1346" i="21"/>
  <c r="K1346" i="21"/>
  <c r="L1346" i="21" s="1"/>
  <c r="M1340" i="21"/>
  <c r="V158" i="13" s="1"/>
  <c r="K1340" i="21"/>
  <c r="M1352" i="21"/>
  <c r="K1352" i="21"/>
  <c r="L1352" i="21" s="1"/>
  <c r="K1354" i="21"/>
  <c r="L1354" i="21" s="1"/>
  <c r="M1354" i="21"/>
  <c r="K1353" i="21"/>
  <c r="L1353" i="21" s="1"/>
  <c r="M1353" i="21"/>
  <c r="M1356" i="21"/>
  <c r="K1356" i="21"/>
  <c r="L1356" i="21" s="1"/>
  <c r="K1349" i="21"/>
  <c r="M1349" i="21"/>
  <c r="V159" i="13" s="1"/>
  <c r="M1355" i="21"/>
  <c r="K1355" i="21"/>
  <c r="L1355" i="21" s="1"/>
  <c r="K1357" i="21"/>
  <c r="L1357" i="21" s="1"/>
  <c r="M1357" i="21"/>
  <c r="K1351" i="21"/>
  <c r="L1351" i="21" s="1"/>
  <c r="M1351" i="21"/>
  <c r="M1350" i="21"/>
  <c r="K1350" i="21"/>
  <c r="L1350" i="21" s="1"/>
  <c r="M1362" i="21"/>
  <c r="K1362" i="21"/>
  <c r="L1362" i="21" s="1"/>
  <c r="K1365" i="21"/>
  <c r="L1365" i="21" s="1"/>
  <c r="M1365" i="21"/>
  <c r="K1363" i="21"/>
  <c r="L1363" i="21" s="1"/>
  <c r="M1363" i="21"/>
  <c r="K1359" i="21"/>
  <c r="L1359" i="21" s="1"/>
  <c r="M1359" i="21"/>
  <c r="M1366" i="21"/>
  <c r="K1366" i="21"/>
  <c r="L1366" i="21" s="1"/>
  <c r="M1361" i="21"/>
  <c r="K1361" i="21"/>
  <c r="L1361" i="21" s="1"/>
  <c r="K1358" i="21"/>
  <c r="M1358" i="21"/>
  <c r="V160" i="13" s="1"/>
  <c r="M1360" i="21"/>
  <c r="K1360" i="21"/>
  <c r="L1360" i="21" s="1"/>
  <c r="M1364" i="21"/>
  <c r="K1364" i="21"/>
  <c r="L1364" i="21" s="1"/>
  <c r="K1372" i="21"/>
  <c r="L1372" i="21" s="1"/>
  <c r="M1372" i="21"/>
  <c r="K1371" i="21"/>
  <c r="L1371" i="21" s="1"/>
  <c r="M1371" i="21"/>
  <c r="M1376" i="21"/>
  <c r="K1376" i="21"/>
  <c r="L1376" i="21" s="1"/>
  <c r="M1374" i="21"/>
  <c r="K1374" i="21"/>
  <c r="L1374" i="21" s="1"/>
  <c r="K1367" i="21"/>
  <c r="M1367" i="21"/>
  <c r="V168" i="13" s="1"/>
  <c r="K1375" i="21"/>
  <c r="L1375" i="21" s="1"/>
  <c r="M1375" i="21"/>
  <c r="K1369" i="21"/>
  <c r="L1369" i="21" s="1"/>
  <c r="M1369" i="21"/>
  <c r="M1373" i="21"/>
  <c r="K1373" i="21"/>
  <c r="L1373" i="21" s="1"/>
  <c r="K1370" i="21"/>
  <c r="L1370" i="21" s="1"/>
  <c r="M1370" i="21"/>
  <c r="K1368" i="21"/>
  <c r="L1368" i="21" s="1"/>
  <c r="M1368" i="21"/>
  <c r="M1383" i="21"/>
  <c r="K1383" i="21"/>
  <c r="L1383" i="21" s="1"/>
  <c r="M1382" i="21"/>
  <c r="K1382" i="21"/>
  <c r="L1382" i="21" s="1"/>
  <c r="M1378" i="21"/>
  <c r="K1378" i="21"/>
  <c r="L1378" i="21" s="1"/>
  <c r="M1384" i="21"/>
  <c r="K1384" i="21"/>
  <c r="L1384" i="21" s="1"/>
  <c r="K1386" i="21"/>
  <c r="L1386" i="21" s="1"/>
  <c r="M1386" i="21"/>
  <c r="M1381" i="21"/>
  <c r="K1381" i="21"/>
  <c r="L1381" i="21" s="1"/>
  <c r="K1385" i="21"/>
  <c r="L1385" i="21" s="1"/>
  <c r="M1385" i="21"/>
  <c r="M1380" i="21"/>
  <c r="K1380" i="21"/>
  <c r="L1380" i="21" s="1"/>
  <c r="K1377" i="21"/>
  <c r="M1377" i="21"/>
  <c r="V169" i="13" s="1"/>
  <c r="K1379" i="21"/>
  <c r="L1379" i="21" s="1"/>
  <c r="M1379" i="21"/>
  <c r="K1388" i="21"/>
  <c r="L1388" i="21" s="1"/>
  <c r="M1388" i="21"/>
  <c r="M1387" i="21"/>
  <c r="V170" i="13" s="1"/>
  <c r="K1387" i="21"/>
  <c r="K1389" i="21"/>
  <c r="L1389" i="21" s="1"/>
  <c r="M1389" i="21"/>
  <c r="M1393" i="21"/>
  <c r="K1393" i="21"/>
  <c r="L1393" i="21" s="1"/>
  <c r="M1392" i="21"/>
  <c r="K1392" i="21"/>
  <c r="L1392" i="21" s="1"/>
  <c r="K1391" i="21"/>
  <c r="L1391" i="21" s="1"/>
  <c r="M1391" i="21"/>
  <c r="K1390" i="21"/>
  <c r="M1390" i="21"/>
  <c r="V172" i="13" s="1"/>
  <c r="K1394" i="21"/>
  <c r="L1394" i="21" s="1"/>
  <c r="M1394" i="21"/>
  <c r="M1395" i="21"/>
  <c r="K1395" i="21"/>
  <c r="L1395" i="21" s="1"/>
  <c r="M1397" i="21"/>
  <c r="K1397" i="21"/>
  <c r="L1397" i="21" s="1"/>
  <c r="K1396" i="21"/>
  <c r="M1396" i="21"/>
  <c r="V173" i="13" s="1"/>
  <c r="K1398" i="21"/>
  <c r="L1398" i="21" s="1"/>
  <c r="M1398" i="21"/>
  <c r="K1400" i="21"/>
  <c r="L1400" i="21" s="1"/>
  <c r="M1400" i="21"/>
  <c r="K1401" i="21"/>
  <c r="L1401" i="21" s="1"/>
  <c r="M1401" i="21"/>
  <c r="K1399" i="21"/>
  <c r="L1399" i="21" s="1"/>
  <c r="M1399" i="21"/>
  <c r="K1403" i="21"/>
  <c r="L1403" i="21" s="1"/>
  <c r="M1403" i="21"/>
  <c r="M1406" i="21"/>
  <c r="K1406" i="21"/>
  <c r="L1406" i="21" s="1"/>
  <c r="M1407" i="21"/>
  <c r="K1407" i="21"/>
  <c r="L1407" i="21" s="1"/>
  <c r="K1402" i="21"/>
  <c r="M1402" i="21"/>
  <c r="V174" i="13" s="1"/>
  <c r="K1405" i="21"/>
  <c r="L1405" i="21" s="1"/>
  <c r="M1405" i="21"/>
  <c r="K1404" i="21"/>
  <c r="L1404" i="21" s="1"/>
  <c r="M1404" i="21"/>
  <c r="K1411" i="21"/>
  <c r="L1411" i="21" s="1"/>
  <c r="M1411" i="21"/>
  <c r="M1412" i="21"/>
  <c r="K1412" i="21"/>
  <c r="L1412" i="21" s="1"/>
  <c r="M1409" i="21"/>
  <c r="K1409" i="21"/>
  <c r="L1409" i="21" s="1"/>
  <c r="K1408" i="21"/>
  <c r="M1408" i="21"/>
  <c r="V175" i="13" s="1"/>
  <c r="K1413" i="21"/>
  <c r="L1413" i="21" s="1"/>
  <c r="M1413" i="21"/>
  <c r="K1410" i="21"/>
  <c r="L1410" i="21" s="1"/>
  <c r="M1410" i="21"/>
  <c r="M1418" i="21"/>
  <c r="K1418" i="21"/>
  <c r="L1418" i="21" s="1"/>
  <c r="K1417" i="21"/>
  <c r="L1417" i="21" s="1"/>
  <c r="M1417" i="21"/>
  <c r="M1415" i="21"/>
  <c r="K1415" i="21"/>
  <c r="L1415" i="21" s="1"/>
  <c r="M1419" i="21"/>
  <c r="K1419" i="21"/>
  <c r="L1419" i="21" s="1"/>
  <c r="K1414" i="21"/>
  <c r="M1414" i="21"/>
  <c r="V176" i="13" s="1"/>
  <c r="K1416" i="21"/>
  <c r="L1416" i="21" s="1"/>
  <c r="M1416" i="21"/>
  <c r="K1422" i="21"/>
  <c r="L1422" i="21" s="1"/>
  <c r="M1422" i="21"/>
  <c r="M1421" i="21"/>
  <c r="K1421" i="21"/>
  <c r="L1421" i="21" s="1"/>
  <c r="M1420" i="21"/>
  <c r="V177" i="13" s="1"/>
  <c r="K1420" i="21"/>
  <c r="K1425" i="21"/>
  <c r="L1425" i="21" s="1"/>
  <c r="M1425" i="21"/>
  <c r="M1423" i="21"/>
  <c r="V178" i="13" s="1"/>
  <c r="K1423" i="21"/>
  <c r="K1424" i="21"/>
  <c r="L1424" i="21" s="1"/>
  <c r="M1424" i="21"/>
  <c r="K1426" i="21"/>
  <c r="M1426" i="21"/>
  <c r="V179" i="13" s="1"/>
  <c r="M1428" i="21"/>
  <c r="K1428" i="21"/>
  <c r="L1428" i="21" s="1"/>
  <c r="K1427" i="21"/>
  <c r="L1427" i="21" s="1"/>
  <c r="M1427" i="21"/>
  <c r="K1431" i="21"/>
  <c r="L1431" i="21" s="1"/>
  <c r="M1431" i="21"/>
  <c r="M1429" i="21"/>
  <c r="V180" i="13" s="1"/>
  <c r="K1429" i="21"/>
  <c r="M1430" i="21"/>
  <c r="K1430" i="21"/>
  <c r="L1430" i="21" s="1"/>
  <c r="M1434" i="21"/>
  <c r="K1434" i="21"/>
  <c r="L1434" i="21" s="1"/>
  <c r="K1433" i="21"/>
  <c r="L1433" i="21" s="1"/>
  <c r="M1433" i="21"/>
  <c r="K1432" i="21"/>
  <c r="M1432" i="21"/>
  <c r="V181" i="13" s="1"/>
  <c r="K1438" i="21"/>
  <c r="L1438" i="21" s="1"/>
  <c r="M1438" i="21"/>
  <c r="K1439" i="21"/>
  <c r="L1439" i="21" s="1"/>
  <c r="M1439" i="21"/>
  <c r="K1435" i="21"/>
  <c r="M1435" i="21"/>
  <c r="V182" i="13" s="1"/>
  <c r="K1436" i="21"/>
  <c r="L1436" i="21" s="1"/>
  <c r="M1436" i="21"/>
  <c r="M1437" i="21"/>
  <c r="K1437" i="21"/>
  <c r="L1437" i="21" s="1"/>
  <c r="K1441" i="21"/>
  <c r="L1441" i="21" s="1"/>
  <c r="M1441" i="21"/>
  <c r="M1444" i="21"/>
  <c r="K1444" i="21"/>
  <c r="L1444" i="21" s="1"/>
  <c r="M1442" i="21"/>
  <c r="K1442" i="21"/>
  <c r="L1442" i="21" s="1"/>
  <c r="M1440" i="21"/>
  <c r="V183" i="13" s="1"/>
  <c r="K1440" i="21"/>
  <c r="M1443" i="21"/>
  <c r="K1443" i="21"/>
  <c r="L1443" i="21" s="1"/>
  <c r="K1447" i="21"/>
  <c r="L1447" i="21" s="1"/>
  <c r="M1447" i="21"/>
  <c r="K1445" i="21"/>
  <c r="M1445" i="21"/>
  <c r="V184" i="13" s="1"/>
  <c r="M1446" i="21"/>
  <c r="K1446" i="21"/>
  <c r="L1446" i="21" s="1"/>
  <c r="K1449" i="21"/>
  <c r="L1449" i="21" s="1"/>
  <c r="M1449" i="21"/>
  <c r="K1448" i="21"/>
  <c r="L1448" i="21" s="1"/>
  <c r="M1448" i="21"/>
  <c r="M1452" i="21"/>
  <c r="K1452" i="21"/>
  <c r="L1452" i="21" s="1"/>
  <c r="K1453" i="21"/>
  <c r="L1453" i="21" s="1"/>
  <c r="M1453" i="21"/>
  <c r="K1451" i="21"/>
  <c r="L1451" i="21" s="1"/>
  <c r="M1451" i="21"/>
  <c r="M1450" i="21"/>
  <c r="V185" i="13" s="1"/>
  <c r="K1450" i="21"/>
  <c r="M1454" i="21"/>
  <c r="K1454" i="21"/>
  <c r="L1454" i="21" s="1"/>
  <c r="K1457" i="21"/>
  <c r="L1457" i="21" s="1"/>
  <c r="M1457" i="21"/>
  <c r="M1456" i="21"/>
  <c r="K1456" i="21"/>
  <c r="L1456" i="21" s="1"/>
  <c r="K1459" i="21"/>
  <c r="L1459" i="21" s="1"/>
  <c r="M1459" i="21"/>
  <c r="M1455" i="21"/>
  <c r="V186" i="13" s="1"/>
  <c r="K1455" i="21"/>
  <c r="M1458" i="21"/>
  <c r="K1458" i="21"/>
  <c r="L1458" i="21" s="1"/>
  <c r="K1462" i="21"/>
  <c r="L1462" i="21" s="1"/>
  <c r="M1462" i="21"/>
  <c r="M1461" i="21"/>
  <c r="K1461" i="21"/>
  <c r="L1461" i="21" s="1"/>
  <c r="M1460" i="21"/>
  <c r="V187" i="13" s="1"/>
  <c r="K1460" i="21"/>
  <c r="K1463" i="21"/>
  <c r="L1463" i="21" s="1"/>
  <c r="M1463" i="21"/>
  <c r="M1464" i="21"/>
  <c r="V188" i="13" s="1"/>
  <c r="K1464" i="21"/>
  <c r="K1465" i="21"/>
  <c r="L1465" i="21" s="1"/>
  <c r="M1465" i="21"/>
  <c r="K1467" i="21"/>
  <c r="L1467" i="21" s="1"/>
  <c r="M1467" i="21"/>
  <c r="M1466" i="21"/>
  <c r="K1466" i="21"/>
  <c r="L1466" i="21" s="1"/>
  <c r="M1468" i="21"/>
  <c r="V189" i="13" s="1"/>
  <c r="K1468" i="21"/>
  <c r="M1469" i="21"/>
  <c r="K1469" i="21"/>
  <c r="L1469" i="21" s="1"/>
  <c r="M1470" i="21"/>
  <c r="K1470" i="21"/>
  <c r="L1470" i="21" s="1"/>
  <c r="M1471" i="21"/>
  <c r="K1471" i="21"/>
  <c r="L1471" i="21" s="1"/>
  <c r="M1473" i="21"/>
  <c r="K1473" i="21"/>
  <c r="L1473" i="21" s="1"/>
  <c r="K1472" i="21"/>
  <c r="M1472" i="21"/>
  <c r="V190" i="13" s="1"/>
  <c r="M1474" i="21"/>
  <c r="K1474" i="21"/>
  <c r="L1474" i="21" s="1"/>
  <c r="K1476" i="21"/>
  <c r="L1476" i="21" s="1"/>
  <c r="M1476" i="21"/>
  <c r="M1477" i="21"/>
  <c r="K1477" i="21"/>
  <c r="L1477" i="21" s="1"/>
  <c r="K1475" i="21"/>
  <c r="M1475" i="21"/>
  <c r="V191" i="13" s="1"/>
  <c r="K1479" i="21"/>
  <c r="L1479" i="21" s="1"/>
  <c r="M1479" i="21"/>
  <c r="K1478" i="21"/>
  <c r="M1478" i="21"/>
  <c r="V192" i="13" s="1"/>
  <c r="K1480" i="21"/>
  <c r="L1480" i="21" s="1"/>
  <c r="M1480" i="21"/>
  <c r="M1483" i="21"/>
  <c r="K1483" i="21"/>
  <c r="L1483" i="21" s="1"/>
  <c r="M1493" i="21"/>
  <c r="K1493" i="21"/>
  <c r="L1493" i="21" s="1"/>
  <c r="K1490" i="21"/>
  <c r="L1490" i="21" s="1"/>
  <c r="M1490" i="21"/>
  <c r="K1488" i="21"/>
  <c r="L1488" i="21" s="1"/>
  <c r="M1488" i="21"/>
  <c r="M1487" i="21"/>
  <c r="K1487" i="21"/>
  <c r="L1487" i="21" s="1"/>
  <c r="M1491" i="21"/>
  <c r="K1491" i="21"/>
  <c r="L1491" i="21" s="1"/>
  <c r="K1486" i="21"/>
  <c r="L1486" i="21" s="1"/>
  <c r="M1486" i="21"/>
  <c r="K1489" i="21"/>
  <c r="L1489" i="21" s="1"/>
  <c r="M1489" i="21"/>
  <c r="K1492" i="21"/>
  <c r="L1492" i="21" s="1"/>
  <c r="M1492" i="21"/>
  <c r="K1485" i="21"/>
  <c r="L1485" i="21" s="1"/>
  <c r="M1485" i="21"/>
  <c r="K1484" i="21"/>
  <c r="L1484" i="21" s="1"/>
  <c r="M1484" i="21"/>
  <c r="M1482" i="21"/>
  <c r="V194" i="13" s="1"/>
  <c r="K1482" i="21"/>
  <c r="M1499" i="21"/>
  <c r="K1499" i="21"/>
  <c r="L1499" i="21" s="1"/>
  <c r="K1495" i="21"/>
  <c r="L1495" i="21" s="1"/>
  <c r="M1495" i="21"/>
  <c r="M1496" i="21"/>
  <c r="K1496" i="21"/>
  <c r="L1496" i="21" s="1"/>
  <c r="K1502" i="21"/>
  <c r="L1502" i="21" s="1"/>
  <c r="M1502" i="21"/>
  <c r="K1498" i="21"/>
  <c r="L1498" i="21" s="1"/>
  <c r="M1498" i="21"/>
  <c r="M1503" i="21"/>
  <c r="K1503" i="21"/>
  <c r="L1503" i="21" s="1"/>
  <c r="K1505" i="21"/>
  <c r="L1505" i="21" s="1"/>
  <c r="M1505" i="21"/>
  <c r="K1501" i="21"/>
  <c r="L1501" i="21" s="1"/>
  <c r="M1501" i="21"/>
  <c r="M1494" i="21"/>
  <c r="V195" i="13" s="1"/>
  <c r="K1494" i="21"/>
  <c r="M1504" i="21"/>
  <c r="K1504" i="21"/>
  <c r="L1504" i="21" s="1"/>
  <c r="K1500" i="21"/>
  <c r="L1500" i="21" s="1"/>
  <c r="M1500" i="21"/>
  <c r="M1497" i="21"/>
  <c r="K1497" i="21"/>
  <c r="L1497" i="21" s="1"/>
  <c r="K1510" i="21"/>
  <c r="L1510" i="21" s="1"/>
  <c r="M1510" i="21"/>
  <c r="K1512" i="21"/>
  <c r="L1512" i="21" s="1"/>
  <c r="M1512" i="21"/>
  <c r="K1509" i="21"/>
  <c r="L1509" i="21" s="1"/>
  <c r="M1509" i="21"/>
  <c r="K1514" i="21"/>
  <c r="L1514" i="21" s="1"/>
  <c r="M1514" i="21"/>
  <c r="K1517" i="21"/>
  <c r="L1517" i="21" s="1"/>
  <c r="M1517" i="21"/>
  <c r="M1507" i="21"/>
  <c r="K1507" i="21"/>
  <c r="L1507" i="21" s="1"/>
  <c r="K1513" i="21"/>
  <c r="L1513" i="21" s="1"/>
  <c r="M1513" i="21"/>
  <c r="K1516" i="21"/>
  <c r="L1516" i="21" s="1"/>
  <c r="M1516" i="21"/>
  <c r="M1506" i="21"/>
  <c r="V196" i="13" s="1"/>
  <c r="K1506" i="21"/>
  <c r="K1515" i="21"/>
  <c r="L1515" i="21" s="1"/>
  <c r="M1515" i="21"/>
  <c r="M1511" i="21"/>
  <c r="K1511" i="21"/>
  <c r="L1511" i="21" s="1"/>
  <c r="M1508" i="21"/>
  <c r="K1508" i="21"/>
  <c r="L1508" i="21" s="1"/>
  <c r="M1524" i="21"/>
  <c r="K1524" i="21"/>
  <c r="L1524" i="21" s="1"/>
  <c r="K1522" i="21"/>
  <c r="L1522" i="21" s="1"/>
  <c r="M1522" i="21"/>
  <c r="M1519" i="21"/>
  <c r="K1519" i="21"/>
  <c r="L1519" i="21" s="1"/>
  <c r="K1526" i="21"/>
  <c r="L1526" i="21" s="1"/>
  <c r="M1526" i="21"/>
  <c r="K1529" i="21"/>
  <c r="L1529" i="21" s="1"/>
  <c r="M1529" i="21"/>
  <c r="K1525" i="21"/>
  <c r="L1525" i="21" s="1"/>
  <c r="M1525" i="21"/>
  <c r="K1520" i="21"/>
  <c r="L1520" i="21" s="1"/>
  <c r="M1520" i="21"/>
  <c r="K1528" i="21"/>
  <c r="L1528" i="21" s="1"/>
  <c r="M1528" i="21"/>
  <c r="K1527" i="21"/>
  <c r="L1527" i="21" s="1"/>
  <c r="M1527" i="21"/>
  <c r="K1521" i="21"/>
  <c r="L1521" i="21" s="1"/>
  <c r="M1521" i="21"/>
  <c r="K1518" i="21"/>
  <c r="M1518" i="21"/>
  <c r="V197" i="13" s="1"/>
  <c r="K1523" i="21"/>
  <c r="L1523" i="21" s="1"/>
  <c r="M1523" i="21"/>
  <c r="M1538" i="21"/>
  <c r="K1538" i="21"/>
  <c r="L1538" i="21" s="1"/>
  <c r="M1532" i="21"/>
  <c r="K1532" i="21"/>
  <c r="L1532" i="21" s="1"/>
  <c r="K1535" i="21"/>
  <c r="L1535" i="21" s="1"/>
  <c r="M1535" i="21"/>
  <c r="M1537" i="21"/>
  <c r="K1537" i="21"/>
  <c r="L1537" i="21" s="1"/>
  <c r="M1539" i="21"/>
  <c r="K1539" i="21"/>
  <c r="L1539" i="21" s="1"/>
  <c r="K1541" i="21"/>
  <c r="L1541" i="21" s="1"/>
  <c r="M1541" i="21"/>
  <c r="K1530" i="21"/>
  <c r="M1530" i="21"/>
  <c r="V198" i="13" s="1"/>
  <c r="K1534" i="21"/>
  <c r="L1534" i="21" s="1"/>
  <c r="M1534" i="21"/>
  <c r="K1540" i="21"/>
  <c r="L1540" i="21" s="1"/>
  <c r="M1540" i="21"/>
  <c r="K1536" i="21"/>
  <c r="L1536" i="21" s="1"/>
  <c r="M1536" i="21"/>
  <c r="K1533" i="21"/>
  <c r="L1533" i="21" s="1"/>
  <c r="M1533" i="21"/>
  <c r="M1531" i="21"/>
  <c r="K1531" i="21"/>
  <c r="L1531" i="21" s="1"/>
  <c r="K1545" i="21"/>
  <c r="L1545" i="21" s="1"/>
  <c r="M1545" i="21"/>
  <c r="M1546" i="21"/>
  <c r="K1546" i="21"/>
  <c r="L1546" i="21" s="1"/>
  <c r="K1542" i="21"/>
  <c r="M1542" i="21"/>
  <c r="V199" i="13" s="1"/>
  <c r="K1543" i="21"/>
  <c r="L1543" i="21" s="1"/>
  <c r="M1543" i="21"/>
  <c r="M1544" i="21"/>
  <c r="K1544" i="21"/>
  <c r="L1544" i="21" s="1"/>
  <c r="K1548" i="21"/>
  <c r="L1548" i="21" s="1"/>
  <c r="M1548" i="21"/>
  <c r="M1549" i="21"/>
  <c r="K1549" i="21"/>
  <c r="L1549" i="21" s="1"/>
  <c r="M1551" i="21"/>
  <c r="K1551" i="21"/>
  <c r="L1551" i="21" s="1"/>
  <c r="M1552" i="21"/>
  <c r="K1552" i="21"/>
  <c r="L1552" i="21" s="1"/>
  <c r="M1547" i="21"/>
  <c r="V200" i="13" s="1"/>
  <c r="K1547" i="21"/>
  <c r="K1550" i="21"/>
  <c r="L1550" i="21" s="1"/>
  <c r="M1550" i="21"/>
  <c r="K1558" i="21"/>
  <c r="L1558" i="21" s="1"/>
  <c r="M1558" i="21"/>
  <c r="M1555" i="21"/>
  <c r="K1555" i="21"/>
  <c r="L1555" i="21" s="1"/>
  <c r="K1556" i="21"/>
  <c r="L1556" i="21" s="1"/>
  <c r="M1556" i="21"/>
  <c r="M1553" i="21"/>
  <c r="V201" i="13" s="1"/>
  <c r="K1553" i="21"/>
  <c r="K1557" i="21"/>
  <c r="L1557" i="21" s="1"/>
  <c r="M1557" i="21"/>
  <c r="M1554" i="21"/>
  <c r="K1554" i="21"/>
  <c r="L1554" i="21" s="1"/>
  <c r="M1564" i="21"/>
  <c r="K1564" i="21"/>
  <c r="L1564" i="21" s="1"/>
  <c r="K1560" i="21"/>
  <c r="L1560" i="21" s="1"/>
  <c r="M1560" i="21"/>
  <c r="K1565" i="21"/>
  <c r="L1565" i="21" s="1"/>
  <c r="M1565" i="21"/>
  <c r="K1561" i="21"/>
  <c r="L1561" i="21" s="1"/>
  <c r="M1561" i="21"/>
  <c r="K1562" i="21"/>
  <c r="L1562" i="21" s="1"/>
  <c r="M1562" i="21"/>
  <c r="M1559" i="21"/>
  <c r="V202" i="13" s="1"/>
  <c r="K1559" i="21"/>
  <c r="M1566" i="21"/>
  <c r="K1566" i="21"/>
  <c r="L1566" i="21" s="1"/>
  <c r="K1563" i="21"/>
  <c r="L1563" i="21" s="1"/>
  <c r="M1563" i="21"/>
  <c r="K1568" i="21"/>
  <c r="L1568" i="21" s="1"/>
  <c r="M1568" i="21"/>
  <c r="K1573" i="21"/>
  <c r="L1573" i="21" s="1"/>
  <c r="M1573" i="21"/>
  <c r="M1570" i="21"/>
  <c r="K1570" i="21"/>
  <c r="L1570" i="21" s="1"/>
  <c r="M1567" i="21"/>
  <c r="V203" i="13" s="1"/>
  <c r="K1567" i="21"/>
  <c r="M1572" i="21"/>
  <c r="K1572" i="21"/>
  <c r="L1572" i="21" s="1"/>
  <c r="M1574" i="21"/>
  <c r="K1574" i="21"/>
  <c r="L1574" i="21" s="1"/>
  <c r="K1571" i="21"/>
  <c r="L1571" i="21" s="1"/>
  <c r="M1571" i="21"/>
  <c r="K1569" i="21"/>
  <c r="L1569" i="21" s="1"/>
  <c r="M1569" i="21"/>
  <c r="K1584" i="21"/>
  <c r="L1584" i="21" s="1"/>
  <c r="M1584" i="21"/>
  <c r="M1575" i="21"/>
  <c r="V204" i="13" s="1"/>
  <c r="K1575" i="21"/>
  <c r="K1578" i="21"/>
  <c r="L1578" i="21" s="1"/>
  <c r="M1578" i="21"/>
  <c r="K1585" i="21"/>
  <c r="L1585" i="21" s="1"/>
  <c r="M1585" i="21"/>
  <c r="M1576" i="21"/>
  <c r="K1576" i="21"/>
  <c r="L1576" i="21" s="1"/>
  <c r="K1579" i="21"/>
  <c r="L1579" i="21" s="1"/>
  <c r="M1579" i="21"/>
  <c r="K1582" i="21"/>
  <c r="L1582" i="21" s="1"/>
  <c r="M1582" i="21"/>
  <c r="K1581" i="21"/>
  <c r="L1581" i="21" s="1"/>
  <c r="M1581" i="21"/>
  <c r="M1580" i="21"/>
  <c r="K1580" i="21"/>
  <c r="L1580" i="21" s="1"/>
  <c r="K1583" i="21"/>
  <c r="L1583" i="21" s="1"/>
  <c r="M1583" i="21"/>
  <c r="M1586" i="21"/>
  <c r="K1586" i="21"/>
  <c r="L1586" i="21" s="1"/>
  <c r="M1577" i="21"/>
  <c r="K1577" i="21"/>
  <c r="L1577" i="21" s="1"/>
  <c r="M1587" i="21"/>
  <c r="V205" i="13" s="1"/>
  <c r="K1587" i="21"/>
  <c r="M1598" i="21"/>
  <c r="K1598" i="21"/>
  <c r="L1598" i="21" s="1"/>
  <c r="K1590" i="21"/>
  <c r="L1590" i="21" s="1"/>
  <c r="M1590" i="21"/>
  <c r="M1594" i="21"/>
  <c r="K1594" i="21"/>
  <c r="L1594" i="21" s="1"/>
  <c r="M1597" i="21"/>
  <c r="K1597" i="21"/>
  <c r="L1597" i="21" s="1"/>
  <c r="K1593" i="21"/>
  <c r="L1593" i="21" s="1"/>
  <c r="M1593" i="21"/>
  <c r="K1589" i="21"/>
  <c r="L1589" i="21" s="1"/>
  <c r="M1589" i="21"/>
  <c r="K1588" i="21"/>
  <c r="L1588" i="21" s="1"/>
  <c r="M1588" i="21"/>
  <c r="M1595" i="21"/>
  <c r="K1595" i="21"/>
  <c r="L1595" i="21" s="1"/>
  <c r="M1592" i="21"/>
  <c r="K1592" i="21"/>
  <c r="L1592" i="21" s="1"/>
  <c r="K1596" i="21"/>
  <c r="L1596" i="21" s="1"/>
  <c r="M1596" i="21"/>
  <c r="K1591" i="21"/>
  <c r="L1591" i="21" s="1"/>
  <c r="M1591" i="21"/>
  <c r="K1610" i="21"/>
  <c r="L1610" i="21" s="1"/>
  <c r="M1610" i="21"/>
  <c r="M1601" i="21"/>
  <c r="K1601" i="21"/>
  <c r="L1601" i="21" s="1"/>
  <c r="M1603" i="21"/>
  <c r="K1603" i="21"/>
  <c r="L1603" i="21" s="1"/>
  <c r="M1608" i="21"/>
  <c r="K1608" i="21"/>
  <c r="L1608" i="21" s="1"/>
  <c r="K1599" i="21"/>
  <c r="M1599" i="21"/>
  <c r="V206" i="13" s="1"/>
  <c r="K1609" i="21"/>
  <c r="L1609" i="21" s="1"/>
  <c r="M1609" i="21"/>
  <c r="K1602" i="21"/>
  <c r="L1602" i="21" s="1"/>
  <c r="M1602" i="21"/>
  <c r="K1606" i="21"/>
  <c r="L1606" i="21" s="1"/>
  <c r="M1606" i="21"/>
  <c r="K1600" i="21"/>
  <c r="L1600" i="21" s="1"/>
  <c r="M1600" i="21"/>
  <c r="K1607" i="21"/>
  <c r="L1607" i="21" s="1"/>
  <c r="M1607" i="21"/>
  <c r="K1604" i="21"/>
  <c r="L1604" i="21" s="1"/>
  <c r="M1604" i="21"/>
  <c r="M1605" i="21"/>
  <c r="K1605" i="21"/>
  <c r="L1605" i="21" s="1"/>
  <c r="M1617" i="21"/>
  <c r="K1617" i="21"/>
  <c r="L1617" i="21" s="1"/>
  <c r="K1621" i="21"/>
  <c r="L1621" i="21" s="1"/>
  <c r="M1621" i="21"/>
  <c r="M1619" i="21"/>
  <c r="K1619" i="21"/>
  <c r="L1619" i="21" s="1"/>
  <c r="M1615" i="21"/>
  <c r="K1615" i="21"/>
  <c r="L1615" i="21" s="1"/>
  <c r="M1618" i="21"/>
  <c r="K1618" i="21"/>
  <c r="L1618" i="21" s="1"/>
  <c r="K1620" i="21"/>
  <c r="L1620" i="21" s="1"/>
  <c r="M1620" i="21"/>
  <c r="K1614" i="21"/>
  <c r="L1614" i="21" s="1"/>
  <c r="M1614" i="21"/>
  <c r="K1611" i="21"/>
  <c r="M1611" i="21"/>
  <c r="V207" i="13" s="1"/>
  <c r="M1613" i="21"/>
  <c r="K1613" i="21"/>
  <c r="L1613" i="21" s="1"/>
  <c r="K1622" i="21"/>
  <c r="L1622" i="21" s="1"/>
  <c r="M1622" i="21"/>
  <c r="K1612" i="21"/>
  <c r="L1612" i="21" s="1"/>
  <c r="M1612" i="21"/>
  <c r="M1616" i="21"/>
  <c r="K1616" i="21"/>
  <c r="L1616" i="21" s="1"/>
  <c r="M1629" i="21"/>
  <c r="K1629" i="21"/>
  <c r="L1629" i="21" s="1"/>
  <c r="K1632" i="21"/>
  <c r="L1632" i="21" s="1"/>
  <c r="M1632" i="21"/>
  <c r="K1633" i="21"/>
  <c r="L1633" i="21" s="1"/>
  <c r="M1633" i="21"/>
  <c r="K1631" i="21"/>
  <c r="L1631" i="21" s="1"/>
  <c r="M1631" i="21"/>
  <c r="M1627" i="21"/>
  <c r="K1627" i="21"/>
  <c r="L1627" i="21" s="1"/>
  <c r="M1626" i="21"/>
  <c r="K1626" i="21"/>
  <c r="L1626" i="21" s="1"/>
  <c r="M1630" i="21"/>
  <c r="K1630" i="21"/>
  <c r="L1630" i="21" s="1"/>
  <c r="M1634" i="21"/>
  <c r="K1634" i="21"/>
  <c r="L1634" i="21" s="1"/>
  <c r="M1625" i="21"/>
  <c r="K1625" i="21"/>
  <c r="L1625" i="21" s="1"/>
  <c r="K1623" i="21"/>
  <c r="M1623" i="21"/>
  <c r="V208" i="13" s="1"/>
  <c r="M1628" i="21"/>
  <c r="K1628" i="21"/>
  <c r="L1628" i="21" s="1"/>
  <c r="M1624" i="21"/>
  <c r="K1624" i="21"/>
  <c r="L1624" i="21" s="1"/>
  <c r="M1637" i="21"/>
  <c r="K1637" i="21"/>
  <c r="L1637" i="21" s="1"/>
  <c r="M1635" i="21"/>
  <c r="V209" i="13" s="1"/>
  <c r="K1635" i="21"/>
  <c r="M1636" i="21"/>
  <c r="K1636" i="21"/>
  <c r="L1636" i="21" s="1"/>
  <c r="M1638" i="21"/>
  <c r="K1638" i="21"/>
  <c r="L1638" i="21" s="1"/>
  <c r="M1639" i="21"/>
  <c r="V210" i="13" s="1"/>
  <c r="K1639" i="21"/>
  <c r="K1640" i="21"/>
  <c r="L1640" i="21" s="1"/>
  <c r="M1640" i="21"/>
  <c r="M1641" i="21"/>
  <c r="K1641" i="21"/>
  <c r="L1641" i="21" s="1"/>
  <c r="K1642" i="21"/>
  <c r="L1642" i="21" s="1"/>
  <c r="M1642" i="21"/>
  <c r="K1645" i="21"/>
  <c r="L1645" i="21" s="1"/>
  <c r="M1645" i="21"/>
  <c r="K1646" i="21"/>
  <c r="L1646" i="21" s="1"/>
  <c r="M1646" i="21"/>
  <c r="M1643" i="21"/>
  <c r="V211" i="13" s="1"/>
  <c r="K1643" i="21"/>
  <c r="K1644" i="21"/>
  <c r="L1644" i="21" s="1"/>
  <c r="M1644" i="21"/>
  <c r="M1648" i="21"/>
  <c r="K1648" i="21"/>
  <c r="L1648" i="21" s="1"/>
  <c r="M1649" i="21"/>
  <c r="K1649" i="21"/>
  <c r="L1649" i="21" s="1"/>
  <c r="M1650" i="21"/>
  <c r="K1650" i="21"/>
  <c r="L1650" i="21" s="1"/>
  <c r="K1647" i="21"/>
  <c r="M1647" i="21"/>
  <c r="V212" i="13" s="1"/>
  <c r="K1651" i="21"/>
  <c r="M1651" i="21"/>
  <c r="V213" i="13" s="1"/>
  <c r="M1654" i="21"/>
  <c r="K1654" i="21"/>
  <c r="L1654" i="21" s="1"/>
  <c r="M1652" i="21"/>
  <c r="K1652" i="21"/>
  <c r="L1652" i="21" s="1"/>
  <c r="M1653" i="21"/>
  <c r="K1653" i="21"/>
  <c r="L1653" i="21" s="1"/>
  <c r="K1656" i="21"/>
  <c r="L1656" i="21" s="1"/>
  <c r="M1656" i="21"/>
  <c r="M1657" i="21"/>
  <c r="K1657" i="21"/>
  <c r="L1657" i="21" s="1"/>
  <c r="K1658" i="21"/>
  <c r="L1658" i="21" s="1"/>
  <c r="M1658" i="21"/>
  <c r="K1655" i="21"/>
  <c r="M1655" i="21"/>
  <c r="V214" i="13" s="1"/>
  <c r="M1659" i="21"/>
  <c r="V215" i="13" s="1"/>
  <c r="K1659" i="21"/>
  <c r="M1660" i="21"/>
  <c r="K1660" i="21"/>
  <c r="L1660" i="21" s="1"/>
  <c r="M1662" i="21"/>
  <c r="K1662" i="21"/>
  <c r="L1662" i="21" s="1"/>
  <c r="K1661" i="21"/>
  <c r="L1661" i="21" s="1"/>
  <c r="M1661" i="21"/>
  <c r="M1663" i="21"/>
  <c r="V216" i="13" s="1"/>
  <c r="K1663" i="21"/>
  <c r="K1664" i="21"/>
  <c r="L1664" i="21" s="1"/>
  <c r="M1664" i="21"/>
  <c r="K1665" i="21"/>
  <c r="L1665" i="21" s="1"/>
  <c r="M1665" i="21"/>
  <c r="K1666" i="21"/>
  <c r="L1666" i="21" s="1"/>
  <c r="M1666" i="21"/>
  <c r="K1667" i="21"/>
  <c r="M1667" i="21"/>
  <c r="V217" i="13" s="1"/>
  <c r="M1669" i="21"/>
  <c r="K1669" i="21"/>
  <c r="L1669" i="21" s="1"/>
  <c r="M1668" i="21"/>
  <c r="K1668" i="21"/>
  <c r="L1668" i="21" s="1"/>
  <c r="K1670" i="21"/>
  <c r="L1670" i="21" s="1"/>
  <c r="M1670" i="21"/>
  <c r="K1674" i="21"/>
  <c r="L1674" i="21" s="1"/>
  <c r="M1674" i="21"/>
  <c r="M1673" i="21"/>
  <c r="K1673" i="21"/>
  <c r="L1673" i="21" s="1"/>
  <c r="M1671" i="21"/>
  <c r="V218" i="13" s="1"/>
  <c r="K1671" i="21"/>
  <c r="K1672" i="21"/>
  <c r="L1672" i="21" s="1"/>
  <c r="M1672" i="21"/>
  <c r="K1677" i="21"/>
  <c r="L1677" i="21" s="1"/>
  <c r="M1677" i="21"/>
  <c r="K1676" i="21"/>
  <c r="L1676" i="21" s="1"/>
  <c r="M1676" i="21"/>
  <c r="M1675" i="21"/>
  <c r="V219" i="13" s="1"/>
  <c r="K1675" i="21"/>
  <c r="M1683" i="21"/>
  <c r="K1683" i="21"/>
  <c r="L1683" i="21" s="1"/>
  <c r="K1680" i="21"/>
  <c r="L1680" i="21" s="1"/>
  <c r="M1680" i="21"/>
  <c r="M1685" i="21"/>
  <c r="K1685" i="21"/>
  <c r="L1685" i="21" s="1"/>
  <c r="K1679" i="21"/>
  <c r="M1679" i="21"/>
  <c r="V223" i="13" s="1"/>
  <c r="K1684" i="21"/>
  <c r="L1684" i="21" s="1"/>
  <c r="M1684" i="21"/>
  <c r="K1681" i="21"/>
  <c r="L1681" i="21" s="1"/>
  <c r="M1681" i="21"/>
  <c r="M1687" i="21"/>
  <c r="K1687" i="21"/>
  <c r="L1687" i="21" s="1"/>
  <c r="K1682" i="21"/>
  <c r="L1682" i="21" s="1"/>
  <c r="M1682" i="21"/>
  <c r="M1686" i="21"/>
  <c r="K1686" i="21"/>
  <c r="L1686" i="21" s="1"/>
  <c r="K1692" i="21"/>
  <c r="L1692" i="21" s="1"/>
  <c r="M1692" i="21"/>
  <c r="K1688" i="21"/>
  <c r="M1688" i="21"/>
  <c r="V224" i="13" s="1"/>
  <c r="M1691" i="21"/>
  <c r="K1691" i="21"/>
  <c r="L1691" i="21" s="1"/>
  <c r="M1689" i="21"/>
  <c r="K1689" i="21"/>
  <c r="L1689" i="21" s="1"/>
  <c r="K1690" i="21"/>
  <c r="L1690" i="21" s="1"/>
  <c r="M1690" i="21"/>
  <c r="M1694" i="21"/>
  <c r="K1694" i="21"/>
  <c r="L1694" i="21" s="1"/>
  <c r="K1695" i="21"/>
  <c r="L1695" i="21" s="1"/>
  <c r="M1695" i="21"/>
  <c r="K1693" i="21"/>
  <c r="L1693" i="21" s="1"/>
  <c r="M1693" i="21"/>
  <c r="K1703" i="21"/>
  <c r="L1703" i="21" s="1"/>
  <c r="M1703" i="21"/>
  <c r="K1698" i="21"/>
  <c r="L1698" i="21" s="1"/>
  <c r="M1698" i="21"/>
  <c r="K1697" i="21"/>
  <c r="M1697" i="21"/>
  <c r="V225" i="13" s="1"/>
  <c r="K1701" i="21"/>
  <c r="L1701" i="21" s="1"/>
  <c r="M1701" i="21"/>
  <c r="K1702" i="21"/>
  <c r="L1702" i="21" s="1"/>
  <c r="M1702" i="21"/>
  <c r="K1700" i="21"/>
  <c r="L1700" i="21" s="1"/>
  <c r="M1700" i="21"/>
  <c r="M1699" i="21"/>
  <c r="K1699" i="21"/>
  <c r="L1699" i="21" s="1"/>
  <c r="K889" i="21"/>
  <c r="L889" i="21" s="1"/>
  <c r="M889" i="21"/>
  <c r="K358" i="21"/>
  <c r="L358" i="21" s="1"/>
  <c r="M358" i="21"/>
  <c r="M357" i="21"/>
  <c r="K357" i="21"/>
  <c r="L357" i="21" s="1"/>
  <c r="K1678" i="21"/>
  <c r="M1678" i="21"/>
  <c r="V222" i="13" s="1"/>
  <c r="M1696" i="21"/>
  <c r="K1696" i="21"/>
  <c r="L1696" i="21" s="1"/>
  <c r="M1704" i="21"/>
  <c r="K1704" i="21"/>
  <c r="L1704" i="21" s="1"/>
  <c r="K1708" i="21"/>
  <c r="L1708" i="21" s="1"/>
  <c r="M1708" i="21"/>
  <c r="K1711" i="21"/>
  <c r="L1711" i="21" s="1"/>
  <c r="M1711" i="21"/>
  <c r="M1707" i="21"/>
  <c r="K1707" i="21"/>
  <c r="L1707" i="21" s="1"/>
  <c r="K1712" i="21"/>
  <c r="L1712" i="21" s="1"/>
  <c r="M1712" i="21"/>
  <c r="K1706" i="21"/>
  <c r="L1706" i="21" s="1"/>
  <c r="M1706" i="21"/>
  <c r="K1705" i="21"/>
  <c r="M1705" i="21"/>
  <c r="V226" i="13" s="1"/>
  <c r="M1710" i="21"/>
  <c r="K1710" i="21"/>
  <c r="L1710" i="21" s="1"/>
  <c r="K1709" i="21"/>
  <c r="L1709" i="21" s="1"/>
  <c r="M1709" i="21"/>
  <c r="K1718" i="21"/>
  <c r="L1718" i="21" s="1"/>
  <c r="M1718" i="21"/>
  <c r="K1719" i="21"/>
  <c r="L1719" i="21" s="1"/>
  <c r="M1719" i="21"/>
  <c r="K1720" i="21"/>
  <c r="L1720" i="21" s="1"/>
  <c r="M1720" i="21"/>
  <c r="K1716" i="21"/>
  <c r="L1716" i="21" s="1"/>
  <c r="M1716" i="21"/>
  <c r="K1717" i="21"/>
  <c r="L1717" i="21" s="1"/>
  <c r="M1717" i="21"/>
  <c r="M1713" i="21"/>
  <c r="V227" i="13" s="1"/>
  <c r="K1713" i="21"/>
  <c r="K1715" i="21"/>
  <c r="L1715" i="21" s="1"/>
  <c r="M1715" i="21"/>
  <c r="M1714" i="21"/>
  <c r="K1714" i="21"/>
  <c r="L1714" i="21" s="1"/>
  <c r="K1725" i="21"/>
  <c r="L1725" i="21" s="1"/>
  <c r="M1725" i="21"/>
  <c r="K1726" i="21"/>
  <c r="L1726" i="21" s="1"/>
  <c r="M1726" i="21"/>
  <c r="K1727" i="21"/>
  <c r="L1727" i="21" s="1"/>
  <c r="M1727" i="21"/>
  <c r="K1728" i="21"/>
  <c r="L1728" i="21" s="1"/>
  <c r="M1728" i="21"/>
  <c r="K1723" i="21"/>
  <c r="L1723" i="21" s="1"/>
  <c r="M1723" i="21"/>
  <c r="K1722" i="21"/>
  <c r="L1722" i="21" s="1"/>
  <c r="M1722" i="21"/>
  <c r="K1724" i="21"/>
  <c r="L1724" i="21" s="1"/>
  <c r="M1724" i="21"/>
  <c r="M1721" i="21"/>
  <c r="V228" i="13" s="1"/>
  <c r="K1721" i="21"/>
  <c r="K1731" i="21"/>
  <c r="L1731" i="21" s="1"/>
  <c r="M1731" i="21"/>
  <c r="M1730" i="21"/>
  <c r="K1730" i="21"/>
  <c r="L1730" i="21" s="1"/>
  <c r="K1734" i="21"/>
  <c r="L1734" i="21" s="1"/>
  <c r="M1734" i="21"/>
  <c r="K1735" i="21"/>
  <c r="L1735" i="21" s="1"/>
  <c r="M1735" i="21"/>
  <c r="M1733" i="21"/>
  <c r="K1733" i="21"/>
  <c r="L1733" i="21" s="1"/>
  <c r="M1732" i="21"/>
  <c r="K1732" i="21"/>
  <c r="L1732" i="21" s="1"/>
  <c r="K1729" i="21"/>
  <c r="M1729" i="21"/>
  <c r="V229" i="13" s="1"/>
  <c r="M1736" i="21"/>
  <c r="K1736" i="21"/>
  <c r="L1736" i="21" s="1"/>
  <c r="M1738" i="21"/>
  <c r="K1738" i="21"/>
  <c r="L1738" i="21" s="1"/>
  <c r="M1737" i="21"/>
  <c r="V230" i="13" s="1"/>
  <c r="K1737" i="21"/>
  <c r="M1740" i="21"/>
  <c r="K1740" i="21"/>
  <c r="L1740" i="21" s="1"/>
  <c r="M1741" i="21"/>
  <c r="K1741" i="21"/>
  <c r="L1741" i="21" s="1"/>
  <c r="M1739" i="21"/>
  <c r="K1739" i="21"/>
  <c r="L1739" i="21" s="1"/>
  <c r="K1746" i="21"/>
  <c r="L1746" i="21" s="1"/>
  <c r="M1746" i="21"/>
  <c r="K1742" i="21"/>
  <c r="M1742" i="21"/>
  <c r="V231" i="13" s="1"/>
  <c r="K1744" i="21"/>
  <c r="L1744" i="21" s="1"/>
  <c r="M1744" i="21"/>
  <c r="K1743" i="21"/>
  <c r="L1743" i="21" s="1"/>
  <c r="M1743" i="21"/>
  <c r="M1745" i="21"/>
  <c r="K1745" i="21"/>
  <c r="L1745" i="21" s="1"/>
  <c r="K1750" i="21"/>
  <c r="L1750" i="21" s="1"/>
  <c r="M1750" i="21"/>
  <c r="M1855" i="21"/>
  <c r="K1855" i="21"/>
  <c r="L1855" i="21" s="1"/>
  <c r="M1851" i="21"/>
  <c r="K1851" i="21"/>
  <c r="L1851" i="21" s="1"/>
  <c r="M1850" i="21"/>
  <c r="K1850" i="21"/>
  <c r="L1850" i="21" s="1"/>
  <c r="K1849" i="21"/>
  <c r="M1849" i="21"/>
  <c r="V255" i="13" s="1"/>
  <c r="K1852" i="21"/>
  <c r="L1852" i="21" s="1"/>
  <c r="M1852" i="21"/>
  <c r="M1853" i="21"/>
  <c r="K1853" i="21"/>
  <c r="L1853" i="21" s="1"/>
  <c r="K1854" i="21"/>
  <c r="L1854" i="21" s="1"/>
  <c r="M1854" i="21"/>
  <c r="M1859" i="21"/>
  <c r="K1859" i="21"/>
  <c r="L1859" i="21" s="1"/>
  <c r="M1858" i="21"/>
  <c r="K1858" i="21"/>
  <c r="L1858" i="21" s="1"/>
  <c r="K1857" i="21"/>
  <c r="L1857" i="21" s="1"/>
  <c r="M1857" i="21"/>
  <c r="K1856" i="21"/>
  <c r="M1856" i="21"/>
  <c r="V269" i="13" s="1"/>
  <c r="K1862" i="21"/>
  <c r="L1862" i="21" s="1"/>
  <c r="M1862" i="21"/>
  <c r="M1868" i="21"/>
  <c r="K1868" i="21"/>
  <c r="L1868" i="21" s="1"/>
  <c r="K1864" i="21"/>
  <c r="L1864" i="21" s="1"/>
  <c r="M1864" i="21"/>
  <c r="M1866" i="21"/>
  <c r="K1866" i="21"/>
  <c r="L1866" i="21" s="1"/>
  <c r="M1869" i="21"/>
  <c r="K1869" i="21"/>
  <c r="L1869" i="21" s="1"/>
  <c r="K1863" i="21"/>
  <c r="L1863" i="21" s="1"/>
  <c r="M1863" i="21"/>
  <c r="K1865" i="21"/>
  <c r="L1865" i="21" s="1"/>
  <c r="M1865" i="21"/>
  <c r="K1867" i="21"/>
  <c r="L1867" i="21" s="1"/>
  <c r="M1867" i="21"/>
  <c r="K1861" i="21"/>
  <c r="L1861" i="21" s="1"/>
  <c r="M1861" i="21"/>
  <c r="M1860" i="21"/>
  <c r="K1860" i="21"/>
  <c r="L1860" i="21" s="1"/>
  <c r="K1874" i="21"/>
  <c r="L1874" i="21" s="1"/>
  <c r="M1874" i="21"/>
  <c r="K1873" i="21"/>
  <c r="L1873" i="21" s="1"/>
  <c r="M1873" i="21"/>
  <c r="M1872" i="21"/>
  <c r="K1872" i="21"/>
  <c r="L1872" i="21" s="1"/>
  <c r="K1875" i="21"/>
  <c r="L1875" i="21" s="1"/>
  <c r="M1875" i="21"/>
  <c r="K1870" i="21"/>
  <c r="M1870" i="21"/>
  <c r="V273" i="13" s="1"/>
  <c r="K1871" i="21"/>
  <c r="L1871" i="21" s="1"/>
  <c r="M1871" i="21"/>
  <c r="M1876" i="21"/>
  <c r="V277" i="13" s="1"/>
  <c r="K1876" i="21"/>
  <c r="M1915" i="21"/>
  <c r="V333" i="13" s="1"/>
  <c r="K1915" i="21"/>
  <c r="K1916" i="21"/>
  <c r="M1916" i="21"/>
  <c r="V335" i="13" s="1"/>
  <c r="K1917" i="21"/>
  <c r="M1917" i="21"/>
  <c r="V337" i="13" s="1"/>
  <c r="K1945" i="21"/>
  <c r="L1945" i="21" s="1"/>
  <c r="M1945" i="21"/>
  <c r="M1939" i="21"/>
  <c r="K1939" i="21"/>
  <c r="L1939" i="21" s="1"/>
  <c r="M1940" i="21"/>
  <c r="K1940" i="21"/>
  <c r="L1940" i="21" s="1"/>
  <c r="M1948" i="21"/>
  <c r="V162" i="13" s="1"/>
  <c r="K1948" i="21"/>
  <c r="M1956" i="21"/>
  <c r="K1956" i="21"/>
  <c r="L1956" i="21" s="1"/>
  <c r="M1954" i="21"/>
  <c r="K1954" i="21"/>
  <c r="L1954" i="21" s="1"/>
  <c r="K1950" i="21"/>
  <c r="L1950" i="21" s="1"/>
  <c r="M1950" i="21"/>
  <c r="M1962" i="21"/>
  <c r="K1962" i="21"/>
  <c r="L1962" i="21" s="1"/>
  <c r="K1960" i="21"/>
  <c r="L1960" i="21" s="1"/>
  <c r="M1960" i="21"/>
  <c r="K1966" i="21"/>
  <c r="L1966" i="21" s="1"/>
  <c r="M1966" i="21"/>
  <c r="K1969" i="21"/>
  <c r="L1969" i="21" s="1"/>
  <c r="M1969" i="21"/>
  <c r="K1971" i="21"/>
  <c r="L1971" i="21" s="1"/>
  <c r="M1971" i="21"/>
  <c r="K1977" i="21"/>
  <c r="L1977" i="21" s="1"/>
  <c r="M1977" i="21"/>
  <c r="M1975" i="21"/>
  <c r="V148" i="13" s="1"/>
  <c r="K1975" i="21"/>
  <c r="M1981" i="21"/>
  <c r="K1981" i="21"/>
  <c r="L1981" i="21" s="1"/>
  <c r="K1983" i="21"/>
  <c r="M1983" i="21"/>
  <c r="V149" i="13" s="1"/>
  <c r="M1987" i="21"/>
  <c r="K1987" i="21"/>
  <c r="L1987" i="21" s="1"/>
  <c r="K1989" i="21"/>
  <c r="L1989" i="21" s="1"/>
  <c r="M1989" i="21"/>
  <c r="M1993" i="21"/>
  <c r="K1993" i="21"/>
  <c r="L1993" i="21" s="1"/>
  <c r="M1995" i="21"/>
  <c r="K1995" i="21"/>
  <c r="L1995" i="21" s="1"/>
  <c r="M1999" i="21"/>
  <c r="K1999" i="21"/>
  <c r="L1999" i="21" s="1"/>
  <c r="M2001" i="21"/>
  <c r="V164" i="13" s="1"/>
  <c r="K2001" i="21"/>
  <c r="K2004" i="21"/>
  <c r="L2004" i="21" s="1"/>
  <c r="M2004" i="21"/>
  <c r="K2008" i="21"/>
  <c r="L2008" i="21" s="1"/>
  <c r="M2008" i="21"/>
  <c r="N88" i="13"/>
  <c r="N14" i="13"/>
  <c r="N42" i="13"/>
  <c r="P42" i="13"/>
  <c r="I1192" i="25"/>
  <c r="I1190" i="25"/>
  <c r="I1191" i="25"/>
  <c r="I1198" i="25"/>
  <c r="I1193" i="25"/>
  <c r="I1194" i="25"/>
  <c r="I1195" i="25"/>
  <c r="I1196" i="25"/>
  <c r="I1197" i="25"/>
  <c r="I1256" i="25"/>
  <c r="I1255" i="25"/>
  <c r="I1251" i="25"/>
  <c r="I1252" i="25"/>
  <c r="I1253" i="25"/>
  <c r="I1254" i="25"/>
  <c r="I1283" i="25"/>
  <c r="I1284" i="25"/>
  <c r="I1285" i="25"/>
  <c r="I1286" i="25"/>
  <c r="I1287" i="25"/>
  <c r="I1288" i="25"/>
  <c r="I1289" i="25"/>
  <c r="I1290" i="25"/>
  <c r="I1291" i="25"/>
  <c r="I1292" i="25"/>
  <c r="I1293" i="25"/>
  <c r="I1294" i="25"/>
  <c r="P154" i="13"/>
  <c r="Q154" i="13" s="1"/>
  <c r="E133" i="3" s="1"/>
  <c r="I1300" i="25"/>
  <c r="I1301" i="25"/>
  <c r="I1295" i="25"/>
  <c r="I1296" i="25"/>
  <c r="I1297" i="25"/>
  <c r="I1298" i="25"/>
  <c r="I1299" i="25"/>
  <c r="I1302" i="25"/>
  <c r="I1303" i="25"/>
  <c r="I1304" i="25"/>
  <c r="I1305" i="25"/>
  <c r="I1306" i="25"/>
  <c r="I1318" i="25"/>
  <c r="I1307" i="25"/>
  <c r="I1308" i="25"/>
  <c r="I1309" i="25"/>
  <c r="I1310" i="25"/>
  <c r="I1311" i="25"/>
  <c r="I1312" i="25"/>
  <c r="I1313" i="25"/>
  <c r="I1314" i="25"/>
  <c r="I1315" i="25"/>
  <c r="I1316" i="25"/>
  <c r="I1317" i="25"/>
  <c r="P181" i="13"/>
  <c r="Q181" i="13" s="1"/>
  <c r="E160" i="3" s="1"/>
  <c r="N156" i="13"/>
  <c r="N25" i="13"/>
  <c r="P173" i="13"/>
  <c r="Q173" i="13" s="1"/>
  <c r="E152" i="3" s="1"/>
  <c r="I1393" i="25"/>
  <c r="I1390" i="25"/>
  <c r="I1391" i="25"/>
  <c r="I1392" i="25"/>
  <c r="I1395" i="25"/>
  <c r="I1394" i="25"/>
  <c r="I1401" i="25"/>
  <c r="I1400" i="25"/>
  <c r="I1399" i="25"/>
  <c r="I1397" i="25"/>
  <c r="I1398" i="25"/>
  <c r="I1396" i="25"/>
  <c r="P175" i="13"/>
  <c r="Q175" i="13" s="1"/>
  <c r="E154" i="3" s="1"/>
  <c r="I1406" i="25"/>
  <c r="I1402" i="25"/>
  <c r="I1403" i="25"/>
  <c r="I1404" i="25"/>
  <c r="I1405" i="25"/>
  <c r="I1407" i="25"/>
  <c r="P176" i="13"/>
  <c r="Q176" i="13" s="1"/>
  <c r="E155" i="3" s="1"/>
  <c r="I1413" i="25"/>
  <c r="I1411" i="25"/>
  <c r="I1410" i="25"/>
  <c r="I1409" i="25"/>
  <c r="I1408" i="25"/>
  <c r="I1412" i="25"/>
  <c r="I1419" i="25"/>
  <c r="I1418" i="25"/>
  <c r="I1416" i="25"/>
  <c r="I1415" i="25"/>
  <c r="I1414" i="25"/>
  <c r="I1417" i="25"/>
  <c r="P178" i="13"/>
  <c r="I1422" i="25"/>
  <c r="I1421" i="25"/>
  <c r="I1420" i="25"/>
  <c r="P180" i="13"/>
  <c r="Q180" i="13" s="1"/>
  <c r="E159" i="3" s="1"/>
  <c r="I1427" i="25"/>
  <c r="I1428" i="25"/>
  <c r="I1426" i="25"/>
  <c r="I1429" i="25"/>
  <c r="I1430" i="25"/>
  <c r="I1431" i="25"/>
  <c r="I1432" i="25"/>
  <c r="I1433" i="25"/>
  <c r="I1434" i="25"/>
  <c r="I1439" i="25"/>
  <c r="I1435" i="25"/>
  <c r="I1436" i="25"/>
  <c r="I1437" i="25"/>
  <c r="I1438" i="25"/>
  <c r="P184" i="13"/>
  <c r="I1440" i="25"/>
  <c r="I1441" i="25"/>
  <c r="I1442" i="25"/>
  <c r="I1443" i="25"/>
  <c r="I1444" i="25"/>
  <c r="I1457" i="25"/>
  <c r="I1459" i="25"/>
  <c r="I1455" i="25"/>
  <c r="I1456" i="25"/>
  <c r="I1458" i="25"/>
  <c r="I1464" i="25"/>
  <c r="I1465" i="25"/>
  <c r="I1466" i="25"/>
  <c r="I1467" i="25"/>
  <c r="I1468" i="25"/>
  <c r="I1469" i="25"/>
  <c r="I1470" i="25"/>
  <c r="I1471" i="25"/>
  <c r="I1524" i="25"/>
  <c r="P198" i="13"/>
  <c r="Q198" i="13" s="1"/>
  <c r="E177" i="3" s="1"/>
  <c r="I1529" i="25"/>
  <c r="I1518" i="25"/>
  <c r="I1519" i="25"/>
  <c r="I1520" i="25"/>
  <c r="I1521" i="25"/>
  <c r="I1522" i="25"/>
  <c r="I1523" i="25"/>
  <c r="I1525" i="25"/>
  <c r="I1526" i="25"/>
  <c r="I1527" i="25"/>
  <c r="I1528" i="25"/>
  <c r="I1539" i="25"/>
  <c r="I1538" i="25"/>
  <c r="I1536" i="25"/>
  <c r="I1535" i="25"/>
  <c r="I1534" i="25"/>
  <c r="I1533" i="25"/>
  <c r="I1532" i="25"/>
  <c r="I1531" i="25"/>
  <c r="I1530" i="25"/>
  <c r="I1537" i="25"/>
  <c r="I1541" i="25"/>
  <c r="I1540" i="25"/>
  <c r="P226" i="13"/>
  <c r="Q226" i="13" s="1"/>
  <c r="E205" i="3" s="1"/>
  <c r="I1698" i="25"/>
  <c r="I1699" i="25"/>
  <c r="I1700" i="25"/>
  <c r="I1701" i="25"/>
  <c r="I1702" i="25"/>
  <c r="I1703" i="25"/>
  <c r="I1704" i="25"/>
  <c r="I1697" i="25"/>
  <c r="P227" i="13"/>
  <c r="I1705" i="25"/>
  <c r="I1706" i="25"/>
  <c r="I1707" i="25"/>
  <c r="I1708" i="25"/>
  <c r="I1709" i="25"/>
  <c r="I1710" i="25"/>
  <c r="I1711" i="25"/>
  <c r="I1712" i="25"/>
  <c r="I1729" i="25"/>
  <c r="I1733" i="25"/>
  <c r="I1736" i="25"/>
  <c r="I1735" i="25"/>
  <c r="I1734" i="25"/>
  <c r="I1732" i="25"/>
  <c r="I1731" i="25"/>
  <c r="I1730" i="25"/>
  <c r="P231" i="13"/>
  <c r="Q231" i="13" s="1"/>
  <c r="E210" i="3" s="1"/>
  <c r="I1739" i="25"/>
  <c r="I1740" i="25"/>
  <c r="I1741" i="25"/>
  <c r="I1738" i="25"/>
  <c r="I1737" i="25"/>
  <c r="I1746" i="25"/>
  <c r="I1742" i="25"/>
  <c r="I1743" i="25"/>
  <c r="I1744" i="25"/>
  <c r="I1745" i="25"/>
  <c r="I1754" i="25"/>
  <c r="I1756" i="25"/>
  <c r="I1755" i="25"/>
  <c r="I1753" i="25"/>
  <c r="I1752" i="25"/>
  <c r="K5" i="13"/>
  <c r="L5" i="13"/>
  <c r="D5" i="13" s="1"/>
  <c r="L444" i="13"/>
  <c r="C444" i="13" s="1"/>
  <c r="K444" i="13"/>
  <c r="L455" i="13"/>
  <c r="C455" i="13" s="1"/>
  <c r="K455" i="13"/>
  <c r="I333" i="25"/>
  <c r="I332" i="25"/>
  <c r="I331" i="25"/>
  <c r="I330" i="25"/>
  <c r="I329" i="25"/>
  <c r="I328" i="25"/>
  <c r="I327" i="25"/>
  <c r="I335" i="25"/>
  <c r="I334" i="25"/>
  <c r="I707" i="25"/>
  <c r="I708" i="25"/>
  <c r="I711" i="25"/>
  <c r="I712" i="25"/>
  <c r="I710" i="25"/>
  <c r="I709" i="25"/>
  <c r="I1223" i="25"/>
  <c r="I1217" i="25"/>
  <c r="I1218" i="25"/>
  <c r="I1219" i="25"/>
  <c r="I1220" i="25"/>
  <c r="I1221" i="25"/>
  <c r="I1222" i="25"/>
  <c r="I1320" i="25"/>
  <c r="I1321" i="25"/>
  <c r="I1319" i="25"/>
  <c r="I1454" i="25"/>
  <c r="P186" i="13"/>
  <c r="Q186" i="13" s="1"/>
  <c r="E165" i="3" s="1"/>
  <c r="I1450" i="25"/>
  <c r="I1451" i="25"/>
  <c r="I1452" i="25"/>
  <c r="I1453" i="25"/>
  <c r="P189" i="13"/>
  <c r="Q189" i="13" s="1"/>
  <c r="E168" i="3" s="1"/>
  <c r="I1805" i="25"/>
  <c r="I1804" i="25"/>
  <c r="I1803" i="25"/>
  <c r="I1802" i="25"/>
  <c r="I1801" i="25"/>
  <c r="I1800" i="25"/>
  <c r="I1799" i="25"/>
  <c r="N485" i="13"/>
  <c r="N297" i="13"/>
  <c r="L297" i="13"/>
  <c r="C297" i="13" s="1"/>
  <c r="K297" i="13"/>
  <c r="M532" i="13" a="1"/>
  <c r="M523" i="13" a="1"/>
  <c r="I531" i="13" a="1"/>
  <c r="J531" i="13" s="1"/>
  <c r="I535" i="13" a="1"/>
  <c r="J535" i="13" s="1"/>
  <c r="M531" i="13" a="1"/>
  <c r="I523" i="13" a="1"/>
  <c r="J523" i="13" s="1"/>
  <c r="I533" i="13" a="1"/>
  <c r="J533" i="13" s="1"/>
  <c r="M525" i="13" a="1"/>
  <c r="M535" i="13" a="1"/>
  <c r="Z5" i="13"/>
  <c r="I536" i="13" a="1"/>
  <c r="J536" i="13" s="1"/>
  <c r="I532" i="13" a="1"/>
  <c r="J532" i="13" s="1"/>
  <c r="I527" i="13" a="1"/>
  <c r="J527" i="13" s="1"/>
  <c r="M530" i="13" a="1"/>
  <c r="I530" i="13" a="1"/>
  <c r="J530" i="13" s="1"/>
  <c r="M533" i="13" a="1"/>
  <c r="M520" i="13" a="1"/>
  <c r="I521" i="13" a="1"/>
  <c r="J521" i="13" s="1"/>
  <c r="I520" i="13" a="1"/>
  <c r="J520" i="13" s="1"/>
  <c r="I525" i="13" a="1"/>
  <c r="J525" i="13" s="1"/>
  <c r="M527" i="13" a="1"/>
  <c r="C5" i="13"/>
  <c r="M521" i="13" a="1"/>
  <c r="M536" i="13" a="1"/>
  <c r="I542" i="13" a="1"/>
  <c r="J542" i="13" s="1"/>
  <c r="C32" i="13"/>
  <c r="M542" i="13" a="1"/>
  <c r="Z32" i="13"/>
  <c r="I564" i="13" a="1"/>
  <c r="J564" i="13" s="1"/>
  <c r="M565" i="13" a="1"/>
  <c r="I566" i="13" a="1"/>
  <c r="J566" i="13" s="1"/>
  <c r="M561" i="13" a="1"/>
  <c r="M566" i="13" a="1"/>
  <c r="M563" i="13" a="1"/>
  <c r="I562" i="13" a="1"/>
  <c r="J562" i="13" s="1"/>
  <c r="I563" i="13" a="1"/>
  <c r="J563" i="13" s="1"/>
  <c r="M562" i="13" a="1"/>
  <c r="I561" i="13" a="1"/>
  <c r="J561" i="13" s="1"/>
  <c r="Z74" i="13"/>
  <c r="M564" i="13" a="1"/>
  <c r="I565" i="13" a="1"/>
  <c r="J565" i="13" s="1"/>
  <c r="C74" i="13"/>
  <c r="I575" i="13" a="1"/>
  <c r="J575" i="13" s="1"/>
  <c r="M574" i="13" a="1"/>
  <c r="I570" i="13" a="1"/>
  <c r="J570" i="13" s="1"/>
  <c r="M571" i="13" a="1"/>
  <c r="M577" i="13" a="1"/>
  <c r="M570" i="13" a="1"/>
  <c r="M578" i="13" a="1"/>
  <c r="I576" i="13" a="1"/>
  <c r="J576" i="13" s="1"/>
  <c r="I574" i="13" a="1"/>
  <c r="J574" i="13" s="1"/>
  <c r="Z98" i="13"/>
  <c r="M572" i="13" a="1"/>
  <c r="M573" i="13" a="1"/>
  <c r="M575" i="13" a="1"/>
  <c r="I573" i="13" a="1"/>
  <c r="J573" i="13" s="1"/>
  <c r="M576" i="13" a="1"/>
  <c r="I572" i="13" a="1"/>
  <c r="J572" i="13" s="1"/>
  <c r="I577" i="13" a="1"/>
  <c r="J577" i="13" s="1"/>
  <c r="I578" i="13" a="1"/>
  <c r="J578" i="13" s="1"/>
  <c r="I571" i="13" a="1"/>
  <c r="J571" i="13" s="1"/>
  <c r="C98" i="13"/>
  <c r="M582" i="13" a="1"/>
  <c r="Z103" i="13"/>
  <c r="I579" i="13" a="1"/>
  <c r="J579" i="13" s="1"/>
  <c r="M579" i="13" a="1"/>
  <c r="I588" i="13" a="1"/>
  <c r="J588" i="13" s="1"/>
  <c r="I580" i="13" a="1"/>
  <c r="J580" i="13" s="1"/>
  <c r="I585" i="13" a="1"/>
  <c r="J585" i="13" s="1"/>
  <c r="M586" i="13" a="1"/>
  <c r="M584" i="13" a="1"/>
  <c r="M585" i="13" a="1"/>
  <c r="I583" i="13" a="1"/>
  <c r="J583" i="13" s="1"/>
  <c r="I589" i="13" a="1"/>
  <c r="J589" i="13" s="1"/>
  <c r="M581" i="13" a="1"/>
  <c r="M583" i="13" a="1"/>
  <c r="I587" i="13" a="1"/>
  <c r="J587" i="13" s="1"/>
  <c r="M587" i="13" a="1"/>
  <c r="I582" i="13" a="1"/>
  <c r="J582" i="13" s="1"/>
  <c r="M588" i="13" a="1"/>
  <c r="M580" i="13" a="1"/>
  <c r="I586" i="13" a="1"/>
  <c r="J586" i="13" s="1"/>
  <c r="I581" i="13" a="1"/>
  <c r="J581" i="13" s="1"/>
  <c r="C103" i="13"/>
  <c r="M589" i="13" a="1"/>
  <c r="I584" i="13" a="1"/>
  <c r="J584" i="13" s="1"/>
  <c r="M606" i="13" a="1"/>
  <c r="M611" i="13" a="1"/>
  <c r="I605" i="13" a="1"/>
  <c r="J605" i="13" s="1"/>
  <c r="I607" i="13" a="1"/>
  <c r="J607" i="13" s="1"/>
  <c r="M603" i="13" a="1"/>
  <c r="I599" i="13" a="1"/>
  <c r="J599" i="13" s="1"/>
  <c r="M608" i="13" a="1"/>
  <c r="M602" i="13" a="1"/>
  <c r="I604" i="13" a="1"/>
  <c r="J604" i="13" s="1"/>
  <c r="I608" i="13" a="1"/>
  <c r="J608" i="13" s="1"/>
  <c r="M599" i="13" a="1"/>
  <c r="M601" i="13" a="1"/>
  <c r="M612" i="13" a="1"/>
  <c r="I603" i="13" a="1"/>
  <c r="J603" i="13" s="1"/>
  <c r="M605" i="13" a="1"/>
  <c r="I611" i="13" a="1"/>
  <c r="J611" i="13" s="1"/>
  <c r="M604" i="13" a="1"/>
  <c r="Z125" i="13"/>
  <c r="M610" i="13" a="1"/>
  <c r="I601" i="13" a="1"/>
  <c r="J601" i="13" s="1"/>
  <c r="M607" i="13" a="1"/>
  <c r="I602" i="13" a="1"/>
  <c r="J602" i="13" s="1"/>
  <c r="C125" i="13"/>
  <c r="I609" i="13" a="1"/>
  <c r="J609" i="13" s="1"/>
  <c r="I610" i="13" a="1"/>
  <c r="J610" i="13" s="1"/>
  <c r="M609" i="13" a="1"/>
  <c r="I606" i="13" a="1"/>
  <c r="J606" i="13" s="1"/>
  <c r="I612" i="13" a="1"/>
  <c r="J612" i="13" s="1"/>
  <c r="I201" i="25"/>
  <c r="I203" i="25"/>
  <c r="I205" i="25"/>
  <c r="I207" i="25"/>
  <c r="I200" i="25"/>
  <c r="I202" i="25"/>
  <c r="I204" i="25"/>
  <c r="I206" i="25"/>
  <c r="I208" i="25"/>
  <c r="P153" i="13"/>
  <c r="Q153" i="13" s="1"/>
  <c r="E132" i="3" s="1"/>
  <c r="I1387" i="25"/>
  <c r="I1389" i="25"/>
  <c r="I1388" i="25"/>
  <c r="P174" i="13"/>
  <c r="Q174" i="13" s="1"/>
  <c r="E153" i="3" s="1"/>
  <c r="P232" i="13"/>
  <c r="I1789" i="25"/>
  <c r="I1827" i="25"/>
  <c r="I1829" i="25"/>
  <c r="I1830" i="25"/>
  <c r="I1831" i="25"/>
  <c r="I1828" i="25"/>
  <c r="L457" i="13"/>
  <c r="C457" i="13" s="1"/>
  <c r="K457" i="13"/>
  <c r="K510" i="13"/>
  <c r="L510" i="13"/>
  <c r="C510" i="13" s="1"/>
  <c r="L274" i="13"/>
  <c r="C274" i="13" s="1"/>
  <c r="K274" i="13"/>
  <c r="L299" i="13"/>
  <c r="C299" i="13" s="1"/>
  <c r="K299" i="13"/>
  <c r="K322" i="13"/>
  <c r="L322" i="13"/>
  <c r="C322" i="13" s="1"/>
  <c r="L320" i="13"/>
  <c r="C320" i="13" s="1"/>
  <c r="K320" i="13"/>
  <c r="L325" i="13"/>
  <c r="C325" i="13" s="1"/>
  <c r="K325" i="13"/>
  <c r="K514" i="13"/>
  <c r="L514" i="13"/>
  <c r="C514" i="13" s="1"/>
  <c r="K508" i="13"/>
  <c r="L508" i="13"/>
  <c r="C508" i="13" s="1"/>
  <c r="L31" i="13"/>
  <c r="C31" i="13" s="1"/>
  <c r="K31" i="13"/>
  <c r="K482" i="13"/>
  <c r="L482" i="13"/>
  <c r="C482" i="13" s="1"/>
  <c r="K483" i="13"/>
  <c r="L483" i="13"/>
  <c r="C483" i="13" s="1"/>
  <c r="K481" i="13"/>
  <c r="L481" i="13"/>
  <c r="C481" i="13" s="1"/>
  <c r="L513" i="13"/>
  <c r="C513" i="13" s="1"/>
  <c r="Q513" i="13" s="1"/>
  <c r="K513" i="13"/>
  <c r="L503" i="13"/>
  <c r="C503" i="13" s="1"/>
  <c r="K503" i="13"/>
  <c r="L22" i="13"/>
  <c r="D22" i="13" s="1"/>
  <c r="K22" i="13"/>
  <c r="K506" i="13"/>
  <c r="L506" i="13"/>
  <c r="C506" i="13" s="1"/>
  <c r="L409" i="13"/>
  <c r="C409" i="13" s="1"/>
  <c r="K409" i="13"/>
  <c r="N32" i="13"/>
  <c r="P32" i="13"/>
  <c r="N274" i="13"/>
  <c r="P274" i="13"/>
  <c r="L39" i="13"/>
  <c r="D39" i="13" s="1"/>
  <c r="K39" i="13"/>
  <c r="L50" i="13"/>
  <c r="D50" i="13" s="1"/>
  <c r="K50" i="13"/>
  <c r="L61" i="13"/>
  <c r="D61" i="13" s="1"/>
  <c r="K61" i="13"/>
  <c r="N61" i="13"/>
  <c r="P61" i="13"/>
  <c r="N263" i="13"/>
  <c r="L267" i="13"/>
  <c r="C267" i="13" s="1"/>
  <c r="Q267" i="13" s="1"/>
  <c r="E246" i="3" s="1"/>
  <c r="K267" i="13"/>
  <c r="L86" i="13"/>
  <c r="D86" i="13" s="1"/>
  <c r="K86" i="13"/>
  <c r="K467" i="13"/>
  <c r="L467" i="13"/>
  <c r="C467" i="13" s="1"/>
  <c r="K94" i="13"/>
  <c r="L94" i="13"/>
  <c r="D94" i="13" s="1"/>
  <c r="L282" i="13"/>
  <c r="C282" i="13" s="1"/>
  <c r="K282" i="13"/>
  <c r="K107" i="13"/>
  <c r="L107" i="13"/>
  <c r="D107" i="13" s="1"/>
  <c r="L114" i="13"/>
  <c r="D114" i="13" s="1"/>
  <c r="K114" i="13"/>
  <c r="L122" i="13"/>
  <c r="D122" i="13" s="1"/>
  <c r="K122" i="13"/>
  <c r="N285" i="13"/>
  <c r="K424" i="13"/>
  <c r="L424" i="13"/>
  <c r="C424" i="13" s="1"/>
  <c r="K425" i="13"/>
  <c r="L425" i="13"/>
  <c r="C425" i="13" s="1"/>
  <c r="K426" i="13"/>
  <c r="L426" i="13"/>
  <c r="C426" i="13" s="1"/>
  <c r="L427" i="13"/>
  <c r="C427" i="13" s="1"/>
  <c r="K427" i="13"/>
  <c r="K432" i="13"/>
  <c r="L432" i="13"/>
  <c r="C432" i="13" s="1"/>
  <c r="L421" i="13"/>
  <c r="C421" i="13" s="1"/>
  <c r="K421" i="13"/>
  <c r="K419" i="13"/>
  <c r="L419" i="13"/>
  <c r="C419" i="13" s="1"/>
  <c r="L423" i="13"/>
  <c r="C423" i="13" s="1"/>
  <c r="K423" i="13"/>
  <c r="L260" i="13"/>
  <c r="C260" i="13" s="1"/>
  <c r="K260" i="13"/>
  <c r="K262" i="13"/>
  <c r="L262" i="13"/>
  <c r="C262" i="13" s="1"/>
  <c r="K368" i="13"/>
  <c r="L368" i="13"/>
  <c r="C368" i="13" s="1"/>
  <c r="L273" i="13"/>
  <c r="C273" i="13" s="1"/>
  <c r="K273" i="13"/>
  <c r="L275" i="13"/>
  <c r="C275" i="13" s="1"/>
  <c r="K275" i="13"/>
  <c r="L277" i="13"/>
  <c r="C277" i="13" s="1"/>
  <c r="K277" i="13"/>
  <c r="K507" i="13"/>
  <c r="L507" i="13"/>
  <c r="C507" i="13" s="1"/>
  <c r="L515" i="13"/>
  <c r="C515" i="13" s="1"/>
  <c r="K515" i="13"/>
  <c r="K516" i="13"/>
  <c r="L516" i="13"/>
  <c r="C516" i="13" s="1"/>
  <c r="K497" i="13"/>
  <c r="L497" i="13"/>
  <c r="C497" i="13" s="1"/>
  <c r="K470" i="13"/>
  <c r="L470" i="13"/>
  <c r="C470" i="13" s="1"/>
  <c r="L509" i="13"/>
  <c r="C509" i="13" s="1"/>
  <c r="K509" i="13"/>
  <c r="K512" i="13"/>
  <c r="L512" i="13"/>
  <c r="C512" i="13" s="1"/>
  <c r="K511" i="13"/>
  <c r="L511" i="13"/>
  <c r="C511" i="13" s="1"/>
  <c r="K431" i="13"/>
  <c r="L431" i="13"/>
  <c r="C431" i="13" s="1"/>
  <c r="K430" i="13"/>
  <c r="L430" i="13"/>
  <c r="C430" i="13" s="1"/>
  <c r="K422" i="13"/>
  <c r="L422" i="13"/>
  <c r="C422" i="13" s="1"/>
  <c r="L418" i="13"/>
  <c r="C418" i="13" s="1"/>
  <c r="K418" i="13"/>
  <c r="K456" i="13"/>
  <c r="L456" i="13"/>
  <c r="C456" i="13" s="1"/>
  <c r="K412" i="13"/>
  <c r="L412" i="13"/>
  <c r="C412" i="13" s="1"/>
  <c r="L445" i="13"/>
  <c r="C445" i="13" s="1"/>
  <c r="K445" i="13"/>
  <c r="K414" i="13"/>
  <c r="L414" i="13"/>
  <c r="C414" i="13" s="1"/>
  <c r="K413" i="13"/>
  <c r="L413" i="13"/>
  <c r="C413" i="13" s="1"/>
  <c r="K415" i="13"/>
  <c r="L415" i="13"/>
  <c r="C415" i="13" s="1"/>
  <c r="K452" i="13"/>
  <c r="L452" i="13"/>
  <c r="C452" i="13" s="1"/>
  <c r="K463" i="13"/>
  <c r="L463" i="13"/>
  <c r="C463" i="13" s="1"/>
  <c r="K298" i="13"/>
  <c r="L298" i="13"/>
  <c r="C298" i="13" s="1"/>
  <c r="L446" i="13"/>
  <c r="C446" i="13" s="1"/>
  <c r="K446" i="13"/>
  <c r="L309" i="13"/>
  <c r="C309" i="13" s="1"/>
  <c r="K309" i="13"/>
  <c r="K471" i="13"/>
  <c r="L471" i="13"/>
  <c r="C471" i="13" s="1"/>
  <c r="K447" i="13"/>
  <c r="L447" i="13"/>
  <c r="C447" i="13" s="1"/>
  <c r="L495" i="13"/>
  <c r="C495" i="13" s="1"/>
  <c r="K495" i="13"/>
  <c r="K258" i="13"/>
  <c r="L258" i="13"/>
  <c r="C258" i="13" s="1"/>
  <c r="K434" i="13"/>
  <c r="L434" i="13"/>
  <c r="C434" i="13" s="1"/>
  <c r="L435" i="13"/>
  <c r="C435" i="13" s="1"/>
  <c r="K435" i="13"/>
  <c r="L315" i="13"/>
  <c r="C315" i="13" s="1"/>
  <c r="K315" i="13"/>
  <c r="K416" i="13"/>
  <c r="L416" i="13"/>
  <c r="C416" i="13" s="1"/>
  <c r="N416" i="13"/>
  <c r="L321" i="13"/>
  <c r="C321" i="13" s="1"/>
  <c r="K321" i="13"/>
  <c r="L478" i="13"/>
  <c r="C478" i="13" s="1"/>
  <c r="K478" i="13"/>
  <c r="L491" i="13"/>
  <c r="C491" i="13" s="1"/>
  <c r="K491" i="13"/>
  <c r="K473" i="13"/>
  <c r="L473" i="13"/>
  <c r="C473" i="13" s="1"/>
  <c r="L472" i="13"/>
  <c r="C472" i="13" s="1"/>
  <c r="K472" i="13"/>
  <c r="K332" i="13"/>
  <c r="L332" i="13"/>
  <c r="C332" i="13" s="1"/>
  <c r="K517" i="13"/>
  <c r="L517" i="13"/>
  <c r="C517" i="13" s="1"/>
  <c r="K498" i="13"/>
  <c r="L498" i="13"/>
  <c r="C498" i="13" s="1"/>
  <c r="K499" i="13"/>
  <c r="L499" i="13"/>
  <c r="C499" i="13" s="1"/>
  <c r="L500" i="13"/>
  <c r="C500" i="13" s="1"/>
  <c r="K500" i="13"/>
  <c r="L501" i="13"/>
  <c r="C501" i="13" s="1"/>
  <c r="K501" i="13"/>
  <c r="L502" i="13"/>
  <c r="C502" i="13" s="1"/>
  <c r="K502" i="13"/>
  <c r="K326" i="13"/>
  <c r="L326" i="13"/>
  <c r="C326" i="13" s="1"/>
  <c r="L342" i="13"/>
  <c r="C342" i="13" s="1"/>
  <c r="K342" i="13"/>
  <c r="K464" i="13"/>
  <c r="L464" i="13"/>
  <c r="C464" i="13" s="1"/>
  <c r="L449" i="13"/>
  <c r="C449" i="13" s="1"/>
  <c r="K449" i="13"/>
  <c r="N425" i="13"/>
  <c r="N426" i="13"/>
  <c r="N424" i="13"/>
  <c r="N432" i="13"/>
  <c r="N427" i="13"/>
  <c r="K505" i="13"/>
  <c r="L505" i="13"/>
  <c r="C505" i="13" s="1"/>
  <c r="K450" i="13"/>
  <c r="L450" i="13"/>
  <c r="C450" i="13" s="1"/>
  <c r="L453" i="13"/>
  <c r="C453" i="13" s="1"/>
  <c r="K453" i="13"/>
  <c r="N419" i="13"/>
  <c r="N421" i="13"/>
  <c r="L439" i="13"/>
  <c r="C439" i="13" s="1"/>
  <c r="K439" i="13"/>
  <c r="L480" i="13"/>
  <c r="C480" i="13" s="1"/>
  <c r="K480" i="13"/>
  <c r="L437" i="13"/>
  <c r="C437" i="13" s="1"/>
  <c r="K437" i="13"/>
  <c r="K458" i="13"/>
  <c r="L458" i="13"/>
  <c r="C458" i="13" s="1"/>
  <c r="N298" i="13"/>
  <c r="N452" i="13"/>
  <c r="N463" i="13"/>
  <c r="K460" i="13"/>
  <c r="L460" i="13"/>
  <c r="C460" i="13" s="1"/>
  <c r="N461" i="13"/>
  <c r="K461" i="13"/>
  <c r="L461" i="13"/>
  <c r="C461" i="13" s="1"/>
  <c r="L411" i="13"/>
  <c r="C411" i="13" s="1"/>
  <c r="K411" i="13"/>
  <c r="K304" i="13"/>
  <c r="L304" i="13"/>
  <c r="C304" i="13" s="1"/>
  <c r="L451" i="13"/>
  <c r="C451" i="13" s="1"/>
  <c r="K451" i="13"/>
  <c r="K459" i="13"/>
  <c r="L459" i="13"/>
  <c r="C459" i="13" s="1"/>
  <c r="N459" i="13"/>
  <c r="K454" i="13"/>
  <c r="L454" i="13"/>
  <c r="C454" i="13" s="1"/>
  <c r="N454" i="13"/>
  <c r="L310" i="13"/>
  <c r="C310" i="13" s="1"/>
  <c r="K310" i="13"/>
  <c r="K442" i="13"/>
  <c r="L442" i="13"/>
  <c r="C442" i="13" s="1"/>
  <c r="L462" i="13"/>
  <c r="C462" i="13" s="1"/>
  <c r="K462" i="13"/>
  <c r="L448" i="13"/>
  <c r="C448" i="13" s="1"/>
  <c r="K448" i="13"/>
  <c r="K466" i="13"/>
  <c r="L466" i="13"/>
  <c r="C466" i="13" s="1"/>
  <c r="K475" i="13"/>
  <c r="L475" i="13"/>
  <c r="C475" i="13" s="1"/>
  <c r="K474" i="13"/>
  <c r="L474" i="13"/>
  <c r="C474" i="13" s="1"/>
  <c r="K488" i="13"/>
  <c r="L488" i="13"/>
  <c r="C488" i="13" s="1"/>
  <c r="K487" i="13"/>
  <c r="L487" i="13"/>
  <c r="C487" i="13" s="1"/>
  <c r="L489" i="13"/>
  <c r="C489" i="13" s="1"/>
  <c r="K489" i="13"/>
  <c r="K476" i="13"/>
  <c r="L476" i="13"/>
  <c r="C476" i="13" s="1"/>
  <c r="K477" i="13"/>
  <c r="L477" i="13"/>
  <c r="C477" i="13" s="1"/>
  <c r="K486" i="13"/>
  <c r="L486" i="13"/>
  <c r="C486" i="13" s="1"/>
  <c r="K362" i="13"/>
  <c r="L362" i="13"/>
  <c r="C362" i="13" s="1"/>
  <c r="L287" i="13"/>
  <c r="C287" i="13" s="1"/>
  <c r="K287" i="13"/>
  <c r="K490" i="13"/>
  <c r="L490" i="13"/>
  <c r="C490" i="13" s="1"/>
  <c r="K436" i="13"/>
  <c r="L436" i="13"/>
  <c r="C436" i="13" s="1"/>
  <c r="L349" i="13"/>
  <c r="C349" i="13" s="1"/>
  <c r="K349" i="13"/>
  <c r="K350" i="13"/>
  <c r="L350" i="13"/>
  <c r="C350" i="13" s="1"/>
  <c r="K440" i="13"/>
  <c r="L440" i="13"/>
  <c r="C440" i="13" s="1"/>
  <c r="K441" i="13"/>
  <c r="L441" i="13"/>
  <c r="C441" i="13" s="1"/>
  <c r="L354" i="13"/>
  <c r="C354" i="13" s="1"/>
  <c r="K354" i="13"/>
  <c r="L369" i="13"/>
  <c r="C369" i="13" s="1"/>
  <c r="K369" i="13"/>
  <c r="K358" i="13"/>
  <c r="L358" i="13"/>
  <c r="C358" i="13" s="1"/>
  <c r="L355" i="13"/>
  <c r="C355" i="13" s="1"/>
  <c r="K355" i="13"/>
  <c r="L357" i="13"/>
  <c r="C357" i="13" s="1"/>
  <c r="K357" i="13"/>
  <c r="K284" i="13"/>
  <c r="L284" i="13"/>
  <c r="C284" i="13" s="1"/>
  <c r="K429" i="13"/>
  <c r="L429" i="13"/>
  <c r="C429" i="13" s="1"/>
  <c r="L496" i="13"/>
  <c r="C496" i="13" s="1"/>
  <c r="K496" i="13"/>
  <c r="K493" i="13"/>
  <c r="L493" i="13"/>
  <c r="C493" i="13" s="1"/>
  <c r="L494" i="13"/>
  <c r="C494" i="13" s="1"/>
  <c r="K494" i="13"/>
  <c r="K468" i="13"/>
  <c r="L468" i="13"/>
  <c r="C468" i="13" s="1"/>
  <c r="K469" i="13"/>
  <c r="L469" i="13"/>
  <c r="C469" i="13" s="1"/>
  <c r="L484" i="13"/>
  <c r="C484" i="13" s="1"/>
  <c r="K484" i="13"/>
  <c r="L60" i="13"/>
  <c r="C60" i="13" s="1"/>
  <c r="K60" i="13"/>
  <c r="L289" i="13"/>
  <c r="C289" i="13" s="1"/>
  <c r="K289" i="13"/>
  <c r="L303" i="13"/>
  <c r="C303" i="13" s="1"/>
  <c r="K303" i="13"/>
  <c r="K313" i="13"/>
  <c r="L313" i="13"/>
  <c r="C313" i="13" s="1"/>
  <c r="L519" i="13"/>
  <c r="C519" i="13" s="1"/>
  <c r="K519" i="13"/>
  <c r="L279" i="13"/>
  <c r="C279" i="13" s="1"/>
  <c r="K279" i="13"/>
  <c r="L17" i="13"/>
  <c r="C17" i="13" s="1"/>
  <c r="K17" i="13"/>
  <c r="L18" i="13"/>
  <c r="C18" i="13" s="1"/>
  <c r="K18" i="13"/>
  <c r="K19" i="13"/>
  <c r="L19" i="13"/>
  <c r="C19" i="13" s="1"/>
  <c r="L21" i="13"/>
  <c r="C21" i="13" s="1"/>
  <c r="K21" i="13"/>
  <c r="L24" i="13"/>
  <c r="C24" i="13" s="1"/>
  <c r="K24" i="13"/>
  <c r="L145" i="13"/>
  <c r="C145" i="13" s="1"/>
  <c r="K145" i="13"/>
  <c r="L13" i="13"/>
  <c r="C13" i="13" s="1"/>
  <c r="K13" i="13"/>
  <c r="L41" i="13"/>
  <c r="C41" i="13" s="1"/>
  <c r="K41" i="13"/>
  <c r="L7" i="13"/>
  <c r="C7" i="13" s="1"/>
  <c r="Q7" i="13" s="1"/>
  <c r="K7" i="13"/>
  <c r="L8" i="13"/>
  <c r="C8" i="13" s="1"/>
  <c r="K8" i="13"/>
  <c r="L9" i="13"/>
  <c r="C9" i="13" s="1"/>
  <c r="K9" i="13"/>
  <c r="L10" i="13"/>
  <c r="C10" i="13" s="1"/>
  <c r="Q10" i="13" s="1"/>
  <c r="K10" i="13"/>
  <c r="K214" i="13"/>
  <c r="L214" i="13"/>
  <c r="C214" i="13" s="1"/>
  <c r="L209" i="13"/>
  <c r="C209" i="13" s="1"/>
  <c r="K209" i="13"/>
  <c r="K208" i="13"/>
  <c r="L208" i="13"/>
  <c r="C208" i="13" s="1"/>
  <c r="L210" i="13"/>
  <c r="C210" i="13" s="1"/>
  <c r="K210" i="13"/>
  <c r="L211" i="13"/>
  <c r="C211" i="13" s="1"/>
  <c r="K211" i="13"/>
  <c r="K212" i="13"/>
  <c r="L212" i="13"/>
  <c r="C212" i="13" s="1"/>
  <c r="K213" i="13"/>
  <c r="L213" i="13"/>
  <c r="C213" i="13" s="1"/>
  <c r="L215" i="13"/>
  <c r="C215" i="13" s="1"/>
  <c r="K215" i="13"/>
  <c r="L216" i="13"/>
  <c r="C216" i="13" s="1"/>
  <c r="K216" i="13"/>
  <c r="L217" i="13"/>
  <c r="C217" i="13" s="1"/>
  <c r="K217" i="13"/>
  <c r="K116" i="13"/>
  <c r="L116" i="13"/>
  <c r="C116" i="13" s="1"/>
  <c r="Q116" i="13" s="1"/>
  <c r="K117" i="13"/>
  <c r="L117" i="13"/>
  <c r="C117" i="13" s="1"/>
  <c r="K64" i="13"/>
  <c r="L64" i="13"/>
  <c r="C64" i="13" s="1"/>
  <c r="L65" i="13"/>
  <c r="C65" i="13" s="1"/>
  <c r="K65" i="13"/>
  <c r="K108" i="13"/>
  <c r="L108" i="13"/>
  <c r="C108" i="13" s="1"/>
  <c r="K105" i="13"/>
  <c r="L105" i="13"/>
  <c r="C105" i="13" s="1"/>
  <c r="L106" i="13"/>
  <c r="C106" i="13" s="1"/>
  <c r="K106" i="13"/>
  <c r="K110" i="13"/>
  <c r="L110" i="13"/>
  <c r="C110" i="13" s="1"/>
  <c r="K124" i="13"/>
  <c r="L124" i="13"/>
  <c r="C124" i="13" s="1"/>
  <c r="L127" i="13"/>
  <c r="C127" i="13" s="1"/>
  <c r="K127" i="13"/>
  <c r="L223" i="13"/>
  <c r="C223" i="13" s="1"/>
  <c r="K223" i="13"/>
  <c r="L149" i="13"/>
  <c r="C149" i="13" s="1"/>
  <c r="K149" i="13"/>
  <c r="K151" i="13"/>
  <c r="L151" i="13"/>
  <c r="C151" i="13" s="1"/>
  <c r="K162" i="13"/>
  <c r="L162" i="13"/>
  <c r="C162" i="13" s="1"/>
  <c r="L171" i="13"/>
  <c r="C171" i="13" s="1"/>
  <c r="K171" i="13"/>
  <c r="K150" i="13"/>
  <c r="L150" i="13"/>
  <c r="C150" i="13" s="1"/>
  <c r="K148" i="13"/>
  <c r="L148" i="13"/>
  <c r="C148" i="13" s="1"/>
  <c r="L161" i="13"/>
  <c r="C161" i="13" s="1"/>
  <c r="K161" i="13"/>
  <c r="K221" i="13"/>
  <c r="L221" i="13"/>
  <c r="C221" i="13" s="1"/>
  <c r="L207" i="13"/>
  <c r="C207" i="13" s="1"/>
  <c r="Q207" i="13" s="1"/>
  <c r="K207" i="13"/>
  <c r="L218" i="13"/>
  <c r="C218" i="13" s="1"/>
  <c r="K218" i="13"/>
  <c r="L619" i="13"/>
  <c r="C619" i="13" s="1"/>
  <c r="K619" i="13"/>
  <c r="K219" i="13"/>
  <c r="L219" i="13"/>
  <c r="C219" i="13" s="1"/>
  <c r="L539" i="13"/>
  <c r="C539" i="13" s="1"/>
  <c r="K539" i="13"/>
  <c r="K543" i="13"/>
  <c r="L543" i="13"/>
  <c r="C543" i="13" s="1"/>
  <c r="L276" i="13"/>
  <c r="C276" i="13" s="1"/>
  <c r="K276" i="13"/>
  <c r="K272" i="13"/>
  <c r="L272" i="13"/>
  <c r="C272" i="13" s="1"/>
  <c r="K617" i="13"/>
  <c r="L617" i="13"/>
  <c r="C617" i="13" s="1"/>
  <c r="L118" i="13"/>
  <c r="C118" i="13" s="1"/>
  <c r="K118" i="13"/>
  <c r="L241" i="13"/>
  <c r="C241" i="13" s="1"/>
  <c r="Q241" i="13" s="1"/>
  <c r="K241" i="13"/>
  <c r="L119" i="13"/>
  <c r="C119" i="13" s="1"/>
  <c r="Q119" i="13" s="1"/>
  <c r="K119" i="13"/>
  <c r="L63" i="13"/>
  <c r="C63" i="13" s="1"/>
  <c r="K63" i="13"/>
  <c r="K240" i="13"/>
  <c r="L240" i="13"/>
  <c r="C240" i="13" s="1"/>
  <c r="K112" i="13"/>
  <c r="L112" i="13"/>
  <c r="C112" i="13" s="1"/>
  <c r="K111" i="13"/>
  <c r="L111" i="13"/>
  <c r="C111" i="13" s="1"/>
  <c r="L113" i="13"/>
  <c r="C113" i="13" s="1"/>
  <c r="K113" i="13"/>
  <c r="K120" i="13"/>
  <c r="L120" i="13"/>
  <c r="C120" i="13" s="1"/>
  <c r="L121" i="13"/>
  <c r="C121" i="13" s="1"/>
  <c r="K121" i="13"/>
  <c r="K128" i="13"/>
  <c r="L128" i="13"/>
  <c r="C128" i="13" s="1"/>
  <c r="L129" i="13"/>
  <c r="C129" i="13" s="1"/>
  <c r="K129" i="13"/>
  <c r="K130" i="13"/>
  <c r="L130" i="13"/>
  <c r="C130" i="13" s="1"/>
  <c r="L193" i="13"/>
  <c r="C193" i="13" s="1"/>
  <c r="Q193" i="13" s="1"/>
  <c r="K193" i="13"/>
  <c r="K222" i="13"/>
  <c r="L222" i="13"/>
  <c r="C222" i="13" s="1"/>
  <c r="Q222" i="13" s="1"/>
  <c r="L147" i="13"/>
  <c r="C147" i="13" s="1"/>
  <c r="K147" i="13"/>
  <c r="K167" i="13"/>
  <c r="L167" i="13"/>
  <c r="C167" i="13" s="1"/>
  <c r="L146" i="13"/>
  <c r="C146" i="13" s="1"/>
  <c r="K146" i="13"/>
  <c r="L220" i="13"/>
  <c r="C220" i="13" s="1"/>
  <c r="K220" i="13"/>
  <c r="L166" i="13"/>
  <c r="C166" i="13" s="1"/>
  <c r="K166" i="13"/>
  <c r="K165" i="13"/>
  <c r="L165" i="13"/>
  <c r="C165" i="13" s="1"/>
  <c r="K164" i="13"/>
  <c r="L164" i="13"/>
  <c r="C164" i="13" s="1"/>
  <c r="K163" i="13"/>
  <c r="L163" i="13"/>
  <c r="C163" i="13" s="1"/>
  <c r="L330" i="13"/>
  <c r="C330" i="13" s="1"/>
  <c r="K330" i="13"/>
  <c r="K334" i="13"/>
  <c r="L334" i="13"/>
  <c r="C334" i="13" s="1"/>
  <c r="L336" i="13"/>
  <c r="C336" i="13" s="1"/>
  <c r="K336" i="13"/>
  <c r="K338" i="13"/>
  <c r="L338" i="13"/>
  <c r="C338" i="13" s="1"/>
  <c r="K340" i="13"/>
  <c r="L340" i="13"/>
  <c r="C340" i="13" s="1"/>
  <c r="L526" i="13"/>
  <c r="C526" i="13" s="1"/>
  <c r="K526" i="13"/>
  <c r="L524" i="13"/>
  <c r="C524" i="13" s="1"/>
  <c r="K524" i="13"/>
  <c r="L618" i="13"/>
  <c r="C618" i="13" s="1"/>
  <c r="K618" i="13"/>
  <c r="K613" i="13"/>
  <c r="L613" i="13"/>
  <c r="C613" i="13" s="1"/>
  <c r="L2" i="13"/>
  <c r="K2" i="13"/>
  <c r="N443" i="13"/>
  <c r="N438" i="13"/>
  <c r="N511" i="13"/>
  <c r="N509" i="13"/>
  <c r="N507" i="13"/>
  <c r="N516" i="13"/>
  <c r="N515" i="13"/>
  <c r="N512" i="13"/>
  <c r="N510" i="13"/>
  <c r="N325" i="13"/>
  <c r="N39" i="13"/>
  <c r="N46" i="13"/>
  <c r="P46" i="13"/>
  <c r="N50" i="13"/>
  <c r="P50" i="13"/>
  <c r="P265" i="13"/>
  <c r="N265" i="13"/>
  <c r="N74" i="13"/>
  <c r="N267" i="13"/>
  <c r="P267" i="13"/>
  <c r="P86" i="13"/>
  <c r="N86" i="13"/>
  <c r="N344" i="13"/>
  <c r="N502" i="13"/>
  <c r="N501" i="13"/>
  <c r="N500" i="13"/>
  <c r="N499" i="13"/>
  <c r="N517" i="13"/>
  <c r="N514" i="13"/>
  <c r="N508" i="13"/>
  <c r="P513" i="13"/>
  <c r="N513" i="13"/>
  <c r="N503" i="13"/>
  <c r="N94" i="13"/>
  <c r="N98" i="13"/>
  <c r="N282" i="13"/>
  <c r="N103" i="13"/>
  <c r="N114" i="13"/>
  <c r="N122" i="13"/>
  <c r="N125" i="13"/>
  <c r="N370" i="13"/>
  <c r="N107" i="13"/>
  <c r="N260" i="13"/>
  <c r="N262" i="13"/>
  <c r="N275" i="13"/>
  <c r="N467" i="13"/>
  <c r="N371" i="13"/>
  <c r="P371" i="13"/>
  <c r="N368" i="13"/>
  <c r="N273" i="13"/>
  <c r="N277" i="13"/>
  <c r="P319" i="13"/>
  <c r="N319" i="13"/>
  <c r="N315" i="13"/>
  <c r="N322" i="13"/>
  <c r="N320" i="13"/>
  <c r="N321" i="13"/>
  <c r="N332" i="13"/>
  <c r="N326" i="13"/>
  <c r="N280" i="13"/>
  <c r="N342" i="13"/>
  <c r="N281" i="13"/>
  <c r="N506" i="13"/>
  <c r="N417" i="13"/>
  <c r="N318" i="13"/>
  <c r="N464" i="13"/>
  <c r="N505" i="13"/>
  <c r="N420" i="13"/>
  <c r="N449" i="13"/>
  <c r="N455" i="13"/>
  <c r="N444" i="13"/>
  <c r="N413" i="13"/>
  <c r="N414" i="13"/>
  <c r="N415" i="13"/>
  <c r="N412" i="13"/>
  <c r="N445" i="13"/>
  <c r="N460" i="13"/>
  <c r="N475" i="13"/>
  <c r="N439" i="13"/>
  <c r="N409" i="13"/>
  <c r="N480" i="13"/>
  <c r="N497" i="13"/>
  <c r="N470" i="13"/>
  <c r="N422" i="13"/>
  <c r="N430" i="13"/>
  <c r="N431" i="13"/>
  <c r="N437" i="13"/>
  <c r="N458" i="13"/>
  <c r="N456" i="13"/>
  <c r="N418" i="13"/>
  <c r="N411" i="13"/>
  <c r="N451" i="13"/>
  <c r="N465" i="13"/>
  <c r="N435" i="13"/>
  <c r="N433" i="13"/>
  <c r="N434" i="13"/>
  <c r="N309" i="13"/>
  <c r="N446" i="13"/>
  <c r="N428" i="13"/>
  <c r="N479" i="13"/>
  <c r="N442" i="13"/>
  <c r="N462" i="13"/>
  <c r="N448" i="13"/>
  <c r="N495" i="13"/>
  <c r="N447" i="13"/>
  <c r="N471" i="13"/>
  <c r="N466" i="13"/>
  <c r="N478" i="13"/>
  <c r="N491" i="13"/>
  <c r="N472" i="13"/>
  <c r="N473" i="13"/>
  <c r="N474" i="13"/>
  <c r="N488" i="13"/>
  <c r="N487" i="13"/>
  <c r="N457" i="13"/>
  <c r="N489" i="13"/>
  <c r="N476" i="13"/>
  <c r="N477" i="13"/>
  <c r="N498" i="13"/>
  <c r="N423" i="13"/>
  <c r="N257" i="13"/>
  <c r="N453" i="13"/>
  <c r="N436" i="13"/>
  <c r="N349" i="13"/>
  <c r="N440" i="13"/>
  <c r="N481" i="13"/>
  <c r="N483" i="13"/>
  <c r="N482" i="13"/>
  <c r="N441" i="13"/>
  <c r="N369" i="13"/>
  <c r="N358" i="13"/>
  <c r="N355" i="13"/>
  <c r="N284" i="13"/>
  <c r="N410" i="13"/>
  <c r="N494" i="13"/>
  <c r="N468" i="13"/>
  <c r="N469" i="13"/>
  <c r="N484" i="13"/>
  <c r="N30" i="13"/>
  <c r="N490" i="13"/>
  <c r="N429" i="13"/>
  <c r="N496" i="13"/>
  <c r="N493" i="13"/>
  <c r="S4" i="27" a="1"/>
  <c r="K898" i="21"/>
  <c r="L898" i="21" s="1"/>
  <c r="M898" i="21"/>
  <c r="M897" i="21"/>
  <c r="K897" i="21"/>
  <c r="L897" i="21" s="1"/>
  <c r="M900" i="21"/>
  <c r="K900" i="21"/>
  <c r="L900" i="21" s="1"/>
  <c r="M899" i="21"/>
  <c r="K899" i="21"/>
  <c r="L899" i="21" s="1"/>
  <c r="K896" i="21"/>
  <c r="M896" i="21"/>
  <c r="V561" i="13" s="1"/>
  <c r="M905" i="21"/>
  <c r="K905" i="21"/>
  <c r="L905" i="21" s="1"/>
  <c r="K904" i="21"/>
  <c r="L904" i="21" s="1"/>
  <c r="M904" i="21"/>
  <c r="M903" i="21"/>
  <c r="K903" i="21"/>
  <c r="L903" i="21" s="1"/>
  <c r="M901" i="21"/>
  <c r="V562" i="13" s="1"/>
  <c r="K901" i="21"/>
  <c r="K902" i="21"/>
  <c r="L902" i="21" s="1"/>
  <c r="M902" i="21"/>
  <c r="M910" i="21"/>
  <c r="K910" i="21"/>
  <c r="L910" i="21" s="1"/>
  <c r="M907" i="21"/>
  <c r="K907" i="21"/>
  <c r="L907" i="21" s="1"/>
  <c r="K906" i="21"/>
  <c r="M906" i="21"/>
  <c r="V564" i="13" s="1"/>
  <c r="M908" i="21"/>
  <c r="K908" i="21"/>
  <c r="L908" i="21" s="1"/>
  <c r="M909" i="21"/>
  <c r="K909" i="21"/>
  <c r="L909" i="21" s="1"/>
  <c r="M914" i="21"/>
  <c r="K914" i="21"/>
  <c r="L914" i="21" s="1"/>
  <c r="M913" i="21"/>
  <c r="K913" i="21"/>
  <c r="L913" i="21" s="1"/>
  <c r="K911" i="21"/>
  <c r="M911" i="21"/>
  <c r="V563" i="13" s="1"/>
  <c r="M916" i="21"/>
  <c r="K916" i="21"/>
  <c r="L916" i="21" s="1"/>
  <c r="M912" i="21"/>
  <c r="K912" i="21"/>
  <c r="L912" i="21" s="1"/>
  <c r="M915" i="21"/>
  <c r="K915" i="21"/>
  <c r="L915" i="21" s="1"/>
  <c r="K920" i="21"/>
  <c r="L920" i="21" s="1"/>
  <c r="M920" i="21"/>
  <c r="K922" i="21"/>
  <c r="L922" i="21" s="1"/>
  <c r="M922" i="21"/>
  <c r="K918" i="21"/>
  <c r="L918" i="21" s="1"/>
  <c r="M918" i="21"/>
  <c r="K921" i="21"/>
  <c r="L921" i="21" s="1"/>
  <c r="M921" i="21"/>
  <c r="M917" i="21"/>
  <c r="V566" i="13" s="1"/>
  <c r="K917" i="21"/>
  <c r="M919" i="21"/>
  <c r="K919" i="21"/>
  <c r="L919" i="21" s="1"/>
  <c r="K924" i="21"/>
  <c r="L924" i="21" s="1"/>
  <c r="M924" i="21"/>
  <c r="M926" i="21"/>
  <c r="K926" i="21"/>
  <c r="L926" i="21" s="1"/>
  <c r="M925" i="21"/>
  <c r="K925" i="21"/>
  <c r="L925" i="21" s="1"/>
  <c r="K923" i="21"/>
  <c r="M923" i="21"/>
  <c r="V567" i="13" s="1"/>
  <c r="M930" i="21"/>
  <c r="K930" i="21"/>
  <c r="L930" i="21" s="1"/>
  <c r="M929" i="21"/>
  <c r="K929" i="21"/>
  <c r="L929" i="21" s="1"/>
  <c r="K927" i="21"/>
  <c r="M927" i="21"/>
  <c r="V569" i="13" s="1"/>
  <c r="M928" i="21"/>
  <c r="K928" i="21"/>
  <c r="L928" i="21" s="1"/>
  <c r="M931" i="21"/>
  <c r="K931" i="21"/>
  <c r="L931" i="21" s="1"/>
  <c r="M940" i="21"/>
  <c r="K940" i="21"/>
  <c r="L940" i="21" s="1"/>
  <c r="M938" i="21"/>
  <c r="V576" i="13" s="1"/>
  <c r="K938" i="21"/>
  <c r="K941" i="21"/>
  <c r="L941" i="21" s="1"/>
  <c r="M941" i="21"/>
  <c r="K939" i="21"/>
  <c r="L939" i="21" s="1"/>
  <c r="M939" i="21"/>
  <c r="M944" i="21"/>
  <c r="K944" i="21"/>
  <c r="L944" i="21" s="1"/>
  <c r="M942" i="21"/>
  <c r="V571" i="13" s="1"/>
  <c r="K942" i="21"/>
  <c r="M943" i="21"/>
  <c r="K943" i="21"/>
  <c r="L943" i="21" s="1"/>
  <c r="K947" i="21"/>
  <c r="L947" i="21" s="1"/>
  <c r="M947" i="21"/>
  <c r="M945" i="21"/>
  <c r="K945" i="21"/>
  <c r="L945" i="21" s="1"/>
  <c r="M946" i="21"/>
  <c r="K946" i="21"/>
  <c r="L946" i="21" s="1"/>
  <c r="M949" i="21"/>
  <c r="K949" i="21"/>
  <c r="L949" i="21" s="1"/>
  <c r="K948" i="21"/>
  <c r="M948" i="21"/>
  <c r="V572" i="13" s="1"/>
  <c r="M953" i="21"/>
  <c r="K953" i="21"/>
  <c r="L953" i="21" s="1"/>
  <c r="M950" i="21"/>
  <c r="K950" i="21"/>
  <c r="L950" i="21" s="1"/>
  <c r="M952" i="21"/>
  <c r="K952" i="21"/>
  <c r="L952" i="21" s="1"/>
  <c r="K951" i="21"/>
  <c r="L951" i="21" s="1"/>
  <c r="M951" i="21"/>
  <c r="M958" i="21"/>
  <c r="K958" i="21"/>
  <c r="L958" i="21" s="1"/>
  <c r="K954" i="21"/>
  <c r="M954" i="21"/>
  <c r="V573" i="13" s="1"/>
  <c r="M955" i="21"/>
  <c r="K955" i="21"/>
  <c r="L955" i="21" s="1"/>
  <c r="M957" i="21"/>
  <c r="K957" i="21"/>
  <c r="L957" i="21" s="1"/>
  <c r="M959" i="21"/>
  <c r="K959" i="21"/>
  <c r="L959" i="21" s="1"/>
  <c r="M956" i="21"/>
  <c r="K956" i="21"/>
  <c r="L956" i="21" s="1"/>
  <c r="M963" i="21"/>
  <c r="K963" i="21"/>
  <c r="L963" i="21" s="1"/>
  <c r="M964" i="21"/>
  <c r="K964" i="21"/>
  <c r="L964" i="21" s="1"/>
  <c r="K962" i="21"/>
  <c r="L962" i="21" s="1"/>
  <c r="M962" i="21"/>
  <c r="M960" i="21"/>
  <c r="V574" i="13" s="1"/>
  <c r="K960" i="21"/>
  <c r="M965" i="21"/>
  <c r="K965" i="21"/>
  <c r="L965" i="21" s="1"/>
  <c r="K961" i="21"/>
  <c r="L961" i="21" s="1"/>
  <c r="M961" i="21"/>
  <c r="K971" i="21"/>
  <c r="L971" i="21" s="1"/>
  <c r="M971" i="21"/>
  <c r="K966" i="21"/>
  <c r="M966" i="21"/>
  <c r="V575" i="13" s="1"/>
  <c r="K968" i="21"/>
  <c r="L968" i="21" s="1"/>
  <c r="M968" i="21"/>
  <c r="K970" i="21"/>
  <c r="L970" i="21" s="1"/>
  <c r="M970" i="21"/>
  <c r="M973" i="21"/>
  <c r="K973" i="21"/>
  <c r="L973" i="21" s="1"/>
  <c r="K974" i="21"/>
  <c r="L974" i="21" s="1"/>
  <c r="M974" i="21"/>
  <c r="K972" i="21"/>
  <c r="L972" i="21" s="1"/>
  <c r="M972" i="21"/>
  <c r="M967" i="21"/>
  <c r="K967" i="21"/>
  <c r="L967" i="21" s="1"/>
  <c r="M969" i="21"/>
  <c r="K969" i="21"/>
  <c r="L969" i="21" s="1"/>
  <c r="M976" i="21"/>
  <c r="K976" i="21"/>
  <c r="L976" i="21" s="1"/>
  <c r="K978" i="21"/>
  <c r="L978" i="21" s="1"/>
  <c r="M978" i="21"/>
  <c r="M979" i="21"/>
  <c r="K979" i="21"/>
  <c r="L979" i="21" s="1"/>
  <c r="K977" i="21"/>
  <c r="L977" i="21" s="1"/>
  <c r="M977" i="21"/>
  <c r="K975" i="21"/>
  <c r="M975" i="21"/>
  <c r="V578" i="13" s="1"/>
  <c r="K983" i="21"/>
  <c r="L983" i="21" s="1"/>
  <c r="M983" i="21"/>
  <c r="M981" i="21"/>
  <c r="K981" i="21"/>
  <c r="L981" i="21" s="1"/>
  <c r="K982" i="21"/>
  <c r="L982" i="21" s="1"/>
  <c r="M982" i="21"/>
  <c r="K984" i="21"/>
  <c r="L984" i="21" s="1"/>
  <c r="M984" i="21"/>
  <c r="M986" i="21"/>
  <c r="K986" i="21"/>
  <c r="L986" i="21" s="1"/>
  <c r="K988" i="21"/>
  <c r="L988" i="21" s="1"/>
  <c r="M988" i="21"/>
  <c r="M990" i="21"/>
  <c r="K990" i="21"/>
  <c r="L990" i="21" s="1"/>
  <c r="M992" i="21"/>
  <c r="K992" i="21"/>
  <c r="L992" i="21" s="1"/>
  <c r="K993" i="21"/>
  <c r="L993" i="21" s="1"/>
  <c r="M993" i="21"/>
  <c r="K1748" i="21"/>
  <c r="L1748" i="21" s="1"/>
  <c r="M1748" i="21"/>
  <c r="K1749" i="21"/>
  <c r="L1749" i="21" s="1"/>
  <c r="M1749" i="21"/>
  <c r="M1747" i="21"/>
  <c r="V232" i="13" s="1"/>
  <c r="K1747" i="21"/>
  <c r="M1751" i="21"/>
  <c r="K1751" i="21"/>
  <c r="L1751" i="21" s="1"/>
  <c r="K1753" i="21"/>
  <c r="L1753" i="21" s="1"/>
  <c r="M1753" i="21"/>
  <c r="K1755" i="21"/>
  <c r="L1755" i="21" s="1"/>
  <c r="M1755" i="21"/>
  <c r="K1754" i="21"/>
  <c r="L1754" i="21" s="1"/>
  <c r="M1754" i="21"/>
  <c r="K1752" i="21"/>
  <c r="M1752" i="21"/>
  <c r="V233" i="13" s="1"/>
  <c r="M1756" i="21"/>
  <c r="K1756" i="21"/>
  <c r="L1756" i="21" s="1"/>
  <c r="K1757" i="21"/>
  <c r="M1757" i="21"/>
  <c r="V234" i="13" s="1"/>
  <c r="M1759" i="21"/>
  <c r="K1759" i="21"/>
  <c r="L1759" i="21" s="1"/>
  <c r="K1761" i="21"/>
  <c r="L1761" i="21" s="1"/>
  <c r="M1761" i="21"/>
  <c r="M1758" i="21"/>
  <c r="K1758" i="21"/>
  <c r="L1758" i="21" s="1"/>
  <c r="K1760" i="21"/>
  <c r="L1760" i="21" s="1"/>
  <c r="M1760" i="21"/>
  <c r="M1765" i="21"/>
  <c r="K1765" i="21"/>
  <c r="L1765" i="21" s="1"/>
  <c r="K1766" i="21"/>
  <c r="L1766" i="21" s="1"/>
  <c r="M1766" i="21"/>
  <c r="M1764" i="21"/>
  <c r="K1764" i="21"/>
  <c r="L1764" i="21" s="1"/>
  <c r="M1762" i="21"/>
  <c r="V235" i="13" s="1"/>
  <c r="K1762" i="21"/>
  <c r="M1763" i="21"/>
  <c r="K1763" i="21"/>
  <c r="L1763" i="21" s="1"/>
  <c r="M1770" i="21"/>
  <c r="K1770" i="21"/>
  <c r="L1770" i="21" s="1"/>
  <c r="K1772" i="21"/>
  <c r="L1772" i="21" s="1"/>
  <c r="M1772" i="21"/>
  <c r="K1769" i="21"/>
  <c r="L1769" i="21" s="1"/>
  <c r="M1769" i="21"/>
  <c r="K1771" i="21"/>
  <c r="L1771" i="21" s="1"/>
  <c r="M1771" i="21"/>
  <c r="K1773" i="21"/>
  <c r="L1773" i="21" s="1"/>
  <c r="M1773" i="21"/>
  <c r="M1768" i="21"/>
  <c r="K1768" i="21"/>
  <c r="L1768" i="21" s="1"/>
  <c r="K1767" i="21"/>
  <c r="M1767" i="21"/>
  <c r="V236" i="13" s="1"/>
  <c r="K1777" i="21"/>
  <c r="L1777" i="21" s="1"/>
  <c r="M1777" i="21"/>
  <c r="M1774" i="21"/>
  <c r="V237" i="13" s="1"/>
  <c r="K1774" i="21"/>
  <c r="M1776" i="21"/>
  <c r="K1776" i="21"/>
  <c r="L1776" i="21" s="1"/>
  <c r="K1775" i="21"/>
  <c r="L1775" i="21" s="1"/>
  <c r="M1775" i="21"/>
  <c r="M1779" i="21"/>
  <c r="K1779" i="21"/>
  <c r="L1779" i="21" s="1"/>
  <c r="M1778" i="21"/>
  <c r="K1778" i="21"/>
  <c r="L1778" i="21" s="1"/>
  <c r="K1780" i="21"/>
  <c r="M1780" i="21"/>
  <c r="V238" i="13" s="1"/>
  <c r="M1781" i="21"/>
  <c r="K1781" i="21"/>
  <c r="L1781" i="21" s="1"/>
  <c r="K1787" i="21"/>
  <c r="L1787" i="21" s="1"/>
  <c r="M1787" i="21"/>
  <c r="K1786" i="21"/>
  <c r="L1786" i="21" s="1"/>
  <c r="M1786" i="21"/>
  <c r="K1784" i="21"/>
  <c r="L1784" i="21" s="1"/>
  <c r="M1784" i="21"/>
  <c r="K1788" i="21"/>
  <c r="L1788" i="21" s="1"/>
  <c r="M1788" i="21"/>
  <c r="K1785" i="21"/>
  <c r="L1785" i="21" s="1"/>
  <c r="M1785" i="21"/>
  <c r="K1783" i="21"/>
  <c r="L1783" i="21" s="1"/>
  <c r="M1783" i="21"/>
  <c r="K1782" i="21"/>
  <c r="M1782" i="21"/>
  <c r="V239" i="13" s="1"/>
  <c r="M1789" i="21"/>
  <c r="K1789" i="21"/>
  <c r="L1789" i="21" s="1"/>
  <c r="M1797" i="21"/>
  <c r="K1797" i="21"/>
  <c r="L1797" i="21" s="1"/>
  <c r="M1794" i="21"/>
  <c r="K1794" i="21"/>
  <c r="L1794" i="21" s="1"/>
  <c r="K1792" i="21"/>
  <c r="M1792" i="21"/>
  <c r="V242" i="13" s="1"/>
  <c r="K1796" i="21"/>
  <c r="L1796" i="21" s="1"/>
  <c r="M1796" i="21"/>
  <c r="M1798" i="21"/>
  <c r="K1798" i="21"/>
  <c r="L1798" i="21" s="1"/>
  <c r="M1793" i="21"/>
  <c r="K1793" i="21"/>
  <c r="L1793" i="21" s="1"/>
  <c r="K1795" i="21"/>
  <c r="L1795" i="21" s="1"/>
  <c r="M1795" i="21"/>
  <c r="K1800" i="21"/>
  <c r="L1800" i="21" s="1"/>
  <c r="M1800" i="21"/>
  <c r="M1803" i="21"/>
  <c r="K1803" i="21"/>
  <c r="L1803" i="21" s="1"/>
  <c r="K1799" i="21"/>
  <c r="M1799" i="21"/>
  <c r="V243" i="13" s="1"/>
  <c r="K1801" i="21"/>
  <c r="L1801" i="21" s="1"/>
  <c r="M1801" i="21"/>
  <c r="K1804" i="21"/>
  <c r="L1804" i="21" s="1"/>
  <c r="M1804" i="21"/>
  <c r="K1802" i="21"/>
  <c r="L1802" i="21" s="1"/>
  <c r="M1802" i="21"/>
  <c r="K1805" i="21"/>
  <c r="L1805" i="21" s="1"/>
  <c r="M1805" i="21"/>
  <c r="M1806" i="21"/>
  <c r="V244" i="13" s="1"/>
  <c r="K1806" i="21"/>
  <c r="K1807" i="21"/>
  <c r="L1807" i="21" s="1"/>
  <c r="M1807" i="21"/>
  <c r="M1809" i="21"/>
  <c r="K1809" i="21"/>
  <c r="L1809" i="21" s="1"/>
  <c r="M1808" i="21"/>
  <c r="K1808" i="21"/>
  <c r="L1808" i="21" s="1"/>
  <c r="K1812" i="21"/>
  <c r="L1812" i="21" s="1"/>
  <c r="M1812" i="21"/>
  <c r="K1811" i="21"/>
  <c r="L1811" i="21" s="1"/>
  <c r="M1811" i="21"/>
  <c r="K1813" i="21"/>
  <c r="L1813" i="21" s="1"/>
  <c r="M1813" i="21"/>
  <c r="M1810" i="21"/>
  <c r="V245" i="13" s="1"/>
  <c r="K1810" i="21"/>
  <c r="K1815" i="21"/>
  <c r="L1815" i="21" s="1"/>
  <c r="M1815" i="21"/>
  <c r="M1814" i="21"/>
  <c r="V246" i="13" s="1"/>
  <c r="K1814" i="21"/>
  <c r="K1816" i="21"/>
  <c r="L1816" i="21" s="1"/>
  <c r="M1816" i="21"/>
  <c r="K1824" i="21"/>
  <c r="L1824" i="21" s="1"/>
  <c r="M1824" i="21"/>
  <c r="K1823" i="21"/>
  <c r="L1823" i="21" s="1"/>
  <c r="M1823" i="21"/>
  <c r="K1821" i="21"/>
  <c r="L1821" i="21" s="1"/>
  <c r="M1821" i="21"/>
  <c r="K1822" i="21"/>
  <c r="L1822" i="21" s="1"/>
  <c r="M1822" i="21"/>
  <c r="K1820" i="21"/>
  <c r="L1820" i="21" s="1"/>
  <c r="M1820" i="21"/>
  <c r="M1819" i="21"/>
  <c r="K1819" i="21"/>
  <c r="L1819" i="21" s="1"/>
  <c r="M1817" i="21"/>
  <c r="V247" i="13" s="1"/>
  <c r="K1817" i="21"/>
  <c r="K1818" i="21"/>
  <c r="L1818" i="21" s="1"/>
  <c r="M1818" i="21"/>
  <c r="M1825" i="21"/>
  <c r="V248" i="13" s="1"/>
  <c r="K1825" i="21"/>
  <c r="M1826" i="21"/>
  <c r="K1826" i="21"/>
  <c r="L1826" i="21" s="1"/>
  <c r="M1830" i="21"/>
  <c r="K1830" i="21"/>
  <c r="L1830" i="21" s="1"/>
  <c r="K1828" i="21"/>
  <c r="L1828" i="21" s="1"/>
  <c r="M1828" i="21"/>
  <c r="K1831" i="21"/>
  <c r="L1831" i="21" s="1"/>
  <c r="M1831" i="21"/>
  <c r="M1829" i="21"/>
  <c r="K1829" i="21"/>
  <c r="L1829" i="21" s="1"/>
  <c r="M1827" i="21"/>
  <c r="V249" i="13" s="1"/>
  <c r="K1827" i="21"/>
  <c r="K1833" i="21"/>
  <c r="L1833" i="21" s="1"/>
  <c r="M1833" i="21"/>
  <c r="K1835" i="21"/>
  <c r="L1835" i="21" s="1"/>
  <c r="M1835" i="21"/>
  <c r="M1837" i="21"/>
  <c r="K1837" i="21"/>
  <c r="L1837" i="21" s="1"/>
  <c r="M1832" i="21"/>
  <c r="V250" i="13" s="1"/>
  <c r="K1832" i="21"/>
  <c r="M1834" i="21"/>
  <c r="K1834" i="21"/>
  <c r="L1834" i="21" s="1"/>
  <c r="M1836" i="21"/>
  <c r="K1836" i="21"/>
  <c r="L1836" i="21" s="1"/>
  <c r="M1840" i="21"/>
  <c r="K1840" i="21"/>
  <c r="L1840" i="21" s="1"/>
  <c r="M1838" i="21"/>
  <c r="V251" i="13" s="1"/>
  <c r="K1838" i="21"/>
  <c r="K1839" i="21"/>
  <c r="L1839" i="21" s="1"/>
  <c r="M1839" i="21"/>
  <c r="M1841" i="21"/>
  <c r="K1841" i="21"/>
  <c r="L1841" i="21" s="1"/>
  <c r="K1842" i="21"/>
  <c r="M1842" i="21"/>
  <c r="V252" i="13" s="1"/>
  <c r="M1846" i="21"/>
  <c r="K1846" i="21"/>
  <c r="L1846" i="21" s="1"/>
  <c r="M1845" i="21"/>
  <c r="K1845" i="21"/>
  <c r="L1845" i="21" s="1"/>
  <c r="M1844" i="21"/>
  <c r="K1844" i="21"/>
  <c r="L1844" i="21" s="1"/>
  <c r="K1843" i="21"/>
  <c r="L1843" i="21" s="1"/>
  <c r="M1843" i="21"/>
  <c r="K1848" i="21"/>
  <c r="L1848" i="21" s="1"/>
  <c r="M1848" i="21"/>
  <c r="K1847" i="21"/>
  <c r="M1847" i="21"/>
  <c r="V253" i="13" s="1"/>
  <c r="M393" i="21"/>
  <c r="K393" i="21"/>
  <c r="L393" i="21" s="1"/>
  <c r="K392" i="21"/>
  <c r="L392" i="21" s="1"/>
  <c r="M392" i="21"/>
  <c r="M394" i="21"/>
  <c r="K394" i="21"/>
  <c r="L394" i="21" s="1"/>
  <c r="K395" i="21"/>
  <c r="M395" i="21"/>
  <c r="V80" i="13" s="1"/>
  <c r="M396" i="21"/>
  <c r="K396" i="21"/>
  <c r="L396" i="21" s="1"/>
  <c r="M398" i="21"/>
  <c r="K398" i="21"/>
  <c r="L398" i="21" s="1"/>
  <c r="K399" i="21"/>
  <c r="L399" i="21" s="1"/>
  <c r="M399" i="21"/>
  <c r="K397" i="21"/>
  <c r="L397" i="21" s="1"/>
  <c r="M397" i="21"/>
  <c r="M402" i="21"/>
  <c r="K402" i="21"/>
  <c r="L402" i="21" s="1"/>
  <c r="K400" i="21"/>
  <c r="M400" i="21"/>
  <c r="V81" i="13" s="1"/>
  <c r="K401" i="21"/>
  <c r="L401" i="21" s="1"/>
  <c r="M401" i="21"/>
  <c r="M403" i="21"/>
  <c r="K403" i="21"/>
  <c r="L403" i="21" s="1"/>
  <c r="M404" i="21"/>
  <c r="K404" i="21"/>
  <c r="L404" i="21" s="1"/>
  <c r="K405" i="21"/>
  <c r="M405" i="21"/>
  <c r="V82" i="13" s="1"/>
  <c r="K406" i="21"/>
  <c r="L406" i="21" s="1"/>
  <c r="M406" i="21"/>
  <c r="K407" i="21"/>
  <c r="L407" i="21" s="1"/>
  <c r="M407" i="21"/>
  <c r="M408" i="21"/>
  <c r="K408" i="21"/>
  <c r="L408" i="21" s="1"/>
  <c r="M409" i="21"/>
  <c r="K409" i="21"/>
  <c r="L409" i="21" s="1"/>
  <c r="M410" i="21"/>
  <c r="V83" i="13" s="1"/>
  <c r="K410" i="21"/>
  <c r="M411" i="21"/>
  <c r="K411" i="21"/>
  <c r="L411" i="21" s="1"/>
  <c r="M413" i="21"/>
  <c r="K413" i="21"/>
  <c r="L413" i="21" s="1"/>
  <c r="K412" i="21"/>
  <c r="L412" i="21" s="1"/>
  <c r="M412" i="21"/>
  <c r="K414" i="21"/>
  <c r="L414" i="21" s="1"/>
  <c r="M414" i="21"/>
  <c r="K415" i="21"/>
  <c r="L415" i="21" s="1"/>
  <c r="M415" i="21"/>
  <c r="K417" i="21"/>
  <c r="L417" i="21" s="1"/>
  <c r="M417" i="21"/>
  <c r="K422" i="21"/>
  <c r="L422" i="21" s="1"/>
  <c r="M422" i="21"/>
  <c r="M416" i="21"/>
  <c r="V84" i="13" s="1"/>
  <c r="K416" i="21"/>
  <c r="M423" i="21"/>
  <c r="K423" i="21"/>
  <c r="L423" i="21" s="1"/>
  <c r="M421" i="21"/>
  <c r="K421" i="21"/>
  <c r="L421" i="21" s="1"/>
  <c r="K420" i="21"/>
  <c r="L420" i="21" s="1"/>
  <c r="M420" i="21"/>
  <c r="K419" i="21"/>
  <c r="L419" i="21" s="1"/>
  <c r="M419" i="21"/>
  <c r="M418" i="21"/>
  <c r="K418" i="21"/>
  <c r="L418" i="21" s="1"/>
  <c r="K425" i="21"/>
  <c r="L425" i="21" s="1"/>
  <c r="M425" i="21"/>
  <c r="K426" i="21"/>
  <c r="L426" i="21" s="1"/>
  <c r="M426" i="21"/>
  <c r="M427" i="21"/>
  <c r="K427" i="21"/>
  <c r="L427" i="21" s="1"/>
  <c r="K424" i="21"/>
  <c r="M424" i="21"/>
  <c r="V85" i="13" s="1"/>
  <c r="K428" i="21"/>
  <c r="L428" i="21" s="1"/>
  <c r="M428" i="21"/>
  <c r="K431" i="21"/>
  <c r="L431" i="21" s="1"/>
  <c r="M431" i="21"/>
  <c r="K432" i="21"/>
  <c r="L432" i="21" s="1"/>
  <c r="M432" i="21"/>
  <c r="M430" i="21"/>
  <c r="K430" i="21"/>
  <c r="L430" i="21" s="1"/>
  <c r="K429" i="21"/>
  <c r="M429" i="21"/>
  <c r="V87" i="13" s="1"/>
  <c r="K436" i="21"/>
  <c r="L436" i="21" s="1"/>
  <c r="M436" i="21"/>
  <c r="M434" i="21"/>
  <c r="K434" i="21"/>
  <c r="L434" i="21" s="1"/>
  <c r="K435" i="21"/>
  <c r="L435" i="21" s="1"/>
  <c r="M435" i="21"/>
  <c r="K433" i="21"/>
  <c r="M433" i="21"/>
  <c r="V88" i="13" s="1"/>
  <c r="M439" i="21"/>
  <c r="K439" i="21"/>
  <c r="L439" i="21" s="1"/>
  <c r="M438" i="21"/>
  <c r="K438" i="21"/>
  <c r="L438" i="21" s="1"/>
  <c r="K440" i="21"/>
  <c r="L440" i="21" s="1"/>
  <c r="M440" i="21"/>
  <c r="M437" i="21"/>
  <c r="V89" i="13" s="1"/>
  <c r="K437" i="21"/>
  <c r="K442" i="21"/>
  <c r="L442" i="21" s="1"/>
  <c r="M442" i="21"/>
  <c r="K441" i="21"/>
  <c r="M441" i="21"/>
  <c r="V90" i="13" s="1"/>
  <c r="K445" i="21"/>
  <c r="L445" i="21" s="1"/>
  <c r="M445" i="21"/>
  <c r="M444" i="21"/>
  <c r="K444" i="21"/>
  <c r="L444" i="21" s="1"/>
  <c r="M443" i="21"/>
  <c r="K443" i="21"/>
  <c r="L443" i="21" s="1"/>
  <c r="K447" i="21"/>
  <c r="L447" i="21" s="1"/>
  <c r="M447" i="21"/>
  <c r="M448" i="21"/>
  <c r="K448" i="21"/>
  <c r="L448" i="21" s="1"/>
  <c r="M446" i="21"/>
  <c r="V91" i="13" s="1"/>
  <c r="K446" i="21"/>
  <c r="K449" i="21"/>
  <c r="L449" i="21" s="1"/>
  <c r="M449" i="21"/>
  <c r="M450" i="21"/>
  <c r="K450" i="21"/>
  <c r="L450" i="21" s="1"/>
  <c r="K453" i="21"/>
  <c r="L453" i="21" s="1"/>
  <c r="M453" i="21"/>
  <c r="M451" i="21"/>
  <c r="V92" i="13" s="1"/>
  <c r="K451" i="21"/>
  <c r="K455" i="21"/>
  <c r="L455" i="21" s="1"/>
  <c r="M455" i="21"/>
  <c r="M454" i="21"/>
  <c r="K454" i="21"/>
  <c r="L454" i="21" s="1"/>
  <c r="K452" i="21"/>
  <c r="L452" i="21" s="1"/>
  <c r="M452" i="21"/>
  <c r="K458" i="21"/>
  <c r="L458" i="21" s="1"/>
  <c r="M458" i="21"/>
  <c r="K457" i="21"/>
  <c r="L457" i="21" s="1"/>
  <c r="M457" i="21"/>
  <c r="K459" i="21"/>
  <c r="L459" i="21" s="1"/>
  <c r="M459" i="21"/>
  <c r="K460" i="21"/>
  <c r="L460" i="21" s="1"/>
  <c r="M460" i="21"/>
  <c r="K456" i="21"/>
  <c r="M456" i="21"/>
  <c r="V93" i="13" s="1"/>
  <c r="M463" i="21"/>
  <c r="K463" i="21"/>
  <c r="L463" i="21" s="1"/>
  <c r="K461" i="21"/>
  <c r="M461" i="21"/>
  <c r="V95" i="13" s="1"/>
  <c r="K464" i="21"/>
  <c r="L464" i="21" s="1"/>
  <c r="M464" i="21"/>
  <c r="K462" i="21"/>
  <c r="L462" i="21" s="1"/>
  <c r="M462" i="21"/>
  <c r="K467" i="21"/>
  <c r="L467" i="21" s="1"/>
  <c r="M467" i="21"/>
  <c r="M466" i="21"/>
  <c r="K466" i="21"/>
  <c r="L466" i="21" s="1"/>
  <c r="M468" i="21"/>
  <c r="K468" i="21"/>
  <c r="L468" i="21" s="1"/>
  <c r="M465" i="21"/>
  <c r="V96" i="13" s="1"/>
  <c r="K465" i="21"/>
  <c r="K469" i="21"/>
  <c r="M469" i="21"/>
  <c r="V97" i="13" s="1"/>
  <c r="K472" i="21"/>
  <c r="L472" i="21" s="1"/>
  <c r="M472" i="21"/>
  <c r="M470" i="21"/>
  <c r="K470" i="21"/>
  <c r="L470" i="21" s="1"/>
  <c r="M471" i="21"/>
  <c r="K471" i="21"/>
  <c r="L471" i="21" s="1"/>
  <c r="M473" i="21"/>
  <c r="V99" i="13" s="1"/>
  <c r="K473" i="21"/>
  <c r="K477" i="21"/>
  <c r="L477" i="21" s="1"/>
  <c r="M477" i="21"/>
  <c r="K475" i="21"/>
  <c r="L475" i="21" s="1"/>
  <c r="M475" i="21"/>
  <c r="K476" i="21"/>
  <c r="L476" i="21" s="1"/>
  <c r="M476" i="21"/>
  <c r="M474" i="21"/>
  <c r="K474" i="21"/>
  <c r="L474" i="21" s="1"/>
  <c r="K481" i="21"/>
  <c r="L481" i="21" s="1"/>
  <c r="M481" i="21"/>
  <c r="M482" i="21"/>
  <c r="K482" i="21"/>
  <c r="L482" i="21" s="1"/>
  <c r="K480" i="21"/>
  <c r="L480" i="21" s="1"/>
  <c r="M480" i="21"/>
  <c r="K478" i="21"/>
  <c r="M478" i="21"/>
  <c r="V100" i="13" s="1"/>
  <c r="K479" i="21"/>
  <c r="L479" i="21" s="1"/>
  <c r="M479" i="21"/>
  <c r="K484" i="21"/>
  <c r="L484" i="21" s="1"/>
  <c r="M484" i="21"/>
  <c r="M486" i="21"/>
  <c r="K486" i="21"/>
  <c r="L486" i="21" s="1"/>
  <c r="M483" i="21"/>
  <c r="V101" i="13" s="1"/>
  <c r="K483" i="21"/>
  <c r="M487" i="21"/>
  <c r="K487" i="21"/>
  <c r="L487" i="21" s="1"/>
  <c r="K485" i="21"/>
  <c r="L485" i="21" s="1"/>
  <c r="M485" i="21"/>
  <c r="K496" i="21"/>
  <c r="L496" i="21" s="1"/>
  <c r="M496" i="21"/>
  <c r="K492" i="21"/>
  <c r="L492" i="21" s="1"/>
  <c r="M492" i="21"/>
  <c r="M490" i="21"/>
  <c r="K490" i="21"/>
  <c r="L490" i="21" s="1"/>
  <c r="K488" i="21"/>
  <c r="M488" i="21"/>
  <c r="V102" i="13" s="1"/>
  <c r="M493" i="21"/>
  <c r="K493" i="21"/>
  <c r="L493" i="21" s="1"/>
  <c r="K495" i="21"/>
  <c r="L495" i="21" s="1"/>
  <c r="M495" i="21"/>
  <c r="K491" i="21"/>
  <c r="L491" i="21" s="1"/>
  <c r="M491" i="21"/>
  <c r="M489" i="21"/>
  <c r="K489" i="21"/>
  <c r="L489" i="21" s="1"/>
  <c r="K494" i="21"/>
  <c r="L494" i="21" s="1"/>
  <c r="M494" i="21"/>
  <c r="K500" i="21"/>
  <c r="L500" i="21" s="1"/>
  <c r="M500" i="21"/>
  <c r="K499" i="21"/>
  <c r="L499" i="21" s="1"/>
  <c r="M499" i="21"/>
  <c r="M502" i="21"/>
  <c r="K502" i="21"/>
  <c r="L502" i="21" s="1"/>
  <c r="K498" i="21"/>
  <c r="L498" i="21" s="1"/>
  <c r="M498" i="21"/>
  <c r="M501" i="21"/>
  <c r="K501" i="21"/>
  <c r="L501" i="21" s="1"/>
  <c r="K497" i="21"/>
  <c r="M497" i="21"/>
  <c r="V104" i="13" s="1"/>
  <c r="M506" i="21"/>
  <c r="K506" i="21"/>
  <c r="L506" i="21" s="1"/>
  <c r="M508" i="21"/>
  <c r="K508" i="21"/>
  <c r="L508" i="21" s="1"/>
  <c r="M507" i="21"/>
  <c r="K507" i="21"/>
  <c r="L507" i="21" s="1"/>
  <c r="M504" i="21"/>
  <c r="K504" i="21"/>
  <c r="L504" i="21" s="1"/>
  <c r="K505" i="21"/>
  <c r="L505" i="21" s="1"/>
  <c r="M505" i="21"/>
  <c r="K503" i="21"/>
  <c r="M503" i="21"/>
  <c r="V105" i="13" s="1"/>
  <c r="K511" i="21"/>
  <c r="L511" i="21" s="1"/>
  <c r="M511" i="21"/>
  <c r="M510" i="21"/>
  <c r="K510" i="21"/>
  <c r="L510" i="21" s="1"/>
  <c r="K513" i="21"/>
  <c r="L513" i="21" s="1"/>
  <c r="M513" i="21"/>
  <c r="K512" i="21"/>
  <c r="L512" i="21" s="1"/>
  <c r="M512" i="21"/>
  <c r="M509" i="21"/>
  <c r="V106" i="13" s="1"/>
  <c r="K509" i="21"/>
  <c r="M514" i="21"/>
  <c r="K514" i="21"/>
  <c r="L514" i="21" s="1"/>
  <c r="K516" i="21"/>
  <c r="L516" i="21" s="1"/>
  <c r="M516" i="21"/>
  <c r="K518" i="21"/>
  <c r="L518" i="21" s="1"/>
  <c r="M518" i="21"/>
  <c r="M515" i="21"/>
  <c r="V108" i="13" s="1"/>
  <c r="K515" i="21"/>
  <c r="K517" i="21"/>
  <c r="L517" i="21" s="1"/>
  <c r="M517" i="21"/>
  <c r="M519" i="21"/>
  <c r="K519" i="21"/>
  <c r="L519" i="21" s="1"/>
  <c r="M521" i="21"/>
  <c r="K521" i="21"/>
  <c r="L521" i="21" s="1"/>
  <c r="K520" i="21"/>
  <c r="L520" i="21" s="1"/>
  <c r="M520" i="21"/>
  <c r="K526" i="21"/>
  <c r="L526" i="21" s="1"/>
  <c r="M526" i="21"/>
  <c r="M524" i="21"/>
  <c r="K524" i="21"/>
  <c r="L524" i="21" s="1"/>
  <c r="K522" i="21"/>
  <c r="M522" i="21"/>
  <c r="V109" i="13" s="1"/>
  <c r="K525" i="21"/>
  <c r="L525" i="21" s="1"/>
  <c r="M525" i="21"/>
  <c r="K527" i="21"/>
  <c r="L527" i="21" s="1"/>
  <c r="M527" i="21"/>
  <c r="M523" i="21"/>
  <c r="K523" i="21"/>
  <c r="L523" i="21" s="1"/>
  <c r="M528" i="21"/>
  <c r="V110" i="13" s="1"/>
  <c r="K528" i="21"/>
  <c r="K531" i="21"/>
  <c r="L531" i="21" s="1"/>
  <c r="M531" i="21"/>
  <c r="M533" i="21"/>
  <c r="K533" i="21"/>
  <c r="L533" i="21" s="1"/>
  <c r="M530" i="21"/>
  <c r="K530" i="21"/>
  <c r="L530" i="21" s="1"/>
  <c r="M529" i="21"/>
  <c r="K529" i="21"/>
  <c r="L529" i="21" s="1"/>
  <c r="M532" i="21"/>
  <c r="K532" i="21"/>
  <c r="L532" i="21" s="1"/>
  <c r="K534" i="21"/>
  <c r="M534" i="21"/>
  <c r="V111" i="13" s="1"/>
  <c r="K537" i="21"/>
  <c r="L537" i="21" s="1"/>
  <c r="M537" i="21"/>
  <c r="K535" i="21"/>
  <c r="L535" i="21" s="1"/>
  <c r="M535" i="21"/>
  <c r="M538" i="21"/>
  <c r="K538" i="21"/>
  <c r="L538" i="21" s="1"/>
  <c r="K536" i="21"/>
  <c r="L536" i="21" s="1"/>
  <c r="M536" i="21"/>
  <c r="M542" i="21"/>
  <c r="K542" i="21"/>
  <c r="L542" i="21" s="1"/>
  <c r="M539" i="21"/>
  <c r="V112" i="13" s="1"/>
  <c r="K539" i="21"/>
  <c r="M540" i="21"/>
  <c r="K540" i="21"/>
  <c r="L540" i="21" s="1"/>
  <c r="M541" i="21"/>
  <c r="K541" i="21"/>
  <c r="L541" i="21" s="1"/>
  <c r="K544" i="21"/>
  <c r="L544" i="21" s="1"/>
  <c r="M544" i="21"/>
  <c r="K545" i="21"/>
  <c r="L545" i="21" s="1"/>
  <c r="M545" i="21"/>
  <c r="M543" i="21"/>
  <c r="K543" i="21"/>
  <c r="L543" i="21" s="1"/>
  <c r="M546" i="21"/>
  <c r="V113" i="13" s="1"/>
  <c r="K546" i="21"/>
  <c r="K551" i="21"/>
  <c r="L551" i="21" s="1"/>
  <c r="M551" i="21"/>
  <c r="M549" i="21"/>
  <c r="K549" i="21"/>
  <c r="L549" i="21" s="1"/>
  <c r="K547" i="21"/>
  <c r="L547" i="21" s="1"/>
  <c r="M547" i="21"/>
  <c r="K550" i="21"/>
  <c r="L550" i="21" s="1"/>
  <c r="M550" i="21"/>
  <c r="K548" i="21"/>
  <c r="L548" i="21" s="1"/>
  <c r="M548" i="21"/>
  <c r="K552" i="21"/>
  <c r="M552" i="21"/>
  <c r="V115" i="13" s="1"/>
  <c r="K553" i="21"/>
  <c r="L553" i="21" s="1"/>
  <c r="M553" i="21"/>
  <c r="K555" i="21"/>
  <c r="L555" i="21" s="1"/>
  <c r="M555" i="21"/>
  <c r="M554" i="21"/>
  <c r="K554" i="21"/>
  <c r="L554" i="21" s="1"/>
  <c r="K558" i="21"/>
  <c r="L558" i="21" s="1"/>
  <c r="M558" i="21"/>
  <c r="M556" i="21"/>
  <c r="V116" i="13" s="1"/>
  <c r="K556" i="21"/>
  <c r="K559" i="21"/>
  <c r="L559" i="21" s="1"/>
  <c r="M559" i="21"/>
  <c r="K557" i="21"/>
  <c r="L557" i="21" s="1"/>
  <c r="M557" i="21"/>
  <c r="M561" i="21"/>
  <c r="K561" i="21"/>
  <c r="L561" i="21" s="1"/>
  <c r="K560" i="21"/>
  <c r="M560" i="21"/>
  <c r="V117" i="13" s="1"/>
  <c r="K563" i="21"/>
  <c r="L563" i="21" s="1"/>
  <c r="M563" i="21"/>
  <c r="M562" i="21"/>
  <c r="K562" i="21"/>
  <c r="L562" i="21" s="1"/>
  <c r="M565" i="21"/>
  <c r="K565" i="21"/>
  <c r="L565" i="21" s="1"/>
  <c r="M567" i="21"/>
  <c r="K567" i="21"/>
  <c r="L567" i="21" s="1"/>
  <c r="K564" i="21"/>
  <c r="M564" i="21"/>
  <c r="V118" i="13" s="1"/>
  <c r="K566" i="21"/>
  <c r="L566" i="21" s="1"/>
  <c r="M566" i="21"/>
  <c r="M569" i="21"/>
  <c r="K569" i="21"/>
  <c r="L569" i="21" s="1"/>
  <c r="K570" i="21"/>
  <c r="L570" i="21" s="1"/>
  <c r="M570" i="21"/>
  <c r="M568" i="21"/>
  <c r="V119" i="13" s="1"/>
  <c r="K568" i="21"/>
  <c r="M571" i="21"/>
  <c r="K571" i="21"/>
  <c r="L571" i="21" s="1"/>
  <c r="M574" i="21"/>
  <c r="K574" i="21"/>
  <c r="L574" i="21" s="1"/>
  <c r="K576" i="21"/>
  <c r="L576" i="21" s="1"/>
  <c r="M576" i="21"/>
  <c r="M572" i="21"/>
  <c r="V120" i="13" s="1"/>
  <c r="K572" i="21"/>
  <c r="M575" i="21"/>
  <c r="K575" i="21"/>
  <c r="L575" i="21" s="1"/>
  <c r="M573" i="21"/>
  <c r="K573" i="21"/>
  <c r="L573" i="21" s="1"/>
  <c r="K579" i="21"/>
  <c r="L579" i="21" s="1"/>
  <c r="M579" i="21"/>
  <c r="M581" i="21"/>
  <c r="K581" i="21"/>
  <c r="L581" i="21" s="1"/>
  <c r="M577" i="21"/>
  <c r="V121" i="13" s="1"/>
  <c r="K577" i="21"/>
  <c r="M578" i="21"/>
  <c r="K578" i="21"/>
  <c r="L578" i="21" s="1"/>
  <c r="M580" i="21"/>
  <c r="K580" i="21"/>
  <c r="L580" i="21" s="1"/>
  <c r="M584" i="21"/>
  <c r="K584" i="21"/>
  <c r="L584" i="21" s="1"/>
  <c r="M585" i="21"/>
  <c r="K585" i="21"/>
  <c r="L585" i="21" s="1"/>
  <c r="K586" i="21"/>
  <c r="L586" i="21" s="1"/>
  <c r="M586" i="21"/>
  <c r="M582" i="21"/>
  <c r="V123" i="13" s="1"/>
  <c r="K582" i="21"/>
  <c r="M583" i="21"/>
  <c r="K583" i="21"/>
  <c r="L583" i="21" s="1"/>
  <c r="K590" i="21"/>
  <c r="L590" i="21" s="1"/>
  <c r="M590" i="21"/>
  <c r="K587" i="21"/>
  <c r="M587" i="21"/>
  <c r="V124" i="13" s="1"/>
  <c r="K589" i="21"/>
  <c r="L589" i="21" s="1"/>
  <c r="M589" i="21"/>
  <c r="K591" i="21"/>
  <c r="L591" i="21" s="1"/>
  <c r="M591" i="21"/>
  <c r="K588" i="21"/>
  <c r="L588" i="21" s="1"/>
  <c r="M588" i="21"/>
  <c r="K595" i="21"/>
  <c r="L595" i="21" s="1"/>
  <c r="M595" i="21"/>
  <c r="K594" i="21"/>
  <c r="L594" i="21" s="1"/>
  <c r="M594" i="21"/>
  <c r="K592" i="21"/>
  <c r="M592" i="21"/>
  <c r="V126" i="13" s="1"/>
  <c r="M593" i="21"/>
  <c r="K593" i="21"/>
  <c r="L593" i="21" s="1"/>
  <c r="K599" i="21"/>
  <c r="L599" i="21" s="1"/>
  <c r="M599" i="21"/>
  <c r="K598" i="21"/>
  <c r="L598" i="21" s="1"/>
  <c r="M598" i="21"/>
  <c r="M596" i="21"/>
  <c r="V127" i="13" s="1"/>
  <c r="K596" i="21"/>
  <c r="M597" i="21"/>
  <c r="K597" i="21"/>
  <c r="L597" i="21" s="1"/>
  <c r="M603" i="21"/>
  <c r="K603" i="21"/>
  <c r="L603" i="21" s="1"/>
  <c r="K600" i="21"/>
  <c r="M600" i="21"/>
  <c r="V128" i="13" s="1"/>
  <c r="K602" i="21"/>
  <c r="L602" i="21" s="1"/>
  <c r="M602" i="21"/>
  <c r="K601" i="21"/>
  <c r="L601" i="21" s="1"/>
  <c r="M601" i="21"/>
  <c r="K605" i="21"/>
  <c r="L605" i="21" s="1"/>
  <c r="M605" i="21"/>
  <c r="K607" i="21"/>
  <c r="L607" i="21" s="1"/>
  <c r="M607" i="21"/>
  <c r="K606" i="21"/>
  <c r="L606" i="21" s="1"/>
  <c r="M606" i="21"/>
  <c r="K608" i="21"/>
  <c r="L608" i="21" s="1"/>
  <c r="M608" i="21"/>
  <c r="K604" i="21"/>
  <c r="M604" i="21"/>
  <c r="V129" i="13" s="1"/>
  <c r="M613" i="21"/>
  <c r="K613" i="21"/>
  <c r="L613" i="21" s="1"/>
  <c r="M609" i="21"/>
  <c r="V130" i="13" s="1"/>
  <c r="K609" i="21"/>
  <c r="M610" i="21"/>
  <c r="K610" i="21"/>
  <c r="L610" i="21" s="1"/>
  <c r="M611" i="21"/>
  <c r="K611" i="21"/>
  <c r="L611" i="21" s="1"/>
  <c r="M612" i="21"/>
  <c r="K612" i="21"/>
  <c r="L612" i="21" s="1"/>
  <c r="K617" i="21"/>
  <c r="L617" i="21" s="1"/>
  <c r="M617" i="21"/>
  <c r="M619" i="21"/>
  <c r="K619" i="21"/>
  <c r="L619" i="21" s="1"/>
  <c r="M615" i="21"/>
  <c r="K615" i="21"/>
  <c r="L615" i="21" s="1"/>
  <c r="K614" i="21"/>
  <c r="M614" i="21"/>
  <c r="V518" i="13" s="1"/>
  <c r="M616" i="21"/>
  <c r="K616" i="21"/>
  <c r="L616" i="21" s="1"/>
  <c r="M618" i="21"/>
  <c r="K618" i="21"/>
  <c r="L618" i="21" s="1"/>
  <c r="K624" i="21"/>
  <c r="L624" i="21" s="1"/>
  <c r="M624" i="21"/>
  <c r="K621" i="21"/>
  <c r="L621" i="21" s="1"/>
  <c r="M621" i="21"/>
  <c r="M623" i="21"/>
  <c r="K623" i="21"/>
  <c r="L623" i="21" s="1"/>
  <c r="M622" i="21"/>
  <c r="K622" i="21"/>
  <c r="L622" i="21" s="1"/>
  <c r="M625" i="21"/>
  <c r="K625" i="21"/>
  <c r="L625" i="21" s="1"/>
  <c r="K620" i="21"/>
  <c r="M620" i="21"/>
  <c r="V525" i="13" s="1"/>
  <c r="K631" i="21"/>
  <c r="L631" i="21" s="1"/>
  <c r="M631" i="21"/>
  <c r="K626" i="21"/>
  <c r="M626" i="21"/>
  <c r="V536" i="13" s="1"/>
  <c r="M629" i="21"/>
  <c r="K629" i="21"/>
  <c r="L629" i="21" s="1"/>
  <c r="K627" i="21"/>
  <c r="L627" i="21" s="1"/>
  <c r="M627" i="21"/>
  <c r="M628" i="21"/>
  <c r="K628" i="21"/>
  <c r="L628" i="21" s="1"/>
  <c r="M630" i="21"/>
  <c r="K630" i="21"/>
  <c r="L630" i="21" s="1"/>
  <c r="M634" i="21"/>
  <c r="K634" i="21"/>
  <c r="L634" i="21" s="1"/>
  <c r="M636" i="21"/>
  <c r="K636" i="21"/>
  <c r="L636" i="21" s="1"/>
  <c r="K638" i="21"/>
  <c r="L638" i="21" s="1"/>
  <c r="M638" i="21"/>
  <c r="M637" i="21"/>
  <c r="K637" i="21"/>
  <c r="L637" i="21" s="1"/>
  <c r="K635" i="21"/>
  <c r="L635" i="21" s="1"/>
  <c r="M635" i="21"/>
  <c r="M633" i="21"/>
  <c r="K633" i="21"/>
  <c r="L633" i="21" s="1"/>
  <c r="K632" i="21"/>
  <c r="M632" i="21"/>
  <c r="V520" i="13" s="1"/>
  <c r="K642" i="21"/>
  <c r="L642" i="21" s="1"/>
  <c r="M642" i="21"/>
  <c r="K644" i="21"/>
  <c r="L644" i="21" s="1"/>
  <c r="M644" i="21"/>
  <c r="K646" i="21"/>
  <c r="L646" i="21" s="1"/>
  <c r="M646" i="21"/>
  <c r="M641" i="21"/>
  <c r="K641" i="21"/>
  <c r="L641" i="21" s="1"/>
  <c r="M639" i="21"/>
  <c r="V535" i="13" s="1"/>
  <c r="K639" i="21"/>
  <c r="M640" i="21"/>
  <c r="K640" i="21"/>
  <c r="L640" i="21" s="1"/>
  <c r="M645" i="21"/>
  <c r="K645" i="21"/>
  <c r="L645" i="21" s="1"/>
  <c r="M643" i="21"/>
  <c r="K643" i="21"/>
  <c r="L643" i="21" s="1"/>
  <c r="K649" i="21"/>
  <c r="L649" i="21" s="1"/>
  <c r="M649" i="21"/>
  <c r="K648" i="21"/>
  <c r="L648" i="21" s="1"/>
  <c r="M648" i="21"/>
  <c r="K650" i="21"/>
  <c r="L650" i="21" s="1"/>
  <c r="M650" i="21"/>
  <c r="M647" i="21"/>
  <c r="V527" i="13" s="1"/>
  <c r="K647" i="21"/>
  <c r="M651" i="21"/>
  <c r="K651" i="21"/>
  <c r="L651" i="21" s="1"/>
  <c r="K653" i="21"/>
  <c r="L653" i="21" s="1"/>
  <c r="M653" i="21"/>
  <c r="M652" i="21"/>
  <c r="K652" i="21"/>
  <c r="L652" i="21" s="1"/>
  <c r="M658" i="21"/>
  <c r="K658" i="21"/>
  <c r="L658" i="21" s="1"/>
  <c r="M657" i="21"/>
  <c r="K657" i="21"/>
  <c r="L657" i="21" s="1"/>
  <c r="M659" i="21"/>
  <c r="K659" i="21"/>
  <c r="L659" i="21" s="1"/>
  <c r="K656" i="21"/>
  <c r="L656" i="21" s="1"/>
  <c r="M656" i="21"/>
  <c r="M654" i="21"/>
  <c r="V524" i="13" s="1"/>
  <c r="K654" i="21"/>
  <c r="K655" i="21"/>
  <c r="L655" i="21" s="1"/>
  <c r="M655" i="21"/>
  <c r="M665" i="21"/>
  <c r="K665" i="21"/>
  <c r="L665" i="21" s="1"/>
  <c r="M660" i="21"/>
  <c r="V526" i="13" s="1"/>
  <c r="K660" i="21"/>
  <c r="K662" i="21"/>
  <c r="L662" i="21" s="1"/>
  <c r="M662" i="21"/>
  <c r="M667" i="21"/>
  <c r="K667" i="21"/>
  <c r="L667" i="21" s="1"/>
  <c r="K661" i="21"/>
  <c r="L661" i="21" s="1"/>
  <c r="M661" i="21"/>
  <c r="K664" i="21"/>
  <c r="L664" i="21" s="1"/>
  <c r="M664" i="21"/>
  <c r="K666" i="21"/>
  <c r="L666" i="21" s="1"/>
  <c r="M666" i="21"/>
  <c r="M663" i="21"/>
  <c r="K663" i="21"/>
  <c r="L663" i="21" s="1"/>
  <c r="K669" i="21"/>
  <c r="L669" i="21" s="1"/>
  <c r="M669" i="21"/>
  <c r="K673" i="21"/>
  <c r="L673" i="21" s="1"/>
  <c r="M673" i="21"/>
  <c r="K671" i="21"/>
  <c r="L671" i="21" s="1"/>
  <c r="M671" i="21"/>
  <c r="K672" i="21"/>
  <c r="L672" i="21" s="1"/>
  <c r="M672" i="21"/>
  <c r="M668" i="21"/>
  <c r="V533" i="13" s="1"/>
  <c r="K668" i="21"/>
  <c r="M670" i="21"/>
  <c r="K670" i="21"/>
  <c r="L670" i="21" s="1"/>
  <c r="M674" i="21"/>
  <c r="V532" i="13" s="1"/>
  <c r="K674" i="21"/>
  <c r="K676" i="21"/>
  <c r="L676" i="21" s="1"/>
  <c r="M676" i="21"/>
  <c r="M678" i="21"/>
  <c r="K678" i="21"/>
  <c r="L678" i="21" s="1"/>
  <c r="K679" i="21"/>
  <c r="L679" i="21" s="1"/>
  <c r="M679" i="21"/>
  <c r="K677" i="21"/>
  <c r="L677" i="21" s="1"/>
  <c r="M677" i="21"/>
  <c r="M675" i="21"/>
  <c r="K675" i="21"/>
  <c r="L675" i="21" s="1"/>
  <c r="K680" i="21"/>
  <c r="M680" i="21"/>
  <c r="V531" i="13" s="1"/>
  <c r="M682" i="21"/>
  <c r="K682" i="21"/>
  <c r="L682" i="21" s="1"/>
  <c r="M684" i="21"/>
  <c r="K684" i="21"/>
  <c r="L684" i="21" s="1"/>
  <c r="K683" i="21"/>
  <c r="L683" i="21" s="1"/>
  <c r="M683" i="21"/>
  <c r="M686" i="21"/>
  <c r="K686" i="21"/>
  <c r="L686" i="21" s="1"/>
  <c r="K685" i="21"/>
  <c r="L685" i="21" s="1"/>
  <c r="M685" i="21"/>
  <c r="M681" i="21"/>
  <c r="K681" i="21"/>
  <c r="L681" i="21" s="1"/>
  <c r="K687" i="21"/>
  <c r="M687" i="21"/>
  <c r="V534" i="13" s="1"/>
  <c r="K693" i="21"/>
  <c r="L693" i="21" s="1"/>
  <c r="M693" i="21"/>
  <c r="K688" i="21"/>
  <c r="L688" i="21" s="1"/>
  <c r="M688" i="21"/>
  <c r="M690" i="21"/>
  <c r="K690" i="21"/>
  <c r="L690" i="21" s="1"/>
  <c r="M692" i="21"/>
  <c r="K692" i="21"/>
  <c r="L692" i="21" s="1"/>
  <c r="M691" i="21"/>
  <c r="K691" i="21"/>
  <c r="L691" i="21" s="1"/>
  <c r="K689" i="21"/>
  <c r="L689" i="21" s="1"/>
  <c r="M689" i="21"/>
  <c r="M698" i="21"/>
  <c r="K698" i="21"/>
  <c r="L698" i="21" s="1"/>
  <c r="K700" i="21"/>
  <c r="L700" i="21" s="1"/>
  <c r="M700" i="21"/>
  <c r="K694" i="21"/>
  <c r="M694" i="21"/>
  <c r="V530" i="13" s="1"/>
  <c r="K695" i="21"/>
  <c r="L695" i="21" s="1"/>
  <c r="M695" i="21"/>
  <c r="M697" i="21"/>
  <c r="K697" i="21"/>
  <c r="L697" i="21" s="1"/>
  <c r="M696" i="21"/>
  <c r="K696" i="21"/>
  <c r="L696" i="21" s="1"/>
  <c r="M699" i="21"/>
  <c r="K699" i="21"/>
  <c r="L699" i="21" s="1"/>
  <c r="M705" i="21"/>
  <c r="K705" i="21"/>
  <c r="L705" i="21" s="1"/>
  <c r="K701" i="21"/>
  <c r="M701" i="21"/>
  <c r="V521" i="13" s="1"/>
  <c r="M706" i="21"/>
  <c r="K706" i="21"/>
  <c r="L706" i="21" s="1"/>
  <c r="K704" i="21"/>
  <c r="L704" i="21" s="1"/>
  <c r="M704" i="21"/>
  <c r="M702" i="21"/>
  <c r="K702" i="21"/>
  <c r="L702" i="21" s="1"/>
  <c r="M703" i="21"/>
  <c r="K703" i="21"/>
  <c r="L703" i="21" s="1"/>
  <c r="M709" i="21"/>
  <c r="K709" i="21"/>
  <c r="L709" i="21" s="1"/>
  <c r="K707" i="21"/>
  <c r="M707" i="21"/>
  <c r="V522" i="13" s="1"/>
  <c r="M710" i="21"/>
  <c r="K710" i="21"/>
  <c r="L710" i="21" s="1"/>
  <c r="K711" i="21"/>
  <c r="L711" i="21" s="1"/>
  <c r="M711" i="21"/>
  <c r="K712" i="21"/>
  <c r="L712" i="21" s="1"/>
  <c r="M712" i="21"/>
  <c r="M708" i="21"/>
  <c r="K708" i="21"/>
  <c r="L708" i="21" s="1"/>
  <c r="K714" i="21"/>
  <c r="L714" i="21" s="1"/>
  <c r="M714" i="21"/>
  <c r="K715" i="21"/>
  <c r="L715" i="21" s="1"/>
  <c r="M715" i="21"/>
  <c r="K716" i="21"/>
  <c r="L716" i="21" s="1"/>
  <c r="M716" i="21"/>
  <c r="K713" i="21"/>
  <c r="M713" i="21"/>
  <c r="V523" i="13" s="1"/>
  <c r="K717" i="21"/>
  <c r="L717" i="21" s="1"/>
  <c r="M717" i="21"/>
  <c r="K719" i="21"/>
  <c r="L719" i="21" s="1"/>
  <c r="M719" i="21"/>
  <c r="M721" i="21"/>
  <c r="K721" i="21"/>
  <c r="L721" i="21" s="1"/>
  <c r="M723" i="21"/>
  <c r="K723" i="21"/>
  <c r="L723" i="21" s="1"/>
  <c r="K722" i="21"/>
  <c r="L722" i="21" s="1"/>
  <c r="M722" i="21"/>
  <c r="M718" i="21"/>
  <c r="V528" i="13" s="1"/>
  <c r="K718" i="21"/>
  <c r="M720" i="21"/>
  <c r="K720" i="21"/>
  <c r="L720" i="21" s="1"/>
  <c r="K731" i="21"/>
  <c r="L731" i="21" s="1"/>
  <c r="M731" i="21"/>
  <c r="K732" i="21"/>
  <c r="L732" i="21" s="1"/>
  <c r="M732" i="21"/>
  <c r="M725" i="21"/>
  <c r="K725" i="21"/>
  <c r="L725" i="21" s="1"/>
  <c r="K727" i="21"/>
  <c r="L727" i="21" s="1"/>
  <c r="M727" i="21"/>
  <c r="M730" i="21"/>
  <c r="K730" i="21"/>
  <c r="L730" i="21" s="1"/>
  <c r="K724" i="21"/>
  <c r="M724" i="21"/>
  <c r="V519" i="13" s="1"/>
  <c r="M726" i="21"/>
  <c r="K726" i="21"/>
  <c r="L726" i="21" s="1"/>
  <c r="M728" i="21"/>
  <c r="K728" i="21"/>
  <c r="L728" i="21" s="1"/>
  <c r="M729" i="21"/>
  <c r="K729" i="21"/>
  <c r="L729" i="21" s="1"/>
  <c r="M733" i="21"/>
  <c r="V537" i="13" s="1"/>
  <c r="K733" i="21"/>
  <c r="M734" i="21"/>
  <c r="K734" i="21"/>
  <c r="L734" i="21" s="1"/>
  <c r="M736" i="21"/>
  <c r="K736" i="21"/>
  <c r="L736" i="21" s="1"/>
  <c r="K738" i="21"/>
  <c r="L738" i="21" s="1"/>
  <c r="M738" i="21"/>
  <c r="M737" i="21"/>
  <c r="K737" i="21"/>
  <c r="L737" i="21" s="1"/>
  <c r="M735" i="21"/>
  <c r="K735" i="21"/>
  <c r="L735" i="21" s="1"/>
  <c r="K740" i="21"/>
  <c r="L740" i="21" s="1"/>
  <c r="M740" i="21"/>
  <c r="M744" i="21"/>
  <c r="K744" i="21"/>
  <c r="L744" i="21" s="1"/>
  <c r="K739" i="21"/>
  <c r="M739" i="21"/>
  <c r="V538" i="13" s="1"/>
  <c r="M742" i="21"/>
  <c r="K742" i="21"/>
  <c r="L742" i="21" s="1"/>
  <c r="M743" i="21"/>
  <c r="K743" i="21"/>
  <c r="L743" i="21" s="1"/>
  <c r="M745" i="21"/>
  <c r="K745" i="21"/>
  <c r="L745" i="21" s="1"/>
  <c r="K741" i="21"/>
  <c r="L741" i="21" s="1"/>
  <c r="M741" i="21"/>
  <c r="M750" i="21"/>
  <c r="K750" i="21"/>
  <c r="L750" i="21" s="1"/>
  <c r="M753" i="21"/>
  <c r="K753" i="21"/>
  <c r="L753" i="21" s="1"/>
  <c r="M752" i="21"/>
  <c r="K752" i="21"/>
  <c r="L752" i="21" s="1"/>
  <c r="M747" i="21"/>
  <c r="K747" i="21"/>
  <c r="L747" i="21" s="1"/>
  <c r="K746" i="21"/>
  <c r="M746" i="21"/>
  <c r="V540" i="13" s="1"/>
  <c r="M748" i="21"/>
  <c r="K748" i="21"/>
  <c r="L748" i="21" s="1"/>
  <c r="K749" i="21"/>
  <c r="L749" i="21" s="1"/>
  <c r="M749" i="21"/>
  <c r="M751" i="21"/>
  <c r="K751" i="21"/>
  <c r="L751" i="21" s="1"/>
  <c r="K760" i="21"/>
  <c r="L760" i="21" s="1"/>
  <c r="M760" i="21"/>
  <c r="M762" i="21"/>
  <c r="K762" i="21"/>
  <c r="L762" i="21" s="1"/>
  <c r="K755" i="21"/>
  <c r="L755" i="21" s="1"/>
  <c r="M755" i="21"/>
  <c r="K754" i="21"/>
  <c r="M754" i="21"/>
  <c r="V539" i="13" s="1"/>
  <c r="M756" i="21"/>
  <c r="K756" i="21"/>
  <c r="L756" i="21" s="1"/>
  <c r="K761" i="21"/>
  <c r="L761" i="21" s="1"/>
  <c r="M761" i="21"/>
  <c r="K759" i="21"/>
  <c r="L759" i="21" s="1"/>
  <c r="M759" i="21"/>
  <c r="K758" i="21"/>
  <c r="L758" i="21" s="1"/>
  <c r="M758" i="21"/>
  <c r="M757" i="21"/>
  <c r="K757" i="21"/>
  <c r="L757" i="21" s="1"/>
  <c r="K765" i="21"/>
  <c r="L765" i="21" s="1"/>
  <c r="M765" i="21"/>
  <c r="M764" i="21"/>
  <c r="K764" i="21"/>
  <c r="L764" i="21" s="1"/>
  <c r="K766" i="21"/>
  <c r="L766" i="21" s="1"/>
  <c r="M766" i="21"/>
  <c r="M767" i="21"/>
  <c r="K767" i="21"/>
  <c r="L767" i="21" s="1"/>
  <c r="M763" i="21"/>
  <c r="V541" i="13" s="1"/>
  <c r="K763" i="21"/>
  <c r="M770" i="21"/>
  <c r="K770" i="21"/>
  <c r="L770" i="21" s="1"/>
  <c r="M771" i="21"/>
  <c r="K771" i="21"/>
  <c r="L771" i="21" s="1"/>
  <c r="K773" i="21"/>
  <c r="L773" i="21" s="1"/>
  <c r="M773" i="21"/>
  <c r="K775" i="21"/>
  <c r="L775" i="21" s="1"/>
  <c r="M775" i="21"/>
  <c r="K772" i="21"/>
  <c r="L772" i="21" s="1"/>
  <c r="M772" i="21"/>
  <c r="K769" i="21"/>
  <c r="L769" i="21" s="1"/>
  <c r="M769" i="21"/>
  <c r="M768" i="21"/>
  <c r="V542" i="13" s="1"/>
  <c r="K768" i="21"/>
  <c r="M774" i="21"/>
  <c r="K774" i="21"/>
  <c r="L774" i="21" s="1"/>
  <c r="K779" i="21"/>
  <c r="L779" i="21" s="1"/>
  <c r="M779" i="21"/>
  <c r="M781" i="21"/>
  <c r="K781" i="21"/>
  <c r="L781" i="21" s="1"/>
  <c r="M780" i="21"/>
  <c r="K780" i="21"/>
  <c r="L780" i="21" s="1"/>
  <c r="M778" i="21"/>
  <c r="K778" i="21"/>
  <c r="L778" i="21" s="1"/>
  <c r="K776" i="21"/>
  <c r="M776" i="21"/>
  <c r="V544" i="13" s="1"/>
  <c r="K777" i="21"/>
  <c r="L777" i="21" s="1"/>
  <c r="M777" i="21"/>
  <c r="K786" i="21"/>
  <c r="L786" i="21" s="1"/>
  <c r="M786" i="21"/>
  <c r="K782" i="21"/>
  <c r="M782" i="21"/>
  <c r="V543" i="13" s="1"/>
  <c r="K784" i="21"/>
  <c r="L784" i="21" s="1"/>
  <c r="M784" i="21"/>
  <c r="M783" i="21"/>
  <c r="K783" i="21"/>
  <c r="L783" i="21" s="1"/>
  <c r="K785" i="21"/>
  <c r="L785" i="21" s="1"/>
  <c r="M785" i="21"/>
  <c r="M787" i="21"/>
  <c r="K787" i="21"/>
  <c r="L787" i="21" s="1"/>
  <c r="K792" i="21"/>
  <c r="L792" i="21" s="1"/>
  <c r="M792" i="21"/>
  <c r="M791" i="21"/>
  <c r="K791" i="21"/>
  <c r="L791" i="21" s="1"/>
  <c r="M788" i="21"/>
  <c r="V545" i="13" s="1"/>
  <c r="K788" i="21"/>
  <c r="M790" i="21"/>
  <c r="K790" i="21"/>
  <c r="L790" i="21" s="1"/>
  <c r="K793" i="21"/>
  <c r="L793" i="21" s="1"/>
  <c r="M793" i="21"/>
  <c r="K795" i="21"/>
  <c r="L795" i="21" s="1"/>
  <c r="M795" i="21"/>
  <c r="K789" i="21"/>
  <c r="L789" i="21" s="1"/>
  <c r="M789" i="21"/>
  <c r="K794" i="21"/>
  <c r="L794" i="21" s="1"/>
  <c r="M794" i="21"/>
  <c r="M798" i="21"/>
  <c r="K798" i="21"/>
  <c r="L798" i="21" s="1"/>
  <c r="K801" i="21"/>
  <c r="L801" i="21" s="1"/>
  <c r="M801" i="21"/>
  <c r="M799" i="21"/>
  <c r="K799" i="21"/>
  <c r="L799" i="21" s="1"/>
  <c r="M797" i="21"/>
  <c r="K797" i="21"/>
  <c r="L797" i="21" s="1"/>
  <c r="K796" i="21"/>
  <c r="M796" i="21"/>
  <c r="V552" i="13" s="1"/>
  <c r="K800" i="21"/>
  <c r="L800" i="21" s="1"/>
  <c r="M800" i="21"/>
  <c r="M805" i="21"/>
  <c r="K805" i="21"/>
  <c r="L805" i="21" s="1"/>
  <c r="M803" i="21"/>
  <c r="K803" i="21"/>
  <c r="L803" i="21" s="1"/>
  <c r="M804" i="21"/>
  <c r="K804" i="21"/>
  <c r="L804" i="21" s="1"/>
  <c r="K802" i="21"/>
  <c r="M802" i="21"/>
  <c r="V548" i="13" s="1"/>
  <c r="M806" i="21"/>
  <c r="K806" i="21"/>
  <c r="L806" i="21" s="1"/>
  <c r="M808" i="21"/>
  <c r="K808" i="21"/>
  <c r="L808" i="21" s="1"/>
  <c r="M807" i="21"/>
  <c r="V550" i="13" s="1"/>
  <c r="K807" i="21"/>
  <c r="M811" i="21"/>
  <c r="K811" i="21"/>
  <c r="L811" i="21" s="1"/>
  <c r="K809" i="21"/>
  <c r="L809" i="21" s="1"/>
  <c r="M809" i="21"/>
  <c r="M812" i="21"/>
  <c r="K812" i="21"/>
  <c r="L812" i="21" s="1"/>
  <c r="M810" i="21"/>
  <c r="K810" i="21"/>
  <c r="L810" i="21" s="1"/>
  <c r="M814" i="21"/>
  <c r="K814" i="21"/>
  <c r="L814" i="21" s="1"/>
  <c r="M816" i="21"/>
  <c r="K816" i="21"/>
  <c r="L816" i="21" s="1"/>
  <c r="K818" i="21"/>
  <c r="L818" i="21" s="1"/>
  <c r="M818" i="21"/>
  <c r="M819" i="21"/>
  <c r="K819" i="21"/>
  <c r="L819" i="21" s="1"/>
  <c r="M817" i="21"/>
  <c r="K817" i="21"/>
  <c r="L817" i="21" s="1"/>
  <c r="M815" i="21"/>
  <c r="K815" i="21"/>
  <c r="L815" i="21" s="1"/>
  <c r="M813" i="21"/>
  <c r="V549" i="13" s="1"/>
  <c r="K813" i="21"/>
  <c r="M821" i="21"/>
  <c r="K821" i="21"/>
  <c r="L821" i="21" s="1"/>
  <c r="M820" i="21"/>
  <c r="V547" i="13" s="1"/>
  <c r="K820" i="21"/>
  <c r="M824" i="21"/>
  <c r="K824" i="21"/>
  <c r="L824" i="21" s="1"/>
  <c r="M822" i="21"/>
  <c r="K822" i="21"/>
  <c r="L822" i="21" s="1"/>
  <c r="K823" i="21"/>
  <c r="L823" i="21" s="1"/>
  <c r="M823" i="21"/>
  <c r="K825" i="21"/>
  <c r="M825" i="21"/>
  <c r="V546" i="13" s="1"/>
  <c r="M828" i="21"/>
  <c r="K828" i="21"/>
  <c r="L828" i="21" s="1"/>
  <c r="M826" i="21"/>
  <c r="K826" i="21"/>
  <c r="L826" i="21" s="1"/>
  <c r="M829" i="21"/>
  <c r="K829" i="21"/>
  <c r="L829" i="21" s="1"/>
  <c r="M830" i="21"/>
  <c r="K830" i="21"/>
  <c r="L830" i="21" s="1"/>
  <c r="K827" i="21"/>
  <c r="L827" i="21" s="1"/>
  <c r="M827" i="21"/>
  <c r="K835" i="21"/>
  <c r="L835" i="21" s="1"/>
  <c r="M835" i="21"/>
  <c r="K837" i="21"/>
  <c r="L837" i="21" s="1"/>
  <c r="M837" i="21"/>
  <c r="M832" i="21"/>
  <c r="K832" i="21"/>
  <c r="L832" i="21" s="1"/>
  <c r="K834" i="21"/>
  <c r="L834" i="21" s="1"/>
  <c r="M834" i="21"/>
  <c r="K836" i="21"/>
  <c r="L836" i="21" s="1"/>
  <c r="M836" i="21"/>
  <c r="K831" i="21"/>
  <c r="M831" i="21"/>
  <c r="V551" i="13" s="1"/>
  <c r="M833" i="21"/>
  <c r="K833" i="21"/>
  <c r="L833" i="21" s="1"/>
  <c r="M838" i="21"/>
  <c r="V555" i="13" s="1"/>
  <c r="K838" i="21"/>
  <c r="M840" i="21"/>
  <c r="K840" i="21"/>
  <c r="L840" i="21" s="1"/>
  <c r="M841" i="21"/>
  <c r="K841" i="21"/>
  <c r="L841" i="21" s="1"/>
  <c r="M839" i="21"/>
  <c r="K839" i="21"/>
  <c r="L839" i="21" s="1"/>
  <c r="M843" i="21"/>
  <c r="K843" i="21"/>
  <c r="L843" i="21" s="1"/>
  <c r="M842" i="21"/>
  <c r="V556" i="13" s="1"/>
  <c r="K842" i="21"/>
  <c r="K844" i="21"/>
  <c r="L844" i="21" s="1"/>
  <c r="M844" i="21"/>
  <c r="M846" i="21"/>
  <c r="K846" i="21"/>
  <c r="L846" i="21" s="1"/>
  <c r="M845" i="21"/>
  <c r="K845" i="21"/>
  <c r="L845" i="21" s="1"/>
  <c r="M847" i="21"/>
  <c r="K847" i="21"/>
  <c r="L847" i="21" s="1"/>
  <c r="M848" i="21"/>
  <c r="V554" i="13" s="1"/>
  <c r="K848" i="21"/>
  <c r="M854" i="21"/>
  <c r="K854" i="21"/>
  <c r="L854" i="21" s="1"/>
  <c r="K851" i="21"/>
  <c r="L851" i="21" s="1"/>
  <c r="M851" i="21"/>
  <c r="K853" i="21"/>
  <c r="L853" i="21" s="1"/>
  <c r="M853" i="21"/>
  <c r="M849" i="21"/>
  <c r="K849" i="21"/>
  <c r="L849" i="21" s="1"/>
  <c r="M852" i="21"/>
  <c r="K852" i="21"/>
  <c r="L852" i="21" s="1"/>
  <c r="M850" i="21"/>
  <c r="K850" i="21"/>
  <c r="L850" i="21" s="1"/>
  <c r="M859" i="21"/>
  <c r="K859" i="21"/>
  <c r="L859" i="21" s="1"/>
  <c r="M857" i="21"/>
  <c r="K857" i="21"/>
  <c r="L857" i="21" s="1"/>
  <c r="K858" i="21"/>
  <c r="L858" i="21" s="1"/>
  <c r="M858" i="21"/>
  <c r="K856" i="21"/>
  <c r="L856" i="21" s="1"/>
  <c r="M856" i="21"/>
  <c r="M860" i="21"/>
  <c r="K860" i="21"/>
  <c r="L860" i="21" s="1"/>
  <c r="M855" i="21"/>
  <c r="V553" i="13" s="1"/>
  <c r="K855" i="21"/>
  <c r="K864" i="21"/>
  <c r="L864" i="21" s="1"/>
  <c r="M864" i="21"/>
  <c r="K862" i="21"/>
  <c r="L862" i="21" s="1"/>
  <c r="M862" i="21"/>
  <c r="M861" i="21"/>
  <c r="V557" i="13" s="1"/>
  <c r="K861" i="21"/>
  <c r="K863" i="21"/>
  <c r="L863" i="21" s="1"/>
  <c r="M863" i="21"/>
  <c r="M870" i="21"/>
  <c r="K870" i="21"/>
  <c r="L870" i="21" s="1"/>
  <c r="M868" i="21"/>
  <c r="K868" i="21"/>
  <c r="L868" i="21" s="1"/>
  <c r="K872" i="21"/>
  <c r="L872" i="21" s="1"/>
  <c r="M872" i="21"/>
  <c r="K873" i="21"/>
  <c r="L873" i="21" s="1"/>
  <c r="M873" i="21"/>
  <c r="K871" i="21"/>
  <c r="L871" i="21" s="1"/>
  <c r="M871" i="21"/>
  <c r="K869" i="21"/>
  <c r="L869" i="21" s="1"/>
  <c r="M869" i="21"/>
  <c r="K867" i="21"/>
  <c r="L867" i="21" s="1"/>
  <c r="M867" i="21"/>
  <c r="K865" i="21"/>
  <c r="M865" i="21"/>
  <c r="V560" i="13" s="1"/>
  <c r="K866" i="21"/>
  <c r="L866" i="21" s="1"/>
  <c r="M866" i="21"/>
  <c r="K877" i="21"/>
  <c r="L877" i="21" s="1"/>
  <c r="M877" i="21"/>
  <c r="K880" i="21"/>
  <c r="L880" i="21" s="1"/>
  <c r="M880" i="21"/>
  <c r="M878" i="21"/>
  <c r="K878" i="21"/>
  <c r="L878" i="21" s="1"/>
  <c r="K875" i="21"/>
  <c r="L875" i="21" s="1"/>
  <c r="M875" i="21"/>
  <c r="M876" i="21"/>
  <c r="K876" i="21"/>
  <c r="L876" i="21" s="1"/>
  <c r="M882" i="21"/>
  <c r="K882" i="21"/>
  <c r="L882" i="21" s="1"/>
  <c r="K874" i="21"/>
  <c r="M874" i="21"/>
  <c r="V558" i="13" s="1"/>
  <c r="M881" i="21"/>
  <c r="K881" i="21"/>
  <c r="L881" i="21" s="1"/>
  <c r="M879" i="21"/>
  <c r="K879" i="21"/>
  <c r="L879" i="21" s="1"/>
  <c r="M887" i="21"/>
  <c r="K887" i="21"/>
  <c r="L887" i="21" s="1"/>
  <c r="K885" i="21"/>
  <c r="L885" i="21" s="1"/>
  <c r="M885" i="21"/>
  <c r="M883" i="21"/>
  <c r="V559" i="13" s="1"/>
  <c r="K883" i="21"/>
  <c r="K888" i="21"/>
  <c r="L888" i="21" s="1"/>
  <c r="M888" i="21"/>
  <c r="M890" i="21"/>
  <c r="K890" i="21"/>
  <c r="L890" i="21" s="1"/>
  <c r="M884" i="21"/>
  <c r="K884" i="21"/>
  <c r="L884" i="21" s="1"/>
  <c r="K891" i="21"/>
  <c r="L891" i="21" s="1"/>
  <c r="M891" i="21"/>
  <c r="K886" i="21"/>
  <c r="L886" i="21" s="1"/>
  <c r="M886" i="21"/>
  <c r="M892" i="21"/>
  <c r="V565" i="13" s="1"/>
  <c r="K892" i="21"/>
  <c r="K893" i="21"/>
  <c r="L893" i="21" s="1"/>
  <c r="M893" i="21"/>
  <c r="K894" i="21"/>
  <c r="L894" i="21" s="1"/>
  <c r="M894" i="21"/>
  <c r="K895" i="21"/>
  <c r="L895" i="21" s="1"/>
  <c r="M895" i="21"/>
  <c r="K933" i="21"/>
  <c r="L933" i="21" s="1"/>
  <c r="M933" i="21"/>
  <c r="K935" i="21"/>
  <c r="L935" i="21" s="1"/>
  <c r="M935" i="21"/>
  <c r="M937" i="21"/>
  <c r="K937" i="21"/>
  <c r="L937" i="21" s="1"/>
  <c r="M934" i="21"/>
  <c r="K934" i="21"/>
  <c r="L934" i="21" s="1"/>
  <c r="M936" i="21"/>
  <c r="K936" i="21"/>
  <c r="L936" i="21" s="1"/>
  <c r="M932" i="21"/>
  <c r="V568" i="13" s="1"/>
  <c r="K932" i="21"/>
  <c r="K1481" i="21"/>
  <c r="M1481" i="21"/>
  <c r="V193" i="13" s="1"/>
  <c r="M1790" i="21"/>
  <c r="V240" i="13" s="1"/>
  <c r="K1790" i="21"/>
  <c r="K1791" i="21"/>
  <c r="M1791" i="21"/>
  <c r="V241" i="13" s="1"/>
  <c r="N60" i="13"/>
  <c r="N519" i="13"/>
  <c r="N171" i="13"/>
  <c r="N17" i="13"/>
  <c r="N18" i="13"/>
  <c r="N19" i="13"/>
  <c r="N21" i="13"/>
  <c r="N24" i="13"/>
  <c r="N145" i="13"/>
  <c r="N13" i="13"/>
  <c r="N41" i="13"/>
  <c r="P7" i="13"/>
  <c r="N7" i="13"/>
  <c r="N8" i="13"/>
  <c r="N9" i="13"/>
  <c r="P10" i="13"/>
  <c r="N10" i="13"/>
  <c r="N209" i="13"/>
  <c r="N214" i="13"/>
  <c r="N208" i="13"/>
  <c r="N210" i="13"/>
  <c r="N211" i="13"/>
  <c r="N212" i="13"/>
  <c r="N213" i="13"/>
  <c r="N215" i="13"/>
  <c r="N216" i="13"/>
  <c r="N217" i="13"/>
  <c r="N116" i="13"/>
  <c r="P116" i="13"/>
  <c r="N117" i="13"/>
  <c r="N64" i="13"/>
  <c r="N65" i="13"/>
  <c r="N105" i="13"/>
  <c r="N106" i="13"/>
  <c r="N110" i="13"/>
  <c r="N124" i="13"/>
  <c r="N127" i="13"/>
  <c r="N223" i="13"/>
  <c r="N149" i="13"/>
  <c r="N151" i="13"/>
  <c r="N162" i="13"/>
  <c r="N148" i="13"/>
  <c r="N150" i="13"/>
  <c r="N161" i="13"/>
  <c r="N221" i="13"/>
  <c r="N207" i="13"/>
  <c r="P207" i="13"/>
  <c r="N218" i="13"/>
  <c r="N619" i="13"/>
  <c r="N219" i="13"/>
  <c r="N539" i="13"/>
  <c r="N543" i="13"/>
  <c r="N276" i="13"/>
  <c r="N272" i="13"/>
  <c r="N617" i="13"/>
  <c r="N118" i="13"/>
  <c r="N241" i="13"/>
  <c r="P241" i="13"/>
  <c r="N119" i="13"/>
  <c r="P119" i="13"/>
  <c r="N63" i="13"/>
  <c r="N240" i="13"/>
  <c r="N112" i="13"/>
  <c r="N111" i="13"/>
  <c r="N113" i="13"/>
  <c r="N120" i="13"/>
  <c r="N121" i="13"/>
  <c r="N128" i="13"/>
  <c r="N129" i="13"/>
  <c r="N130" i="13"/>
  <c r="N193" i="13"/>
  <c r="P193" i="13"/>
  <c r="N222" i="13"/>
  <c r="P222" i="13"/>
  <c r="N147" i="13"/>
  <c r="N167" i="13"/>
  <c r="N146" i="13"/>
  <c r="N220" i="13"/>
  <c r="N166" i="13"/>
  <c r="N165" i="13"/>
  <c r="N164" i="13"/>
  <c r="N163" i="13"/>
  <c r="N330" i="13"/>
  <c r="N336" i="13"/>
  <c r="N334" i="13"/>
  <c r="N338" i="13"/>
  <c r="N340" i="13"/>
  <c r="N526" i="13"/>
  <c r="N524" i="13"/>
  <c r="N618" i="13"/>
  <c r="N613" i="13"/>
  <c r="L613" i="30"/>
  <c r="N613" i="30"/>
  <c r="F613" i="30"/>
  <c r="G613" i="30"/>
  <c r="E613" i="30"/>
  <c r="M613" i="30"/>
  <c r="H613" i="30"/>
  <c r="J613" i="30"/>
  <c r="K613" i="30"/>
  <c r="D613" i="30"/>
  <c r="B613" i="30"/>
  <c r="O613" i="30" s="1" a="1"/>
  <c r="C613" i="30"/>
  <c r="I613" i="30"/>
  <c r="H601" i="30"/>
  <c r="E601" i="30"/>
  <c r="F601" i="30"/>
  <c r="B601" i="30"/>
  <c r="O601" i="30" s="1" a="1"/>
  <c r="I601" i="30"/>
  <c r="C601" i="30"/>
  <c r="D601" i="30"/>
  <c r="L601" i="30"/>
  <c r="N601" i="30"/>
  <c r="J601" i="30"/>
  <c r="G601" i="30"/>
  <c r="K601" i="30"/>
  <c r="M601" i="30"/>
  <c r="B534" i="30"/>
  <c r="O534" i="30" s="1" a="1"/>
  <c r="K534" i="30"/>
  <c r="F534" i="30"/>
  <c r="N534" i="30"/>
  <c r="I534" i="30"/>
  <c r="C534" i="30"/>
  <c r="D534" i="30"/>
  <c r="M534" i="30"/>
  <c r="J534" i="30"/>
  <c r="H534" i="30"/>
  <c r="E534" i="30"/>
  <c r="L534" i="30"/>
  <c r="G534" i="30"/>
  <c r="K508" i="30"/>
  <c r="B508" i="30"/>
  <c r="O508" i="30" s="1" a="1"/>
  <c r="I508" i="30"/>
  <c r="E508" i="30"/>
  <c r="H508" i="30"/>
  <c r="C508" i="30"/>
  <c r="L508" i="30"/>
  <c r="N508" i="30"/>
  <c r="J508" i="30"/>
  <c r="D508" i="30"/>
  <c r="G508" i="30"/>
  <c r="F508" i="30"/>
  <c r="M508" i="30"/>
  <c r="H494" i="30"/>
  <c r="K494" i="30"/>
  <c r="L494" i="30"/>
  <c r="F494" i="30"/>
  <c r="E494" i="30"/>
  <c r="M494" i="30"/>
  <c r="B494" i="30"/>
  <c r="O494" i="30" s="1" a="1"/>
  <c r="I494" i="30"/>
  <c r="D494" i="30"/>
  <c r="G494" i="30"/>
  <c r="N494" i="30"/>
  <c r="C494" i="30"/>
  <c r="J494" i="30"/>
  <c r="L477" i="30"/>
  <c r="H477" i="30"/>
  <c r="N477" i="30"/>
  <c r="B477" i="30"/>
  <c r="O477" i="30" s="1" a="1"/>
  <c r="M477" i="30"/>
  <c r="G477" i="30"/>
  <c r="F477" i="30"/>
  <c r="J477" i="30"/>
  <c r="E477" i="30"/>
  <c r="K477" i="30"/>
  <c r="D477" i="30"/>
  <c r="C477" i="30"/>
  <c r="I477" i="30"/>
  <c r="E459" i="30"/>
  <c r="M459" i="30"/>
  <c r="G459" i="30"/>
  <c r="N459" i="30"/>
  <c r="B459" i="30"/>
  <c r="O459" i="30" s="1" a="1"/>
  <c r="K459" i="30"/>
  <c r="D459" i="30"/>
  <c r="F459" i="30"/>
  <c r="I459" i="30"/>
  <c r="H459" i="30"/>
  <c r="C459" i="30"/>
  <c r="J459" i="30"/>
  <c r="L459" i="30"/>
  <c r="H443" i="30"/>
  <c r="B443" i="30"/>
  <c r="O443" i="30" s="1" a="1"/>
  <c r="N443" i="30"/>
  <c r="K443" i="30"/>
  <c r="E443" i="30"/>
  <c r="M443" i="30"/>
  <c r="C443" i="30"/>
  <c r="J443" i="30"/>
  <c r="G443" i="30"/>
  <c r="F443" i="30"/>
  <c r="I443" i="30"/>
  <c r="D443" i="30"/>
  <c r="L443" i="30"/>
  <c r="E420" i="30"/>
  <c r="M420" i="30"/>
  <c r="F420" i="30"/>
  <c r="N420" i="30"/>
  <c r="K420" i="30"/>
  <c r="G420" i="30"/>
  <c r="L420" i="30"/>
  <c r="J420" i="30"/>
  <c r="D420" i="30"/>
  <c r="I420" i="30"/>
  <c r="C420" i="30"/>
  <c r="H420" i="30"/>
  <c r="B420" i="30"/>
  <c r="O420" i="30" s="1" a="1"/>
  <c r="E406" i="30"/>
  <c r="B406" i="30"/>
  <c r="O406" i="30" s="1" a="1"/>
  <c r="N406" i="30"/>
  <c r="K406" i="30"/>
  <c r="H406" i="30"/>
  <c r="M406" i="30"/>
  <c r="C406" i="30"/>
  <c r="G406" i="30"/>
  <c r="D406" i="30"/>
  <c r="L406" i="30"/>
  <c r="F406" i="30"/>
  <c r="I406" i="30"/>
  <c r="J406" i="30"/>
  <c r="M383" i="30"/>
  <c r="B383" i="30"/>
  <c r="O383" i="30" s="1" a="1"/>
  <c r="G383" i="30"/>
  <c r="E383" i="30"/>
  <c r="K383" i="30"/>
  <c r="L383" i="30"/>
  <c r="C383" i="30"/>
  <c r="J383" i="30"/>
  <c r="H383" i="30"/>
  <c r="D383" i="30"/>
  <c r="F383" i="30"/>
  <c r="I383" i="30"/>
  <c r="N383" i="30"/>
  <c r="H348" i="30"/>
  <c r="E348" i="30"/>
  <c r="N348" i="30"/>
  <c r="M348" i="30"/>
  <c r="I348" i="30"/>
  <c r="L348" i="30"/>
  <c r="F348" i="30"/>
  <c r="J348" i="30"/>
  <c r="C348" i="30"/>
  <c r="D348" i="30"/>
  <c r="B348" i="30"/>
  <c r="O348" i="30" s="1" a="1"/>
  <c r="K348" i="30"/>
  <c r="G348" i="30"/>
  <c r="E312" i="30"/>
  <c r="N312" i="30"/>
  <c r="K312" i="30"/>
  <c r="H312" i="30"/>
  <c r="G312" i="30"/>
  <c r="M312" i="30"/>
  <c r="F312" i="30"/>
  <c r="J312" i="30"/>
  <c r="D312" i="30"/>
  <c r="B312" i="30"/>
  <c r="O312" i="30" s="1" a="1"/>
  <c r="L312" i="30"/>
  <c r="C312" i="30"/>
  <c r="I312" i="30"/>
  <c r="E302" i="30"/>
  <c r="B302" i="30"/>
  <c r="O302" i="30" s="1" a="1"/>
  <c r="H302" i="30"/>
  <c r="G302" i="30"/>
  <c r="K302" i="30"/>
  <c r="M302" i="30"/>
  <c r="F302" i="30"/>
  <c r="D302" i="30"/>
  <c r="N302" i="30"/>
  <c r="C302" i="30"/>
  <c r="J302" i="30"/>
  <c r="L302" i="30"/>
  <c r="I302" i="30"/>
  <c r="D295" i="30"/>
  <c r="N295" i="30"/>
  <c r="M295" i="30"/>
  <c r="H295" i="30"/>
  <c r="F295" i="30"/>
  <c r="B295" i="30"/>
  <c r="O295" i="30" s="1" a="1"/>
  <c r="C295" i="30"/>
  <c r="E295" i="30"/>
  <c r="G295" i="30"/>
  <c r="K295" i="30"/>
  <c r="J295" i="30"/>
  <c r="I295" i="30"/>
  <c r="L295" i="30"/>
  <c r="H275" i="30"/>
  <c r="K275" i="30"/>
  <c r="L275" i="30"/>
  <c r="B275" i="30"/>
  <c r="O275" i="30" s="1" a="1"/>
  <c r="D275" i="30"/>
  <c r="M275" i="30"/>
  <c r="I275" i="30"/>
  <c r="C275" i="30"/>
  <c r="E275" i="30"/>
  <c r="G275" i="30"/>
  <c r="N275" i="30"/>
  <c r="J275" i="30"/>
  <c r="F275" i="30"/>
  <c r="H256" i="30"/>
  <c r="D256" i="30"/>
  <c r="G256" i="30"/>
  <c r="J256" i="30"/>
  <c r="N256" i="30"/>
  <c r="K256" i="30"/>
  <c r="L256" i="30"/>
  <c r="I256" i="30"/>
  <c r="M256" i="30"/>
  <c r="F256" i="30"/>
  <c r="E256" i="30"/>
  <c r="C256" i="30"/>
  <c r="B256" i="30"/>
  <c r="O256" i="30" s="1" a="1"/>
  <c r="D234" i="30"/>
  <c r="L234" i="30"/>
  <c r="M234" i="30"/>
  <c r="K234" i="30"/>
  <c r="F234" i="30"/>
  <c r="H234" i="30"/>
  <c r="J234" i="30"/>
  <c r="E234" i="30"/>
  <c r="N234" i="30"/>
  <c r="G234" i="30"/>
  <c r="I234" i="30"/>
  <c r="C234" i="30"/>
  <c r="B234" i="30"/>
  <c r="O234" i="30" s="1" a="1"/>
  <c r="G213" i="30"/>
  <c r="K213" i="30"/>
  <c r="H213" i="30"/>
  <c r="L213" i="30"/>
  <c r="N213" i="30"/>
  <c r="J213" i="30"/>
  <c r="I213" i="30"/>
  <c r="E213" i="30"/>
  <c r="D213" i="30"/>
  <c r="M213" i="30"/>
  <c r="C213" i="30"/>
  <c r="B213" i="30"/>
  <c r="O213" i="30" s="1" a="1"/>
  <c r="F213" i="30"/>
  <c r="D204" i="30"/>
  <c r="H204" i="30"/>
  <c r="K204" i="30"/>
  <c r="E204" i="30"/>
  <c r="G204" i="30"/>
  <c r="B204" i="30"/>
  <c r="O204" i="30" s="1" a="1"/>
  <c r="M204" i="30"/>
  <c r="N204" i="30"/>
  <c r="I204" i="30"/>
  <c r="J204" i="30"/>
  <c r="L204" i="30"/>
  <c r="C204" i="30"/>
  <c r="F204" i="30"/>
  <c r="G184" i="30"/>
  <c r="B184" i="30"/>
  <c r="O184" i="30" s="1" a="1"/>
  <c r="N184" i="30"/>
  <c r="K184" i="30"/>
  <c r="E184" i="30"/>
  <c r="H184" i="30"/>
  <c r="M184" i="30"/>
  <c r="J184" i="30"/>
  <c r="I184" i="30"/>
  <c r="L184" i="30"/>
  <c r="F184" i="30"/>
  <c r="C184" i="30"/>
  <c r="D184" i="30"/>
  <c r="H159" i="30"/>
  <c r="E159" i="30"/>
  <c r="G159" i="30"/>
  <c r="K159" i="30"/>
  <c r="N159" i="30"/>
  <c r="J159" i="30"/>
  <c r="B159" i="30"/>
  <c r="O159" i="30" s="1" a="1"/>
  <c r="L159" i="30"/>
  <c r="I159" i="30"/>
  <c r="C159" i="30"/>
  <c r="M159" i="30"/>
  <c r="D159" i="30"/>
  <c r="F159" i="30"/>
  <c r="E143" i="30"/>
  <c r="N143" i="30"/>
  <c r="M143" i="30"/>
  <c r="K143" i="30"/>
  <c r="L143" i="30"/>
  <c r="F143" i="30"/>
  <c r="J143" i="30"/>
  <c r="D143" i="30"/>
  <c r="B143" i="30"/>
  <c r="O143" i="30" s="1" a="1"/>
  <c r="G143" i="30"/>
  <c r="I143" i="30"/>
  <c r="C143" i="30"/>
  <c r="H143" i="30"/>
  <c r="H134" i="30"/>
  <c r="K134" i="30"/>
  <c r="G134" i="30"/>
  <c r="D134" i="30"/>
  <c r="N134" i="30"/>
  <c r="C134" i="30"/>
  <c r="L134" i="30"/>
  <c r="F134" i="30"/>
  <c r="J134" i="30"/>
  <c r="I134" i="30"/>
  <c r="E134" i="30"/>
  <c r="B134" i="30"/>
  <c r="O134" i="30" s="1" a="1"/>
  <c r="M134" i="30"/>
  <c r="H99" i="30"/>
  <c r="E99" i="30"/>
  <c r="G99" i="30"/>
  <c r="B99" i="30"/>
  <c r="O99" i="30" s="1" a="1"/>
  <c r="J99" i="30"/>
  <c r="L99" i="30"/>
  <c r="K99" i="30"/>
  <c r="I99" i="30"/>
  <c r="C99" i="30"/>
  <c r="F99" i="30"/>
  <c r="D99" i="30"/>
  <c r="M99" i="30"/>
  <c r="N99" i="30"/>
  <c r="E81" i="30"/>
  <c r="N81" i="30"/>
  <c r="B81" i="30"/>
  <c r="O81" i="30" s="1" a="1"/>
  <c r="L81" i="30"/>
  <c r="K81" i="30"/>
  <c r="G81" i="30"/>
  <c r="C81" i="30"/>
  <c r="D81" i="30"/>
  <c r="M81" i="30"/>
  <c r="H81" i="30"/>
  <c r="F81" i="30"/>
  <c r="J81" i="30"/>
  <c r="I81" i="30"/>
  <c r="H49" i="30"/>
  <c r="B49" i="30"/>
  <c r="O49" i="30" s="1" a="1"/>
  <c r="L49" i="30"/>
  <c r="K49" i="30"/>
  <c r="F49" i="30"/>
  <c r="I49" i="30"/>
  <c r="D49" i="30"/>
  <c r="M49" i="30"/>
  <c r="G49" i="30"/>
  <c r="E49" i="30"/>
  <c r="N49" i="30"/>
  <c r="J49" i="30"/>
  <c r="C49" i="30"/>
  <c r="D30" i="30"/>
  <c r="H30" i="30"/>
  <c r="B30" i="30"/>
  <c r="O30" i="30" s="1" a="1"/>
  <c r="N30" i="30"/>
  <c r="E30" i="30"/>
  <c r="G30" i="30"/>
  <c r="C30" i="30"/>
  <c r="M30" i="30"/>
  <c r="F30" i="30"/>
  <c r="J30" i="30"/>
  <c r="L30" i="30"/>
  <c r="K30" i="30"/>
  <c r="I30" i="30"/>
  <c r="G14" i="30"/>
  <c r="M14" i="30"/>
  <c r="I14" i="30"/>
  <c r="D14" i="30"/>
  <c r="K14" i="30"/>
  <c r="L14" i="30"/>
  <c r="F14" i="30"/>
  <c r="N14" i="30"/>
  <c r="C14" i="30"/>
  <c r="E14" i="30"/>
  <c r="H14" i="30"/>
  <c r="B14" i="30"/>
  <c r="O14" i="30" s="1" a="1"/>
  <c r="J14" i="30"/>
  <c r="G605" i="30"/>
  <c r="K605" i="30"/>
  <c r="L605" i="30"/>
  <c r="B605" i="30"/>
  <c r="O605" i="30" s="1" a="1"/>
  <c r="E605" i="30"/>
  <c r="N605" i="30"/>
  <c r="I605" i="30"/>
  <c r="F605" i="30"/>
  <c r="H605" i="30"/>
  <c r="D605" i="30"/>
  <c r="M605" i="30"/>
  <c r="J605" i="30"/>
  <c r="C605" i="30"/>
  <c r="E583" i="30"/>
  <c r="M583" i="30"/>
  <c r="L583" i="30"/>
  <c r="K583" i="30"/>
  <c r="F583" i="30"/>
  <c r="D583" i="30"/>
  <c r="B583" i="30"/>
  <c r="O583" i="30" s="1" a="1"/>
  <c r="C583" i="30"/>
  <c r="I583" i="30"/>
  <c r="H583" i="30"/>
  <c r="N583" i="30"/>
  <c r="J583" i="30"/>
  <c r="G583" i="30"/>
  <c r="E570" i="30"/>
  <c r="H570" i="30"/>
  <c r="D570" i="30"/>
  <c r="G570" i="30"/>
  <c r="L570" i="30"/>
  <c r="J570" i="30"/>
  <c r="C570" i="30"/>
  <c r="F570" i="30"/>
  <c r="M570" i="30"/>
  <c r="B570" i="30"/>
  <c r="O570" i="30" s="1" a="1"/>
  <c r="I570" i="30"/>
  <c r="K570" i="30"/>
  <c r="N570" i="30"/>
  <c r="G552" i="30"/>
  <c r="L552" i="30"/>
  <c r="B552" i="30"/>
  <c r="O552" i="30" s="1" a="1"/>
  <c r="K552" i="30"/>
  <c r="E552" i="30"/>
  <c r="C552" i="30"/>
  <c r="H552" i="30"/>
  <c r="N552" i="30"/>
  <c r="F552" i="30"/>
  <c r="J552" i="30"/>
  <c r="D552" i="30"/>
  <c r="M552" i="30"/>
  <c r="I552" i="30"/>
  <c r="D517" i="30"/>
  <c r="G517" i="30"/>
  <c r="K517" i="30"/>
  <c r="B517" i="30"/>
  <c r="O517" i="30" s="1" a="1"/>
  <c r="N517" i="30"/>
  <c r="H517" i="30"/>
  <c r="L517" i="30"/>
  <c r="F517" i="30"/>
  <c r="I517" i="30"/>
  <c r="E517" i="30"/>
  <c r="M517" i="30"/>
  <c r="J517" i="30"/>
  <c r="C517" i="30"/>
  <c r="B487" i="30"/>
  <c r="O487" i="30" s="1" a="1"/>
  <c r="M487" i="30"/>
  <c r="F487" i="30"/>
  <c r="L487" i="30"/>
  <c r="K487" i="30"/>
  <c r="E487" i="30"/>
  <c r="J487" i="30"/>
  <c r="I487" i="30"/>
  <c r="N487" i="30"/>
  <c r="H487" i="30"/>
  <c r="C487" i="30"/>
  <c r="D487" i="30"/>
  <c r="G487" i="30"/>
  <c r="E463" i="30"/>
  <c r="N463" i="30"/>
  <c r="K463" i="30"/>
  <c r="F463" i="30"/>
  <c r="M463" i="30"/>
  <c r="L463" i="30"/>
  <c r="B463" i="30"/>
  <c r="O463" i="30" s="1" a="1"/>
  <c r="G463" i="30"/>
  <c r="I463" i="30"/>
  <c r="J463" i="30"/>
  <c r="C463" i="30"/>
  <c r="D463" i="30"/>
  <c r="H463" i="30"/>
  <c r="N441" i="30"/>
  <c r="F441" i="30"/>
  <c r="K441" i="30"/>
  <c r="M441" i="30"/>
  <c r="E441" i="30"/>
  <c r="B441" i="30"/>
  <c r="O441" i="30" s="1" a="1"/>
  <c r="H441" i="30"/>
  <c r="I441" i="30"/>
  <c r="G441" i="30"/>
  <c r="J441" i="30"/>
  <c r="C441" i="30"/>
  <c r="D441" i="30"/>
  <c r="L441" i="30"/>
  <c r="D435" i="30"/>
  <c r="H435" i="30"/>
  <c r="B435" i="30"/>
  <c r="O435" i="30" s="1" a="1"/>
  <c r="N435" i="30"/>
  <c r="L435" i="30"/>
  <c r="F435" i="30"/>
  <c r="J435" i="30"/>
  <c r="E435" i="30"/>
  <c r="G435" i="30"/>
  <c r="K435" i="30"/>
  <c r="M435" i="30"/>
  <c r="I435" i="30"/>
  <c r="C435" i="30"/>
  <c r="D422" i="30"/>
  <c r="L422" i="30"/>
  <c r="K422" i="30"/>
  <c r="B422" i="30"/>
  <c r="O422" i="30" s="1" a="1"/>
  <c r="I422" i="30"/>
  <c r="M422" i="30"/>
  <c r="H422" i="30"/>
  <c r="N422" i="30"/>
  <c r="C422" i="30"/>
  <c r="E422" i="30"/>
  <c r="G422" i="30"/>
  <c r="F422" i="30"/>
  <c r="J422" i="30"/>
  <c r="H397" i="30"/>
  <c r="N397" i="30"/>
  <c r="B397" i="30"/>
  <c r="O397" i="30" s="1" a="1"/>
  <c r="K397" i="30"/>
  <c r="D397" i="30"/>
  <c r="F397" i="30"/>
  <c r="I397" i="30"/>
  <c r="G397" i="30"/>
  <c r="E397" i="30"/>
  <c r="M397" i="30"/>
  <c r="C397" i="30"/>
  <c r="L397" i="30"/>
  <c r="J397" i="30"/>
  <c r="G377" i="30"/>
  <c r="L377" i="30"/>
  <c r="H377" i="30"/>
  <c r="B377" i="30"/>
  <c r="O377" i="30" s="1" a="1"/>
  <c r="F377" i="30"/>
  <c r="J377" i="30"/>
  <c r="D377" i="30"/>
  <c r="M377" i="30"/>
  <c r="N377" i="30"/>
  <c r="C377" i="30"/>
  <c r="E377" i="30"/>
  <c r="K377" i="30"/>
  <c r="I377" i="30"/>
  <c r="G324" i="30"/>
  <c r="F324" i="30"/>
  <c r="H324" i="30"/>
  <c r="K324" i="30"/>
  <c r="E324" i="30"/>
  <c r="N324" i="30"/>
  <c r="B324" i="30"/>
  <c r="O324" i="30" s="1" a="1"/>
  <c r="L324" i="30"/>
  <c r="J324" i="30"/>
  <c r="D324" i="30"/>
  <c r="M324" i="30"/>
  <c r="I324" i="30"/>
  <c r="C324" i="30"/>
  <c r="D287" i="30"/>
  <c r="G287" i="30"/>
  <c r="N287" i="30"/>
  <c r="L287" i="30"/>
  <c r="B287" i="30"/>
  <c r="O287" i="30" s="1" a="1"/>
  <c r="K287" i="30"/>
  <c r="H287" i="30"/>
  <c r="M287" i="30"/>
  <c r="J287" i="30"/>
  <c r="E287" i="30"/>
  <c r="F287" i="30"/>
  <c r="I287" i="30"/>
  <c r="C287" i="30"/>
  <c r="D277" i="30"/>
  <c r="G277" i="30"/>
  <c r="L277" i="30"/>
  <c r="B277" i="30"/>
  <c r="O277" i="30" s="1" a="1"/>
  <c r="K277" i="30"/>
  <c r="N277" i="30"/>
  <c r="J277" i="30"/>
  <c r="H277" i="30"/>
  <c r="F277" i="30"/>
  <c r="C277" i="30"/>
  <c r="E277" i="30"/>
  <c r="M277" i="30"/>
  <c r="I277" i="30"/>
  <c r="E258" i="30"/>
  <c r="F258" i="30"/>
  <c r="H258" i="30"/>
  <c r="G258" i="30"/>
  <c r="K258" i="30"/>
  <c r="B258" i="30"/>
  <c r="O258" i="30" s="1" a="1"/>
  <c r="J258" i="30"/>
  <c r="D258" i="30"/>
  <c r="M258" i="30"/>
  <c r="N258" i="30"/>
  <c r="I258" i="30"/>
  <c r="C258" i="30"/>
  <c r="L258" i="30"/>
  <c r="D241" i="30"/>
  <c r="G241" i="30"/>
  <c r="K241" i="30"/>
  <c r="F241" i="30"/>
  <c r="L241" i="30"/>
  <c r="N241" i="30"/>
  <c r="J241" i="30"/>
  <c r="H241" i="30"/>
  <c r="M241" i="30"/>
  <c r="B241" i="30"/>
  <c r="O241" i="30" s="1" a="1"/>
  <c r="I241" i="30"/>
  <c r="E241" i="30"/>
  <c r="C241" i="30"/>
  <c r="B232" i="30"/>
  <c r="O232" i="30" s="1" a="1"/>
  <c r="N232" i="30"/>
  <c r="K232" i="30"/>
  <c r="M232" i="30"/>
  <c r="F232" i="30"/>
  <c r="D232" i="30"/>
  <c r="G232" i="30"/>
  <c r="L232" i="30"/>
  <c r="I232" i="30"/>
  <c r="E232" i="30"/>
  <c r="H232" i="30"/>
  <c r="J232" i="30"/>
  <c r="C232" i="30"/>
  <c r="G219" i="30"/>
  <c r="E219" i="30"/>
  <c r="M219" i="30"/>
  <c r="N219" i="30"/>
  <c r="B219" i="30"/>
  <c r="O219" i="30" s="1" a="1"/>
  <c r="L219" i="30"/>
  <c r="H219" i="30"/>
  <c r="I219" i="30"/>
  <c r="C219" i="30"/>
  <c r="K219" i="30"/>
  <c r="D219" i="30"/>
  <c r="J219" i="30"/>
  <c r="F219" i="30"/>
  <c r="D192" i="30"/>
  <c r="K192" i="30"/>
  <c r="G192" i="30"/>
  <c r="M192" i="30"/>
  <c r="B192" i="30"/>
  <c r="O192" i="30" s="1" a="1"/>
  <c r="J192" i="30"/>
  <c r="E192" i="30"/>
  <c r="L192" i="30"/>
  <c r="N192" i="30"/>
  <c r="F192" i="30"/>
  <c r="C192" i="30"/>
  <c r="H192" i="30"/>
  <c r="I192" i="30"/>
  <c r="E181" i="30"/>
  <c r="B181" i="30"/>
  <c r="O181" i="30" s="1" a="1"/>
  <c r="K181" i="30"/>
  <c r="L181" i="30"/>
  <c r="M181" i="30"/>
  <c r="F181" i="30"/>
  <c r="N181" i="30"/>
  <c r="G181" i="30"/>
  <c r="H181" i="30"/>
  <c r="J181" i="30"/>
  <c r="I181" i="30"/>
  <c r="C181" i="30"/>
  <c r="D181" i="30"/>
  <c r="D79" i="30"/>
  <c r="F79" i="30"/>
  <c r="L79" i="30"/>
  <c r="M79" i="30"/>
  <c r="K79" i="30"/>
  <c r="E79" i="30"/>
  <c r="N79" i="30"/>
  <c r="H79" i="30"/>
  <c r="I79" i="30"/>
  <c r="J79" i="30"/>
  <c r="C79" i="30"/>
  <c r="B79" i="30"/>
  <c r="O79" i="30" s="1" a="1"/>
  <c r="G79" i="30"/>
  <c r="L37" i="30"/>
  <c r="B37" i="30"/>
  <c r="O37" i="30" s="1" a="1"/>
  <c r="N37" i="30"/>
  <c r="H37" i="30"/>
  <c r="K37" i="30"/>
  <c r="F37" i="30"/>
  <c r="E37" i="30"/>
  <c r="G37" i="30"/>
  <c r="J37" i="30"/>
  <c r="I37" i="30"/>
  <c r="D37" i="30"/>
  <c r="M37" i="30"/>
  <c r="C37" i="30"/>
  <c r="D18" i="30"/>
  <c r="F18" i="30"/>
  <c r="M18" i="30"/>
  <c r="L18" i="30"/>
  <c r="K18" i="30"/>
  <c r="E18" i="30"/>
  <c r="G18" i="30"/>
  <c r="I18" i="30"/>
  <c r="C18" i="30"/>
  <c r="N18" i="30"/>
  <c r="J18" i="30"/>
  <c r="B18" i="30"/>
  <c r="O18" i="30" s="1" a="1"/>
  <c r="H18" i="30"/>
  <c r="L574" i="30"/>
  <c r="F574" i="30"/>
  <c r="N574" i="30"/>
  <c r="B574" i="30"/>
  <c r="O574" i="30" s="1" a="1"/>
  <c r="M574" i="30"/>
  <c r="K574" i="30"/>
  <c r="H574" i="30"/>
  <c r="I574" i="30"/>
  <c r="C574" i="30"/>
  <c r="E574" i="30"/>
  <c r="J574" i="30"/>
  <c r="D574" i="30"/>
  <c r="G574" i="30"/>
  <c r="D569" i="30"/>
  <c r="L569" i="30"/>
  <c r="B569" i="30"/>
  <c r="O569" i="30" s="1" a="1"/>
  <c r="K569" i="30"/>
  <c r="E569" i="30"/>
  <c r="M569" i="30"/>
  <c r="J569" i="30"/>
  <c r="H569" i="30"/>
  <c r="N569" i="30"/>
  <c r="C569" i="30"/>
  <c r="G569" i="30"/>
  <c r="F569" i="30"/>
  <c r="I569" i="30"/>
  <c r="G553" i="30"/>
  <c r="B553" i="30"/>
  <c r="O553" i="30" s="1" a="1"/>
  <c r="L553" i="30"/>
  <c r="N553" i="30"/>
  <c r="C553" i="30"/>
  <c r="E553" i="30"/>
  <c r="H553" i="30"/>
  <c r="K553" i="30"/>
  <c r="J553" i="30"/>
  <c r="F553" i="30"/>
  <c r="D553" i="30"/>
  <c r="M553" i="30"/>
  <c r="I553" i="30"/>
  <c r="L537" i="30"/>
  <c r="K537" i="30"/>
  <c r="F537" i="30"/>
  <c r="N537" i="30"/>
  <c r="J537" i="30"/>
  <c r="G537" i="30"/>
  <c r="C537" i="30"/>
  <c r="E537" i="30"/>
  <c r="M537" i="30"/>
  <c r="D537" i="30"/>
  <c r="B537" i="30"/>
  <c r="O537" i="30" s="1" a="1"/>
  <c r="I537" i="30"/>
  <c r="H537" i="30"/>
  <c r="D533" i="30"/>
  <c r="L533" i="30"/>
  <c r="G533" i="30"/>
  <c r="N533" i="30"/>
  <c r="B533" i="30"/>
  <c r="O533" i="30" s="1" a="1"/>
  <c r="E533" i="30"/>
  <c r="K533" i="30"/>
  <c r="J533" i="30"/>
  <c r="H533" i="30"/>
  <c r="F533" i="30"/>
  <c r="M533" i="30"/>
  <c r="I533" i="30"/>
  <c r="C533" i="30"/>
  <c r="M525" i="30"/>
  <c r="B525" i="30"/>
  <c r="O525" i="30" s="1" a="1"/>
  <c r="G525" i="30"/>
  <c r="L525" i="30"/>
  <c r="E525" i="30"/>
  <c r="H525" i="30"/>
  <c r="F525" i="30"/>
  <c r="J525" i="30"/>
  <c r="D525" i="30"/>
  <c r="N525" i="30"/>
  <c r="K525" i="30"/>
  <c r="I525" i="30"/>
  <c r="C525" i="30"/>
  <c r="D515" i="30"/>
  <c r="N515" i="30"/>
  <c r="B515" i="30"/>
  <c r="O515" i="30" s="1" a="1"/>
  <c r="L515" i="30"/>
  <c r="E515" i="30"/>
  <c r="G515" i="30"/>
  <c r="F515" i="30"/>
  <c r="I515" i="30"/>
  <c r="K515" i="30"/>
  <c r="H515" i="30"/>
  <c r="M515" i="30"/>
  <c r="J515" i="30"/>
  <c r="C515" i="30"/>
  <c r="H509" i="30"/>
  <c r="B509" i="30"/>
  <c r="O509" i="30" s="1" a="1"/>
  <c r="L509" i="30"/>
  <c r="K509" i="30"/>
  <c r="G509" i="30"/>
  <c r="N509" i="30"/>
  <c r="J509" i="30"/>
  <c r="E509" i="30"/>
  <c r="M509" i="30"/>
  <c r="I509" i="30"/>
  <c r="D509" i="30"/>
  <c r="F509" i="30"/>
  <c r="C509" i="30"/>
  <c r="D507" i="30"/>
  <c r="F507" i="30"/>
  <c r="M507" i="30"/>
  <c r="L507" i="30"/>
  <c r="K507" i="30"/>
  <c r="E507" i="30"/>
  <c r="N507" i="30"/>
  <c r="H507" i="30"/>
  <c r="J507" i="30"/>
  <c r="I507" i="30"/>
  <c r="G507" i="30"/>
  <c r="B507" i="30"/>
  <c r="O507" i="30" s="1" a="1"/>
  <c r="C507" i="30"/>
  <c r="L502" i="30"/>
  <c r="F502" i="30"/>
  <c r="M502" i="30"/>
  <c r="K502" i="30"/>
  <c r="J502" i="30"/>
  <c r="I502" i="30"/>
  <c r="E502" i="30"/>
  <c r="B502" i="30"/>
  <c r="O502" i="30" s="1" a="1"/>
  <c r="G502" i="30"/>
  <c r="D502" i="30"/>
  <c r="N502" i="30"/>
  <c r="H502" i="30"/>
  <c r="C502" i="30"/>
  <c r="L492" i="30"/>
  <c r="B492" i="30"/>
  <c r="O492" i="30" s="1" a="1"/>
  <c r="K492" i="30"/>
  <c r="J492" i="30"/>
  <c r="H492" i="30"/>
  <c r="E492" i="30"/>
  <c r="M492" i="30"/>
  <c r="I492" i="30"/>
  <c r="C492" i="30"/>
  <c r="G492" i="30"/>
  <c r="D492" i="30"/>
  <c r="N492" i="30"/>
  <c r="F492" i="30"/>
  <c r="G438" i="30"/>
  <c r="L438" i="30"/>
  <c r="N438" i="30"/>
  <c r="B438" i="30"/>
  <c r="O438" i="30" s="1" a="1"/>
  <c r="H438" i="30"/>
  <c r="C438" i="30"/>
  <c r="E438" i="30"/>
  <c r="M438" i="30"/>
  <c r="F438" i="30"/>
  <c r="I438" i="30"/>
  <c r="D438" i="30"/>
  <c r="K438" i="30"/>
  <c r="J438" i="30"/>
  <c r="G421" i="30"/>
  <c r="N421" i="30"/>
  <c r="B421" i="30"/>
  <c r="O421" i="30" s="1" a="1"/>
  <c r="K421" i="30"/>
  <c r="M421" i="30"/>
  <c r="F421" i="30"/>
  <c r="C421" i="30"/>
  <c r="E421" i="30"/>
  <c r="L421" i="30"/>
  <c r="I421" i="30"/>
  <c r="H421" i="30"/>
  <c r="D421" i="30"/>
  <c r="J421" i="30"/>
  <c r="K304" i="30"/>
  <c r="M304" i="30"/>
  <c r="N304" i="30"/>
  <c r="F304" i="30"/>
  <c r="J304" i="30"/>
  <c r="E304" i="30"/>
  <c r="H304" i="30"/>
  <c r="B304" i="30"/>
  <c r="O304" i="30" s="1" a="1"/>
  <c r="L304" i="30"/>
  <c r="C304" i="30"/>
  <c r="D304" i="30"/>
  <c r="G304" i="30"/>
  <c r="I304" i="30"/>
  <c r="K283" i="30"/>
  <c r="F283" i="30"/>
  <c r="E283" i="30"/>
  <c r="L283" i="30"/>
  <c r="C283" i="30"/>
  <c r="N283" i="30"/>
  <c r="M283" i="30"/>
  <c r="H283" i="30"/>
  <c r="I283" i="30"/>
  <c r="B283" i="30"/>
  <c r="O283" i="30" s="1" a="1"/>
  <c r="D283" i="30"/>
  <c r="G283" i="30"/>
  <c r="J283" i="30"/>
  <c r="E278" i="30"/>
  <c r="K278" i="30"/>
  <c r="H278" i="30"/>
  <c r="M278" i="30"/>
  <c r="L278" i="30"/>
  <c r="C278" i="30"/>
  <c r="D278" i="30"/>
  <c r="N278" i="30"/>
  <c r="B278" i="30"/>
  <c r="O278" i="30" s="1" a="1"/>
  <c r="F278" i="30"/>
  <c r="J278" i="30"/>
  <c r="G278" i="30"/>
  <c r="I278" i="30"/>
  <c r="H242" i="30"/>
  <c r="G242" i="30"/>
  <c r="D242" i="30"/>
  <c r="M242" i="30"/>
  <c r="B242" i="30"/>
  <c r="O242" i="30" s="1" a="1"/>
  <c r="L242" i="30"/>
  <c r="N242" i="30"/>
  <c r="C242" i="30"/>
  <c r="E242" i="30"/>
  <c r="J242" i="30"/>
  <c r="K242" i="30"/>
  <c r="F242" i="30"/>
  <c r="I242" i="30"/>
  <c r="E223" i="30"/>
  <c r="K223" i="30"/>
  <c r="F223" i="30"/>
  <c r="D223" i="30"/>
  <c r="G223" i="30"/>
  <c r="J223" i="30"/>
  <c r="B223" i="30"/>
  <c r="O223" i="30" s="1" a="1"/>
  <c r="M223" i="30"/>
  <c r="H223" i="30"/>
  <c r="C223" i="30"/>
  <c r="N223" i="30"/>
  <c r="L223" i="30"/>
  <c r="I223" i="30"/>
  <c r="E211" i="30"/>
  <c r="K211" i="30"/>
  <c r="N211" i="30"/>
  <c r="M211" i="30"/>
  <c r="L211" i="30"/>
  <c r="B211" i="30"/>
  <c r="O211" i="30" s="1" a="1"/>
  <c r="F211" i="30"/>
  <c r="D211" i="30"/>
  <c r="G211" i="30"/>
  <c r="J211" i="30"/>
  <c r="I211" i="30"/>
  <c r="C211" i="30"/>
  <c r="H211" i="30"/>
  <c r="G196" i="30"/>
  <c r="B196" i="30"/>
  <c r="O196" i="30" s="1" a="1"/>
  <c r="N196" i="30"/>
  <c r="H196" i="30"/>
  <c r="F196" i="30"/>
  <c r="C196" i="30"/>
  <c r="D196" i="30"/>
  <c r="K196" i="30"/>
  <c r="M196" i="30"/>
  <c r="I196" i="30"/>
  <c r="E196" i="30"/>
  <c r="L196" i="30"/>
  <c r="J196" i="30"/>
  <c r="D157" i="30"/>
  <c r="H157" i="30"/>
  <c r="E157" i="30"/>
  <c r="G157" i="30"/>
  <c r="L157" i="30"/>
  <c r="N157" i="30"/>
  <c r="I157" i="30"/>
  <c r="B157" i="30"/>
  <c r="O157" i="30" s="1" a="1"/>
  <c r="F157" i="30"/>
  <c r="C157" i="30"/>
  <c r="K157" i="30"/>
  <c r="M157" i="30"/>
  <c r="J157" i="30"/>
  <c r="K141" i="30"/>
  <c r="M141" i="30"/>
  <c r="H141" i="30"/>
  <c r="B141" i="30"/>
  <c r="O141" i="30" s="1" a="1"/>
  <c r="F141" i="30"/>
  <c r="I141" i="30"/>
  <c r="J141" i="30"/>
  <c r="D141" i="30"/>
  <c r="N141" i="30"/>
  <c r="E141" i="30"/>
  <c r="G141" i="30"/>
  <c r="L141" i="30"/>
  <c r="C141" i="30"/>
  <c r="H127" i="30"/>
  <c r="D127" i="30"/>
  <c r="K127" i="30"/>
  <c r="N127" i="30"/>
  <c r="B127" i="30"/>
  <c r="O127" i="30" s="1" a="1"/>
  <c r="L127" i="30"/>
  <c r="G127" i="30"/>
  <c r="E127" i="30"/>
  <c r="M127" i="30"/>
  <c r="F127" i="30"/>
  <c r="I127" i="30"/>
  <c r="C127" i="30"/>
  <c r="J127" i="30"/>
  <c r="L74" i="30"/>
  <c r="M74" i="30"/>
  <c r="F74" i="30"/>
  <c r="N74" i="30"/>
  <c r="K74" i="30"/>
  <c r="E74" i="30"/>
  <c r="B74" i="30"/>
  <c r="O74" i="30" s="1" a="1"/>
  <c r="I74" i="30"/>
  <c r="G74" i="30"/>
  <c r="J74" i="30"/>
  <c r="C74" i="30"/>
  <c r="D74" i="30"/>
  <c r="H74" i="30"/>
  <c r="E70" i="30"/>
  <c r="M70" i="30"/>
  <c r="L70" i="30"/>
  <c r="B70" i="30"/>
  <c r="O70" i="30" s="1" a="1"/>
  <c r="K70" i="30"/>
  <c r="H70" i="30"/>
  <c r="C70" i="30"/>
  <c r="F70" i="30"/>
  <c r="D70" i="30"/>
  <c r="G70" i="30"/>
  <c r="J70" i="30"/>
  <c r="N70" i="30"/>
  <c r="I70" i="30"/>
  <c r="E59" i="30"/>
  <c r="L59" i="30"/>
  <c r="B59" i="30"/>
  <c r="O59" i="30" s="1" a="1"/>
  <c r="N59" i="30"/>
  <c r="D59" i="30"/>
  <c r="K59" i="30"/>
  <c r="F59" i="30"/>
  <c r="J59" i="30"/>
  <c r="H59" i="30"/>
  <c r="M59" i="30"/>
  <c r="I59" i="30"/>
  <c r="G59" i="30"/>
  <c r="C59" i="30"/>
  <c r="E51" i="30"/>
  <c r="L51" i="30"/>
  <c r="H51" i="30"/>
  <c r="K51" i="30"/>
  <c r="B51" i="30"/>
  <c r="O51" i="30" s="1" a="1"/>
  <c r="N51" i="30"/>
  <c r="D51" i="30"/>
  <c r="G51" i="30"/>
  <c r="J51" i="30"/>
  <c r="I51" i="30"/>
  <c r="M51" i="30"/>
  <c r="F51" i="30"/>
  <c r="C51" i="30"/>
  <c r="E43" i="30"/>
  <c r="K43" i="30"/>
  <c r="N43" i="30"/>
  <c r="L43" i="30"/>
  <c r="B43" i="30"/>
  <c r="O43" i="30" s="1" a="1"/>
  <c r="D43" i="30"/>
  <c r="M43" i="30"/>
  <c r="F43" i="30"/>
  <c r="C43" i="30"/>
  <c r="G43" i="30"/>
  <c r="I43" i="30"/>
  <c r="H43" i="30"/>
  <c r="J43" i="30"/>
  <c r="E34" i="30"/>
  <c r="B34" i="30"/>
  <c r="O34" i="30" s="1" a="1"/>
  <c r="N34" i="30"/>
  <c r="K34" i="30"/>
  <c r="D34" i="30"/>
  <c r="M34" i="30"/>
  <c r="G34" i="30"/>
  <c r="C34" i="30"/>
  <c r="L34" i="30"/>
  <c r="F34" i="30"/>
  <c r="I34" i="30"/>
  <c r="H34" i="30"/>
  <c r="J34" i="30"/>
  <c r="B15" i="30"/>
  <c r="O15" i="30" s="1" a="1"/>
  <c r="F15" i="30"/>
  <c r="M15" i="30"/>
  <c r="N15" i="30"/>
  <c r="K15" i="30"/>
  <c r="G15" i="30"/>
  <c r="J15" i="30"/>
  <c r="I15" i="30"/>
  <c r="E15" i="30"/>
  <c r="H15" i="30"/>
  <c r="C15" i="30"/>
  <c r="D15" i="30"/>
  <c r="L15" i="30"/>
  <c r="H612" i="30"/>
  <c r="B612" i="30"/>
  <c r="O612" i="30" s="1" a="1"/>
  <c r="L612" i="30"/>
  <c r="K612" i="30"/>
  <c r="D612" i="30"/>
  <c r="M612" i="30"/>
  <c r="C612" i="30"/>
  <c r="E612" i="30"/>
  <c r="N612" i="30"/>
  <c r="G612" i="30"/>
  <c r="F612" i="30"/>
  <c r="I612" i="30"/>
  <c r="J612" i="30"/>
  <c r="N606" i="30"/>
  <c r="B606" i="30"/>
  <c r="O606" i="30" s="1" a="1"/>
  <c r="L606" i="30"/>
  <c r="K606" i="30"/>
  <c r="H606" i="30"/>
  <c r="J606" i="30"/>
  <c r="D606" i="30"/>
  <c r="C606" i="30"/>
  <c r="E606" i="30"/>
  <c r="M606" i="30"/>
  <c r="G606" i="30"/>
  <c r="F606" i="30"/>
  <c r="I606" i="30"/>
  <c r="L597" i="30"/>
  <c r="N597" i="30"/>
  <c r="F597" i="30"/>
  <c r="G597" i="30"/>
  <c r="H597" i="30"/>
  <c r="M597" i="30"/>
  <c r="K597" i="30"/>
  <c r="I597" i="30"/>
  <c r="D597" i="30"/>
  <c r="J597" i="30"/>
  <c r="C597" i="30"/>
  <c r="E597" i="30"/>
  <c r="B597" i="30"/>
  <c r="O597" i="30" s="1" a="1"/>
  <c r="B585" i="30"/>
  <c r="O585" i="30" s="1" a="1"/>
  <c r="F585" i="30"/>
  <c r="N585" i="30"/>
  <c r="M585" i="30"/>
  <c r="K585" i="30"/>
  <c r="D585" i="30"/>
  <c r="H585" i="30"/>
  <c r="I585" i="30"/>
  <c r="C585" i="30"/>
  <c r="J585" i="30"/>
  <c r="E585" i="30"/>
  <c r="L585" i="30"/>
  <c r="G585" i="30"/>
  <c r="M573" i="30"/>
  <c r="K573" i="30"/>
  <c r="B573" i="30"/>
  <c r="O573" i="30" s="1" a="1"/>
  <c r="L573" i="30"/>
  <c r="N573" i="30"/>
  <c r="D573" i="30"/>
  <c r="J573" i="30"/>
  <c r="F573" i="30"/>
  <c r="I573" i="30"/>
  <c r="E573" i="30"/>
  <c r="H573" i="30"/>
  <c r="G573" i="30"/>
  <c r="C573" i="30"/>
  <c r="L514" i="30"/>
  <c r="N514" i="30"/>
  <c r="M514" i="30"/>
  <c r="F514" i="30"/>
  <c r="K514" i="30"/>
  <c r="E514" i="30"/>
  <c r="G514" i="30"/>
  <c r="I514" i="30"/>
  <c r="C514" i="30"/>
  <c r="H514" i="30"/>
  <c r="J514" i="30"/>
  <c r="D514" i="30"/>
  <c r="B514" i="30"/>
  <c r="O514" i="30" s="1" a="1"/>
  <c r="E510" i="30"/>
  <c r="L510" i="30"/>
  <c r="F510" i="30"/>
  <c r="M510" i="30"/>
  <c r="K510" i="30"/>
  <c r="B510" i="30"/>
  <c r="O510" i="30" s="1" a="1"/>
  <c r="I510" i="30"/>
  <c r="D510" i="30"/>
  <c r="H510" i="30"/>
  <c r="J510" i="30"/>
  <c r="C510" i="30"/>
  <c r="N510" i="30"/>
  <c r="G510" i="30"/>
  <c r="E498" i="30"/>
  <c r="H498" i="30"/>
  <c r="K498" i="30"/>
  <c r="N498" i="30"/>
  <c r="B498" i="30"/>
  <c r="O498" i="30" s="1" a="1"/>
  <c r="D498" i="30"/>
  <c r="C498" i="30"/>
  <c r="J498" i="30"/>
  <c r="L498" i="30"/>
  <c r="F498" i="30"/>
  <c r="M498" i="30"/>
  <c r="G498" i="30"/>
  <c r="I498" i="30"/>
  <c r="E484" i="30"/>
  <c r="L484" i="30"/>
  <c r="B484" i="30"/>
  <c r="O484" i="30" s="1" a="1"/>
  <c r="K484" i="30"/>
  <c r="H484" i="30"/>
  <c r="D484" i="30"/>
  <c r="C484" i="30"/>
  <c r="N484" i="30"/>
  <c r="J484" i="30"/>
  <c r="G484" i="30"/>
  <c r="M484" i="30"/>
  <c r="F484" i="30"/>
  <c r="I484" i="30"/>
  <c r="E469" i="30"/>
  <c r="L469" i="30"/>
  <c r="H469" i="30"/>
  <c r="K469" i="30"/>
  <c r="B469" i="30"/>
  <c r="O469" i="30" s="1" a="1"/>
  <c r="N469" i="30"/>
  <c r="D469" i="30"/>
  <c r="C469" i="30"/>
  <c r="I469" i="30"/>
  <c r="M469" i="30"/>
  <c r="F469" i="30"/>
  <c r="J469" i="30"/>
  <c r="G469" i="30"/>
  <c r="H449" i="30"/>
  <c r="N449" i="30"/>
  <c r="B449" i="30"/>
  <c r="O449" i="30" s="1" a="1"/>
  <c r="K449" i="30"/>
  <c r="L449" i="30"/>
  <c r="C449" i="30"/>
  <c r="E449" i="30"/>
  <c r="M449" i="30"/>
  <c r="F449" i="30"/>
  <c r="J449" i="30"/>
  <c r="D449" i="30"/>
  <c r="G449" i="30"/>
  <c r="I449" i="30"/>
  <c r="G440" i="30"/>
  <c r="D440" i="30"/>
  <c r="L440" i="30"/>
  <c r="B440" i="30"/>
  <c r="O440" i="30" s="1" a="1"/>
  <c r="K440" i="30"/>
  <c r="N440" i="30"/>
  <c r="F440" i="30"/>
  <c r="C440" i="30"/>
  <c r="H440" i="30"/>
  <c r="E440" i="30"/>
  <c r="I440" i="30"/>
  <c r="M440" i="30"/>
  <c r="J440" i="30"/>
  <c r="H409" i="30"/>
  <c r="L409" i="30"/>
  <c r="B409" i="30"/>
  <c r="O409" i="30" s="1" a="1"/>
  <c r="D409" i="30"/>
  <c r="G409" i="30"/>
  <c r="K409" i="30"/>
  <c r="N409" i="30"/>
  <c r="F409" i="30"/>
  <c r="I409" i="30"/>
  <c r="E409" i="30"/>
  <c r="M409" i="30"/>
  <c r="C409" i="30"/>
  <c r="J409" i="30"/>
  <c r="E372" i="30"/>
  <c r="H372" i="30"/>
  <c r="L372" i="30"/>
  <c r="N372" i="30"/>
  <c r="F372" i="30"/>
  <c r="D372" i="30"/>
  <c r="G372" i="30"/>
  <c r="B372" i="30"/>
  <c r="O372" i="30" s="1" a="1"/>
  <c r="J372" i="30"/>
  <c r="K372" i="30"/>
  <c r="M372" i="30"/>
  <c r="C372" i="30"/>
  <c r="I372" i="30"/>
  <c r="B347" i="30"/>
  <c r="O347" i="30" s="1" a="1"/>
  <c r="K347" i="30"/>
  <c r="M347" i="30"/>
  <c r="G347" i="30"/>
  <c r="I347" i="30"/>
  <c r="L347" i="30"/>
  <c r="D347" i="30"/>
  <c r="N347" i="30"/>
  <c r="J347" i="30"/>
  <c r="C347" i="30"/>
  <c r="E347" i="30"/>
  <c r="H347" i="30"/>
  <c r="F347" i="30"/>
  <c r="L311" i="30"/>
  <c r="K311" i="30"/>
  <c r="F311" i="30"/>
  <c r="E311" i="30"/>
  <c r="I311" i="30"/>
  <c r="B311" i="30"/>
  <c r="O311" i="30" s="1" a="1"/>
  <c r="G311" i="30"/>
  <c r="J311" i="30"/>
  <c r="C311" i="30"/>
  <c r="N311" i="30"/>
  <c r="D311" i="30"/>
  <c r="M311" i="30"/>
  <c r="H311" i="30"/>
  <c r="D284" i="30"/>
  <c r="B284" i="30"/>
  <c r="O284" i="30" s="1" a="1"/>
  <c r="N284" i="30"/>
  <c r="C284" i="30"/>
  <c r="I284" i="30"/>
  <c r="H284" i="30"/>
  <c r="E284" i="30"/>
  <c r="K284" i="30"/>
  <c r="L284" i="30"/>
  <c r="F284" i="30"/>
  <c r="G284" i="30"/>
  <c r="M284" i="30"/>
  <c r="J284" i="30"/>
  <c r="B271" i="30"/>
  <c r="O271" i="30" s="1" a="1"/>
  <c r="G271" i="30"/>
  <c r="N271" i="30"/>
  <c r="M271" i="30"/>
  <c r="H271" i="30"/>
  <c r="F271" i="30"/>
  <c r="K271" i="30"/>
  <c r="E271" i="30"/>
  <c r="J271" i="30"/>
  <c r="D271" i="30"/>
  <c r="C271" i="30"/>
  <c r="L271" i="30"/>
  <c r="I271" i="30"/>
  <c r="D261" i="30"/>
  <c r="M261" i="30"/>
  <c r="L261" i="30"/>
  <c r="B261" i="30"/>
  <c r="O261" i="30" s="1" a="1"/>
  <c r="K261" i="30"/>
  <c r="G261" i="30"/>
  <c r="J261" i="30"/>
  <c r="N261" i="30"/>
  <c r="F261" i="30"/>
  <c r="E261" i="30"/>
  <c r="H261" i="30"/>
  <c r="C261" i="30"/>
  <c r="I261" i="30"/>
  <c r="L240" i="30"/>
  <c r="H240" i="30"/>
  <c r="M240" i="30"/>
  <c r="N240" i="30"/>
  <c r="F240" i="30"/>
  <c r="G240" i="30"/>
  <c r="K240" i="30"/>
  <c r="E240" i="30"/>
  <c r="I240" i="30"/>
  <c r="J240" i="30"/>
  <c r="C240" i="30"/>
  <c r="D240" i="30"/>
  <c r="B240" i="30"/>
  <c r="O240" i="30" s="1" a="1"/>
  <c r="N220" i="30"/>
  <c r="M220" i="30"/>
  <c r="K220" i="30"/>
  <c r="F220" i="30"/>
  <c r="D220" i="30"/>
  <c r="H220" i="30"/>
  <c r="J220" i="30"/>
  <c r="C220" i="30"/>
  <c r="I220" i="30"/>
  <c r="B220" i="30"/>
  <c r="O220" i="30" s="1" a="1"/>
  <c r="E220" i="30"/>
  <c r="L220" i="30"/>
  <c r="G220" i="30"/>
  <c r="G205" i="30"/>
  <c r="E205" i="30"/>
  <c r="M205" i="30"/>
  <c r="L205" i="30"/>
  <c r="N205" i="30"/>
  <c r="B205" i="30"/>
  <c r="O205" i="30" s="1" a="1"/>
  <c r="F205" i="30"/>
  <c r="K205" i="30"/>
  <c r="H205" i="30"/>
  <c r="I205" i="30"/>
  <c r="J205" i="30"/>
  <c r="D205" i="30"/>
  <c r="C205" i="30"/>
  <c r="L189" i="30"/>
  <c r="K189" i="30"/>
  <c r="H189" i="30"/>
  <c r="G189" i="30"/>
  <c r="B189" i="30"/>
  <c r="O189" i="30" s="1" a="1"/>
  <c r="C189" i="30"/>
  <c r="E189" i="30"/>
  <c r="N189" i="30"/>
  <c r="F189" i="30"/>
  <c r="J189" i="30"/>
  <c r="D189" i="30"/>
  <c r="M189" i="30"/>
  <c r="I189" i="30"/>
  <c r="M173" i="30"/>
  <c r="K173" i="30"/>
  <c r="H173" i="30"/>
  <c r="G173" i="30"/>
  <c r="D173" i="30"/>
  <c r="L173" i="30"/>
  <c r="C173" i="30"/>
  <c r="N173" i="30"/>
  <c r="F173" i="30"/>
  <c r="J173" i="30"/>
  <c r="E173" i="30"/>
  <c r="B173" i="30"/>
  <c r="O173" i="30" s="1" a="1"/>
  <c r="I173" i="30"/>
  <c r="B160" i="30"/>
  <c r="O160" i="30" s="1" a="1"/>
  <c r="H160" i="30"/>
  <c r="G160" i="30"/>
  <c r="K160" i="30"/>
  <c r="N160" i="30"/>
  <c r="C160" i="30"/>
  <c r="J160" i="30"/>
  <c r="D160" i="30"/>
  <c r="M160" i="30"/>
  <c r="F160" i="30"/>
  <c r="I160" i="30"/>
  <c r="E160" i="30"/>
  <c r="L160" i="30"/>
  <c r="D149" i="30"/>
  <c r="N149" i="30"/>
  <c r="F149" i="30"/>
  <c r="M149" i="30"/>
  <c r="L149" i="30"/>
  <c r="B149" i="30"/>
  <c r="O149" i="30" s="1" a="1"/>
  <c r="H149" i="30"/>
  <c r="K149" i="30"/>
  <c r="G149" i="30"/>
  <c r="J149" i="30"/>
  <c r="C149" i="30"/>
  <c r="E149" i="30"/>
  <c r="I149" i="30"/>
  <c r="G132" i="30"/>
  <c r="B132" i="30"/>
  <c r="O132" i="30" s="1" a="1"/>
  <c r="N132" i="30"/>
  <c r="K132" i="30"/>
  <c r="M132" i="30"/>
  <c r="F132" i="30"/>
  <c r="L132" i="30"/>
  <c r="E132" i="30"/>
  <c r="H132" i="30"/>
  <c r="J132" i="30"/>
  <c r="D132" i="30"/>
  <c r="I132" i="30"/>
  <c r="C132" i="30"/>
  <c r="E116" i="30"/>
  <c r="L116" i="30"/>
  <c r="M116" i="30"/>
  <c r="G116" i="30"/>
  <c r="B116" i="30"/>
  <c r="O116" i="30" s="1" a="1"/>
  <c r="I116" i="30"/>
  <c r="K116" i="30"/>
  <c r="N116" i="30"/>
  <c r="F116" i="30"/>
  <c r="C116" i="30"/>
  <c r="D116" i="30"/>
  <c r="H116" i="30"/>
  <c r="J116" i="30"/>
  <c r="K92" i="30"/>
  <c r="N92" i="30"/>
  <c r="L92" i="30"/>
  <c r="B92" i="30"/>
  <c r="O92" i="30" s="1" a="1"/>
  <c r="D92" i="30"/>
  <c r="H92" i="30"/>
  <c r="F92" i="30"/>
  <c r="J92" i="30"/>
  <c r="E92" i="30"/>
  <c r="G92" i="30"/>
  <c r="M92" i="30"/>
  <c r="C92" i="30"/>
  <c r="I92" i="30"/>
  <c r="G80" i="30"/>
  <c r="D80" i="30"/>
  <c r="L80" i="30"/>
  <c r="B80" i="30"/>
  <c r="O80" i="30" s="1" a="1"/>
  <c r="K80" i="30"/>
  <c r="M80" i="30"/>
  <c r="N80" i="30"/>
  <c r="H80" i="30"/>
  <c r="C80" i="30"/>
  <c r="I80" i="30"/>
  <c r="E80" i="30"/>
  <c r="F80" i="30"/>
  <c r="J80" i="30"/>
  <c r="B57" i="30"/>
  <c r="O57" i="30" s="1" a="1"/>
  <c r="L57" i="30"/>
  <c r="N57" i="30"/>
  <c r="F57" i="30"/>
  <c r="M57" i="30"/>
  <c r="K57" i="30"/>
  <c r="D57" i="30"/>
  <c r="C57" i="30"/>
  <c r="G57" i="30"/>
  <c r="J57" i="30"/>
  <c r="I57" i="30"/>
  <c r="E57" i="30"/>
  <c r="H57" i="30"/>
  <c r="M48" i="30"/>
  <c r="N48" i="30"/>
  <c r="F48" i="30"/>
  <c r="K48" i="30"/>
  <c r="D48" i="30"/>
  <c r="H48" i="30"/>
  <c r="I48" i="30"/>
  <c r="C48" i="30"/>
  <c r="G48" i="30"/>
  <c r="J48" i="30"/>
  <c r="E48" i="30"/>
  <c r="B48" i="30"/>
  <c r="O48" i="30" s="1" a="1"/>
  <c r="L48" i="30"/>
  <c r="D36" i="30"/>
  <c r="L36" i="30"/>
  <c r="N36" i="30"/>
  <c r="B36" i="30"/>
  <c r="O36" i="30" s="1" a="1"/>
  <c r="G36" i="30"/>
  <c r="F36" i="30"/>
  <c r="C36" i="30"/>
  <c r="H36" i="30"/>
  <c r="M36" i="30"/>
  <c r="J36" i="30"/>
  <c r="E36" i="30"/>
  <c r="K36" i="30"/>
  <c r="I36" i="30"/>
  <c r="E22" i="30"/>
  <c r="M22" i="30"/>
  <c r="L22" i="30"/>
  <c r="H22" i="30"/>
  <c r="K22" i="30"/>
  <c r="N22" i="30"/>
  <c r="B22" i="30"/>
  <c r="O22" i="30" s="1" a="1"/>
  <c r="D22" i="30"/>
  <c r="J22" i="30"/>
  <c r="F22" i="30"/>
  <c r="C22" i="30"/>
  <c r="G22" i="30"/>
  <c r="I22" i="30"/>
  <c r="D5" i="30"/>
  <c r="M5" i="30"/>
  <c r="B5" i="30"/>
  <c r="O5" i="30" s="1" a="1"/>
  <c r="N5" i="30"/>
  <c r="L5" i="30"/>
  <c r="I5" i="30"/>
  <c r="F5" i="30"/>
  <c r="J5" i="30"/>
  <c r="C5" i="30"/>
  <c r="E5" i="30"/>
  <c r="G5" i="30"/>
  <c r="H5" i="30"/>
  <c r="K5" i="30"/>
  <c r="E587" i="30"/>
  <c r="L587" i="30"/>
  <c r="I587" i="30"/>
  <c r="J587" i="30"/>
  <c r="F587" i="30"/>
  <c r="N587" i="30"/>
  <c r="H587" i="30"/>
  <c r="C587" i="30"/>
  <c r="B587" i="30"/>
  <c r="O587" i="30" s="1" a="1"/>
  <c r="K587" i="30"/>
  <c r="D587" i="30"/>
  <c r="M587" i="30"/>
  <c r="G587" i="30"/>
  <c r="L581" i="30"/>
  <c r="B581" i="30"/>
  <c r="O581" i="30" s="1" a="1"/>
  <c r="K581" i="30"/>
  <c r="G581" i="30"/>
  <c r="M581" i="30"/>
  <c r="J581" i="30"/>
  <c r="C581" i="30"/>
  <c r="H581" i="30"/>
  <c r="D581" i="30"/>
  <c r="N581" i="30"/>
  <c r="I581" i="30"/>
  <c r="E581" i="30"/>
  <c r="F581" i="30"/>
  <c r="H564" i="30"/>
  <c r="B564" i="30"/>
  <c r="O564" i="30" s="1" a="1"/>
  <c r="L564" i="30"/>
  <c r="K564" i="30"/>
  <c r="M564" i="30"/>
  <c r="N564" i="30"/>
  <c r="G564" i="30"/>
  <c r="D564" i="30"/>
  <c r="C564" i="30"/>
  <c r="E564" i="30"/>
  <c r="I564" i="30"/>
  <c r="F564" i="30"/>
  <c r="J564" i="30"/>
  <c r="E548" i="30"/>
  <c r="G548" i="30"/>
  <c r="B548" i="30"/>
  <c r="O548" i="30" s="1" a="1"/>
  <c r="L548" i="30"/>
  <c r="K548" i="30"/>
  <c r="M548" i="30"/>
  <c r="F548" i="30"/>
  <c r="H548" i="30"/>
  <c r="C548" i="30"/>
  <c r="I548" i="30"/>
  <c r="D548" i="30"/>
  <c r="N548" i="30"/>
  <c r="J548" i="30"/>
  <c r="G532" i="30"/>
  <c r="B532" i="30"/>
  <c r="O532" i="30" s="1" a="1"/>
  <c r="L532" i="30"/>
  <c r="N532" i="30"/>
  <c r="E532" i="30"/>
  <c r="I532" i="30"/>
  <c r="C532" i="30"/>
  <c r="D532" i="30"/>
  <c r="M532" i="30"/>
  <c r="H532" i="30"/>
  <c r="K532" i="30"/>
  <c r="J532" i="30"/>
  <c r="F532" i="30"/>
  <c r="H506" i="30"/>
  <c r="N506" i="30"/>
  <c r="B506" i="30"/>
  <c r="O506" i="30" s="1" a="1"/>
  <c r="K506" i="30"/>
  <c r="M506" i="30"/>
  <c r="L506" i="30"/>
  <c r="G506" i="30"/>
  <c r="D506" i="30"/>
  <c r="F506" i="30"/>
  <c r="C506" i="30"/>
  <c r="J506" i="30"/>
  <c r="E506" i="30"/>
  <c r="I506" i="30"/>
  <c r="H475" i="30"/>
  <c r="B475" i="30"/>
  <c r="O475" i="30" s="1" a="1"/>
  <c r="N475" i="30"/>
  <c r="E475" i="30"/>
  <c r="G475" i="30"/>
  <c r="C475" i="30"/>
  <c r="D475" i="30"/>
  <c r="K475" i="30"/>
  <c r="M475" i="30"/>
  <c r="I475" i="30"/>
  <c r="L475" i="30"/>
  <c r="F475" i="30"/>
  <c r="J475" i="30"/>
  <c r="D439" i="30"/>
  <c r="M439" i="30"/>
  <c r="B439" i="30"/>
  <c r="O439" i="30" s="1" a="1"/>
  <c r="N439" i="30"/>
  <c r="K439" i="30"/>
  <c r="J439" i="30"/>
  <c r="F439" i="30"/>
  <c r="E439" i="30"/>
  <c r="G439" i="30"/>
  <c r="C439" i="30"/>
  <c r="H439" i="30"/>
  <c r="L439" i="30"/>
  <c r="I439" i="30"/>
  <c r="E423" i="30"/>
  <c r="L423" i="30"/>
  <c r="N423" i="30"/>
  <c r="B423" i="30"/>
  <c r="O423" i="30" s="1" a="1"/>
  <c r="G423" i="30"/>
  <c r="C423" i="30"/>
  <c r="K423" i="30"/>
  <c r="I423" i="30"/>
  <c r="F423" i="30"/>
  <c r="D423" i="30"/>
  <c r="H423" i="30"/>
  <c r="M423" i="30"/>
  <c r="J423" i="30"/>
  <c r="D405" i="30"/>
  <c r="H405" i="30"/>
  <c r="G405" i="30"/>
  <c r="F405" i="30"/>
  <c r="N405" i="30"/>
  <c r="L405" i="30"/>
  <c r="I405" i="30"/>
  <c r="K405" i="30"/>
  <c r="M405" i="30"/>
  <c r="B405" i="30"/>
  <c r="O405" i="30" s="1" a="1"/>
  <c r="C405" i="30"/>
  <c r="E405" i="30"/>
  <c r="J405" i="30"/>
  <c r="E399" i="30"/>
  <c r="B399" i="30"/>
  <c r="O399" i="30" s="1" a="1"/>
  <c r="K399" i="30"/>
  <c r="M399" i="30"/>
  <c r="L399" i="30"/>
  <c r="F399" i="30"/>
  <c r="H399" i="30"/>
  <c r="C399" i="30"/>
  <c r="D399" i="30"/>
  <c r="G399" i="30"/>
  <c r="J399" i="30"/>
  <c r="I399" i="30"/>
  <c r="N399" i="30"/>
  <c r="D385" i="30"/>
  <c r="G385" i="30"/>
  <c r="F385" i="30"/>
  <c r="N385" i="30"/>
  <c r="L385" i="30"/>
  <c r="J385" i="30"/>
  <c r="E385" i="30"/>
  <c r="H385" i="30"/>
  <c r="B385" i="30"/>
  <c r="O385" i="30" s="1" a="1"/>
  <c r="I385" i="30"/>
  <c r="K385" i="30"/>
  <c r="M385" i="30"/>
  <c r="C385" i="30"/>
  <c r="E380" i="30"/>
  <c r="L380" i="30"/>
  <c r="N380" i="30"/>
  <c r="H380" i="30"/>
  <c r="K380" i="30"/>
  <c r="G380" i="30"/>
  <c r="M380" i="30"/>
  <c r="F380" i="30"/>
  <c r="J380" i="30"/>
  <c r="B380" i="30"/>
  <c r="O380" i="30" s="1" a="1"/>
  <c r="C380" i="30"/>
  <c r="I380" i="30"/>
  <c r="D380" i="30"/>
  <c r="G375" i="30"/>
  <c r="B375" i="30"/>
  <c r="O375" i="30" s="1" a="1"/>
  <c r="N375" i="30"/>
  <c r="K375" i="30"/>
  <c r="L375" i="30"/>
  <c r="M375" i="30"/>
  <c r="D375" i="30"/>
  <c r="I375" i="30"/>
  <c r="F375" i="30"/>
  <c r="H375" i="30"/>
  <c r="E375" i="30"/>
  <c r="C375" i="30"/>
  <c r="J375" i="30"/>
  <c r="N371" i="30"/>
  <c r="E371" i="30"/>
  <c r="B371" i="30"/>
  <c r="O371" i="30" s="1" a="1"/>
  <c r="J371" i="30"/>
  <c r="L371" i="30"/>
  <c r="C371" i="30"/>
  <c r="D371" i="30"/>
  <c r="K371" i="30"/>
  <c r="H371" i="30"/>
  <c r="F371" i="30"/>
  <c r="G371" i="30"/>
  <c r="M371" i="30"/>
  <c r="I371" i="30"/>
  <c r="D365" i="30"/>
  <c r="M365" i="30"/>
  <c r="I365" i="30"/>
  <c r="K365" i="30"/>
  <c r="J365" i="30"/>
  <c r="B365" i="30"/>
  <c r="O365" i="30" s="1" a="1"/>
  <c r="C365" i="30"/>
  <c r="N365" i="30"/>
  <c r="E365" i="30"/>
  <c r="F365" i="30"/>
  <c r="G365" i="30"/>
  <c r="L365" i="30"/>
  <c r="H365" i="30"/>
  <c r="N353" i="30"/>
  <c r="H353" i="30"/>
  <c r="E353" i="30"/>
  <c r="I353" i="30"/>
  <c r="B353" i="30"/>
  <c r="O353" i="30" s="1" a="1"/>
  <c r="M353" i="30"/>
  <c r="L353" i="30"/>
  <c r="D353" i="30"/>
  <c r="K353" i="30"/>
  <c r="G353" i="30"/>
  <c r="F353" i="30"/>
  <c r="J353" i="30"/>
  <c r="C353" i="30"/>
  <c r="E344" i="30"/>
  <c r="N344" i="30"/>
  <c r="G344" i="30"/>
  <c r="F344" i="30"/>
  <c r="C344" i="30"/>
  <c r="D344" i="30"/>
  <c r="H344" i="30"/>
  <c r="I344" i="30"/>
  <c r="B344" i="30"/>
  <c r="O344" i="30" s="1" a="1"/>
  <c r="K344" i="30"/>
  <c r="M344" i="30"/>
  <c r="L344" i="30"/>
  <c r="J344" i="30"/>
  <c r="M339" i="30"/>
  <c r="D339" i="30"/>
  <c r="N339" i="30"/>
  <c r="F339" i="30"/>
  <c r="B339" i="30"/>
  <c r="O339" i="30" s="1" a="1"/>
  <c r="K339" i="30"/>
  <c r="G339" i="30"/>
  <c r="H339" i="30"/>
  <c r="J339" i="30"/>
  <c r="C339" i="30"/>
  <c r="E339" i="30"/>
  <c r="I339" i="30"/>
  <c r="L339" i="30"/>
  <c r="D327" i="30"/>
  <c r="M327" i="30"/>
  <c r="F327" i="30"/>
  <c r="N327" i="30"/>
  <c r="H327" i="30"/>
  <c r="G327" i="30"/>
  <c r="K327" i="30"/>
  <c r="J327" i="30"/>
  <c r="L327" i="30"/>
  <c r="I327" i="30"/>
  <c r="C327" i="30"/>
  <c r="E327" i="30"/>
  <c r="B327" i="30"/>
  <c r="O327" i="30" s="1" a="1"/>
  <c r="M255" i="30"/>
  <c r="H255" i="30"/>
  <c r="B255" i="30"/>
  <c r="O255" i="30" s="1" a="1"/>
  <c r="L255" i="30"/>
  <c r="K255" i="30"/>
  <c r="E255" i="30"/>
  <c r="F255" i="30"/>
  <c r="J255" i="30"/>
  <c r="D255" i="30"/>
  <c r="G255" i="30"/>
  <c r="C255" i="30"/>
  <c r="N255" i="30"/>
  <c r="I255" i="30"/>
  <c r="L227" i="30"/>
  <c r="B227" i="30"/>
  <c r="O227" i="30" s="1" a="1"/>
  <c r="N227" i="30"/>
  <c r="H227" i="30"/>
  <c r="D227" i="30"/>
  <c r="F227" i="30"/>
  <c r="G227" i="30"/>
  <c r="M227" i="30"/>
  <c r="I227" i="30"/>
  <c r="E227" i="30"/>
  <c r="K227" i="30"/>
  <c r="C227" i="30"/>
  <c r="J227" i="30"/>
  <c r="D195" i="30"/>
  <c r="M195" i="30"/>
  <c r="K195" i="30"/>
  <c r="G195" i="30"/>
  <c r="H195" i="30"/>
  <c r="E195" i="30"/>
  <c r="B195" i="30"/>
  <c r="O195" i="30" s="1" a="1"/>
  <c r="F195" i="30"/>
  <c r="J195" i="30"/>
  <c r="N195" i="30"/>
  <c r="C195" i="30"/>
  <c r="I195" i="30"/>
  <c r="L195" i="30"/>
  <c r="F170" i="30"/>
  <c r="N170" i="30"/>
  <c r="L170" i="30"/>
  <c r="B170" i="30"/>
  <c r="O170" i="30" s="1" a="1"/>
  <c r="M170" i="30"/>
  <c r="D170" i="30"/>
  <c r="H170" i="30"/>
  <c r="J170" i="30"/>
  <c r="C170" i="30"/>
  <c r="K170" i="30"/>
  <c r="E170" i="30"/>
  <c r="G170" i="30"/>
  <c r="I170" i="30"/>
  <c r="E148" i="30"/>
  <c r="N148" i="30"/>
  <c r="B148" i="30"/>
  <c r="O148" i="30" s="1" a="1"/>
  <c r="L148" i="30"/>
  <c r="K148" i="30"/>
  <c r="F148" i="30"/>
  <c r="M148" i="30"/>
  <c r="D148" i="30"/>
  <c r="I148" i="30"/>
  <c r="G148" i="30"/>
  <c r="C148" i="30"/>
  <c r="H148" i="30"/>
  <c r="J148" i="30"/>
  <c r="L120" i="30"/>
  <c r="B120" i="30"/>
  <c r="O120" i="30" s="1" a="1"/>
  <c r="N120" i="30"/>
  <c r="G120" i="30"/>
  <c r="E120" i="30"/>
  <c r="C120" i="30"/>
  <c r="H120" i="30"/>
  <c r="M120" i="30"/>
  <c r="I120" i="30"/>
  <c r="D120" i="30"/>
  <c r="K120" i="30"/>
  <c r="F120" i="30"/>
  <c r="J120" i="30"/>
  <c r="M108" i="30"/>
  <c r="K108" i="30"/>
  <c r="F108" i="30"/>
  <c r="B108" i="30"/>
  <c r="O108" i="30" s="1" a="1"/>
  <c r="E108" i="30"/>
  <c r="I108" i="30"/>
  <c r="C108" i="30"/>
  <c r="N108" i="30"/>
  <c r="G108" i="30"/>
  <c r="D108" i="30"/>
  <c r="L108" i="30"/>
  <c r="H108" i="30"/>
  <c r="J108" i="30"/>
  <c r="H100" i="30"/>
  <c r="B100" i="30"/>
  <c r="O100" i="30" s="1" a="1"/>
  <c r="L100" i="30"/>
  <c r="K100" i="30"/>
  <c r="N100" i="30"/>
  <c r="F100" i="30"/>
  <c r="M100" i="30"/>
  <c r="D100" i="30"/>
  <c r="J100" i="30"/>
  <c r="C100" i="30"/>
  <c r="G100" i="30"/>
  <c r="E100" i="30"/>
  <c r="I100" i="30"/>
  <c r="N89" i="30"/>
  <c r="B89" i="30"/>
  <c r="O89" i="30" s="1" a="1"/>
  <c r="K89" i="30"/>
  <c r="L89" i="30"/>
  <c r="M89" i="30"/>
  <c r="G89" i="30"/>
  <c r="C89" i="30"/>
  <c r="H89" i="30"/>
  <c r="E89" i="30"/>
  <c r="J89" i="30"/>
  <c r="D89" i="30"/>
  <c r="F89" i="30"/>
  <c r="I89" i="30"/>
  <c r="G75" i="30"/>
  <c r="L75" i="30"/>
  <c r="B75" i="30"/>
  <c r="O75" i="30" s="1" a="1"/>
  <c r="K75" i="30"/>
  <c r="D75" i="30"/>
  <c r="F75" i="30"/>
  <c r="J75" i="30"/>
  <c r="M75" i="30"/>
  <c r="H75" i="30"/>
  <c r="C75" i="30"/>
  <c r="I75" i="30"/>
  <c r="E75" i="30"/>
  <c r="N75" i="30"/>
  <c r="H69" i="30"/>
  <c r="D69" i="30"/>
  <c r="B69" i="30"/>
  <c r="O69" i="30" s="1" a="1"/>
  <c r="L69" i="30"/>
  <c r="K69" i="30"/>
  <c r="N69" i="30"/>
  <c r="M69" i="30"/>
  <c r="J69" i="30"/>
  <c r="F69" i="30"/>
  <c r="G69" i="30"/>
  <c r="E69" i="30"/>
  <c r="C69" i="30"/>
  <c r="I69" i="30"/>
  <c r="N58" i="30"/>
  <c r="B58" i="30"/>
  <c r="O58" i="30" s="1" a="1"/>
  <c r="K58" i="30"/>
  <c r="M58" i="30"/>
  <c r="L58" i="30"/>
  <c r="D58" i="30"/>
  <c r="F58" i="30"/>
  <c r="J58" i="30"/>
  <c r="H58" i="30"/>
  <c r="E58" i="30"/>
  <c r="C58" i="30"/>
  <c r="G58" i="30"/>
  <c r="I58" i="30"/>
  <c r="G7" i="30"/>
  <c r="L7" i="30"/>
  <c r="B7" i="30"/>
  <c r="O7" i="30" s="1" a="1"/>
  <c r="N7" i="30"/>
  <c r="D7" i="30"/>
  <c r="K7" i="30"/>
  <c r="J7" i="30"/>
  <c r="M7" i="30"/>
  <c r="I7" i="30"/>
  <c r="E7" i="30"/>
  <c r="H7" i="30"/>
  <c r="F7" i="30"/>
  <c r="C7" i="30"/>
  <c r="N591" i="30"/>
  <c r="B591" i="30"/>
  <c r="O591" i="30" s="1" a="1"/>
  <c r="L591" i="30"/>
  <c r="D591" i="30"/>
  <c r="K591" i="30"/>
  <c r="C591" i="30"/>
  <c r="J591" i="30"/>
  <c r="H591" i="30"/>
  <c r="M591" i="30"/>
  <c r="I591" i="30"/>
  <c r="G591" i="30"/>
  <c r="E591" i="30"/>
  <c r="F591" i="30"/>
  <c r="H572" i="30"/>
  <c r="E572" i="30"/>
  <c r="N572" i="30"/>
  <c r="L572" i="30"/>
  <c r="M572" i="30"/>
  <c r="B572" i="30"/>
  <c r="O572" i="30" s="1" a="1"/>
  <c r="K572" i="30"/>
  <c r="F572" i="30"/>
  <c r="G572" i="30"/>
  <c r="D572" i="30"/>
  <c r="C572" i="30"/>
  <c r="J572" i="30"/>
  <c r="I572" i="30"/>
  <c r="H561" i="30"/>
  <c r="D561" i="30"/>
  <c r="B561" i="30"/>
  <c r="O561" i="30" s="1" a="1"/>
  <c r="L561" i="30"/>
  <c r="K561" i="30"/>
  <c r="M561" i="30"/>
  <c r="N561" i="30"/>
  <c r="I561" i="30"/>
  <c r="E561" i="30"/>
  <c r="C561" i="30"/>
  <c r="G561" i="30"/>
  <c r="F561" i="30"/>
  <c r="J561" i="30"/>
  <c r="D523" i="30"/>
  <c r="K523" i="30"/>
  <c r="H523" i="30"/>
  <c r="G523" i="30"/>
  <c r="J523" i="30"/>
  <c r="C523" i="30"/>
  <c r="E523" i="30"/>
  <c r="B523" i="30"/>
  <c r="O523" i="30" s="1" a="1"/>
  <c r="M523" i="30"/>
  <c r="I523" i="30"/>
  <c r="N523" i="30"/>
  <c r="F523" i="30"/>
  <c r="L523" i="30"/>
  <c r="D513" i="30"/>
  <c r="H513" i="30"/>
  <c r="B513" i="30"/>
  <c r="O513" i="30" s="1" a="1"/>
  <c r="N513" i="30"/>
  <c r="M513" i="30"/>
  <c r="L513" i="30"/>
  <c r="G513" i="30"/>
  <c r="E513" i="30"/>
  <c r="K513" i="30"/>
  <c r="C513" i="30"/>
  <c r="I513" i="30"/>
  <c r="F513" i="30"/>
  <c r="J513" i="30"/>
  <c r="D495" i="30"/>
  <c r="G495" i="30"/>
  <c r="B495" i="30"/>
  <c r="O495" i="30" s="1" a="1"/>
  <c r="N495" i="30"/>
  <c r="L495" i="30"/>
  <c r="M495" i="30"/>
  <c r="H495" i="30"/>
  <c r="F495" i="30"/>
  <c r="J495" i="30"/>
  <c r="E495" i="30"/>
  <c r="C495" i="30"/>
  <c r="I495" i="30"/>
  <c r="K495" i="30"/>
  <c r="H473" i="30"/>
  <c r="L473" i="30"/>
  <c r="B473" i="30"/>
  <c r="O473" i="30" s="1" a="1"/>
  <c r="K473" i="30"/>
  <c r="N473" i="30"/>
  <c r="F473" i="30"/>
  <c r="M473" i="30"/>
  <c r="D473" i="30"/>
  <c r="C473" i="30"/>
  <c r="G473" i="30"/>
  <c r="I473" i="30"/>
  <c r="E473" i="30"/>
  <c r="J473" i="30"/>
  <c r="K462" i="30"/>
  <c r="N462" i="30"/>
  <c r="B462" i="30"/>
  <c r="O462" i="30" s="1" a="1"/>
  <c r="L462" i="30"/>
  <c r="M462" i="30"/>
  <c r="G462" i="30"/>
  <c r="C462" i="30"/>
  <c r="F462" i="30"/>
  <c r="D462" i="30"/>
  <c r="I462" i="30"/>
  <c r="E462" i="30"/>
  <c r="H462" i="30"/>
  <c r="J462" i="30"/>
  <c r="K436" i="30"/>
  <c r="L436" i="30"/>
  <c r="M436" i="30"/>
  <c r="F436" i="30"/>
  <c r="B436" i="30"/>
  <c r="O436" i="30" s="1" a="1"/>
  <c r="G436" i="30"/>
  <c r="J436" i="30"/>
  <c r="D436" i="30"/>
  <c r="N436" i="30"/>
  <c r="I436" i="30"/>
  <c r="C436" i="30"/>
  <c r="E436" i="30"/>
  <c r="H436" i="30"/>
  <c r="H410" i="30"/>
  <c r="B410" i="30"/>
  <c r="O410" i="30" s="1" a="1"/>
  <c r="N410" i="30"/>
  <c r="K410" i="30"/>
  <c r="M410" i="30"/>
  <c r="F410" i="30"/>
  <c r="L410" i="30"/>
  <c r="E410" i="30"/>
  <c r="J410" i="30"/>
  <c r="D410" i="30"/>
  <c r="I410" i="30"/>
  <c r="G410" i="30"/>
  <c r="C410" i="30"/>
  <c r="D389" i="30"/>
  <c r="B389" i="30"/>
  <c r="O389" i="30" s="1" a="1"/>
  <c r="L389" i="30"/>
  <c r="M389" i="30"/>
  <c r="K389" i="30"/>
  <c r="F389" i="30"/>
  <c r="G389" i="30"/>
  <c r="J389" i="30"/>
  <c r="E389" i="30"/>
  <c r="N389" i="30"/>
  <c r="H389" i="30"/>
  <c r="C389" i="30"/>
  <c r="I389" i="30"/>
  <c r="E328" i="30"/>
  <c r="N328" i="30"/>
  <c r="L328" i="30"/>
  <c r="B328" i="30"/>
  <c r="O328" i="30" s="1" a="1"/>
  <c r="K328" i="30"/>
  <c r="F328" i="30"/>
  <c r="G328" i="30"/>
  <c r="M328" i="30"/>
  <c r="J328" i="30"/>
  <c r="H328" i="30"/>
  <c r="D328" i="30"/>
  <c r="C328" i="30"/>
  <c r="I328" i="30"/>
  <c r="B308" i="30"/>
  <c r="O308" i="30" s="1" a="1"/>
  <c r="N308" i="30"/>
  <c r="K308" i="30"/>
  <c r="M308" i="30"/>
  <c r="L308" i="30"/>
  <c r="F308" i="30"/>
  <c r="E308" i="30"/>
  <c r="C308" i="30"/>
  <c r="G308" i="30"/>
  <c r="J308" i="30"/>
  <c r="D308" i="30"/>
  <c r="H308" i="30"/>
  <c r="I308" i="30"/>
  <c r="K280" i="30"/>
  <c r="F280" i="30"/>
  <c r="J280" i="30"/>
  <c r="I280" i="30"/>
  <c r="D280" i="30"/>
  <c r="N280" i="30"/>
  <c r="G280" i="30"/>
  <c r="C280" i="30"/>
  <c r="B280" i="30"/>
  <c r="O280" i="30" s="1" a="1"/>
  <c r="E280" i="30"/>
  <c r="L280" i="30"/>
  <c r="M280" i="30"/>
  <c r="H280" i="30"/>
  <c r="L250" i="30"/>
  <c r="N250" i="30"/>
  <c r="B250" i="30"/>
  <c r="O250" i="30" s="1" a="1"/>
  <c r="D250" i="30"/>
  <c r="F250" i="30"/>
  <c r="I250" i="30"/>
  <c r="H250" i="30"/>
  <c r="M250" i="30"/>
  <c r="C250" i="30"/>
  <c r="E250" i="30"/>
  <c r="K250" i="30"/>
  <c r="G250" i="30"/>
  <c r="J250" i="30"/>
  <c r="D225" i="30"/>
  <c r="G225" i="30"/>
  <c r="H225" i="30"/>
  <c r="M225" i="30"/>
  <c r="B225" i="30"/>
  <c r="O225" i="30" s="1" a="1"/>
  <c r="N225" i="30"/>
  <c r="K225" i="30"/>
  <c r="C225" i="30"/>
  <c r="F225" i="30"/>
  <c r="J225" i="30"/>
  <c r="E225" i="30"/>
  <c r="L225" i="30"/>
  <c r="I225" i="30"/>
  <c r="N210" i="30"/>
  <c r="B210" i="30"/>
  <c r="O210" i="30" s="1" a="1"/>
  <c r="K210" i="30"/>
  <c r="F210" i="30"/>
  <c r="L210" i="30"/>
  <c r="M210" i="30"/>
  <c r="H210" i="30"/>
  <c r="D210" i="30"/>
  <c r="I210" i="30"/>
  <c r="E210" i="30"/>
  <c r="J210" i="30"/>
  <c r="G210" i="30"/>
  <c r="C210" i="30"/>
  <c r="E190" i="30"/>
  <c r="L190" i="30"/>
  <c r="K190" i="30"/>
  <c r="M190" i="30"/>
  <c r="F190" i="30"/>
  <c r="B190" i="30"/>
  <c r="O190" i="30" s="1" a="1"/>
  <c r="J190" i="30"/>
  <c r="C190" i="30"/>
  <c r="H190" i="30"/>
  <c r="D190" i="30"/>
  <c r="N190" i="30"/>
  <c r="G190" i="30"/>
  <c r="I190" i="30"/>
  <c r="E171" i="30"/>
  <c r="H171" i="30"/>
  <c r="L171" i="30"/>
  <c r="B171" i="30"/>
  <c r="O171" i="30" s="1" a="1"/>
  <c r="N171" i="30"/>
  <c r="M171" i="30"/>
  <c r="G171" i="30"/>
  <c r="C171" i="30"/>
  <c r="F171" i="30"/>
  <c r="D171" i="30"/>
  <c r="I171" i="30"/>
  <c r="K171" i="30"/>
  <c r="J171" i="30"/>
  <c r="D146" i="30"/>
  <c r="K146" i="30"/>
  <c r="H146" i="30"/>
  <c r="G146" i="30"/>
  <c r="N146" i="30"/>
  <c r="F146" i="30"/>
  <c r="B146" i="30"/>
  <c r="O146" i="30" s="1" a="1"/>
  <c r="L146" i="30"/>
  <c r="I146" i="30"/>
  <c r="C146" i="30"/>
  <c r="M146" i="30"/>
  <c r="J146" i="30"/>
  <c r="E146" i="30"/>
  <c r="L133" i="30"/>
  <c r="K133" i="30"/>
  <c r="F133" i="30"/>
  <c r="E133" i="30"/>
  <c r="N133" i="30"/>
  <c r="G133" i="30"/>
  <c r="J133" i="30"/>
  <c r="D133" i="30"/>
  <c r="B133" i="30"/>
  <c r="O133" i="30" s="1" a="1"/>
  <c r="I133" i="30"/>
  <c r="C133" i="30"/>
  <c r="M133" i="30"/>
  <c r="H133" i="30"/>
  <c r="D128" i="30"/>
  <c r="N128" i="30"/>
  <c r="K128" i="30"/>
  <c r="H128" i="30"/>
  <c r="G128" i="30"/>
  <c r="M128" i="30"/>
  <c r="F128" i="30"/>
  <c r="L128" i="30"/>
  <c r="J128" i="30"/>
  <c r="E128" i="30"/>
  <c r="B128" i="30"/>
  <c r="O128" i="30" s="1" a="1"/>
  <c r="I128" i="30"/>
  <c r="C128" i="30"/>
  <c r="L86" i="30"/>
  <c r="B86" i="30"/>
  <c r="O86" i="30" s="1" a="1"/>
  <c r="N86" i="30"/>
  <c r="E86" i="30"/>
  <c r="H86" i="30"/>
  <c r="J86" i="30"/>
  <c r="G86" i="30"/>
  <c r="K86" i="30"/>
  <c r="C86" i="30"/>
  <c r="D86" i="30"/>
  <c r="M86" i="30"/>
  <c r="I86" i="30"/>
  <c r="F86" i="30"/>
  <c r="E593" i="30"/>
  <c r="B593" i="30"/>
  <c r="O593" i="30" s="1" a="1"/>
  <c r="N593" i="30"/>
  <c r="H593" i="30"/>
  <c r="M593" i="30"/>
  <c r="F593" i="30"/>
  <c r="K593" i="30"/>
  <c r="L593" i="30"/>
  <c r="J593" i="30"/>
  <c r="I593" i="30"/>
  <c r="C593" i="30"/>
  <c r="D593" i="30"/>
  <c r="G593" i="30"/>
  <c r="E584" i="30"/>
  <c r="H584" i="30"/>
  <c r="L584" i="30"/>
  <c r="B584" i="30"/>
  <c r="O584" i="30" s="1" a="1"/>
  <c r="N584" i="30"/>
  <c r="I584" i="30"/>
  <c r="G584" i="30"/>
  <c r="F584" i="30"/>
  <c r="J584" i="30"/>
  <c r="D584" i="30"/>
  <c r="K584" i="30"/>
  <c r="M584" i="30"/>
  <c r="C584" i="30"/>
  <c r="H575" i="30"/>
  <c r="L575" i="30"/>
  <c r="B575" i="30"/>
  <c r="O575" i="30" s="1" a="1"/>
  <c r="K575" i="30"/>
  <c r="E575" i="30"/>
  <c r="F575" i="30"/>
  <c r="D575" i="30"/>
  <c r="M575" i="30"/>
  <c r="C575" i="30"/>
  <c r="I575" i="30"/>
  <c r="N575" i="30"/>
  <c r="G575" i="30"/>
  <c r="J575" i="30"/>
  <c r="M563" i="30"/>
  <c r="D563" i="30"/>
  <c r="B563" i="30"/>
  <c r="O563" i="30" s="1" a="1"/>
  <c r="I563" i="30"/>
  <c r="G563" i="30"/>
  <c r="C563" i="30"/>
  <c r="L563" i="30"/>
  <c r="F563" i="30"/>
  <c r="H563" i="30"/>
  <c r="E563" i="30"/>
  <c r="N563" i="30"/>
  <c r="J563" i="30"/>
  <c r="K563" i="30"/>
  <c r="B559" i="30"/>
  <c r="O559" i="30" s="1" a="1"/>
  <c r="L559" i="30"/>
  <c r="K559" i="30"/>
  <c r="M559" i="30"/>
  <c r="N559" i="30"/>
  <c r="E559" i="30"/>
  <c r="H559" i="30"/>
  <c r="D559" i="30"/>
  <c r="C559" i="30"/>
  <c r="J559" i="30"/>
  <c r="G559" i="30"/>
  <c r="F559" i="30"/>
  <c r="I559" i="30"/>
  <c r="E551" i="30"/>
  <c r="G551" i="30"/>
  <c r="N551" i="30"/>
  <c r="B551" i="30"/>
  <c r="O551" i="30" s="1" a="1"/>
  <c r="H551" i="30"/>
  <c r="L551" i="30"/>
  <c r="K551" i="30"/>
  <c r="F551" i="30"/>
  <c r="C551" i="30"/>
  <c r="D551" i="30"/>
  <c r="M551" i="30"/>
  <c r="I551" i="30"/>
  <c r="J551" i="30"/>
  <c r="N545" i="30"/>
  <c r="J545" i="30"/>
  <c r="D545" i="30"/>
  <c r="M545" i="30"/>
  <c r="I545" i="30"/>
  <c r="H545" i="30"/>
  <c r="C545" i="30"/>
  <c r="E545" i="30"/>
  <c r="B545" i="30"/>
  <c r="O545" i="30" s="1" a="1"/>
  <c r="L545" i="30"/>
  <c r="F545" i="30"/>
  <c r="G545" i="30"/>
  <c r="K545" i="30"/>
  <c r="H542" i="30"/>
  <c r="K542" i="30"/>
  <c r="N542" i="30"/>
  <c r="L542" i="30"/>
  <c r="B542" i="30"/>
  <c r="O542" i="30" s="1" a="1"/>
  <c r="E542" i="30"/>
  <c r="M542" i="30"/>
  <c r="F542" i="30"/>
  <c r="C542" i="30"/>
  <c r="I542" i="30"/>
  <c r="D542" i="30"/>
  <c r="G542" i="30"/>
  <c r="J542" i="30"/>
  <c r="M512" i="30"/>
  <c r="L512" i="30"/>
  <c r="F512" i="30"/>
  <c r="K512" i="30"/>
  <c r="D512" i="30"/>
  <c r="N512" i="30"/>
  <c r="G512" i="30"/>
  <c r="C512" i="30"/>
  <c r="E512" i="30"/>
  <c r="H512" i="30"/>
  <c r="J512" i="30"/>
  <c r="B512" i="30"/>
  <c r="O512" i="30" s="1" a="1"/>
  <c r="I512" i="30"/>
  <c r="D497" i="30"/>
  <c r="N497" i="30"/>
  <c r="B497" i="30"/>
  <c r="O497" i="30" s="1" a="1"/>
  <c r="M497" i="30"/>
  <c r="L497" i="30"/>
  <c r="K497" i="30"/>
  <c r="J497" i="30"/>
  <c r="E497" i="30"/>
  <c r="G497" i="30"/>
  <c r="F497" i="30"/>
  <c r="H497" i="30"/>
  <c r="C497" i="30"/>
  <c r="I497" i="30"/>
  <c r="B472" i="30"/>
  <c r="O472" i="30" s="1" a="1"/>
  <c r="K472" i="30"/>
  <c r="L472" i="30"/>
  <c r="M472" i="30"/>
  <c r="F472" i="30"/>
  <c r="E472" i="30"/>
  <c r="N472" i="30"/>
  <c r="G472" i="30"/>
  <c r="I472" i="30"/>
  <c r="J472" i="30"/>
  <c r="D472" i="30"/>
  <c r="H472" i="30"/>
  <c r="C472" i="30"/>
  <c r="H447" i="30"/>
  <c r="L447" i="30"/>
  <c r="B447" i="30"/>
  <c r="O447" i="30" s="1" a="1"/>
  <c r="K447" i="30"/>
  <c r="F447" i="30"/>
  <c r="M447" i="30"/>
  <c r="N447" i="30"/>
  <c r="E447" i="30"/>
  <c r="C447" i="30"/>
  <c r="J447" i="30"/>
  <c r="G447" i="30"/>
  <c r="D447" i="30"/>
  <c r="I447" i="30"/>
  <c r="E427" i="30"/>
  <c r="M427" i="30"/>
  <c r="L427" i="30"/>
  <c r="K427" i="30"/>
  <c r="F427" i="30"/>
  <c r="C427" i="30"/>
  <c r="B427" i="30"/>
  <c r="O427" i="30" s="1" a="1"/>
  <c r="G427" i="30"/>
  <c r="J427" i="30"/>
  <c r="D427" i="30"/>
  <c r="N427" i="30"/>
  <c r="H427" i="30"/>
  <c r="I427" i="30"/>
  <c r="E398" i="30"/>
  <c r="H398" i="30"/>
  <c r="N398" i="30"/>
  <c r="B398" i="30"/>
  <c r="O398" i="30" s="1" a="1"/>
  <c r="M398" i="30"/>
  <c r="F398" i="30"/>
  <c r="K398" i="30"/>
  <c r="L398" i="30"/>
  <c r="C398" i="30"/>
  <c r="I398" i="30"/>
  <c r="D398" i="30"/>
  <c r="G398" i="30"/>
  <c r="J398" i="30"/>
  <c r="B378" i="30"/>
  <c r="O378" i="30" s="1" a="1"/>
  <c r="K378" i="30"/>
  <c r="L378" i="30"/>
  <c r="M378" i="30"/>
  <c r="F378" i="30"/>
  <c r="D378" i="30"/>
  <c r="H378" i="30"/>
  <c r="J378" i="30"/>
  <c r="E378" i="30"/>
  <c r="G378" i="30"/>
  <c r="C378" i="30"/>
  <c r="N378" i="30"/>
  <c r="I378" i="30"/>
  <c r="N354" i="30"/>
  <c r="D354" i="30"/>
  <c r="B354" i="30"/>
  <c r="O354" i="30" s="1" a="1"/>
  <c r="K354" i="30"/>
  <c r="M354" i="30"/>
  <c r="L354" i="30"/>
  <c r="I354" i="30"/>
  <c r="E354" i="30"/>
  <c r="G354" i="30"/>
  <c r="F354" i="30"/>
  <c r="C354" i="30"/>
  <c r="H354" i="30"/>
  <c r="J354" i="30"/>
  <c r="N346" i="30"/>
  <c r="J346" i="30"/>
  <c r="B346" i="30"/>
  <c r="O346" i="30" s="1" a="1"/>
  <c r="E346" i="30"/>
  <c r="L346" i="30"/>
  <c r="G346" i="30"/>
  <c r="C346" i="30"/>
  <c r="M346" i="30"/>
  <c r="H346" i="30"/>
  <c r="D346" i="30"/>
  <c r="I346" i="30"/>
  <c r="F346" i="30"/>
  <c r="K346" i="30"/>
  <c r="D341" i="30"/>
  <c r="K341" i="30"/>
  <c r="F341" i="30"/>
  <c r="B341" i="30"/>
  <c r="O341" i="30" s="1" a="1"/>
  <c r="I341" i="30"/>
  <c r="E341" i="30"/>
  <c r="M341" i="30"/>
  <c r="H341" i="30"/>
  <c r="C341" i="30"/>
  <c r="N341" i="30"/>
  <c r="J341" i="30"/>
  <c r="L341" i="30"/>
  <c r="G341" i="30"/>
  <c r="D329" i="30"/>
  <c r="M329" i="30"/>
  <c r="K329" i="30"/>
  <c r="F329" i="30"/>
  <c r="I329" i="30"/>
  <c r="J329" i="30"/>
  <c r="L329" i="30"/>
  <c r="H329" i="30"/>
  <c r="E329" i="30"/>
  <c r="N329" i="30"/>
  <c r="C329" i="30"/>
  <c r="B329" i="30"/>
  <c r="O329" i="30" s="1" a="1"/>
  <c r="G329" i="30"/>
  <c r="D315" i="30"/>
  <c r="B315" i="30"/>
  <c r="O315" i="30" s="1" a="1"/>
  <c r="H315" i="30"/>
  <c r="M315" i="30"/>
  <c r="F315" i="30"/>
  <c r="L315" i="30"/>
  <c r="G315" i="30"/>
  <c r="I315" i="30"/>
  <c r="E315" i="30"/>
  <c r="N315" i="30"/>
  <c r="J315" i="30"/>
  <c r="K315" i="30"/>
  <c r="C315" i="30"/>
  <c r="M252" i="30"/>
  <c r="K252" i="30"/>
  <c r="L252" i="30"/>
  <c r="B252" i="30"/>
  <c r="O252" i="30" s="1" a="1"/>
  <c r="E252" i="30"/>
  <c r="N252" i="30"/>
  <c r="I252" i="30"/>
  <c r="H252" i="30"/>
  <c r="F252" i="30"/>
  <c r="J252" i="30"/>
  <c r="G252" i="30"/>
  <c r="D252" i="30"/>
  <c r="C252" i="30"/>
  <c r="L245" i="30"/>
  <c r="H245" i="30"/>
  <c r="G245" i="30"/>
  <c r="M245" i="30"/>
  <c r="N245" i="30"/>
  <c r="F245" i="30"/>
  <c r="K245" i="30"/>
  <c r="E245" i="30"/>
  <c r="J245" i="30"/>
  <c r="B245" i="30"/>
  <c r="O245" i="30" s="1" a="1"/>
  <c r="I245" i="30"/>
  <c r="C245" i="30"/>
  <c r="D245" i="30"/>
  <c r="L231" i="30"/>
  <c r="K231" i="30"/>
  <c r="F231" i="30"/>
  <c r="B231" i="30"/>
  <c r="O231" i="30" s="1" a="1"/>
  <c r="E231" i="30"/>
  <c r="M231" i="30"/>
  <c r="I231" i="30"/>
  <c r="C231" i="30"/>
  <c r="N231" i="30"/>
  <c r="G231" i="30"/>
  <c r="J231" i="30"/>
  <c r="D231" i="30"/>
  <c r="H231" i="30"/>
  <c r="G215" i="30"/>
  <c r="D215" i="30"/>
  <c r="M215" i="30"/>
  <c r="N215" i="30"/>
  <c r="B215" i="30"/>
  <c r="O215" i="30" s="1" a="1"/>
  <c r="K215" i="30"/>
  <c r="C215" i="30"/>
  <c r="I215" i="30"/>
  <c r="E215" i="30"/>
  <c r="L215" i="30"/>
  <c r="F215" i="30"/>
  <c r="H215" i="30"/>
  <c r="J215" i="30"/>
  <c r="E183" i="30"/>
  <c r="G183" i="30"/>
  <c r="B183" i="30"/>
  <c r="O183" i="30" s="1" a="1"/>
  <c r="N183" i="30"/>
  <c r="L183" i="30"/>
  <c r="M183" i="30"/>
  <c r="H183" i="30"/>
  <c r="C183" i="30"/>
  <c r="I183" i="30"/>
  <c r="J183" i="30"/>
  <c r="D183" i="30"/>
  <c r="K183" i="30"/>
  <c r="F183" i="30"/>
  <c r="D165" i="30"/>
  <c r="B165" i="30"/>
  <c r="O165" i="30" s="1" a="1"/>
  <c r="L165" i="30"/>
  <c r="K165" i="30"/>
  <c r="N165" i="30"/>
  <c r="F165" i="30"/>
  <c r="I165" i="30"/>
  <c r="E165" i="30"/>
  <c r="H165" i="30"/>
  <c r="C165" i="30"/>
  <c r="M165" i="30"/>
  <c r="G165" i="30"/>
  <c r="J165" i="30"/>
  <c r="B139" i="30"/>
  <c r="O139" i="30" s="1" a="1"/>
  <c r="L139" i="30"/>
  <c r="M139" i="30"/>
  <c r="F139" i="30"/>
  <c r="E139" i="30"/>
  <c r="N139" i="30"/>
  <c r="K139" i="30"/>
  <c r="I139" i="30"/>
  <c r="C139" i="30"/>
  <c r="H139" i="30"/>
  <c r="J139" i="30"/>
  <c r="D139" i="30"/>
  <c r="G139" i="30"/>
  <c r="D113" i="30"/>
  <c r="B113" i="30"/>
  <c r="O113" i="30" s="1" a="1"/>
  <c r="H113" i="30"/>
  <c r="M113" i="30"/>
  <c r="F113" i="30"/>
  <c r="L113" i="30"/>
  <c r="N113" i="30"/>
  <c r="C113" i="30"/>
  <c r="E113" i="30"/>
  <c r="G113" i="30"/>
  <c r="J113" i="30"/>
  <c r="K113" i="30"/>
  <c r="I113" i="30"/>
  <c r="E67" i="30"/>
  <c r="H67" i="30"/>
  <c r="B67" i="30"/>
  <c r="O67" i="30" s="1" a="1"/>
  <c r="N67" i="30"/>
  <c r="M67" i="30"/>
  <c r="L67" i="30"/>
  <c r="D67" i="30"/>
  <c r="J67" i="30"/>
  <c r="K67" i="30"/>
  <c r="G67" i="30"/>
  <c r="F67" i="30"/>
  <c r="C67" i="30"/>
  <c r="I67" i="30"/>
  <c r="E56" i="30"/>
  <c r="M56" i="30"/>
  <c r="G56" i="30"/>
  <c r="K56" i="30"/>
  <c r="D56" i="30"/>
  <c r="H56" i="30"/>
  <c r="B56" i="30"/>
  <c r="O56" i="30" s="1" a="1"/>
  <c r="F56" i="30"/>
  <c r="I56" i="30"/>
  <c r="C56" i="30"/>
  <c r="N56" i="30"/>
  <c r="L56" i="30"/>
  <c r="J56" i="30"/>
  <c r="G40" i="30"/>
  <c r="M40" i="30"/>
  <c r="H40" i="30"/>
  <c r="B40" i="30"/>
  <c r="O40" i="30" s="1" a="1"/>
  <c r="C40" i="30"/>
  <c r="J40" i="30"/>
  <c r="D40" i="30"/>
  <c r="N40" i="30"/>
  <c r="K40" i="30"/>
  <c r="F40" i="30"/>
  <c r="E40" i="30"/>
  <c r="L40" i="30"/>
  <c r="I40" i="30"/>
  <c r="B29" i="30"/>
  <c r="O29" i="30" s="1" a="1"/>
  <c r="L29" i="30"/>
  <c r="N29" i="30"/>
  <c r="H29" i="30"/>
  <c r="G29" i="30"/>
  <c r="D29" i="30"/>
  <c r="M29" i="30"/>
  <c r="J29" i="30"/>
  <c r="F29" i="30"/>
  <c r="C29" i="30"/>
  <c r="E29" i="30"/>
  <c r="K29" i="30"/>
  <c r="I29" i="30"/>
  <c r="D17" i="30"/>
  <c r="G17" i="30"/>
  <c r="N17" i="30"/>
  <c r="B17" i="30"/>
  <c r="O17" i="30" s="1" a="1"/>
  <c r="M17" i="30"/>
  <c r="L17" i="30"/>
  <c r="K17" i="30"/>
  <c r="F17" i="30"/>
  <c r="I17" i="30"/>
  <c r="H17" i="30"/>
  <c r="C17" i="30"/>
  <c r="E17" i="30"/>
  <c r="J17" i="30"/>
  <c r="L8" i="30"/>
  <c r="N8" i="30"/>
  <c r="M8" i="30"/>
  <c r="F8" i="30"/>
  <c r="K8" i="30"/>
  <c r="D8" i="30"/>
  <c r="H8" i="30"/>
  <c r="I8" i="30"/>
  <c r="E8" i="30"/>
  <c r="B8" i="30"/>
  <c r="O8" i="30" s="1" a="1"/>
  <c r="C8" i="30"/>
  <c r="G8" i="30"/>
  <c r="J8" i="30"/>
  <c r="D604" i="30"/>
  <c r="K604" i="30"/>
  <c r="M604" i="30"/>
  <c r="J604" i="30"/>
  <c r="E604" i="30"/>
  <c r="G604" i="30"/>
  <c r="H604" i="30"/>
  <c r="F604" i="30"/>
  <c r="B604" i="30"/>
  <c r="O604" i="30" s="1" a="1"/>
  <c r="L604" i="30"/>
  <c r="C604" i="30"/>
  <c r="N604" i="30"/>
  <c r="I604" i="30"/>
  <c r="D596" i="30"/>
  <c r="F596" i="30"/>
  <c r="B596" i="30"/>
  <c r="O596" i="30" s="1" a="1"/>
  <c r="I596" i="30"/>
  <c r="E596" i="30"/>
  <c r="H596" i="30"/>
  <c r="K596" i="30"/>
  <c r="N596" i="30"/>
  <c r="L596" i="30"/>
  <c r="C596" i="30"/>
  <c r="G596" i="30"/>
  <c r="M596" i="30"/>
  <c r="J596" i="30"/>
  <c r="J592" i="30"/>
  <c r="H592" i="30"/>
  <c r="C592" i="30"/>
  <c r="L592" i="30"/>
  <c r="F592" i="30"/>
  <c r="M592" i="30"/>
  <c r="B592" i="30"/>
  <c r="O592" i="30" s="1" a="1"/>
  <c r="N592" i="30"/>
  <c r="E592" i="30"/>
  <c r="I592" i="30"/>
  <c r="D592" i="30"/>
  <c r="K592" i="30"/>
  <c r="G592" i="30"/>
  <c r="B526" i="30"/>
  <c r="O526" i="30" s="1" a="1"/>
  <c r="L526" i="30"/>
  <c r="D526" i="30"/>
  <c r="N526" i="30"/>
  <c r="G526" i="30"/>
  <c r="H526" i="30"/>
  <c r="M526" i="30"/>
  <c r="K526" i="30"/>
  <c r="J526" i="30"/>
  <c r="C526" i="30"/>
  <c r="E526" i="30"/>
  <c r="I526" i="30"/>
  <c r="F526" i="30"/>
  <c r="E516" i="30"/>
  <c r="N516" i="30"/>
  <c r="H516" i="30"/>
  <c r="C516" i="30"/>
  <c r="I516" i="30"/>
  <c r="M516" i="30"/>
  <c r="K516" i="30"/>
  <c r="F516" i="30"/>
  <c r="J516" i="30"/>
  <c r="D516" i="30"/>
  <c r="B516" i="30"/>
  <c r="O516" i="30" s="1" a="1"/>
  <c r="L516" i="30"/>
  <c r="G516" i="30"/>
  <c r="E505" i="30"/>
  <c r="G505" i="30"/>
  <c r="J505" i="30"/>
  <c r="C505" i="30"/>
  <c r="D505" i="30"/>
  <c r="N505" i="30"/>
  <c r="F505" i="30"/>
  <c r="K505" i="30"/>
  <c r="B505" i="30"/>
  <c r="O505" i="30" s="1" a="1"/>
  <c r="M505" i="30"/>
  <c r="L505" i="30"/>
  <c r="H505" i="30"/>
  <c r="I505" i="30"/>
  <c r="E491" i="30"/>
  <c r="M491" i="30"/>
  <c r="J491" i="30"/>
  <c r="D491" i="30"/>
  <c r="F491" i="30"/>
  <c r="K491" i="30"/>
  <c r="N491" i="30"/>
  <c r="H491" i="30"/>
  <c r="B491" i="30"/>
  <c r="O491" i="30" s="1" a="1"/>
  <c r="C491" i="30"/>
  <c r="G491" i="30"/>
  <c r="L491" i="30"/>
  <c r="I491" i="30"/>
  <c r="E471" i="30"/>
  <c r="H471" i="30"/>
  <c r="C471" i="30"/>
  <c r="J471" i="30"/>
  <c r="G471" i="30"/>
  <c r="D471" i="30"/>
  <c r="M471" i="30"/>
  <c r="B471" i="30"/>
  <c r="O471" i="30" s="1" a="1"/>
  <c r="I471" i="30"/>
  <c r="K471" i="30"/>
  <c r="N471" i="30"/>
  <c r="L471" i="30"/>
  <c r="F471" i="30"/>
  <c r="D454" i="30"/>
  <c r="G454" i="30"/>
  <c r="F454" i="30"/>
  <c r="I454" i="30"/>
  <c r="N454" i="30"/>
  <c r="B454" i="30"/>
  <c r="O454" i="30" s="1" a="1"/>
  <c r="L454" i="30"/>
  <c r="K454" i="30"/>
  <c r="E454" i="30"/>
  <c r="M454" i="30"/>
  <c r="C454" i="30"/>
  <c r="H454" i="30"/>
  <c r="J454" i="30"/>
  <c r="E437" i="30"/>
  <c r="L437" i="30"/>
  <c r="J437" i="30"/>
  <c r="M437" i="30"/>
  <c r="G437" i="30"/>
  <c r="K437" i="30"/>
  <c r="N437" i="30"/>
  <c r="B437" i="30"/>
  <c r="O437" i="30" s="1" a="1"/>
  <c r="H437" i="30"/>
  <c r="F437" i="30"/>
  <c r="I437" i="30"/>
  <c r="D437" i="30"/>
  <c r="C437" i="30"/>
  <c r="D400" i="30"/>
  <c r="B400" i="30"/>
  <c r="O400" i="30" s="1" a="1"/>
  <c r="J400" i="30"/>
  <c r="M400" i="30"/>
  <c r="K400" i="30"/>
  <c r="G400" i="30"/>
  <c r="H400" i="30"/>
  <c r="N400" i="30"/>
  <c r="F400" i="30"/>
  <c r="L400" i="30"/>
  <c r="E400" i="30"/>
  <c r="C400" i="30"/>
  <c r="I400" i="30"/>
  <c r="M381" i="30"/>
  <c r="F381" i="30"/>
  <c r="B381" i="30"/>
  <c r="O381" i="30" s="1" a="1"/>
  <c r="C381" i="30"/>
  <c r="E381" i="30"/>
  <c r="D381" i="30"/>
  <c r="G381" i="30"/>
  <c r="N381" i="30"/>
  <c r="H381" i="30"/>
  <c r="L381" i="30"/>
  <c r="K381" i="30"/>
  <c r="J381" i="30"/>
  <c r="I381" i="30"/>
  <c r="H369" i="30"/>
  <c r="I369" i="30"/>
  <c r="E369" i="30"/>
  <c r="B369" i="30"/>
  <c r="O369" i="30" s="1" a="1"/>
  <c r="K369" i="30"/>
  <c r="F369" i="30"/>
  <c r="N369" i="30"/>
  <c r="L369" i="30"/>
  <c r="M369" i="30"/>
  <c r="D369" i="30"/>
  <c r="G369" i="30"/>
  <c r="J369" i="30"/>
  <c r="C369" i="30"/>
  <c r="B357" i="30"/>
  <c r="O357" i="30" s="1" a="1"/>
  <c r="L357" i="30"/>
  <c r="E357" i="30"/>
  <c r="F357" i="30"/>
  <c r="M357" i="30"/>
  <c r="J357" i="30"/>
  <c r="K357" i="30"/>
  <c r="G357" i="30"/>
  <c r="N357" i="30"/>
  <c r="D357" i="30"/>
  <c r="I357" i="30"/>
  <c r="H357" i="30"/>
  <c r="C357" i="30"/>
  <c r="D340" i="30"/>
  <c r="N340" i="30"/>
  <c r="L340" i="30"/>
  <c r="C340" i="30"/>
  <c r="H340" i="30"/>
  <c r="E340" i="30"/>
  <c r="G340" i="30"/>
  <c r="J340" i="30"/>
  <c r="B340" i="30"/>
  <c r="O340" i="30" s="1" a="1"/>
  <c r="K340" i="30"/>
  <c r="M340" i="30"/>
  <c r="I340" i="30"/>
  <c r="F340" i="30"/>
  <c r="M319" i="30"/>
  <c r="J319" i="30"/>
  <c r="I319" i="30"/>
  <c r="D319" i="30"/>
  <c r="K319" i="30"/>
  <c r="E319" i="30"/>
  <c r="G319" i="30"/>
  <c r="B319" i="30"/>
  <c r="O319" i="30" s="1" a="1"/>
  <c r="C319" i="30"/>
  <c r="F319" i="30"/>
  <c r="H319" i="30"/>
  <c r="L319" i="30"/>
  <c r="N319" i="30"/>
  <c r="D299" i="30"/>
  <c r="G299" i="30"/>
  <c r="B299" i="30"/>
  <c r="O299" i="30" s="1" a="1"/>
  <c r="L299" i="30"/>
  <c r="M299" i="30"/>
  <c r="K299" i="30"/>
  <c r="F299" i="30"/>
  <c r="N299" i="30"/>
  <c r="H299" i="30"/>
  <c r="J299" i="30"/>
  <c r="C299" i="30"/>
  <c r="E299" i="30"/>
  <c r="I299" i="30"/>
  <c r="B289" i="30"/>
  <c r="O289" i="30" s="1" a="1"/>
  <c r="L289" i="30"/>
  <c r="J289" i="30"/>
  <c r="N289" i="30"/>
  <c r="G289" i="30"/>
  <c r="H289" i="30"/>
  <c r="K289" i="30"/>
  <c r="E289" i="30"/>
  <c r="M289" i="30"/>
  <c r="C289" i="30"/>
  <c r="D289" i="30"/>
  <c r="F289" i="30"/>
  <c r="I289" i="30"/>
  <c r="M272" i="30"/>
  <c r="L272" i="30"/>
  <c r="C272" i="30"/>
  <c r="E272" i="30"/>
  <c r="H272" i="30"/>
  <c r="B272" i="30"/>
  <c r="O272" i="30" s="1" a="1"/>
  <c r="K272" i="30"/>
  <c r="I272" i="30"/>
  <c r="D272" i="30"/>
  <c r="G272" i="30"/>
  <c r="F272" i="30"/>
  <c r="N272" i="30"/>
  <c r="J272" i="30"/>
  <c r="G247" i="30"/>
  <c r="N247" i="30"/>
  <c r="I247" i="30"/>
  <c r="D247" i="30"/>
  <c r="B247" i="30"/>
  <c r="O247" i="30" s="1" a="1"/>
  <c r="L247" i="30"/>
  <c r="K247" i="30"/>
  <c r="F247" i="30"/>
  <c r="C247" i="30"/>
  <c r="E247" i="30"/>
  <c r="H247" i="30"/>
  <c r="M247" i="30"/>
  <c r="J247" i="30"/>
  <c r="M221" i="30"/>
  <c r="I221" i="30"/>
  <c r="N221" i="30"/>
  <c r="D221" i="30"/>
  <c r="G221" i="30"/>
  <c r="K221" i="30"/>
  <c r="E221" i="30"/>
  <c r="L221" i="30"/>
  <c r="B221" i="30"/>
  <c r="O221" i="30" s="1" a="1"/>
  <c r="H221" i="30"/>
  <c r="C221" i="30"/>
  <c r="J221" i="30"/>
  <c r="F221" i="30"/>
  <c r="E207" i="30"/>
  <c r="B207" i="30"/>
  <c r="O207" i="30" s="1" a="1"/>
  <c r="K207" i="30"/>
  <c r="L207" i="30"/>
  <c r="M207" i="30"/>
  <c r="F207" i="30"/>
  <c r="D207" i="30"/>
  <c r="N207" i="30"/>
  <c r="G207" i="30"/>
  <c r="J207" i="30"/>
  <c r="C207" i="30"/>
  <c r="H207" i="30"/>
  <c r="I207" i="30"/>
  <c r="N197" i="30"/>
  <c r="G197" i="30"/>
  <c r="E197" i="30"/>
  <c r="K197" i="30"/>
  <c r="M197" i="30"/>
  <c r="L197" i="30"/>
  <c r="F197" i="30"/>
  <c r="H197" i="30"/>
  <c r="J197" i="30"/>
  <c r="C197" i="30"/>
  <c r="D197" i="30"/>
  <c r="B197" i="30"/>
  <c r="O197" i="30" s="1" a="1"/>
  <c r="I197" i="30"/>
  <c r="N166" i="30"/>
  <c r="H166" i="30"/>
  <c r="E166" i="30"/>
  <c r="M166" i="30"/>
  <c r="L166" i="30"/>
  <c r="K166" i="30"/>
  <c r="F166" i="30"/>
  <c r="C166" i="30"/>
  <c r="D166" i="30"/>
  <c r="B166" i="30"/>
  <c r="O166" i="30" s="1" a="1"/>
  <c r="G166" i="30"/>
  <c r="I166" i="30"/>
  <c r="J166" i="30"/>
  <c r="M155" i="30"/>
  <c r="L155" i="30"/>
  <c r="E155" i="30"/>
  <c r="G155" i="30"/>
  <c r="H155" i="30"/>
  <c r="K155" i="30"/>
  <c r="N155" i="30"/>
  <c r="D155" i="30"/>
  <c r="F155" i="30"/>
  <c r="B155" i="30"/>
  <c r="O155" i="30" s="1" a="1"/>
  <c r="J155" i="30"/>
  <c r="I155" i="30"/>
  <c r="C155" i="30"/>
  <c r="H109" i="30"/>
  <c r="E109" i="30"/>
  <c r="M109" i="30"/>
  <c r="N109" i="30"/>
  <c r="B109" i="30"/>
  <c r="O109" i="30" s="1" a="1"/>
  <c r="K109" i="30"/>
  <c r="D109" i="30"/>
  <c r="L109" i="30"/>
  <c r="C109" i="30"/>
  <c r="I109" i="30"/>
  <c r="F109" i="30"/>
  <c r="G109" i="30"/>
  <c r="J109" i="30"/>
  <c r="D87" i="30"/>
  <c r="G87" i="30"/>
  <c r="K87" i="30"/>
  <c r="E87" i="30"/>
  <c r="F87" i="30"/>
  <c r="B87" i="30"/>
  <c r="O87" i="30" s="1" a="1"/>
  <c r="I87" i="30"/>
  <c r="N87" i="30"/>
  <c r="H87" i="30"/>
  <c r="M87" i="30"/>
  <c r="L87" i="30"/>
  <c r="J87" i="30"/>
  <c r="C87" i="30"/>
  <c r="E68" i="30"/>
  <c r="H68" i="30"/>
  <c r="K68" i="30"/>
  <c r="B68" i="30"/>
  <c r="O68" i="30" s="1" a="1"/>
  <c r="F68" i="30"/>
  <c r="G68" i="30"/>
  <c r="L68" i="30"/>
  <c r="N68" i="30"/>
  <c r="D68" i="30"/>
  <c r="M68" i="30"/>
  <c r="J68" i="30"/>
  <c r="I68" i="30"/>
  <c r="C68" i="30"/>
  <c r="M45" i="30"/>
  <c r="J45" i="30"/>
  <c r="D45" i="30"/>
  <c r="L45" i="30"/>
  <c r="B45" i="30"/>
  <c r="O45" i="30" s="1" a="1"/>
  <c r="K45" i="30"/>
  <c r="G45" i="30"/>
  <c r="E45" i="30"/>
  <c r="N45" i="30"/>
  <c r="F45" i="30"/>
  <c r="I45" i="30"/>
  <c r="H45" i="30"/>
  <c r="C45" i="30"/>
  <c r="E26" i="30"/>
  <c r="L26" i="30"/>
  <c r="I26" i="30"/>
  <c r="M26" i="30"/>
  <c r="G26" i="30"/>
  <c r="B26" i="30"/>
  <c r="O26" i="30" s="1" a="1"/>
  <c r="N26" i="30"/>
  <c r="H26" i="30"/>
  <c r="J26" i="30"/>
  <c r="D26" i="30"/>
  <c r="K26" i="30"/>
  <c r="C26" i="30"/>
  <c r="F26" i="30"/>
  <c r="H10" i="30"/>
  <c r="J10" i="30"/>
  <c r="E10" i="30"/>
  <c r="L10" i="30"/>
  <c r="N10" i="30"/>
  <c r="C10" i="30"/>
  <c r="D10" i="30"/>
  <c r="G10" i="30"/>
  <c r="K10" i="30"/>
  <c r="M10" i="30"/>
  <c r="F10" i="30"/>
  <c r="B10" i="30"/>
  <c r="O10" i="30" s="1" a="1"/>
  <c r="I10" i="30"/>
  <c r="G610" i="30"/>
  <c r="E610" i="30"/>
  <c r="N610" i="30"/>
  <c r="F610" i="30"/>
  <c r="H610" i="30"/>
  <c r="L610" i="30"/>
  <c r="B610" i="30"/>
  <c r="O610" i="30" s="1" a="1"/>
  <c r="D610" i="30"/>
  <c r="K610" i="30"/>
  <c r="J610" i="30"/>
  <c r="M610" i="30"/>
  <c r="I610" i="30"/>
  <c r="C610" i="30"/>
  <c r="N595" i="30"/>
  <c r="I595" i="30"/>
  <c r="H595" i="30"/>
  <c r="E595" i="30"/>
  <c r="M595" i="30"/>
  <c r="K595" i="30"/>
  <c r="F595" i="30"/>
  <c r="D595" i="30"/>
  <c r="J595" i="30"/>
  <c r="C595" i="30"/>
  <c r="B595" i="30"/>
  <c r="O595" i="30" s="1" a="1"/>
  <c r="L595" i="30"/>
  <c r="G595" i="30"/>
  <c r="D589" i="30"/>
  <c r="L589" i="30"/>
  <c r="I589" i="30"/>
  <c r="F589" i="30"/>
  <c r="K589" i="30"/>
  <c r="M589" i="30"/>
  <c r="G589" i="30"/>
  <c r="B589" i="30"/>
  <c r="O589" i="30" s="1" a="1"/>
  <c r="E589" i="30"/>
  <c r="N589" i="30"/>
  <c r="H589" i="30"/>
  <c r="J589" i="30"/>
  <c r="C589" i="30"/>
  <c r="D577" i="30"/>
  <c r="K577" i="30"/>
  <c r="B577" i="30"/>
  <c r="O577" i="30" s="1" a="1"/>
  <c r="F577" i="30"/>
  <c r="G577" i="30"/>
  <c r="M577" i="30"/>
  <c r="N577" i="30"/>
  <c r="I577" i="30"/>
  <c r="E577" i="30"/>
  <c r="H577" i="30"/>
  <c r="L577" i="30"/>
  <c r="J577" i="30"/>
  <c r="C577" i="30"/>
  <c r="G557" i="30"/>
  <c r="M557" i="30"/>
  <c r="F557" i="30"/>
  <c r="I557" i="30"/>
  <c r="D557" i="30"/>
  <c r="L557" i="30"/>
  <c r="B557" i="30"/>
  <c r="O557" i="30" s="1" a="1"/>
  <c r="K557" i="30"/>
  <c r="H557" i="30"/>
  <c r="N557" i="30"/>
  <c r="C557" i="30"/>
  <c r="E557" i="30"/>
  <c r="J557" i="30"/>
  <c r="D539" i="30"/>
  <c r="N539" i="30"/>
  <c r="H539" i="30"/>
  <c r="C539" i="30"/>
  <c r="E539" i="30"/>
  <c r="M539" i="30"/>
  <c r="J539" i="30"/>
  <c r="I539" i="30"/>
  <c r="F539" i="30"/>
  <c r="B539" i="30"/>
  <c r="O539" i="30" s="1" a="1"/>
  <c r="K539" i="30"/>
  <c r="L539" i="30"/>
  <c r="G539" i="30"/>
  <c r="E530" i="30"/>
  <c r="M530" i="30"/>
  <c r="N530" i="30"/>
  <c r="F530" i="30"/>
  <c r="D530" i="30"/>
  <c r="G530" i="30"/>
  <c r="B530" i="30"/>
  <c r="O530" i="30" s="1" a="1"/>
  <c r="J530" i="30"/>
  <c r="H530" i="30"/>
  <c r="K530" i="30"/>
  <c r="L530" i="30"/>
  <c r="I530" i="30"/>
  <c r="C530" i="30"/>
  <c r="D501" i="30"/>
  <c r="C501" i="30"/>
  <c r="E501" i="30"/>
  <c r="H501" i="30"/>
  <c r="N501" i="30"/>
  <c r="B501" i="30"/>
  <c r="O501" i="30" s="1" a="1"/>
  <c r="K501" i="30"/>
  <c r="L501" i="30"/>
  <c r="J501" i="30"/>
  <c r="G501" i="30"/>
  <c r="M501" i="30"/>
  <c r="F501" i="30"/>
  <c r="I501" i="30"/>
  <c r="D428" i="30"/>
  <c r="I428" i="30"/>
  <c r="E428" i="30"/>
  <c r="H428" i="30"/>
  <c r="N428" i="30"/>
  <c r="B428" i="30"/>
  <c r="O428" i="30" s="1" a="1"/>
  <c r="L428" i="30"/>
  <c r="K428" i="30"/>
  <c r="F428" i="30"/>
  <c r="C428" i="30"/>
  <c r="J428" i="30"/>
  <c r="G428" i="30"/>
  <c r="M428" i="30"/>
  <c r="E413" i="30"/>
  <c r="G413" i="30"/>
  <c r="B413" i="30"/>
  <c r="O413" i="30" s="1" a="1"/>
  <c r="J413" i="30"/>
  <c r="H413" i="30"/>
  <c r="D413" i="30"/>
  <c r="M413" i="30"/>
  <c r="K413" i="30"/>
  <c r="I413" i="30"/>
  <c r="L413" i="30"/>
  <c r="N413" i="30"/>
  <c r="F413" i="30"/>
  <c r="C413" i="30"/>
  <c r="E393" i="30"/>
  <c r="M393" i="30"/>
  <c r="I393" i="30"/>
  <c r="D393" i="30"/>
  <c r="K393" i="30"/>
  <c r="L393" i="30"/>
  <c r="B393" i="30"/>
  <c r="O393" i="30" s="1" a="1"/>
  <c r="N393" i="30"/>
  <c r="G393" i="30"/>
  <c r="F393" i="30"/>
  <c r="C393" i="30"/>
  <c r="H393" i="30"/>
  <c r="J393" i="30"/>
  <c r="I367" i="30"/>
  <c r="H367" i="30"/>
  <c r="C367" i="30"/>
  <c r="J367" i="30"/>
  <c r="K367" i="30"/>
  <c r="F367" i="30"/>
  <c r="N367" i="30"/>
  <c r="E367" i="30"/>
  <c r="L367" i="30"/>
  <c r="G367" i="30"/>
  <c r="B367" i="30"/>
  <c r="O367" i="30" s="1" a="1"/>
  <c r="D367" i="30"/>
  <c r="M367" i="30"/>
  <c r="L355" i="30"/>
  <c r="C355" i="30"/>
  <c r="E355" i="30"/>
  <c r="H355" i="30"/>
  <c r="B355" i="30"/>
  <c r="O355" i="30" s="1" a="1"/>
  <c r="K355" i="30"/>
  <c r="M355" i="30"/>
  <c r="I355" i="30"/>
  <c r="D355" i="30"/>
  <c r="N355" i="30"/>
  <c r="G355" i="30"/>
  <c r="J355" i="30"/>
  <c r="F355" i="30"/>
  <c r="L335" i="30"/>
  <c r="H335" i="30"/>
  <c r="I335" i="30"/>
  <c r="E335" i="30"/>
  <c r="N335" i="30"/>
  <c r="K335" i="30"/>
  <c r="F335" i="30"/>
  <c r="D335" i="30"/>
  <c r="B335" i="30"/>
  <c r="O335" i="30" s="1" a="1"/>
  <c r="G335" i="30"/>
  <c r="C335" i="30"/>
  <c r="M335" i="30"/>
  <c r="J335" i="30"/>
  <c r="E305" i="30"/>
  <c r="F305" i="30"/>
  <c r="I305" i="30"/>
  <c r="D305" i="30"/>
  <c r="H305" i="30"/>
  <c r="L305" i="30"/>
  <c r="B305" i="30"/>
  <c r="O305" i="30" s="1" a="1"/>
  <c r="N305" i="30"/>
  <c r="K305" i="30"/>
  <c r="G305" i="30"/>
  <c r="C305" i="30"/>
  <c r="M305" i="30"/>
  <c r="J305" i="30"/>
  <c r="D296" i="30"/>
  <c r="M296" i="30"/>
  <c r="J296" i="30"/>
  <c r="I296" i="30"/>
  <c r="C296" i="30"/>
  <c r="E296" i="30"/>
  <c r="B296" i="30"/>
  <c r="O296" i="30" s="1" a="1"/>
  <c r="G296" i="30"/>
  <c r="F296" i="30"/>
  <c r="H296" i="30"/>
  <c r="K296" i="30"/>
  <c r="N296" i="30"/>
  <c r="L296" i="30"/>
  <c r="D282" i="30"/>
  <c r="G282" i="30"/>
  <c r="H282" i="30"/>
  <c r="F282" i="30"/>
  <c r="C282" i="30"/>
  <c r="L282" i="30"/>
  <c r="N282" i="30"/>
  <c r="B282" i="30"/>
  <c r="O282" i="30" s="1" a="1"/>
  <c r="K282" i="30"/>
  <c r="E282" i="30"/>
  <c r="I282" i="30"/>
  <c r="M282" i="30"/>
  <c r="J282" i="30"/>
  <c r="E266" i="30"/>
  <c r="H266" i="30"/>
  <c r="B266" i="30"/>
  <c r="O266" i="30" s="1" a="1"/>
  <c r="J266" i="30"/>
  <c r="D266" i="30"/>
  <c r="K266" i="30"/>
  <c r="N266" i="30"/>
  <c r="L266" i="30"/>
  <c r="I266" i="30"/>
  <c r="G266" i="30"/>
  <c r="M266" i="30"/>
  <c r="F266" i="30"/>
  <c r="C266" i="30"/>
  <c r="N248" i="30"/>
  <c r="H248" i="30"/>
  <c r="G248" i="30"/>
  <c r="F248" i="30"/>
  <c r="K248" i="30"/>
  <c r="E248" i="30"/>
  <c r="L248" i="30"/>
  <c r="I248" i="30"/>
  <c r="D248" i="30"/>
  <c r="M248" i="30"/>
  <c r="B248" i="30"/>
  <c r="O248" i="30" s="1" a="1"/>
  <c r="J248" i="30"/>
  <c r="C248" i="30"/>
  <c r="D229" i="30"/>
  <c r="C229" i="30"/>
  <c r="G229" i="30"/>
  <c r="N229" i="30"/>
  <c r="L229" i="30"/>
  <c r="B229" i="30"/>
  <c r="O229" i="30" s="1" a="1"/>
  <c r="K229" i="30"/>
  <c r="F229" i="30"/>
  <c r="M229" i="30"/>
  <c r="E229" i="30"/>
  <c r="J229" i="30"/>
  <c r="H229" i="30"/>
  <c r="I229" i="30"/>
  <c r="L214" i="30"/>
  <c r="G214" i="30"/>
  <c r="K214" i="30"/>
  <c r="H214" i="30"/>
  <c r="D214" i="30"/>
  <c r="B214" i="30"/>
  <c r="O214" i="30" s="1" a="1"/>
  <c r="J214" i="30"/>
  <c r="E214" i="30"/>
  <c r="M214" i="30"/>
  <c r="N214" i="30"/>
  <c r="F214" i="30"/>
  <c r="I214" i="30"/>
  <c r="C214" i="30"/>
  <c r="D188" i="30"/>
  <c r="M188" i="30"/>
  <c r="J188" i="30"/>
  <c r="E188" i="30"/>
  <c r="K188" i="30"/>
  <c r="L188" i="30"/>
  <c r="H188" i="30"/>
  <c r="N188" i="30"/>
  <c r="F188" i="30"/>
  <c r="C188" i="30"/>
  <c r="G188" i="30"/>
  <c r="B188" i="30"/>
  <c r="O188" i="30" s="1" a="1"/>
  <c r="I188" i="30"/>
  <c r="D169" i="30"/>
  <c r="I169" i="30"/>
  <c r="E169" i="30"/>
  <c r="M169" i="30"/>
  <c r="G169" i="30"/>
  <c r="H169" i="30"/>
  <c r="K169" i="30"/>
  <c r="N169" i="30"/>
  <c r="B169" i="30"/>
  <c r="O169" i="30" s="1" a="1"/>
  <c r="F169" i="30"/>
  <c r="L169" i="30"/>
  <c r="C169" i="30"/>
  <c r="J169" i="30"/>
  <c r="G158" i="30"/>
  <c r="J158" i="30"/>
  <c r="N158" i="30"/>
  <c r="M158" i="30"/>
  <c r="L158" i="30"/>
  <c r="F158" i="30"/>
  <c r="D158" i="30"/>
  <c r="H158" i="30"/>
  <c r="I158" i="30"/>
  <c r="C158" i="30"/>
  <c r="E158" i="30"/>
  <c r="B158" i="30"/>
  <c r="O158" i="30" s="1" a="1"/>
  <c r="K158" i="30"/>
  <c r="E152" i="30"/>
  <c r="H152" i="30"/>
  <c r="M152" i="30"/>
  <c r="C152" i="30"/>
  <c r="F152" i="30"/>
  <c r="D152" i="30"/>
  <c r="L152" i="30"/>
  <c r="N152" i="30"/>
  <c r="B152" i="30"/>
  <c r="O152" i="30" s="1" a="1"/>
  <c r="K152" i="30"/>
  <c r="G152" i="30"/>
  <c r="J152" i="30"/>
  <c r="I152" i="30"/>
  <c r="B129" i="30"/>
  <c r="O129" i="30" s="1" a="1"/>
  <c r="G129" i="30"/>
  <c r="F129" i="30"/>
  <c r="M129" i="30"/>
  <c r="L129" i="30"/>
  <c r="D129" i="30"/>
  <c r="H129" i="30"/>
  <c r="J129" i="30"/>
  <c r="C129" i="30"/>
  <c r="E129" i="30"/>
  <c r="N129" i="30"/>
  <c r="K129" i="30"/>
  <c r="I129" i="30"/>
  <c r="J126" i="30"/>
  <c r="D126" i="30"/>
  <c r="H126" i="30"/>
  <c r="E126" i="30"/>
  <c r="K126" i="30"/>
  <c r="M126" i="30"/>
  <c r="N126" i="30"/>
  <c r="I126" i="30"/>
  <c r="G126" i="30"/>
  <c r="L126" i="30"/>
  <c r="B126" i="30"/>
  <c r="O126" i="30" s="1" a="1"/>
  <c r="F126" i="30"/>
  <c r="C126" i="30"/>
  <c r="J118" i="30"/>
  <c r="D118" i="30"/>
  <c r="N118" i="30"/>
  <c r="K118" i="30"/>
  <c r="G118" i="30"/>
  <c r="H118" i="30"/>
  <c r="M118" i="30"/>
  <c r="L118" i="30"/>
  <c r="E118" i="30"/>
  <c r="B118" i="30"/>
  <c r="O118" i="30" s="1" a="1"/>
  <c r="F118" i="30"/>
  <c r="I118" i="30"/>
  <c r="C118" i="30"/>
  <c r="D97" i="30"/>
  <c r="G97" i="30"/>
  <c r="F97" i="30"/>
  <c r="J97" i="30"/>
  <c r="B97" i="30"/>
  <c r="O97" i="30" s="1" a="1"/>
  <c r="N97" i="30"/>
  <c r="H97" i="30"/>
  <c r="L97" i="30"/>
  <c r="C97" i="30"/>
  <c r="E97" i="30"/>
  <c r="K97" i="30"/>
  <c r="M97" i="30"/>
  <c r="I97" i="30"/>
  <c r="L60" i="30"/>
  <c r="H60" i="30"/>
  <c r="D60" i="30"/>
  <c r="F60" i="30"/>
  <c r="M60" i="30"/>
  <c r="N60" i="30"/>
  <c r="K60" i="30"/>
  <c r="E60" i="30"/>
  <c r="G60" i="30"/>
  <c r="I60" i="30"/>
  <c r="C60" i="30"/>
  <c r="B60" i="30"/>
  <c r="O60" i="30" s="1" a="1"/>
  <c r="J60" i="30"/>
  <c r="D53" i="30"/>
  <c r="B53" i="30"/>
  <c r="O53" i="30" s="1" a="1"/>
  <c r="G53" i="30"/>
  <c r="C53" i="30"/>
  <c r="L53" i="30"/>
  <c r="F53" i="30"/>
  <c r="M53" i="30"/>
  <c r="N53" i="30"/>
  <c r="K53" i="30"/>
  <c r="J53" i="30"/>
  <c r="E53" i="30"/>
  <c r="H53" i="30"/>
  <c r="I53" i="30"/>
  <c r="D23" i="30"/>
  <c r="M23" i="30"/>
  <c r="H23" i="30"/>
  <c r="B23" i="30"/>
  <c r="O23" i="30" s="1" a="1"/>
  <c r="L23" i="30"/>
  <c r="N23" i="30"/>
  <c r="K23" i="30"/>
  <c r="F23" i="30"/>
  <c r="J23" i="30"/>
  <c r="E23" i="30"/>
  <c r="G23" i="30"/>
  <c r="C23" i="30"/>
  <c r="I23" i="30"/>
  <c r="D6" i="30"/>
  <c r="H6" i="30"/>
  <c r="C6" i="30"/>
  <c r="F6" i="30"/>
  <c r="M6" i="30"/>
  <c r="L6" i="30"/>
  <c r="K6" i="30"/>
  <c r="B6" i="30"/>
  <c r="O6" i="30" s="1" a="1"/>
  <c r="J6" i="30"/>
  <c r="E6" i="30"/>
  <c r="N6" i="30"/>
  <c r="G6" i="30"/>
  <c r="I6" i="30"/>
  <c r="D611" i="30"/>
  <c r="N611" i="30"/>
  <c r="M611" i="30"/>
  <c r="L611" i="30"/>
  <c r="F611" i="30"/>
  <c r="H611" i="30"/>
  <c r="B611" i="30"/>
  <c r="O611" i="30" s="1" a="1"/>
  <c r="G611" i="30"/>
  <c r="K611" i="30"/>
  <c r="E611" i="30"/>
  <c r="J611" i="30"/>
  <c r="C611" i="30"/>
  <c r="I611" i="30"/>
  <c r="D607" i="30"/>
  <c r="C607" i="30"/>
  <c r="L607" i="30"/>
  <c r="N607" i="30"/>
  <c r="F607" i="30"/>
  <c r="M607" i="30"/>
  <c r="G607" i="30"/>
  <c r="H607" i="30"/>
  <c r="B607" i="30"/>
  <c r="O607" i="30" s="1" a="1"/>
  <c r="K607" i="30"/>
  <c r="J607" i="30"/>
  <c r="E607" i="30"/>
  <c r="I607" i="30"/>
  <c r="D565" i="30"/>
  <c r="J565" i="30"/>
  <c r="I565" i="30"/>
  <c r="F565" i="30"/>
  <c r="M565" i="30"/>
  <c r="N565" i="30"/>
  <c r="L565" i="30"/>
  <c r="B565" i="30"/>
  <c r="O565" i="30" s="1" a="1"/>
  <c r="H565" i="30"/>
  <c r="K565" i="30"/>
  <c r="C565" i="30"/>
  <c r="E565" i="30"/>
  <c r="G565" i="30"/>
  <c r="M547" i="30"/>
  <c r="H547" i="30"/>
  <c r="D547" i="30"/>
  <c r="L547" i="30"/>
  <c r="K547" i="30"/>
  <c r="F547" i="30"/>
  <c r="J547" i="30"/>
  <c r="I547" i="30"/>
  <c r="E547" i="30"/>
  <c r="B547" i="30"/>
  <c r="O547" i="30" s="1" a="1"/>
  <c r="C547" i="30"/>
  <c r="N547" i="30"/>
  <c r="G547" i="30"/>
  <c r="M496" i="30"/>
  <c r="I496" i="30"/>
  <c r="F496" i="30"/>
  <c r="D496" i="30"/>
  <c r="L496" i="30"/>
  <c r="N496" i="30"/>
  <c r="B496" i="30"/>
  <c r="O496" i="30" s="1" a="1"/>
  <c r="E496" i="30"/>
  <c r="G496" i="30"/>
  <c r="K496" i="30"/>
  <c r="C496" i="30"/>
  <c r="H496" i="30"/>
  <c r="J496" i="30"/>
  <c r="D479" i="30"/>
  <c r="B479" i="30"/>
  <c r="O479" i="30" s="1" a="1"/>
  <c r="M479" i="30"/>
  <c r="N479" i="30"/>
  <c r="K479" i="30"/>
  <c r="F479" i="30"/>
  <c r="L479" i="30"/>
  <c r="G479" i="30"/>
  <c r="J479" i="30"/>
  <c r="I479" i="30"/>
  <c r="C479" i="30"/>
  <c r="E479" i="30"/>
  <c r="H479" i="30"/>
  <c r="C474" i="30"/>
  <c r="D474" i="30"/>
  <c r="L474" i="30"/>
  <c r="K474" i="30"/>
  <c r="B474" i="30"/>
  <c r="O474" i="30" s="1" a="1"/>
  <c r="N474" i="30"/>
  <c r="E474" i="30"/>
  <c r="H474" i="30"/>
  <c r="G474" i="30"/>
  <c r="J474" i="30"/>
  <c r="M474" i="30"/>
  <c r="I474" i="30"/>
  <c r="F474" i="30"/>
  <c r="H461" i="30"/>
  <c r="C461" i="30"/>
  <c r="D461" i="30"/>
  <c r="B461" i="30"/>
  <c r="O461" i="30" s="1" a="1"/>
  <c r="L461" i="30"/>
  <c r="M461" i="30"/>
  <c r="F461" i="30"/>
  <c r="K461" i="30"/>
  <c r="E461" i="30"/>
  <c r="N461" i="30"/>
  <c r="G461" i="30"/>
  <c r="I461" i="30"/>
  <c r="J461" i="30"/>
  <c r="N450" i="30"/>
  <c r="H450" i="30"/>
  <c r="C450" i="30"/>
  <c r="D450" i="30"/>
  <c r="K450" i="30"/>
  <c r="M450" i="30"/>
  <c r="F450" i="30"/>
  <c r="L450" i="30"/>
  <c r="E450" i="30"/>
  <c r="I450" i="30"/>
  <c r="J450" i="30"/>
  <c r="B450" i="30"/>
  <c r="O450" i="30" s="1" a="1"/>
  <c r="G450" i="30"/>
  <c r="C442" i="30"/>
  <c r="D442" i="30"/>
  <c r="H442" i="30"/>
  <c r="B442" i="30"/>
  <c r="O442" i="30" s="1" a="1"/>
  <c r="N442" i="30"/>
  <c r="E442" i="30"/>
  <c r="G442" i="30"/>
  <c r="M442" i="30"/>
  <c r="F442" i="30"/>
  <c r="I442" i="30"/>
  <c r="K442" i="30"/>
  <c r="L442" i="30"/>
  <c r="J442" i="30"/>
  <c r="D403" i="30"/>
  <c r="H403" i="30"/>
  <c r="C403" i="30"/>
  <c r="E403" i="30"/>
  <c r="B403" i="30"/>
  <c r="O403" i="30" s="1" a="1"/>
  <c r="M403" i="30"/>
  <c r="K403" i="30"/>
  <c r="L403" i="30"/>
  <c r="F403" i="30"/>
  <c r="N403" i="30"/>
  <c r="G403" i="30"/>
  <c r="J403" i="30"/>
  <c r="I403" i="30"/>
  <c r="D387" i="30"/>
  <c r="C387" i="30"/>
  <c r="E387" i="30"/>
  <c r="G387" i="30"/>
  <c r="H387" i="30"/>
  <c r="K387" i="30"/>
  <c r="M387" i="30"/>
  <c r="B387" i="30"/>
  <c r="O387" i="30" s="1" a="1"/>
  <c r="L387" i="30"/>
  <c r="N387" i="30"/>
  <c r="F387" i="30"/>
  <c r="I387" i="30"/>
  <c r="J387" i="30"/>
  <c r="H370" i="30"/>
  <c r="I370" i="30"/>
  <c r="L370" i="30"/>
  <c r="F370" i="30"/>
  <c r="M370" i="30"/>
  <c r="K370" i="30"/>
  <c r="E370" i="30"/>
  <c r="N370" i="30"/>
  <c r="J370" i="30"/>
  <c r="G370" i="30"/>
  <c r="D370" i="30"/>
  <c r="B370" i="30"/>
  <c r="O370" i="30" s="1" a="1"/>
  <c r="C370" i="30"/>
  <c r="K330" i="30"/>
  <c r="J330" i="30"/>
  <c r="D330" i="30"/>
  <c r="N330" i="30"/>
  <c r="B330" i="30"/>
  <c r="O330" i="30" s="1" a="1"/>
  <c r="E330" i="30"/>
  <c r="H330" i="30"/>
  <c r="L330" i="30"/>
  <c r="I330" i="30"/>
  <c r="G330" i="30"/>
  <c r="M330" i="30"/>
  <c r="F330" i="30"/>
  <c r="C330" i="30"/>
  <c r="H309" i="30"/>
  <c r="I309" i="30"/>
  <c r="G309" i="30"/>
  <c r="D309" i="30"/>
  <c r="M309" i="30"/>
  <c r="B309" i="30"/>
  <c r="O309" i="30" s="1" a="1"/>
  <c r="N309" i="30"/>
  <c r="E309" i="30"/>
  <c r="K309" i="30"/>
  <c r="C309" i="30"/>
  <c r="L309" i="30"/>
  <c r="F309" i="30"/>
  <c r="J309" i="30"/>
  <c r="D290" i="30"/>
  <c r="M290" i="30"/>
  <c r="H290" i="30"/>
  <c r="E290" i="30"/>
  <c r="K290" i="30"/>
  <c r="B290" i="30"/>
  <c r="O290" i="30" s="1" a="1"/>
  <c r="N290" i="30"/>
  <c r="F290" i="30"/>
  <c r="I290" i="30"/>
  <c r="G290" i="30"/>
  <c r="L290" i="30"/>
  <c r="C290" i="30"/>
  <c r="J290" i="30"/>
  <c r="D268" i="30"/>
  <c r="C268" i="30"/>
  <c r="B268" i="30"/>
  <c r="O268" i="30" s="1" a="1"/>
  <c r="G268" i="30"/>
  <c r="H268" i="30"/>
  <c r="L268" i="30"/>
  <c r="M268" i="30"/>
  <c r="N268" i="30"/>
  <c r="F268" i="30"/>
  <c r="K268" i="30"/>
  <c r="E268" i="30"/>
  <c r="J268" i="30"/>
  <c r="I268" i="30"/>
  <c r="E236" i="30"/>
  <c r="N236" i="30"/>
  <c r="I236" i="30"/>
  <c r="L236" i="30"/>
  <c r="H236" i="30"/>
  <c r="F236" i="30"/>
  <c r="K236" i="30"/>
  <c r="D236" i="30"/>
  <c r="M236" i="30"/>
  <c r="C236" i="30"/>
  <c r="B236" i="30"/>
  <c r="O236" i="30" s="1" a="1"/>
  <c r="G236" i="30"/>
  <c r="J236" i="30"/>
  <c r="J179" i="30"/>
  <c r="D179" i="30"/>
  <c r="K179" i="30"/>
  <c r="M179" i="30"/>
  <c r="G179" i="30"/>
  <c r="L179" i="30"/>
  <c r="N179" i="30"/>
  <c r="F179" i="30"/>
  <c r="I179" i="30"/>
  <c r="E179" i="30"/>
  <c r="H179" i="30"/>
  <c r="B179" i="30"/>
  <c r="O179" i="30" s="1" a="1"/>
  <c r="C179" i="30"/>
  <c r="E151" i="30"/>
  <c r="G151" i="30"/>
  <c r="I151" i="30"/>
  <c r="K151" i="30"/>
  <c r="F151" i="30"/>
  <c r="L151" i="30"/>
  <c r="N151" i="30"/>
  <c r="J151" i="30"/>
  <c r="D151" i="30"/>
  <c r="H151" i="30"/>
  <c r="M151" i="30"/>
  <c r="B151" i="30"/>
  <c r="O151" i="30" s="1" a="1"/>
  <c r="C151" i="30"/>
  <c r="J136" i="30"/>
  <c r="D136" i="30"/>
  <c r="H136" i="30"/>
  <c r="F136" i="30"/>
  <c r="M136" i="30"/>
  <c r="N136" i="30"/>
  <c r="B136" i="30"/>
  <c r="O136" i="30" s="1" a="1"/>
  <c r="L136" i="30"/>
  <c r="K136" i="30"/>
  <c r="E136" i="30"/>
  <c r="I136" i="30"/>
  <c r="G136" i="30"/>
  <c r="C136" i="30"/>
  <c r="H114" i="30"/>
  <c r="M114" i="30"/>
  <c r="G114" i="30"/>
  <c r="E114" i="30"/>
  <c r="L114" i="30"/>
  <c r="N114" i="30"/>
  <c r="B114" i="30"/>
  <c r="O114" i="30" s="1" a="1"/>
  <c r="K114" i="30"/>
  <c r="F114" i="30"/>
  <c r="J114" i="30"/>
  <c r="D114" i="30"/>
  <c r="C114" i="30"/>
  <c r="I114" i="30"/>
  <c r="H94" i="30"/>
  <c r="E94" i="30"/>
  <c r="M94" i="30"/>
  <c r="C94" i="30"/>
  <c r="N94" i="30"/>
  <c r="B94" i="30"/>
  <c r="O94" i="30" s="1" a="1"/>
  <c r="K94" i="30"/>
  <c r="G94" i="30"/>
  <c r="D94" i="30"/>
  <c r="L94" i="30"/>
  <c r="I94" i="30"/>
  <c r="F94" i="30"/>
  <c r="J94" i="30"/>
  <c r="B83" i="30"/>
  <c r="O83" i="30" s="1" a="1"/>
  <c r="E83" i="30"/>
  <c r="L83" i="30"/>
  <c r="F83" i="30"/>
  <c r="N83" i="30"/>
  <c r="M83" i="30"/>
  <c r="K83" i="30"/>
  <c r="H83" i="30"/>
  <c r="J83" i="30"/>
  <c r="C83" i="30"/>
  <c r="D83" i="30"/>
  <c r="G83" i="30"/>
  <c r="I83" i="30"/>
  <c r="D38" i="30"/>
  <c r="G38" i="30"/>
  <c r="B38" i="30"/>
  <c r="O38" i="30" s="1" a="1"/>
  <c r="L38" i="30"/>
  <c r="N38" i="30"/>
  <c r="F38" i="30"/>
  <c r="M38" i="30"/>
  <c r="K38" i="30"/>
  <c r="H38" i="30"/>
  <c r="J38" i="30"/>
  <c r="C38" i="30"/>
  <c r="E38" i="30"/>
  <c r="I38" i="30"/>
  <c r="D28" i="30"/>
  <c r="K28" i="30"/>
  <c r="I28" i="30"/>
  <c r="H28" i="30"/>
  <c r="N28" i="30"/>
  <c r="B28" i="30"/>
  <c r="O28" i="30" s="1" a="1"/>
  <c r="L28" i="30"/>
  <c r="J28" i="30"/>
  <c r="E28" i="30"/>
  <c r="G28" i="30"/>
  <c r="M28" i="30"/>
  <c r="F28" i="30"/>
  <c r="C28" i="30"/>
  <c r="M9" i="30"/>
  <c r="K9" i="30"/>
  <c r="J9" i="30"/>
  <c r="F9" i="30"/>
  <c r="D9" i="30"/>
  <c r="G9" i="30"/>
  <c r="H9" i="30"/>
  <c r="B9" i="30"/>
  <c r="O9" i="30" s="1" a="1"/>
  <c r="L9" i="30"/>
  <c r="N9" i="30"/>
  <c r="C9" i="30"/>
  <c r="E9" i="30"/>
  <c r="I9" i="30"/>
  <c r="L608" i="30"/>
  <c r="D608" i="30"/>
  <c r="N608" i="30"/>
  <c r="K608" i="30"/>
  <c r="F608" i="30"/>
  <c r="I608" i="30"/>
  <c r="J608" i="30"/>
  <c r="E608" i="30"/>
  <c r="B608" i="30"/>
  <c r="O608" i="30" s="1" a="1"/>
  <c r="G608" i="30"/>
  <c r="C608" i="30"/>
  <c r="M608" i="30"/>
  <c r="H608" i="30"/>
  <c r="D602" i="30"/>
  <c r="B602" i="30"/>
  <c r="O602" i="30" s="1" a="1"/>
  <c r="M602" i="30"/>
  <c r="N602" i="30"/>
  <c r="L602" i="30"/>
  <c r="F602" i="30"/>
  <c r="H602" i="30"/>
  <c r="G602" i="30"/>
  <c r="K602" i="30"/>
  <c r="E602" i="30"/>
  <c r="C602" i="30"/>
  <c r="I602" i="30"/>
  <c r="J602" i="30"/>
  <c r="N579" i="30"/>
  <c r="H579" i="30"/>
  <c r="J579" i="30"/>
  <c r="D579" i="30"/>
  <c r="M579" i="30"/>
  <c r="B579" i="30"/>
  <c r="O579" i="30" s="1" a="1"/>
  <c r="L579" i="30"/>
  <c r="K579" i="30"/>
  <c r="G579" i="30"/>
  <c r="C579" i="30"/>
  <c r="E579" i="30"/>
  <c r="F579" i="30"/>
  <c r="I579" i="30"/>
  <c r="M528" i="30"/>
  <c r="L528" i="30"/>
  <c r="H528" i="30"/>
  <c r="C528" i="30"/>
  <c r="D528" i="30"/>
  <c r="N528" i="30"/>
  <c r="K528" i="30"/>
  <c r="I528" i="30"/>
  <c r="J528" i="30"/>
  <c r="F528" i="30"/>
  <c r="E528" i="30"/>
  <c r="B528" i="30"/>
  <c r="O528" i="30" s="1" a="1"/>
  <c r="G528" i="30"/>
  <c r="D476" i="30"/>
  <c r="B476" i="30"/>
  <c r="O476" i="30" s="1" a="1"/>
  <c r="H476" i="30"/>
  <c r="L476" i="30"/>
  <c r="K476" i="30"/>
  <c r="M476" i="30"/>
  <c r="N476" i="30"/>
  <c r="F476" i="30"/>
  <c r="G476" i="30"/>
  <c r="J476" i="30"/>
  <c r="C476" i="30"/>
  <c r="E476" i="30"/>
  <c r="I476" i="30"/>
  <c r="D464" i="30"/>
  <c r="K464" i="30"/>
  <c r="I464" i="30"/>
  <c r="M464" i="30"/>
  <c r="G464" i="30"/>
  <c r="H464" i="30"/>
  <c r="B464" i="30"/>
  <c r="O464" i="30" s="1" a="1"/>
  <c r="L464" i="30"/>
  <c r="E464" i="30"/>
  <c r="N464" i="30"/>
  <c r="C464" i="30"/>
  <c r="J464" i="30"/>
  <c r="F464" i="30"/>
  <c r="D445" i="30"/>
  <c r="B445" i="30"/>
  <c r="O445" i="30" s="1" a="1"/>
  <c r="L445" i="30"/>
  <c r="N445" i="30"/>
  <c r="M445" i="30"/>
  <c r="K445" i="30"/>
  <c r="F445" i="30"/>
  <c r="E445" i="30"/>
  <c r="H445" i="30"/>
  <c r="I445" i="30"/>
  <c r="J445" i="30"/>
  <c r="C445" i="30"/>
  <c r="G445" i="30"/>
  <c r="D433" i="30"/>
  <c r="K433" i="30"/>
  <c r="C433" i="30"/>
  <c r="E433" i="30"/>
  <c r="B433" i="30"/>
  <c r="O433" i="30" s="1" a="1"/>
  <c r="M433" i="30"/>
  <c r="H433" i="30"/>
  <c r="G433" i="30"/>
  <c r="N433" i="30"/>
  <c r="F433" i="30"/>
  <c r="I433" i="30"/>
  <c r="L433" i="30"/>
  <c r="J433" i="30"/>
  <c r="D424" i="30"/>
  <c r="K424" i="30"/>
  <c r="C424" i="30"/>
  <c r="G424" i="30"/>
  <c r="B424" i="30"/>
  <c r="O424" i="30" s="1" a="1"/>
  <c r="N424" i="30"/>
  <c r="L424" i="30"/>
  <c r="E424" i="30"/>
  <c r="M424" i="30"/>
  <c r="I424" i="30"/>
  <c r="H424" i="30"/>
  <c r="F424" i="30"/>
  <c r="J424" i="30"/>
  <c r="C415" i="30"/>
  <c r="G415" i="30"/>
  <c r="D415" i="30"/>
  <c r="B415" i="30"/>
  <c r="O415" i="30" s="1" a="1"/>
  <c r="N415" i="30"/>
  <c r="K415" i="30"/>
  <c r="F415" i="30"/>
  <c r="L415" i="30"/>
  <c r="M415" i="30"/>
  <c r="E415" i="30"/>
  <c r="I415" i="30"/>
  <c r="H415" i="30"/>
  <c r="J415" i="30"/>
  <c r="E390" i="30"/>
  <c r="K390" i="30"/>
  <c r="L390" i="30"/>
  <c r="J390" i="30"/>
  <c r="H390" i="30"/>
  <c r="M390" i="30"/>
  <c r="B390" i="30"/>
  <c r="O390" i="30" s="1" a="1"/>
  <c r="D390" i="30"/>
  <c r="G390" i="30"/>
  <c r="N390" i="30"/>
  <c r="F390" i="30"/>
  <c r="C390" i="30"/>
  <c r="I390" i="30"/>
  <c r="D366" i="30"/>
  <c r="M366" i="30"/>
  <c r="I366" i="30"/>
  <c r="L366" i="30"/>
  <c r="F366" i="30"/>
  <c r="B366" i="30"/>
  <c r="O366" i="30" s="1" a="1"/>
  <c r="H366" i="30"/>
  <c r="G366" i="30"/>
  <c r="E366" i="30"/>
  <c r="K366" i="30"/>
  <c r="N366" i="30"/>
  <c r="J366" i="30"/>
  <c r="C366" i="30"/>
  <c r="E356" i="30"/>
  <c r="H356" i="30"/>
  <c r="I356" i="30"/>
  <c r="C356" i="30"/>
  <c r="K356" i="30"/>
  <c r="M356" i="30"/>
  <c r="G356" i="30"/>
  <c r="B356" i="30"/>
  <c r="O356" i="30" s="1" a="1"/>
  <c r="L356" i="30"/>
  <c r="D356" i="30"/>
  <c r="N356" i="30"/>
  <c r="J356" i="30"/>
  <c r="F356" i="30"/>
  <c r="K317" i="30"/>
  <c r="C317" i="30"/>
  <c r="I317" i="30"/>
  <c r="E317" i="30"/>
  <c r="M317" i="30"/>
  <c r="N317" i="30"/>
  <c r="L317" i="30"/>
  <c r="B317" i="30"/>
  <c r="O317" i="30" s="1" a="1"/>
  <c r="G317" i="30"/>
  <c r="H317" i="30"/>
  <c r="F317" i="30"/>
  <c r="D317" i="30"/>
  <c r="J317" i="30"/>
  <c r="D298" i="30"/>
  <c r="C298" i="30"/>
  <c r="J298" i="30"/>
  <c r="H298" i="30"/>
  <c r="G298" i="30"/>
  <c r="N298" i="30"/>
  <c r="L298" i="30"/>
  <c r="E298" i="30"/>
  <c r="K298" i="30"/>
  <c r="B298" i="30"/>
  <c r="O298" i="30" s="1" a="1"/>
  <c r="M298" i="30"/>
  <c r="F298" i="30"/>
  <c r="I298" i="30"/>
  <c r="E276" i="30"/>
  <c r="J276" i="30"/>
  <c r="L276" i="30"/>
  <c r="H276" i="30"/>
  <c r="F276" i="30"/>
  <c r="B276" i="30"/>
  <c r="O276" i="30" s="1" a="1"/>
  <c r="N276" i="30"/>
  <c r="M276" i="30"/>
  <c r="G276" i="30"/>
  <c r="K276" i="30"/>
  <c r="D276" i="30"/>
  <c r="I276" i="30"/>
  <c r="C276" i="30"/>
  <c r="L265" i="30"/>
  <c r="I265" i="30"/>
  <c r="B265" i="30"/>
  <c r="O265" i="30" s="1" a="1"/>
  <c r="F265" i="30"/>
  <c r="H265" i="30"/>
  <c r="G265" i="30"/>
  <c r="N265" i="30"/>
  <c r="M265" i="30"/>
  <c r="K265" i="30"/>
  <c r="E265" i="30"/>
  <c r="C265" i="30"/>
  <c r="D265" i="30"/>
  <c r="J265" i="30"/>
  <c r="C244" i="30"/>
  <c r="N244" i="30"/>
  <c r="B244" i="30"/>
  <c r="O244" i="30" s="1" a="1"/>
  <c r="L244" i="30"/>
  <c r="D244" i="30"/>
  <c r="G244" i="30"/>
  <c r="H244" i="30"/>
  <c r="F244" i="30"/>
  <c r="J244" i="30"/>
  <c r="E244" i="30"/>
  <c r="K244" i="30"/>
  <c r="M244" i="30"/>
  <c r="I244" i="30"/>
  <c r="E237" i="30"/>
  <c r="B237" i="30"/>
  <c r="O237" i="30" s="1" a="1"/>
  <c r="C237" i="30"/>
  <c r="D237" i="30"/>
  <c r="L237" i="30"/>
  <c r="F237" i="30"/>
  <c r="M237" i="30"/>
  <c r="N237" i="30"/>
  <c r="H237" i="30"/>
  <c r="G237" i="30"/>
  <c r="K237" i="30"/>
  <c r="J237" i="30"/>
  <c r="I237" i="30"/>
  <c r="D226" i="30"/>
  <c r="I226" i="30"/>
  <c r="E226" i="30"/>
  <c r="B226" i="30"/>
  <c r="O226" i="30" s="1" a="1"/>
  <c r="G226" i="30"/>
  <c r="K226" i="30"/>
  <c r="H226" i="30"/>
  <c r="M226" i="30"/>
  <c r="L226" i="30"/>
  <c r="F226" i="30"/>
  <c r="N226" i="30"/>
  <c r="J226" i="30"/>
  <c r="C226" i="30"/>
  <c r="L209" i="30"/>
  <c r="N209" i="30"/>
  <c r="D209" i="30"/>
  <c r="B209" i="30"/>
  <c r="O209" i="30" s="1" a="1"/>
  <c r="H209" i="30"/>
  <c r="K209" i="30"/>
  <c r="G209" i="30"/>
  <c r="E209" i="30"/>
  <c r="C209" i="30"/>
  <c r="I209" i="30"/>
  <c r="M209" i="30"/>
  <c r="F209" i="30"/>
  <c r="J209" i="30"/>
  <c r="H193" i="30"/>
  <c r="I193" i="30"/>
  <c r="E193" i="30"/>
  <c r="N193" i="30"/>
  <c r="M193" i="30"/>
  <c r="L193" i="30"/>
  <c r="K193" i="30"/>
  <c r="F193" i="30"/>
  <c r="D193" i="30"/>
  <c r="J193" i="30"/>
  <c r="C193" i="30"/>
  <c r="B193" i="30"/>
  <c r="O193" i="30" s="1" a="1"/>
  <c r="G193" i="30"/>
  <c r="D178" i="30"/>
  <c r="J178" i="30"/>
  <c r="E178" i="30"/>
  <c r="H178" i="30"/>
  <c r="N178" i="30"/>
  <c r="B178" i="30"/>
  <c r="O178" i="30" s="1" a="1"/>
  <c r="K178" i="30"/>
  <c r="L178" i="30"/>
  <c r="F178" i="30"/>
  <c r="M178" i="30"/>
  <c r="I178" i="30"/>
  <c r="G178" i="30"/>
  <c r="C178" i="30"/>
  <c r="E168" i="30"/>
  <c r="I168" i="30"/>
  <c r="H168" i="30"/>
  <c r="N168" i="30"/>
  <c r="L168" i="30"/>
  <c r="B168" i="30"/>
  <c r="O168" i="30" s="1" a="1"/>
  <c r="K168" i="30"/>
  <c r="G168" i="30"/>
  <c r="M168" i="30"/>
  <c r="C168" i="30"/>
  <c r="D168" i="30"/>
  <c r="F168" i="30"/>
  <c r="J168" i="30"/>
  <c r="N153" i="30"/>
  <c r="H153" i="30"/>
  <c r="I153" i="30"/>
  <c r="F153" i="30"/>
  <c r="L153" i="30"/>
  <c r="M153" i="30"/>
  <c r="D153" i="30"/>
  <c r="G153" i="30"/>
  <c r="J153" i="30"/>
  <c r="C153" i="30"/>
  <c r="E153" i="30"/>
  <c r="B153" i="30"/>
  <c r="O153" i="30" s="1" a="1"/>
  <c r="K153" i="30"/>
  <c r="N138" i="30"/>
  <c r="L138" i="30"/>
  <c r="H138" i="30"/>
  <c r="I138" i="30"/>
  <c r="M138" i="30"/>
  <c r="K138" i="30"/>
  <c r="F138" i="30"/>
  <c r="B138" i="30"/>
  <c r="O138" i="30" s="1" a="1"/>
  <c r="D138" i="30"/>
  <c r="C138" i="30"/>
  <c r="E138" i="30"/>
  <c r="G138" i="30"/>
  <c r="J138" i="30"/>
  <c r="B124" i="30"/>
  <c r="O124" i="30" s="1" a="1"/>
  <c r="M124" i="30"/>
  <c r="L124" i="30"/>
  <c r="I124" i="30"/>
  <c r="N124" i="30"/>
  <c r="D124" i="30"/>
  <c r="K124" i="30"/>
  <c r="F124" i="30"/>
  <c r="H124" i="30"/>
  <c r="J124" i="30"/>
  <c r="C124" i="30"/>
  <c r="E124" i="30"/>
  <c r="G124" i="30"/>
  <c r="E110" i="30"/>
  <c r="I110" i="30"/>
  <c r="G110" i="30"/>
  <c r="K110" i="30"/>
  <c r="H110" i="30"/>
  <c r="N110" i="30"/>
  <c r="M110" i="30"/>
  <c r="L110" i="30"/>
  <c r="B110" i="30"/>
  <c r="O110" i="30" s="1" a="1"/>
  <c r="F110" i="30"/>
  <c r="D110" i="30"/>
  <c r="J110" i="30"/>
  <c r="C110" i="30"/>
  <c r="D84" i="30"/>
  <c r="I84" i="30"/>
  <c r="H84" i="30"/>
  <c r="B84" i="30"/>
  <c r="O84" i="30" s="1" a="1"/>
  <c r="N84" i="30"/>
  <c r="K84" i="30"/>
  <c r="L84" i="30"/>
  <c r="M84" i="30"/>
  <c r="G84" i="30"/>
  <c r="E84" i="30"/>
  <c r="F84" i="30"/>
  <c r="J84" i="30"/>
  <c r="C84" i="30"/>
  <c r="H66" i="30"/>
  <c r="E66" i="30"/>
  <c r="G66" i="30"/>
  <c r="B66" i="30"/>
  <c r="O66" i="30" s="1" a="1"/>
  <c r="N66" i="30"/>
  <c r="K66" i="30"/>
  <c r="L66" i="30"/>
  <c r="C66" i="30"/>
  <c r="I66" i="30"/>
  <c r="D66" i="30"/>
  <c r="M66" i="30"/>
  <c r="F66" i="30"/>
  <c r="J66" i="30"/>
  <c r="G55" i="30"/>
  <c r="I55" i="30"/>
  <c r="E55" i="30"/>
  <c r="H55" i="30"/>
  <c r="N55" i="30"/>
  <c r="B55" i="30"/>
  <c r="O55" i="30" s="1" a="1"/>
  <c r="K55" i="30"/>
  <c r="L55" i="30"/>
  <c r="F55" i="30"/>
  <c r="C55" i="30"/>
  <c r="D55" i="30"/>
  <c r="M55" i="30"/>
  <c r="J55" i="30"/>
  <c r="P55" i="30" s="1"/>
  <c r="G41" i="30"/>
  <c r="C41" i="30"/>
  <c r="I41" i="30"/>
  <c r="H41" i="30"/>
  <c r="B41" i="30"/>
  <c r="O41" i="30" s="1" a="1"/>
  <c r="L41" i="30"/>
  <c r="K41" i="30"/>
  <c r="N41" i="30"/>
  <c r="M41" i="30"/>
  <c r="E41" i="30"/>
  <c r="J41" i="30"/>
  <c r="D41" i="30"/>
  <c r="F41" i="30"/>
  <c r="H31" i="30"/>
  <c r="M31" i="30"/>
  <c r="E31" i="30"/>
  <c r="K31" i="30"/>
  <c r="N31" i="30"/>
  <c r="B31" i="30"/>
  <c r="O31" i="30" s="1" a="1"/>
  <c r="L31" i="30"/>
  <c r="G31" i="30"/>
  <c r="F31" i="30"/>
  <c r="J31" i="30"/>
  <c r="D31" i="30"/>
  <c r="C31" i="30"/>
  <c r="I31" i="30"/>
  <c r="N603" i="30"/>
  <c r="B603" i="30"/>
  <c r="O603" i="30" s="1" a="1"/>
  <c r="G603" i="30"/>
  <c r="E603" i="30"/>
  <c r="L603" i="30"/>
  <c r="K603" i="30"/>
  <c r="F603" i="30"/>
  <c r="J603" i="30"/>
  <c r="I603" i="30"/>
  <c r="M603" i="30"/>
  <c r="H603" i="30"/>
  <c r="C603" i="30"/>
  <c r="D603" i="30"/>
  <c r="G598" i="30"/>
  <c r="D598" i="30"/>
  <c r="H598" i="30"/>
  <c r="M598" i="30"/>
  <c r="L598" i="30"/>
  <c r="B598" i="30"/>
  <c r="O598" i="30" s="1" a="1"/>
  <c r="K598" i="30"/>
  <c r="F598" i="30"/>
  <c r="J598" i="30"/>
  <c r="E598" i="30"/>
  <c r="N598" i="30"/>
  <c r="C598" i="30"/>
  <c r="I598" i="30"/>
  <c r="H576" i="30"/>
  <c r="M576" i="30"/>
  <c r="F576" i="30"/>
  <c r="J576" i="30"/>
  <c r="G576" i="30"/>
  <c r="D576" i="30"/>
  <c r="B576" i="30"/>
  <c r="O576" i="30" s="1" a="1"/>
  <c r="L576" i="30"/>
  <c r="K576" i="30"/>
  <c r="C576" i="30"/>
  <c r="E576" i="30"/>
  <c r="N576" i="30"/>
  <c r="I576" i="30"/>
  <c r="D560" i="30"/>
  <c r="G560" i="30"/>
  <c r="C560" i="30"/>
  <c r="M560" i="30"/>
  <c r="H560" i="30"/>
  <c r="K560" i="30"/>
  <c r="N560" i="30"/>
  <c r="B560" i="30"/>
  <c r="O560" i="30" s="1" a="1"/>
  <c r="L560" i="30"/>
  <c r="E560" i="30"/>
  <c r="J560" i="30"/>
  <c r="F560" i="30"/>
  <c r="I560" i="30"/>
  <c r="E541" i="30"/>
  <c r="G541" i="30"/>
  <c r="H541" i="30"/>
  <c r="F541" i="30"/>
  <c r="I541" i="30"/>
  <c r="M541" i="30"/>
  <c r="K541" i="30"/>
  <c r="N541" i="30"/>
  <c r="L541" i="30"/>
  <c r="B541" i="30"/>
  <c r="O541" i="30" s="1" a="1"/>
  <c r="D541" i="30"/>
  <c r="C541" i="30"/>
  <c r="J541" i="30"/>
  <c r="E527" i="30"/>
  <c r="H527" i="30"/>
  <c r="C527" i="30"/>
  <c r="D527" i="30"/>
  <c r="B527" i="30"/>
  <c r="O527" i="30" s="1" a="1"/>
  <c r="M527" i="30"/>
  <c r="G527" i="30"/>
  <c r="N527" i="30"/>
  <c r="J527" i="30"/>
  <c r="I527" i="30"/>
  <c r="K527" i="30"/>
  <c r="L527" i="30"/>
  <c r="F527" i="30"/>
  <c r="E480" i="30"/>
  <c r="J480" i="30"/>
  <c r="C480" i="30"/>
  <c r="G480" i="30"/>
  <c r="N480" i="30"/>
  <c r="B480" i="30"/>
  <c r="O480" i="30" s="1" a="1"/>
  <c r="K480" i="30"/>
  <c r="L480" i="30"/>
  <c r="M480" i="30"/>
  <c r="F480" i="30"/>
  <c r="H480" i="30"/>
  <c r="D480" i="30"/>
  <c r="I480" i="30"/>
  <c r="E466" i="30"/>
  <c r="H466" i="30"/>
  <c r="M466" i="30"/>
  <c r="K466" i="30"/>
  <c r="J466" i="30"/>
  <c r="D466" i="30"/>
  <c r="G466" i="30"/>
  <c r="B466" i="30"/>
  <c r="O466" i="30" s="1" a="1"/>
  <c r="L466" i="30"/>
  <c r="N466" i="30"/>
  <c r="C466" i="30"/>
  <c r="F466" i="30"/>
  <c r="I466" i="30"/>
  <c r="H426" i="30"/>
  <c r="M426" i="30"/>
  <c r="I426" i="30"/>
  <c r="D426" i="30"/>
  <c r="G426" i="30"/>
  <c r="L426" i="30"/>
  <c r="N426" i="30"/>
  <c r="B426" i="30"/>
  <c r="O426" i="30" s="1" a="1"/>
  <c r="K426" i="30"/>
  <c r="J426" i="30"/>
  <c r="F426" i="30"/>
  <c r="E426" i="30"/>
  <c r="C426" i="30"/>
  <c r="D411" i="30"/>
  <c r="L411" i="30"/>
  <c r="H411" i="30"/>
  <c r="B411" i="30"/>
  <c r="O411" i="30" s="1" a="1"/>
  <c r="K411" i="30"/>
  <c r="N411" i="30"/>
  <c r="M411" i="30"/>
  <c r="F411" i="30"/>
  <c r="E411" i="30"/>
  <c r="G411" i="30"/>
  <c r="J411" i="30"/>
  <c r="I411" i="30"/>
  <c r="C411" i="30"/>
  <c r="L396" i="30"/>
  <c r="J396" i="30"/>
  <c r="K396" i="30"/>
  <c r="H396" i="30"/>
  <c r="G396" i="30"/>
  <c r="D396" i="30"/>
  <c r="M396" i="30"/>
  <c r="F396" i="30"/>
  <c r="E396" i="30"/>
  <c r="B396" i="30"/>
  <c r="O396" i="30" s="1" a="1"/>
  <c r="N396" i="30"/>
  <c r="C396" i="30"/>
  <c r="I396" i="30"/>
  <c r="D391" i="30"/>
  <c r="M391" i="30"/>
  <c r="N391" i="30"/>
  <c r="I391" i="30"/>
  <c r="E391" i="30"/>
  <c r="L391" i="30"/>
  <c r="B391" i="30"/>
  <c r="O391" i="30" s="1" a="1"/>
  <c r="G391" i="30"/>
  <c r="K391" i="30"/>
  <c r="H391" i="30"/>
  <c r="F391" i="30"/>
  <c r="J391" i="30"/>
  <c r="C391" i="30"/>
  <c r="L314" i="30"/>
  <c r="F314" i="30"/>
  <c r="G314" i="30"/>
  <c r="K314" i="30"/>
  <c r="B314" i="30"/>
  <c r="O314" i="30" s="1" a="1"/>
  <c r="N314" i="30"/>
  <c r="D314" i="30"/>
  <c r="M314" i="30"/>
  <c r="C314" i="30"/>
  <c r="I314" i="30"/>
  <c r="H314" i="30"/>
  <c r="E314" i="30"/>
  <c r="J314" i="30"/>
  <c r="I286" i="30"/>
  <c r="E286" i="30"/>
  <c r="N286" i="30"/>
  <c r="L286" i="30"/>
  <c r="M286" i="30"/>
  <c r="F286" i="30"/>
  <c r="H286" i="30"/>
  <c r="G286" i="30"/>
  <c r="K286" i="30"/>
  <c r="J286" i="30"/>
  <c r="D286" i="30"/>
  <c r="B286" i="30"/>
  <c r="O286" i="30" s="1" a="1"/>
  <c r="C286" i="30"/>
  <c r="G273" i="30"/>
  <c r="L273" i="30"/>
  <c r="B273" i="30"/>
  <c r="O273" i="30" s="1" a="1"/>
  <c r="N273" i="30"/>
  <c r="E273" i="30"/>
  <c r="K273" i="30"/>
  <c r="M273" i="30"/>
  <c r="C273" i="30"/>
  <c r="D273" i="30"/>
  <c r="H273" i="30"/>
  <c r="F273" i="30"/>
  <c r="I273" i="30"/>
  <c r="J273" i="30"/>
  <c r="E251" i="30"/>
  <c r="B251" i="30"/>
  <c r="O251" i="30" s="1" a="1"/>
  <c r="C251" i="30"/>
  <c r="D251" i="30"/>
  <c r="L251" i="30"/>
  <c r="F251" i="30"/>
  <c r="K251" i="30"/>
  <c r="M251" i="30"/>
  <c r="H251" i="30"/>
  <c r="I251" i="30"/>
  <c r="N251" i="30"/>
  <c r="G251" i="30"/>
  <c r="J251" i="30"/>
  <c r="G222" i="30"/>
  <c r="I222" i="30"/>
  <c r="H222" i="30"/>
  <c r="M222" i="30"/>
  <c r="L222" i="30"/>
  <c r="B222" i="30"/>
  <c r="O222" i="30" s="1" a="1"/>
  <c r="N222" i="30"/>
  <c r="E222" i="30"/>
  <c r="F222" i="30"/>
  <c r="J222" i="30"/>
  <c r="D222" i="30"/>
  <c r="K222" i="30"/>
  <c r="C222" i="30"/>
  <c r="E202" i="30"/>
  <c r="L202" i="30"/>
  <c r="N202" i="30"/>
  <c r="F202" i="30"/>
  <c r="C202" i="30"/>
  <c r="D202" i="30"/>
  <c r="G202" i="30"/>
  <c r="K202" i="30"/>
  <c r="H202" i="30"/>
  <c r="I202" i="30"/>
  <c r="M202" i="30"/>
  <c r="B202" i="30"/>
  <c r="O202" i="30" s="1" a="1"/>
  <c r="J202" i="30"/>
  <c r="G175" i="30"/>
  <c r="L175" i="30"/>
  <c r="I175" i="30"/>
  <c r="D175" i="30"/>
  <c r="H175" i="30"/>
  <c r="M175" i="30"/>
  <c r="K175" i="30"/>
  <c r="B175" i="30"/>
  <c r="O175" i="30" s="1" a="1"/>
  <c r="F175" i="30"/>
  <c r="C175" i="30"/>
  <c r="E175" i="30"/>
  <c r="N175" i="30"/>
  <c r="J175" i="30"/>
  <c r="G162" i="30"/>
  <c r="L162" i="30"/>
  <c r="N162" i="30"/>
  <c r="F162" i="30"/>
  <c r="C162" i="30"/>
  <c r="I162" i="30"/>
  <c r="D162" i="30"/>
  <c r="H162" i="30"/>
  <c r="K162" i="30"/>
  <c r="J162" i="30"/>
  <c r="E162" i="30"/>
  <c r="M162" i="30"/>
  <c r="B162" i="30"/>
  <c r="O162" i="30" s="1" a="1"/>
  <c r="D135" i="30"/>
  <c r="G135" i="30"/>
  <c r="M135" i="30"/>
  <c r="I135" i="30"/>
  <c r="L135" i="30"/>
  <c r="K135" i="30"/>
  <c r="B135" i="30"/>
  <c r="O135" i="30" s="1" a="1"/>
  <c r="F135" i="30"/>
  <c r="C135" i="30"/>
  <c r="E135" i="30"/>
  <c r="H135" i="30"/>
  <c r="N135" i="30"/>
  <c r="J135" i="30"/>
  <c r="D106" i="30"/>
  <c r="G106" i="30"/>
  <c r="N106" i="30"/>
  <c r="L106" i="30"/>
  <c r="B106" i="30"/>
  <c r="O106" i="30" s="1" a="1"/>
  <c r="K106" i="30"/>
  <c r="F106" i="30"/>
  <c r="M106" i="30"/>
  <c r="H106" i="30"/>
  <c r="I106" i="30"/>
  <c r="J106" i="30"/>
  <c r="E106" i="30"/>
  <c r="C106" i="30"/>
  <c r="G85" i="30"/>
  <c r="J85" i="30"/>
  <c r="N85" i="30"/>
  <c r="L85" i="30"/>
  <c r="B85" i="30"/>
  <c r="O85" i="30" s="1" a="1"/>
  <c r="K85" i="30"/>
  <c r="D85" i="30"/>
  <c r="H85" i="30"/>
  <c r="F85" i="30"/>
  <c r="I85" i="30"/>
  <c r="E85" i="30"/>
  <c r="M85" i="30"/>
  <c r="C85" i="30"/>
  <c r="D52" i="30"/>
  <c r="N52" i="30"/>
  <c r="G52" i="30"/>
  <c r="I52" i="30"/>
  <c r="H52" i="30"/>
  <c r="L52" i="30"/>
  <c r="B52" i="30"/>
  <c r="O52" i="30" s="1" a="1"/>
  <c r="K52" i="30"/>
  <c r="E52" i="30"/>
  <c r="F52" i="30"/>
  <c r="M52" i="30"/>
  <c r="C52" i="30"/>
  <c r="J52" i="30"/>
  <c r="E25" i="30"/>
  <c r="G25" i="30"/>
  <c r="K25" i="30"/>
  <c r="J25" i="30"/>
  <c r="F25" i="30"/>
  <c r="C25" i="30"/>
  <c r="H25" i="30"/>
  <c r="L25" i="30"/>
  <c r="N25" i="30"/>
  <c r="B25" i="30"/>
  <c r="O25" i="30" s="1" a="1"/>
  <c r="D25" i="30"/>
  <c r="M25" i="30"/>
  <c r="I25" i="30"/>
  <c r="M16" i="30"/>
  <c r="G16" i="30"/>
  <c r="I16" i="30"/>
  <c r="D16" i="30"/>
  <c r="H16" i="30"/>
  <c r="B16" i="30"/>
  <c r="O16" i="30" s="1" a="1"/>
  <c r="N16" i="30"/>
  <c r="C16" i="30"/>
  <c r="E16" i="30"/>
  <c r="L16" i="30"/>
  <c r="K16" i="30"/>
  <c r="J16" i="30"/>
  <c r="F16" i="30"/>
  <c r="K594" i="30"/>
  <c r="F594" i="30"/>
  <c r="I594" i="30"/>
  <c r="J594" i="30"/>
  <c r="D594" i="30"/>
  <c r="G594" i="30"/>
  <c r="N594" i="30"/>
  <c r="B594" i="30"/>
  <c r="O594" i="30" s="1" a="1"/>
  <c r="H594" i="30"/>
  <c r="L594" i="30"/>
  <c r="E594" i="30"/>
  <c r="M594" i="30"/>
  <c r="C594" i="30"/>
  <c r="H586" i="30"/>
  <c r="N586" i="30"/>
  <c r="C586" i="30"/>
  <c r="I586" i="30"/>
  <c r="G586" i="30"/>
  <c r="D586" i="30"/>
  <c r="B586" i="30"/>
  <c r="O586" i="30" s="1" a="1"/>
  <c r="L586" i="30"/>
  <c r="M586" i="30"/>
  <c r="K586" i="30"/>
  <c r="J586" i="30"/>
  <c r="E586" i="30"/>
  <c r="F586" i="30"/>
  <c r="E566" i="30"/>
  <c r="I566" i="30"/>
  <c r="L566" i="30"/>
  <c r="F566" i="30"/>
  <c r="N566" i="30"/>
  <c r="M566" i="30"/>
  <c r="K566" i="30"/>
  <c r="D566" i="30"/>
  <c r="G566" i="30"/>
  <c r="J566" i="30"/>
  <c r="C566" i="30"/>
  <c r="B566" i="30"/>
  <c r="O566" i="30" s="1" a="1"/>
  <c r="H566" i="30"/>
  <c r="E556" i="30"/>
  <c r="H556" i="30"/>
  <c r="J556" i="30"/>
  <c r="M556" i="30"/>
  <c r="K556" i="30"/>
  <c r="B556" i="30"/>
  <c r="O556" i="30" s="1" a="1"/>
  <c r="L556" i="30"/>
  <c r="N556" i="30"/>
  <c r="D556" i="30"/>
  <c r="C556" i="30"/>
  <c r="G556" i="30"/>
  <c r="F556" i="30"/>
  <c r="I556" i="30"/>
  <c r="E544" i="30"/>
  <c r="M544" i="30"/>
  <c r="K544" i="30"/>
  <c r="F544" i="30"/>
  <c r="G544" i="30"/>
  <c r="L544" i="30"/>
  <c r="N544" i="30"/>
  <c r="B544" i="30"/>
  <c r="O544" i="30" s="1" a="1"/>
  <c r="J544" i="30"/>
  <c r="D544" i="30"/>
  <c r="H544" i="30"/>
  <c r="I544" i="30"/>
  <c r="C544" i="30"/>
  <c r="E519" i="30"/>
  <c r="G519" i="30"/>
  <c r="J519" i="30"/>
  <c r="K519" i="30"/>
  <c r="B519" i="30"/>
  <c r="O519" i="30" s="1" a="1"/>
  <c r="L519" i="30"/>
  <c r="N519" i="30"/>
  <c r="D519" i="30"/>
  <c r="H519" i="30"/>
  <c r="F519" i="30"/>
  <c r="I519" i="30"/>
  <c r="C519" i="30"/>
  <c r="M519" i="30"/>
  <c r="E499" i="30"/>
  <c r="L499" i="30"/>
  <c r="H499" i="30"/>
  <c r="J499" i="30"/>
  <c r="F499" i="30"/>
  <c r="N499" i="30"/>
  <c r="M499" i="30"/>
  <c r="K499" i="30"/>
  <c r="D499" i="30"/>
  <c r="B499" i="30"/>
  <c r="O499" i="30" s="1" a="1"/>
  <c r="I499" i="30"/>
  <c r="C499" i="30"/>
  <c r="G499" i="30"/>
  <c r="H488" i="30"/>
  <c r="E488" i="30"/>
  <c r="C488" i="30"/>
  <c r="N488" i="30"/>
  <c r="B488" i="30"/>
  <c r="O488" i="30" s="1" a="1"/>
  <c r="K488" i="30"/>
  <c r="L488" i="30"/>
  <c r="F488" i="30"/>
  <c r="M488" i="30"/>
  <c r="D488" i="30"/>
  <c r="I488" i="30"/>
  <c r="G488" i="30"/>
  <c r="J488" i="30"/>
  <c r="C467" i="30"/>
  <c r="D467" i="30"/>
  <c r="N467" i="30"/>
  <c r="M467" i="30"/>
  <c r="K467" i="30"/>
  <c r="F467" i="30"/>
  <c r="E467" i="30"/>
  <c r="B467" i="30"/>
  <c r="O467" i="30" s="1" a="1"/>
  <c r="G467" i="30"/>
  <c r="J467" i="30"/>
  <c r="L467" i="30"/>
  <c r="H467" i="30"/>
  <c r="I467" i="30"/>
  <c r="E452" i="30"/>
  <c r="H452" i="30"/>
  <c r="F452" i="30"/>
  <c r="I452" i="30"/>
  <c r="G452" i="30"/>
  <c r="N452" i="30"/>
  <c r="B452" i="30"/>
  <c r="O452" i="30" s="1" a="1"/>
  <c r="M452" i="30"/>
  <c r="L452" i="30"/>
  <c r="C452" i="30"/>
  <c r="J452" i="30"/>
  <c r="D452" i="30"/>
  <c r="K452" i="30"/>
  <c r="K431" i="30"/>
  <c r="F431" i="30"/>
  <c r="D431" i="30"/>
  <c r="G431" i="30"/>
  <c r="B431" i="30"/>
  <c r="O431" i="30" s="1" a="1"/>
  <c r="N431" i="30"/>
  <c r="L431" i="30"/>
  <c r="M431" i="30"/>
  <c r="E431" i="30"/>
  <c r="C431" i="30"/>
  <c r="J431" i="30"/>
  <c r="H431" i="30"/>
  <c r="I431" i="30"/>
  <c r="H395" i="30"/>
  <c r="C395" i="30"/>
  <c r="L395" i="30"/>
  <c r="M395" i="30"/>
  <c r="K395" i="30"/>
  <c r="N395" i="30"/>
  <c r="F395" i="30"/>
  <c r="E395" i="30"/>
  <c r="J395" i="30"/>
  <c r="D395" i="30"/>
  <c r="B395" i="30"/>
  <c r="O395" i="30" s="1" a="1"/>
  <c r="G395" i="30"/>
  <c r="I395" i="30"/>
  <c r="E368" i="30"/>
  <c r="J368" i="30"/>
  <c r="F368" i="30"/>
  <c r="L368" i="30"/>
  <c r="C368" i="30"/>
  <c r="K368" i="30"/>
  <c r="G368" i="30"/>
  <c r="D368" i="30"/>
  <c r="N368" i="30"/>
  <c r="M368" i="30"/>
  <c r="H368" i="30"/>
  <c r="I368" i="30"/>
  <c r="B368" i="30"/>
  <c r="O368" i="30" s="1" a="1"/>
  <c r="B352" i="30"/>
  <c r="O352" i="30" s="1" a="1"/>
  <c r="J352" i="30"/>
  <c r="H352" i="30"/>
  <c r="N352" i="30"/>
  <c r="E352" i="30"/>
  <c r="M352" i="30"/>
  <c r="K352" i="30"/>
  <c r="F352" i="30"/>
  <c r="C352" i="30"/>
  <c r="I352" i="30"/>
  <c r="D352" i="30"/>
  <c r="L352" i="30"/>
  <c r="G352" i="30"/>
  <c r="M342" i="30"/>
  <c r="H342" i="30"/>
  <c r="C342" i="30"/>
  <c r="L342" i="30"/>
  <c r="F342" i="30"/>
  <c r="N342" i="30"/>
  <c r="D342" i="30"/>
  <c r="I342" i="30"/>
  <c r="K342" i="30"/>
  <c r="B342" i="30"/>
  <c r="O342" i="30" s="1" a="1"/>
  <c r="E342" i="30"/>
  <c r="J342" i="30"/>
  <c r="G342" i="30"/>
  <c r="H331" i="30"/>
  <c r="D331" i="30"/>
  <c r="N331" i="30"/>
  <c r="B331" i="30"/>
  <c r="O331" i="30" s="1" a="1"/>
  <c r="L331" i="30"/>
  <c r="K331" i="30"/>
  <c r="M331" i="30"/>
  <c r="F331" i="30"/>
  <c r="I331" i="30"/>
  <c r="E331" i="30"/>
  <c r="G331" i="30"/>
  <c r="C331" i="30"/>
  <c r="J331" i="30"/>
  <c r="M316" i="30"/>
  <c r="N316" i="30"/>
  <c r="K316" i="30"/>
  <c r="F316" i="30"/>
  <c r="J316" i="30"/>
  <c r="I316" i="30"/>
  <c r="B316" i="30"/>
  <c r="O316" i="30" s="1" a="1"/>
  <c r="E316" i="30"/>
  <c r="L316" i="30"/>
  <c r="G316" i="30"/>
  <c r="C316" i="30"/>
  <c r="D316" i="30"/>
  <c r="H316" i="30"/>
  <c r="H313" i="30"/>
  <c r="I313" i="30"/>
  <c r="D313" i="30"/>
  <c r="G313" i="30"/>
  <c r="N313" i="30"/>
  <c r="B313" i="30"/>
  <c r="O313" i="30" s="1" a="1"/>
  <c r="K313" i="30"/>
  <c r="M313" i="30"/>
  <c r="L313" i="30"/>
  <c r="F313" i="30"/>
  <c r="C313" i="30"/>
  <c r="E313" i="30"/>
  <c r="J313" i="30"/>
  <c r="D292" i="30"/>
  <c r="H292" i="30"/>
  <c r="C292" i="30"/>
  <c r="B292" i="30"/>
  <c r="O292" i="30" s="1" a="1"/>
  <c r="M292" i="30"/>
  <c r="K292" i="30"/>
  <c r="F292" i="30"/>
  <c r="I292" i="30"/>
  <c r="J292" i="30"/>
  <c r="E292" i="30"/>
  <c r="L292" i="30"/>
  <c r="G292" i="30"/>
  <c r="N292" i="30"/>
  <c r="D285" i="30"/>
  <c r="K285" i="30"/>
  <c r="L285" i="30"/>
  <c r="F285" i="30"/>
  <c r="C285" i="30"/>
  <c r="E285" i="30"/>
  <c r="B285" i="30"/>
  <c r="O285" i="30" s="1" a="1"/>
  <c r="N285" i="30"/>
  <c r="H285" i="30"/>
  <c r="J285" i="30"/>
  <c r="G285" i="30"/>
  <c r="M285" i="30"/>
  <c r="I285" i="30"/>
  <c r="M274" i="30"/>
  <c r="C274" i="30"/>
  <c r="L274" i="30"/>
  <c r="K274" i="30"/>
  <c r="F274" i="30"/>
  <c r="I274" i="30"/>
  <c r="J274" i="30"/>
  <c r="E274" i="30"/>
  <c r="N274" i="30"/>
  <c r="G274" i="30"/>
  <c r="D274" i="30"/>
  <c r="B274" i="30"/>
  <c r="O274" i="30" s="1" a="1"/>
  <c r="H274" i="30"/>
  <c r="E267" i="30"/>
  <c r="D267" i="30"/>
  <c r="M267" i="30"/>
  <c r="H267" i="30"/>
  <c r="B267" i="30"/>
  <c r="O267" i="30" s="1" a="1"/>
  <c r="L267" i="30"/>
  <c r="K267" i="30"/>
  <c r="N267" i="30"/>
  <c r="G267" i="30"/>
  <c r="F267" i="30"/>
  <c r="I267" i="30"/>
  <c r="C267" i="30"/>
  <c r="J267" i="30"/>
  <c r="N243" i="30"/>
  <c r="I243" i="30"/>
  <c r="G243" i="30"/>
  <c r="F243" i="30"/>
  <c r="K243" i="30"/>
  <c r="E243" i="30"/>
  <c r="B243" i="30"/>
  <c r="O243" i="30" s="1" a="1"/>
  <c r="C243" i="30"/>
  <c r="D243" i="30"/>
  <c r="M243" i="30"/>
  <c r="L243" i="30"/>
  <c r="H243" i="30"/>
  <c r="J243" i="30"/>
  <c r="K198" i="30"/>
  <c r="J198" i="30"/>
  <c r="C198" i="30"/>
  <c r="D198" i="30"/>
  <c r="B198" i="30"/>
  <c r="O198" i="30" s="1" a="1"/>
  <c r="N198" i="30"/>
  <c r="H198" i="30"/>
  <c r="M198" i="30"/>
  <c r="I198" i="30"/>
  <c r="F198" i="30"/>
  <c r="E198" i="30"/>
  <c r="G198" i="30"/>
  <c r="L198" i="30"/>
  <c r="E187" i="30"/>
  <c r="H187" i="30"/>
  <c r="C187" i="30"/>
  <c r="B187" i="30"/>
  <c r="O187" i="30" s="1" a="1"/>
  <c r="K187" i="30"/>
  <c r="M187" i="30"/>
  <c r="L187" i="30"/>
  <c r="F187" i="30"/>
  <c r="D187" i="30"/>
  <c r="G187" i="30"/>
  <c r="I187" i="30"/>
  <c r="N187" i="30"/>
  <c r="J187" i="30"/>
  <c r="H180" i="30"/>
  <c r="M180" i="30"/>
  <c r="I180" i="30"/>
  <c r="L180" i="30"/>
  <c r="B180" i="30"/>
  <c r="O180" i="30" s="1" a="1"/>
  <c r="N180" i="30"/>
  <c r="K180" i="30"/>
  <c r="G180" i="30"/>
  <c r="E180" i="30"/>
  <c r="F180" i="30"/>
  <c r="J180" i="30"/>
  <c r="D180" i="30"/>
  <c r="C180" i="30"/>
  <c r="E167" i="30"/>
  <c r="H167" i="30"/>
  <c r="J167" i="30"/>
  <c r="N167" i="30"/>
  <c r="L167" i="30"/>
  <c r="B167" i="30"/>
  <c r="O167" i="30" s="1" a="1"/>
  <c r="K167" i="30"/>
  <c r="F167" i="30"/>
  <c r="M167" i="30"/>
  <c r="D167" i="30"/>
  <c r="G167" i="30"/>
  <c r="I167" i="30"/>
  <c r="C167" i="30"/>
  <c r="L142" i="30"/>
  <c r="J142" i="30"/>
  <c r="H142" i="30"/>
  <c r="E142" i="30"/>
  <c r="B142" i="30"/>
  <c r="O142" i="30" s="1" a="1"/>
  <c r="N142" i="30"/>
  <c r="K142" i="30"/>
  <c r="G142" i="30"/>
  <c r="F142" i="30"/>
  <c r="D142" i="30"/>
  <c r="M142" i="30"/>
  <c r="C142" i="30"/>
  <c r="I142" i="30"/>
  <c r="N119" i="30"/>
  <c r="I119" i="30"/>
  <c r="C119" i="30"/>
  <c r="B119" i="30"/>
  <c r="O119" i="30" s="1" a="1"/>
  <c r="K119" i="30"/>
  <c r="F119" i="30"/>
  <c r="D119" i="30"/>
  <c r="M119" i="30"/>
  <c r="H119" i="30"/>
  <c r="J119" i="30"/>
  <c r="E119" i="30"/>
  <c r="L119" i="30"/>
  <c r="G119" i="30"/>
  <c r="H107" i="30"/>
  <c r="I107" i="30"/>
  <c r="F107" i="30"/>
  <c r="D107" i="30"/>
  <c r="M107" i="30"/>
  <c r="B107" i="30"/>
  <c r="O107" i="30" s="1" a="1"/>
  <c r="N107" i="30"/>
  <c r="G107" i="30"/>
  <c r="L107" i="30"/>
  <c r="J107" i="30"/>
  <c r="E107" i="30"/>
  <c r="K107" i="30"/>
  <c r="C107" i="30"/>
  <c r="J96" i="30"/>
  <c r="F96" i="30"/>
  <c r="N96" i="30"/>
  <c r="L96" i="30"/>
  <c r="M96" i="30"/>
  <c r="B96" i="30"/>
  <c r="O96" i="30" s="1" a="1"/>
  <c r="K96" i="30"/>
  <c r="D96" i="30"/>
  <c r="H96" i="30"/>
  <c r="I96" i="30"/>
  <c r="C96" i="30"/>
  <c r="E96" i="30"/>
  <c r="G96" i="30"/>
  <c r="E578" i="30"/>
  <c r="K578" i="30"/>
  <c r="C578" i="30"/>
  <c r="G578" i="30"/>
  <c r="N578" i="30"/>
  <c r="B578" i="30"/>
  <c r="O578" i="30" s="1" a="1"/>
  <c r="L578" i="30"/>
  <c r="D578" i="30"/>
  <c r="H578" i="30"/>
  <c r="F578" i="30"/>
  <c r="J578" i="30"/>
  <c r="M578" i="30"/>
  <c r="I578" i="30"/>
  <c r="D567" i="30"/>
  <c r="N567" i="30"/>
  <c r="G567" i="30"/>
  <c r="E567" i="30"/>
  <c r="H567" i="30"/>
  <c r="L567" i="30"/>
  <c r="B567" i="30"/>
  <c r="O567" i="30" s="1" a="1"/>
  <c r="K567" i="30"/>
  <c r="F567" i="30"/>
  <c r="J567" i="30"/>
  <c r="M567" i="30"/>
  <c r="C567" i="30"/>
  <c r="I567" i="30"/>
  <c r="G555" i="30"/>
  <c r="J555" i="30"/>
  <c r="D555" i="30"/>
  <c r="H555" i="30"/>
  <c r="B555" i="30"/>
  <c r="O555" i="30" s="1" a="1"/>
  <c r="L555" i="30"/>
  <c r="N555" i="30"/>
  <c r="M555" i="30"/>
  <c r="I555" i="30"/>
  <c r="F555" i="30"/>
  <c r="C555" i="30"/>
  <c r="E555" i="30"/>
  <c r="K555" i="30"/>
  <c r="H538" i="30"/>
  <c r="I538" i="30"/>
  <c r="C538" i="30"/>
  <c r="D538" i="30"/>
  <c r="M538" i="30"/>
  <c r="L538" i="30"/>
  <c r="B538" i="30"/>
  <c r="O538" i="30" s="1" a="1"/>
  <c r="N538" i="30"/>
  <c r="J538" i="30"/>
  <c r="E538" i="30"/>
  <c r="G538" i="30"/>
  <c r="K538" i="30"/>
  <c r="F538" i="30"/>
  <c r="M531" i="30"/>
  <c r="D531" i="30"/>
  <c r="H531" i="30"/>
  <c r="L531" i="30"/>
  <c r="N531" i="30"/>
  <c r="B531" i="30"/>
  <c r="O531" i="30" s="1" a="1"/>
  <c r="G531" i="30"/>
  <c r="I531" i="30"/>
  <c r="C531" i="30"/>
  <c r="E531" i="30"/>
  <c r="K531" i="30"/>
  <c r="F531" i="30"/>
  <c r="J531" i="30"/>
  <c r="D518" i="30"/>
  <c r="H518" i="30"/>
  <c r="C518" i="30"/>
  <c r="J518" i="30"/>
  <c r="E518" i="30"/>
  <c r="B518" i="30"/>
  <c r="O518" i="30" s="1" a="1"/>
  <c r="M518" i="30"/>
  <c r="N518" i="30"/>
  <c r="F518" i="30"/>
  <c r="K518" i="30"/>
  <c r="L518" i="30"/>
  <c r="G518" i="30"/>
  <c r="I518" i="30"/>
  <c r="D493" i="30"/>
  <c r="B493" i="30"/>
  <c r="O493" i="30" s="1" a="1"/>
  <c r="I493" i="30"/>
  <c r="E493" i="30"/>
  <c r="M493" i="30"/>
  <c r="G493" i="30"/>
  <c r="N493" i="30"/>
  <c r="L493" i="30"/>
  <c r="H493" i="30"/>
  <c r="C493" i="30"/>
  <c r="F493" i="30"/>
  <c r="K493" i="30"/>
  <c r="J493" i="30"/>
  <c r="I468" i="30"/>
  <c r="D468" i="30"/>
  <c r="L468" i="30"/>
  <c r="B468" i="30"/>
  <c r="O468" i="30" s="1" a="1"/>
  <c r="K468" i="30"/>
  <c r="N468" i="30"/>
  <c r="M468" i="30"/>
  <c r="F468" i="30"/>
  <c r="G468" i="30"/>
  <c r="J468" i="30"/>
  <c r="H468" i="30"/>
  <c r="E468" i="30"/>
  <c r="C468" i="30"/>
  <c r="H455" i="30"/>
  <c r="C455" i="30"/>
  <c r="N455" i="30"/>
  <c r="M455" i="30"/>
  <c r="K455" i="30"/>
  <c r="F455" i="30"/>
  <c r="D455" i="30"/>
  <c r="L455" i="30"/>
  <c r="G455" i="30"/>
  <c r="J455" i="30"/>
  <c r="E455" i="30"/>
  <c r="B455" i="30"/>
  <c r="O455" i="30" s="1" a="1"/>
  <c r="I455" i="30"/>
  <c r="D407" i="30"/>
  <c r="J407" i="30"/>
  <c r="B407" i="30"/>
  <c r="O407" i="30" s="1" a="1"/>
  <c r="M407" i="30"/>
  <c r="N407" i="30"/>
  <c r="K407" i="30"/>
  <c r="F407" i="30"/>
  <c r="E407" i="30"/>
  <c r="L407" i="30"/>
  <c r="H407" i="30"/>
  <c r="I407" i="30"/>
  <c r="G407" i="30"/>
  <c r="C407" i="30"/>
  <c r="I392" i="30"/>
  <c r="L392" i="30"/>
  <c r="M392" i="30"/>
  <c r="B392" i="30"/>
  <c r="O392" i="30" s="1" a="1"/>
  <c r="F392" i="30"/>
  <c r="N392" i="30"/>
  <c r="K392" i="30"/>
  <c r="G392" i="30"/>
  <c r="D392" i="30"/>
  <c r="C392" i="30"/>
  <c r="H392" i="30"/>
  <c r="E392" i="30"/>
  <c r="J392" i="30"/>
  <c r="D360" i="30"/>
  <c r="N360" i="30"/>
  <c r="H360" i="30"/>
  <c r="I360" i="30"/>
  <c r="L360" i="30"/>
  <c r="E360" i="30"/>
  <c r="M360" i="30"/>
  <c r="K360" i="30"/>
  <c r="J360" i="30"/>
  <c r="C360" i="30"/>
  <c r="B360" i="30"/>
  <c r="O360" i="30" s="1" a="1"/>
  <c r="G360" i="30"/>
  <c r="F360" i="30"/>
  <c r="H322" i="30"/>
  <c r="N322" i="30"/>
  <c r="I322" i="30"/>
  <c r="G322" i="30"/>
  <c r="L322" i="30"/>
  <c r="F322" i="30"/>
  <c r="M322" i="30"/>
  <c r="D322" i="30"/>
  <c r="B322" i="30"/>
  <c r="O322" i="30" s="1" a="1"/>
  <c r="K322" i="30"/>
  <c r="C322" i="30"/>
  <c r="E322" i="30"/>
  <c r="J322" i="30"/>
  <c r="D310" i="30"/>
  <c r="H310" i="30"/>
  <c r="M310" i="30"/>
  <c r="I310" i="30"/>
  <c r="E310" i="30"/>
  <c r="N310" i="30"/>
  <c r="L310" i="30"/>
  <c r="B310" i="30"/>
  <c r="O310" i="30" s="1" a="1"/>
  <c r="G310" i="30"/>
  <c r="F310" i="30"/>
  <c r="C310" i="30"/>
  <c r="K310" i="30"/>
  <c r="J310" i="30"/>
  <c r="N249" i="30"/>
  <c r="C249" i="30"/>
  <c r="I249" i="30"/>
  <c r="H249" i="30"/>
  <c r="D249" i="30"/>
  <c r="L249" i="30"/>
  <c r="B249" i="30"/>
  <c r="O249" i="30" s="1" a="1"/>
  <c r="G249" i="30"/>
  <c r="M249" i="30"/>
  <c r="F249" i="30"/>
  <c r="E249" i="30"/>
  <c r="K249" i="30"/>
  <c r="J249" i="30"/>
  <c r="D208" i="30"/>
  <c r="G208" i="30"/>
  <c r="J208" i="30"/>
  <c r="E208" i="30"/>
  <c r="N208" i="30"/>
  <c r="B208" i="30"/>
  <c r="O208" i="30" s="1" a="1"/>
  <c r="L208" i="30"/>
  <c r="M208" i="30"/>
  <c r="K208" i="30"/>
  <c r="I208" i="30"/>
  <c r="H208" i="30"/>
  <c r="C208" i="30"/>
  <c r="F208" i="30"/>
  <c r="D199" i="30"/>
  <c r="L199" i="30"/>
  <c r="G199" i="30"/>
  <c r="B199" i="30"/>
  <c r="O199" i="30" s="1" a="1"/>
  <c r="K199" i="30"/>
  <c r="E199" i="30"/>
  <c r="M199" i="30"/>
  <c r="I199" i="30"/>
  <c r="N199" i="30"/>
  <c r="H199" i="30"/>
  <c r="C199" i="30"/>
  <c r="F199" i="30"/>
  <c r="J199" i="30"/>
  <c r="B176" i="30"/>
  <c r="O176" i="30" s="1" a="1"/>
  <c r="G176" i="30"/>
  <c r="I176" i="30"/>
  <c r="M176" i="30"/>
  <c r="L176" i="30"/>
  <c r="K176" i="30"/>
  <c r="D176" i="30"/>
  <c r="H176" i="30"/>
  <c r="F176" i="30"/>
  <c r="E176" i="30"/>
  <c r="N176" i="30"/>
  <c r="C176" i="30"/>
  <c r="J176" i="30"/>
  <c r="G156" i="30"/>
  <c r="D156" i="30"/>
  <c r="I156" i="30"/>
  <c r="E156" i="30"/>
  <c r="N156" i="30"/>
  <c r="L156" i="30"/>
  <c r="B156" i="30"/>
  <c r="O156" i="30" s="1" a="1"/>
  <c r="K156" i="30"/>
  <c r="H156" i="30"/>
  <c r="F156" i="30"/>
  <c r="J156" i="30"/>
  <c r="M156" i="30"/>
  <c r="C156" i="30"/>
  <c r="L125" i="30"/>
  <c r="C125" i="30"/>
  <c r="G125" i="30"/>
  <c r="D125" i="30"/>
  <c r="N125" i="30"/>
  <c r="M125" i="30"/>
  <c r="K125" i="30"/>
  <c r="J125" i="30"/>
  <c r="H125" i="30"/>
  <c r="E125" i="30"/>
  <c r="B125" i="30"/>
  <c r="O125" i="30" s="1" a="1"/>
  <c r="F125" i="30"/>
  <c r="I125" i="30"/>
  <c r="D105" i="30"/>
  <c r="J105" i="30"/>
  <c r="E105" i="30"/>
  <c r="G105" i="30"/>
  <c r="M105" i="30"/>
  <c r="F105" i="30"/>
  <c r="N105" i="30"/>
  <c r="L105" i="30"/>
  <c r="B105" i="30"/>
  <c r="O105" i="30" s="1" a="1"/>
  <c r="H105" i="30"/>
  <c r="I105" i="30"/>
  <c r="C105" i="30"/>
  <c r="K105" i="30"/>
  <c r="D90" i="30"/>
  <c r="N90" i="30"/>
  <c r="G90" i="30"/>
  <c r="J90" i="30"/>
  <c r="E90" i="30"/>
  <c r="L90" i="30"/>
  <c r="M90" i="30"/>
  <c r="F90" i="30"/>
  <c r="I90" i="30"/>
  <c r="H90" i="30"/>
  <c r="B90" i="30"/>
  <c r="O90" i="30" s="1" a="1"/>
  <c r="K90" i="30"/>
  <c r="C90" i="30"/>
  <c r="E62" i="30"/>
  <c r="G62" i="30"/>
  <c r="I62" i="30"/>
  <c r="N62" i="30"/>
  <c r="L62" i="30"/>
  <c r="B62" i="30"/>
  <c r="O62" i="30" s="1" a="1"/>
  <c r="M62" i="30"/>
  <c r="K62" i="30"/>
  <c r="F62" i="30"/>
  <c r="C62" i="30"/>
  <c r="D62" i="30"/>
  <c r="H62" i="30"/>
  <c r="J62" i="30"/>
  <c r="E50" i="30"/>
  <c r="M50" i="30"/>
  <c r="J50" i="30"/>
  <c r="K50" i="30"/>
  <c r="L50" i="30"/>
  <c r="B50" i="30"/>
  <c r="O50" i="30" s="1" a="1"/>
  <c r="N50" i="30"/>
  <c r="G50" i="30"/>
  <c r="F50" i="30"/>
  <c r="I50" i="30"/>
  <c r="C50" i="30"/>
  <c r="D50" i="30"/>
  <c r="H50" i="30"/>
  <c r="L33" i="30"/>
  <c r="J33" i="30"/>
  <c r="F33" i="30"/>
  <c r="E33" i="30"/>
  <c r="N33" i="30"/>
  <c r="B33" i="30"/>
  <c r="O33" i="30" s="1" a="1"/>
  <c r="D33" i="30"/>
  <c r="H33" i="30"/>
  <c r="K33" i="30"/>
  <c r="C33" i="30"/>
  <c r="G33" i="30"/>
  <c r="M33" i="30"/>
  <c r="I33" i="30"/>
  <c r="G11" i="30"/>
  <c r="L11" i="30"/>
  <c r="K11" i="30"/>
  <c r="J11" i="30"/>
  <c r="F11" i="30"/>
  <c r="E11" i="30"/>
  <c r="B11" i="30"/>
  <c r="O11" i="30" s="1" a="1"/>
  <c r="N11" i="30"/>
  <c r="M11" i="30"/>
  <c r="C11" i="30"/>
  <c r="D11" i="30"/>
  <c r="H11" i="30"/>
  <c r="I11" i="30"/>
  <c r="D3" i="30"/>
  <c r="N3" i="30"/>
  <c r="G3" i="30"/>
  <c r="J3" i="30"/>
  <c r="B3" i="30"/>
  <c r="O3" i="30" s="1" a="1"/>
  <c r="F3" i="30"/>
  <c r="M3" i="30"/>
  <c r="L3" i="30"/>
  <c r="K3" i="30"/>
  <c r="E3" i="30"/>
  <c r="C3" i="30"/>
  <c r="H3" i="30"/>
  <c r="I3" i="30"/>
  <c r="D609" i="30"/>
  <c r="N609" i="30"/>
  <c r="M609" i="30"/>
  <c r="J609" i="30"/>
  <c r="I609" i="30"/>
  <c r="H609" i="30"/>
  <c r="K609" i="30"/>
  <c r="L609" i="30"/>
  <c r="G609" i="30"/>
  <c r="E609" i="30"/>
  <c r="F609" i="30"/>
  <c r="B609" i="30"/>
  <c r="O609" i="30" s="1" a="1"/>
  <c r="C609" i="30"/>
  <c r="H550" i="30"/>
  <c r="N550" i="30"/>
  <c r="C550" i="30"/>
  <c r="D550" i="30"/>
  <c r="G550" i="30"/>
  <c r="K550" i="30"/>
  <c r="L550" i="30"/>
  <c r="M550" i="30"/>
  <c r="J550" i="30"/>
  <c r="E550" i="30"/>
  <c r="F550" i="30"/>
  <c r="B550" i="30"/>
  <c r="O550" i="30" s="1" a="1"/>
  <c r="I550" i="30"/>
  <c r="D543" i="30"/>
  <c r="L543" i="30"/>
  <c r="I543" i="30"/>
  <c r="N543" i="30"/>
  <c r="J543" i="30"/>
  <c r="H543" i="30"/>
  <c r="C543" i="30"/>
  <c r="M543" i="30"/>
  <c r="K543" i="30"/>
  <c r="F543" i="30"/>
  <c r="E543" i="30"/>
  <c r="B543" i="30"/>
  <c r="O543" i="30" s="1" a="1"/>
  <c r="G543" i="30"/>
  <c r="N540" i="30"/>
  <c r="K540" i="30"/>
  <c r="L540" i="30"/>
  <c r="F540" i="30"/>
  <c r="C540" i="30"/>
  <c r="D540" i="30"/>
  <c r="B540" i="30"/>
  <c r="O540" i="30" s="1" a="1"/>
  <c r="J540" i="30"/>
  <c r="M540" i="30"/>
  <c r="E540" i="30"/>
  <c r="H540" i="30"/>
  <c r="G540" i="30"/>
  <c r="I540" i="30"/>
  <c r="N521" i="30"/>
  <c r="I521" i="30"/>
  <c r="D521" i="30"/>
  <c r="L521" i="30"/>
  <c r="J521" i="30"/>
  <c r="G521" i="30"/>
  <c r="C521" i="30"/>
  <c r="E521" i="30"/>
  <c r="K521" i="30"/>
  <c r="F521" i="30"/>
  <c r="B521" i="30"/>
  <c r="O521" i="30" s="1" a="1"/>
  <c r="M521" i="30"/>
  <c r="H521" i="30"/>
  <c r="D511" i="30"/>
  <c r="K511" i="30"/>
  <c r="F511" i="30"/>
  <c r="N511" i="30"/>
  <c r="I511" i="30"/>
  <c r="H511" i="30"/>
  <c r="L511" i="30"/>
  <c r="J511" i="30"/>
  <c r="E511" i="30"/>
  <c r="G511" i="30"/>
  <c r="C511" i="30"/>
  <c r="B511" i="30"/>
  <c r="O511" i="30" s="1" a="1"/>
  <c r="M511" i="30"/>
  <c r="D500" i="30"/>
  <c r="N500" i="30"/>
  <c r="G500" i="30"/>
  <c r="I500" i="30"/>
  <c r="J500" i="30"/>
  <c r="C500" i="30"/>
  <c r="H500" i="30"/>
  <c r="E500" i="30"/>
  <c r="B500" i="30"/>
  <c r="O500" i="30" s="1" a="1"/>
  <c r="L500" i="30"/>
  <c r="K500" i="30"/>
  <c r="M500" i="30"/>
  <c r="F500" i="30"/>
  <c r="D485" i="30"/>
  <c r="C485" i="30"/>
  <c r="J485" i="30"/>
  <c r="M485" i="30"/>
  <c r="H485" i="30"/>
  <c r="F485" i="30"/>
  <c r="I485" i="30"/>
  <c r="E485" i="30"/>
  <c r="L485" i="30"/>
  <c r="B485" i="30"/>
  <c r="O485" i="30" s="1" a="1"/>
  <c r="N485" i="30"/>
  <c r="G485" i="30"/>
  <c r="K485" i="30"/>
  <c r="E465" i="30"/>
  <c r="B465" i="30"/>
  <c r="O465" i="30" s="1" a="1"/>
  <c r="F465" i="30"/>
  <c r="G465" i="30"/>
  <c r="I465" i="30"/>
  <c r="J465" i="30"/>
  <c r="M465" i="30"/>
  <c r="L465" i="30"/>
  <c r="D465" i="30"/>
  <c r="H465" i="30"/>
  <c r="K465" i="30"/>
  <c r="N465" i="30"/>
  <c r="C465" i="30"/>
  <c r="D448" i="30"/>
  <c r="L448" i="30"/>
  <c r="J448" i="30"/>
  <c r="M448" i="30"/>
  <c r="N448" i="30"/>
  <c r="I448" i="30"/>
  <c r="F448" i="30"/>
  <c r="E448" i="30"/>
  <c r="H448" i="30"/>
  <c r="G448" i="30"/>
  <c r="K448" i="30"/>
  <c r="B448" i="30"/>
  <c r="O448" i="30" s="1" a="1"/>
  <c r="C448" i="30"/>
  <c r="H425" i="30"/>
  <c r="C425" i="30"/>
  <c r="B425" i="30"/>
  <c r="O425" i="30" s="1" a="1"/>
  <c r="G425" i="30"/>
  <c r="J425" i="30"/>
  <c r="D425" i="30"/>
  <c r="F425" i="30"/>
  <c r="K425" i="30"/>
  <c r="L425" i="30"/>
  <c r="M425" i="30"/>
  <c r="E425" i="30"/>
  <c r="N425" i="30"/>
  <c r="I425" i="30"/>
  <c r="K412" i="30"/>
  <c r="C412" i="30"/>
  <c r="F412" i="30"/>
  <c r="D412" i="30"/>
  <c r="H412" i="30"/>
  <c r="M412" i="30"/>
  <c r="G412" i="30"/>
  <c r="B412" i="30"/>
  <c r="O412" i="30" s="1" a="1"/>
  <c r="N412" i="30"/>
  <c r="L412" i="30"/>
  <c r="E412" i="30"/>
  <c r="I412" i="30"/>
  <c r="J412" i="30"/>
  <c r="M388" i="30"/>
  <c r="F388" i="30"/>
  <c r="J388" i="30"/>
  <c r="C388" i="30"/>
  <c r="I388" i="30"/>
  <c r="G388" i="30"/>
  <c r="E388" i="30"/>
  <c r="N388" i="30"/>
  <c r="K388" i="30"/>
  <c r="H388" i="30"/>
  <c r="D388" i="30"/>
  <c r="L388" i="30"/>
  <c r="B388" i="30"/>
  <c r="O388" i="30" s="1" a="1"/>
  <c r="E373" i="30"/>
  <c r="L373" i="30"/>
  <c r="K373" i="30"/>
  <c r="D373" i="30"/>
  <c r="M373" i="30"/>
  <c r="H373" i="30"/>
  <c r="C373" i="30"/>
  <c r="B373" i="30"/>
  <c r="O373" i="30" s="1" a="1"/>
  <c r="J373" i="30"/>
  <c r="F373" i="30"/>
  <c r="I373" i="30"/>
  <c r="N373" i="30"/>
  <c r="G373" i="30"/>
  <c r="B362" i="30"/>
  <c r="O362" i="30" s="1" a="1"/>
  <c r="H362" i="30"/>
  <c r="J362" i="30"/>
  <c r="C362" i="30"/>
  <c r="D362" i="30"/>
  <c r="K362" i="30"/>
  <c r="I362" i="30"/>
  <c r="N362" i="30"/>
  <c r="M362" i="30"/>
  <c r="E362" i="30"/>
  <c r="G362" i="30"/>
  <c r="L362" i="30"/>
  <c r="F362" i="30"/>
  <c r="D343" i="30"/>
  <c r="K343" i="30"/>
  <c r="G343" i="30"/>
  <c r="I343" i="30"/>
  <c r="M343" i="30"/>
  <c r="L343" i="30"/>
  <c r="C343" i="30"/>
  <c r="E343" i="30"/>
  <c r="N343" i="30"/>
  <c r="B343" i="30"/>
  <c r="O343" i="30" s="1" a="1"/>
  <c r="H343" i="30"/>
  <c r="J343" i="30"/>
  <c r="F343" i="30"/>
  <c r="D332" i="30"/>
  <c r="N332" i="30"/>
  <c r="C332" i="30"/>
  <c r="B332" i="30"/>
  <c r="O332" i="30" s="1" a="1"/>
  <c r="I332" i="30"/>
  <c r="E332" i="30"/>
  <c r="M332" i="30"/>
  <c r="L332" i="30"/>
  <c r="H332" i="30"/>
  <c r="G332" i="30"/>
  <c r="K332" i="30"/>
  <c r="F332" i="30"/>
  <c r="J332" i="30"/>
  <c r="M306" i="30"/>
  <c r="C306" i="30"/>
  <c r="J306" i="30"/>
  <c r="D306" i="30"/>
  <c r="B306" i="30"/>
  <c r="O306" i="30" s="1" a="1"/>
  <c r="L306" i="30"/>
  <c r="H306" i="30"/>
  <c r="G306" i="30"/>
  <c r="K306" i="30"/>
  <c r="E306" i="30"/>
  <c r="N306" i="30"/>
  <c r="F306" i="30"/>
  <c r="I306" i="30"/>
  <c r="E281" i="30"/>
  <c r="B281" i="30"/>
  <c r="O281" i="30" s="1" a="1"/>
  <c r="M281" i="30"/>
  <c r="F281" i="30"/>
  <c r="J281" i="30"/>
  <c r="D281" i="30"/>
  <c r="L281" i="30"/>
  <c r="H281" i="30"/>
  <c r="G281" i="30"/>
  <c r="K281" i="30"/>
  <c r="N281" i="30"/>
  <c r="C281" i="30"/>
  <c r="I281" i="30"/>
  <c r="E259" i="30"/>
  <c r="B259" i="30"/>
  <c r="O259" i="30" s="1" a="1"/>
  <c r="J259" i="30"/>
  <c r="D259" i="30"/>
  <c r="K259" i="30"/>
  <c r="C259" i="30"/>
  <c r="N259" i="30"/>
  <c r="I259" i="30"/>
  <c r="H259" i="30"/>
  <c r="G259" i="30"/>
  <c r="L259" i="30"/>
  <c r="M259" i="30"/>
  <c r="F259" i="30"/>
  <c r="K238" i="30"/>
  <c r="C238" i="30"/>
  <c r="E238" i="30"/>
  <c r="J238" i="30"/>
  <c r="F238" i="30"/>
  <c r="H238" i="30"/>
  <c r="M238" i="30"/>
  <c r="L238" i="30"/>
  <c r="B238" i="30"/>
  <c r="O238" i="30" s="1" a="1"/>
  <c r="G238" i="30"/>
  <c r="D238" i="30"/>
  <c r="N238" i="30"/>
  <c r="I238" i="30"/>
  <c r="H228" i="30"/>
  <c r="I228" i="30"/>
  <c r="E228" i="30"/>
  <c r="G228" i="30"/>
  <c r="C228" i="30"/>
  <c r="N228" i="30"/>
  <c r="K228" i="30"/>
  <c r="M228" i="30"/>
  <c r="L228" i="30"/>
  <c r="F228" i="30"/>
  <c r="D228" i="30"/>
  <c r="B228" i="30"/>
  <c r="O228" i="30" s="1" a="1"/>
  <c r="J228" i="30"/>
  <c r="D218" i="30"/>
  <c r="G218" i="30"/>
  <c r="L218" i="30"/>
  <c r="H218" i="30"/>
  <c r="N218" i="30"/>
  <c r="J218" i="30"/>
  <c r="E218" i="30"/>
  <c r="F218" i="30"/>
  <c r="K218" i="30"/>
  <c r="M218" i="30"/>
  <c r="C218" i="30"/>
  <c r="B218" i="30"/>
  <c r="O218" i="30" s="1" a="1"/>
  <c r="I218" i="30"/>
  <c r="M147" i="30"/>
  <c r="C147" i="30"/>
  <c r="J147" i="30"/>
  <c r="I147" i="30"/>
  <c r="F147" i="30"/>
  <c r="D147" i="30"/>
  <c r="G147" i="30"/>
  <c r="L147" i="30"/>
  <c r="N147" i="30"/>
  <c r="B147" i="30"/>
  <c r="O147" i="30" s="1" a="1"/>
  <c r="K147" i="30"/>
  <c r="E147" i="30"/>
  <c r="H147" i="30"/>
  <c r="E140" i="30"/>
  <c r="M140" i="30"/>
  <c r="B140" i="30"/>
  <c r="O140" i="30" s="1" a="1"/>
  <c r="I140" i="30"/>
  <c r="J140" i="30"/>
  <c r="C140" i="30"/>
  <c r="D140" i="30"/>
  <c r="H140" i="30"/>
  <c r="K140" i="30"/>
  <c r="L140" i="30"/>
  <c r="N140" i="30"/>
  <c r="G140" i="30"/>
  <c r="F140" i="30"/>
  <c r="E117" i="30"/>
  <c r="F117" i="30"/>
  <c r="N117" i="30"/>
  <c r="J117" i="30"/>
  <c r="I117" i="30"/>
  <c r="C117" i="30"/>
  <c r="M117" i="30"/>
  <c r="D117" i="30"/>
  <c r="H117" i="30"/>
  <c r="G117" i="30"/>
  <c r="K117" i="30"/>
  <c r="L117" i="30"/>
  <c r="B117" i="30"/>
  <c r="O117" i="30" s="1" a="1"/>
  <c r="D91" i="30"/>
  <c r="H91" i="30"/>
  <c r="B91" i="30"/>
  <c r="O91" i="30" s="1" a="1"/>
  <c r="L91" i="30"/>
  <c r="J91" i="30"/>
  <c r="C91" i="30"/>
  <c r="G91" i="30"/>
  <c r="E91" i="30"/>
  <c r="K91" i="30"/>
  <c r="M91" i="30"/>
  <c r="N91" i="30"/>
  <c r="I91" i="30"/>
  <c r="F91" i="30"/>
  <c r="H72" i="30"/>
  <c r="N72" i="30"/>
  <c r="C72" i="30"/>
  <c r="D72" i="30"/>
  <c r="L72" i="30"/>
  <c r="B72" i="30"/>
  <c r="O72" i="30" s="1" a="1"/>
  <c r="J72" i="30"/>
  <c r="M72" i="30"/>
  <c r="K72" i="30"/>
  <c r="E72" i="30"/>
  <c r="G72" i="30"/>
  <c r="I72" i="30"/>
  <c r="F72" i="30"/>
  <c r="L63" i="30"/>
  <c r="B63" i="30"/>
  <c r="O63" i="30" s="1" a="1"/>
  <c r="I63" i="30"/>
  <c r="H63" i="30"/>
  <c r="K63" i="30"/>
  <c r="C63" i="30"/>
  <c r="D63" i="30"/>
  <c r="G63" i="30"/>
  <c r="E63" i="30"/>
  <c r="M63" i="30"/>
  <c r="F63" i="30"/>
  <c r="N63" i="30"/>
  <c r="J63" i="30"/>
  <c r="D35" i="30"/>
  <c r="M35" i="30"/>
  <c r="F35" i="30"/>
  <c r="I35" i="30"/>
  <c r="G35" i="30"/>
  <c r="E35" i="30"/>
  <c r="H35" i="30"/>
  <c r="B35" i="30"/>
  <c r="O35" i="30" s="1" a="1"/>
  <c r="L35" i="30"/>
  <c r="K35" i="30"/>
  <c r="N35" i="30"/>
  <c r="J35" i="30"/>
  <c r="C35" i="30"/>
  <c r="H20" i="30"/>
  <c r="M20" i="30"/>
  <c r="I20" i="30"/>
  <c r="N20" i="30"/>
  <c r="F20" i="30"/>
  <c r="J20" i="30"/>
  <c r="D20" i="30"/>
  <c r="B20" i="30"/>
  <c r="O20" i="30" s="1" a="1"/>
  <c r="L20" i="30"/>
  <c r="K20" i="30"/>
  <c r="G20" i="30"/>
  <c r="E20" i="30"/>
  <c r="C20" i="30"/>
  <c r="E2" i="30"/>
  <c r="K2" i="30"/>
  <c r="M2" i="30"/>
  <c r="C2" i="30"/>
  <c r="D2" i="30"/>
  <c r="N2" i="30"/>
  <c r="I2" i="30"/>
  <c r="G2" i="30"/>
  <c r="H2" i="30"/>
  <c r="L2" i="30"/>
  <c r="F2" i="30"/>
  <c r="B2" i="30"/>
  <c r="O2" i="30" s="1" a="1"/>
  <c r="J2" i="30"/>
  <c r="E599" i="30"/>
  <c r="J599" i="30"/>
  <c r="I599" i="30"/>
  <c r="D599" i="30"/>
  <c r="N599" i="30"/>
  <c r="L599" i="30"/>
  <c r="H599" i="30"/>
  <c r="C599" i="30"/>
  <c r="B599" i="30"/>
  <c r="O599" i="30" s="1" a="1"/>
  <c r="K599" i="30"/>
  <c r="F599" i="30"/>
  <c r="M599" i="30"/>
  <c r="G599" i="30"/>
  <c r="B562" i="30"/>
  <c r="O562" i="30" s="1" a="1"/>
  <c r="G562" i="30"/>
  <c r="C562" i="30"/>
  <c r="D562" i="30"/>
  <c r="L562" i="30"/>
  <c r="F562" i="30"/>
  <c r="J562" i="30"/>
  <c r="N562" i="30"/>
  <c r="E562" i="30"/>
  <c r="M562" i="30"/>
  <c r="H562" i="30"/>
  <c r="K562" i="30"/>
  <c r="I562" i="30"/>
  <c r="E546" i="30"/>
  <c r="H546" i="30"/>
  <c r="B546" i="30"/>
  <c r="O546" i="30" s="1" a="1"/>
  <c r="F546" i="30"/>
  <c r="M546" i="30"/>
  <c r="I546" i="30"/>
  <c r="D546" i="30"/>
  <c r="K546" i="30"/>
  <c r="G546" i="30"/>
  <c r="L546" i="30"/>
  <c r="N546" i="30"/>
  <c r="J546" i="30"/>
  <c r="C546" i="30"/>
  <c r="D522" i="30"/>
  <c r="N522" i="30"/>
  <c r="G522" i="30"/>
  <c r="I522" i="30"/>
  <c r="K522" i="30"/>
  <c r="H522" i="30"/>
  <c r="J522" i="30"/>
  <c r="F522" i="30"/>
  <c r="E522" i="30"/>
  <c r="B522" i="30"/>
  <c r="O522" i="30" s="1" a="1"/>
  <c r="M522" i="30"/>
  <c r="L522" i="30"/>
  <c r="C522" i="30"/>
  <c r="E490" i="30"/>
  <c r="M490" i="30"/>
  <c r="K490" i="30"/>
  <c r="B490" i="30"/>
  <c r="O490" i="30" s="1" a="1"/>
  <c r="L490" i="30"/>
  <c r="J490" i="30"/>
  <c r="F490" i="30"/>
  <c r="G490" i="30"/>
  <c r="N490" i="30"/>
  <c r="C490" i="30"/>
  <c r="D490" i="30"/>
  <c r="H490" i="30"/>
  <c r="I490" i="30"/>
  <c r="E478" i="30"/>
  <c r="H478" i="30"/>
  <c r="F478" i="30"/>
  <c r="C478" i="30"/>
  <c r="J478" i="30"/>
  <c r="D478" i="30"/>
  <c r="N478" i="30"/>
  <c r="B478" i="30"/>
  <c r="O478" i="30" s="1" a="1"/>
  <c r="L478" i="30"/>
  <c r="K478" i="30"/>
  <c r="G478" i="30"/>
  <c r="M478" i="30"/>
  <c r="I478" i="30"/>
  <c r="E451" i="30"/>
  <c r="M451" i="30"/>
  <c r="C451" i="30"/>
  <c r="G451" i="30"/>
  <c r="N451" i="30"/>
  <c r="I451" i="30"/>
  <c r="B451" i="30"/>
  <c r="O451" i="30" s="1" a="1"/>
  <c r="L451" i="30"/>
  <c r="K451" i="30"/>
  <c r="H451" i="30"/>
  <c r="D451" i="30"/>
  <c r="F451" i="30"/>
  <c r="J451" i="30"/>
  <c r="D418" i="30"/>
  <c r="H418" i="30"/>
  <c r="F418" i="30"/>
  <c r="N418" i="30"/>
  <c r="C418" i="30"/>
  <c r="G418" i="30"/>
  <c r="I418" i="30"/>
  <c r="E418" i="30"/>
  <c r="M418" i="30"/>
  <c r="L418" i="30"/>
  <c r="K418" i="30"/>
  <c r="B418" i="30"/>
  <c r="O418" i="30" s="1" a="1"/>
  <c r="J418" i="30"/>
  <c r="K386" i="30"/>
  <c r="F386" i="30"/>
  <c r="J386" i="30"/>
  <c r="I386" i="30"/>
  <c r="E386" i="30"/>
  <c r="G386" i="30"/>
  <c r="N386" i="30"/>
  <c r="B386" i="30"/>
  <c r="O386" i="30" s="1" a="1"/>
  <c r="D386" i="30"/>
  <c r="H386" i="30"/>
  <c r="M386" i="30"/>
  <c r="L386" i="30"/>
  <c r="C386" i="30"/>
  <c r="B363" i="30"/>
  <c r="O363" i="30" s="1" a="1"/>
  <c r="G363" i="30"/>
  <c r="I363" i="30"/>
  <c r="L363" i="30"/>
  <c r="F363" i="30"/>
  <c r="E363" i="30"/>
  <c r="M363" i="30"/>
  <c r="J363" i="30"/>
  <c r="D363" i="30"/>
  <c r="N363" i="30"/>
  <c r="H363" i="30"/>
  <c r="K363" i="30"/>
  <c r="C363" i="30"/>
  <c r="F350" i="30"/>
  <c r="I350" i="30"/>
  <c r="G350" i="30"/>
  <c r="E350" i="30"/>
  <c r="L350" i="30"/>
  <c r="B350" i="30"/>
  <c r="O350" i="30" s="1" a="1"/>
  <c r="J350" i="30"/>
  <c r="C350" i="30"/>
  <c r="N350" i="30"/>
  <c r="D350" i="30"/>
  <c r="M350" i="30"/>
  <c r="K350" i="30"/>
  <c r="H350" i="30"/>
  <c r="G300" i="30"/>
  <c r="M300" i="30"/>
  <c r="C300" i="30"/>
  <c r="J300" i="30"/>
  <c r="D300" i="30"/>
  <c r="H300" i="30"/>
  <c r="L300" i="30"/>
  <c r="B300" i="30"/>
  <c r="O300" i="30" s="1" a="1"/>
  <c r="N300" i="30"/>
  <c r="K300" i="30"/>
  <c r="E300" i="30"/>
  <c r="F300" i="30"/>
  <c r="I300" i="30"/>
  <c r="G291" i="30"/>
  <c r="H291" i="30"/>
  <c r="C291" i="30"/>
  <c r="E291" i="30"/>
  <c r="F291" i="30"/>
  <c r="I291" i="30"/>
  <c r="B291" i="30"/>
  <c r="O291" i="30" s="1" a="1"/>
  <c r="L291" i="30"/>
  <c r="N291" i="30"/>
  <c r="K291" i="30"/>
  <c r="D291" i="30"/>
  <c r="M291" i="30"/>
  <c r="J291" i="30"/>
  <c r="D270" i="30"/>
  <c r="H270" i="30"/>
  <c r="F270" i="30"/>
  <c r="N270" i="30"/>
  <c r="I270" i="30"/>
  <c r="J270" i="30"/>
  <c r="K270" i="30"/>
  <c r="B270" i="30"/>
  <c r="O270" i="30" s="1" a="1"/>
  <c r="C270" i="30"/>
  <c r="E270" i="30"/>
  <c r="G270" i="30"/>
  <c r="M270" i="30"/>
  <c r="L270" i="30"/>
  <c r="L253" i="30"/>
  <c r="J253" i="30"/>
  <c r="E253" i="30"/>
  <c r="N253" i="30"/>
  <c r="H253" i="30"/>
  <c r="G253" i="30"/>
  <c r="F253" i="30"/>
  <c r="K253" i="30"/>
  <c r="D253" i="30"/>
  <c r="M253" i="30"/>
  <c r="B253" i="30"/>
  <c r="O253" i="30" s="1" a="1"/>
  <c r="I253" i="30"/>
  <c r="C253" i="30"/>
  <c r="D235" i="30"/>
  <c r="K235" i="30"/>
  <c r="B235" i="30"/>
  <c r="O235" i="30" s="1" a="1"/>
  <c r="L235" i="30"/>
  <c r="I235" i="30"/>
  <c r="C235" i="30"/>
  <c r="E235" i="30"/>
  <c r="G235" i="30"/>
  <c r="H235" i="30"/>
  <c r="M235" i="30"/>
  <c r="F235" i="30"/>
  <c r="N235" i="30"/>
  <c r="J235" i="30"/>
  <c r="E224" i="30"/>
  <c r="J224" i="30"/>
  <c r="C224" i="30"/>
  <c r="D224" i="30"/>
  <c r="H224" i="30"/>
  <c r="B224" i="30"/>
  <c r="O224" i="30" s="1" a="1"/>
  <c r="N224" i="30"/>
  <c r="K224" i="30"/>
  <c r="F224" i="30"/>
  <c r="M224" i="30"/>
  <c r="L224" i="30"/>
  <c r="G224" i="30"/>
  <c r="I224" i="30"/>
  <c r="L194" i="30"/>
  <c r="B194" i="30"/>
  <c r="O194" i="30" s="1" a="1"/>
  <c r="J194" i="30"/>
  <c r="G194" i="30"/>
  <c r="D194" i="30"/>
  <c r="C194" i="30"/>
  <c r="H194" i="30"/>
  <c r="F194" i="30"/>
  <c r="K194" i="30"/>
  <c r="E194" i="30"/>
  <c r="M194" i="30"/>
  <c r="N194" i="30"/>
  <c r="I194" i="30"/>
  <c r="D185" i="30"/>
  <c r="M185" i="30"/>
  <c r="C185" i="30"/>
  <c r="J185" i="30"/>
  <c r="N185" i="30"/>
  <c r="G185" i="30"/>
  <c r="H185" i="30"/>
  <c r="K185" i="30"/>
  <c r="E185" i="30"/>
  <c r="L185" i="30"/>
  <c r="B185" i="30"/>
  <c r="O185" i="30" s="1" a="1"/>
  <c r="F185" i="30"/>
  <c r="I185" i="30"/>
  <c r="D177" i="30"/>
  <c r="B177" i="30"/>
  <c r="O177" i="30" s="1" a="1"/>
  <c r="I177" i="30"/>
  <c r="G177" i="30"/>
  <c r="N177" i="30"/>
  <c r="L177" i="30"/>
  <c r="M177" i="30"/>
  <c r="K177" i="30"/>
  <c r="F177" i="30"/>
  <c r="E177" i="30"/>
  <c r="H177" i="30"/>
  <c r="J177" i="30"/>
  <c r="C177" i="30"/>
  <c r="D164" i="30"/>
  <c r="G164" i="30"/>
  <c r="M164" i="30"/>
  <c r="I164" i="30"/>
  <c r="E164" i="30"/>
  <c r="H164" i="30"/>
  <c r="L164" i="30"/>
  <c r="F164" i="30"/>
  <c r="B164" i="30"/>
  <c r="O164" i="30" s="1" a="1"/>
  <c r="N164" i="30"/>
  <c r="K164" i="30"/>
  <c r="C164" i="30"/>
  <c r="J164" i="30"/>
  <c r="E122" i="30"/>
  <c r="J122" i="30"/>
  <c r="D122" i="30"/>
  <c r="I122" i="30"/>
  <c r="H122" i="30"/>
  <c r="L122" i="30"/>
  <c r="N122" i="30"/>
  <c r="B122" i="30"/>
  <c r="O122" i="30" s="1" a="1"/>
  <c r="K122" i="30"/>
  <c r="F122" i="30"/>
  <c r="M122" i="30"/>
  <c r="G122" i="30"/>
  <c r="C122" i="30"/>
  <c r="E112" i="30"/>
  <c r="G112" i="30"/>
  <c r="N112" i="30"/>
  <c r="F112" i="30"/>
  <c r="J112" i="30"/>
  <c r="D112" i="30"/>
  <c r="H112" i="30"/>
  <c r="L112" i="30"/>
  <c r="M112" i="30"/>
  <c r="K112" i="30"/>
  <c r="B112" i="30"/>
  <c r="O112" i="30" s="1" a="1"/>
  <c r="C112" i="30"/>
  <c r="I112" i="30"/>
  <c r="G103" i="30"/>
  <c r="L103" i="30"/>
  <c r="I103" i="30"/>
  <c r="C103" i="30"/>
  <c r="F103" i="30"/>
  <c r="D103" i="30"/>
  <c r="M103" i="30"/>
  <c r="B103" i="30"/>
  <c r="O103" i="30" s="1" a="1"/>
  <c r="N103" i="30"/>
  <c r="K103" i="30"/>
  <c r="H103" i="30"/>
  <c r="E103" i="30"/>
  <c r="J103" i="30"/>
  <c r="B93" i="30"/>
  <c r="O93" i="30" s="1" a="1"/>
  <c r="G93" i="30"/>
  <c r="J93" i="30"/>
  <c r="C93" i="30"/>
  <c r="E93" i="30"/>
  <c r="H93" i="30"/>
  <c r="D93" i="30"/>
  <c r="N93" i="30"/>
  <c r="F93" i="30"/>
  <c r="M93" i="30"/>
  <c r="L93" i="30"/>
  <c r="K93" i="30"/>
  <c r="I93" i="30"/>
  <c r="E82" i="30"/>
  <c r="F82" i="30"/>
  <c r="I82" i="30"/>
  <c r="K82" i="30"/>
  <c r="G82" i="30"/>
  <c r="B82" i="30"/>
  <c r="O82" i="30" s="1" a="1"/>
  <c r="N82" i="30"/>
  <c r="L82" i="30"/>
  <c r="D82" i="30"/>
  <c r="H82" i="30"/>
  <c r="M82" i="30"/>
  <c r="C82" i="30"/>
  <c r="J82" i="30"/>
  <c r="E65" i="30"/>
  <c r="L65" i="30"/>
  <c r="H65" i="30"/>
  <c r="I65" i="30"/>
  <c r="D65" i="30"/>
  <c r="C65" i="30"/>
  <c r="F65" i="30"/>
  <c r="M65" i="30"/>
  <c r="N65" i="30"/>
  <c r="K65" i="30"/>
  <c r="B65" i="30"/>
  <c r="O65" i="30" s="1" a="1"/>
  <c r="G65" i="30"/>
  <c r="J65" i="30"/>
  <c r="N42" i="30"/>
  <c r="G42" i="30"/>
  <c r="J42" i="30"/>
  <c r="C42" i="30"/>
  <c r="D42" i="30"/>
  <c r="B42" i="30"/>
  <c r="O42" i="30" s="1" a="1"/>
  <c r="L42" i="30"/>
  <c r="F42" i="30"/>
  <c r="M42" i="30"/>
  <c r="K42" i="30"/>
  <c r="E42" i="30"/>
  <c r="H42" i="30"/>
  <c r="I42" i="30"/>
  <c r="L32" i="30"/>
  <c r="F32" i="30"/>
  <c r="I32" i="30"/>
  <c r="G32" i="30"/>
  <c r="D32" i="30"/>
  <c r="B32" i="30"/>
  <c r="O32" i="30" s="1" a="1"/>
  <c r="N32" i="30"/>
  <c r="K32" i="30"/>
  <c r="H32" i="30"/>
  <c r="E32" i="30"/>
  <c r="M32" i="30"/>
  <c r="J32" i="30"/>
  <c r="C32" i="30"/>
  <c r="G580" i="30"/>
  <c r="J580" i="30"/>
  <c r="C580" i="30"/>
  <c r="D580" i="30"/>
  <c r="B580" i="30"/>
  <c r="O580" i="30" s="1" a="1"/>
  <c r="M580" i="30"/>
  <c r="L580" i="30"/>
  <c r="F580" i="30"/>
  <c r="N580" i="30"/>
  <c r="K580" i="30"/>
  <c r="E580" i="30"/>
  <c r="H580" i="30"/>
  <c r="I580" i="30"/>
  <c r="G558" i="30"/>
  <c r="I558" i="30"/>
  <c r="F558" i="30"/>
  <c r="L558" i="30"/>
  <c r="C558" i="30"/>
  <c r="D558" i="30"/>
  <c r="H558" i="30"/>
  <c r="K558" i="30"/>
  <c r="B558" i="30"/>
  <c r="O558" i="30" s="1" a="1"/>
  <c r="N558" i="30"/>
  <c r="E558" i="30"/>
  <c r="M558" i="30"/>
  <c r="J558" i="30"/>
  <c r="L481" i="30"/>
  <c r="G481" i="30"/>
  <c r="C481" i="30"/>
  <c r="J481" i="30"/>
  <c r="D481" i="30"/>
  <c r="M481" i="30"/>
  <c r="K481" i="30"/>
  <c r="B481" i="30"/>
  <c r="O481" i="30" s="1" a="1"/>
  <c r="N481" i="30"/>
  <c r="E481" i="30"/>
  <c r="H481" i="30"/>
  <c r="F481" i="30"/>
  <c r="I481" i="30"/>
  <c r="E470" i="30"/>
  <c r="G470" i="30"/>
  <c r="I470" i="30"/>
  <c r="D470" i="30"/>
  <c r="K470" i="30"/>
  <c r="J470" i="30"/>
  <c r="B470" i="30"/>
  <c r="O470" i="30" s="1" a="1"/>
  <c r="N470" i="30"/>
  <c r="L470" i="30"/>
  <c r="H470" i="30"/>
  <c r="M470" i="30"/>
  <c r="F470" i="30"/>
  <c r="C470" i="30"/>
  <c r="E457" i="30"/>
  <c r="L457" i="30"/>
  <c r="I457" i="30"/>
  <c r="D457" i="30"/>
  <c r="M457" i="30"/>
  <c r="C457" i="30"/>
  <c r="G457" i="30"/>
  <c r="B457" i="30"/>
  <c r="O457" i="30" s="1" a="1"/>
  <c r="N457" i="30"/>
  <c r="K457" i="30"/>
  <c r="H457" i="30"/>
  <c r="F457" i="30"/>
  <c r="J457" i="30"/>
  <c r="E446" i="30"/>
  <c r="M446" i="30"/>
  <c r="J446" i="30"/>
  <c r="D446" i="30"/>
  <c r="G446" i="30"/>
  <c r="I446" i="30"/>
  <c r="H446" i="30"/>
  <c r="B446" i="30"/>
  <c r="O446" i="30" s="1" a="1"/>
  <c r="N446" i="30"/>
  <c r="K446" i="30"/>
  <c r="L446" i="30"/>
  <c r="F446" i="30"/>
  <c r="C446" i="30"/>
  <c r="G430" i="30"/>
  <c r="I430" i="30"/>
  <c r="C430" i="30"/>
  <c r="B430" i="30"/>
  <c r="O430" i="30" s="1" a="1"/>
  <c r="D430" i="30"/>
  <c r="K430" i="30"/>
  <c r="M430" i="30"/>
  <c r="N430" i="30"/>
  <c r="F430" i="30"/>
  <c r="E430" i="30"/>
  <c r="L430" i="30"/>
  <c r="H430" i="30"/>
  <c r="J430" i="30"/>
  <c r="M408" i="30"/>
  <c r="H408" i="30"/>
  <c r="L408" i="30"/>
  <c r="J408" i="30"/>
  <c r="N408" i="30"/>
  <c r="I408" i="30"/>
  <c r="D408" i="30"/>
  <c r="G408" i="30"/>
  <c r="F408" i="30"/>
  <c r="K408" i="30"/>
  <c r="E408" i="30"/>
  <c r="B408" i="30"/>
  <c r="O408" i="30" s="1" a="1"/>
  <c r="C408" i="30"/>
  <c r="D394" i="30"/>
  <c r="M394" i="30"/>
  <c r="B394" i="30"/>
  <c r="O394" i="30" s="1" a="1"/>
  <c r="F394" i="30"/>
  <c r="L394" i="30"/>
  <c r="I394" i="30"/>
  <c r="H394" i="30"/>
  <c r="E394" i="30"/>
  <c r="G394" i="30"/>
  <c r="K394" i="30"/>
  <c r="N394" i="30"/>
  <c r="C394" i="30"/>
  <c r="J394" i="30"/>
  <c r="H379" i="30"/>
  <c r="D379" i="30"/>
  <c r="G379" i="30"/>
  <c r="E379" i="30"/>
  <c r="I379" i="30"/>
  <c r="F379" i="30"/>
  <c r="B379" i="30"/>
  <c r="O379" i="30" s="1" a="1"/>
  <c r="L379" i="30"/>
  <c r="M379" i="30"/>
  <c r="N379" i="30"/>
  <c r="K379" i="30"/>
  <c r="J379" i="30"/>
  <c r="C379" i="30"/>
  <c r="B374" i="30"/>
  <c r="O374" i="30" s="1" a="1"/>
  <c r="C374" i="30"/>
  <c r="J374" i="30"/>
  <c r="G374" i="30"/>
  <c r="E374" i="30"/>
  <c r="M374" i="30"/>
  <c r="F374" i="30"/>
  <c r="L374" i="30"/>
  <c r="K374" i="30"/>
  <c r="H374" i="30"/>
  <c r="D374" i="30"/>
  <c r="N374" i="30"/>
  <c r="I374" i="30"/>
  <c r="J358" i="30"/>
  <c r="M358" i="30"/>
  <c r="G358" i="30"/>
  <c r="C358" i="30"/>
  <c r="N358" i="30"/>
  <c r="D358" i="30"/>
  <c r="L358" i="30"/>
  <c r="H358" i="30"/>
  <c r="B358" i="30"/>
  <c r="O358" i="30" s="1" a="1"/>
  <c r="E358" i="30"/>
  <c r="K358" i="30"/>
  <c r="F358" i="30"/>
  <c r="I358" i="30"/>
  <c r="N345" i="30"/>
  <c r="D345" i="30"/>
  <c r="H345" i="30"/>
  <c r="C345" i="30"/>
  <c r="G345" i="30"/>
  <c r="B345" i="30"/>
  <c r="O345" i="30" s="1" a="1"/>
  <c r="L345" i="30"/>
  <c r="K345" i="30"/>
  <c r="F345" i="30"/>
  <c r="J345" i="30"/>
  <c r="I345" i="30"/>
  <c r="E345" i="30"/>
  <c r="M345" i="30"/>
  <c r="E337" i="30"/>
  <c r="B337" i="30"/>
  <c r="O337" i="30" s="1" a="1"/>
  <c r="F337" i="30"/>
  <c r="I337" i="30"/>
  <c r="D337" i="30"/>
  <c r="K337" i="30"/>
  <c r="M337" i="30"/>
  <c r="N337" i="30"/>
  <c r="L337" i="30"/>
  <c r="H337" i="30"/>
  <c r="G337" i="30"/>
  <c r="J337" i="30"/>
  <c r="C337" i="30"/>
  <c r="H323" i="30"/>
  <c r="E323" i="30"/>
  <c r="M323" i="30"/>
  <c r="C323" i="30"/>
  <c r="I323" i="30"/>
  <c r="G323" i="30"/>
  <c r="D323" i="30"/>
  <c r="N323" i="30"/>
  <c r="B323" i="30"/>
  <c r="O323" i="30" s="1" a="1"/>
  <c r="K323" i="30"/>
  <c r="L323" i="30"/>
  <c r="F323" i="30"/>
  <c r="J323" i="30"/>
  <c r="L301" i="30"/>
  <c r="F301" i="30"/>
  <c r="G301" i="30"/>
  <c r="C301" i="30"/>
  <c r="J301" i="30"/>
  <c r="H301" i="30"/>
  <c r="D301" i="30"/>
  <c r="M301" i="30"/>
  <c r="B301" i="30"/>
  <c r="O301" i="30" s="1" a="1"/>
  <c r="N301" i="30"/>
  <c r="E301" i="30"/>
  <c r="K301" i="30"/>
  <c r="I301" i="30"/>
  <c r="D263" i="30"/>
  <c r="M263" i="30"/>
  <c r="N263" i="30"/>
  <c r="J263" i="30"/>
  <c r="E263" i="30"/>
  <c r="G263" i="30"/>
  <c r="C263" i="30"/>
  <c r="K263" i="30"/>
  <c r="H263" i="30"/>
  <c r="B263" i="30"/>
  <c r="O263" i="30" s="1" a="1"/>
  <c r="L263" i="30"/>
  <c r="F263" i="30"/>
  <c r="I263" i="30"/>
  <c r="E230" i="30"/>
  <c r="H230" i="30"/>
  <c r="B230" i="30"/>
  <c r="O230" i="30" s="1" a="1"/>
  <c r="C230" i="30"/>
  <c r="K230" i="30"/>
  <c r="J230" i="30"/>
  <c r="D230" i="30"/>
  <c r="G230" i="30"/>
  <c r="M230" i="30"/>
  <c r="L230" i="30"/>
  <c r="N230" i="30"/>
  <c r="F230" i="30"/>
  <c r="I230" i="30"/>
  <c r="L216" i="30"/>
  <c r="M216" i="30"/>
  <c r="F216" i="30"/>
  <c r="I216" i="30"/>
  <c r="D216" i="30"/>
  <c r="G216" i="30"/>
  <c r="J216" i="30"/>
  <c r="K216" i="30"/>
  <c r="E216" i="30"/>
  <c r="H216" i="30"/>
  <c r="N216" i="30"/>
  <c r="B216" i="30"/>
  <c r="O216" i="30" s="1" a="1"/>
  <c r="C216" i="30"/>
  <c r="J201" i="30"/>
  <c r="D201" i="30"/>
  <c r="I201" i="30"/>
  <c r="H201" i="30"/>
  <c r="G201" i="30"/>
  <c r="B201" i="30"/>
  <c r="O201" i="30" s="1" a="1"/>
  <c r="L201" i="30"/>
  <c r="N201" i="30"/>
  <c r="K201" i="30"/>
  <c r="M201" i="30"/>
  <c r="F201" i="30"/>
  <c r="E201" i="30"/>
  <c r="C201" i="30"/>
  <c r="G161" i="30"/>
  <c r="J161" i="30"/>
  <c r="H161" i="30"/>
  <c r="E161" i="30"/>
  <c r="M161" i="30"/>
  <c r="I161" i="30"/>
  <c r="N161" i="30"/>
  <c r="L161" i="30"/>
  <c r="B161" i="30"/>
  <c r="O161" i="30" s="1" a="1"/>
  <c r="K161" i="30"/>
  <c r="D161" i="30"/>
  <c r="F161" i="30"/>
  <c r="C161" i="30"/>
  <c r="H145" i="30"/>
  <c r="B145" i="30"/>
  <c r="O145" i="30" s="1" a="1"/>
  <c r="F145" i="30"/>
  <c r="J145" i="30"/>
  <c r="I145" i="30"/>
  <c r="D145" i="30"/>
  <c r="K145" i="30"/>
  <c r="L145" i="30"/>
  <c r="E145" i="30"/>
  <c r="G145" i="30"/>
  <c r="M145" i="30"/>
  <c r="N145" i="30"/>
  <c r="C145" i="30"/>
  <c r="D131" i="30"/>
  <c r="G131" i="30"/>
  <c r="B131" i="30"/>
  <c r="O131" i="30" s="1" a="1"/>
  <c r="F131" i="30"/>
  <c r="J131" i="30"/>
  <c r="E131" i="30"/>
  <c r="M131" i="30"/>
  <c r="I131" i="30"/>
  <c r="K131" i="30"/>
  <c r="H131" i="30"/>
  <c r="L131" i="30"/>
  <c r="N131" i="30"/>
  <c r="C131" i="30"/>
  <c r="E98" i="30"/>
  <c r="H98" i="30"/>
  <c r="I98" i="30"/>
  <c r="D98" i="30"/>
  <c r="N98" i="30"/>
  <c r="C98" i="30"/>
  <c r="B98" i="30"/>
  <c r="O98" i="30" s="1" a="1"/>
  <c r="M98" i="30"/>
  <c r="L98" i="30"/>
  <c r="K98" i="30"/>
  <c r="F98" i="30"/>
  <c r="G98" i="30"/>
  <c r="J98" i="30"/>
  <c r="N88" i="30"/>
  <c r="H88" i="30"/>
  <c r="I88" i="30"/>
  <c r="J88" i="30"/>
  <c r="G88" i="30"/>
  <c r="C88" i="30"/>
  <c r="D88" i="30"/>
  <c r="F88" i="30"/>
  <c r="M88" i="30"/>
  <c r="L88" i="30"/>
  <c r="K88" i="30"/>
  <c r="E88" i="30"/>
  <c r="B88" i="30"/>
  <c r="O88" i="30" s="1" a="1"/>
  <c r="E64" i="30"/>
  <c r="F64" i="30"/>
  <c r="C64" i="30"/>
  <c r="D64" i="30"/>
  <c r="G64" i="30"/>
  <c r="J64" i="30"/>
  <c r="H64" i="30"/>
  <c r="K64" i="30"/>
  <c r="N64" i="30"/>
  <c r="B64" i="30"/>
  <c r="O64" i="30" s="1" a="1"/>
  <c r="L64" i="30"/>
  <c r="M64" i="30"/>
  <c r="I64" i="30"/>
  <c r="E54" i="30"/>
  <c r="J54" i="30"/>
  <c r="F54" i="30"/>
  <c r="C54" i="30"/>
  <c r="D54" i="30"/>
  <c r="M54" i="30"/>
  <c r="K54" i="30"/>
  <c r="H54" i="30"/>
  <c r="N54" i="30"/>
  <c r="L54" i="30"/>
  <c r="B54" i="30"/>
  <c r="O54" i="30" s="1" a="1"/>
  <c r="G54" i="30"/>
  <c r="I54" i="30"/>
  <c r="E47" i="30"/>
  <c r="H47" i="30"/>
  <c r="F47" i="30"/>
  <c r="I47" i="30"/>
  <c r="D47" i="30"/>
  <c r="L47" i="30"/>
  <c r="G47" i="30"/>
  <c r="N47" i="30"/>
  <c r="B47" i="30"/>
  <c r="O47" i="30" s="1" a="1"/>
  <c r="K47" i="30"/>
  <c r="M47" i="30"/>
  <c r="C47" i="30"/>
  <c r="J47" i="30"/>
  <c r="N19" i="30"/>
  <c r="F19" i="30"/>
  <c r="G19" i="30"/>
  <c r="K19" i="30"/>
  <c r="I19" i="30"/>
  <c r="E19" i="30"/>
  <c r="M19" i="30"/>
  <c r="H19" i="30"/>
  <c r="B19" i="30"/>
  <c r="O19" i="30" s="1" a="1"/>
  <c r="L19" i="30"/>
  <c r="D19" i="30"/>
  <c r="C19" i="30"/>
  <c r="J19" i="30"/>
  <c r="H12" i="30"/>
  <c r="I12" i="30"/>
  <c r="D12" i="30"/>
  <c r="L12" i="30"/>
  <c r="G12" i="30"/>
  <c r="C12" i="30"/>
  <c r="B12" i="30"/>
  <c r="O12" i="30" s="1" a="1"/>
  <c r="F12" i="30"/>
  <c r="M12" i="30"/>
  <c r="N12" i="30"/>
  <c r="K12" i="30"/>
  <c r="E12" i="30"/>
  <c r="J12" i="30"/>
  <c r="F4" i="30"/>
  <c r="I4" i="30"/>
  <c r="E4" i="30"/>
  <c r="H4" i="30"/>
  <c r="G4" i="30"/>
  <c r="J4" i="30"/>
  <c r="D4" i="30"/>
  <c r="B4" i="30"/>
  <c r="O4" i="30" s="1" a="1"/>
  <c r="L4" i="30"/>
  <c r="N4" i="30"/>
  <c r="K4" i="30"/>
  <c r="M4" i="30"/>
  <c r="C4" i="30"/>
  <c r="E590" i="30"/>
  <c r="M590" i="30"/>
  <c r="H590" i="30"/>
  <c r="F590" i="30"/>
  <c r="J590" i="30"/>
  <c r="D590" i="30"/>
  <c r="G590" i="30"/>
  <c r="B590" i="30"/>
  <c r="O590" i="30" s="1" a="1"/>
  <c r="L590" i="30"/>
  <c r="K590" i="30"/>
  <c r="N590" i="30"/>
  <c r="C590" i="30"/>
  <c r="I590" i="30"/>
  <c r="N520" i="30"/>
  <c r="J520" i="30"/>
  <c r="C520" i="30"/>
  <c r="G520" i="30"/>
  <c r="E520" i="30"/>
  <c r="B520" i="30"/>
  <c r="O520" i="30" s="1" a="1"/>
  <c r="M520" i="30"/>
  <c r="L520" i="30"/>
  <c r="F520" i="30"/>
  <c r="K520" i="30"/>
  <c r="D520" i="30"/>
  <c r="H520" i="30"/>
  <c r="I520" i="30"/>
  <c r="H503" i="30"/>
  <c r="E503" i="30"/>
  <c r="N503" i="30"/>
  <c r="J503" i="30"/>
  <c r="C503" i="30"/>
  <c r="D503" i="30"/>
  <c r="F503" i="30"/>
  <c r="G503" i="30"/>
  <c r="L503" i="30"/>
  <c r="B503" i="30"/>
  <c r="O503" i="30" s="1" a="1"/>
  <c r="K503" i="30"/>
  <c r="M503" i="30"/>
  <c r="I503" i="30"/>
  <c r="E489" i="30"/>
  <c r="L489" i="30"/>
  <c r="F489" i="30"/>
  <c r="J489" i="30"/>
  <c r="D489" i="30"/>
  <c r="K489" i="30"/>
  <c r="G489" i="30"/>
  <c r="I489" i="30"/>
  <c r="H489" i="30"/>
  <c r="N489" i="30"/>
  <c r="B489" i="30"/>
  <c r="O489" i="30" s="1" a="1"/>
  <c r="M489" i="30"/>
  <c r="C489" i="30"/>
  <c r="D456" i="30"/>
  <c r="M456" i="30"/>
  <c r="C456" i="30"/>
  <c r="G456" i="30"/>
  <c r="K456" i="30"/>
  <c r="I456" i="30"/>
  <c r="E456" i="30"/>
  <c r="H456" i="30"/>
  <c r="B456" i="30"/>
  <c r="O456" i="30" s="1" a="1"/>
  <c r="N456" i="30"/>
  <c r="L456" i="30"/>
  <c r="F456" i="30"/>
  <c r="J456" i="30"/>
  <c r="E429" i="30"/>
  <c r="M429" i="30"/>
  <c r="F429" i="30"/>
  <c r="J429" i="30"/>
  <c r="H429" i="30"/>
  <c r="N429" i="30"/>
  <c r="B429" i="30"/>
  <c r="O429" i="30" s="1" a="1"/>
  <c r="K429" i="30"/>
  <c r="G429" i="30"/>
  <c r="D429" i="30"/>
  <c r="L429" i="30"/>
  <c r="I429" i="30"/>
  <c r="C429" i="30"/>
  <c r="E417" i="30"/>
  <c r="N417" i="30"/>
  <c r="F417" i="30"/>
  <c r="I417" i="30"/>
  <c r="G417" i="30"/>
  <c r="K417" i="30"/>
  <c r="J417" i="30"/>
  <c r="D417" i="30"/>
  <c r="M417" i="30"/>
  <c r="H417" i="30"/>
  <c r="L417" i="30"/>
  <c r="B417" i="30"/>
  <c r="O417" i="30" s="1" a="1"/>
  <c r="C417" i="30"/>
  <c r="H404" i="30"/>
  <c r="M404" i="30"/>
  <c r="I404" i="30"/>
  <c r="G404" i="30"/>
  <c r="F404" i="30"/>
  <c r="D404" i="30"/>
  <c r="N404" i="30"/>
  <c r="B404" i="30"/>
  <c r="O404" i="30" s="1" a="1"/>
  <c r="L404" i="30"/>
  <c r="E404" i="30"/>
  <c r="K404" i="30"/>
  <c r="J404" i="30"/>
  <c r="C404" i="30"/>
  <c r="F376" i="30"/>
  <c r="I376" i="30"/>
  <c r="M376" i="30"/>
  <c r="N376" i="30"/>
  <c r="J376" i="30"/>
  <c r="D376" i="30"/>
  <c r="L376" i="30"/>
  <c r="B376" i="30"/>
  <c r="O376" i="30" s="1" a="1"/>
  <c r="H376" i="30"/>
  <c r="G376" i="30"/>
  <c r="K376" i="30"/>
  <c r="E376" i="30"/>
  <c r="C376" i="30"/>
  <c r="B361" i="30"/>
  <c r="O361" i="30" s="1" a="1"/>
  <c r="D361" i="30"/>
  <c r="L361" i="30"/>
  <c r="H361" i="30"/>
  <c r="J361" i="30"/>
  <c r="C361" i="30"/>
  <c r="N361" i="30"/>
  <c r="E361" i="30"/>
  <c r="K361" i="30"/>
  <c r="F361" i="30"/>
  <c r="I361" i="30"/>
  <c r="M361" i="30"/>
  <c r="G361" i="30"/>
  <c r="N351" i="30"/>
  <c r="J351" i="30"/>
  <c r="I351" i="30"/>
  <c r="M351" i="30"/>
  <c r="G351" i="30"/>
  <c r="F351" i="30"/>
  <c r="C351" i="30"/>
  <c r="E351" i="30"/>
  <c r="K351" i="30"/>
  <c r="H351" i="30"/>
  <c r="D351" i="30"/>
  <c r="B351" i="30"/>
  <c r="O351" i="30" s="1" a="1"/>
  <c r="L351" i="30"/>
  <c r="L338" i="30"/>
  <c r="J338" i="30"/>
  <c r="M338" i="30"/>
  <c r="H338" i="30"/>
  <c r="G338" i="30"/>
  <c r="F338" i="30"/>
  <c r="I338" i="30"/>
  <c r="C338" i="30"/>
  <c r="E338" i="30"/>
  <c r="B338" i="30"/>
  <c r="O338" i="30" s="1" a="1"/>
  <c r="D338" i="30"/>
  <c r="N338" i="30"/>
  <c r="K338" i="30"/>
  <c r="D325" i="30"/>
  <c r="N325" i="30"/>
  <c r="G325" i="30"/>
  <c r="J325" i="30"/>
  <c r="I325" i="30"/>
  <c r="H325" i="30"/>
  <c r="C325" i="30"/>
  <c r="M325" i="30"/>
  <c r="L325" i="30"/>
  <c r="B325" i="30"/>
  <c r="O325" i="30" s="1" a="1"/>
  <c r="K325" i="30"/>
  <c r="E325" i="30"/>
  <c r="F325" i="30"/>
  <c r="D303" i="30"/>
  <c r="L303" i="30"/>
  <c r="H303" i="30"/>
  <c r="J303" i="30"/>
  <c r="C303" i="30"/>
  <c r="N303" i="30"/>
  <c r="E303" i="30"/>
  <c r="M303" i="30"/>
  <c r="K303" i="30"/>
  <c r="F303" i="30"/>
  <c r="B303" i="30"/>
  <c r="O303" i="30" s="1" a="1"/>
  <c r="G303" i="30"/>
  <c r="I303" i="30"/>
  <c r="G294" i="30"/>
  <c r="N294" i="30"/>
  <c r="M294" i="30"/>
  <c r="J294" i="30"/>
  <c r="E294" i="30"/>
  <c r="I294" i="30"/>
  <c r="K294" i="30"/>
  <c r="D294" i="30"/>
  <c r="H294" i="30"/>
  <c r="L294" i="30"/>
  <c r="B294" i="30"/>
  <c r="O294" i="30" s="1" a="1"/>
  <c r="F294" i="30"/>
  <c r="C294" i="30"/>
  <c r="M269" i="30"/>
  <c r="F269" i="30"/>
  <c r="I269" i="30"/>
  <c r="E269" i="30"/>
  <c r="C269" i="30"/>
  <c r="G269" i="30"/>
  <c r="D269" i="30"/>
  <c r="K269" i="30"/>
  <c r="L269" i="30"/>
  <c r="B269" i="30"/>
  <c r="O269" i="30" s="1" a="1"/>
  <c r="H269" i="30"/>
  <c r="N269" i="30"/>
  <c r="J269" i="30"/>
  <c r="D254" i="30"/>
  <c r="M254" i="30"/>
  <c r="C254" i="30"/>
  <c r="J254" i="30"/>
  <c r="G254" i="30"/>
  <c r="K254" i="30"/>
  <c r="I254" i="30"/>
  <c r="E254" i="30"/>
  <c r="N254" i="30"/>
  <c r="L254" i="30"/>
  <c r="B254" i="30"/>
  <c r="O254" i="30" s="1" a="1"/>
  <c r="H254" i="30"/>
  <c r="F254" i="30"/>
  <c r="B233" i="30"/>
  <c r="O233" i="30" s="1" a="1"/>
  <c r="I233" i="30"/>
  <c r="G233" i="30"/>
  <c r="M233" i="30"/>
  <c r="J233" i="30"/>
  <c r="D233" i="30"/>
  <c r="E233" i="30"/>
  <c r="H233" i="30"/>
  <c r="K233" i="30"/>
  <c r="F233" i="30"/>
  <c r="L233" i="30"/>
  <c r="N233" i="30"/>
  <c r="C233" i="30"/>
  <c r="J200" i="30"/>
  <c r="E200" i="30"/>
  <c r="N200" i="30"/>
  <c r="H200" i="30"/>
  <c r="C200" i="30"/>
  <c r="M200" i="30"/>
  <c r="L200" i="30"/>
  <c r="K200" i="30"/>
  <c r="F200" i="30"/>
  <c r="D200" i="30"/>
  <c r="B200" i="30"/>
  <c r="O200" i="30" s="1" a="1"/>
  <c r="G200" i="30"/>
  <c r="I200" i="30"/>
  <c r="L182" i="30"/>
  <c r="F182" i="30"/>
  <c r="M182" i="30"/>
  <c r="I182" i="30"/>
  <c r="D182" i="30"/>
  <c r="N182" i="30"/>
  <c r="K182" i="30"/>
  <c r="G182" i="30"/>
  <c r="H182" i="30"/>
  <c r="E182" i="30"/>
  <c r="B182" i="30"/>
  <c r="O182" i="30" s="1" a="1"/>
  <c r="C182" i="30"/>
  <c r="J182" i="30"/>
  <c r="I163" i="30"/>
  <c r="H163" i="30"/>
  <c r="J163" i="30"/>
  <c r="D163" i="30"/>
  <c r="L163" i="30"/>
  <c r="B163" i="30"/>
  <c r="O163" i="30" s="1" a="1"/>
  <c r="N163" i="30"/>
  <c r="K163" i="30"/>
  <c r="F163" i="30"/>
  <c r="M163" i="30"/>
  <c r="E163" i="30"/>
  <c r="G163" i="30"/>
  <c r="C163" i="30"/>
  <c r="D144" i="30"/>
  <c r="N144" i="30"/>
  <c r="K144" i="30"/>
  <c r="J144" i="30"/>
  <c r="B144" i="30"/>
  <c r="O144" i="30" s="1" a="1"/>
  <c r="G144" i="30"/>
  <c r="C144" i="30"/>
  <c r="E144" i="30"/>
  <c r="L144" i="30"/>
  <c r="M144" i="30"/>
  <c r="F144" i="30"/>
  <c r="H144" i="30"/>
  <c r="I144" i="30"/>
  <c r="D102" i="30"/>
  <c r="H102" i="30"/>
  <c r="N102" i="30"/>
  <c r="F102" i="30"/>
  <c r="C102" i="30"/>
  <c r="J102" i="30"/>
  <c r="M102" i="30"/>
  <c r="E102" i="30"/>
  <c r="K102" i="30"/>
  <c r="L102" i="30"/>
  <c r="G102" i="30"/>
  <c r="B102" i="30"/>
  <c r="O102" i="30" s="1" a="1"/>
  <c r="I102" i="30"/>
  <c r="D77" i="30"/>
  <c r="I77" i="30"/>
  <c r="C77" i="30"/>
  <c r="M77" i="30"/>
  <c r="H77" i="30"/>
  <c r="J77" i="30"/>
  <c r="G77" i="30"/>
  <c r="K77" i="30"/>
  <c r="L77" i="30"/>
  <c r="B77" i="30"/>
  <c r="O77" i="30" s="1" a="1"/>
  <c r="N77" i="30"/>
  <c r="E77" i="30"/>
  <c r="F77" i="30"/>
  <c r="I73" i="30"/>
  <c r="E73" i="30"/>
  <c r="H73" i="30"/>
  <c r="C73" i="30"/>
  <c r="D73" i="30"/>
  <c r="K73" i="30"/>
  <c r="L73" i="30"/>
  <c r="B73" i="30"/>
  <c r="O73" i="30" s="1" a="1"/>
  <c r="N73" i="30"/>
  <c r="G73" i="30"/>
  <c r="M73" i="30"/>
  <c r="F73" i="30"/>
  <c r="J73" i="30"/>
  <c r="J27" i="30"/>
  <c r="G27" i="30"/>
  <c r="E27" i="30"/>
  <c r="C27" i="30"/>
  <c r="B27" i="30"/>
  <c r="O27" i="30" s="1" a="1"/>
  <c r="L27" i="30"/>
  <c r="K27" i="30"/>
  <c r="N27" i="30"/>
  <c r="M27" i="30"/>
  <c r="H27" i="30"/>
  <c r="D27" i="30"/>
  <c r="F27" i="30"/>
  <c r="I27" i="30"/>
  <c r="E13" i="30"/>
  <c r="N13" i="30"/>
  <c r="C13" i="30"/>
  <c r="I13" i="30"/>
  <c r="D13" i="30"/>
  <c r="K13" i="30"/>
  <c r="H13" i="30"/>
  <c r="M13" i="30"/>
  <c r="G13" i="30"/>
  <c r="B13" i="30"/>
  <c r="O13" i="30" s="1" a="1"/>
  <c r="L13" i="30"/>
  <c r="F13" i="30"/>
  <c r="J13" i="30"/>
  <c r="G568" i="30"/>
  <c r="M568" i="30"/>
  <c r="C568" i="30"/>
  <c r="D568" i="30"/>
  <c r="H568" i="30"/>
  <c r="E568" i="30"/>
  <c r="B568" i="30"/>
  <c r="O568" i="30" s="1" a="1"/>
  <c r="N568" i="30"/>
  <c r="K568" i="30"/>
  <c r="L568" i="30"/>
  <c r="F568" i="30"/>
  <c r="I568" i="30"/>
  <c r="J568" i="30"/>
  <c r="E554" i="30"/>
  <c r="J554" i="30"/>
  <c r="F554" i="30"/>
  <c r="M554" i="30"/>
  <c r="G554" i="30"/>
  <c r="K554" i="30"/>
  <c r="I554" i="30"/>
  <c r="D554" i="30"/>
  <c r="H554" i="30"/>
  <c r="N554" i="30"/>
  <c r="L554" i="30"/>
  <c r="B554" i="30"/>
  <c r="O554" i="30" s="1" a="1"/>
  <c r="C554" i="30"/>
  <c r="N524" i="30"/>
  <c r="D524" i="30"/>
  <c r="L524" i="30"/>
  <c r="G524" i="30"/>
  <c r="C524" i="30"/>
  <c r="B524" i="30"/>
  <c r="O524" i="30" s="1" a="1"/>
  <c r="M524" i="30"/>
  <c r="F524" i="30"/>
  <c r="J524" i="30"/>
  <c r="K524" i="30"/>
  <c r="E524" i="30"/>
  <c r="I524" i="30"/>
  <c r="H524" i="30"/>
  <c r="D486" i="30"/>
  <c r="J486" i="30"/>
  <c r="F486" i="30"/>
  <c r="L486" i="30"/>
  <c r="G486" i="30"/>
  <c r="I486" i="30"/>
  <c r="E486" i="30"/>
  <c r="M486" i="30"/>
  <c r="H486" i="30"/>
  <c r="K486" i="30"/>
  <c r="N486" i="30"/>
  <c r="B486" i="30"/>
  <c r="O486" i="30" s="1" a="1"/>
  <c r="C486" i="30"/>
  <c r="D453" i="30"/>
  <c r="I453" i="30"/>
  <c r="F453" i="30"/>
  <c r="H453" i="30"/>
  <c r="G453" i="30"/>
  <c r="K453" i="30"/>
  <c r="C453" i="30"/>
  <c r="L453" i="30"/>
  <c r="M453" i="30"/>
  <c r="N453" i="30"/>
  <c r="B453" i="30"/>
  <c r="O453" i="30" s="1" a="1"/>
  <c r="E453" i="30"/>
  <c r="J453" i="30"/>
  <c r="L432" i="30"/>
  <c r="C432" i="30"/>
  <c r="J432" i="30"/>
  <c r="D432" i="30"/>
  <c r="H432" i="30"/>
  <c r="G432" i="30"/>
  <c r="I432" i="30"/>
  <c r="M432" i="30"/>
  <c r="N432" i="30"/>
  <c r="K432" i="30"/>
  <c r="B432" i="30"/>
  <c r="O432" i="30" s="1" a="1"/>
  <c r="E432" i="30"/>
  <c r="F432" i="30"/>
  <c r="E414" i="30"/>
  <c r="L414" i="30"/>
  <c r="N414" i="30"/>
  <c r="H414" i="30"/>
  <c r="I414" i="30"/>
  <c r="G414" i="30"/>
  <c r="B414" i="30"/>
  <c r="O414" i="30" s="1" a="1"/>
  <c r="F414" i="30"/>
  <c r="K414" i="30"/>
  <c r="D414" i="30"/>
  <c r="M414" i="30"/>
  <c r="J414" i="30"/>
  <c r="C414" i="30"/>
  <c r="B349" i="30"/>
  <c r="O349" i="30" s="1" a="1"/>
  <c r="H349" i="30"/>
  <c r="L349" i="30"/>
  <c r="I349" i="30"/>
  <c r="C349" i="30"/>
  <c r="E349" i="30"/>
  <c r="K349" i="30"/>
  <c r="M349" i="30"/>
  <c r="D349" i="30"/>
  <c r="G349" i="30"/>
  <c r="N349" i="30"/>
  <c r="F349" i="30"/>
  <c r="J349" i="30"/>
  <c r="D336" i="30"/>
  <c r="C336" i="30"/>
  <c r="I336" i="30"/>
  <c r="H336" i="30"/>
  <c r="M336" i="30"/>
  <c r="J336" i="30"/>
  <c r="G336" i="30"/>
  <c r="K336" i="30"/>
  <c r="L336" i="30"/>
  <c r="B336" i="30"/>
  <c r="O336" i="30" s="1" a="1"/>
  <c r="E336" i="30"/>
  <c r="N336" i="30"/>
  <c r="F336" i="30"/>
  <c r="D320" i="30"/>
  <c r="M320" i="30"/>
  <c r="N320" i="30"/>
  <c r="H320" i="30"/>
  <c r="I320" i="30"/>
  <c r="E320" i="30"/>
  <c r="L320" i="30"/>
  <c r="K320" i="30"/>
  <c r="F320" i="30"/>
  <c r="B320" i="30"/>
  <c r="O320" i="30" s="1" a="1"/>
  <c r="G320" i="30"/>
  <c r="J320" i="30"/>
  <c r="C320" i="30"/>
  <c r="G307" i="30"/>
  <c r="C307" i="30"/>
  <c r="D307" i="30"/>
  <c r="L307" i="30"/>
  <c r="H307" i="30"/>
  <c r="B307" i="30"/>
  <c r="O307" i="30" s="1" a="1"/>
  <c r="M307" i="30"/>
  <c r="K307" i="30"/>
  <c r="F307" i="30"/>
  <c r="I307" i="30"/>
  <c r="J307" i="30"/>
  <c r="N307" i="30"/>
  <c r="E307" i="30"/>
  <c r="C293" i="30"/>
  <c r="E293" i="30"/>
  <c r="N293" i="30"/>
  <c r="I293" i="30"/>
  <c r="D293" i="30"/>
  <c r="L293" i="30"/>
  <c r="M293" i="30"/>
  <c r="H293" i="30"/>
  <c r="G293" i="30"/>
  <c r="F293" i="30"/>
  <c r="K293" i="30"/>
  <c r="B293" i="30"/>
  <c r="O293" i="30" s="1" a="1"/>
  <c r="J293" i="30"/>
  <c r="G279" i="30"/>
  <c r="K279" i="30"/>
  <c r="F279" i="30"/>
  <c r="H279" i="30"/>
  <c r="E279" i="30"/>
  <c r="M279" i="30"/>
  <c r="C279" i="30"/>
  <c r="J279" i="30"/>
  <c r="L279" i="30"/>
  <c r="B279" i="30"/>
  <c r="O279" i="30" s="1" a="1"/>
  <c r="D279" i="30"/>
  <c r="N279" i="30"/>
  <c r="I279" i="30"/>
  <c r="J262" i="30"/>
  <c r="E262" i="30"/>
  <c r="L262" i="30"/>
  <c r="I262" i="30"/>
  <c r="D262" i="30"/>
  <c r="B262" i="30"/>
  <c r="O262" i="30" s="1" a="1"/>
  <c r="N262" i="30"/>
  <c r="G262" i="30"/>
  <c r="H262" i="30"/>
  <c r="F262" i="30"/>
  <c r="M262" i="30"/>
  <c r="K262" i="30"/>
  <c r="C262" i="30"/>
  <c r="D246" i="30"/>
  <c r="M246" i="30"/>
  <c r="C246" i="30"/>
  <c r="H246" i="30"/>
  <c r="N246" i="30"/>
  <c r="J246" i="30"/>
  <c r="G246" i="30"/>
  <c r="E246" i="30"/>
  <c r="K246" i="30"/>
  <c r="B246" i="30"/>
  <c r="O246" i="30" s="1" a="1"/>
  <c r="L246" i="30"/>
  <c r="F246" i="30"/>
  <c r="I246" i="30"/>
  <c r="G212" i="30"/>
  <c r="E212" i="30"/>
  <c r="C212" i="30"/>
  <c r="D212" i="30"/>
  <c r="F212" i="30"/>
  <c r="J212" i="30"/>
  <c r="L212" i="30"/>
  <c r="N212" i="30"/>
  <c r="B212" i="30"/>
  <c r="O212" i="30" s="1" a="1"/>
  <c r="K212" i="30"/>
  <c r="H212" i="30"/>
  <c r="M212" i="30"/>
  <c r="I212" i="30"/>
  <c r="D186" i="30"/>
  <c r="G186" i="30"/>
  <c r="C186" i="30"/>
  <c r="E186" i="30"/>
  <c r="I186" i="30"/>
  <c r="M186" i="30"/>
  <c r="N186" i="30"/>
  <c r="L186" i="30"/>
  <c r="B186" i="30"/>
  <c r="O186" i="30" s="1" a="1"/>
  <c r="F186" i="30"/>
  <c r="K186" i="30"/>
  <c r="H186" i="30"/>
  <c r="J186" i="30"/>
  <c r="N130" i="30"/>
  <c r="K130" i="30"/>
  <c r="C130" i="30"/>
  <c r="H130" i="30"/>
  <c r="M130" i="30"/>
  <c r="F130" i="30"/>
  <c r="I130" i="30"/>
  <c r="G130" i="30"/>
  <c r="E130" i="30"/>
  <c r="B130" i="30"/>
  <c r="O130" i="30" s="1" a="1"/>
  <c r="D130" i="30"/>
  <c r="L130" i="30"/>
  <c r="J130" i="30"/>
  <c r="E115" i="30"/>
  <c r="H115" i="30"/>
  <c r="J115" i="30"/>
  <c r="C115" i="30"/>
  <c r="N115" i="30"/>
  <c r="G115" i="30"/>
  <c r="I115" i="30"/>
  <c r="B115" i="30"/>
  <c r="O115" i="30" s="1" a="1"/>
  <c r="D115" i="30"/>
  <c r="L115" i="30"/>
  <c r="K115" i="30"/>
  <c r="F115" i="30"/>
  <c r="M115" i="30"/>
  <c r="D95" i="30"/>
  <c r="G95" i="30"/>
  <c r="C95" i="30"/>
  <c r="I95" i="30"/>
  <c r="M95" i="30"/>
  <c r="B95" i="30"/>
  <c r="O95" i="30" s="1" a="1"/>
  <c r="L95" i="30"/>
  <c r="K95" i="30"/>
  <c r="E95" i="30"/>
  <c r="N95" i="30"/>
  <c r="H95" i="30"/>
  <c r="F95" i="30"/>
  <c r="J95" i="30"/>
  <c r="C78" i="30"/>
  <c r="D78" i="30"/>
  <c r="K78" i="30"/>
  <c r="M78" i="30"/>
  <c r="F78" i="30"/>
  <c r="I78" i="30"/>
  <c r="E78" i="30"/>
  <c r="G78" i="30"/>
  <c r="B78" i="30"/>
  <c r="O78" i="30" s="1" a="1"/>
  <c r="L78" i="30"/>
  <c r="N78" i="30"/>
  <c r="H78" i="30"/>
  <c r="J78" i="30"/>
  <c r="D71" i="30"/>
  <c r="L71" i="30"/>
  <c r="H71" i="30"/>
  <c r="J71" i="30"/>
  <c r="C71" i="30"/>
  <c r="G71" i="30"/>
  <c r="B71" i="30"/>
  <c r="O71" i="30" s="1" a="1"/>
  <c r="N71" i="30"/>
  <c r="F71" i="30"/>
  <c r="M71" i="30"/>
  <c r="K71" i="30"/>
  <c r="E71" i="30"/>
  <c r="I71" i="30"/>
  <c r="D61" i="30"/>
  <c r="C61" i="30"/>
  <c r="J61" i="30"/>
  <c r="H61" i="30"/>
  <c r="I61" i="30"/>
  <c r="E61" i="30"/>
  <c r="N61" i="30"/>
  <c r="B61" i="30"/>
  <c r="O61" i="30" s="1" a="1"/>
  <c r="L61" i="30"/>
  <c r="K61" i="30"/>
  <c r="M61" i="30"/>
  <c r="G61" i="30"/>
  <c r="F61" i="30"/>
  <c r="H46" i="30"/>
  <c r="I46" i="30"/>
  <c r="E46" i="30"/>
  <c r="G46" i="30"/>
  <c r="K46" i="30"/>
  <c r="J46" i="30"/>
  <c r="F46" i="30"/>
  <c r="C46" i="30"/>
  <c r="D46" i="30"/>
  <c r="M46" i="30"/>
  <c r="L46" i="30"/>
  <c r="B46" i="30"/>
  <c r="O46" i="30" s="1" a="1"/>
  <c r="N46" i="30"/>
  <c r="D39" i="30"/>
  <c r="I39" i="30"/>
  <c r="J39" i="30"/>
  <c r="H39" i="30"/>
  <c r="E39" i="30"/>
  <c r="B39" i="30"/>
  <c r="O39" i="30" s="1" a="1"/>
  <c r="L39" i="30"/>
  <c r="K39" i="30"/>
  <c r="F39" i="30"/>
  <c r="N39" i="30"/>
  <c r="M39" i="30"/>
  <c r="G39" i="30"/>
  <c r="C39" i="30"/>
  <c r="D21" i="30"/>
  <c r="F21" i="30"/>
  <c r="J21" i="30"/>
  <c r="L21" i="30"/>
  <c r="H21" i="30"/>
  <c r="B21" i="30"/>
  <c r="O21" i="30" s="1" a="1"/>
  <c r="N21" i="30"/>
  <c r="E21" i="30"/>
  <c r="G21" i="30"/>
  <c r="K21" i="30"/>
  <c r="M21" i="30"/>
  <c r="I21" i="30"/>
  <c r="C21" i="30"/>
  <c r="M582" i="30"/>
  <c r="G582" i="30"/>
  <c r="C582" i="30"/>
  <c r="J582" i="30"/>
  <c r="E582" i="30"/>
  <c r="H582" i="30"/>
  <c r="N582" i="30"/>
  <c r="L582" i="30"/>
  <c r="B582" i="30"/>
  <c r="O582" i="30" s="1" a="1"/>
  <c r="K582" i="30"/>
  <c r="D582" i="30"/>
  <c r="F582" i="30"/>
  <c r="I582" i="30"/>
  <c r="B549" i="30"/>
  <c r="O549" i="30" s="1" a="1"/>
  <c r="J549" i="30"/>
  <c r="L549" i="30"/>
  <c r="G549" i="30"/>
  <c r="C549" i="30"/>
  <c r="D549" i="30"/>
  <c r="F549" i="30"/>
  <c r="N549" i="30"/>
  <c r="M549" i="30"/>
  <c r="K549" i="30"/>
  <c r="E549" i="30"/>
  <c r="H549" i="30"/>
  <c r="I549" i="30"/>
  <c r="M536" i="30"/>
  <c r="G536" i="30"/>
  <c r="J536" i="30"/>
  <c r="F536" i="30"/>
  <c r="C536" i="30"/>
  <c r="D536" i="30"/>
  <c r="H536" i="30"/>
  <c r="K536" i="30"/>
  <c r="B536" i="30"/>
  <c r="O536" i="30" s="1" a="1"/>
  <c r="L536" i="30"/>
  <c r="N536" i="30"/>
  <c r="E536" i="30"/>
  <c r="I536" i="30"/>
  <c r="D529" i="30"/>
  <c r="B529" i="30"/>
  <c r="O529" i="30" s="1" a="1"/>
  <c r="G529" i="30"/>
  <c r="C529" i="30"/>
  <c r="E529" i="30"/>
  <c r="N529" i="30"/>
  <c r="F529" i="30"/>
  <c r="K529" i="30"/>
  <c r="I529" i="30"/>
  <c r="M529" i="30"/>
  <c r="L529" i="30"/>
  <c r="J529" i="30"/>
  <c r="H529" i="30"/>
  <c r="E482" i="30"/>
  <c r="H482" i="30"/>
  <c r="J482" i="30"/>
  <c r="M482" i="30"/>
  <c r="I482" i="30"/>
  <c r="F482" i="30"/>
  <c r="D482" i="30"/>
  <c r="G482" i="30"/>
  <c r="K482" i="30"/>
  <c r="B482" i="30"/>
  <c r="O482" i="30" s="1" a="1"/>
  <c r="N482" i="30"/>
  <c r="L482" i="30"/>
  <c r="C482" i="30"/>
  <c r="K458" i="30"/>
  <c r="C458" i="30"/>
  <c r="F458" i="30"/>
  <c r="J458" i="30"/>
  <c r="D458" i="30"/>
  <c r="H458" i="30"/>
  <c r="N458" i="30"/>
  <c r="B458" i="30"/>
  <c r="O458" i="30" s="1" a="1"/>
  <c r="L458" i="30"/>
  <c r="M458" i="30"/>
  <c r="E458" i="30"/>
  <c r="G458" i="30"/>
  <c r="I458" i="30"/>
  <c r="K444" i="30"/>
  <c r="C444" i="30"/>
  <c r="F444" i="30"/>
  <c r="M444" i="30"/>
  <c r="I444" i="30"/>
  <c r="D444" i="30"/>
  <c r="G444" i="30"/>
  <c r="L444" i="30"/>
  <c r="B444" i="30"/>
  <c r="O444" i="30" s="1" a="1"/>
  <c r="N444" i="30"/>
  <c r="E444" i="30"/>
  <c r="H444" i="30"/>
  <c r="J444" i="30"/>
  <c r="M419" i="30"/>
  <c r="I419" i="30"/>
  <c r="E419" i="30"/>
  <c r="K419" i="30"/>
  <c r="C419" i="30"/>
  <c r="D419" i="30"/>
  <c r="G419" i="30"/>
  <c r="N419" i="30"/>
  <c r="B419" i="30"/>
  <c r="O419" i="30" s="1" a="1"/>
  <c r="L419" i="30"/>
  <c r="H419" i="30"/>
  <c r="F419" i="30"/>
  <c r="J419" i="30"/>
  <c r="F401" i="30"/>
  <c r="I401" i="30"/>
  <c r="G401" i="30"/>
  <c r="E401" i="30"/>
  <c r="C401" i="30"/>
  <c r="J401" i="30"/>
  <c r="H401" i="30"/>
  <c r="D401" i="30"/>
  <c r="N401" i="30"/>
  <c r="B401" i="30"/>
  <c r="O401" i="30" s="1" a="1"/>
  <c r="K401" i="30"/>
  <c r="L401" i="30"/>
  <c r="M401" i="30"/>
  <c r="C384" i="30"/>
  <c r="D384" i="30"/>
  <c r="N384" i="30"/>
  <c r="H384" i="30"/>
  <c r="I384" i="30"/>
  <c r="E384" i="30"/>
  <c r="L384" i="30"/>
  <c r="K384" i="30"/>
  <c r="M384" i="30"/>
  <c r="F384" i="30"/>
  <c r="B384" i="30"/>
  <c r="O384" i="30" s="1" a="1"/>
  <c r="G384" i="30"/>
  <c r="J384" i="30"/>
  <c r="D364" i="30"/>
  <c r="H364" i="30"/>
  <c r="I364" i="30"/>
  <c r="C364" i="30"/>
  <c r="N364" i="30"/>
  <c r="G364" i="30"/>
  <c r="F364" i="30"/>
  <c r="B364" i="30"/>
  <c r="O364" i="30" s="1" a="1"/>
  <c r="K364" i="30"/>
  <c r="M364" i="30"/>
  <c r="E364" i="30"/>
  <c r="J364" i="30"/>
  <c r="L364" i="30"/>
  <c r="K359" i="30"/>
  <c r="H359" i="30"/>
  <c r="I359" i="30"/>
  <c r="E359" i="30"/>
  <c r="N359" i="30"/>
  <c r="M359" i="30"/>
  <c r="L359" i="30"/>
  <c r="J359" i="30"/>
  <c r="C359" i="30"/>
  <c r="D359" i="30"/>
  <c r="B359" i="30"/>
  <c r="O359" i="30" s="1" a="1"/>
  <c r="G359" i="30"/>
  <c r="F359" i="30"/>
  <c r="N334" i="30"/>
  <c r="C334" i="30"/>
  <c r="D334" i="30"/>
  <c r="M334" i="30"/>
  <c r="J334" i="30"/>
  <c r="G334" i="30"/>
  <c r="L334" i="30"/>
  <c r="B334" i="30"/>
  <c r="O334" i="30" s="1" a="1"/>
  <c r="K334" i="30"/>
  <c r="E334" i="30"/>
  <c r="H334" i="30"/>
  <c r="F334" i="30"/>
  <c r="I334" i="30"/>
  <c r="B321" i="30"/>
  <c r="O321" i="30" s="1" a="1"/>
  <c r="J321" i="30"/>
  <c r="E321" i="30"/>
  <c r="I321" i="30"/>
  <c r="G321" i="30"/>
  <c r="K321" i="30"/>
  <c r="H321" i="30"/>
  <c r="L321" i="30"/>
  <c r="M321" i="30"/>
  <c r="F321" i="30"/>
  <c r="D321" i="30"/>
  <c r="N321" i="30"/>
  <c r="C321" i="30"/>
  <c r="H297" i="30"/>
  <c r="E297" i="30"/>
  <c r="M297" i="30"/>
  <c r="C297" i="30"/>
  <c r="G297" i="30"/>
  <c r="J297" i="30"/>
  <c r="D297" i="30"/>
  <c r="K297" i="30"/>
  <c r="B297" i="30"/>
  <c r="O297" i="30" s="1" a="1"/>
  <c r="N297" i="30"/>
  <c r="L297" i="30"/>
  <c r="F297" i="30"/>
  <c r="I297" i="30"/>
  <c r="E288" i="30"/>
  <c r="F288" i="30"/>
  <c r="I288" i="30"/>
  <c r="K288" i="30"/>
  <c r="C288" i="30"/>
  <c r="D288" i="30"/>
  <c r="G288" i="30"/>
  <c r="L288" i="30"/>
  <c r="B288" i="30"/>
  <c r="O288" i="30" s="1" a="1"/>
  <c r="N288" i="30"/>
  <c r="H288" i="30"/>
  <c r="M288" i="30"/>
  <c r="J288" i="30"/>
  <c r="D260" i="30"/>
  <c r="I260" i="30"/>
  <c r="H260" i="30"/>
  <c r="N260" i="30"/>
  <c r="F260" i="30"/>
  <c r="J260" i="30"/>
  <c r="E260" i="30"/>
  <c r="K260" i="30"/>
  <c r="L260" i="30"/>
  <c r="B260" i="30"/>
  <c r="O260" i="30" s="1" a="1"/>
  <c r="G260" i="30"/>
  <c r="M260" i="30"/>
  <c r="C260" i="30"/>
  <c r="B217" i="30"/>
  <c r="O217" i="30" s="1" a="1"/>
  <c r="D217" i="30"/>
  <c r="H217" i="30"/>
  <c r="C217" i="30"/>
  <c r="N217" i="30"/>
  <c r="E217" i="30"/>
  <c r="M217" i="30"/>
  <c r="K217" i="30"/>
  <c r="F217" i="30"/>
  <c r="J217" i="30"/>
  <c r="I217" i="30"/>
  <c r="L217" i="30"/>
  <c r="G217" i="30"/>
  <c r="B206" i="30"/>
  <c r="O206" i="30" s="1" a="1"/>
  <c r="C206" i="30"/>
  <c r="I206" i="30"/>
  <c r="D206" i="30"/>
  <c r="L206" i="30"/>
  <c r="J206" i="30"/>
  <c r="M206" i="30"/>
  <c r="G206" i="30"/>
  <c r="H206" i="30"/>
  <c r="K206" i="30"/>
  <c r="E206" i="30"/>
  <c r="N206" i="30"/>
  <c r="F206" i="30"/>
  <c r="G174" i="30"/>
  <c r="M174" i="30"/>
  <c r="C174" i="30"/>
  <c r="H174" i="30"/>
  <c r="E174" i="30"/>
  <c r="J174" i="30"/>
  <c r="D174" i="30"/>
  <c r="N174" i="30"/>
  <c r="B174" i="30"/>
  <c r="O174" i="30" s="1" a="1"/>
  <c r="L174" i="30"/>
  <c r="K174" i="30"/>
  <c r="F174" i="30"/>
  <c r="I174" i="30"/>
  <c r="D154" i="30"/>
  <c r="L154" i="30"/>
  <c r="C154" i="30"/>
  <c r="I154" i="30"/>
  <c r="M154" i="30"/>
  <c r="J154" i="30"/>
  <c r="B154" i="30"/>
  <c r="O154" i="30" s="1" a="1"/>
  <c r="H154" i="30"/>
  <c r="G154" i="30"/>
  <c r="K154" i="30"/>
  <c r="E154" i="30"/>
  <c r="N154" i="30"/>
  <c r="F154" i="30"/>
  <c r="H137" i="30"/>
  <c r="K137" i="30"/>
  <c r="I137" i="30"/>
  <c r="G137" i="30"/>
  <c r="E137" i="30"/>
  <c r="M137" i="30"/>
  <c r="F137" i="30"/>
  <c r="N137" i="30"/>
  <c r="B137" i="30"/>
  <c r="O137" i="30" s="1" a="1"/>
  <c r="L137" i="30"/>
  <c r="D137" i="30"/>
  <c r="C137" i="30"/>
  <c r="J137" i="30"/>
  <c r="J123" i="30"/>
  <c r="D123" i="30"/>
  <c r="N123" i="30"/>
  <c r="C123" i="30"/>
  <c r="E123" i="30"/>
  <c r="K123" i="30"/>
  <c r="H123" i="30"/>
  <c r="G123" i="30"/>
  <c r="M123" i="30"/>
  <c r="F123" i="30"/>
  <c r="L123" i="30"/>
  <c r="B123" i="30"/>
  <c r="O123" i="30" s="1" a="1"/>
  <c r="I123" i="30"/>
  <c r="J111" i="30"/>
  <c r="D111" i="30"/>
  <c r="C111" i="30"/>
  <c r="G111" i="30"/>
  <c r="H111" i="30"/>
  <c r="B111" i="30"/>
  <c r="O111" i="30" s="1" a="1"/>
  <c r="N111" i="30"/>
  <c r="L111" i="30"/>
  <c r="K111" i="30"/>
  <c r="F111" i="30"/>
  <c r="M111" i="30"/>
  <c r="E111" i="30"/>
  <c r="I111" i="30"/>
  <c r="I104" i="30"/>
  <c r="D104" i="30"/>
  <c r="G104" i="30"/>
  <c r="J104" i="30"/>
  <c r="C104" i="30"/>
  <c r="N104" i="30"/>
  <c r="E104" i="30"/>
  <c r="L104" i="30"/>
  <c r="K104" i="30"/>
  <c r="F104" i="30"/>
  <c r="B104" i="30"/>
  <c r="O104" i="30" s="1" a="1"/>
  <c r="M104" i="30"/>
  <c r="H104" i="30"/>
  <c r="E600" i="30"/>
  <c r="H600" i="30"/>
  <c r="I600" i="30"/>
  <c r="M600" i="30"/>
  <c r="J600" i="30"/>
  <c r="D600" i="30"/>
  <c r="K600" i="30"/>
  <c r="B600" i="30"/>
  <c r="O600" i="30" s="1" a="1"/>
  <c r="L600" i="30"/>
  <c r="N600" i="30"/>
  <c r="G600" i="30"/>
  <c r="F600" i="30"/>
  <c r="C600" i="30"/>
  <c r="E588" i="30"/>
  <c r="H588" i="30"/>
  <c r="F588" i="30"/>
  <c r="J588" i="30"/>
  <c r="K588" i="30"/>
  <c r="N588" i="30"/>
  <c r="L588" i="30"/>
  <c r="B588" i="30"/>
  <c r="O588" i="30" s="1" a="1"/>
  <c r="D588" i="30"/>
  <c r="G588" i="30"/>
  <c r="M588" i="30"/>
  <c r="I588" i="30"/>
  <c r="C588" i="30"/>
  <c r="E571" i="30"/>
  <c r="G571" i="30"/>
  <c r="C571" i="30"/>
  <c r="I571" i="30"/>
  <c r="D571" i="30"/>
  <c r="N571" i="30"/>
  <c r="L571" i="30"/>
  <c r="B571" i="30"/>
  <c r="O571" i="30" s="1" a="1"/>
  <c r="K571" i="30"/>
  <c r="M571" i="30"/>
  <c r="H571" i="30"/>
  <c r="F571" i="30"/>
  <c r="J571" i="30"/>
  <c r="G535" i="30"/>
  <c r="F535" i="30"/>
  <c r="D535" i="30"/>
  <c r="M535" i="30"/>
  <c r="J535" i="30"/>
  <c r="C535" i="30"/>
  <c r="L535" i="30"/>
  <c r="N535" i="30"/>
  <c r="B535" i="30"/>
  <c r="O535" i="30" s="1" a="1"/>
  <c r="E535" i="30"/>
  <c r="H535" i="30"/>
  <c r="K535" i="30"/>
  <c r="I535" i="30"/>
  <c r="G504" i="30"/>
  <c r="I504" i="30"/>
  <c r="D504" i="30"/>
  <c r="M504" i="30"/>
  <c r="J504" i="30"/>
  <c r="H504" i="30"/>
  <c r="K504" i="30"/>
  <c r="L504" i="30"/>
  <c r="N504" i="30"/>
  <c r="B504" i="30"/>
  <c r="O504" i="30" s="1" a="1"/>
  <c r="E504" i="30"/>
  <c r="F504" i="30"/>
  <c r="C504" i="30"/>
  <c r="N483" i="30"/>
  <c r="K483" i="30"/>
  <c r="I483" i="30"/>
  <c r="E483" i="30"/>
  <c r="B483" i="30"/>
  <c r="O483" i="30" s="1" a="1"/>
  <c r="H483" i="30"/>
  <c r="C483" i="30"/>
  <c r="F483" i="30"/>
  <c r="M483" i="30"/>
  <c r="L483" i="30"/>
  <c r="D483" i="30"/>
  <c r="G483" i="30"/>
  <c r="J483" i="30"/>
  <c r="H460" i="30"/>
  <c r="M460" i="30"/>
  <c r="I460" i="30"/>
  <c r="D460" i="30"/>
  <c r="G460" i="30"/>
  <c r="J460" i="30"/>
  <c r="E460" i="30"/>
  <c r="B460" i="30"/>
  <c r="O460" i="30" s="1" a="1"/>
  <c r="L460" i="30"/>
  <c r="N460" i="30"/>
  <c r="K460" i="30"/>
  <c r="F460" i="30"/>
  <c r="C460" i="30"/>
  <c r="E434" i="30"/>
  <c r="K434" i="30"/>
  <c r="I434" i="30"/>
  <c r="C434" i="30"/>
  <c r="M434" i="30"/>
  <c r="L434" i="30"/>
  <c r="D434" i="30"/>
  <c r="B434" i="30"/>
  <c r="O434" i="30" s="1" a="1"/>
  <c r="H434" i="30"/>
  <c r="N434" i="30"/>
  <c r="G434" i="30"/>
  <c r="F434" i="30"/>
  <c r="J434" i="30"/>
  <c r="E416" i="30"/>
  <c r="J416" i="30"/>
  <c r="I416" i="30"/>
  <c r="G416" i="30"/>
  <c r="C416" i="30"/>
  <c r="B416" i="30"/>
  <c r="O416" i="30" s="1" a="1"/>
  <c r="M416" i="30"/>
  <c r="K416" i="30"/>
  <c r="L416" i="30"/>
  <c r="F416" i="30"/>
  <c r="D416" i="30"/>
  <c r="N416" i="30"/>
  <c r="H416" i="30"/>
  <c r="E402" i="30"/>
  <c r="M402" i="30"/>
  <c r="G402" i="30"/>
  <c r="J402" i="30"/>
  <c r="L402" i="30"/>
  <c r="B402" i="30"/>
  <c r="O402" i="30" s="1" a="1"/>
  <c r="I402" i="30"/>
  <c r="D402" i="30"/>
  <c r="N402" i="30"/>
  <c r="F402" i="30"/>
  <c r="K402" i="30"/>
  <c r="H402" i="30"/>
  <c r="C402" i="30"/>
  <c r="H382" i="30"/>
  <c r="I382" i="30"/>
  <c r="G382" i="30"/>
  <c r="D382" i="30"/>
  <c r="M382" i="30"/>
  <c r="J382" i="30"/>
  <c r="E382" i="30"/>
  <c r="L382" i="30"/>
  <c r="B382" i="30"/>
  <c r="O382" i="30" s="1" a="1"/>
  <c r="N382" i="30"/>
  <c r="K382" i="30"/>
  <c r="F382" i="30"/>
  <c r="C382" i="30"/>
  <c r="K333" i="30"/>
  <c r="C333" i="30"/>
  <c r="D333" i="30"/>
  <c r="J333" i="30"/>
  <c r="H333" i="30"/>
  <c r="N333" i="30"/>
  <c r="L333" i="30"/>
  <c r="B333" i="30"/>
  <c r="O333" i="30" s="1" a="1"/>
  <c r="G333" i="30"/>
  <c r="E333" i="30"/>
  <c r="M333" i="30"/>
  <c r="F333" i="30"/>
  <c r="I333" i="30"/>
  <c r="M326" i="30"/>
  <c r="G326" i="30"/>
  <c r="D326" i="30"/>
  <c r="B326" i="30"/>
  <c r="O326" i="30" s="1" a="1"/>
  <c r="H326" i="30"/>
  <c r="C326" i="30"/>
  <c r="E326" i="30"/>
  <c r="L326" i="30"/>
  <c r="K326" i="30"/>
  <c r="F326" i="30"/>
  <c r="I326" i="30"/>
  <c r="J326" i="30"/>
  <c r="N326" i="30"/>
  <c r="B318" i="30"/>
  <c r="O318" i="30" s="1" a="1"/>
  <c r="K318" i="30"/>
  <c r="F318" i="30"/>
  <c r="J318" i="30"/>
  <c r="D318" i="30"/>
  <c r="H318" i="30"/>
  <c r="N318" i="30"/>
  <c r="M318" i="30"/>
  <c r="L318" i="30"/>
  <c r="E318" i="30"/>
  <c r="G318" i="30"/>
  <c r="C318" i="30"/>
  <c r="I318" i="30"/>
  <c r="E257" i="30"/>
  <c r="M257" i="30"/>
  <c r="N257" i="30"/>
  <c r="F257" i="30"/>
  <c r="I257" i="30"/>
  <c r="H257" i="30"/>
  <c r="B257" i="30"/>
  <c r="O257" i="30" s="1" a="1"/>
  <c r="L257" i="30"/>
  <c r="G257" i="30"/>
  <c r="D257" i="30"/>
  <c r="K257" i="30"/>
  <c r="C257" i="30"/>
  <c r="J257" i="30"/>
  <c r="E239" i="30"/>
  <c r="G239" i="30"/>
  <c r="L239" i="30"/>
  <c r="F239" i="30"/>
  <c r="J239" i="30"/>
  <c r="M239" i="30"/>
  <c r="K239" i="30"/>
  <c r="D239" i="30"/>
  <c r="H239" i="30"/>
  <c r="N239" i="30"/>
  <c r="B239" i="30"/>
  <c r="O239" i="30" s="1" a="1"/>
  <c r="C239" i="30"/>
  <c r="I239" i="30"/>
  <c r="H203" i="30"/>
  <c r="E203" i="30"/>
  <c r="C203" i="30"/>
  <c r="G203" i="30"/>
  <c r="I203" i="30"/>
  <c r="B203" i="30"/>
  <c r="O203" i="30" s="1" a="1"/>
  <c r="N203" i="30"/>
  <c r="K203" i="30"/>
  <c r="M203" i="30"/>
  <c r="L203" i="30"/>
  <c r="D203" i="30"/>
  <c r="F203" i="30"/>
  <c r="J203" i="30"/>
  <c r="E191" i="30"/>
  <c r="J191" i="30"/>
  <c r="F191" i="30"/>
  <c r="I191" i="30"/>
  <c r="H191" i="30"/>
  <c r="D191" i="30"/>
  <c r="N191" i="30"/>
  <c r="B191" i="30"/>
  <c r="O191" i="30" s="1" a="1"/>
  <c r="K191" i="30"/>
  <c r="L191" i="30"/>
  <c r="M191" i="30"/>
  <c r="G191" i="30"/>
  <c r="C191" i="30"/>
  <c r="K172" i="30"/>
  <c r="C172" i="30"/>
  <c r="J172" i="30"/>
  <c r="D172" i="30"/>
  <c r="N172" i="30"/>
  <c r="M172" i="30"/>
  <c r="L172" i="30"/>
  <c r="E172" i="30"/>
  <c r="G172" i="30"/>
  <c r="H172" i="30"/>
  <c r="B172" i="30"/>
  <c r="O172" i="30" s="1" a="1"/>
  <c r="F172" i="30"/>
  <c r="I172" i="30"/>
  <c r="E150" i="30"/>
  <c r="K150" i="30"/>
  <c r="C150" i="30"/>
  <c r="I150" i="30"/>
  <c r="N150" i="30"/>
  <c r="M150" i="30"/>
  <c r="H150" i="30"/>
  <c r="J150" i="30"/>
  <c r="L150" i="30"/>
  <c r="D150" i="30"/>
  <c r="B150" i="30"/>
  <c r="O150" i="30" s="1" a="1"/>
  <c r="G150" i="30"/>
  <c r="F150" i="30"/>
  <c r="K121" i="30"/>
  <c r="J121" i="30"/>
  <c r="C121" i="30"/>
  <c r="D121" i="30"/>
  <c r="H121" i="30"/>
  <c r="M121" i="30"/>
  <c r="F121" i="30"/>
  <c r="G121" i="30"/>
  <c r="L121" i="30"/>
  <c r="B121" i="30"/>
  <c r="O121" i="30" s="1" a="1"/>
  <c r="N121" i="30"/>
  <c r="E121" i="30"/>
  <c r="I121" i="30"/>
  <c r="D101" i="30"/>
  <c r="G101" i="30"/>
  <c r="C101" i="30"/>
  <c r="H101" i="30"/>
  <c r="N101" i="30"/>
  <c r="I101" i="30"/>
  <c r="K101" i="30"/>
  <c r="L101" i="30"/>
  <c r="M101" i="30"/>
  <c r="E101" i="30"/>
  <c r="B101" i="30"/>
  <c r="O101" i="30" s="1" a="1"/>
  <c r="F101" i="30"/>
  <c r="J101" i="30"/>
  <c r="D76" i="30"/>
  <c r="H76" i="30"/>
  <c r="E76" i="30"/>
  <c r="J76" i="30"/>
  <c r="C76" i="30"/>
  <c r="G76" i="30"/>
  <c r="N76" i="30"/>
  <c r="B76" i="30"/>
  <c r="O76" i="30" s="1" a="1"/>
  <c r="K76" i="30"/>
  <c r="L76" i="30"/>
  <c r="M76" i="30"/>
  <c r="F76" i="30"/>
  <c r="I76" i="30"/>
  <c r="M44" i="30"/>
  <c r="H44" i="30"/>
  <c r="K44" i="30"/>
  <c r="G44" i="30"/>
  <c r="N44" i="30"/>
  <c r="I44" i="30"/>
  <c r="E44" i="30"/>
  <c r="B44" i="30"/>
  <c r="O44" i="30" s="1" a="1"/>
  <c r="D44" i="30"/>
  <c r="L44" i="30"/>
  <c r="C44" i="30"/>
  <c r="F44" i="30"/>
  <c r="J44" i="30"/>
  <c r="D24" i="30"/>
  <c r="F24" i="30"/>
  <c r="K24" i="30"/>
  <c r="H24" i="30"/>
  <c r="C24" i="30"/>
  <c r="J24" i="30"/>
  <c r="G24" i="30"/>
  <c r="N24" i="30"/>
  <c r="B24" i="30"/>
  <c r="O24" i="30" s="1" a="1"/>
  <c r="L24" i="30"/>
  <c r="M24" i="30"/>
  <c r="E24" i="30"/>
  <c r="I24" i="30"/>
  <c r="G264" i="30"/>
  <c r="E264" i="30"/>
  <c r="N264" i="30"/>
  <c r="F264" i="30"/>
  <c r="M264" i="30"/>
  <c r="I264" i="30"/>
  <c r="D264" i="30"/>
  <c r="B264" i="30"/>
  <c r="O264" i="30" s="1" a="1"/>
  <c r="L264" i="30"/>
  <c r="H264" i="30"/>
  <c r="K264" i="30"/>
  <c r="C264" i="30"/>
  <c r="J264" i="30"/>
  <c r="I553" i="13" l="1" a="1"/>
  <c r="J553" i="13" s="1"/>
  <c r="M554" i="13" a="1"/>
  <c r="I556" i="13" a="1"/>
  <c r="J556" i="13" s="1"/>
  <c r="Q57" i="13"/>
  <c r="E47" i="3" s="1"/>
  <c r="Q191" i="13"/>
  <c r="E170" i="3" s="1"/>
  <c r="Q160" i="13"/>
  <c r="E139" i="3" s="1"/>
  <c r="Q142" i="13"/>
  <c r="E121" i="3" s="1"/>
  <c r="Q140" i="13"/>
  <c r="E119" i="3" s="1"/>
  <c r="Q141" i="13"/>
  <c r="E120" i="3" s="1"/>
  <c r="Q137" i="13"/>
  <c r="E116" i="3" s="1"/>
  <c r="Q246" i="13"/>
  <c r="E225" i="3" s="1"/>
  <c r="Q77" i="13"/>
  <c r="Q93" i="13"/>
  <c r="Q201" i="13"/>
  <c r="Q35" i="13"/>
  <c r="Q202" i="13"/>
  <c r="Q32" i="13"/>
  <c r="M555" i="13" a="1"/>
  <c r="I555" i="13" a="1"/>
  <c r="J555" i="13" s="1"/>
  <c r="Z46" i="13"/>
  <c r="I554" i="13" a="1"/>
  <c r="J554" i="13" s="1"/>
  <c r="C46" i="13"/>
  <c r="Q46" i="13" s="1"/>
  <c r="M556" i="13" a="1"/>
  <c r="M553" i="13" a="1"/>
  <c r="L359" i="13"/>
  <c r="C359" i="13" s="1"/>
  <c r="P619" i="13" s="1"/>
  <c r="Q619" i="13" s="1"/>
  <c r="E561" i="3" s="1"/>
  <c r="K359" i="13"/>
  <c r="L271" i="13"/>
  <c r="C271" i="13" s="1"/>
  <c r="K271" i="13"/>
  <c r="P9" i="13"/>
  <c r="Q9" i="13" s="1"/>
  <c r="E7" i="3" s="1"/>
  <c r="P118" i="13"/>
  <c r="Q118" i="13" s="1"/>
  <c r="Q58" i="13"/>
  <c r="E48" i="3" s="1"/>
  <c r="P98" i="13"/>
  <c r="Q98" i="13" s="1"/>
  <c r="Q101" i="13"/>
  <c r="E85" i="3" s="1"/>
  <c r="I1425" i="25"/>
  <c r="Q178" i="13"/>
  <c r="E157" i="3" s="1"/>
  <c r="I1424" i="25"/>
  <c r="I1423" i="25"/>
  <c r="P179" i="13"/>
  <c r="P185" i="13"/>
  <c r="I1446" i="25"/>
  <c r="I1448" i="25"/>
  <c r="Q184" i="13"/>
  <c r="E163" i="3" s="1"/>
  <c r="I1445" i="25"/>
  <c r="I1447" i="25"/>
  <c r="I1449" i="25"/>
  <c r="I1480" i="25"/>
  <c r="I1478" i="25"/>
  <c r="I1479" i="25"/>
  <c r="Q192" i="13"/>
  <c r="E171" i="3" s="1"/>
  <c r="P223" i="13"/>
  <c r="Q223" i="13" s="1"/>
  <c r="E202" i="3" s="1"/>
  <c r="Q143" i="13"/>
  <c r="E122" i="3" s="1"/>
  <c r="P182" i="13"/>
  <c r="Q182" i="13" s="1"/>
  <c r="E161" i="3" s="1"/>
  <c r="I1233" i="25"/>
  <c r="P172" i="13"/>
  <c r="I1234" i="25"/>
  <c r="I1231" i="25"/>
  <c r="I1230" i="25"/>
  <c r="P177" i="13"/>
  <c r="I1232" i="25"/>
  <c r="I1229" i="25"/>
  <c r="P156" i="13"/>
  <c r="Q156" i="13" s="1"/>
  <c r="E135" i="3" s="1"/>
  <c r="Q132" i="13"/>
  <c r="P225" i="13"/>
  <c r="P233" i="13"/>
  <c r="Q233" i="13" s="1"/>
  <c r="E212" i="3" s="1"/>
  <c r="P230" i="13"/>
  <c r="K291" i="13"/>
  <c r="L291" i="13"/>
  <c r="C291" i="13" s="1"/>
  <c r="P587" i="13" s="1"/>
  <c r="P257" i="13"/>
  <c r="P358" i="13"/>
  <c r="Q358" i="13" s="1"/>
  <c r="E337" i="3" s="1"/>
  <c r="Q353" i="13"/>
  <c r="P369" i="13"/>
  <c r="Q369" i="13" s="1"/>
  <c r="E348" i="3" s="1"/>
  <c r="P258" i="13"/>
  <c r="Q258" i="13" s="1"/>
  <c r="E237" i="3" s="1"/>
  <c r="Q257" i="13"/>
  <c r="E236" i="3" s="1"/>
  <c r="P275" i="13"/>
  <c r="Q275" i="13" s="1"/>
  <c r="E254" i="3" s="1"/>
  <c r="Q274" i="13"/>
  <c r="E253" i="3" s="1"/>
  <c r="P263" i="13"/>
  <c r="Q263" i="13" s="1"/>
  <c r="E242" i="3" s="1"/>
  <c r="P492" i="13"/>
  <c r="P615" i="13"/>
  <c r="P481" i="13"/>
  <c r="Q481" i="13" s="1"/>
  <c r="E429" i="3" s="1"/>
  <c r="P355" i="13"/>
  <c r="Q355" i="13" s="1"/>
  <c r="E334" i="3" s="1"/>
  <c r="P506" i="13"/>
  <c r="Q506" i="13" s="1"/>
  <c r="E408" i="3" s="1"/>
  <c r="P370" i="13"/>
  <c r="Q370" i="13" s="1"/>
  <c r="E349" i="3" s="1"/>
  <c r="P65" i="13"/>
  <c r="Q65" i="13" s="1"/>
  <c r="E54" i="3" s="1"/>
  <c r="P111" i="13"/>
  <c r="Q111" i="13" s="1"/>
  <c r="E93" i="3" s="1"/>
  <c r="P151" i="13"/>
  <c r="Q151" i="13" s="1"/>
  <c r="E130" i="3" s="1"/>
  <c r="P149" i="13"/>
  <c r="Q149" i="13" s="1"/>
  <c r="E128" i="3" s="1"/>
  <c r="P162" i="13"/>
  <c r="Q162" i="13" s="1"/>
  <c r="E141" i="3" s="1"/>
  <c r="P64" i="13"/>
  <c r="Q64" i="13" s="1"/>
  <c r="E53" i="3" s="1"/>
  <c r="P113" i="13"/>
  <c r="Q113" i="13" s="1"/>
  <c r="E95" i="3" s="1"/>
  <c r="P147" i="13"/>
  <c r="Q147" i="13" s="1"/>
  <c r="E126" i="3" s="1"/>
  <c r="P14" i="30"/>
  <c r="P209" i="30"/>
  <c r="P558" i="30"/>
  <c r="P8" i="13"/>
  <c r="Q8" i="13" s="1"/>
  <c r="E6" i="3" s="1"/>
  <c r="P117" i="13"/>
  <c r="Q117" i="13" s="1"/>
  <c r="E98" i="3" s="1"/>
  <c r="I1186" i="25"/>
  <c r="I1187" i="25"/>
  <c r="I1188" i="25"/>
  <c r="I1189" i="25"/>
  <c r="I1281" i="25"/>
  <c r="I1282" i="25"/>
  <c r="I1277" i="25"/>
  <c r="I1278" i="25"/>
  <c r="I1279" i="25"/>
  <c r="I1280" i="25"/>
  <c r="P209" i="13"/>
  <c r="Q209" i="13" s="1"/>
  <c r="E188" i="3" s="1"/>
  <c r="P214" i="13"/>
  <c r="Q214" i="13" s="1"/>
  <c r="E193" i="3" s="1"/>
  <c r="I1184" i="25"/>
  <c r="I1185" i="25"/>
  <c r="I1211" i="25"/>
  <c r="I1207" i="25"/>
  <c r="P152" i="13"/>
  <c r="Q152" i="13" s="1"/>
  <c r="E131" i="3" s="1"/>
  <c r="I1210" i="25"/>
  <c r="I1209" i="25"/>
  <c r="I1206" i="25"/>
  <c r="I1208" i="25"/>
  <c r="P278" i="13"/>
  <c r="Q278" i="13" s="1"/>
  <c r="E257" i="3" s="1"/>
  <c r="E111" i="3"/>
  <c r="I1212" i="25"/>
  <c r="I1213" i="25"/>
  <c r="I1214" i="25"/>
  <c r="I1215" i="25"/>
  <c r="I1216" i="25"/>
  <c r="K614" i="13"/>
  <c r="L614" i="13"/>
  <c r="C614" i="13" s="1"/>
  <c r="K615" i="13"/>
  <c r="L615" i="13"/>
  <c r="C615" i="13" s="1"/>
  <c r="Q615" i="13" s="1"/>
  <c r="E416" i="3" s="1"/>
  <c r="K62" i="13"/>
  <c r="L62" i="13"/>
  <c r="C62" i="13" s="1"/>
  <c r="L492" i="13"/>
  <c r="C492" i="13" s="1"/>
  <c r="Q492" i="13" s="1"/>
  <c r="E441" i="3" s="1"/>
  <c r="K492" i="13"/>
  <c r="I1787" i="25"/>
  <c r="I1786" i="25"/>
  <c r="I1788" i="25"/>
  <c r="I1785" i="25"/>
  <c r="I1784" i="25"/>
  <c r="I1783" i="25"/>
  <c r="I1782" i="25"/>
  <c r="P74" i="13"/>
  <c r="Q74" i="13" s="1"/>
  <c r="I384" i="25"/>
  <c r="I383" i="25"/>
  <c r="I382" i="25"/>
  <c r="I381" i="25"/>
  <c r="I380" i="25"/>
  <c r="I379" i="25"/>
  <c r="E64" i="3"/>
  <c r="I460" i="25"/>
  <c r="I459" i="25"/>
  <c r="I458" i="25"/>
  <c r="I457" i="25"/>
  <c r="I456" i="25"/>
  <c r="E79" i="3"/>
  <c r="I1558" i="25"/>
  <c r="I1557" i="25"/>
  <c r="I1556" i="25"/>
  <c r="I1555" i="25"/>
  <c r="I1554" i="25"/>
  <c r="I1553" i="25"/>
  <c r="E180" i="3"/>
  <c r="N616" i="13"/>
  <c r="P616" i="13"/>
  <c r="K616" i="13"/>
  <c r="L616" i="13"/>
  <c r="C616" i="13" s="1"/>
  <c r="Q616" i="13" s="1"/>
  <c r="L343" i="13"/>
  <c r="C343" i="13" s="1"/>
  <c r="K343" i="13"/>
  <c r="L286" i="13"/>
  <c r="C286" i="13" s="1"/>
  <c r="K286" i="13"/>
  <c r="K361" i="13"/>
  <c r="L361" i="13"/>
  <c r="C361" i="13" s="1"/>
  <c r="I182" i="25"/>
  <c r="I180" i="25"/>
  <c r="I178" i="25"/>
  <c r="I176" i="25"/>
  <c r="I181" i="25"/>
  <c r="I179" i="25"/>
  <c r="I177" i="25"/>
  <c r="E29" i="3"/>
  <c r="P36" i="13"/>
  <c r="Q36" i="13" s="1"/>
  <c r="E30" i="3" s="1"/>
  <c r="P97" i="13"/>
  <c r="Q97" i="13" s="1"/>
  <c r="E82" i="3" s="1"/>
  <c r="I468" i="25"/>
  <c r="I467" i="25"/>
  <c r="I466" i="25"/>
  <c r="I465" i="25"/>
  <c r="L47" i="13"/>
  <c r="C47" i="13" s="1"/>
  <c r="K47" i="13"/>
  <c r="K43" i="13"/>
  <c r="L43" i="13"/>
  <c r="C43" i="13" s="1"/>
  <c r="K367" i="13"/>
  <c r="L367" i="13"/>
  <c r="C367" i="13" s="1"/>
  <c r="K255" i="13"/>
  <c r="L255" i="13"/>
  <c r="C255" i="13" s="1"/>
  <c r="K335" i="13"/>
  <c r="L335" i="13"/>
  <c r="C335" i="13" s="1"/>
  <c r="I1916" i="25" s="1"/>
  <c r="L324" i="13"/>
  <c r="C324" i="13" s="1"/>
  <c r="K324" i="13"/>
  <c r="K305" i="13"/>
  <c r="L305" i="13"/>
  <c r="C305" i="13" s="1"/>
  <c r="P294" i="13" s="1"/>
  <c r="Q294" i="13" s="1"/>
  <c r="K268" i="13"/>
  <c r="L268" i="13"/>
  <c r="C268" i="13" s="1"/>
  <c r="P269" i="13" s="1"/>
  <c r="K270" i="13"/>
  <c r="L270" i="13"/>
  <c r="C270" i="13" s="1"/>
  <c r="P271" i="13" s="1"/>
  <c r="Q271" i="13" s="1"/>
  <c r="E250" i="3" s="1"/>
  <c r="K317" i="13"/>
  <c r="L317" i="13"/>
  <c r="C317" i="13" s="1"/>
  <c r="P510" i="13"/>
  <c r="Q510" i="13" s="1"/>
  <c r="E458" i="3" s="1"/>
  <c r="P293" i="13"/>
  <c r="Q293" i="13" s="1"/>
  <c r="E272" i="3" s="1"/>
  <c r="P454" i="13"/>
  <c r="Q454" i="13" s="1"/>
  <c r="E399" i="3" s="1"/>
  <c r="I1765" i="25"/>
  <c r="I1764" i="25"/>
  <c r="I1763" i="25"/>
  <c r="I1766" i="25"/>
  <c r="I1762" i="25"/>
  <c r="P315" i="13"/>
  <c r="Q315" i="13" s="1"/>
  <c r="E294" i="3" s="1"/>
  <c r="I1906" i="25"/>
  <c r="I1905" i="25"/>
  <c r="I1904" i="25"/>
  <c r="P503" i="13"/>
  <c r="Q503" i="13" s="1"/>
  <c r="E452" i="3" s="1"/>
  <c r="P94" i="13"/>
  <c r="I472" i="25"/>
  <c r="I471" i="25"/>
  <c r="I470" i="25"/>
  <c r="I469" i="25"/>
  <c r="I1566" i="25"/>
  <c r="I1564" i="25"/>
  <c r="I1562" i="25"/>
  <c r="I1563" i="25"/>
  <c r="I1559" i="25"/>
  <c r="I1561" i="25"/>
  <c r="I1565" i="25"/>
  <c r="I1560" i="25"/>
  <c r="E181" i="3"/>
  <c r="P203" i="13"/>
  <c r="Q203" i="13" s="1"/>
  <c r="E182" i="3" s="1"/>
  <c r="I1826" i="25"/>
  <c r="I1825" i="25"/>
  <c r="P334" i="13"/>
  <c r="Q334" i="13" s="1"/>
  <c r="E313" i="3" s="1"/>
  <c r="P336" i="13"/>
  <c r="Q336" i="13" s="1"/>
  <c r="E315" i="3" s="1"/>
  <c r="I450" i="25"/>
  <c r="I449" i="25"/>
  <c r="I448" i="25"/>
  <c r="I447" i="25"/>
  <c r="I446" i="25"/>
  <c r="P92" i="13"/>
  <c r="Q92" i="13" s="1"/>
  <c r="E78" i="3" s="1"/>
  <c r="P490" i="13"/>
  <c r="Q490" i="13" s="1"/>
  <c r="E439" i="3" s="1"/>
  <c r="P345" i="13"/>
  <c r="Q345" i="13" s="1"/>
  <c r="E324" i="3" s="1"/>
  <c r="K339" i="13"/>
  <c r="L339" i="13"/>
  <c r="C339" i="13" s="1"/>
  <c r="K84" i="13"/>
  <c r="L84" i="13"/>
  <c r="C84" i="13" s="1"/>
  <c r="K126" i="13"/>
  <c r="L126" i="13"/>
  <c r="C126" i="13" s="1"/>
  <c r="Q126" i="13" s="1"/>
  <c r="P418" i="13"/>
  <c r="Q418" i="13" s="1"/>
  <c r="E363" i="3" s="1"/>
  <c r="P456" i="13"/>
  <c r="Q456" i="13" s="1"/>
  <c r="E401" i="3" s="1"/>
  <c r="P292" i="13"/>
  <c r="Q292" i="13" s="1"/>
  <c r="E271" i="3" s="1"/>
  <c r="I430" i="25"/>
  <c r="I432" i="25"/>
  <c r="I431" i="25"/>
  <c r="P88" i="13"/>
  <c r="Q88" i="13" s="1"/>
  <c r="E74" i="3" s="1"/>
  <c r="I429" i="25"/>
  <c r="E73" i="3"/>
  <c r="I404" i="25"/>
  <c r="I403" i="25"/>
  <c r="I402" i="25"/>
  <c r="I401" i="25"/>
  <c r="I400" i="25"/>
  <c r="P96" i="13"/>
  <c r="Q96" i="13" s="1"/>
  <c r="E81" i="3" s="1"/>
  <c r="I464" i="25"/>
  <c r="I461" i="25"/>
  <c r="I462" i="25"/>
  <c r="I463" i="25"/>
  <c r="E80" i="3"/>
  <c r="P480" i="13"/>
  <c r="Q480" i="13" s="1"/>
  <c r="E428" i="3" s="1"/>
  <c r="I1896" i="25"/>
  <c r="P320" i="13"/>
  <c r="Q320" i="13" s="1"/>
  <c r="E299" i="3" s="1"/>
  <c r="P322" i="13"/>
  <c r="Q322" i="13" s="1"/>
  <c r="E301" i="3" s="1"/>
  <c r="E298" i="3"/>
  <c r="I436" i="25"/>
  <c r="I435" i="25"/>
  <c r="I434" i="25"/>
  <c r="I433" i="25"/>
  <c r="P89" i="13"/>
  <c r="Q89" i="13" s="1"/>
  <c r="E75" i="3" s="1"/>
  <c r="P281" i="13"/>
  <c r="Q281" i="13" s="1"/>
  <c r="E260" i="3" s="1"/>
  <c r="I1330" i="25"/>
  <c r="I1329" i="25"/>
  <c r="I1328" i="25"/>
  <c r="I1327" i="25"/>
  <c r="I1326" i="25"/>
  <c r="I1325" i="25"/>
  <c r="I1324" i="25"/>
  <c r="I1323" i="25"/>
  <c r="I1322" i="25"/>
  <c r="P157" i="13"/>
  <c r="Q157" i="13" s="1"/>
  <c r="E136" i="3" s="1"/>
  <c r="P466" i="13"/>
  <c r="Q466" i="13" s="1"/>
  <c r="E412" i="3" s="1"/>
  <c r="P321" i="13"/>
  <c r="Q321" i="13" s="1"/>
  <c r="E300" i="3" s="1"/>
  <c r="P470" i="13"/>
  <c r="Q470" i="13" s="1"/>
  <c r="E417" i="3" s="1"/>
  <c r="P512" i="13"/>
  <c r="Q512" i="13" s="1"/>
  <c r="E460" i="3" s="1"/>
  <c r="P516" i="13"/>
  <c r="Q516" i="13" s="1"/>
  <c r="E464" i="3" s="1"/>
  <c r="P509" i="13"/>
  <c r="Q509" i="13" s="1"/>
  <c r="E457" i="3" s="1"/>
  <c r="P511" i="13"/>
  <c r="Q511" i="13" s="1"/>
  <c r="E459" i="3" s="1"/>
  <c r="P316" i="13"/>
  <c r="P448" i="13"/>
  <c r="Q448" i="13" s="1"/>
  <c r="E393" i="3" s="1"/>
  <c r="P488" i="13"/>
  <c r="Q488" i="13" s="1"/>
  <c r="E437" i="3" s="1"/>
  <c r="I1915" i="25"/>
  <c r="P491" i="13"/>
  <c r="Q491" i="13" s="1"/>
  <c r="E440" i="3" s="1"/>
  <c r="P478" i="13"/>
  <c r="Q478" i="13" s="1"/>
  <c r="E425" i="3" s="1"/>
  <c r="P327" i="13"/>
  <c r="Q327" i="13" s="1"/>
  <c r="E306" i="3" s="1"/>
  <c r="P498" i="13"/>
  <c r="Q498" i="13" s="1"/>
  <c r="E447" i="3" s="1"/>
  <c r="P508" i="13"/>
  <c r="Q508" i="13" s="1"/>
  <c r="E456" i="3" s="1"/>
  <c r="P514" i="13"/>
  <c r="Q514" i="13" s="1"/>
  <c r="E462" i="3" s="1"/>
  <c r="P517" i="13"/>
  <c r="Q517" i="13" s="1"/>
  <c r="E465" i="3" s="1"/>
  <c r="P499" i="13"/>
  <c r="Q499" i="13" s="1"/>
  <c r="E448" i="3" s="1"/>
  <c r="P500" i="13"/>
  <c r="Q500" i="13" s="1"/>
  <c r="E449" i="3" s="1"/>
  <c r="P501" i="13"/>
  <c r="Q501" i="13" s="1"/>
  <c r="E450" i="3" s="1"/>
  <c r="P502" i="13"/>
  <c r="Q502" i="13" s="1"/>
  <c r="E451" i="3" s="1"/>
  <c r="P465" i="13"/>
  <c r="Q465" i="13" s="1"/>
  <c r="E411" i="3" s="1"/>
  <c r="P304" i="13"/>
  <c r="Q304" i="13" s="1"/>
  <c r="E283" i="3" s="1"/>
  <c r="P479" i="13"/>
  <c r="Q479" i="13" s="1"/>
  <c r="E427" i="3" s="1"/>
  <c r="P428" i="13"/>
  <c r="Q428" i="13" s="1"/>
  <c r="E373" i="3" s="1"/>
  <c r="P614" i="13"/>
  <c r="P429" i="13"/>
  <c r="Q429" i="13" s="1"/>
  <c r="E374" i="3" s="1"/>
  <c r="P363" i="13"/>
  <c r="Q363" i="13" s="1"/>
  <c r="E342" i="3" s="1"/>
  <c r="P458" i="13"/>
  <c r="Q458" i="13" s="1"/>
  <c r="E403" i="3" s="1"/>
  <c r="P451" i="13"/>
  <c r="Q451" i="13" s="1"/>
  <c r="E396" i="3" s="1"/>
  <c r="P462" i="13"/>
  <c r="Q462" i="13" s="1"/>
  <c r="E407" i="3" s="1"/>
  <c r="P314" i="13"/>
  <c r="Q314" i="13" s="1"/>
  <c r="E293" i="3" s="1"/>
  <c r="P18" i="13"/>
  <c r="Q18" i="13" s="1"/>
  <c r="E15" i="3" s="1"/>
  <c r="I74" i="25"/>
  <c r="I73" i="25"/>
  <c r="I72" i="25"/>
  <c r="I71" i="25"/>
  <c r="I70" i="25"/>
  <c r="I69" i="25"/>
  <c r="P19" i="13"/>
  <c r="Q19" i="13" s="1"/>
  <c r="E16" i="3" s="1"/>
  <c r="I80" i="25"/>
  <c r="I79" i="25"/>
  <c r="I78" i="25"/>
  <c r="I77" i="25"/>
  <c r="I76" i="25"/>
  <c r="I75" i="25"/>
  <c r="I86" i="25"/>
  <c r="I85" i="25"/>
  <c r="I84" i="25"/>
  <c r="I83" i="25"/>
  <c r="I82" i="25"/>
  <c r="I81" i="25"/>
  <c r="I100" i="25"/>
  <c r="I99" i="25"/>
  <c r="I98" i="25"/>
  <c r="I97" i="25"/>
  <c r="I96" i="25"/>
  <c r="I95" i="25"/>
  <c r="I94" i="25"/>
  <c r="I56" i="25"/>
  <c r="I55" i="25"/>
  <c r="I54" i="25"/>
  <c r="I53" i="25"/>
  <c r="I52" i="25"/>
  <c r="P39" i="13"/>
  <c r="I216" i="25"/>
  <c r="I214" i="25"/>
  <c r="I217" i="25"/>
  <c r="I215" i="25"/>
  <c r="I213" i="25"/>
  <c r="I25" i="25"/>
  <c r="I24" i="25"/>
  <c r="I23" i="25"/>
  <c r="I22" i="25"/>
  <c r="I21" i="25"/>
  <c r="E5" i="3"/>
  <c r="I31" i="25"/>
  <c r="I30" i="25"/>
  <c r="I29" i="25"/>
  <c r="I28" i="25"/>
  <c r="I27" i="25"/>
  <c r="I26" i="25"/>
  <c r="I36" i="25"/>
  <c r="I35" i="25"/>
  <c r="I34" i="25"/>
  <c r="I33" i="25"/>
  <c r="I32" i="25"/>
  <c r="I41" i="25"/>
  <c r="I40" i="25"/>
  <c r="I39" i="25"/>
  <c r="I38" i="25"/>
  <c r="I37" i="25"/>
  <c r="E8" i="3"/>
  <c r="P215" i="13"/>
  <c r="Q215" i="13" s="1"/>
  <c r="E194" i="3" s="1"/>
  <c r="I1655" i="25"/>
  <c r="I1658" i="25"/>
  <c r="I1657" i="25"/>
  <c r="I1656" i="25"/>
  <c r="P210" i="13"/>
  <c r="Q210" i="13" s="1"/>
  <c r="E189" i="3" s="1"/>
  <c r="I1636" i="25"/>
  <c r="I1638" i="25"/>
  <c r="I1635" i="25"/>
  <c r="I1637" i="25"/>
  <c r="P211" i="13"/>
  <c r="Q211" i="13" s="1"/>
  <c r="E190" i="3" s="1"/>
  <c r="I1639" i="25"/>
  <c r="I1642" i="25"/>
  <c r="I1640" i="25"/>
  <c r="I1641" i="25"/>
  <c r="P212" i="13"/>
  <c r="Q212" i="13" s="1"/>
  <c r="E191" i="3" s="1"/>
  <c r="I1645" i="25"/>
  <c r="I1644" i="25"/>
  <c r="I1643" i="25"/>
  <c r="I1646" i="25"/>
  <c r="P213" i="13"/>
  <c r="Q213" i="13" s="1"/>
  <c r="E192" i="3" s="1"/>
  <c r="I1650" i="25"/>
  <c r="I1647" i="25"/>
  <c r="I1648" i="25"/>
  <c r="I1649" i="25"/>
  <c r="I1652" i="25"/>
  <c r="I1651" i="25"/>
  <c r="I1653" i="25"/>
  <c r="I1654" i="25"/>
  <c r="P216" i="13"/>
  <c r="Q216" i="13" s="1"/>
  <c r="E195" i="3" s="1"/>
  <c r="I1662" i="25"/>
  <c r="I1661" i="25"/>
  <c r="I1659" i="25"/>
  <c r="I1660" i="25"/>
  <c r="P217" i="13"/>
  <c r="Q217" i="13" s="1"/>
  <c r="E196" i="3" s="1"/>
  <c r="I1663" i="25"/>
  <c r="I1664" i="25"/>
  <c r="I1665" i="25"/>
  <c r="I1666" i="25"/>
  <c r="P218" i="13"/>
  <c r="Q218" i="13" s="1"/>
  <c r="E197" i="3" s="1"/>
  <c r="I1669" i="25"/>
  <c r="I1668" i="25"/>
  <c r="I1670" i="25"/>
  <c r="I1667" i="25"/>
  <c r="I559" i="25"/>
  <c r="I558" i="25"/>
  <c r="I557" i="25"/>
  <c r="I556" i="25"/>
  <c r="E97" i="3"/>
  <c r="I563" i="25"/>
  <c r="I562" i="25"/>
  <c r="I561" i="25"/>
  <c r="I560" i="25"/>
  <c r="P240" i="13"/>
  <c r="Q240" i="13" s="1"/>
  <c r="E219" i="3" s="1"/>
  <c r="P106" i="13"/>
  <c r="Q106" i="13" s="1"/>
  <c r="E89" i="3" s="1"/>
  <c r="I508" i="25"/>
  <c r="I507" i="25"/>
  <c r="I506" i="25"/>
  <c r="I505" i="25"/>
  <c r="I504" i="25"/>
  <c r="I503" i="25"/>
  <c r="P103" i="13"/>
  <c r="Q103" i="13" s="1"/>
  <c r="I514" i="25"/>
  <c r="I513" i="25"/>
  <c r="I512" i="25"/>
  <c r="I511" i="25"/>
  <c r="I510" i="25"/>
  <c r="I509" i="25"/>
  <c r="P243" i="13"/>
  <c r="Q243" i="13" s="1"/>
  <c r="E222" i="3" s="1"/>
  <c r="P122" i="13"/>
  <c r="I591" i="25"/>
  <c r="I590" i="25"/>
  <c r="I589" i="25"/>
  <c r="I588" i="25"/>
  <c r="I587" i="25"/>
  <c r="P128" i="13"/>
  <c r="Q128" i="13" s="1"/>
  <c r="E107" i="3" s="1"/>
  <c r="I599" i="25"/>
  <c r="I598" i="25"/>
  <c r="I597" i="25"/>
  <c r="I596" i="25"/>
  <c r="I1681" i="25"/>
  <c r="I1680" i="25"/>
  <c r="I1687" i="25"/>
  <c r="I1686" i="25"/>
  <c r="I1685" i="25"/>
  <c r="I1684" i="25"/>
  <c r="I1683" i="25"/>
  <c r="I1682" i="25"/>
  <c r="I1679" i="25"/>
  <c r="P224" i="13"/>
  <c r="Q224" i="13" s="1"/>
  <c r="E203" i="3" s="1"/>
  <c r="P208" i="13"/>
  <c r="Q208" i="13" s="1"/>
  <c r="E187" i="3" s="1"/>
  <c r="I1611" i="25"/>
  <c r="I1621" i="25"/>
  <c r="I1615" i="25"/>
  <c r="I1614" i="25"/>
  <c r="I1613" i="25"/>
  <c r="I1616" i="25"/>
  <c r="I1617" i="25"/>
  <c r="I1612" i="25"/>
  <c r="I1618" i="25"/>
  <c r="I1620" i="25"/>
  <c r="I1619" i="25"/>
  <c r="I1622" i="25"/>
  <c r="E186" i="3"/>
  <c r="I785" i="25"/>
  <c r="I783" i="25"/>
  <c r="I782" i="25"/>
  <c r="I787" i="25"/>
  <c r="I784" i="25"/>
  <c r="I786" i="25"/>
  <c r="P277" i="13"/>
  <c r="Q277" i="13" s="1"/>
  <c r="E256" i="3" s="1"/>
  <c r="I1884" i="25"/>
  <c r="I1883" i="25"/>
  <c r="I1882" i="25"/>
  <c r="I1881" i="25"/>
  <c r="I1880" i="25"/>
  <c r="I1879" i="25"/>
  <c r="I1878" i="25"/>
  <c r="I1877" i="25"/>
  <c r="I1876" i="25"/>
  <c r="P273" i="13"/>
  <c r="Q273" i="13" s="1"/>
  <c r="E252" i="3" s="1"/>
  <c r="I1875" i="25"/>
  <c r="I1874" i="25"/>
  <c r="I1873" i="25"/>
  <c r="I1872" i="25"/>
  <c r="I1871" i="25"/>
  <c r="I1870" i="25"/>
  <c r="I567" i="25"/>
  <c r="I566" i="25"/>
  <c r="I565" i="25"/>
  <c r="I564" i="25"/>
  <c r="E99" i="3"/>
  <c r="I1791" i="25"/>
  <c r="E220" i="3"/>
  <c r="P120" i="13"/>
  <c r="Q120" i="13" s="1"/>
  <c r="E101" i="3" s="1"/>
  <c r="I571" i="25"/>
  <c r="I570" i="25"/>
  <c r="I569" i="25"/>
  <c r="I568" i="25"/>
  <c r="E100" i="3"/>
  <c r="I1790" i="25"/>
  <c r="P121" i="13"/>
  <c r="Q121" i="13" s="1"/>
  <c r="E102" i="3" s="1"/>
  <c r="I576" i="25"/>
  <c r="I575" i="25"/>
  <c r="I574" i="25"/>
  <c r="I573" i="25"/>
  <c r="I572" i="25"/>
  <c r="P114" i="13"/>
  <c r="I581" i="25"/>
  <c r="I580" i="25"/>
  <c r="I579" i="25"/>
  <c r="I578" i="25"/>
  <c r="I577" i="25"/>
  <c r="P129" i="13"/>
  <c r="Q129" i="13" s="1"/>
  <c r="E108" i="3" s="1"/>
  <c r="I603" i="25"/>
  <c r="I602" i="25"/>
  <c r="I601" i="25"/>
  <c r="I600" i="25"/>
  <c r="P130" i="13"/>
  <c r="Q130" i="13" s="1"/>
  <c r="E109" i="3" s="1"/>
  <c r="I608" i="25"/>
  <c r="I607" i="25"/>
  <c r="I606" i="25"/>
  <c r="I605" i="25"/>
  <c r="I604" i="25"/>
  <c r="P248" i="13"/>
  <c r="Q248" i="13" s="1"/>
  <c r="E227" i="3" s="1"/>
  <c r="P125" i="13"/>
  <c r="Q125" i="13" s="1"/>
  <c r="P235" i="13"/>
  <c r="Q235" i="13" s="1"/>
  <c r="E214" i="3" s="1"/>
  <c r="I613" i="25"/>
  <c r="I612" i="25"/>
  <c r="I611" i="25"/>
  <c r="I610" i="25"/>
  <c r="I609" i="25"/>
  <c r="I1678" i="25"/>
  <c r="E201" i="3"/>
  <c r="P474" i="13"/>
  <c r="Q474" i="13" s="1"/>
  <c r="E421" i="3" s="1"/>
  <c r="I1914" i="25"/>
  <c r="P487" i="13"/>
  <c r="Q487" i="13" s="1"/>
  <c r="E436" i="3" s="1"/>
  <c r="P485" i="13"/>
  <c r="Q485" i="13" s="1"/>
  <c r="E433" i="3" s="1"/>
  <c r="P489" i="13"/>
  <c r="Q489" i="13" s="1"/>
  <c r="E438" i="3" s="1"/>
  <c r="P476" i="13"/>
  <c r="Q476" i="13" s="1"/>
  <c r="E423" i="3" s="1"/>
  <c r="P477" i="13"/>
  <c r="Q477" i="13" s="1"/>
  <c r="E424" i="3" s="1"/>
  <c r="I1919" i="25"/>
  <c r="P333" i="13"/>
  <c r="Q333" i="13" s="1"/>
  <c r="E312" i="3" s="1"/>
  <c r="P394" i="30"/>
  <c r="P168" i="30"/>
  <c r="L312" i="13"/>
  <c r="C312" i="13" s="1"/>
  <c r="K312" i="13"/>
  <c r="K346" i="13"/>
  <c r="L346" i="13"/>
  <c r="C346" i="13" s="1"/>
  <c r="L3" i="13"/>
  <c r="C3" i="13" s="1"/>
  <c r="K3" i="13"/>
  <c r="L301" i="13"/>
  <c r="C301" i="13" s="1"/>
  <c r="K301" i="13"/>
  <c r="L29" i="13"/>
  <c r="C29" i="13" s="1"/>
  <c r="K29" i="13"/>
  <c r="K4" i="13"/>
  <c r="L4" i="13"/>
  <c r="C4" i="13" s="1"/>
  <c r="K33" i="13"/>
  <c r="L33" i="13"/>
  <c r="C33" i="13" s="1"/>
  <c r="L347" i="13"/>
  <c r="C347" i="13" s="1"/>
  <c r="K347" i="13"/>
  <c r="W135" i="13"/>
  <c r="L1229" i="21"/>
  <c r="X135" i="13" s="1"/>
  <c r="H114" i="3" s="1"/>
  <c r="N343" i="13"/>
  <c r="P343" i="13"/>
  <c r="P286" i="13"/>
  <c r="N286" i="13"/>
  <c r="N361" i="13"/>
  <c r="P361" i="13"/>
  <c r="K316" i="13"/>
  <c r="L316" i="13"/>
  <c r="C316" i="13" s="1"/>
  <c r="K294" i="13"/>
  <c r="L294" i="13"/>
  <c r="C294" i="13" s="1"/>
  <c r="P295" i="13" s="1"/>
  <c r="Q295" i="13" s="1"/>
  <c r="E274" i="3" s="1"/>
  <c r="E211" i="3"/>
  <c r="N108" i="13"/>
  <c r="P43" i="13"/>
  <c r="N43" i="13"/>
  <c r="P47" i="13"/>
  <c r="N47" i="13"/>
  <c r="N271" i="13"/>
  <c r="P291" i="13"/>
  <c r="N291" i="13"/>
  <c r="N312" i="13"/>
  <c r="K364" i="13"/>
  <c r="L364" i="13"/>
  <c r="C364" i="13" s="1"/>
  <c r="N3" i="13"/>
  <c r="P335" i="13"/>
  <c r="N335" i="13"/>
  <c r="P324" i="13"/>
  <c r="N324" i="13"/>
  <c r="N305" i="13"/>
  <c r="P305" i="13"/>
  <c r="N29" i="13"/>
  <c r="N4" i="13"/>
  <c r="P4" i="13"/>
  <c r="N33" i="13"/>
  <c r="P33" i="13"/>
  <c r="N365" i="13"/>
  <c r="L365" i="13"/>
  <c r="C365" i="13" s="1"/>
  <c r="K365" i="13"/>
  <c r="L306" i="13"/>
  <c r="C306" i="13" s="1"/>
  <c r="K306" i="13"/>
  <c r="N306" i="13"/>
  <c r="P306" i="13"/>
  <c r="P138" i="13"/>
  <c r="N138" i="13"/>
  <c r="L138" i="13"/>
  <c r="C138" i="13" s="1"/>
  <c r="Q138" i="13" s="1"/>
  <c r="K138" i="13"/>
  <c r="L356" i="13"/>
  <c r="C356" i="13" s="1"/>
  <c r="K356" i="13"/>
  <c r="L269" i="13"/>
  <c r="C269" i="13" s="1"/>
  <c r="K269" i="13"/>
  <c r="N269" i="13"/>
  <c r="L259" i="13"/>
  <c r="C259" i="13" s="1"/>
  <c r="K259" i="13"/>
  <c r="K300" i="13"/>
  <c r="L300" i="13"/>
  <c r="C300" i="13" s="1"/>
  <c r="Q300" i="13" s="1"/>
  <c r="E206" i="3"/>
  <c r="P23" i="13"/>
  <c r="P268" i="13"/>
  <c r="N268" i="13"/>
  <c r="N270" i="13"/>
  <c r="P270" i="13"/>
  <c r="I1713" i="25"/>
  <c r="I1715" i="25"/>
  <c r="I1717" i="25"/>
  <c r="I1719" i="25"/>
  <c r="P228" i="13"/>
  <c r="Q228" i="13" s="1"/>
  <c r="E207" i="3" s="1"/>
  <c r="I1716" i="25"/>
  <c r="I1720" i="25"/>
  <c r="I1718" i="25"/>
  <c r="I1714" i="25"/>
  <c r="P229" i="13"/>
  <c r="Q229" i="13" s="1"/>
  <c r="E208" i="3" s="1"/>
  <c r="I1722" i="25"/>
  <c r="I1725" i="25"/>
  <c r="I1728" i="25"/>
  <c r="I1726" i="25"/>
  <c r="I1727" i="25"/>
  <c r="I1724" i="25"/>
  <c r="I1723" i="25"/>
  <c r="I1721" i="25"/>
  <c r="I1750" i="25"/>
  <c r="I1749" i="25"/>
  <c r="I1747" i="25"/>
  <c r="I1751" i="25"/>
  <c r="I1748" i="25"/>
  <c r="P145" i="13"/>
  <c r="Q145" i="13" s="1"/>
  <c r="E124" i="3" s="1"/>
  <c r="L254" i="13"/>
  <c r="C254" i="13" s="1"/>
  <c r="K254" i="13"/>
  <c r="P452" i="13"/>
  <c r="Q452" i="13" s="1"/>
  <c r="E397" i="3" s="1"/>
  <c r="P298" i="13"/>
  <c r="Q298" i="13" s="1"/>
  <c r="E277" i="3" s="1"/>
  <c r="P463" i="13"/>
  <c r="Q463" i="13" s="1"/>
  <c r="E409" i="3" s="1"/>
  <c r="I1912" i="25"/>
  <c r="I1907" i="25"/>
  <c r="I1908" i="25"/>
  <c r="I1911" i="25"/>
  <c r="I1910" i="25"/>
  <c r="I1909" i="25"/>
  <c r="I723" i="25"/>
  <c r="I718" i="25"/>
  <c r="I721" i="25"/>
  <c r="I722" i="25"/>
  <c r="I719" i="25"/>
  <c r="I720" i="25"/>
  <c r="L109" i="13"/>
  <c r="C109" i="13" s="1"/>
  <c r="K109" i="13"/>
  <c r="L23" i="13"/>
  <c r="C23" i="13" s="1"/>
  <c r="K23" i="13"/>
  <c r="L27" i="13"/>
  <c r="C27" i="13" s="1"/>
  <c r="K27" i="13"/>
  <c r="K28" i="13"/>
  <c r="L28" i="13"/>
  <c r="C28" i="13" s="1"/>
  <c r="P352" i="13"/>
  <c r="Q352" i="13" s="1"/>
  <c r="E331" i="3" s="1"/>
  <c r="P441" i="13"/>
  <c r="Q441" i="13" s="1"/>
  <c r="E386" i="3" s="1"/>
  <c r="N115" i="13"/>
  <c r="P115" i="13"/>
  <c r="K115" i="13"/>
  <c r="L115" i="13"/>
  <c r="C115" i="13" s="1"/>
  <c r="Q115" i="13" s="1"/>
  <c r="K30" i="13"/>
  <c r="L30" i="13"/>
  <c r="C30" i="13" s="1"/>
  <c r="K102" i="13"/>
  <c r="L102" i="13"/>
  <c r="C102" i="13" s="1"/>
  <c r="N102" i="13"/>
  <c r="P102" i="13"/>
  <c r="N6" i="13"/>
  <c r="P6" i="13"/>
  <c r="L6" i="13"/>
  <c r="C6" i="13" s="1"/>
  <c r="Q6" i="13" s="1"/>
  <c r="K6" i="13"/>
  <c r="N79" i="13"/>
  <c r="P40" i="13"/>
  <c r="N40" i="13"/>
  <c r="K79" i="13"/>
  <c r="L79" i="13"/>
  <c r="C79" i="13" s="1"/>
  <c r="K40" i="13"/>
  <c r="L40" i="13"/>
  <c r="C40" i="13" s="1"/>
  <c r="Q40" i="13" s="1"/>
  <c r="P99" i="13"/>
  <c r="N99" i="13"/>
  <c r="L123" i="13"/>
  <c r="C123" i="13" s="1"/>
  <c r="K123" i="13"/>
  <c r="L99" i="13"/>
  <c r="C99" i="13" s="1"/>
  <c r="Q99" i="13" s="1"/>
  <c r="K99" i="13"/>
  <c r="N123" i="13"/>
  <c r="P123" i="13"/>
  <c r="N366" i="13"/>
  <c r="N504" i="13"/>
  <c r="L504" i="13"/>
  <c r="C504" i="13" s="1"/>
  <c r="K504" i="13"/>
  <c r="K366" i="13"/>
  <c r="L366" i="13"/>
  <c r="C366" i="13" s="1"/>
  <c r="N289" i="13"/>
  <c r="N337" i="13"/>
  <c r="P337" i="13"/>
  <c r="K337" i="13"/>
  <c r="L337" i="13"/>
  <c r="C337" i="13" s="1"/>
  <c r="N310" i="13"/>
  <c r="P288" i="13"/>
  <c r="N288" i="13"/>
  <c r="K288" i="13"/>
  <c r="L288" i="13"/>
  <c r="C288" i="13" s="1"/>
  <c r="Q288" i="13" s="1"/>
  <c r="K308" i="13"/>
  <c r="L308" i="13"/>
  <c r="C308" i="13" s="1"/>
  <c r="P302" i="13"/>
  <c r="N302" i="13"/>
  <c r="K302" i="13"/>
  <c r="L302" i="13"/>
  <c r="C302" i="13" s="1"/>
  <c r="Q302" i="13" s="1"/>
  <c r="K348" i="13"/>
  <c r="L348" i="13"/>
  <c r="C348" i="13" s="1"/>
  <c r="N323" i="13"/>
  <c r="P323" i="13"/>
  <c r="L323" i="13"/>
  <c r="C323" i="13" s="1"/>
  <c r="Q323" i="13" s="1"/>
  <c r="K323" i="13"/>
  <c r="P328" i="13"/>
  <c r="N328" i="13"/>
  <c r="L328" i="13"/>
  <c r="C328" i="13" s="1"/>
  <c r="Q328" i="13" s="1"/>
  <c r="K328" i="13"/>
  <c r="L283" i="13"/>
  <c r="C283" i="13" s="1"/>
  <c r="K283" i="13"/>
  <c r="P341" i="13"/>
  <c r="N341" i="13"/>
  <c r="K341" i="13"/>
  <c r="L341" i="13"/>
  <c r="C341" i="13" s="1"/>
  <c r="Q341" i="13" s="1"/>
  <c r="K311" i="13"/>
  <c r="L311" i="13"/>
  <c r="C311" i="13" s="1"/>
  <c r="N311" i="13"/>
  <c r="P311" i="13"/>
  <c r="N279" i="13"/>
  <c r="P279" i="13"/>
  <c r="Q279" i="13" s="1"/>
  <c r="E258" i="3" s="1"/>
  <c r="P261" i="13"/>
  <c r="N357" i="13"/>
  <c r="N308" i="13"/>
  <c r="P308" i="13"/>
  <c r="N348" i="13"/>
  <c r="P348" i="13"/>
  <c r="P297" i="13"/>
  <c r="Q297" i="13" s="1"/>
  <c r="E276" i="3" s="1"/>
  <c r="P353" i="13"/>
  <c r="N27" i="13"/>
  <c r="L11" i="13"/>
  <c r="C11" i="13" s="1"/>
  <c r="K11" i="13"/>
  <c r="L104" i="13"/>
  <c r="C104" i="13" s="1"/>
  <c r="K104" i="13"/>
  <c r="N28" i="13"/>
  <c r="N104" i="13"/>
  <c r="N11" i="13"/>
  <c r="P11" i="13"/>
  <c r="P339" i="13"/>
  <c r="N339" i="13"/>
  <c r="N84" i="13"/>
  <c r="K16" i="13"/>
  <c r="L16" i="13"/>
  <c r="C16" i="13" s="1"/>
  <c r="O3" i="14" a="1"/>
  <c r="L261" i="13"/>
  <c r="C261" i="13" s="1"/>
  <c r="K261" i="13"/>
  <c r="K329" i="13"/>
  <c r="L329" i="13"/>
  <c r="C329" i="13" s="1"/>
  <c r="N329" i="13"/>
  <c r="K80" i="13"/>
  <c r="L80" i="13"/>
  <c r="C80" i="13" s="1"/>
  <c r="L54" i="13"/>
  <c r="C54" i="13" s="1"/>
  <c r="K54" i="13"/>
  <c r="N80" i="13"/>
  <c r="P54" i="13"/>
  <c r="N54" i="13"/>
  <c r="K26" i="13"/>
  <c r="L26" i="13"/>
  <c r="C26" i="13" s="1"/>
  <c r="P26" i="13"/>
  <c r="N26" i="13"/>
  <c r="P69" i="13"/>
  <c r="N69" i="13"/>
  <c r="L69" i="13"/>
  <c r="C69" i="13" s="1"/>
  <c r="Q69" i="13" s="1"/>
  <c r="K69" i="13"/>
  <c r="K51" i="13"/>
  <c r="L51" i="13"/>
  <c r="C51" i="13" s="1"/>
  <c r="N51" i="13"/>
  <c r="P51" i="13"/>
  <c r="K20" i="13"/>
  <c r="L20" i="13"/>
  <c r="C20" i="13" s="1"/>
  <c r="N20" i="13"/>
  <c r="P20" i="13"/>
  <c r="L82" i="13"/>
  <c r="C82" i="13" s="1"/>
  <c r="K82" i="13"/>
  <c r="P82" i="13"/>
  <c r="N82" i="13"/>
  <c r="L72" i="13"/>
  <c r="C72" i="13" s="1"/>
  <c r="K72" i="13"/>
  <c r="P72" i="13"/>
  <c r="N72" i="13"/>
  <c r="L12" i="13"/>
  <c r="C12" i="13" s="1"/>
  <c r="K12" i="13"/>
  <c r="N12" i="13"/>
  <c r="P12" i="13"/>
  <c r="K90" i="13"/>
  <c r="L90" i="13"/>
  <c r="C90" i="13" s="1"/>
  <c r="P331" i="13"/>
  <c r="N331" i="13"/>
  <c r="N85" i="13"/>
  <c r="N90" i="13"/>
  <c r="L85" i="13"/>
  <c r="C85" i="13" s="1"/>
  <c r="K85" i="13"/>
  <c r="K331" i="13"/>
  <c r="L331" i="13"/>
  <c r="C331" i="13" s="1"/>
  <c r="Q331" i="13" s="1"/>
  <c r="N83" i="13"/>
  <c r="K83" i="13"/>
  <c r="L83" i="13"/>
  <c r="C83" i="13" s="1"/>
  <c r="N44" i="13"/>
  <c r="P44" i="13"/>
  <c r="L44" i="13"/>
  <c r="C44" i="13" s="1"/>
  <c r="Q44" i="13" s="1"/>
  <c r="K44" i="13"/>
  <c r="K15" i="13"/>
  <c r="L15" i="13"/>
  <c r="C15" i="13" s="1"/>
  <c r="N15" i="13"/>
  <c r="P15" i="13"/>
  <c r="K75" i="13"/>
  <c r="L75" i="13"/>
  <c r="C75" i="13" s="1"/>
  <c r="N75" i="13"/>
  <c r="K78" i="13"/>
  <c r="L78" i="13"/>
  <c r="C78" i="13" s="1"/>
  <c r="P78" i="13"/>
  <c r="N78" i="13"/>
  <c r="N354" i="13"/>
  <c r="P354" i="13"/>
  <c r="Q354" i="13" s="1"/>
  <c r="E333" i="3" s="1"/>
  <c r="P126" i="13"/>
  <c r="N126" i="13"/>
  <c r="N16" i="13"/>
  <c r="P251" i="30"/>
  <c r="W561" i="13"/>
  <c r="L896" i="21"/>
  <c r="X561" i="13" s="1"/>
  <c r="H509" i="3" s="1"/>
  <c r="W562" i="13"/>
  <c r="L901" i="21"/>
  <c r="X562" i="13" s="1"/>
  <c r="H510" i="3" s="1"/>
  <c r="W564" i="13"/>
  <c r="L906" i="21"/>
  <c r="X564" i="13" s="1"/>
  <c r="H512" i="3" s="1"/>
  <c r="W563" i="13"/>
  <c r="L911" i="21"/>
  <c r="X563" i="13" s="1"/>
  <c r="H511" i="3" s="1"/>
  <c r="W566" i="13"/>
  <c r="L917" i="21"/>
  <c r="X566" i="13" s="1"/>
  <c r="H514" i="3" s="1"/>
  <c r="W567" i="13"/>
  <c r="L923" i="21"/>
  <c r="X567" i="13" s="1"/>
  <c r="H515" i="3" s="1"/>
  <c r="W569" i="13"/>
  <c r="L927" i="21"/>
  <c r="X569" i="13" s="1"/>
  <c r="H517" i="3" s="1"/>
  <c r="W576" i="13"/>
  <c r="L938" i="21"/>
  <c r="X576" i="13" s="1"/>
  <c r="H524" i="3" s="1"/>
  <c r="W571" i="13"/>
  <c r="L942" i="21"/>
  <c r="X571" i="13" s="1"/>
  <c r="H519" i="3" s="1"/>
  <c r="W572" i="13"/>
  <c r="L948" i="21"/>
  <c r="X572" i="13" s="1"/>
  <c r="H520" i="3" s="1"/>
  <c r="W573" i="13"/>
  <c r="L954" i="21"/>
  <c r="X573" i="13" s="1"/>
  <c r="H521" i="3" s="1"/>
  <c r="W574" i="13"/>
  <c r="L960" i="21"/>
  <c r="X574" i="13" s="1"/>
  <c r="H522" i="3" s="1"/>
  <c r="W575" i="13"/>
  <c r="L966" i="21"/>
  <c r="X575" i="13" s="1"/>
  <c r="H523" i="3" s="1"/>
  <c r="W578" i="13"/>
  <c r="L975" i="21"/>
  <c r="X578" i="13" s="1"/>
  <c r="H526" i="3" s="1"/>
  <c r="L1235" i="21"/>
  <c r="X136" i="13" s="1"/>
  <c r="H115" i="3" s="1"/>
  <c r="W136" i="13"/>
  <c r="W137" i="13"/>
  <c r="L1240" i="21"/>
  <c r="X137" i="13" s="1"/>
  <c r="H116" i="3" s="1"/>
  <c r="L1245" i="21"/>
  <c r="X138" i="13" s="1"/>
  <c r="H117" i="3" s="1"/>
  <c r="W138" i="13"/>
  <c r="P269" i="30"/>
  <c r="P52" i="30"/>
  <c r="P17" i="13"/>
  <c r="Q17" i="13" s="1"/>
  <c r="E14" i="3" s="1"/>
  <c r="P424" i="30"/>
  <c r="W224" i="13"/>
  <c r="L1688" i="21"/>
  <c r="X224" i="13" s="1"/>
  <c r="H203" i="3" s="1"/>
  <c r="L1697" i="21"/>
  <c r="X225" i="13" s="1"/>
  <c r="H204" i="3" s="1"/>
  <c r="W225" i="13"/>
  <c r="P19" i="30"/>
  <c r="P250" i="30"/>
  <c r="L1907" i="21"/>
  <c r="X297" i="13" s="1"/>
  <c r="H276" i="3" s="1"/>
  <c r="W297" i="13"/>
  <c r="W329" i="13"/>
  <c r="L1913" i="21"/>
  <c r="X329" i="13" s="1"/>
  <c r="H308" i="3" s="1"/>
  <c r="W341" i="13"/>
  <c r="L1919" i="21"/>
  <c r="X341" i="13" s="1"/>
  <c r="H320" i="3" s="1"/>
  <c r="W167" i="13"/>
  <c r="L1930" i="21"/>
  <c r="X167" i="13" s="1"/>
  <c r="H146" i="3" s="1"/>
  <c r="W165" i="13"/>
  <c r="L1936" i="21"/>
  <c r="X165" i="13" s="1"/>
  <c r="H144" i="3" s="1"/>
  <c r="W161" i="13"/>
  <c r="L1937" i="21"/>
  <c r="X161" i="13" s="1"/>
  <c r="H140" i="3" s="1"/>
  <c r="W275" i="13"/>
  <c r="L1885" i="21"/>
  <c r="X275" i="13" s="1"/>
  <c r="H254" i="3" s="1"/>
  <c r="W287" i="13"/>
  <c r="L1897" i="21"/>
  <c r="X287" i="13" s="1"/>
  <c r="H266" i="3" s="1"/>
  <c r="W339" i="13"/>
  <c r="L1918" i="21"/>
  <c r="X339" i="13" s="1"/>
  <c r="H318" i="3" s="1"/>
  <c r="W349" i="13"/>
  <c r="L1920" i="21"/>
  <c r="X349" i="13" s="1"/>
  <c r="H328" i="3" s="1"/>
  <c r="W355" i="13"/>
  <c r="L1923" i="21"/>
  <c r="X355" i="13" s="1"/>
  <c r="H334" i="3" s="1"/>
  <c r="W232" i="13"/>
  <c r="L1747" i="21"/>
  <c r="X232" i="13" s="1"/>
  <c r="H211" i="3" s="1"/>
  <c r="L1752" i="21"/>
  <c r="X233" i="13" s="1"/>
  <c r="H212" i="3" s="1"/>
  <c r="W233" i="13"/>
  <c r="W139" i="13"/>
  <c r="L1251" i="21"/>
  <c r="X139" i="13" s="1"/>
  <c r="H118" i="3" s="1"/>
  <c r="W140" i="13"/>
  <c r="L1257" i="21"/>
  <c r="X140" i="13" s="1"/>
  <c r="H119" i="3" s="1"/>
  <c r="W141" i="13"/>
  <c r="L1262" i="21"/>
  <c r="X141" i="13" s="1"/>
  <c r="H120" i="3" s="1"/>
  <c r="W142" i="13"/>
  <c r="L1267" i="21"/>
  <c r="X142" i="13" s="1"/>
  <c r="H121" i="3" s="1"/>
  <c r="W143" i="13"/>
  <c r="L1272" i="21"/>
  <c r="X143" i="13" s="1"/>
  <c r="H122" i="3" s="1"/>
  <c r="W144" i="13"/>
  <c r="L1277" i="21"/>
  <c r="X144" i="13" s="1"/>
  <c r="H123" i="3" s="1"/>
  <c r="W152" i="13"/>
  <c r="L1283" i="21"/>
  <c r="X152" i="13" s="1"/>
  <c r="H131" i="3" s="1"/>
  <c r="W153" i="13"/>
  <c r="L1295" i="21"/>
  <c r="X153" i="13" s="1"/>
  <c r="H132" i="3" s="1"/>
  <c r="W154" i="13"/>
  <c r="L1307" i="21"/>
  <c r="X154" i="13" s="1"/>
  <c r="H133" i="3" s="1"/>
  <c r="W155" i="13"/>
  <c r="L1319" i="21"/>
  <c r="X155" i="13" s="1"/>
  <c r="H134" i="3" s="1"/>
  <c r="W156" i="13"/>
  <c r="L1322" i="21"/>
  <c r="X156" i="13" s="1"/>
  <c r="H135" i="3" s="1"/>
  <c r="W157" i="13"/>
  <c r="L1331" i="21"/>
  <c r="X157" i="13" s="1"/>
  <c r="H136" i="3" s="1"/>
  <c r="W158" i="13"/>
  <c r="L1340" i="21"/>
  <c r="X158" i="13" s="1"/>
  <c r="H137" i="3" s="1"/>
  <c r="W159" i="13"/>
  <c r="L1349" i="21"/>
  <c r="X159" i="13" s="1"/>
  <c r="H138" i="3" s="1"/>
  <c r="W160" i="13"/>
  <c r="L1358" i="21"/>
  <c r="X160" i="13" s="1"/>
  <c r="H139" i="3" s="1"/>
  <c r="L1367" i="21"/>
  <c r="X168" i="13" s="1"/>
  <c r="H147" i="3" s="1"/>
  <c r="W168" i="13"/>
  <c r="W169" i="13"/>
  <c r="L1377" i="21"/>
  <c r="X169" i="13" s="1"/>
  <c r="H148" i="3" s="1"/>
  <c r="L1387" i="21"/>
  <c r="X170" i="13" s="1"/>
  <c r="H149" i="3" s="1"/>
  <c r="W170" i="13"/>
  <c r="L1390" i="21"/>
  <c r="X172" i="13" s="1"/>
  <c r="H151" i="3" s="1"/>
  <c r="W172" i="13"/>
  <c r="W173" i="13"/>
  <c r="L1396" i="21"/>
  <c r="X173" i="13" s="1"/>
  <c r="H152" i="3" s="1"/>
  <c r="W174" i="13"/>
  <c r="L1402" i="21"/>
  <c r="X174" i="13" s="1"/>
  <c r="H153" i="3" s="1"/>
  <c r="W175" i="13"/>
  <c r="L1408" i="21"/>
  <c r="X175" i="13" s="1"/>
  <c r="H154" i="3" s="1"/>
  <c r="L1414" i="21"/>
  <c r="X176" i="13" s="1"/>
  <c r="H155" i="3" s="1"/>
  <c r="W176" i="13"/>
  <c r="W177" i="13"/>
  <c r="L1420" i="21"/>
  <c r="X177" i="13" s="1"/>
  <c r="H156" i="3" s="1"/>
  <c r="L1423" i="21"/>
  <c r="X178" i="13" s="1"/>
  <c r="H157" i="3" s="1"/>
  <c r="W178" i="13"/>
  <c r="L1426" i="21"/>
  <c r="X179" i="13" s="1"/>
  <c r="H158" i="3" s="1"/>
  <c r="W179" i="13"/>
  <c r="W180" i="13"/>
  <c r="L1429" i="21"/>
  <c r="X180" i="13" s="1"/>
  <c r="H159" i="3" s="1"/>
  <c r="W181" i="13"/>
  <c r="L1432" i="21"/>
  <c r="X181" i="13" s="1"/>
  <c r="H160" i="3" s="1"/>
  <c r="W182" i="13"/>
  <c r="L1435" i="21"/>
  <c r="X182" i="13" s="1"/>
  <c r="H161" i="3" s="1"/>
  <c r="L1440" i="21"/>
  <c r="X183" i="13" s="1"/>
  <c r="H162" i="3" s="1"/>
  <c r="W183" i="13"/>
  <c r="W184" i="13"/>
  <c r="L1445" i="21"/>
  <c r="X184" i="13" s="1"/>
  <c r="H163" i="3" s="1"/>
  <c r="W185" i="13"/>
  <c r="L1450" i="21"/>
  <c r="X185" i="13" s="1"/>
  <c r="H164" i="3" s="1"/>
  <c r="W186" i="13"/>
  <c r="L1455" i="21"/>
  <c r="X186" i="13" s="1"/>
  <c r="H165" i="3" s="1"/>
  <c r="W187" i="13"/>
  <c r="L1460" i="21"/>
  <c r="X187" i="13" s="1"/>
  <c r="H166" i="3" s="1"/>
  <c r="W188" i="13"/>
  <c r="L1464" i="21"/>
  <c r="X188" i="13" s="1"/>
  <c r="H167" i="3" s="1"/>
  <c r="W189" i="13"/>
  <c r="L1468" i="21"/>
  <c r="X189" i="13" s="1"/>
  <c r="H168" i="3" s="1"/>
  <c r="W190" i="13"/>
  <c r="L1472" i="21"/>
  <c r="X190" i="13" s="1"/>
  <c r="H169" i="3" s="1"/>
  <c r="W191" i="13"/>
  <c r="L1475" i="21"/>
  <c r="X191" i="13" s="1"/>
  <c r="H170" i="3" s="1"/>
  <c r="L1478" i="21"/>
  <c r="X192" i="13" s="1"/>
  <c r="H171" i="3" s="1"/>
  <c r="W192" i="13"/>
  <c r="W194" i="13"/>
  <c r="L1482" i="21"/>
  <c r="X194" i="13" s="1"/>
  <c r="H173" i="3" s="1"/>
  <c r="W195" i="13"/>
  <c r="L1494" i="21"/>
  <c r="X195" i="13" s="1"/>
  <c r="H174" i="3" s="1"/>
  <c r="W196" i="13"/>
  <c r="L1506" i="21"/>
  <c r="X196" i="13" s="1"/>
  <c r="H175" i="3" s="1"/>
  <c r="W197" i="13"/>
  <c r="L1518" i="21"/>
  <c r="X197" i="13" s="1"/>
  <c r="H176" i="3" s="1"/>
  <c r="W198" i="13"/>
  <c r="L1530" i="21"/>
  <c r="X198" i="13" s="1"/>
  <c r="H177" i="3" s="1"/>
  <c r="L1542" i="21"/>
  <c r="X199" i="13" s="1"/>
  <c r="H178" i="3" s="1"/>
  <c r="W199" i="13"/>
  <c r="W200" i="13"/>
  <c r="L1547" i="21"/>
  <c r="X200" i="13" s="1"/>
  <c r="H179" i="3" s="1"/>
  <c r="W201" i="13"/>
  <c r="L1553" i="21"/>
  <c r="X201" i="13" s="1"/>
  <c r="H180" i="3" s="1"/>
  <c r="W202" i="13"/>
  <c r="L1559" i="21"/>
  <c r="X202" i="13" s="1"/>
  <c r="H181" i="3" s="1"/>
  <c r="W203" i="13"/>
  <c r="L1567" i="21"/>
  <c r="X203" i="13" s="1"/>
  <c r="H182" i="3" s="1"/>
  <c r="L1575" i="21"/>
  <c r="X204" i="13" s="1"/>
  <c r="H183" i="3" s="1"/>
  <c r="W204" i="13"/>
  <c r="L1587" i="21"/>
  <c r="X205" i="13" s="1"/>
  <c r="H184" i="3" s="1"/>
  <c r="W205" i="13"/>
  <c r="L1599" i="21"/>
  <c r="X206" i="13" s="1"/>
  <c r="H185" i="3" s="1"/>
  <c r="W206" i="13"/>
  <c r="W207" i="13"/>
  <c r="L1611" i="21"/>
  <c r="X207" i="13" s="1"/>
  <c r="H186" i="3" s="1"/>
  <c r="W208" i="13"/>
  <c r="L1623" i="21"/>
  <c r="X208" i="13" s="1"/>
  <c r="H187" i="3" s="1"/>
  <c r="W209" i="13"/>
  <c r="L1635" i="21"/>
  <c r="X209" i="13" s="1"/>
  <c r="H188" i="3" s="1"/>
  <c r="W210" i="13"/>
  <c r="L1639" i="21"/>
  <c r="X210" i="13" s="1"/>
  <c r="H189" i="3" s="1"/>
  <c r="W211" i="13"/>
  <c r="L1643" i="21"/>
  <c r="X211" i="13" s="1"/>
  <c r="H190" i="3" s="1"/>
  <c r="L1647" i="21"/>
  <c r="X212" i="13" s="1"/>
  <c r="H191" i="3" s="1"/>
  <c r="W212" i="13"/>
  <c r="W213" i="13"/>
  <c r="L1651" i="21"/>
  <c r="X213" i="13" s="1"/>
  <c r="H192" i="3" s="1"/>
  <c r="W214" i="13"/>
  <c r="L1655" i="21"/>
  <c r="X214" i="13" s="1"/>
  <c r="H193" i="3" s="1"/>
  <c r="W215" i="13"/>
  <c r="L1659" i="21"/>
  <c r="X215" i="13" s="1"/>
  <c r="H194" i="3" s="1"/>
  <c r="W216" i="13"/>
  <c r="L1663" i="21"/>
  <c r="X216" i="13" s="1"/>
  <c r="H195" i="3" s="1"/>
  <c r="W217" i="13"/>
  <c r="L1667" i="21"/>
  <c r="X217" i="13" s="1"/>
  <c r="H196" i="3" s="1"/>
  <c r="W218" i="13"/>
  <c r="L1671" i="21"/>
  <c r="X218" i="13" s="1"/>
  <c r="H197" i="3" s="1"/>
  <c r="W219" i="13"/>
  <c r="L1675" i="21"/>
  <c r="X219" i="13" s="1"/>
  <c r="H198" i="3" s="1"/>
  <c r="W223" i="13"/>
  <c r="L1679" i="21"/>
  <c r="X223" i="13" s="1"/>
  <c r="H202" i="3" s="1"/>
  <c r="P12" i="30"/>
  <c r="P433" i="30"/>
  <c r="W147" i="13"/>
  <c r="L1967" i="21"/>
  <c r="X147" i="13" s="1"/>
  <c r="H126" i="3" s="1"/>
  <c r="W150" i="13"/>
  <c r="L1991" i="21"/>
  <c r="X150" i="13" s="1"/>
  <c r="H129" i="3" s="1"/>
  <c r="W279" i="13"/>
  <c r="L1896" i="21"/>
  <c r="X279" i="13" s="1"/>
  <c r="H258" i="3" s="1"/>
  <c r="W309" i="13"/>
  <c r="L1900" i="21"/>
  <c r="X309" i="13" s="1"/>
  <c r="H288" i="3" s="1"/>
  <c r="L10" i="21"/>
  <c r="X4" i="13" s="1"/>
  <c r="H3" i="3" s="1"/>
  <c r="W4" i="13"/>
  <c r="L17" i="21"/>
  <c r="X6" i="13" s="1"/>
  <c r="H4" i="3" s="1"/>
  <c r="W6" i="13"/>
  <c r="W3" i="13"/>
  <c r="L2" i="21"/>
  <c r="X3" i="13" s="1"/>
  <c r="W72" i="13"/>
  <c r="L359" i="21"/>
  <c r="X72" i="13" s="1"/>
  <c r="H60" i="3" s="1"/>
  <c r="L363" i="21"/>
  <c r="X73" i="13" s="1"/>
  <c r="H61" i="3" s="1"/>
  <c r="W73" i="13"/>
  <c r="W75" i="13"/>
  <c r="L367" i="21"/>
  <c r="X75" i="13" s="1"/>
  <c r="H62" i="3" s="1"/>
  <c r="W76" i="13"/>
  <c r="L373" i="21"/>
  <c r="X76" i="13" s="1"/>
  <c r="H63" i="3" s="1"/>
  <c r="L379" i="21"/>
  <c r="X77" i="13" s="1"/>
  <c r="H64" i="3" s="1"/>
  <c r="W77" i="13"/>
  <c r="W78" i="13"/>
  <c r="L385" i="21"/>
  <c r="X78" i="13" s="1"/>
  <c r="H65" i="3" s="1"/>
  <c r="W79" i="13"/>
  <c r="L390" i="21"/>
  <c r="X79" i="13" s="1"/>
  <c r="H66" i="3" s="1"/>
  <c r="W7" i="13"/>
  <c r="L21" i="21"/>
  <c r="X7" i="13" s="1"/>
  <c r="H5" i="3" s="1"/>
  <c r="W8" i="13"/>
  <c r="L26" i="21"/>
  <c r="X8" i="13" s="1"/>
  <c r="H6" i="3" s="1"/>
  <c r="W9" i="13"/>
  <c r="L32" i="21"/>
  <c r="X9" i="13" s="1"/>
  <c r="H7" i="3" s="1"/>
  <c r="L37" i="21"/>
  <c r="X10" i="13" s="1"/>
  <c r="H8" i="3" s="1"/>
  <c r="W10" i="13"/>
  <c r="W11" i="13"/>
  <c r="L42" i="21"/>
  <c r="X11" i="13" s="1"/>
  <c r="H9" i="3" s="1"/>
  <c r="L48" i="21"/>
  <c r="X12" i="13" s="1"/>
  <c r="H10" i="3" s="1"/>
  <c r="W12" i="13"/>
  <c r="L52" i="21"/>
  <c r="X13" i="13" s="1"/>
  <c r="H11" i="3" s="1"/>
  <c r="W13" i="13"/>
  <c r="L57" i="21"/>
  <c r="X15" i="13" s="1"/>
  <c r="H12" i="3" s="1"/>
  <c r="W15" i="13"/>
  <c r="W16" i="13"/>
  <c r="L63" i="21"/>
  <c r="X16" i="13" s="1"/>
  <c r="H13" i="3" s="1"/>
  <c r="L69" i="21"/>
  <c r="X17" i="13" s="1"/>
  <c r="H14" i="3" s="1"/>
  <c r="W17" i="13"/>
  <c r="L75" i="21"/>
  <c r="X18" i="13" s="1"/>
  <c r="H15" i="3" s="1"/>
  <c r="W18" i="13"/>
  <c r="L282" i="21"/>
  <c r="X60" i="13" s="1"/>
  <c r="H50" i="3" s="1"/>
  <c r="W60" i="13"/>
  <c r="W62" i="13"/>
  <c r="L291" i="21"/>
  <c r="X62" i="13" s="1"/>
  <c r="H51" i="3" s="1"/>
  <c r="L300" i="21"/>
  <c r="X63" i="13" s="1"/>
  <c r="H52" i="3" s="1"/>
  <c r="W63" i="13"/>
  <c r="L81" i="21"/>
  <c r="X19" i="13" s="1"/>
  <c r="H16" i="3" s="1"/>
  <c r="W19" i="13"/>
  <c r="W20" i="13"/>
  <c r="L87" i="21"/>
  <c r="X20" i="13" s="1"/>
  <c r="H17" i="3" s="1"/>
  <c r="W21" i="13"/>
  <c r="L94" i="21"/>
  <c r="X21" i="13" s="1"/>
  <c r="H18" i="3" s="1"/>
  <c r="L101" i="21"/>
  <c r="X23" i="13" s="1"/>
  <c r="H19" i="3" s="1"/>
  <c r="W23" i="13"/>
  <c r="W24" i="13"/>
  <c r="L110" i="21"/>
  <c r="X24" i="13" s="1"/>
  <c r="H20" i="3" s="1"/>
  <c r="W26" i="13"/>
  <c r="L119" i="21"/>
  <c r="X26" i="13" s="1"/>
  <c r="H21" i="3" s="1"/>
  <c r="W27" i="13"/>
  <c r="L125" i="21"/>
  <c r="X27" i="13" s="1"/>
  <c r="H22" i="3" s="1"/>
  <c r="W28" i="13"/>
  <c r="L132" i="21"/>
  <c r="X28" i="13" s="1"/>
  <c r="H23" i="3" s="1"/>
  <c r="L139" i="21"/>
  <c r="X29" i="13" s="1"/>
  <c r="H24" i="3" s="1"/>
  <c r="W29" i="13"/>
  <c r="L146" i="21"/>
  <c r="X30" i="13" s="1"/>
  <c r="H25" i="3" s="1"/>
  <c r="W30" i="13"/>
  <c r="L152" i="21"/>
  <c r="X145" i="13" s="1"/>
  <c r="H124" i="3" s="1"/>
  <c r="W145" i="13"/>
  <c r="W33" i="13"/>
  <c r="L161" i="21"/>
  <c r="X33" i="13" s="1"/>
  <c r="H27" i="3" s="1"/>
  <c r="W34" i="13"/>
  <c r="L168" i="21"/>
  <c r="X34" i="13" s="1"/>
  <c r="H28" i="3" s="1"/>
  <c r="L309" i="21"/>
  <c r="X64" i="13" s="1"/>
  <c r="H53" i="3" s="1"/>
  <c r="W64" i="13"/>
  <c r="L318" i="21"/>
  <c r="X65" i="13" s="1"/>
  <c r="H54" i="3" s="1"/>
  <c r="W65" i="13"/>
  <c r="W35" i="13"/>
  <c r="L176" i="21"/>
  <c r="X35" i="13" s="1"/>
  <c r="H29" i="3" s="1"/>
  <c r="L183" i="21"/>
  <c r="X36" i="13" s="1"/>
  <c r="H30" i="3" s="1"/>
  <c r="W36" i="13"/>
  <c r="L192" i="21"/>
  <c r="X37" i="13" s="1"/>
  <c r="H31" i="3" s="1"/>
  <c r="W37" i="13"/>
  <c r="L200" i="21"/>
  <c r="X38" i="13" s="1"/>
  <c r="H32" i="3" s="1"/>
  <c r="W38" i="13"/>
  <c r="W40" i="13"/>
  <c r="L209" i="21"/>
  <c r="X40" i="13" s="1"/>
  <c r="H33" i="3" s="1"/>
  <c r="L213" i="21"/>
  <c r="X41" i="13" s="1"/>
  <c r="H34" i="3" s="1"/>
  <c r="W41" i="13"/>
  <c r="L218" i="21"/>
  <c r="X43" i="13" s="1"/>
  <c r="H35" i="3" s="1"/>
  <c r="W43" i="13"/>
  <c r="W44" i="13"/>
  <c r="L223" i="21"/>
  <c r="X44" i="13" s="1"/>
  <c r="H36" i="3" s="1"/>
  <c r="W45" i="13"/>
  <c r="L228" i="21"/>
  <c r="X45" i="13" s="1"/>
  <c r="H37" i="3" s="1"/>
  <c r="L247" i="21"/>
  <c r="X51" i="13" s="1"/>
  <c r="H41" i="3" s="1"/>
  <c r="W51" i="13"/>
  <c r="W52" i="13"/>
  <c r="L251" i="21"/>
  <c r="X52" i="13" s="1"/>
  <c r="H42" i="3" s="1"/>
  <c r="W53" i="13"/>
  <c r="L255" i="21"/>
  <c r="X53" i="13" s="1"/>
  <c r="H43" i="3" s="1"/>
  <c r="L259" i="21"/>
  <c r="X54" i="13" s="1"/>
  <c r="H44" i="3" s="1"/>
  <c r="W54" i="13"/>
  <c r="W56" i="13"/>
  <c r="L264" i="21"/>
  <c r="X56" i="13" s="1"/>
  <c r="H46" i="3" s="1"/>
  <c r="W57" i="13"/>
  <c r="L268" i="21"/>
  <c r="X57" i="13" s="1"/>
  <c r="H47" i="3" s="1"/>
  <c r="L272" i="21"/>
  <c r="X58" i="13" s="1"/>
  <c r="H48" i="3" s="1"/>
  <c r="W58" i="13"/>
  <c r="W59" i="13"/>
  <c r="L277" i="21"/>
  <c r="X59" i="13" s="1"/>
  <c r="H49" i="3" s="1"/>
  <c r="L327" i="21"/>
  <c r="X66" i="13" s="1"/>
  <c r="H55" i="3" s="1"/>
  <c r="W66" i="13"/>
  <c r="L336" i="21"/>
  <c r="X68" i="13" s="1"/>
  <c r="H56" i="3" s="1"/>
  <c r="W68" i="13"/>
  <c r="L345" i="21"/>
  <c r="X69" i="13" s="1"/>
  <c r="H57" i="3" s="1"/>
  <c r="W69" i="13"/>
  <c r="W70" i="13"/>
  <c r="L349" i="21"/>
  <c r="X70" i="13" s="1"/>
  <c r="H58" i="3" s="1"/>
  <c r="L354" i="21"/>
  <c r="X71" i="13" s="1"/>
  <c r="H59" i="3" s="1"/>
  <c r="W71" i="13"/>
  <c r="I1837" i="25"/>
  <c r="I1834" i="25"/>
  <c r="I1832" i="25"/>
  <c r="I1836" i="25"/>
  <c r="I1835" i="25"/>
  <c r="I1833" i="25"/>
  <c r="P453" i="13"/>
  <c r="Q453" i="13" s="1"/>
  <c r="E398" i="3" s="1"/>
  <c r="C67" i="13"/>
  <c r="Z67" i="13"/>
  <c r="Z14" i="13"/>
  <c r="I537" i="13" a="1"/>
  <c r="J537" i="13" s="1"/>
  <c r="C14" i="13"/>
  <c r="I538" i="13" a="1"/>
  <c r="J538" i="13" s="1"/>
  <c r="M538" i="13" a="1"/>
  <c r="M537" i="13" a="1"/>
  <c r="Z25" i="13"/>
  <c r="C25" i="13"/>
  <c r="M547" i="13" a="1"/>
  <c r="I546" i="13" a="1"/>
  <c r="J546" i="13" s="1"/>
  <c r="M549" i="13" a="1"/>
  <c r="M548" i="13" a="1"/>
  <c r="I551" i="13" a="1"/>
  <c r="J551" i="13" s="1"/>
  <c r="I547" i="13" a="1"/>
  <c r="J547" i="13" s="1"/>
  <c r="M546" i="13" a="1"/>
  <c r="I548" i="13" a="1"/>
  <c r="J548" i="13" s="1"/>
  <c r="M551" i="13" a="1"/>
  <c r="Z42" i="13"/>
  <c r="I550" i="13" a="1"/>
  <c r="J550" i="13" s="1"/>
  <c r="I549" i="13" a="1"/>
  <c r="J549" i="13" s="1"/>
  <c r="C42" i="13"/>
  <c r="Q42" i="13" s="1"/>
  <c r="I552" i="13" a="1"/>
  <c r="J552" i="13" s="1"/>
  <c r="M552" i="13" a="1"/>
  <c r="M550" i="13" a="1"/>
  <c r="P66" i="30"/>
  <c r="P305" i="30"/>
  <c r="P454" i="30"/>
  <c r="F7" i="32"/>
  <c r="P561" i="30"/>
  <c r="P602" i="30"/>
  <c r="P310" i="30"/>
  <c r="P475" i="30"/>
  <c r="P322" i="30"/>
  <c r="P215" i="30"/>
  <c r="P202" i="30"/>
  <c r="P169" i="30"/>
  <c r="P434" i="30"/>
  <c r="P568" i="30"/>
  <c r="P293" i="30"/>
  <c r="P2" i="30"/>
  <c r="P13" i="30"/>
  <c r="P73" i="30"/>
  <c r="P283" i="30"/>
  <c r="P406" i="30"/>
  <c r="P157" i="30"/>
  <c r="P60" i="30"/>
  <c r="P8" i="30"/>
  <c r="P267" i="30"/>
  <c r="P571" i="30"/>
  <c r="P243" i="30"/>
  <c r="P95" i="30"/>
  <c r="P165" i="30"/>
  <c r="P409" i="30"/>
  <c r="P109" i="30"/>
  <c r="P199" i="30"/>
  <c r="P63" i="30"/>
  <c r="P422" i="30"/>
  <c r="P412" i="30"/>
  <c r="P456" i="30"/>
  <c r="P62" i="30"/>
  <c r="P364" i="30"/>
  <c r="P282" i="30"/>
  <c r="P228" i="30"/>
  <c r="P78" i="30"/>
  <c r="P557" i="30"/>
  <c r="P461" i="30"/>
  <c r="P101" i="30"/>
  <c r="P349" i="30"/>
  <c r="P290" i="30"/>
  <c r="P116" i="30"/>
  <c r="P335" i="30"/>
  <c r="P249" i="30"/>
  <c r="P130" i="30"/>
  <c r="P56" i="30"/>
  <c r="P250" i="13"/>
  <c r="Q250" i="13" s="1"/>
  <c r="E229" i="3" s="1"/>
  <c r="P247" i="30"/>
  <c r="P332" i="30"/>
  <c r="P44" i="30"/>
  <c r="W234" i="13"/>
  <c r="L1757" i="21"/>
  <c r="X234" i="13" s="1"/>
  <c r="H213" i="3" s="1"/>
  <c r="W235" i="13"/>
  <c r="L1762" i="21"/>
  <c r="X235" i="13" s="1"/>
  <c r="H214" i="3" s="1"/>
  <c r="L1767" i="21"/>
  <c r="X236" i="13" s="1"/>
  <c r="H215" i="3" s="1"/>
  <c r="W236" i="13"/>
  <c r="W237" i="13"/>
  <c r="L1774" i="21"/>
  <c r="X237" i="13" s="1"/>
  <c r="H216" i="3" s="1"/>
  <c r="W238" i="13"/>
  <c r="L1780" i="21"/>
  <c r="X238" i="13" s="1"/>
  <c r="H217" i="3" s="1"/>
  <c r="W239" i="13"/>
  <c r="L1782" i="21"/>
  <c r="X239" i="13" s="1"/>
  <c r="H218" i="3" s="1"/>
  <c r="L1792" i="21"/>
  <c r="X242" i="13" s="1"/>
  <c r="H221" i="3" s="1"/>
  <c r="W242" i="13"/>
  <c r="W243" i="13"/>
  <c r="L1799" i="21"/>
  <c r="X243" i="13" s="1"/>
  <c r="H222" i="3" s="1"/>
  <c r="W244" i="13"/>
  <c r="L1806" i="21"/>
  <c r="X244" i="13" s="1"/>
  <c r="H223" i="3" s="1"/>
  <c r="L1810" i="21"/>
  <c r="X245" i="13" s="1"/>
  <c r="H224" i="3" s="1"/>
  <c r="W245" i="13"/>
  <c r="W246" i="13"/>
  <c r="L1814" i="21"/>
  <c r="X246" i="13" s="1"/>
  <c r="H225" i="3" s="1"/>
  <c r="W247" i="13"/>
  <c r="L1817" i="21"/>
  <c r="X247" i="13" s="1"/>
  <c r="H226" i="3" s="1"/>
  <c r="W248" i="13"/>
  <c r="L1825" i="21"/>
  <c r="X248" i="13" s="1"/>
  <c r="H227" i="3" s="1"/>
  <c r="L1827" i="21"/>
  <c r="X249" i="13" s="1"/>
  <c r="H228" i="3" s="1"/>
  <c r="W249" i="13"/>
  <c r="L1832" i="21"/>
  <c r="X250" i="13" s="1"/>
  <c r="H229" i="3" s="1"/>
  <c r="W250" i="13"/>
  <c r="W251" i="13"/>
  <c r="L1838" i="21"/>
  <c r="X251" i="13" s="1"/>
  <c r="H230" i="3" s="1"/>
  <c r="W252" i="13"/>
  <c r="L1842" i="21"/>
  <c r="X252" i="13" s="1"/>
  <c r="H231" i="3" s="1"/>
  <c r="W253" i="13"/>
  <c r="L1847" i="21"/>
  <c r="X253" i="13" s="1"/>
  <c r="H232" i="3" s="1"/>
  <c r="P453" i="30"/>
  <c r="L1705" i="21"/>
  <c r="X226" i="13" s="1"/>
  <c r="H205" i="3" s="1"/>
  <c r="W226" i="13"/>
  <c r="W315" i="13"/>
  <c r="L1904" i="21"/>
  <c r="X315" i="13" s="1"/>
  <c r="H294" i="3" s="1"/>
  <c r="L1914" i="21"/>
  <c r="X331" i="13" s="1"/>
  <c r="H310" i="3" s="1"/>
  <c r="W331" i="13"/>
  <c r="L1928" i="21"/>
  <c r="X357" i="13" s="1"/>
  <c r="H336" i="3" s="1"/>
  <c r="W357" i="13"/>
  <c r="W220" i="13"/>
  <c r="L1934" i="21"/>
  <c r="X220" i="13" s="1"/>
  <c r="H199" i="3" s="1"/>
  <c r="W146" i="13"/>
  <c r="L1959" i="21"/>
  <c r="X146" i="13" s="1"/>
  <c r="H125" i="3" s="1"/>
  <c r="W151" i="13"/>
  <c r="L1996" i="21"/>
  <c r="X151" i="13" s="1"/>
  <c r="H130" i="3" s="1"/>
  <c r="L2007" i="21"/>
  <c r="X221" i="13" s="1"/>
  <c r="H200" i="3" s="1"/>
  <c r="W221" i="13"/>
  <c r="L1713" i="21"/>
  <c r="X227" i="13" s="1"/>
  <c r="H206" i="3" s="1"/>
  <c r="W227" i="13"/>
  <c r="L1721" i="21"/>
  <c r="X228" i="13" s="1"/>
  <c r="H207" i="3" s="1"/>
  <c r="W228" i="13"/>
  <c r="L1729" i="21"/>
  <c r="X229" i="13" s="1"/>
  <c r="H208" i="3" s="1"/>
  <c r="W229" i="13"/>
  <c r="W230" i="13"/>
  <c r="L1737" i="21"/>
  <c r="X230" i="13" s="1"/>
  <c r="H209" i="3" s="1"/>
  <c r="L1742" i="21"/>
  <c r="X231" i="13" s="1"/>
  <c r="H210" i="3" s="1"/>
  <c r="W231" i="13"/>
  <c r="W171" i="13"/>
  <c r="L2002" i="21"/>
  <c r="X171" i="13" s="1"/>
  <c r="H150" i="3" s="1"/>
  <c r="L1929" i="21"/>
  <c r="X163" i="13" s="1"/>
  <c r="H142" i="3" s="1"/>
  <c r="W163" i="13"/>
  <c r="W166" i="13"/>
  <c r="L1935" i="21"/>
  <c r="X166" i="13" s="1"/>
  <c r="H145" i="3" s="1"/>
  <c r="L233" i="21"/>
  <c r="X47" i="13" s="1"/>
  <c r="H38" i="3" s="1"/>
  <c r="W47" i="13"/>
  <c r="L237" i="21"/>
  <c r="X48" i="13" s="1"/>
  <c r="H39" i="3" s="1"/>
  <c r="W48" i="13"/>
  <c r="W49" i="13"/>
  <c r="L242" i="21"/>
  <c r="X49" i="13" s="1"/>
  <c r="H40" i="3" s="1"/>
  <c r="W570" i="13"/>
  <c r="L980" i="21"/>
  <c r="X570" i="13" s="1"/>
  <c r="H518" i="3" s="1"/>
  <c r="L985" i="21"/>
  <c r="X577" i="13" s="1"/>
  <c r="H525" i="3" s="1"/>
  <c r="W577" i="13"/>
  <c r="W579" i="13"/>
  <c r="L994" i="21"/>
  <c r="X579" i="13" s="1"/>
  <c r="H527" i="3" s="1"/>
  <c r="L1000" i="21"/>
  <c r="X585" i="13" s="1"/>
  <c r="H533" i="3" s="1"/>
  <c r="W585" i="13"/>
  <c r="W587" i="13"/>
  <c r="L1006" i="21"/>
  <c r="X587" i="13" s="1"/>
  <c r="H535" i="3" s="1"/>
  <c r="L1012" i="21"/>
  <c r="X580" i="13" s="1"/>
  <c r="H528" i="3" s="1"/>
  <c r="W580" i="13"/>
  <c r="W581" i="13"/>
  <c r="L1018" i="21"/>
  <c r="X581" i="13" s="1"/>
  <c r="H529" i="3" s="1"/>
  <c r="L1024" i="21"/>
  <c r="X582" i="13" s="1"/>
  <c r="H530" i="3" s="1"/>
  <c r="W582" i="13"/>
  <c r="W583" i="13"/>
  <c r="L1030" i="21"/>
  <c r="X583" i="13" s="1"/>
  <c r="H531" i="3" s="1"/>
  <c r="W584" i="13"/>
  <c r="L1037" i="21"/>
  <c r="X584" i="13" s="1"/>
  <c r="H532" i="3" s="1"/>
  <c r="L1046" i="21"/>
  <c r="X589" i="13" s="1"/>
  <c r="H537" i="3" s="1"/>
  <c r="W589" i="13"/>
  <c r="W588" i="13"/>
  <c r="L1051" i="21"/>
  <c r="X588" i="13" s="1"/>
  <c r="H536" i="3" s="1"/>
  <c r="W586" i="13"/>
  <c r="L1056" i="21"/>
  <c r="X586" i="13" s="1"/>
  <c r="H534" i="3" s="1"/>
  <c r="W591" i="13"/>
  <c r="L1063" i="21"/>
  <c r="X591" i="13" s="1"/>
  <c r="H539" i="3" s="1"/>
  <c r="L1068" i="21"/>
  <c r="X593" i="13" s="1"/>
  <c r="H541" i="3" s="1"/>
  <c r="W593" i="13"/>
  <c r="W590" i="13"/>
  <c r="L1074" i="21"/>
  <c r="X590" i="13" s="1"/>
  <c r="H538" i="3" s="1"/>
  <c r="W594" i="13"/>
  <c r="L1079" i="21"/>
  <c r="X594" i="13" s="1"/>
  <c r="H542" i="3" s="1"/>
  <c r="L1085" i="21"/>
  <c r="X592" i="13" s="1"/>
  <c r="H540" i="3" s="1"/>
  <c r="W592" i="13"/>
  <c r="L1094" i="21"/>
  <c r="X595" i="13" s="1"/>
  <c r="H543" i="3" s="1"/>
  <c r="W595" i="13"/>
  <c r="W596" i="13"/>
  <c r="L1099" i="21"/>
  <c r="X596" i="13" s="1"/>
  <c r="H544" i="3" s="1"/>
  <c r="W597" i="13"/>
  <c r="L1104" i="21"/>
  <c r="X597" i="13" s="1"/>
  <c r="H545" i="3" s="1"/>
  <c r="W611" i="13"/>
  <c r="L1109" i="21"/>
  <c r="X611" i="13" s="1"/>
  <c r="H559" i="3" s="1"/>
  <c r="W604" i="13"/>
  <c r="L1115" i="21"/>
  <c r="X604" i="13" s="1"/>
  <c r="H552" i="3" s="1"/>
  <c r="L1120" i="21"/>
  <c r="X605" i="13" s="1"/>
  <c r="H553" i="3" s="1"/>
  <c r="W605" i="13"/>
  <c r="L1125" i="21"/>
  <c r="X606" i="13" s="1"/>
  <c r="H554" i="3" s="1"/>
  <c r="W606" i="13"/>
  <c r="L1130" i="21"/>
  <c r="X607" i="13" s="1"/>
  <c r="H555" i="3" s="1"/>
  <c r="W607" i="13"/>
  <c r="L1137" i="21"/>
  <c r="X608" i="13" s="1"/>
  <c r="H556" i="3" s="1"/>
  <c r="W608" i="13"/>
  <c r="W610" i="13"/>
  <c r="L1146" i="21"/>
  <c r="X610" i="13" s="1"/>
  <c r="H558" i="3" s="1"/>
  <c r="W603" i="13"/>
  <c r="L1151" i="21"/>
  <c r="X603" i="13" s="1"/>
  <c r="H551" i="3" s="1"/>
  <c r="W602" i="13"/>
  <c r="L1156" i="21"/>
  <c r="X602" i="13" s="1"/>
  <c r="H550" i="3" s="1"/>
  <c r="W601" i="13"/>
  <c r="L1161" i="21"/>
  <c r="X601" i="13" s="1"/>
  <c r="H549" i="3" s="1"/>
  <c r="L1167" i="21"/>
  <c r="X609" i="13" s="1"/>
  <c r="H557" i="3" s="1"/>
  <c r="W609" i="13"/>
  <c r="W612" i="13"/>
  <c r="L1172" i="21"/>
  <c r="X612" i="13" s="1"/>
  <c r="H560" i="3" s="1"/>
  <c r="W599" i="13"/>
  <c r="L1178" i="21"/>
  <c r="X599" i="13" s="1"/>
  <c r="H547" i="3" s="1"/>
  <c r="L1184" i="21"/>
  <c r="X600" i="13" s="1"/>
  <c r="H548" i="3" s="1"/>
  <c r="W600" i="13"/>
  <c r="L1190" i="21"/>
  <c r="X529" i="13" s="1"/>
  <c r="H477" i="3" s="1"/>
  <c r="W529" i="13"/>
  <c r="W598" i="13"/>
  <c r="L1199" i="21"/>
  <c r="X598" i="13" s="1"/>
  <c r="H546" i="3" s="1"/>
  <c r="L1206" i="21"/>
  <c r="X131" i="13" s="1"/>
  <c r="H110" i="3" s="1"/>
  <c r="W131" i="13"/>
  <c r="L1212" i="21"/>
  <c r="X132" i="13" s="1"/>
  <c r="H111" i="3" s="1"/>
  <c r="W132" i="13"/>
  <c r="L1217" i="21"/>
  <c r="X133" i="13" s="1"/>
  <c r="H112" i="3" s="1"/>
  <c r="W133" i="13"/>
  <c r="L1224" i="21"/>
  <c r="X134" i="13" s="1"/>
  <c r="H113" i="3" s="1"/>
  <c r="W134" i="13"/>
  <c r="P473" i="30"/>
  <c r="L1849" i="21"/>
  <c r="X255" i="13" s="1"/>
  <c r="H234" i="3" s="1"/>
  <c r="W255" i="13"/>
  <c r="L1856" i="21"/>
  <c r="X269" i="13" s="1"/>
  <c r="H248" i="3" s="1"/>
  <c r="W269" i="13"/>
  <c r="L1678" i="21"/>
  <c r="X222" i="13" s="1"/>
  <c r="H201" i="3" s="1"/>
  <c r="W222" i="13"/>
  <c r="L1870" i="21"/>
  <c r="X273" i="13" s="1"/>
  <c r="H252" i="3" s="1"/>
  <c r="W273" i="13"/>
  <c r="W277" i="13"/>
  <c r="L1876" i="21"/>
  <c r="X277" i="13" s="1"/>
  <c r="H256" i="3" s="1"/>
  <c r="W333" i="13"/>
  <c r="L1915" i="21"/>
  <c r="X333" i="13" s="1"/>
  <c r="H312" i="3" s="1"/>
  <c r="L1916" i="21"/>
  <c r="X335" i="13" s="1"/>
  <c r="H314" i="3" s="1"/>
  <c r="W335" i="13"/>
  <c r="W337" i="13"/>
  <c r="L1917" i="21"/>
  <c r="X337" i="13" s="1"/>
  <c r="H316" i="3" s="1"/>
  <c r="P265" i="30"/>
  <c r="P108" i="30"/>
  <c r="E461" i="3"/>
  <c r="P300" i="13"/>
  <c r="P460" i="13"/>
  <c r="Q460" i="13" s="1"/>
  <c r="E405" i="3" s="1"/>
  <c r="P618" i="13"/>
  <c r="Q618" i="13" s="1"/>
  <c r="E352" i="3" s="1"/>
  <c r="P443" i="13"/>
  <c r="Q443" i="13" s="1"/>
  <c r="E388" i="3" s="1"/>
  <c r="P438" i="13"/>
  <c r="Q438" i="13" s="1"/>
  <c r="E383" i="3" s="1"/>
  <c r="P317" i="30"/>
  <c r="P94" i="30"/>
  <c r="P236" i="30"/>
  <c r="P164" i="30"/>
  <c r="W162" i="13"/>
  <c r="L1948" i="21"/>
  <c r="X162" i="13" s="1"/>
  <c r="H141" i="3" s="1"/>
  <c r="L1975" i="21"/>
  <c r="X148" i="13" s="1"/>
  <c r="H127" i="3" s="1"/>
  <c r="W148" i="13"/>
  <c r="W149" i="13"/>
  <c r="L1983" i="21"/>
  <c r="X149" i="13" s="1"/>
  <c r="H128" i="3" s="1"/>
  <c r="W164" i="13"/>
  <c r="L2001" i="21"/>
  <c r="X164" i="13" s="1"/>
  <c r="H143" i="3" s="1"/>
  <c r="P138" i="30"/>
  <c r="P423" i="30"/>
  <c r="P350" i="13"/>
  <c r="Q350" i="13" s="1"/>
  <c r="E329" i="3" s="1"/>
  <c r="P440" i="13"/>
  <c r="Q440" i="13" s="1"/>
  <c r="E385" i="3" s="1"/>
  <c r="P483" i="13"/>
  <c r="Q483" i="13" s="1"/>
  <c r="E431" i="3" s="1"/>
  <c r="P482" i="13"/>
  <c r="Q482" i="13" s="1"/>
  <c r="E430" i="3" s="1"/>
  <c r="P359" i="13"/>
  <c r="P410" i="13"/>
  <c r="Q410" i="13" s="1"/>
  <c r="E355" i="3" s="1"/>
  <c r="P284" i="13"/>
  <c r="Q284" i="13" s="1"/>
  <c r="E263" i="3" s="1"/>
  <c r="P257" i="30"/>
  <c r="P288" i="30"/>
  <c r="P596" i="30"/>
  <c r="P354" i="30"/>
  <c r="P272" i="30"/>
  <c r="P375" i="30"/>
  <c r="P612" i="30"/>
  <c r="P393" i="30"/>
  <c r="P127" i="30"/>
  <c r="P166" i="30"/>
  <c r="P137" i="30"/>
  <c r="P17" i="30"/>
  <c r="P418" i="30"/>
  <c r="P43" i="30"/>
  <c r="P438" i="30"/>
  <c r="P175" i="30"/>
  <c r="P135" i="30"/>
  <c r="P273" i="30"/>
  <c r="P344" i="30"/>
  <c r="P264" i="30"/>
  <c r="P326" i="30"/>
  <c r="P548" i="30"/>
  <c r="P120" i="30"/>
  <c r="N532" i="13"/>
  <c r="P532" i="13"/>
  <c r="N523" i="13"/>
  <c r="P523" i="13"/>
  <c r="L531" i="13"/>
  <c r="C531" i="13" s="1"/>
  <c r="K531" i="13"/>
  <c r="L535" i="13"/>
  <c r="C535" i="13" s="1"/>
  <c r="K535" i="13"/>
  <c r="P531" i="13"/>
  <c r="N531" i="13"/>
  <c r="K523" i="13"/>
  <c r="L523" i="13"/>
  <c r="C523" i="13" s="1"/>
  <c r="Q523" i="13" s="1"/>
  <c r="L533" i="13"/>
  <c r="C533" i="13" s="1"/>
  <c r="K533" i="13"/>
  <c r="P525" i="13"/>
  <c r="N525" i="13"/>
  <c r="N535" i="13"/>
  <c r="P535" i="13"/>
  <c r="L536" i="13"/>
  <c r="C536" i="13" s="1"/>
  <c r="Q536" i="13" s="1"/>
  <c r="K536" i="13"/>
  <c r="L532" i="13"/>
  <c r="C532" i="13" s="1"/>
  <c r="Q532" i="13" s="1"/>
  <c r="K532" i="13"/>
  <c r="L527" i="13"/>
  <c r="C527" i="13" s="1"/>
  <c r="K527" i="13"/>
  <c r="N530" i="13"/>
  <c r="L530" i="13"/>
  <c r="C530" i="13" s="1"/>
  <c r="K530" i="13"/>
  <c r="N533" i="13"/>
  <c r="P533" i="13"/>
  <c r="N520" i="13"/>
  <c r="P520" i="13"/>
  <c r="K521" i="13"/>
  <c r="L521" i="13"/>
  <c r="C521" i="13" s="1"/>
  <c r="L520" i="13"/>
  <c r="C520" i="13" s="1"/>
  <c r="Q520" i="13" s="1"/>
  <c r="K520" i="13"/>
  <c r="L525" i="13"/>
  <c r="C525" i="13" s="1"/>
  <c r="K525" i="13"/>
  <c r="N527" i="13"/>
  <c r="P521" i="13"/>
  <c r="N521" i="13"/>
  <c r="N536" i="13"/>
  <c r="P536" i="13"/>
  <c r="K542" i="13"/>
  <c r="L542" i="13"/>
  <c r="C542" i="13" s="1"/>
  <c r="N542" i="13"/>
  <c r="P542" i="13"/>
  <c r="L564" i="13"/>
  <c r="C564" i="13" s="1"/>
  <c r="K564" i="13"/>
  <c r="N565" i="13"/>
  <c r="P565" i="13"/>
  <c r="L566" i="13"/>
  <c r="C566" i="13" s="1"/>
  <c r="K566" i="13"/>
  <c r="N561" i="13"/>
  <c r="P561" i="13"/>
  <c r="N566" i="13"/>
  <c r="P563" i="13"/>
  <c r="N563" i="13"/>
  <c r="K562" i="13"/>
  <c r="L562" i="13"/>
  <c r="C562" i="13" s="1"/>
  <c r="K563" i="13"/>
  <c r="L563" i="13"/>
  <c r="C563" i="13" s="1"/>
  <c r="Q563" i="13" s="1"/>
  <c r="N562" i="13"/>
  <c r="L561" i="13"/>
  <c r="C561" i="13" s="1"/>
  <c r="K561" i="13"/>
  <c r="N564" i="13"/>
  <c r="P564" i="13"/>
  <c r="L565" i="13"/>
  <c r="C565" i="13" s="1"/>
  <c r="Q565" i="13" s="1"/>
  <c r="K565" i="13"/>
  <c r="L575" i="13"/>
  <c r="C575" i="13" s="1"/>
  <c r="K575" i="13"/>
  <c r="N574" i="13"/>
  <c r="L570" i="13"/>
  <c r="C570" i="13" s="1"/>
  <c r="K570" i="13"/>
  <c r="P571" i="13"/>
  <c r="N571" i="13"/>
  <c r="P577" i="13"/>
  <c r="N577" i="13"/>
  <c r="P570" i="13"/>
  <c r="N570" i="13"/>
  <c r="N578" i="13"/>
  <c r="K576" i="13"/>
  <c r="L576" i="13"/>
  <c r="C576" i="13" s="1"/>
  <c r="L574" i="13"/>
  <c r="C574" i="13" s="1"/>
  <c r="K574" i="13"/>
  <c r="N572" i="13"/>
  <c r="N573" i="13"/>
  <c r="N575" i="13"/>
  <c r="K573" i="13"/>
  <c r="L573" i="13"/>
  <c r="C573" i="13" s="1"/>
  <c r="P576" i="13"/>
  <c r="N576" i="13"/>
  <c r="K572" i="13"/>
  <c r="L572" i="13"/>
  <c r="C572" i="13" s="1"/>
  <c r="L577" i="13"/>
  <c r="C577" i="13" s="1"/>
  <c r="Q577" i="13" s="1"/>
  <c r="K577" i="13"/>
  <c r="L578" i="13"/>
  <c r="C578" i="13" s="1"/>
  <c r="K578" i="13"/>
  <c r="L571" i="13"/>
  <c r="C571" i="13" s="1"/>
  <c r="Q571" i="13" s="1"/>
  <c r="K571" i="13"/>
  <c r="N582" i="13"/>
  <c r="K579" i="13"/>
  <c r="L579" i="13"/>
  <c r="C579" i="13" s="1"/>
  <c r="P579" i="13"/>
  <c r="N579" i="13"/>
  <c r="L588" i="13"/>
  <c r="C588" i="13" s="1"/>
  <c r="K588" i="13"/>
  <c r="L580" i="13"/>
  <c r="C580" i="13" s="1"/>
  <c r="K580" i="13"/>
  <c r="L585" i="13"/>
  <c r="C585" i="13" s="1"/>
  <c r="K585" i="13"/>
  <c r="P586" i="13"/>
  <c r="N586" i="13"/>
  <c r="N584" i="13"/>
  <c r="N585" i="13"/>
  <c r="P585" i="13"/>
  <c r="L583" i="13"/>
  <c r="C583" i="13" s="1"/>
  <c r="K583" i="13"/>
  <c r="K589" i="13"/>
  <c r="L589" i="13"/>
  <c r="C589" i="13" s="1"/>
  <c r="N581" i="13"/>
  <c r="N583" i="13"/>
  <c r="K587" i="13"/>
  <c r="L587" i="13"/>
  <c r="C587" i="13" s="1"/>
  <c r="N587" i="13"/>
  <c r="K582" i="13"/>
  <c r="L582" i="13"/>
  <c r="C582" i="13" s="1"/>
  <c r="N588" i="13"/>
  <c r="N580" i="13"/>
  <c r="P580" i="13"/>
  <c r="L586" i="13"/>
  <c r="C586" i="13" s="1"/>
  <c r="Q586" i="13" s="1"/>
  <c r="K586" i="13"/>
  <c r="L581" i="13"/>
  <c r="C581" i="13" s="1"/>
  <c r="K581" i="13"/>
  <c r="N589" i="13"/>
  <c r="P589" i="13"/>
  <c r="L584" i="13"/>
  <c r="C584" i="13" s="1"/>
  <c r="K584" i="13"/>
  <c r="N606" i="13"/>
  <c r="P611" i="13"/>
  <c r="N611" i="13"/>
  <c r="L605" i="13"/>
  <c r="C605" i="13" s="1"/>
  <c r="K605" i="13"/>
  <c r="L607" i="13"/>
  <c r="C607" i="13" s="1"/>
  <c r="K607" i="13"/>
  <c r="N603" i="13"/>
  <c r="P603" i="13"/>
  <c r="K599" i="13"/>
  <c r="L599" i="13"/>
  <c r="C599" i="13" s="1"/>
  <c r="N608" i="13"/>
  <c r="N602" i="13"/>
  <c r="L604" i="13"/>
  <c r="C604" i="13" s="1"/>
  <c r="K604" i="13"/>
  <c r="K608" i="13"/>
  <c r="L608" i="13"/>
  <c r="C608" i="13" s="1"/>
  <c r="N599" i="13"/>
  <c r="P599" i="13"/>
  <c r="N601" i="13"/>
  <c r="P612" i="13"/>
  <c r="N612" i="13"/>
  <c r="L603" i="13"/>
  <c r="C603" i="13" s="1"/>
  <c r="Q603" i="13" s="1"/>
  <c r="K603" i="13"/>
  <c r="N605" i="13"/>
  <c r="L611" i="13"/>
  <c r="C611" i="13" s="1"/>
  <c r="Q611" i="13" s="1"/>
  <c r="K611" i="13"/>
  <c r="P604" i="13"/>
  <c r="N604" i="13"/>
  <c r="N610" i="13"/>
  <c r="L601" i="13"/>
  <c r="C601" i="13" s="1"/>
  <c r="K601" i="13"/>
  <c r="N607" i="13"/>
  <c r="K602" i="13"/>
  <c r="L602" i="13"/>
  <c r="C602" i="13" s="1"/>
  <c r="K609" i="13"/>
  <c r="L609" i="13"/>
  <c r="C609" i="13" s="1"/>
  <c r="L610" i="13"/>
  <c r="C610" i="13" s="1"/>
  <c r="K610" i="13"/>
  <c r="N609" i="13"/>
  <c r="K606" i="13"/>
  <c r="L606" i="13"/>
  <c r="C606" i="13" s="1"/>
  <c r="L612" i="13"/>
  <c r="C612" i="13" s="1"/>
  <c r="Q612" i="13" s="1"/>
  <c r="K612" i="13"/>
  <c r="I1895" i="25"/>
  <c r="I1894" i="25"/>
  <c r="I1893" i="25"/>
  <c r="I1892" i="25"/>
  <c r="I1891" i="25"/>
  <c r="I1890" i="25"/>
  <c r="I1889" i="25"/>
  <c r="I1888" i="25"/>
  <c r="I1887" i="25"/>
  <c r="I1886" i="25"/>
  <c r="I1885" i="25"/>
  <c r="I540" i="13" a="1"/>
  <c r="J540" i="13" s="1"/>
  <c r="M540" i="13" a="1"/>
  <c r="C22" i="13"/>
  <c r="Z22" i="13"/>
  <c r="C39" i="13"/>
  <c r="I544" i="13" a="1"/>
  <c r="J544" i="13" s="1"/>
  <c r="M544" i="13" a="1"/>
  <c r="I545" i="13" a="1"/>
  <c r="J545" i="13" s="1"/>
  <c r="M545" i="13" a="1"/>
  <c r="Z39" i="13"/>
  <c r="M557" i="13" a="1"/>
  <c r="Z50" i="13"/>
  <c r="I557" i="13" a="1"/>
  <c r="J557" i="13" s="1"/>
  <c r="C50" i="13"/>
  <c r="Q50" i="13" s="1"/>
  <c r="M68" i="13" a="1"/>
  <c r="I559" i="13" a="1"/>
  <c r="J559" i="13" s="1"/>
  <c r="C61" i="13"/>
  <c r="Q61" i="13" s="1"/>
  <c r="M559" i="13" a="1"/>
  <c r="I68" i="13" a="1"/>
  <c r="J68" i="13" s="1"/>
  <c r="Z61" i="13"/>
  <c r="M567" i="13" a="1"/>
  <c r="C86" i="13"/>
  <c r="Q86" i="13" s="1"/>
  <c r="Z86" i="13"/>
  <c r="I567" i="13" a="1"/>
  <c r="J567" i="13" s="1"/>
  <c r="C94" i="13"/>
  <c r="I569" i="13" a="1"/>
  <c r="J569" i="13" s="1"/>
  <c r="Z94" i="13"/>
  <c r="M568" i="13" a="1"/>
  <c r="I568" i="13" a="1"/>
  <c r="J568" i="13" s="1"/>
  <c r="M569" i="13" a="1"/>
  <c r="I593" i="13" a="1"/>
  <c r="J593" i="13" s="1"/>
  <c r="M592" i="13" a="1"/>
  <c r="I590" i="13" a="1"/>
  <c r="J590" i="13" s="1"/>
  <c r="M591" i="13" a="1"/>
  <c r="C107" i="13"/>
  <c r="I591" i="13" a="1"/>
  <c r="J591" i="13" s="1"/>
  <c r="M593" i="13" a="1"/>
  <c r="M590" i="13" a="1"/>
  <c r="M594" i="13" a="1"/>
  <c r="I594" i="13" a="1"/>
  <c r="J594" i="13" s="1"/>
  <c r="Z107" i="13"/>
  <c r="I592" i="13" a="1"/>
  <c r="J592" i="13" s="1"/>
  <c r="I596" i="13" a="1"/>
  <c r="J596" i="13" s="1"/>
  <c r="M595" i="13" a="1"/>
  <c r="I595" i="13" a="1"/>
  <c r="J595" i="13" s="1"/>
  <c r="C114" i="13"/>
  <c r="Z114" i="13"/>
  <c r="M596" i="13" a="1"/>
  <c r="M597" i="13" a="1"/>
  <c r="I597" i="13" a="1"/>
  <c r="J597" i="13" s="1"/>
  <c r="M598" i="13" a="1"/>
  <c r="C122" i="13"/>
  <c r="Q122" i="13" s="1"/>
  <c r="Z122" i="13"/>
  <c r="I598" i="13" a="1"/>
  <c r="J598" i="13" s="1"/>
  <c r="P283" i="13"/>
  <c r="P299" i="13"/>
  <c r="Q299" i="13" s="1"/>
  <c r="E278" i="3" s="1"/>
  <c r="P259" i="13"/>
  <c r="P351" i="13"/>
  <c r="Q351" i="13" s="1"/>
  <c r="E330" i="3" s="1"/>
  <c r="I1927" i="25"/>
  <c r="I1926" i="25"/>
  <c r="I1925" i="25"/>
  <c r="I1924" i="25"/>
  <c r="I1923" i="25"/>
  <c r="I289" i="25"/>
  <c r="I287" i="25"/>
  <c r="I285" i="25"/>
  <c r="I283" i="25"/>
  <c r="I290" i="25"/>
  <c r="I288" i="25"/>
  <c r="I286" i="25"/>
  <c r="I284" i="25"/>
  <c r="I282" i="25"/>
  <c r="P450" i="13"/>
  <c r="Q450" i="13" s="1"/>
  <c r="E395" i="3" s="1"/>
  <c r="P144" i="13"/>
  <c r="Q144" i="13" s="1"/>
  <c r="E123" i="3" s="1"/>
  <c r="P131" i="13"/>
  <c r="Q131" i="13" s="1"/>
  <c r="E110" i="3" s="1"/>
  <c r="P135" i="13"/>
  <c r="Q135" i="13" s="1"/>
  <c r="E114" i="3" s="1"/>
  <c r="P155" i="13"/>
  <c r="Q155" i="13" s="1"/>
  <c r="E134" i="3" s="1"/>
  <c r="P360" i="13"/>
  <c r="Q360" i="13" s="1"/>
  <c r="E339" i="3" s="1"/>
  <c r="P168" i="13"/>
  <c r="Q168" i="13" s="1"/>
  <c r="E147" i="3" s="1"/>
  <c r="P170" i="13"/>
  <c r="Q170" i="13" s="1"/>
  <c r="E149" i="3" s="1"/>
  <c r="I725" i="25"/>
  <c r="I727" i="25"/>
  <c r="I729" i="25"/>
  <c r="I731" i="25"/>
  <c r="I724" i="25"/>
  <c r="I726" i="25"/>
  <c r="I728" i="25"/>
  <c r="I730" i="25"/>
  <c r="I732" i="25"/>
  <c r="P356" i="13"/>
  <c r="I118" i="25"/>
  <c r="I117" i="25"/>
  <c r="I116" i="25"/>
  <c r="I115" i="25"/>
  <c r="I114" i="25"/>
  <c r="I113" i="25"/>
  <c r="I112" i="25"/>
  <c r="I111" i="25"/>
  <c r="I110" i="25"/>
  <c r="P22" i="13"/>
  <c r="I160" i="25"/>
  <c r="I158" i="25"/>
  <c r="I155" i="25"/>
  <c r="I153" i="25"/>
  <c r="I159" i="25"/>
  <c r="I157" i="25"/>
  <c r="I156" i="25"/>
  <c r="I154" i="25"/>
  <c r="I152" i="25"/>
  <c r="I1634" i="25"/>
  <c r="I1633" i="25"/>
  <c r="I1632" i="25"/>
  <c r="I1631" i="25"/>
  <c r="I1630" i="25"/>
  <c r="I1629" i="25"/>
  <c r="I1628" i="25"/>
  <c r="I1627" i="25"/>
  <c r="I1626" i="25"/>
  <c r="I1625" i="25"/>
  <c r="I1624" i="25"/>
  <c r="I1623" i="25"/>
  <c r="I317" i="25"/>
  <c r="I316" i="25"/>
  <c r="I315" i="25"/>
  <c r="I314" i="25"/>
  <c r="I313" i="25"/>
  <c r="I312" i="25"/>
  <c r="I309" i="25"/>
  <c r="I311" i="25"/>
  <c r="I310" i="25"/>
  <c r="I326" i="25"/>
  <c r="I325" i="25"/>
  <c r="I324" i="25"/>
  <c r="I323" i="25"/>
  <c r="I322" i="25"/>
  <c r="I321" i="25"/>
  <c r="I320" i="25"/>
  <c r="I319" i="25"/>
  <c r="I318" i="25"/>
  <c r="P66" i="13"/>
  <c r="Q66" i="13" s="1"/>
  <c r="E55" i="3" s="1"/>
  <c r="I521" i="25"/>
  <c r="I520" i="25"/>
  <c r="I519" i="25"/>
  <c r="I518" i="25"/>
  <c r="I517" i="25"/>
  <c r="I516" i="25"/>
  <c r="I515" i="25"/>
  <c r="I533" i="25"/>
  <c r="I532" i="25"/>
  <c r="I531" i="25"/>
  <c r="I530" i="25"/>
  <c r="I529" i="25"/>
  <c r="I528" i="25"/>
  <c r="I1990" i="25"/>
  <c r="I1989" i="25"/>
  <c r="I1988" i="25"/>
  <c r="I1987" i="25"/>
  <c r="I1986" i="25"/>
  <c r="I1985" i="25"/>
  <c r="I1984" i="25"/>
  <c r="I1983" i="25"/>
  <c r="I2000" i="25"/>
  <c r="I1999" i="25"/>
  <c r="I1998" i="25"/>
  <c r="I1997" i="25"/>
  <c r="I1996" i="25"/>
  <c r="I1958" i="25"/>
  <c r="I1957" i="25"/>
  <c r="I1956" i="25"/>
  <c r="I1955" i="25"/>
  <c r="I1954" i="25"/>
  <c r="I1953" i="25"/>
  <c r="I1952" i="25"/>
  <c r="I1951" i="25"/>
  <c r="I1950" i="25"/>
  <c r="I1949" i="25"/>
  <c r="I1948" i="25"/>
  <c r="I2005" i="25"/>
  <c r="I2006" i="25"/>
  <c r="I2002" i="25"/>
  <c r="I2003" i="25"/>
  <c r="I2004" i="25"/>
  <c r="I1995" i="25"/>
  <c r="I1994" i="25"/>
  <c r="I1993" i="25"/>
  <c r="I1992" i="25"/>
  <c r="I1991" i="25"/>
  <c r="I1982" i="25"/>
  <c r="I1981" i="25"/>
  <c r="I1980" i="25"/>
  <c r="I1979" i="25"/>
  <c r="I1978" i="25"/>
  <c r="I1977" i="25"/>
  <c r="I1976" i="25"/>
  <c r="I1975" i="25"/>
  <c r="I1947" i="25"/>
  <c r="I1946" i="25"/>
  <c r="I1945" i="25"/>
  <c r="I1944" i="25"/>
  <c r="I1943" i="25"/>
  <c r="I1942" i="25"/>
  <c r="I1941" i="25"/>
  <c r="I1940" i="25"/>
  <c r="I1939" i="25"/>
  <c r="I1938" i="25"/>
  <c r="I1937" i="25"/>
  <c r="I2008" i="25"/>
  <c r="I2010" i="25"/>
  <c r="I2007" i="25"/>
  <c r="I2009" i="25"/>
  <c r="I1674" i="25"/>
  <c r="I1673" i="25"/>
  <c r="I1672" i="25"/>
  <c r="I1671" i="25"/>
  <c r="I1677" i="25"/>
  <c r="I1676" i="25"/>
  <c r="I1675" i="25"/>
  <c r="I762" i="25"/>
  <c r="I761" i="25"/>
  <c r="I760" i="25"/>
  <c r="I759" i="25"/>
  <c r="I758" i="25"/>
  <c r="I757" i="25"/>
  <c r="I756" i="25"/>
  <c r="I755" i="25"/>
  <c r="I754" i="25"/>
  <c r="I307" i="25"/>
  <c r="I305" i="25"/>
  <c r="I303" i="25"/>
  <c r="I301" i="25"/>
  <c r="I308" i="25"/>
  <c r="I306" i="25"/>
  <c r="I304" i="25"/>
  <c r="I302" i="25"/>
  <c r="I300" i="25"/>
  <c r="I539" i="25"/>
  <c r="I540" i="25"/>
  <c r="I541" i="25"/>
  <c r="I543" i="25"/>
  <c r="I545" i="25"/>
  <c r="I542" i="25"/>
  <c r="I544" i="25"/>
  <c r="I538" i="25"/>
  <c r="I537" i="25"/>
  <c r="I536" i="25"/>
  <c r="I535" i="25"/>
  <c r="I534" i="25"/>
  <c r="I551" i="25"/>
  <c r="I550" i="25"/>
  <c r="I549" i="25"/>
  <c r="I548" i="25"/>
  <c r="I547" i="25"/>
  <c r="I546" i="25"/>
  <c r="I1481" i="25"/>
  <c r="E172" i="3"/>
  <c r="I1974" i="25"/>
  <c r="I1973" i="25"/>
  <c r="I1972" i="25"/>
  <c r="I1971" i="25"/>
  <c r="I1970" i="25"/>
  <c r="I1969" i="25"/>
  <c r="I1968" i="25"/>
  <c r="I1967" i="25"/>
  <c r="I1933" i="25"/>
  <c r="I1932" i="25"/>
  <c r="I1931" i="25"/>
  <c r="I1930" i="25"/>
  <c r="I1966" i="25"/>
  <c r="I1965" i="25"/>
  <c r="I1964" i="25"/>
  <c r="I1963" i="25"/>
  <c r="I1962" i="25"/>
  <c r="I1961" i="25"/>
  <c r="I1960" i="25"/>
  <c r="I1959" i="25"/>
  <c r="I667" i="25"/>
  <c r="I666" i="25"/>
  <c r="I665" i="25"/>
  <c r="I664" i="25"/>
  <c r="I663" i="25"/>
  <c r="I662" i="25"/>
  <c r="I661" i="25"/>
  <c r="I660" i="25"/>
  <c r="I659" i="25"/>
  <c r="I658" i="25"/>
  <c r="I657" i="25"/>
  <c r="I656" i="25"/>
  <c r="I655" i="25"/>
  <c r="I654" i="25"/>
  <c r="I558" i="13" a="1"/>
  <c r="J558" i="13" s="1"/>
  <c r="M560" i="13" a="1"/>
  <c r="I560" i="13" a="1"/>
  <c r="J560" i="13" s="1"/>
  <c r="M558" i="13" a="1"/>
  <c r="P254" i="13"/>
  <c r="P285" i="13"/>
  <c r="Q285" i="13" s="1"/>
  <c r="E264" i="3" s="1"/>
  <c r="P163" i="13"/>
  <c r="Q163" i="13" s="1"/>
  <c r="E142" i="3" s="1"/>
  <c r="P219" i="13"/>
  <c r="Q219" i="13" s="1"/>
  <c r="E198" i="3" s="1"/>
  <c r="P109" i="13"/>
  <c r="P110" i="13"/>
  <c r="Q110" i="13" s="1"/>
  <c r="E92" i="3" s="1"/>
  <c r="P112" i="13"/>
  <c r="Q112" i="13" s="1"/>
  <c r="E94" i="3" s="1"/>
  <c r="P220" i="13"/>
  <c r="Q220" i="13" s="1"/>
  <c r="E199" i="3" s="1"/>
  <c r="P165" i="13"/>
  <c r="Q165" i="13" s="1"/>
  <c r="E144" i="3" s="1"/>
  <c r="P221" i="13"/>
  <c r="Q221" i="13" s="1"/>
  <c r="E200" i="3" s="1"/>
  <c r="P166" i="13"/>
  <c r="Q166" i="13" s="1"/>
  <c r="E145" i="3" s="1"/>
  <c r="I1934" i="25"/>
  <c r="P164" i="13"/>
  <c r="Q164" i="13" s="1"/>
  <c r="E143" i="3" s="1"/>
  <c r="I1935" i="25"/>
  <c r="P161" i="13"/>
  <c r="Q161" i="13" s="1"/>
  <c r="E140" i="3" s="1"/>
  <c r="I1936" i="25"/>
  <c r="P148" i="13"/>
  <c r="Q148" i="13" s="1"/>
  <c r="E127" i="3" s="1"/>
  <c r="P150" i="13"/>
  <c r="Q150" i="13" s="1"/>
  <c r="E129" i="3" s="1"/>
  <c r="P146" i="13"/>
  <c r="Q146" i="13" s="1"/>
  <c r="E125" i="3" s="1"/>
  <c r="I2001" i="25"/>
  <c r="P171" i="13"/>
  <c r="Q171" i="13" s="1"/>
  <c r="E150" i="3" s="1"/>
  <c r="I1929" i="25"/>
  <c r="P167" i="13"/>
  <c r="Q167" i="13" s="1"/>
  <c r="E146" i="3" s="1"/>
  <c r="D2" i="13"/>
  <c r="I518" i="13" a="1"/>
  <c r="J518" i="13" s="1"/>
  <c r="M518" i="13" a="1"/>
  <c r="P457" i="30"/>
  <c r="P227" i="30"/>
  <c r="P397" i="30"/>
  <c r="P80" i="30"/>
  <c r="P531" i="30"/>
  <c r="P314" i="30"/>
  <c r="P575" i="30"/>
  <c r="P323" i="30"/>
  <c r="P98" i="30"/>
  <c r="P187" i="30"/>
  <c r="P309" i="30"/>
  <c r="P148" i="30"/>
  <c r="P564" i="30"/>
  <c r="P462" i="30"/>
  <c r="P171" i="30"/>
  <c r="P494" i="30"/>
  <c r="P488" i="30"/>
  <c r="P430" i="30"/>
  <c r="P421" i="30"/>
  <c r="P196" i="30"/>
  <c r="P82" i="30"/>
  <c r="P47" i="30"/>
  <c r="P459" i="30"/>
  <c r="P186" i="30"/>
  <c r="P405" i="30"/>
  <c r="P483" i="30"/>
  <c r="P203" i="30"/>
  <c r="V4" i="27" a="1"/>
  <c r="P541" i="30"/>
  <c r="P398" i="30"/>
  <c r="P392" i="30"/>
  <c r="P284" i="30"/>
  <c r="P493" i="30"/>
  <c r="P176" i="30"/>
  <c r="W80" i="13"/>
  <c r="L395" i="21"/>
  <c r="W81" i="13"/>
  <c r="L400" i="21"/>
  <c r="X81" i="13" s="1"/>
  <c r="H68" i="3" s="1"/>
  <c r="W82" i="13"/>
  <c r="L405" i="21"/>
  <c r="X82" i="13" s="1"/>
  <c r="H69" i="3" s="1"/>
  <c r="W83" i="13"/>
  <c r="L410" i="21"/>
  <c r="X83" i="13" s="1"/>
  <c r="H70" i="3" s="1"/>
  <c r="W84" i="13"/>
  <c r="L416" i="21"/>
  <c r="X84" i="13" s="1"/>
  <c r="H71" i="3" s="1"/>
  <c r="W85" i="13"/>
  <c r="L424" i="21"/>
  <c r="X85" i="13" s="1"/>
  <c r="H72" i="3" s="1"/>
  <c r="W87" i="13"/>
  <c r="L429" i="21"/>
  <c r="X87" i="13" s="1"/>
  <c r="H73" i="3" s="1"/>
  <c r="W88" i="13"/>
  <c r="L433" i="21"/>
  <c r="X88" i="13" s="1"/>
  <c r="H74" i="3" s="1"/>
  <c r="W89" i="13"/>
  <c r="L437" i="21"/>
  <c r="X89" i="13" s="1"/>
  <c r="H75" i="3" s="1"/>
  <c r="W90" i="13"/>
  <c r="L441" i="21"/>
  <c r="X90" i="13" s="1"/>
  <c r="H76" i="3" s="1"/>
  <c r="W91" i="13"/>
  <c r="L446" i="21"/>
  <c r="X91" i="13" s="1"/>
  <c r="H77" i="3" s="1"/>
  <c r="W92" i="13"/>
  <c r="L451" i="21"/>
  <c r="X92" i="13" s="1"/>
  <c r="H78" i="3" s="1"/>
  <c r="L456" i="21"/>
  <c r="X93" i="13" s="1"/>
  <c r="H79" i="3" s="1"/>
  <c r="W93" i="13"/>
  <c r="W95" i="13"/>
  <c r="L461" i="21"/>
  <c r="X95" i="13" s="1"/>
  <c r="H80" i="3" s="1"/>
  <c r="W96" i="13"/>
  <c r="L465" i="21"/>
  <c r="X96" i="13" s="1"/>
  <c r="H81" i="3" s="1"/>
  <c r="W97" i="13"/>
  <c r="L469" i="21"/>
  <c r="X97" i="13" s="1"/>
  <c r="H82" i="3" s="1"/>
  <c r="W99" i="13"/>
  <c r="L473" i="21"/>
  <c r="X99" i="13" s="1"/>
  <c r="H83" i="3" s="1"/>
  <c r="W100" i="13"/>
  <c r="L478" i="21"/>
  <c r="X100" i="13" s="1"/>
  <c r="H84" i="3" s="1"/>
  <c r="W101" i="13"/>
  <c r="L483" i="21"/>
  <c r="X101" i="13" s="1"/>
  <c r="H85" i="3" s="1"/>
  <c r="W102" i="13"/>
  <c r="L488" i="21"/>
  <c r="X102" i="13" s="1"/>
  <c r="H86" i="3" s="1"/>
  <c r="W104" i="13"/>
  <c r="L497" i="21"/>
  <c r="X104" i="13" s="1"/>
  <c r="H87" i="3" s="1"/>
  <c r="W105" i="13"/>
  <c r="L503" i="21"/>
  <c r="X105" i="13" s="1"/>
  <c r="H88" i="3" s="1"/>
  <c r="W106" i="13"/>
  <c r="L509" i="21"/>
  <c r="X106" i="13" s="1"/>
  <c r="H89" i="3" s="1"/>
  <c r="L515" i="21"/>
  <c r="X108" i="13" s="1"/>
  <c r="H90" i="3" s="1"/>
  <c r="W108" i="13"/>
  <c r="W109" i="13"/>
  <c r="L522" i="21"/>
  <c r="X109" i="13" s="1"/>
  <c r="H91" i="3" s="1"/>
  <c r="L528" i="21"/>
  <c r="X110" i="13" s="1"/>
  <c r="H92" i="3" s="1"/>
  <c r="W110" i="13"/>
  <c r="W111" i="13"/>
  <c r="L534" i="21"/>
  <c r="X111" i="13" s="1"/>
  <c r="H93" i="3" s="1"/>
  <c r="W112" i="13"/>
  <c r="L539" i="21"/>
  <c r="X112" i="13" s="1"/>
  <c r="H94" i="3" s="1"/>
  <c r="W113" i="13"/>
  <c r="L546" i="21"/>
  <c r="X113" i="13" s="1"/>
  <c r="H95" i="3" s="1"/>
  <c r="W115" i="13"/>
  <c r="L552" i="21"/>
  <c r="X115" i="13" s="1"/>
  <c r="H96" i="3" s="1"/>
  <c r="W116" i="13"/>
  <c r="L556" i="21"/>
  <c r="X116" i="13" s="1"/>
  <c r="H97" i="3" s="1"/>
  <c r="W117" i="13"/>
  <c r="L560" i="21"/>
  <c r="X117" i="13" s="1"/>
  <c r="H98" i="3" s="1"/>
  <c r="W118" i="13"/>
  <c r="L564" i="21"/>
  <c r="X118" i="13" s="1"/>
  <c r="H99" i="3" s="1"/>
  <c r="W119" i="13"/>
  <c r="L568" i="21"/>
  <c r="X119" i="13" s="1"/>
  <c r="H100" i="3" s="1"/>
  <c r="W120" i="13"/>
  <c r="L572" i="21"/>
  <c r="X120" i="13" s="1"/>
  <c r="H101" i="3" s="1"/>
  <c r="W121" i="13"/>
  <c r="L577" i="21"/>
  <c r="X121" i="13" s="1"/>
  <c r="H102" i="3" s="1"/>
  <c r="W123" i="13"/>
  <c r="L582" i="21"/>
  <c r="X123" i="13" s="1"/>
  <c r="H103" i="3" s="1"/>
  <c r="L587" i="21"/>
  <c r="X124" i="13" s="1"/>
  <c r="H104" i="3" s="1"/>
  <c r="W124" i="13"/>
  <c r="W126" i="13"/>
  <c r="L592" i="21"/>
  <c r="X126" i="13" s="1"/>
  <c r="H105" i="3" s="1"/>
  <c r="L596" i="21"/>
  <c r="X127" i="13" s="1"/>
  <c r="H106" i="3" s="1"/>
  <c r="W127" i="13"/>
  <c r="W128" i="13"/>
  <c r="L600" i="21"/>
  <c r="X128" i="13" s="1"/>
  <c r="H107" i="3" s="1"/>
  <c r="W129" i="13"/>
  <c r="L604" i="21"/>
  <c r="X129" i="13" s="1"/>
  <c r="H108" i="3" s="1"/>
  <c r="W130" i="13"/>
  <c r="L609" i="21"/>
  <c r="X130" i="13" s="1"/>
  <c r="H109" i="3" s="1"/>
  <c r="W518" i="13"/>
  <c r="L614" i="21"/>
  <c r="X518" i="13" s="1"/>
  <c r="H466" i="3" s="1"/>
  <c r="W525" i="13"/>
  <c r="L620" i="21"/>
  <c r="X525" i="13" s="1"/>
  <c r="H473" i="3" s="1"/>
  <c r="W536" i="13"/>
  <c r="L626" i="21"/>
  <c r="X536" i="13" s="1"/>
  <c r="H484" i="3" s="1"/>
  <c r="W520" i="13"/>
  <c r="L632" i="21"/>
  <c r="X520" i="13" s="1"/>
  <c r="H468" i="3" s="1"/>
  <c r="W535" i="13"/>
  <c r="L639" i="21"/>
  <c r="X535" i="13" s="1"/>
  <c r="H483" i="3" s="1"/>
  <c r="W527" i="13"/>
  <c r="L647" i="21"/>
  <c r="X527" i="13" s="1"/>
  <c r="H475" i="3" s="1"/>
  <c r="W524" i="13"/>
  <c r="L654" i="21"/>
  <c r="X524" i="13" s="1"/>
  <c r="H472" i="3" s="1"/>
  <c r="W526" i="13"/>
  <c r="L660" i="21"/>
  <c r="X526" i="13" s="1"/>
  <c r="H474" i="3" s="1"/>
  <c r="W533" i="13"/>
  <c r="L668" i="21"/>
  <c r="X533" i="13" s="1"/>
  <c r="H481" i="3" s="1"/>
  <c r="W532" i="13"/>
  <c r="L674" i="21"/>
  <c r="X532" i="13" s="1"/>
  <c r="H480" i="3" s="1"/>
  <c r="W531" i="13"/>
  <c r="L680" i="21"/>
  <c r="X531" i="13" s="1"/>
  <c r="H479" i="3" s="1"/>
  <c r="W534" i="13"/>
  <c r="L687" i="21"/>
  <c r="X534" i="13" s="1"/>
  <c r="H482" i="3" s="1"/>
  <c r="W530" i="13"/>
  <c r="L694" i="21"/>
  <c r="X530" i="13" s="1"/>
  <c r="H478" i="3" s="1"/>
  <c r="W521" i="13"/>
  <c r="L701" i="21"/>
  <c r="X521" i="13" s="1"/>
  <c r="H469" i="3" s="1"/>
  <c r="W522" i="13"/>
  <c r="L707" i="21"/>
  <c r="X522" i="13" s="1"/>
  <c r="H470" i="3" s="1"/>
  <c r="W523" i="13"/>
  <c r="L713" i="21"/>
  <c r="X523" i="13" s="1"/>
  <c r="H471" i="3" s="1"/>
  <c r="W528" i="13"/>
  <c r="L718" i="21"/>
  <c r="X528" i="13" s="1"/>
  <c r="H476" i="3" s="1"/>
  <c r="W519" i="13"/>
  <c r="L724" i="21"/>
  <c r="X519" i="13" s="1"/>
  <c r="H467" i="3" s="1"/>
  <c r="W537" i="13"/>
  <c r="L733" i="21"/>
  <c r="X537" i="13" s="1"/>
  <c r="H485" i="3" s="1"/>
  <c r="W538" i="13"/>
  <c r="L739" i="21"/>
  <c r="X538" i="13" s="1"/>
  <c r="H486" i="3" s="1"/>
  <c r="W540" i="13"/>
  <c r="L746" i="21"/>
  <c r="X540" i="13" s="1"/>
  <c r="H488" i="3" s="1"/>
  <c r="W539" i="13"/>
  <c r="L754" i="21"/>
  <c r="X539" i="13" s="1"/>
  <c r="H487" i="3" s="1"/>
  <c r="L763" i="21"/>
  <c r="X541" i="13" s="1"/>
  <c r="H489" i="3" s="1"/>
  <c r="W541" i="13"/>
  <c r="W542" i="13"/>
  <c r="L768" i="21"/>
  <c r="X542" i="13" s="1"/>
  <c r="H490" i="3" s="1"/>
  <c r="W544" i="13"/>
  <c r="L776" i="21"/>
  <c r="X544" i="13" s="1"/>
  <c r="H492" i="3" s="1"/>
  <c r="W543" i="13"/>
  <c r="L782" i="21"/>
  <c r="X543" i="13" s="1"/>
  <c r="H491" i="3" s="1"/>
  <c r="W545" i="13"/>
  <c r="L788" i="21"/>
  <c r="X545" i="13" s="1"/>
  <c r="H493" i="3" s="1"/>
  <c r="W552" i="13"/>
  <c r="L796" i="21"/>
  <c r="X552" i="13" s="1"/>
  <c r="H500" i="3" s="1"/>
  <c r="W548" i="13"/>
  <c r="L802" i="21"/>
  <c r="X548" i="13" s="1"/>
  <c r="H496" i="3" s="1"/>
  <c r="W550" i="13"/>
  <c r="L807" i="21"/>
  <c r="X550" i="13" s="1"/>
  <c r="H498" i="3" s="1"/>
  <c r="W549" i="13"/>
  <c r="L813" i="21"/>
  <c r="X549" i="13" s="1"/>
  <c r="H497" i="3" s="1"/>
  <c r="W547" i="13"/>
  <c r="L820" i="21"/>
  <c r="X547" i="13" s="1"/>
  <c r="H495" i="3" s="1"/>
  <c r="W546" i="13"/>
  <c r="L825" i="21"/>
  <c r="X546" i="13" s="1"/>
  <c r="H494" i="3" s="1"/>
  <c r="L831" i="21"/>
  <c r="X551" i="13" s="1"/>
  <c r="H499" i="3" s="1"/>
  <c r="W551" i="13"/>
  <c r="W555" i="13"/>
  <c r="L838" i="21"/>
  <c r="X555" i="13" s="1"/>
  <c r="H503" i="3" s="1"/>
  <c r="W556" i="13"/>
  <c r="L842" i="21"/>
  <c r="X556" i="13" s="1"/>
  <c r="H504" i="3" s="1"/>
  <c r="L848" i="21"/>
  <c r="X554" i="13" s="1"/>
  <c r="H502" i="3" s="1"/>
  <c r="W554" i="13"/>
  <c r="L855" i="21"/>
  <c r="X553" i="13" s="1"/>
  <c r="H501" i="3" s="1"/>
  <c r="W553" i="13"/>
  <c r="W557" i="13"/>
  <c r="L861" i="21"/>
  <c r="X557" i="13" s="1"/>
  <c r="H505" i="3" s="1"/>
  <c r="W560" i="13"/>
  <c r="L865" i="21"/>
  <c r="X560" i="13" s="1"/>
  <c r="H508" i="3" s="1"/>
  <c r="W558" i="13"/>
  <c r="L874" i="21"/>
  <c r="X558" i="13" s="1"/>
  <c r="H506" i="3" s="1"/>
  <c r="L883" i="21"/>
  <c r="X559" i="13" s="1"/>
  <c r="H507" i="3" s="1"/>
  <c r="W559" i="13"/>
  <c r="W565" i="13"/>
  <c r="L892" i="21"/>
  <c r="X565" i="13" s="1"/>
  <c r="H513" i="3" s="1"/>
  <c r="W568" i="13"/>
  <c r="L932" i="21"/>
  <c r="X568" i="13" s="1"/>
  <c r="H516" i="3" s="1"/>
  <c r="W193" i="13"/>
  <c r="L1481" i="21"/>
  <c r="X193" i="13" s="1"/>
  <c r="H172" i="3" s="1"/>
  <c r="W240" i="13"/>
  <c r="L1790" i="21"/>
  <c r="X240" i="13" s="1"/>
  <c r="H219" i="3" s="1"/>
  <c r="W241" i="13"/>
  <c r="L1791" i="21"/>
  <c r="X241" i="13" s="1"/>
  <c r="H220" i="3" s="1"/>
  <c r="P415" i="30"/>
  <c r="P182" i="30"/>
  <c r="P451" i="30"/>
  <c r="P177" i="30"/>
  <c r="P563" i="30"/>
  <c r="P235" i="30"/>
  <c r="P331" i="30"/>
  <c r="P419" i="30"/>
  <c r="P146" i="30"/>
  <c r="P551" i="30"/>
  <c r="P34" i="30"/>
  <c r="P513" i="30"/>
  <c r="P496" i="30"/>
  <c r="P103" i="30"/>
  <c r="P232" i="30"/>
  <c r="P219" i="30"/>
  <c r="P515" i="30"/>
  <c r="P514" i="30"/>
  <c r="P542" i="30"/>
  <c r="P512" i="30"/>
  <c r="P313" i="30"/>
  <c r="P605" i="30"/>
  <c r="P583" i="30"/>
  <c r="P559" i="30"/>
  <c r="P152" i="30"/>
  <c r="P611" i="30"/>
  <c r="P607" i="30"/>
  <c r="P450" i="30"/>
  <c r="P442" i="30"/>
  <c r="P586" i="30"/>
  <c r="P566" i="30"/>
  <c r="P544" i="30"/>
  <c r="P452" i="30"/>
  <c r="P395" i="30"/>
  <c r="P342" i="30"/>
  <c r="P546" i="30"/>
  <c r="P65" i="30"/>
  <c r="P46" i="30"/>
  <c r="P529" i="30"/>
  <c r="P569" i="30"/>
  <c r="P585" i="30"/>
  <c r="P469" i="30"/>
  <c r="P389" i="30"/>
  <c r="P474" i="30"/>
  <c r="P549" i="30"/>
  <c r="P403" i="30"/>
  <c r="P391" i="30"/>
  <c r="P286" i="30"/>
  <c r="P222" i="30"/>
  <c r="P162" i="30"/>
  <c r="P106" i="30"/>
  <c r="P16" i="30"/>
  <c r="P431" i="30"/>
  <c r="P285" i="30"/>
  <c r="P343" i="30"/>
  <c r="P238" i="30"/>
  <c r="P117" i="30"/>
  <c r="P35" i="30"/>
  <c r="P384" i="30"/>
  <c r="P350" i="30"/>
  <c r="P613" i="30"/>
  <c r="P99" i="30"/>
  <c r="P81" i="30"/>
  <c r="P49" i="30"/>
  <c r="P30" i="30"/>
  <c r="P463" i="30"/>
  <c r="P435" i="30"/>
  <c r="P377" i="30"/>
  <c r="P287" i="30"/>
  <c r="P241" i="30"/>
  <c r="P79" i="30"/>
  <c r="P553" i="30"/>
  <c r="P537" i="30"/>
  <c r="P525" i="30"/>
  <c r="P507" i="30"/>
  <c r="P502" i="30"/>
  <c r="P492" i="30"/>
  <c r="P278" i="30"/>
  <c r="P74" i="30"/>
  <c r="P59" i="30"/>
  <c r="P606" i="30"/>
  <c r="P510" i="30"/>
  <c r="P53" i="30"/>
  <c r="P373" i="30"/>
  <c r="P259" i="30"/>
  <c r="P72" i="30"/>
  <c r="P490" i="30"/>
  <c r="P478" i="30"/>
  <c r="P363" i="30"/>
  <c r="P300" i="30"/>
  <c r="P185" i="30"/>
  <c r="P122" i="30"/>
  <c r="P39" i="30"/>
  <c r="P440" i="30"/>
  <c r="P372" i="30"/>
  <c r="P347" i="30"/>
  <c r="P311" i="30"/>
  <c r="P271" i="30"/>
  <c r="P261" i="30"/>
  <c r="P240" i="30"/>
  <c r="P220" i="30"/>
  <c r="P205" i="30"/>
  <c r="P189" i="30"/>
  <c r="P173" i="30"/>
  <c r="P160" i="30"/>
  <c r="P149" i="30"/>
  <c r="P132" i="30"/>
  <c r="P92" i="30"/>
  <c r="P57" i="30"/>
  <c r="P48" i="30"/>
  <c r="P36" i="30"/>
  <c r="P22" i="30"/>
  <c r="P5" i="30"/>
  <c r="P587" i="30"/>
  <c r="P581" i="30"/>
  <c r="P532" i="30"/>
  <c r="P506" i="30"/>
  <c r="P439" i="30"/>
  <c r="P399" i="30"/>
  <c r="P385" i="30"/>
  <c r="P380" i="30"/>
  <c r="P371" i="30"/>
  <c r="P365" i="30"/>
  <c r="P353" i="30"/>
  <c r="P339" i="30"/>
  <c r="P327" i="30"/>
  <c r="P255" i="30"/>
  <c r="P195" i="30"/>
  <c r="P170" i="30"/>
  <c r="P100" i="30"/>
  <c r="P89" i="30"/>
  <c r="P75" i="30"/>
  <c r="P69" i="30"/>
  <c r="P58" i="30"/>
  <c r="P7" i="30"/>
  <c r="P591" i="30"/>
  <c r="P572" i="30"/>
  <c r="P523" i="30"/>
  <c r="P495" i="30"/>
  <c r="P308" i="30"/>
  <c r="P133" i="30"/>
  <c r="P447" i="30"/>
  <c r="P427" i="30"/>
  <c r="P378" i="30"/>
  <c r="P158" i="30"/>
  <c r="P129" i="30"/>
  <c r="P118" i="30"/>
  <c r="P565" i="30"/>
  <c r="P479" i="30"/>
  <c r="P85" i="30"/>
  <c r="P25" i="30"/>
  <c r="P316" i="30"/>
  <c r="P362" i="30"/>
  <c r="P306" i="30"/>
  <c r="P291" i="30"/>
  <c r="P270" i="30"/>
  <c r="P253" i="30"/>
  <c r="P93" i="30"/>
  <c r="P346" i="30"/>
  <c r="P341" i="30"/>
  <c r="P329" i="30"/>
  <c r="P315" i="30"/>
  <c r="P252" i="30"/>
  <c r="P245" i="30"/>
  <c r="P231" i="30"/>
  <c r="P183" i="30"/>
  <c r="P139" i="30"/>
  <c r="P113" i="30"/>
  <c r="P67" i="30"/>
  <c r="P40" i="30"/>
  <c r="P29" i="30"/>
  <c r="P604" i="30"/>
  <c r="P592" i="30"/>
  <c r="P526" i="30"/>
  <c r="P516" i="30"/>
  <c r="P505" i="30"/>
  <c r="P491" i="30"/>
  <c r="P471" i="30"/>
  <c r="P437" i="30"/>
  <c r="P400" i="30"/>
  <c r="P381" i="30"/>
  <c r="P369" i="30"/>
  <c r="P357" i="30"/>
  <c r="P340" i="30"/>
  <c r="P319" i="30"/>
  <c r="P299" i="30"/>
  <c r="P289" i="30"/>
  <c r="P221" i="30"/>
  <c r="P207" i="30"/>
  <c r="P197" i="30"/>
  <c r="P155" i="30"/>
  <c r="P87" i="30"/>
  <c r="P68" i="30"/>
  <c r="P45" i="30"/>
  <c r="P26" i="30"/>
  <c r="P10" i="30"/>
  <c r="P610" i="30"/>
  <c r="P595" i="30"/>
  <c r="P589" i="30"/>
  <c r="P577" i="30"/>
  <c r="P539" i="30"/>
  <c r="P530" i="30"/>
  <c r="P501" i="30"/>
  <c r="P428" i="30"/>
  <c r="P413" i="30"/>
  <c r="P367" i="30"/>
  <c r="P355" i="30"/>
  <c r="P296" i="30"/>
  <c r="P266" i="30"/>
  <c r="P248" i="30"/>
  <c r="P229" i="30"/>
  <c r="P214" i="30"/>
  <c r="P188" i="30"/>
  <c r="P556" i="30"/>
  <c r="P519" i="30"/>
  <c r="P499" i="30"/>
  <c r="P582" i="30"/>
  <c r="P536" i="30"/>
  <c r="P387" i="30"/>
  <c r="P370" i="30"/>
  <c r="P330" i="30"/>
  <c r="P268" i="30"/>
  <c r="P179" i="30"/>
  <c r="P151" i="30"/>
  <c r="P136" i="30"/>
  <c r="P114" i="30"/>
  <c r="P83" i="30"/>
  <c r="P38" i="30"/>
  <c r="P28" i="30"/>
  <c r="P9" i="30"/>
  <c r="P608" i="30"/>
  <c r="P579" i="30"/>
  <c r="P528" i="30"/>
  <c r="P476" i="30"/>
  <c r="P464" i="30"/>
  <c r="P445" i="30"/>
  <c r="P390" i="30"/>
  <c r="P366" i="30"/>
  <c r="P356" i="30"/>
  <c r="P298" i="30"/>
  <c r="P276" i="30"/>
  <c r="P244" i="30"/>
  <c r="P237" i="30"/>
  <c r="P226" i="30"/>
  <c r="P193" i="30"/>
  <c r="P178" i="30"/>
  <c r="P153" i="30"/>
  <c r="P124" i="30"/>
  <c r="P110" i="30"/>
  <c r="P84" i="30"/>
  <c r="P41" i="30"/>
  <c r="P31" i="30"/>
  <c r="P603" i="30"/>
  <c r="P598" i="30"/>
  <c r="P576" i="30"/>
  <c r="P560" i="30"/>
  <c r="P527" i="30"/>
  <c r="P480" i="30"/>
  <c r="P466" i="30"/>
  <c r="P426" i="30"/>
  <c r="P411" i="30"/>
  <c r="P396" i="30"/>
  <c r="P274" i="30"/>
  <c r="P198" i="30"/>
  <c r="P180" i="30"/>
  <c r="P167" i="30"/>
  <c r="P142" i="30"/>
  <c r="P119" i="30"/>
  <c r="P107" i="30"/>
  <c r="P96" i="30"/>
  <c r="P578" i="30"/>
  <c r="P567" i="30"/>
  <c r="P555" i="30"/>
  <c r="P538" i="30"/>
  <c r="P518" i="30"/>
  <c r="P468" i="30"/>
  <c r="P455" i="30"/>
  <c r="P407" i="30"/>
  <c r="P360" i="30"/>
  <c r="P208" i="30"/>
  <c r="P156" i="30"/>
  <c r="P125" i="30"/>
  <c r="P105" i="30"/>
  <c r="P90" i="30"/>
  <c r="P50" i="30"/>
  <c r="P33" i="30"/>
  <c r="P11" i="30"/>
  <c r="P3" i="30"/>
  <c r="P609" i="30"/>
  <c r="P550" i="30"/>
  <c r="P543" i="30"/>
  <c r="P540" i="30"/>
  <c r="P521" i="30"/>
  <c r="P511" i="30"/>
  <c r="P500" i="30"/>
  <c r="P485" i="30"/>
  <c r="P465" i="30"/>
  <c r="P448" i="30"/>
  <c r="P425" i="30"/>
  <c r="P388" i="30"/>
  <c r="P147" i="30"/>
  <c r="P140" i="30"/>
  <c r="P562" i="30"/>
  <c r="P386" i="30"/>
  <c r="P224" i="30"/>
  <c r="P482" i="30"/>
  <c r="P42" i="30"/>
  <c r="P32" i="30"/>
  <c r="P580" i="30"/>
  <c r="P481" i="30"/>
  <c r="P470" i="30"/>
  <c r="P446" i="30"/>
  <c r="P408" i="30"/>
  <c r="P379" i="30"/>
  <c r="P374" i="30"/>
  <c r="P358" i="30"/>
  <c r="P345" i="30"/>
  <c r="P337" i="30"/>
  <c r="P301" i="30"/>
  <c r="P263" i="30"/>
  <c r="P230" i="30"/>
  <c r="P216" i="30"/>
  <c r="P201" i="30"/>
  <c r="P161" i="30"/>
  <c r="P145" i="30"/>
  <c r="P131" i="30"/>
  <c r="P88" i="30"/>
  <c r="P64" i="30"/>
  <c r="P54" i="30"/>
  <c r="P4" i="30"/>
  <c r="P590" i="30"/>
  <c r="P520" i="30"/>
  <c r="P503" i="30"/>
  <c r="P489" i="30"/>
  <c r="P429" i="30"/>
  <c r="P417" i="30"/>
  <c r="P404" i="30"/>
  <c r="P376" i="30"/>
  <c r="P361" i="30"/>
  <c r="P351" i="30"/>
  <c r="P338" i="30"/>
  <c r="P325" i="30"/>
  <c r="P303" i="30"/>
  <c r="P294" i="30"/>
  <c r="P254" i="30"/>
  <c r="P233" i="30"/>
  <c r="P200" i="30"/>
  <c r="P163" i="30"/>
  <c r="P144" i="30"/>
  <c r="P102" i="30"/>
  <c r="P77" i="30"/>
  <c r="P27" i="30"/>
  <c r="P554" i="30"/>
  <c r="P524" i="30"/>
  <c r="P486" i="30"/>
  <c r="P432" i="30"/>
  <c r="P414" i="30"/>
  <c r="P336" i="30"/>
  <c r="P320" i="30"/>
  <c r="P307" i="30"/>
  <c r="P279" i="30"/>
  <c r="P262" i="30"/>
  <c r="P246" i="30"/>
  <c r="P212" i="30"/>
  <c r="P115" i="30"/>
  <c r="P71" i="30"/>
  <c r="P61" i="30"/>
  <c r="P21" i="30"/>
  <c r="P444" i="30"/>
  <c r="P401" i="30"/>
  <c r="P359" i="30"/>
  <c r="P334" i="30"/>
  <c r="P321" i="30"/>
  <c r="P297" i="30"/>
  <c r="P260" i="30"/>
  <c r="P217" i="30"/>
  <c r="P206" i="30"/>
  <c r="P174" i="30"/>
  <c r="P154" i="30"/>
  <c r="P123" i="30"/>
  <c r="P111" i="30"/>
  <c r="P104" i="30"/>
  <c r="P600" i="30"/>
  <c r="P588" i="30"/>
  <c r="P535" i="30"/>
  <c r="P504" i="30"/>
  <c r="P460" i="30"/>
  <c r="P416" i="30"/>
  <c r="P402" i="30"/>
  <c r="P382" i="30"/>
  <c r="P333" i="30"/>
  <c r="P318" i="30"/>
  <c r="P239" i="30"/>
  <c r="P191" i="30"/>
  <c r="P172" i="30"/>
  <c r="P150" i="30"/>
  <c r="P121" i="30"/>
  <c r="P76" i="30"/>
  <c r="P24" i="30"/>
  <c r="P15" i="30"/>
  <c r="P498" i="30"/>
  <c r="P484" i="30"/>
  <c r="P449" i="30"/>
  <c r="P328" i="30"/>
  <c r="P280" i="30"/>
  <c r="P210" i="30"/>
  <c r="P190" i="30"/>
  <c r="P128" i="30"/>
  <c r="P593" i="30"/>
  <c r="P497" i="30"/>
  <c r="P472" i="30"/>
  <c r="P126" i="30"/>
  <c r="P97" i="30"/>
  <c r="P23" i="30"/>
  <c r="P6" i="30"/>
  <c r="P594" i="30"/>
  <c r="P467" i="30"/>
  <c r="P352" i="30"/>
  <c r="P292" i="30"/>
  <c r="P281" i="30"/>
  <c r="P91" i="30"/>
  <c r="P522" i="30"/>
  <c r="P194" i="30"/>
  <c r="P601" i="30"/>
  <c r="P534" i="30"/>
  <c r="P508" i="30"/>
  <c r="P477" i="30"/>
  <c r="P443" i="30"/>
  <c r="P420" i="30"/>
  <c r="P383" i="30"/>
  <c r="P348" i="30"/>
  <c r="P312" i="30"/>
  <c r="P302" i="30"/>
  <c r="P295" i="30"/>
  <c r="P275" i="30"/>
  <c r="P256" i="30"/>
  <c r="P234" i="30"/>
  <c r="P213" i="30"/>
  <c r="P204" i="30"/>
  <c r="P184" i="30"/>
  <c r="P159" i="30"/>
  <c r="P143" i="30"/>
  <c r="P134" i="30"/>
  <c r="P570" i="30"/>
  <c r="P552" i="30"/>
  <c r="P517" i="30"/>
  <c r="P487" i="30"/>
  <c r="P441" i="30"/>
  <c r="P324" i="30"/>
  <c r="P277" i="30"/>
  <c r="P258" i="30"/>
  <c r="P192" i="30"/>
  <c r="P181" i="30"/>
  <c r="P37" i="30"/>
  <c r="P18" i="30"/>
  <c r="P574" i="30"/>
  <c r="P533" i="30"/>
  <c r="P509" i="30"/>
  <c r="P304" i="30"/>
  <c r="P242" i="30"/>
  <c r="P223" i="30"/>
  <c r="P211" i="30"/>
  <c r="P141" i="30"/>
  <c r="P70" i="30"/>
  <c r="P51" i="30"/>
  <c r="P597" i="30"/>
  <c r="P573" i="30"/>
  <c r="P436" i="30"/>
  <c r="P410" i="30"/>
  <c r="P225" i="30"/>
  <c r="P86" i="30"/>
  <c r="P584" i="30"/>
  <c r="P545" i="30"/>
  <c r="P547" i="30"/>
  <c r="P368" i="30"/>
  <c r="P218" i="30"/>
  <c r="P20" i="30"/>
  <c r="P599" i="30"/>
  <c r="P112" i="30"/>
  <c r="P458" i="30"/>
  <c r="Q316" i="13" l="1"/>
  <c r="Q254" i="13"/>
  <c r="Q109" i="13"/>
  <c r="Q23" i="13"/>
  <c r="E19" i="3" s="1"/>
  <c r="Q525" i="13"/>
  <c r="K553" i="13"/>
  <c r="L553" i="13"/>
  <c r="C553" i="13" s="1"/>
  <c r="P554" i="13"/>
  <c r="N554" i="13"/>
  <c r="L556" i="13"/>
  <c r="C556" i="13" s="1"/>
  <c r="K556" i="13"/>
  <c r="P409" i="13"/>
  <c r="Q409" i="13" s="1"/>
  <c r="E353" i="3" s="1"/>
  <c r="P439" i="13"/>
  <c r="Q439" i="13" s="1"/>
  <c r="E384" i="3" s="1"/>
  <c r="P362" i="13"/>
  <c r="Q362" i="13" s="1"/>
  <c r="E341" i="3" s="1"/>
  <c r="Q339" i="13"/>
  <c r="E318" i="3" s="1"/>
  <c r="I1918" i="25"/>
  <c r="Q614" i="13"/>
  <c r="Q343" i="13"/>
  <c r="E322" i="3" s="1"/>
  <c r="Q286" i="13"/>
  <c r="Q361" i="13"/>
  <c r="E340" i="3" s="1"/>
  <c r="Q47" i="13"/>
  <c r="E38" i="3" s="1"/>
  <c r="Q43" i="13"/>
  <c r="E35" i="3" s="1"/>
  <c r="Q335" i="13"/>
  <c r="E314" i="3" s="1"/>
  <c r="Q324" i="13"/>
  <c r="E303" i="3" s="1"/>
  <c r="Q268" i="13"/>
  <c r="E247" i="3" s="1"/>
  <c r="Q270" i="13"/>
  <c r="Q102" i="13"/>
  <c r="E86" i="3" s="1"/>
  <c r="Q123" i="13"/>
  <c r="Q308" i="13"/>
  <c r="Q348" i="13"/>
  <c r="Q283" i="13"/>
  <c r="E262" i="3" s="1"/>
  <c r="Q311" i="13"/>
  <c r="Q11" i="13"/>
  <c r="Q54" i="13"/>
  <c r="Q26" i="13"/>
  <c r="E21" i="3" s="1"/>
  <c r="Q51" i="13"/>
  <c r="E41" i="3" s="1"/>
  <c r="Q20" i="13"/>
  <c r="E17" i="3" s="1"/>
  <c r="Q82" i="13"/>
  <c r="Q72" i="13"/>
  <c r="Q12" i="13"/>
  <c r="Q15" i="13"/>
  <c r="Q78" i="13"/>
  <c r="Q359" i="13"/>
  <c r="E338" i="3" s="1"/>
  <c r="Q531" i="13"/>
  <c r="Q535" i="13"/>
  <c r="Q533" i="13"/>
  <c r="Q521" i="13"/>
  <c r="E469" i="3" s="1"/>
  <c r="Q39" i="13"/>
  <c r="Q114" i="13"/>
  <c r="Q542" i="13"/>
  <c r="Q564" i="13"/>
  <c r="Q570" i="13"/>
  <c r="Q576" i="13"/>
  <c r="Q579" i="13"/>
  <c r="E527" i="3" s="1"/>
  <c r="Q580" i="13"/>
  <c r="Q585" i="13"/>
  <c r="Q589" i="13"/>
  <c r="E537" i="3" s="1"/>
  <c r="Q587" i="13"/>
  <c r="E535" i="3" s="1"/>
  <c r="Q599" i="13"/>
  <c r="E547" i="3" s="1"/>
  <c r="Q604" i="13"/>
  <c r="E552" i="3" s="1"/>
  <c r="Q22" i="13"/>
  <c r="Q94" i="13"/>
  <c r="Q33" i="13"/>
  <c r="Q306" i="13"/>
  <c r="Q4" i="13"/>
  <c r="Q269" i="13"/>
  <c r="E248" i="3" s="1"/>
  <c r="P555" i="13"/>
  <c r="N555" i="13"/>
  <c r="L555" i="13"/>
  <c r="C555" i="13" s="1"/>
  <c r="Q555" i="13" s="1"/>
  <c r="K555" i="13"/>
  <c r="K554" i="13"/>
  <c r="L554" i="13"/>
  <c r="C554" i="13" s="1"/>
  <c r="Q554" i="13" s="1"/>
  <c r="N556" i="13"/>
  <c r="P556" i="13"/>
  <c r="Q556" i="13" s="1"/>
  <c r="P553" i="13"/>
  <c r="Q553" i="13" s="1"/>
  <c r="N553" i="13"/>
  <c r="P366" i="13"/>
  <c r="Q366" i="13" s="1"/>
  <c r="P504" i="13"/>
  <c r="Q504" i="13" s="1"/>
  <c r="E453" i="3" s="1"/>
  <c r="Q179" i="13"/>
  <c r="E158" i="3"/>
  <c r="Q185" i="13"/>
  <c r="E164" i="3"/>
  <c r="Q172" i="13"/>
  <c r="E151" i="3"/>
  <c r="Q177" i="13"/>
  <c r="E156" i="3"/>
  <c r="Q225" i="13"/>
  <c r="E204" i="3"/>
  <c r="Q230" i="13"/>
  <c r="E209" i="3"/>
  <c r="Q291" i="13"/>
  <c r="E270" i="3"/>
  <c r="E332" i="3"/>
  <c r="P459" i="13"/>
  <c r="Q459" i="13" s="1"/>
  <c r="E404" i="3" s="1"/>
  <c r="Q305" i="13"/>
  <c r="E284" i="3" s="1"/>
  <c r="P416" i="13"/>
  <c r="Q416" i="13" s="1"/>
  <c r="E361" i="3" s="1"/>
  <c r="P357" i="13"/>
  <c r="Q357" i="13" s="1"/>
  <c r="E336" i="3" s="1"/>
  <c r="Q356" i="13"/>
  <c r="E335" i="3" s="1"/>
  <c r="P260" i="13"/>
  <c r="Q260" i="13" s="1"/>
  <c r="E239" i="3" s="1"/>
  <c r="Q259" i="13"/>
  <c r="E238" i="3" s="1"/>
  <c r="Q337" i="13"/>
  <c r="E316" i="3" s="1"/>
  <c r="I1917" i="25"/>
  <c r="P566" i="13"/>
  <c r="Q566" i="13" s="1"/>
  <c r="E514" i="3" s="1"/>
  <c r="Q261" i="13"/>
  <c r="E240" i="3" s="1"/>
  <c r="P562" i="13"/>
  <c r="Q562" i="13" s="1"/>
  <c r="E510" i="3" s="1"/>
  <c r="Q561" i="13"/>
  <c r="E426" i="3"/>
  <c r="I295" i="25"/>
  <c r="I293" i="25"/>
  <c r="I291" i="25"/>
  <c r="I298" i="25"/>
  <c r="I296" i="25"/>
  <c r="I294" i="25"/>
  <c r="I292" i="25"/>
  <c r="P63" i="13"/>
  <c r="Q63" i="13" s="1"/>
  <c r="E52" i="3" s="1"/>
  <c r="I299" i="25"/>
  <c r="I297" i="25"/>
  <c r="P296" i="13"/>
  <c r="Q296" i="13" s="1"/>
  <c r="E275" i="3" s="1"/>
  <c r="E273" i="3"/>
  <c r="E435" i="3"/>
  <c r="P431" i="13"/>
  <c r="Q431" i="13" s="1"/>
  <c r="E376" i="3" s="1"/>
  <c r="P430" i="13"/>
  <c r="Q430" i="13" s="1"/>
  <c r="E375" i="3" s="1"/>
  <c r="P422" i="13"/>
  <c r="Q422" i="13" s="1"/>
  <c r="E367" i="3" s="1"/>
  <c r="I1899" i="25"/>
  <c r="I1897" i="25"/>
  <c r="I1898" i="25"/>
  <c r="E265" i="3"/>
  <c r="P287" i="13"/>
  <c r="Q287" i="13" s="1"/>
  <c r="E266" i="3" s="1"/>
  <c r="I235" i="25"/>
  <c r="I233" i="25"/>
  <c r="I236" i="25"/>
  <c r="I234" i="25"/>
  <c r="P48" i="13"/>
  <c r="Q48" i="13" s="1"/>
  <c r="E39" i="3" s="1"/>
  <c r="I222" i="25"/>
  <c r="I220" i="25"/>
  <c r="I218" i="25"/>
  <c r="I221" i="25"/>
  <c r="I219" i="25"/>
  <c r="P338" i="13"/>
  <c r="Q338" i="13" s="1"/>
  <c r="E317" i="3" s="1"/>
  <c r="P457" i="13"/>
  <c r="Q457" i="13" s="1"/>
  <c r="E402" i="3" s="1"/>
  <c r="P364" i="13"/>
  <c r="Q364" i="13" s="1"/>
  <c r="E343" i="3" s="1"/>
  <c r="P325" i="13"/>
  <c r="Q325" i="13" s="1"/>
  <c r="E304" i="3" s="1"/>
  <c r="I1858" i="25"/>
  <c r="I1859" i="25"/>
  <c r="I1860" i="25"/>
  <c r="I1861" i="25"/>
  <c r="I1862" i="25"/>
  <c r="I1863" i="25"/>
  <c r="I1864" i="25"/>
  <c r="I1865" i="25"/>
  <c r="I1866" i="25"/>
  <c r="I1867" i="25"/>
  <c r="I1868" i="25"/>
  <c r="I1869" i="25"/>
  <c r="I1856" i="25"/>
  <c r="I1857" i="25"/>
  <c r="P368" i="13"/>
  <c r="Q368" i="13" s="1"/>
  <c r="E347" i="3" s="1"/>
  <c r="E249" i="3"/>
  <c r="I423" i="25"/>
  <c r="I422" i="25"/>
  <c r="I421" i="25"/>
  <c r="I420" i="25"/>
  <c r="I419" i="25"/>
  <c r="I418" i="25"/>
  <c r="I417" i="25"/>
  <c r="I416" i="25"/>
  <c r="P127" i="13"/>
  <c r="Q127" i="13" s="1"/>
  <c r="E106" i="3" s="1"/>
  <c r="I595" i="25"/>
  <c r="I594" i="25"/>
  <c r="I593" i="25"/>
  <c r="I592" i="25"/>
  <c r="E105" i="3"/>
  <c r="P256" i="13"/>
  <c r="Q256" i="13" s="1"/>
  <c r="E235" i="3" s="1"/>
  <c r="P505" i="13"/>
  <c r="Q505" i="13" s="1"/>
  <c r="E454" i="3" s="1"/>
  <c r="P417" i="13"/>
  <c r="Q417" i="13" s="1"/>
  <c r="E362" i="3" s="1"/>
  <c r="P313" i="13"/>
  <c r="Q313" i="13" s="1"/>
  <c r="E292" i="3" s="1"/>
  <c r="P30" i="13"/>
  <c r="Q30" i="13" s="1"/>
  <c r="E25" i="3" s="1"/>
  <c r="P444" i="13"/>
  <c r="Q444" i="13" s="1"/>
  <c r="E389" i="3" s="1"/>
  <c r="P455" i="13"/>
  <c r="Q455" i="13" s="1"/>
  <c r="E400" i="3" s="1"/>
  <c r="I145" i="25"/>
  <c r="I143" i="25"/>
  <c r="I141" i="25"/>
  <c r="I144" i="25"/>
  <c r="I142" i="25"/>
  <c r="I140" i="25"/>
  <c r="I139" i="25"/>
  <c r="P2" i="13"/>
  <c r="I15" i="25"/>
  <c r="I14" i="25"/>
  <c r="I13" i="25"/>
  <c r="I12" i="25"/>
  <c r="I11" i="25"/>
  <c r="I10" i="25"/>
  <c r="I16" i="25"/>
  <c r="E3" i="3"/>
  <c r="I166" i="25"/>
  <c r="I164" i="25"/>
  <c r="I162" i="25"/>
  <c r="I167" i="25"/>
  <c r="I165" i="25"/>
  <c r="I163" i="25"/>
  <c r="I161" i="25"/>
  <c r="P34" i="13"/>
  <c r="Q34" i="13" s="1"/>
  <c r="E28" i="3" s="1"/>
  <c r="E27" i="3"/>
  <c r="P317" i="13"/>
  <c r="Q317" i="13" s="1"/>
  <c r="P471" i="13"/>
  <c r="Q471" i="13" s="1"/>
  <c r="E418" i="3" s="1"/>
  <c r="P447" i="13"/>
  <c r="Q447" i="13" s="1"/>
  <c r="E392" i="3" s="1"/>
  <c r="P495" i="13"/>
  <c r="Q495" i="13" s="1"/>
  <c r="E444" i="3" s="1"/>
  <c r="P290" i="13"/>
  <c r="Q290" i="13" s="1"/>
  <c r="E269" i="3" s="1"/>
  <c r="E295" i="3"/>
  <c r="P365" i="13"/>
  <c r="Q365" i="13" s="1"/>
  <c r="E344" i="3" s="1"/>
  <c r="P496" i="13"/>
  <c r="Q496" i="13" s="1"/>
  <c r="E445" i="3" s="1"/>
  <c r="P434" i="13"/>
  <c r="Q434" i="13" s="1"/>
  <c r="E379" i="3" s="1"/>
  <c r="P433" i="13"/>
  <c r="Q433" i="13" s="1"/>
  <c r="E378" i="3" s="1"/>
  <c r="P435" i="13"/>
  <c r="Q435" i="13" s="1"/>
  <c r="E380" i="3" s="1"/>
  <c r="P307" i="13"/>
  <c r="Q307" i="13" s="1"/>
  <c r="E286" i="3" s="1"/>
  <c r="E285" i="3"/>
  <c r="E233" i="3"/>
  <c r="P425" i="13"/>
  <c r="Q425" i="13" s="1"/>
  <c r="E370" i="3" s="1"/>
  <c r="P426" i="13"/>
  <c r="Q426" i="13" s="1"/>
  <c r="E371" i="3" s="1"/>
  <c r="P424" i="13"/>
  <c r="Q424" i="13" s="1"/>
  <c r="E369" i="3" s="1"/>
  <c r="P432" i="13"/>
  <c r="Q432" i="13" s="1"/>
  <c r="E377" i="3" s="1"/>
  <c r="P427" i="13"/>
  <c r="Q427" i="13" s="1"/>
  <c r="E372" i="3" s="1"/>
  <c r="P419" i="13"/>
  <c r="Q419" i="13" s="1"/>
  <c r="E364" i="3" s="1"/>
  <c r="P421" i="13"/>
  <c r="Q421" i="13" s="1"/>
  <c r="E366" i="3" s="1"/>
  <c r="P62" i="13"/>
  <c r="Q62" i="13" s="1"/>
  <c r="E51" i="3" s="1"/>
  <c r="P28" i="13"/>
  <c r="Q28" i="13" s="1"/>
  <c r="E23" i="3" s="1"/>
  <c r="P449" i="13"/>
  <c r="Q449" i="13" s="1"/>
  <c r="E394" i="3" s="1"/>
  <c r="I131" i="25"/>
  <c r="I130" i="25"/>
  <c r="I129" i="25"/>
  <c r="I128" i="25"/>
  <c r="I127" i="25"/>
  <c r="I126" i="25"/>
  <c r="I125" i="25"/>
  <c r="P29" i="13"/>
  <c r="Q29" i="13" s="1"/>
  <c r="E24" i="3" s="1"/>
  <c r="I138" i="25"/>
  <c r="I136" i="25"/>
  <c r="I137" i="25"/>
  <c r="I135" i="25"/>
  <c r="I134" i="25"/>
  <c r="I133" i="25"/>
  <c r="I132" i="25"/>
  <c r="P136" i="13"/>
  <c r="Q136" i="13" s="1"/>
  <c r="E115" i="3" s="1"/>
  <c r="P541" i="13"/>
  <c r="Q541" i="13" s="1"/>
  <c r="E489" i="3" s="1"/>
  <c r="P85" i="13"/>
  <c r="Q85" i="13" s="1"/>
  <c r="E72" i="3" s="1"/>
  <c r="I555" i="25"/>
  <c r="I554" i="25"/>
  <c r="I553" i="25"/>
  <c r="I552" i="25"/>
  <c r="E96" i="3"/>
  <c r="P25" i="13"/>
  <c r="Q25" i="13" s="1"/>
  <c r="I151" i="25"/>
  <c r="I149" i="25"/>
  <c r="I147" i="25"/>
  <c r="I150" i="25"/>
  <c r="I148" i="25"/>
  <c r="I146" i="25"/>
  <c r="P247" i="13"/>
  <c r="Q247" i="13" s="1"/>
  <c r="E226" i="3" s="1"/>
  <c r="P108" i="13"/>
  <c r="Q108" i="13" s="1"/>
  <c r="E90" i="3" s="1"/>
  <c r="P282" i="13"/>
  <c r="Q282" i="13" s="1"/>
  <c r="E261" i="3" s="1"/>
  <c r="I496" i="25"/>
  <c r="I495" i="25"/>
  <c r="I494" i="25"/>
  <c r="I493" i="25"/>
  <c r="I492" i="25"/>
  <c r="I491" i="25"/>
  <c r="I490" i="25"/>
  <c r="I489" i="25"/>
  <c r="I488" i="25"/>
  <c r="I20" i="25"/>
  <c r="I19" i="25"/>
  <c r="I18" i="25"/>
  <c r="I17" i="25"/>
  <c r="E4" i="3"/>
  <c r="P80" i="13"/>
  <c r="Q80" i="13" s="1"/>
  <c r="E67" i="3" s="1"/>
  <c r="I394" i="25"/>
  <c r="I393" i="25"/>
  <c r="I392" i="25"/>
  <c r="I391" i="25"/>
  <c r="I390" i="25"/>
  <c r="P41" i="13"/>
  <c r="Q41" i="13" s="1"/>
  <c r="E34" i="3" s="1"/>
  <c r="I212" i="25"/>
  <c r="I210" i="25"/>
  <c r="I211" i="25"/>
  <c r="I209" i="25"/>
  <c r="E33" i="3"/>
  <c r="I585" i="25"/>
  <c r="I586" i="25"/>
  <c r="I584" i="25"/>
  <c r="E103" i="3"/>
  <c r="P124" i="13"/>
  <c r="Q124" i="13" s="1"/>
  <c r="E104" i="3" s="1"/>
  <c r="I583" i="25"/>
  <c r="I582" i="25"/>
  <c r="I477" i="25"/>
  <c r="I476" i="25"/>
  <c r="I475" i="25"/>
  <c r="I474" i="25"/>
  <c r="I473" i="25"/>
  <c r="P100" i="13"/>
  <c r="Q100" i="13" s="1"/>
  <c r="E84" i="3" s="1"/>
  <c r="E83" i="3"/>
  <c r="E345" i="3"/>
  <c r="P367" i="13"/>
  <c r="Q367" i="13" s="1"/>
  <c r="E346" i="3" s="1"/>
  <c r="P613" i="13"/>
  <c r="Q613" i="13" s="1"/>
  <c r="E354" i="3" s="1"/>
  <c r="P340" i="13"/>
  <c r="Q340" i="13" s="1"/>
  <c r="E319" i="3" s="1"/>
  <c r="P289" i="13"/>
  <c r="Q289" i="13" s="1"/>
  <c r="E268" i="3" s="1"/>
  <c r="P437" i="13"/>
  <c r="Q437" i="13" s="1"/>
  <c r="E382" i="3" s="1"/>
  <c r="E267" i="3"/>
  <c r="P310" i="13"/>
  <c r="Q310" i="13" s="1"/>
  <c r="E289" i="3" s="1"/>
  <c r="P446" i="13"/>
  <c r="Q446" i="13" s="1"/>
  <c r="E391" i="3" s="1"/>
  <c r="P309" i="13"/>
  <c r="Q309" i="13" s="1"/>
  <c r="E288" i="3" s="1"/>
  <c r="E287" i="3"/>
  <c r="I1903" i="25"/>
  <c r="I1902" i="25"/>
  <c r="I1901" i="25"/>
  <c r="I1900" i="25"/>
  <c r="P411" i="13"/>
  <c r="Q411" i="13" s="1"/>
  <c r="E356" i="3" s="1"/>
  <c r="P303" i="13"/>
  <c r="Q303" i="13" s="1"/>
  <c r="E282" i="3" s="1"/>
  <c r="E281" i="3"/>
  <c r="E302" i="3"/>
  <c r="P475" i="13"/>
  <c r="Q475" i="13" s="1"/>
  <c r="E422" i="3" s="1"/>
  <c r="P329" i="13"/>
  <c r="Q329" i="13" s="1"/>
  <c r="E308" i="3" s="1"/>
  <c r="P473" i="13"/>
  <c r="Q473" i="13" s="1"/>
  <c r="E420" i="3" s="1"/>
  <c r="P472" i="13"/>
  <c r="Q472" i="13" s="1"/>
  <c r="E419" i="3" s="1"/>
  <c r="I1913" i="25"/>
  <c r="E307" i="3"/>
  <c r="P486" i="13"/>
  <c r="Q486" i="13" s="1"/>
  <c r="E434" i="3" s="1"/>
  <c r="E320" i="3"/>
  <c r="P527" i="13"/>
  <c r="Q527" i="13" s="1"/>
  <c r="E475" i="3" s="1"/>
  <c r="P312" i="13"/>
  <c r="Q312" i="13" s="1"/>
  <c r="E291" i="3" s="1"/>
  <c r="P442" i="13"/>
  <c r="Q442" i="13" s="1"/>
  <c r="E387" i="3" s="1"/>
  <c r="E290" i="3"/>
  <c r="P5" i="13"/>
  <c r="Q5" i="13" s="1"/>
  <c r="I47" i="25"/>
  <c r="I46" i="25"/>
  <c r="I45" i="25"/>
  <c r="I44" i="25"/>
  <c r="I43" i="25"/>
  <c r="I42" i="25"/>
  <c r="P239" i="13"/>
  <c r="Q239" i="13" s="1"/>
  <c r="E218" i="3" s="1"/>
  <c r="E9" i="3"/>
  <c r="P105" i="13"/>
  <c r="Q105" i="13" s="1"/>
  <c r="E88" i="3" s="1"/>
  <c r="I502" i="25"/>
  <c r="I501" i="25"/>
  <c r="I500" i="25"/>
  <c r="I499" i="25"/>
  <c r="I498" i="25"/>
  <c r="I497" i="25"/>
  <c r="P330" i="13"/>
  <c r="Q330" i="13" s="1"/>
  <c r="E309" i="3" s="1"/>
  <c r="P81" i="13"/>
  <c r="Q81" i="13" s="1"/>
  <c r="E68" i="3" s="1"/>
  <c r="I399" i="25"/>
  <c r="I398" i="25"/>
  <c r="I397" i="25"/>
  <c r="I396" i="25"/>
  <c r="I395" i="25"/>
  <c r="P27" i="13"/>
  <c r="Q27" i="13" s="1"/>
  <c r="E22" i="3" s="1"/>
  <c r="P617" i="13"/>
  <c r="Q617" i="13" s="1"/>
  <c r="E351" i="3" s="1"/>
  <c r="P464" i="13"/>
  <c r="Q464" i="13" s="1"/>
  <c r="E410" i="3" s="1"/>
  <c r="P318" i="13"/>
  <c r="Q318" i="13" s="1"/>
  <c r="E297" i="3" s="1"/>
  <c r="I124" i="25"/>
  <c r="I123" i="25"/>
  <c r="I122" i="25"/>
  <c r="I121" i="25"/>
  <c r="I120" i="25"/>
  <c r="I119" i="25"/>
  <c r="I348" i="25"/>
  <c r="I347" i="25"/>
  <c r="I346" i="25"/>
  <c r="I345" i="25"/>
  <c r="P70" i="13"/>
  <c r="Q70" i="13" s="1"/>
  <c r="E58" i="3" s="1"/>
  <c r="E57" i="3"/>
  <c r="I249" i="25"/>
  <c r="I247" i="25"/>
  <c r="I250" i="25"/>
  <c r="I248" i="25"/>
  <c r="P52" i="13"/>
  <c r="Q52" i="13" s="1"/>
  <c r="E42" i="3" s="1"/>
  <c r="P21" i="13"/>
  <c r="Q21" i="13" s="1"/>
  <c r="E18" i="3" s="1"/>
  <c r="I93" i="25"/>
  <c r="I92" i="25"/>
  <c r="I91" i="25"/>
  <c r="I90" i="25"/>
  <c r="I89" i="25"/>
  <c r="I88" i="25"/>
  <c r="I87" i="25"/>
  <c r="P83" i="13"/>
  <c r="Q83" i="13" s="1"/>
  <c r="E70" i="3" s="1"/>
  <c r="I409" i="25"/>
  <c r="I408" i="25"/>
  <c r="I407" i="25"/>
  <c r="I406" i="25"/>
  <c r="I405" i="25"/>
  <c r="E69" i="3"/>
  <c r="I362" i="25"/>
  <c r="I361" i="25"/>
  <c r="I360" i="25"/>
  <c r="I359" i="25"/>
  <c r="P73" i="13"/>
  <c r="Q73" i="13" s="1"/>
  <c r="E61" i="3" s="1"/>
  <c r="E60" i="3"/>
  <c r="P13" i="13"/>
  <c r="Q13" i="13" s="1"/>
  <c r="E11" i="3" s="1"/>
  <c r="I51" i="25"/>
  <c r="I50" i="25"/>
  <c r="I49" i="25"/>
  <c r="I48" i="25"/>
  <c r="E10" i="3"/>
  <c r="I445" i="25"/>
  <c r="I443" i="25"/>
  <c r="I441" i="25"/>
  <c r="I444" i="25"/>
  <c r="I442" i="25"/>
  <c r="P467" i="13"/>
  <c r="Q467" i="13" s="1"/>
  <c r="E413" i="3" s="1"/>
  <c r="P344" i="13"/>
  <c r="Q344" i="13" s="1"/>
  <c r="E323" i="3" s="1"/>
  <c r="P91" i="13"/>
  <c r="Q91" i="13" s="1"/>
  <c r="E77" i="3" s="1"/>
  <c r="P90" i="13"/>
  <c r="Q90" i="13" s="1"/>
  <c r="E76" i="3" s="1"/>
  <c r="I428" i="25"/>
  <c r="I427" i="25"/>
  <c r="I426" i="25"/>
  <c r="I425" i="25"/>
  <c r="I424" i="25"/>
  <c r="P332" i="13"/>
  <c r="Q332" i="13" s="1"/>
  <c r="E311" i="3" s="1"/>
  <c r="E310" i="3"/>
  <c r="P84" i="13"/>
  <c r="Q84" i="13" s="1"/>
  <c r="E71" i="3" s="1"/>
  <c r="I415" i="25"/>
  <c r="I414" i="25"/>
  <c r="I413" i="25"/>
  <c r="I412" i="25"/>
  <c r="I411" i="25"/>
  <c r="I410" i="25"/>
  <c r="I227" i="25"/>
  <c r="I225" i="25"/>
  <c r="I223" i="25"/>
  <c r="I226" i="25"/>
  <c r="I224" i="25"/>
  <c r="P45" i="13"/>
  <c r="Q45" i="13" s="1"/>
  <c r="E37" i="3" s="1"/>
  <c r="E36" i="3"/>
  <c r="P16" i="13"/>
  <c r="Q16" i="13" s="1"/>
  <c r="E13" i="3" s="1"/>
  <c r="P75" i="13"/>
  <c r="Q75" i="13" s="1"/>
  <c r="E62" i="3" s="1"/>
  <c r="P104" i="13"/>
  <c r="Q104" i="13" s="1"/>
  <c r="E87" i="3" s="1"/>
  <c r="P3" i="13"/>
  <c r="Q3" i="13" s="1"/>
  <c r="E2" i="3" s="1"/>
  <c r="P272" i="13"/>
  <c r="Q272" i="13" s="1"/>
  <c r="E251" i="3" s="1"/>
  <c r="P342" i="13"/>
  <c r="Q342" i="13" s="1"/>
  <c r="E321" i="3" s="1"/>
  <c r="P280" i="13"/>
  <c r="Q280" i="13" s="1"/>
  <c r="E259" i="3" s="1"/>
  <c r="P14" i="13"/>
  <c r="Q14" i="13" s="1"/>
  <c r="I62" i="25"/>
  <c r="I61" i="25"/>
  <c r="I60" i="25"/>
  <c r="I59" i="25"/>
  <c r="I58" i="25"/>
  <c r="I57" i="25"/>
  <c r="E12" i="3"/>
  <c r="I372" i="25"/>
  <c r="I371" i="25"/>
  <c r="I370" i="25"/>
  <c r="I369" i="25"/>
  <c r="I368" i="25"/>
  <c r="I367" i="25"/>
  <c r="P76" i="13"/>
  <c r="Q76" i="13" s="1"/>
  <c r="E63" i="3" s="1"/>
  <c r="P79" i="13"/>
  <c r="Q79" i="13" s="1"/>
  <c r="E66" i="3" s="1"/>
  <c r="I389" i="25"/>
  <c r="I388" i="25"/>
  <c r="I387" i="25"/>
  <c r="I386" i="25"/>
  <c r="I385" i="25"/>
  <c r="E65" i="3"/>
  <c r="P530" i="13"/>
  <c r="Q530" i="13" s="1"/>
  <c r="E478" i="3" s="1"/>
  <c r="I686" i="25"/>
  <c r="I685" i="25"/>
  <c r="I683" i="25"/>
  <c r="I682" i="25"/>
  <c r="E479" i="3"/>
  <c r="I680" i="25"/>
  <c r="I681" i="25"/>
  <c r="I684" i="25"/>
  <c r="I644" i="25"/>
  <c r="I646" i="25"/>
  <c r="E483" i="3"/>
  <c r="I642" i="25"/>
  <c r="I645" i="25"/>
  <c r="I643" i="25"/>
  <c r="I641" i="25"/>
  <c r="I639" i="25"/>
  <c r="I640" i="25"/>
  <c r="I713" i="25"/>
  <c r="I717" i="25"/>
  <c r="I716" i="25"/>
  <c r="I715" i="25"/>
  <c r="I714" i="25"/>
  <c r="E471" i="3"/>
  <c r="I673" i="25"/>
  <c r="I672" i="25"/>
  <c r="I671" i="25"/>
  <c r="I669" i="25"/>
  <c r="E481" i="3"/>
  <c r="I670" i="25"/>
  <c r="I668" i="25"/>
  <c r="P534" i="13"/>
  <c r="Q534" i="13" s="1"/>
  <c r="E482" i="3" s="1"/>
  <c r="P519" i="13"/>
  <c r="Q519" i="13" s="1"/>
  <c r="E467" i="3" s="1"/>
  <c r="I626" i="25"/>
  <c r="E484" i="3"/>
  <c r="I628" i="25"/>
  <c r="I629" i="25"/>
  <c r="I627" i="25"/>
  <c r="I630" i="25"/>
  <c r="I631" i="25"/>
  <c r="I677" i="25"/>
  <c r="I674" i="25"/>
  <c r="I675" i="25"/>
  <c r="I679" i="25"/>
  <c r="E480" i="3"/>
  <c r="I676" i="25"/>
  <c r="I678" i="25"/>
  <c r="P524" i="13"/>
  <c r="Q524" i="13" s="1"/>
  <c r="E472" i="3" s="1"/>
  <c r="P526" i="13"/>
  <c r="Q526" i="13" s="1"/>
  <c r="E474" i="3" s="1"/>
  <c r="P528" i="13"/>
  <c r="Q528" i="13" s="1"/>
  <c r="E476" i="3" s="1"/>
  <c r="I653" i="25"/>
  <c r="I651" i="25"/>
  <c r="I649" i="25"/>
  <c r="I647" i="25"/>
  <c r="I648" i="25"/>
  <c r="I650" i="25"/>
  <c r="I652" i="25"/>
  <c r="I699" i="25"/>
  <c r="I695" i="25"/>
  <c r="I696" i="25"/>
  <c r="I698" i="25"/>
  <c r="I694" i="25"/>
  <c r="I697" i="25"/>
  <c r="I700" i="25"/>
  <c r="I702" i="25"/>
  <c r="I706" i="25"/>
  <c r="I705" i="25"/>
  <c r="I701" i="25"/>
  <c r="I703" i="25"/>
  <c r="I704" i="25"/>
  <c r="P522" i="13"/>
  <c r="Q522" i="13" s="1"/>
  <c r="E470" i="3" s="1"/>
  <c r="I632" i="25"/>
  <c r="I638" i="25"/>
  <c r="I637" i="25"/>
  <c r="I633" i="25"/>
  <c r="I635" i="25"/>
  <c r="I634" i="25"/>
  <c r="I636" i="25"/>
  <c r="E468" i="3"/>
  <c r="I625" i="25"/>
  <c r="I624" i="25"/>
  <c r="I620" i="25"/>
  <c r="I621" i="25"/>
  <c r="I622" i="25"/>
  <c r="I623" i="25"/>
  <c r="E473" i="3"/>
  <c r="I839" i="25"/>
  <c r="I840" i="25"/>
  <c r="I838" i="25"/>
  <c r="I841" i="25"/>
  <c r="E503" i="3"/>
  <c r="I857" i="25"/>
  <c r="I856" i="25"/>
  <c r="I860" i="25"/>
  <c r="I855" i="25"/>
  <c r="I858" i="25"/>
  <c r="E501" i="3"/>
  <c r="I859" i="25"/>
  <c r="I847" i="25"/>
  <c r="I845" i="25"/>
  <c r="I844" i="25"/>
  <c r="I842" i="25"/>
  <c r="I843" i="25"/>
  <c r="I846" i="25"/>
  <c r="E504" i="3"/>
  <c r="I980" i="25"/>
  <c r="I984" i="25"/>
  <c r="I981" i="25"/>
  <c r="I983" i="25"/>
  <c r="I982" i="25"/>
  <c r="E518" i="3"/>
  <c r="I938" i="25"/>
  <c r="I941" i="25"/>
  <c r="I939" i="25"/>
  <c r="I940" i="25"/>
  <c r="E524" i="3"/>
  <c r="P575" i="13"/>
  <c r="Q575" i="13" s="1"/>
  <c r="E523" i="3" s="1"/>
  <c r="P346" i="13"/>
  <c r="Q346" i="13" s="1"/>
  <c r="E325" i="3" s="1"/>
  <c r="P493" i="13"/>
  <c r="Q493" i="13" s="1"/>
  <c r="E442" i="3" s="1"/>
  <c r="I963" i="25"/>
  <c r="I960" i="25"/>
  <c r="I961" i="25"/>
  <c r="I962" i="25"/>
  <c r="I964" i="25"/>
  <c r="I965" i="25"/>
  <c r="P574" i="13"/>
  <c r="Q574" i="13" s="1"/>
  <c r="E522" i="3" s="1"/>
  <c r="I957" i="25"/>
  <c r="I955" i="25"/>
  <c r="I959" i="25"/>
  <c r="I954" i="25"/>
  <c r="I956" i="25"/>
  <c r="I958" i="25"/>
  <c r="P573" i="13"/>
  <c r="Q573" i="13" s="1"/>
  <c r="E521" i="3" s="1"/>
  <c r="I948" i="25"/>
  <c r="I952" i="25"/>
  <c r="I950" i="25"/>
  <c r="I949" i="25"/>
  <c r="I951" i="25"/>
  <c r="I953" i="25"/>
  <c r="I975" i="25"/>
  <c r="I976" i="25"/>
  <c r="I978" i="25"/>
  <c r="I977" i="25"/>
  <c r="I979" i="25"/>
  <c r="P572" i="13"/>
  <c r="Q572" i="13" s="1"/>
  <c r="E520" i="3" s="1"/>
  <c r="P578" i="13"/>
  <c r="Q578" i="13" s="1"/>
  <c r="E526" i="3" s="1"/>
  <c r="I944" i="25"/>
  <c r="E519" i="3"/>
  <c r="I946" i="25"/>
  <c r="I942" i="25"/>
  <c r="I943" i="25"/>
  <c r="I947" i="25"/>
  <c r="I945" i="25"/>
  <c r="I1055" i="25"/>
  <c r="I1054" i="25"/>
  <c r="I1053" i="25"/>
  <c r="I1052" i="25"/>
  <c r="I1051" i="25"/>
  <c r="P588" i="13"/>
  <c r="Q588" i="13" s="1"/>
  <c r="E536" i="3" s="1"/>
  <c r="P581" i="13"/>
  <c r="Q581" i="13" s="1"/>
  <c r="E529" i="3" s="1"/>
  <c r="I1013" i="25"/>
  <c r="I1012" i="25"/>
  <c r="I1014" i="25"/>
  <c r="I1016" i="25"/>
  <c r="I1015" i="25"/>
  <c r="I1017" i="25"/>
  <c r="E528" i="3"/>
  <c r="I1005" i="25"/>
  <c r="I1002" i="25"/>
  <c r="I1000" i="25"/>
  <c r="I1004" i="25"/>
  <c r="I1003" i="25"/>
  <c r="I1001" i="25"/>
  <c r="E533" i="3"/>
  <c r="P584" i="13"/>
  <c r="Q584" i="13" s="1"/>
  <c r="E532" i="3" s="1"/>
  <c r="P468" i="13"/>
  <c r="Q468" i="13" s="1"/>
  <c r="E414" i="3" s="1"/>
  <c r="I1036" i="25"/>
  <c r="I1035" i="25"/>
  <c r="I1034" i="25"/>
  <c r="I1033" i="25"/>
  <c r="I1032" i="25"/>
  <c r="I1031" i="25"/>
  <c r="I1030" i="25"/>
  <c r="P583" i="13"/>
  <c r="Q583" i="13" s="1"/>
  <c r="E531" i="3" s="1"/>
  <c r="I1010" i="25"/>
  <c r="I1011" i="25"/>
  <c r="I1009" i="25"/>
  <c r="I1008" i="25"/>
  <c r="I1007" i="25"/>
  <c r="I1006" i="25"/>
  <c r="I1025" i="25"/>
  <c r="I1029" i="25"/>
  <c r="I1027" i="25"/>
  <c r="I1028" i="25"/>
  <c r="I1026" i="25"/>
  <c r="I1024" i="25"/>
  <c r="P582" i="13"/>
  <c r="Q582" i="13" s="1"/>
  <c r="E530" i="3" s="1"/>
  <c r="I1018" i="25"/>
  <c r="I1023" i="25"/>
  <c r="I1020" i="25"/>
  <c r="I1019" i="25"/>
  <c r="I1022" i="25"/>
  <c r="I1021" i="25"/>
  <c r="P606" i="13"/>
  <c r="Q606" i="13" s="1"/>
  <c r="E554" i="3" s="1"/>
  <c r="I1122" i="25"/>
  <c r="I1124" i="25"/>
  <c r="I1121" i="25"/>
  <c r="I1123" i="25"/>
  <c r="I1120" i="25"/>
  <c r="P608" i="13"/>
  <c r="Q608" i="13" s="1"/>
  <c r="E556" i="3" s="1"/>
  <c r="I1136" i="25"/>
  <c r="I1135" i="25"/>
  <c r="I1134" i="25"/>
  <c r="I1133" i="25"/>
  <c r="I1132" i="25"/>
  <c r="I1131" i="25"/>
  <c r="I1130" i="25"/>
  <c r="P610" i="13"/>
  <c r="Q610" i="13" s="1"/>
  <c r="E558" i="3" s="1"/>
  <c r="P605" i="13"/>
  <c r="Q605" i="13" s="1"/>
  <c r="E553" i="3" s="1"/>
  <c r="I1119" i="25"/>
  <c r="I1118" i="25"/>
  <c r="I1117" i="25"/>
  <c r="I1116" i="25"/>
  <c r="I1115" i="25"/>
  <c r="P609" i="13"/>
  <c r="Q609" i="13" s="1"/>
  <c r="E557" i="3" s="1"/>
  <c r="P602" i="13"/>
  <c r="Q602" i="13" s="1"/>
  <c r="E550" i="3" s="1"/>
  <c r="I1154" i="25"/>
  <c r="I1155" i="25"/>
  <c r="I1151" i="25"/>
  <c r="E551" i="3"/>
  <c r="I1152" i="25"/>
  <c r="I1153" i="25"/>
  <c r="I1113" i="25"/>
  <c r="I1114" i="25"/>
  <c r="E559" i="3"/>
  <c r="I1109" i="25"/>
  <c r="I1110" i="25"/>
  <c r="I1112" i="25"/>
  <c r="I1111" i="25"/>
  <c r="P601" i="13"/>
  <c r="Q601" i="13" s="1"/>
  <c r="E549" i="3" s="1"/>
  <c r="I1160" i="25"/>
  <c r="I1159" i="25"/>
  <c r="I1158" i="25"/>
  <c r="I1157" i="25"/>
  <c r="I1156" i="25"/>
  <c r="I1167" i="25"/>
  <c r="I1171" i="25"/>
  <c r="I1169" i="25"/>
  <c r="P543" i="13"/>
  <c r="Q543" i="13" s="1"/>
  <c r="E491" i="3" s="1"/>
  <c r="I1168" i="25"/>
  <c r="I1170" i="25"/>
  <c r="I1150" i="25"/>
  <c r="I1149" i="25"/>
  <c r="I1147" i="25"/>
  <c r="I1148" i="25"/>
  <c r="I1146" i="25"/>
  <c r="P607" i="13"/>
  <c r="Q607" i="13" s="1"/>
  <c r="E555" i="3" s="1"/>
  <c r="I1129" i="25"/>
  <c r="I1128" i="25"/>
  <c r="I1126" i="25"/>
  <c r="I1127" i="25"/>
  <c r="I1125" i="25"/>
  <c r="P276" i="13"/>
  <c r="Q276" i="13" s="1"/>
  <c r="E255" i="3" s="1"/>
  <c r="P326" i="13"/>
  <c r="Q326" i="13" s="1"/>
  <c r="E305" i="3" s="1"/>
  <c r="I2" i="25"/>
  <c r="P251" i="13"/>
  <c r="Q251" i="13" s="1"/>
  <c r="E230" i="3" s="1"/>
  <c r="I9" i="25"/>
  <c r="I8" i="25"/>
  <c r="I7" i="25"/>
  <c r="I6" i="25"/>
  <c r="I5" i="25"/>
  <c r="I4" i="25"/>
  <c r="I3" i="25"/>
  <c r="P236" i="13"/>
  <c r="Q236" i="13" s="1"/>
  <c r="E215" i="3" s="1"/>
  <c r="P252" i="13"/>
  <c r="Q252" i="13" s="1"/>
  <c r="E231" i="3" s="1"/>
  <c r="P249" i="13"/>
  <c r="Q249" i="13" s="1"/>
  <c r="E228" i="3" s="1"/>
  <c r="P244" i="13"/>
  <c r="Q244" i="13" s="1"/>
  <c r="E223" i="3" s="1"/>
  <c r="P237" i="13"/>
  <c r="Q237" i="13" s="1"/>
  <c r="E216" i="3" s="1"/>
  <c r="P234" i="13"/>
  <c r="Q234" i="13" s="1"/>
  <c r="E213" i="3" s="1"/>
  <c r="P413" i="13"/>
  <c r="Q413" i="13" s="1"/>
  <c r="E358" i="3" s="1"/>
  <c r="P414" i="13"/>
  <c r="Q414" i="13" s="1"/>
  <c r="E359" i="3" s="1"/>
  <c r="P415" i="13"/>
  <c r="Q415" i="13" s="1"/>
  <c r="E360" i="3" s="1"/>
  <c r="P412" i="13"/>
  <c r="Q412" i="13" s="1"/>
  <c r="E357" i="3" s="1"/>
  <c r="P445" i="13"/>
  <c r="Q445" i="13" s="1"/>
  <c r="E390" i="3" s="1"/>
  <c r="P436" i="13"/>
  <c r="Q436" i="13" s="1"/>
  <c r="E381" i="3" s="1"/>
  <c r="P347" i="13"/>
  <c r="Q347" i="13" s="1"/>
  <c r="E326" i="3" s="1"/>
  <c r="P31" i="13"/>
  <c r="Q31" i="13" s="1"/>
  <c r="E26" i="3" s="1"/>
  <c r="I1855" i="25"/>
  <c r="I1854" i="25"/>
  <c r="I1853" i="25"/>
  <c r="I1852" i="25"/>
  <c r="I1851" i="25"/>
  <c r="I1850" i="25"/>
  <c r="I1849" i="25"/>
  <c r="P423" i="13"/>
  <c r="Q423" i="13" s="1"/>
  <c r="E368" i="3" s="1"/>
  <c r="P255" i="13"/>
  <c r="Q255" i="13" s="1"/>
  <c r="E234" i="3" s="1"/>
  <c r="P529" i="13"/>
  <c r="Q529" i="13" s="1"/>
  <c r="E477" i="3" s="1"/>
  <c r="I66" i="25"/>
  <c r="I63" i="25"/>
  <c r="I522" i="25"/>
  <c r="E91" i="3"/>
  <c r="I67" i="25"/>
  <c r="I64" i="25"/>
  <c r="I68" i="25"/>
  <c r="I65" i="25"/>
  <c r="I527" i="25"/>
  <c r="I526" i="25"/>
  <c r="I525" i="25"/>
  <c r="I524" i="25"/>
  <c r="I523" i="25"/>
  <c r="I1249" i="25"/>
  <c r="I1247" i="25"/>
  <c r="I1245" i="25"/>
  <c r="I1250" i="25"/>
  <c r="I1248" i="25"/>
  <c r="I1246" i="25"/>
  <c r="E117" i="3"/>
  <c r="P139" i="13"/>
  <c r="Q139" i="13" s="1"/>
  <c r="E118" i="3" s="1"/>
  <c r="P420" i="13"/>
  <c r="Q420" i="13" s="1"/>
  <c r="E365" i="3" s="1"/>
  <c r="I1928" i="25"/>
  <c r="P133" i="13"/>
  <c r="Q133" i="13" s="1"/>
  <c r="E112" i="3" s="1"/>
  <c r="P461" i="13"/>
  <c r="Q461" i="13" s="1"/>
  <c r="E406" i="3" s="1"/>
  <c r="E279" i="3"/>
  <c r="P301" i="13"/>
  <c r="Q301" i="13" s="1"/>
  <c r="E280" i="3" s="1"/>
  <c r="P497" i="13"/>
  <c r="Q497" i="13" s="1"/>
  <c r="E446" i="3" s="1"/>
  <c r="P107" i="13"/>
  <c r="Q107" i="13" s="1"/>
  <c r="P515" i="13"/>
  <c r="Q515" i="13" s="1"/>
  <c r="E463" i="3" s="1"/>
  <c r="P507" i="13"/>
  <c r="Q507" i="13" s="1"/>
  <c r="E455" i="3" s="1"/>
  <c r="P24" i="13"/>
  <c r="Q24" i="13" s="1"/>
  <c r="E20" i="3" s="1"/>
  <c r="I109" i="25"/>
  <c r="I108" i="25"/>
  <c r="I107" i="25"/>
  <c r="I106" i="25"/>
  <c r="I105" i="25"/>
  <c r="I104" i="25"/>
  <c r="I103" i="25"/>
  <c r="I102" i="25"/>
  <c r="I101" i="25"/>
  <c r="P349" i="13"/>
  <c r="Q349" i="13" s="1"/>
  <c r="E328" i="3" s="1"/>
  <c r="I1922" i="25"/>
  <c r="I1921" i="25"/>
  <c r="I1920" i="25"/>
  <c r="E327" i="3"/>
  <c r="P60" i="13"/>
  <c r="Q60" i="13" s="1"/>
  <c r="E50" i="3" s="1"/>
  <c r="P262" i="13"/>
  <c r="Q262" i="13" s="1"/>
  <c r="E241" i="3" s="1"/>
  <c r="I260" i="25"/>
  <c r="I262" i="25"/>
  <c r="E44" i="3"/>
  <c r="I263" i="25"/>
  <c r="I261" i="25"/>
  <c r="I259" i="25"/>
  <c r="K537" i="13"/>
  <c r="L537" i="13"/>
  <c r="C537" i="13" s="1"/>
  <c r="K538" i="13"/>
  <c r="L538" i="13"/>
  <c r="C538" i="13" s="1"/>
  <c r="P538" i="13"/>
  <c r="N538" i="13"/>
  <c r="N537" i="13"/>
  <c r="P537" i="13"/>
  <c r="N547" i="13"/>
  <c r="P547" i="13"/>
  <c r="L546" i="13"/>
  <c r="C546" i="13" s="1"/>
  <c r="K546" i="13"/>
  <c r="P549" i="13"/>
  <c r="N549" i="13"/>
  <c r="P548" i="13"/>
  <c r="N548" i="13"/>
  <c r="L551" i="13"/>
  <c r="C551" i="13" s="1"/>
  <c r="K551" i="13"/>
  <c r="K547" i="13"/>
  <c r="L547" i="13"/>
  <c r="C547" i="13" s="1"/>
  <c r="Q547" i="13" s="1"/>
  <c r="N546" i="13"/>
  <c r="P546" i="13"/>
  <c r="L548" i="13"/>
  <c r="C548" i="13" s="1"/>
  <c r="Q548" i="13" s="1"/>
  <c r="K548" i="13"/>
  <c r="P551" i="13"/>
  <c r="N551" i="13"/>
  <c r="L550" i="13"/>
  <c r="C550" i="13" s="1"/>
  <c r="K550" i="13"/>
  <c r="K549" i="13"/>
  <c r="L549" i="13"/>
  <c r="C549" i="13" s="1"/>
  <c r="Q549" i="13" s="1"/>
  <c r="K552" i="13"/>
  <c r="L552" i="13"/>
  <c r="C552" i="13" s="1"/>
  <c r="P552" i="13"/>
  <c r="N552" i="13"/>
  <c r="P550" i="13"/>
  <c r="N550" i="13"/>
  <c r="F8" i="32"/>
  <c r="B8" i="32"/>
  <c r="C7" i="32"/>
  <c r="B7" i="32"/>
  <c r="E502" i="3"/>
  <c r="C2" i="13"/>
  <c r="Z2" i="13"/>
  <c r="I769" i="25"/>
  <c r="I773" i="25"/>
  <c r="I768" i="25"/>
  <c r="I772" i="25"/>
  <c r="I770" i="25"/>
  <c r="I771" i="25"/>
  <c r="I775" i="25"/>
  <c r="E490" i="3"/>
  <c r="I774" i="25"/>
  <c r="I854" i="25"/>
  <c r="I853" i="25"/>
  <c r="I852" i="25"/>
  <c r="I851" i="25"/>
  <c r="I850" i="25"/>
  <c r="I849" i="25"/>
  <c r="I848" i="25"/>
  <c r="E512" i="3"/>
  <c r="I910" i="25"/>
  <c r="I909" i="25"/>
  <c r="I908" i="25"/>
  <c r="I907" i="25"/>
  <c r="I906" i="25"/>
  <c r="I922" i="25"/>
  <c r="I921" i="25"/>
  <c r="I920" i="25"/>
  <c r="I919" i="25"/>
  <c r="I918" i="25"/>
  <c r="I917" i="25"/>
  <c r="I905" i="25"/>
  <c r="I904" i="25"/>
  <c r="I903" i="25"/>
  <c r="I902" i="25"/>
  <c r="I901" i="25"/>
  <c r="I916" i="25"/>
  <c r="I915" i="25"/>
  <c r="I914" i="25"/>
  <c r="I913" i="25"/>
  <c r="I912" i="25"/>
  <c r="I911" i="25"/>
  <c r="E509" i="3"/>
  <c r="I900" i="25"/>
  <c r="I899" i="25"/>
  <c r="I898" i="25"/>
  <c r="I897" i="25"/>
  <c r="I896" i="25"/>
  <c r="I895" i="25"/>
  <c r="I894" i="25"/>
  <c r="I893" i="25"/>
  <c r="I892" i="25"/>
  <c r="E513" i="3"/>
  <c r="P494" i="13"/>
  <c r="Q494" i="13" s="1"/>
  <c r="E443" i="3" s="1"/>
  <c r="I974" i="25"/>
  <c r="I973" i="25"/>
  <c r="I972" i="25"/>
  <c r="I971" i="25"/>
  <c r="I970" i="25"/>
  <c r="I969" i="25"/>
  <c r="I968" i="25"/>
  <c r="I967" i="25"/>
  <c r="I966" i="25"/>
  <c r="I993" i="25"/>
  <c r="I992" i="25"/>
  <c r="I991" i="25"/>
  <c r="I990" i="25"/>
  <c r="I989" i="25"/>
  <c r="I988" i="25"/>
  <c r="I987" i="25"/>
  <c r="I986" i="25"/>
  <c r="I985" i="25"/>
  <c r="I999" i="25"/>
  <c r="I994" i="25"/>
  <c r="I996" i="25"/>
  <c r="I998" i="25"/>
  <c r="I997" i="25"/>
  <c r="I995" i="25"/>
  <c r="I1050" i="25"/>
  <c r="I1049" i="25"/>
  <c r="I1048" i="25"/>
  <c r="I1047" i="25"/>
  <c r="I1046" i="25"/>
  <c r="I1062" i="25"/>
  <c r="I1061" i="25"/>
  <c r="I1060" i="25"/>
  <c r="I1059" i="25"/>
  <c r="I1058" i="25"/>
  <c r="I1057" i="25"/>
  <c r="I1056" i="25"/>
  <c r="E534" i="3"/>
  <c r="P469" i="13"/>
  <c r="Q469" i="13" s="1"/>
  <c r="E415" i="3" s="1"/>
  <c r="I1045" i="25"/>
  <c r="I1044" i="25"/>
  <c r="I1043" i="25"/>
  <c r="I1042" i="25"/>
  <c r="I1041" i="25"/>
  <c r="I1040" i="25"/>
  <c r="I1039" i="25"/>
  <c r="I1038" i="25"/>
  <c r="I1037" i="25"/>
  <c r="P600" i="13"/>
  <c r="Q600" i="13" s="1"/>
  <c r="E548" i="3" s="1"/>
  <c r="I1183" i="25"/>
  <c r="I1182" i="25"/>
  <c r="I1181" i="25"/>
  <c r="I1180" i="25"/>
  <c r="I1179" i="25"/>
  <c r="I1178" i="25"/>
  <c r="P484" i="13"/>
  <c r="Q484" i="13" s="1"/>
  <c r="E432" i="3" s="1"/>
  <c r="I1145" i="25"/>
  <c r="I1144" i="25"/>
  <c r="I1143" i="25"/>
  <c r="I1142" i="25"/>
  <c r="I1141" i="25"/>
  <c r="I1140" i="25"/>
  <c r="I1139" i="25"/>
  <c r="I1138" i="25"/>
  <c r="I1137" i="25"/>
  <c r="I1166" i="25"/>
  <c r="I1165" i="25"/>
  <c r="I1164" i="25"/>
  <c r="I1163" i="25"/>
  <c r="I1162" i="25"/>
  <c r="I1161" i="25"/>
  <c r="I1177" i="25"/>
  <c r="I1176" i="25"/>
  <c r="I1175" i="25"/>
  <c r="I1174" i="25"/>
  <c r="I1173" i="25"/>
  <c r="I1172" i="25"/>
  <c r="K540" i="13"/>
  <c r="L540" i="13"/>
  <c r="C540" i="13" s="1"/>
  <c r="P540" i="13"/>
  <c r="N540" i="13"/>
  <c r="L544" i="13"/>
  <c r="C544" i="13" s="1"/>
  <c r="K544" i="13"/>
  <c r="P544" i="13"/>
  <c r="N544" i="13"/>
  <c r="L545" i="13"/>
  <c r="C545" i="13" s="1"/>
  <c r="K545" i="13"/>
  <c r="P545" i="13"/>
  <c r="N545" i="13"/>
  <c r="P557" i="13"/>
  <c r="N557" i="13"/>
  <c r="K557" i="13"/>
  <c r="L557" i="13"/>
  <c r="C557" i="13" s="1"/>
  <c r="Q557" i="13" s="1"/>
  <c r="P68" i="13"/>
  <c r="N68" i="13"/>
  <c r="L559" i="13"/>
  <c r="C559" i="13" s="1"/>
  <c r="K559" i="13"/>
  <c r="N559" i="13"/>
  <c r="L68" i="13"/>
  <c r="K68" i="13"/>
  <c r="N567" i="13"/>
  <c r="P567" i="13"/>
  <c r="K567" i="13"/>
  <c r="L567" i="13"/>
  <c r="C567" i="13" s="1"/>
  <c r="Q567" i="13" s="1"/>
  <c r="K569" i="13"/>
  <c r="L569" i="13"/>
  <c r="C569" i="13" s="1"/>
  <c r="N568" i="13"/>
  <c r="P568" i="13"/>
  <c r="L568" i="13"/>
  <c r="C568" i="13" s="1"/>
  <c r="Q568" i="13" s="1"/>
  <c r="K568" i="13"/>
  <c r="N569" i="13"/>
  <c r="P569" i="13"/>
  <c r="K593" i="13"/>
  <c r="L593" i="13"/>
  <c r="C593" i="13" s="1"/>
  <c r="P592" i="13"/>
  <c r="N592" i="13"/>
  <c r="L590" i="13"/>
  <c r="C590" i="13" s="1"/>
  <c r="K590" i="13"/>
  <c r="P591" i="13"/>
  <c r="N591" i="13"/>
  <c r="K591" i="13"/>
  <c r="L591" i="13"/>
  <c r="C591" i="13" s="1"/>
  <c r="Q591" i="13" s="1"/>
  <c r="P593" i="13"/>
  <c r="N593" i="13"/>
  <c r="P590" i="13"/>
  <c r="N590" i="13"/>
  <c r="N594" i="13"/>
  <c r="P594" i="13"/>
  <c r="L594" i="13"/>
  <c r="C594" i="13" s="1"/>
  <c r="Q594" i="13" s="1"/>
  <c r="K594" i="13"/>
  <c r="L592" i="13"/>
  <c r="C592" i="13" s="1"/>
  <c r="Q592" i="13" s="1"/>
  <c r="K592" i="13"/>
  <c r="L596" i="13"/>
  <c r="C596" i="13" s="1"/>
  <c r="K596" i="13"/>
  <c r="P595" i="13"/>
  <c r="N595" i="13"/>
  <c r="K595" i="13"/>
  <c r="L595" i="13"/>
  <c r="C595" i="13" s="1"/>
  <c r="Q595" i="13" s="1"/>
  <c r="N596" i="13"/>
  <c r="N597" i="13"/>
  <c r="L597" i="13"/>
  <c r="C597" i="13" s="1"/>
  <c r="K597" i="13"/>
  <c r="N598" i="13"/>
  <c r="P598" i="13"/>
  <c r="K598" i="13"/>
  <c r="L598" i="13"/>
  <c r="C598" i="13" s="1"/>
  <c r="Q598" i="13" s="1"/>
  <c r="K558" i="13"/>
  <c r="L558" i="13"/>
  <c r="C558" i="13" s="1"/>
  <c r="N560" i="13"/>
  <c r="P560" i="13"/>
  <c r="L560" i="13"/>
  <c r="C560" i="13" s="1"/>
  <c r="K560" i="13"/>
  <c r="N558" i="13"/>
  <c r="P558" i="13"/>
  <c r="E511" i="3"/>
  <c r="E525" i="3"/>
  <c r="E560" i="3"/>
  <c r="K518" i="13"/>
  <c r="L518" i="13"/>
  <c r="C518" i="13" s="1"/>
  <c r="P518" i="13"/>
  <c r="N518" i="13"/>
  <c r="C2" i="27" a="1"/>
  <c r="X4" i="27" a="1"/>
  <c r="X80" i="13"/>
  <c r="H2" i="3"/>
  <c r="Q537" i="13" l="1"/>
  <c r="Q538" i="13"/>
  <c r="Q546" i="13"/>
  <c r="Q551" i="13"/>
  <c r="Q550" i="13"/>
  <c r="Q552" i="13"/>
  <c r="Q540" i="13"/>
  <c r="Q544" i="13"/>
  <c r="Q545" i="13"/>
  <c r="Q569" i="13"/>
  <c r="Q593" i="13"/>
  <c r="Q590" i="13"/>
  <c r="Q558" i="13"/>
  <c r="E296" i="3"/>
  <c r="A3" i="27"/>
  <c r="Q2" i="13"/>
  <c r="P559" i="13"/>
  <c r="Q559" i="13" s="1"/>
  <c r="E507" i="3" s="1"/>
  <c r="Q560" i="13"/>
  <c r="E508" i="3" s="1"/>
  <c r="AA4" i="27" a="1"/>
  <c r="H2" i="27" s="1" a="1"/>
  <c r="Q518" i="13"/>
  <c r="E466" i="3" s="1"/>
  <c r="I738" i="25"/>
  <c r="I736" i="25"/>
  <c r="E485" i="3"/>
  <c r="I734" i="25"/>
  <c r="I737" i="25"/>
  <c r="I733" i="25"/>
  <c r="I735" i="25"/>
  <c r="I740" i="25"/>
  <c r="I743" i="25"/>
  <c r="I744" i="25"/>
  <c r="I741" i="25"/>
  <c r="I739" i="25"/>
  <c r="I745" i="25"/>
  <c r="I742" i="25"/>
  <c r="E486" i="3"/>
  <c r="I825" i="25"/>
  <c r="I827" i="25"/>
  <c r="I830" i="25"/>
  <c r="I826" i="25"/>
  <c r="E494" i="3"/>
  <c r="I829" i="25"/>
  <c r="I828" i="25"/>
  <c r="I833" i="25"/>
  <c r="I835" i="25"/>
  <c r="I832" i="25"/>
  <c r="I834" i="25"/>
  <c r="I837" i="25"/>
  <c r="I836" i="25"/>
  <c r="I831" i="25"/>
  <c r="E499" i="3"/>
  <c r="I821" i="25"/>
  <c r="I820" i="25"/>
  <c r="I822" i="25"/>
  <c r="E495" i="3"/>
  <c r="I823" i="25"/>
  <c r="I824" i="25"/>
  <c r="Y4" i="27" a="1"/>
  <c r="I806" i="25"/>
  <c r="I805" i="25"/>
  <c r="I802" i="25"/>
  <c r="E496" i="3"/>
  <c r="I804" i="25"/>
  <c r="I803" i="25"/>
  <c r="I808" i="25"/>
  <c r="I812" i="25"/>
  <c r="I807" i="25"/>
  <c r="E498" i="3"/>
  <c r="I811" i="25"/>
  <c r="I810" i="25"/>
  <c r="I809" i="25"/>
  <c r="E497" i="3"/>
  <c r="I818" i="25"/>
  <c r="I815" i="25"/>
  <c r="I813" i="25"/>
  <c r="I816" i="25"/>
  <c r="I817" i="25"/>
  <c r="I814" i="25"/>
  <c r="I819" i="25"/>
  <c r="I796" i="25"/>
  <c r="I797" i="25"/>
  <c r="I799" i="25"/>
  <c r="E500" i="3"/>
  <c r="I798" i="25"/>
  <c r="I800" i="25"/>
  <c r="I801" i="25"/>
  <c r="I781" i="25"/>
  <c r="I779" i="25"/>
  <c r="E492" i="3"/>
  <c r="I777" i="25"/>
  <c r="I778" i="25"/>
  <c r="I776" i="25"/>
  <c r="I780" i="25"/>
  <c r="I791" i="25"/>
  <c r="I790" i="25"/>
  <c r="E493" i="3"/>
  <c r="I793" i="25"/>
  <c r="I788" i="25"/>
  <c r="I792" i="25"/>
  <c r="I789" i="25"/>
  <c r="I794" i="25"/>
  <c r="I795" i="25"/>
  <c r="I863" i="25"/>
  <c r="I861" i="25"/>
  <c r="I864" i="25"/>
  <c r="I862" i="25"/>
  <c r="E505" i="3"/>
  <c r="I925" i="25"/>
  <c r="I924" i="25"/>
  <c r="I923" i="25"/>
  <c r="I926" i="25"/>
  <c r="E515" i="3"/>
  <c r="I933" i="25"/>
  <c r="I935" i="25"/>
  <c r="I932" i="25"/>
  <c r="I934" i="25"/>
  <c r="I936" i="25"/>
  <c r="I937" i="25"/>
  <c r="E516" i="3"/>
  <c r="P597" i="13"/>
  <c r="Q597" i="13" s="1"/>
  <c r="E545" i="3" s="1"/>
  <c r="I1103" i="25"/>
  <c r="I1102" i="25"/>
  <c r="I1101" i="25"/>
  <c r="I1100" i="25"/>
  <c r="I1099" i="25"/>
  <c r="P596" i="13"/>
  <c r="Q596" i="13" s="1"/>
  <c r="E544" i="3" s="1"/>
  <c r="I1096" i="25"/>
  <c r="I1097" i="25"/>
  <c r="I1098" i="25"/>
  <c r="I1095" i="25"/>
  <c r="E543" i="3"/>
  <c r="I1094" i="25"/>
  <c r="I1108" i="25"/>
  <c r="I1107" i="25"/>
  <c r="I1106" i="25"/>
  <c r="I1105" i="25"/>
  <c r="I1104" i="25"/>
  <c r="I1200" i="25"/>
  <c r="I1201" i="25"/>
  <c r="I1202" i="25"/>
  <c r="E546" i="3"/>
  <c r="I1203" i="25"/>
  <c r="I1199" i="25"/>
  <c r="I1205" i="25"/>
  <c r="I1204" i="25"/>
  <c r="G31" i="27"/>
  <c r="E24" i="27"/>
  <c r="G23" i="27"/>
  <c r="G27" i="27"/>
  <c r="F21" i="27"/>
  <c r="F27" i="27"/>
  <c r="G21" i="27"/>
  <c r="E26" i="27"/>
  <c r="G20" i="27"/>
  <c r="F24" i="27"/>
  <c r="G26" i="27"/>
  <c r="G29" i="27"/>
  <c r="F23" i="27"/>
  <c r="F22" i="27"/>
  <c r="E29" i="27"/>
  <c r="F31" i="27"/>
  <c r="G24" i="27"/>
  <c r="E28" i="27"/>
  <c r="G28" i="27"/>
  <c r="E22" i="27"/>
  <c r="E20" i="27"/>
  <c r="G22" i="27"/>
  <c r="F26" i="27"/>
  <c r="G25" i="27"/>
  <c r="F20" i="27"/>
  <c r="F25" i="27"/>
  <c r="F28" i="27"/>
  <c r="E25" i="27"/>
  <c r="E31" i="27"/>
  <c r="E21" i="27"/>
  <c r="E30" i="27"/>
  <c r="G30" i="27"/>
  <c r="E27" i="27"/>
  <c r="F29" i="27"/>
  <c r="E23" i="27"/>
  <c r="F30" i="27"/>
  <c r="F9" i="32"/>
  <c r="C9" i="32"/>
  <c r="C8" i="32"/>
  <c r="P539" i="13"/>
  <c r="Q539" i="13" s="1"/>
  <c r="E487" i="3" s="1"/>
  <c r="I746" i="25"/>
  <c r="I748" i="25"/>
  <c r="I750" i="25"/>
  <c r="I752" i="25"/>
  <c r="I747" i="25"/>
  <c r="I749" i="25"/>
  <c r="I751" i="25"/>
  <c r="I753" i="25"/>
  <c r="E488" i="3"/>
  <c r="I891" i="25"/>
  <c r="I890" i="25"/>
  <c r="I889" i="25"/>
  <c r="I888" i="25"/>
  <c r="I887" i="25"/>
  <c r="I886" i="25"/>
  <c r="I885" i="25"/>
  <c r="I884" i="25"/>
  <c r="I883" i="25"/>
  <c r="C68" i="13"/>
  <c r="Q68" i="13" s="1"/>
  <c r="I931" i="25"/>
  <c r="I930" i="25"/>
  <c r="I929" i="25"/>
  <c r="I928" i="25"/>
  <c r="I927" i="25"/>
  <c r="E517" i="3"/>
  <c r="I1073" i="25"/>
  <c r="I1072" i="25"/>
  <c r="I1071" i="25"/>
  <c r="I1070" i="25"/>
  <c r="I1069" i="25"/>
  <c r="I1068" i="25"/>
  <c r="E541" i="3"/>
  <c r="I1078" i="25"/>
  <c r="I1077" i="25"/>
  <c r="I1076" i="25"/>
  <c r="I1075" i="25"/>
  <c r="I1074" i="25"/>
  <c r="E538" i="3"/>
  <c r="I1067" i="25"/>
  <c r="I1066" i="25"/>
  <c r="I1065" i="25"/>
  <c r="I1064" i="25"/>
  <c r="I1063" i="25"/>
  <c r="E539" i="3"/>
  <c r="I1084" i="25"/>
  <c r="I1083" i="25"/>
  <c r="I1082" i="25"/>
  <c r="I1081" i="25"/>
  <c r="I1080" i="25"/>
  <c r="I1079" i="25"/>
  <c r="E542" i="3"/>
  <c r="I1093" i="25"/>
  <c r="I1092" i="25"/>
  <c r="I1091" i="25"/>
  <c r="I1090" i="25"/>
  <c r="I1089" i="25"/>
  <c r="I1088" i="25"/>
  <c r="I1087" i="25"/>
  <c r="I1086" i="25"/>
  <c r="I1085" i="25"/>
  <c r="E540" i="3"/>
  <c r="I882" i="25"/>
  <c r="I881" i="25"/>
  <c r="I880" i="25"/>
  <c r="I879" i="25"/>
  <c r="I878" i="25"/>
  <c r="I877" i="25"/>
  <c r="I876" i="25"/>
  <c r="I875" i="25"/>
  <c r="I874" i="25"/>
  <c r="E506" i="3"/>
  <c r="I873" i="25"/>
  <c r="I872" i="25"/>
  <c r="I871" i="25"/>
  <c r="I870" i="25"/>
  <c r="I869" i="25"/>
  <c r="I868" i="25"/>
  <c r="I867" i="25"/>
  <c r="I866" i="25"/>
  <c r="I865" i="25"/>
  <c r="I616" i="25"/>
  <c r="I615" i="25"/>
  <c r="I619" i="25"/>
  <c r="I618" i="25"/>
  <c r="I617" i="25"/>
  <c r="I614" i="25"/>
  <c r="G12" i="27"/>
  <c r="G7" i="27"/>
  <c r="G11" i="27"/>
  <c r="G17" i="27"/>
  <c r="G18" i="27"/>
  <c r="G6" i="27"/>
  <c r="E19" i="27"/>
  <c r="F7" i="27"/>
  <c r="F4" i="27"/>
  <c r="E8" i="27"/>
  <c r="G2" i="27"/>
  <c r="F2" i="27"/>
  <c r="G4" i="27"/>
  <c r="F18" i="27"/>
  <c r="E15" i="27"/>
  <c r="F17" i="27"/>
  <c r="E4" i="27"/>
  <c r="E18" i="27"/>
  <c r="G19" i="27"/>
  <c r="E5" i="27"/>
  <c r="G16" i="27"/>
  <c r="G14" i="27"/>
  <c r="G13" i="27"/>
  <c r="E12" i="27"/>
  <c r="E14" i="27"/>
  <c r="F15" i="27"/>
  <c r="G8" i="27"/>
  <c r="E16" i="27"/>
  <c r="E3" i="27"/>
  <c r="G3" i="27"/>
  <c r="F14" i="27"/>
  <c r="F16" i="27"/>
  <c r="E7" i="27"/>
  <c r="F5" i="27"/>
  <c r="E17" i="27"/>
  <c r="F11" i="27"/>
  <c r="F9" i="27"/>
  <c r="E2" i="27"/>
  <c r="F10" i="27"/>
  <c r="E10" i="27"/>
  <c r="F8" i="27"/>
  <c r="F13" i="27"/>
  <c r="F12" i="27"/>
  <c r="G5" i="27"/>
  <c r="E11" i="27"/>
  <c r="G9" i="27"/>
  <c r="G10" i="27"/>
  <c r="E13" i="27"/>
  <c r="G15" i="27"/>
  <c r="F6" i="27"/>
  <c r="F19" i="27"/>
  <c r="E9" i="27"/>
  <c r="E6" i="27"/>
  <c r="F3" i="27"/>
  <c r="A3" i="14" a="1"/>
  <c r="H67" i="3"/>
  <c r="B9" i="32" l="1"/>
  <c r="F10" i="32"/>
  <c r="S3" i="14" a="1"/>
  <c r="V2" i="14" a="1"/>
  <c r="E56" i="3"/>
  <c r="P67" i="13"/>
  <c r="Q67" i="13" s="1"/>
  <c r="I3" i="14" s="1" a="1"/>
  <c r="I344" i="25"/>
  <c r="I343" i="25"/>
  <c r="I342" i="25"/>
  <c r="I341" i="25"/>
  <c r="I340" i="25"/>
  <c r="I339" i="25"/>
  <c r="I338" i="25"/>
  <c r="I337" i="25"/>
  <c r="I336" i="25"/>
  <c r="AA1" i="14" s="1" a="1"/>
  <c r="R1" i="25" l="1" a="1"/>
  <c r="F11" i="32"/>
  <c r="C10" i="32"/>
  <c r="B10" i="32"/>
  <c r="C11" i="32" l="1"/>
  <c r="B11" i="32"/>
  <c r="F12" i="32"/>
  <c r="F13" i="32" l="1"/>
  <c r="B12" i="32"/>
  <c r="C12" i="32"/>
  <c r="B13" i="32" l="1"/>
  <c r="F14" i="32"/>
  <c r="C14" i="32" s="1"/>
  <c r="C13" i="32"/>
  <c r="F15" i="32" l="1"/>
  <c r="B15" i="32" s="1"/>
  <c r="B14" i="32"/>
  <c r="F16" i="32" l="1"/>
  <c r="C15" i="32"/>
  <c r="F17" i="32" l="1"/>
  <c r="B16" i="32"/>
  <c r="C16" i="32"/>
  <c r="F18" i="32" l="1"/>
  <c r="B18" i="32" s="1"/>
  <c r="C17" i="32"/>
  <c r="B17" i="32"/>
  <c r="C18" i="32" l="1"/>
  <c r="F19" i="32"/>
  <c r="F20" i="32" s="1"/>
  <c r="C19" i="32"/>
  <c r="B19" i="32"/>
  <c r="C20" i="32" l="1"/>
  <c r="F21" i="32"/>
  <c r="B20" i="32"/>
  <c r="B21" i="32" l="1"/>
  <c r="C21" i="32"/>
  <c r="F22" i="32"/>
  <c r="F23" i="32" l="1"/>
  <c r="B23" i="32" s="1"/>
  <c r="C22" i="32"/>
  <c r="B22" i="32"/>
  <c r="F24" i="32" l="1"/>
  <c r="F25" i="32" s="1"/>
  <c r="C23" i="32"/>
  <c r="C24" i="32"/>
  <c r="B24" i="32"/>
  <c r="F26" i="32" l="1"/>
  <c r="B26" i="32" s="1"/>
  <c r="C25" i="32"/>
  <c r="B25" i="32"/>
  <c r="F27" i="32" l="1"/>
  <c r="C26" i="32"/>
  <c r="F28" i="32" l="1"/>
  <c r="C27" i="32"/>
  <c r="B27" i="32"/>
  <c r="B28" i="32" l="1"/>
  <c r="F29" i="32"/>
  <c r="C28" i="32"/>
  <c r="I37" i="3" s="1"/>
  <c r="I46" i="3"/>
  <c r="I4" i="3"/>
  <c r="I80" i="3"/>
  <c r="I96" i="3"/>
  <c r="I39" i="3"/>
  <c r="I103" i="3"/>
  <c r="I34" i="3"/>
  <c r="I38" i="3"/>
  <c r="I33" i="3"/>
  <c r="I21" i="3"/>
  <c r="I5" i="3"/>
  <c r="I35" i="3"/>
  <c r="I104" i="3"/>
  <c r="I22" i="3"/>
  <c r="I47" i="3"/>
  <c r="I72" i="3"/>
  <c r="I76" i="3"/>
  <c r="I77" i="3"/>
  <c r="I48" i="3"/>
  <c r="I79" i="3"/>
  <c r="I36" i="3"/>
  <c r="I78" i="3"/>
  <c r="I58" i="3"/>
  <c r="I57" i="3"/>
  <c r="I59" i="3"/>
  <c r="B29" i="32" l="1"/>
  <c r="F30" i="32"/>
  <c r="C29" i="32"/>
  <c r="C30" i="32" l="1"/>
  <c r="I62" i="3" s="1"/>
  <c r="F31" i="32"/>
  <c r="I12" i="3"/>
  <c r="B30" i="32"/>
  <c r="C31" i="32" l="1"/>
  <c r="B31" i="32"/>
  <c r="F32" i="32"/>
  <c r="C32" i="32" s="1"/>
  <c r="I105" i="3" l="1"/>
  <c r="I49" i="3"/>
  <c r="B32" i="32"/>
  <c r="F33" i="32"/>
  <c r="C33" i="32" s="1"/>
  <c r="B33" i="32" l="1"/>
  <c r="F34" i="32"/>
  <c r="B34" i="32" s="1"/>
  <c r="I106" i="3"/>
  <c r="C34" i="32" l="1"/>
  <c r="F35" i="32"/>
  <c r="I107" i="3" l="1"/>
  <c r="B35" i="32"/>
  <c r="C35" i="32"/>
  <c r="F36" i="32"/>
  <c r="B36" i="32" l="1"/>
  <c r="C36" i="32"/>
  <c r="I109" i="3" s="1"/>
  <c r="F37" i="32"/>
  <c r="B37" i="32" s="1"/>
  <c r="I108" i="3"/>
  <c r="B38" i="32" l="1"/>
  <c r="F38" i="32"/>
  <c r="F39" i="32" l="1"/>
  <c r="F40" i="32" l="1"/>
  <c r="F41" i="32" l="1"/>
  <c r="F42" i="32" l="1"/>
  <c r="F43" i="32" l="1"/>
  <c r="F44" i="32" l="1"/>
  <c r="F45" i="32" l="1"/>
  <c r="F46" i="32" l="1"/>
  <c r="F47" i="32" l="1"/>
  <c r="F48" i="32" l="1"/>
  <c r="F49" i="32" s="1"/>
  <c r="F50" i="32" s="1"/>
  <c r="F51" i="32" s="1"/>
  <c r="F52" i="32" s="1"/>
  <c r="F53" i="32" s="1"/>
  <c r="F54" i="32" s="1"/>
  <c r="F55" i="32" s="1"/>
  <c r="F56" i="32" s="1"/>
  <c r="F57" i="32" s="1"/>
  <c r="F58" i="32" s="1"/>
  <c r="F59" i="32" s="1"/>
  <c r="F60" i="32" s="1"/>
  <c r="F61" i="32" s="1"/>
  <c r="F62" i="32" s="1"/>
  <c r="F63" i="32" s="1"/>
  <c r="F64" i="32" s="1"/>
  <c r="F65" i="32" s="1"/>
  <c r="F66" i="32" s="1"/>
  <c r="F67" i="32" s="1"/>
  <c r="F68" i="32" s="1"/>
  <c r="F69" i="32" s="1"/>
  <c r="F70" i="32" s="1"/>
  <c r="F71" i="32" s="1"/>
  <c r="F72" i="32" s="1"/>
  <c r="F73" i="32" s="1"/>
  <c r="F74" i="32" s="1"/>
  <c r="F75" i="32" s="1"/>
  <c r="F76" i="32" s="1"/>
  <c r="F77" i="32" s="1"/>
  <c r="F78" i="32" s="1"/>
  <c r="F79" i="32" s="1"/>
  <c r="F80" i="32" s="1"/>
  <c r="F81" i="32" s="1"/>
  <c r="F82" i="32" s="1"/>
  <c r="F83" i="32" s="1"/>
  <c r="F84" i="32" s="1"/>
  <c r="F85" i="32" s="1"/>
  <c r="F86" i="32" s="1"/>
  <c r="F87" i="32" l="1"/>
  <c r="F88" i="32" s="1"/>
  <c r="F89" i="32" s="1"/>
  <c r="F90" i="32" s="1"/>
  <c r="F91" i="32" s="1"/>
  <c r="F92" i="32" s="1"/>
  <c r="F93" i="32" s="1"/>
  <c r="F94" i="32" s="1"/>
  <c r="F95" i="32" s="1"/>
  <c r="F96" i="32" s="1"/>
  <c r="F97" i="32" s="1"/>
  <c r="F98" i="32" s="1"/>
  <c r="F99" i="32" s="1"/>
  <c r="F100" i="32" s="1"/>
  <c r="F101" i="32" s="1"/>
  <c r="F102" i="32" s="1"/>
  <c r="F103" i="32" s="1"/>
  <c r="F104" i="32" s="1"/>
  <c r="C101" i="32"/>
  <c r="C104" i="32" l="1"/>
  <c r="B104" i="32"/>
  <c r="B79" i="32"/>
  <c r="C98" i="32"/>
  <c r="C79" i="32"/>
  <c r="B86" i="32"/>
  <c r="C99" i="32"/>
  <c r="C82" i="32"/>
  <c r="B67" i="32"/>
  <c r="B78" i="32"/>
  <c r="C100" i="32"/>
  <c r="B99" i="32"/>
  <c r="C96" i="32"/>
  <c r="C60" i="32"/>
  <c r="C93" i="32"/>
  <c r="C90" i="32"/>
  <c r="C95" i="32"/>
  <c r="C85" i="32"/>
  <c r="B94" i="32"/>
  <c r="B101" i="32"/>
  <c r="C94" i="32"/>
  <c r="C102" i="32"/>
  <c r="B100" i="32"/>
  <c r="B97" i="32"/>
  <c r="B89" i="32"/>
  <c r="B90" i="32"/>
  <c r="C41" i="32"/>
  <c r="C103" i="32"/>
  <c r="B95" i="32"/>
  <c r="B93" i="32"/>
  <c r="B88" i="32"/>
  <c r="B70" i="32"/>
  <c r="B63" i="32"/>
  <c r="B62" i="32"/>
  <c r="B103" i="32"/>
  <c r="C59" i="32"/>
  <c r="B91" i="32"/>
  <c r="C83" i="32"/>
  <c r="B39" i="32"/>
  <c r="B44" i="32"/>
  <c r="B68" i="32"/>
  <c r="B82" i="32"/>
  <c r="C39" i="32"/>
  <c r="C51" i="32"/>
  <c r="B98" i="32"/>
  <c r="C97" i="32"/>
  <c r="B65" i="32"/>
  <c r="C54" i="32"/>
  <c r="B80" i="32"/>
  <c r="C77" i="32"/>
  <c r="B49" i="32"/>
  <c r="B43" i="32"/>
  <c r="C49" i="32"/>
  <c r="B77" i="32"/>
  <c r="C61" i="32"/>
  <c r="B96" i="32"/>
  <c r="B74" i="32"/>
  <c r="B102" i="32"/>
  <c r="B92" i="32"/>
  <c r="C86" i="32"/>
  <c r="C74" i="32"/>
  <c r="C55" i="32"/>
  <c r="C89" i="32"/>
  <c r="C70" i="32"/>
  <c r="B76" i="32"/>
  <c r="B61" i="32"/>
  <c r="C38" i="32"/>
  <c r="C81" i="32"/>
  <c r="C92" i="32"/>
  <c r="C91" i="32"/>
  <c r="C46" i="32"/>
  <c r="B45" i="32"/>
  <c r="C80" i="32"/>
  <c r="B41" i="32"/>
  <c r="C43" i="32"/>
  <c r="B52" i="32"/>
  <c r="B75" i="32"/>
  <c r="B47" i="32"/>
  <c r="C87" i="32"/>
  <c r="C47" i="32"/>
  <c r="B69" i="32"/>
  <c r="B60" i="32"/>
  <c r="B72" i="32"/>
  <c r="C67" i="32"/>
  <c r="C52" i="32"/>
  <c r="B51" i="32"/>
  <c r="B54" i="32"/>
  <c r="B85" i="32"/>
  <c r="B46" i="32"/>
  <c r="B42" i="32"/>
  <c r="B64" i="32"/>
  <c r="B71" i="32"/>
  <c r="B83" i="32"/>
  <c r="C78" i="32"/>
  <c r="B58" i="32"/>
  <c r="B57" i="32"/>
  <c r="B48" i="32"/>
  <c r="C72" i="32"/>
  <c r="C69" i="32"/>
  <c r="C76" i="32"/>
  <c r="B50" i="32"/>
  <c r="B56" i="32"/>
  <c r="C65" i="32"/>
  <c r="C57" i="32"/>
  <c r="C75" i="32"/>
  <c r="C64" i="32"/>
  <c r="B84" i="32"/>
  <c r="C84" i="32"/>
  <c r="C50" i="32"/>
  <c r="C45" i="32"/>
  <c r="C40" i="32"/>
  <c r="B81" i="32"/>
  <c r="C73" i="32"/>
  <c r="B73" i="32"/>
  <c r="C58" i="32"/>
  <c r="C63" i="32"/>
  <c r="B59" i="32"/>
  <c r="C88" i="32"/>
  <c r="B40" i="32"/>
  <c r="C37" i="32"/>
  <c r="C66" i="32"/>
  <c r="B55" i="32"/>
  <c r="C42" i="32"/>
  <c r="B66" i="32"/>
  <c r="B87" i="32"/>
  <c r="C53" i="32"/>
  <c r="C62" i="32"/>
  <c r="C44" i="32"/>
  <c r="B53" i="32"/>
  <c r="C68" i="32"/>
  <c r="C48" i="32"/>
  <c r="C71" i="32"/>
  <c r="C56" i="32"/>
  <c r="I82" i="3" l="1"/>
  <c r="I95" i="3"/>
  <c r="I93" i="3"/>
  <c r="I81" i="3"/>
  <c r="I50" i="3"/>
  <c r="I44" i="3"/>
  <c r="I92" i="3"/>
  <c r="I94" i="3"/>
  <c r="I45" i="3"/>
  <c r="I26" i="3"/>
  <c r="I102" i="3"/>
  <c r="I56" i="3"/>
  <c r="I99" i="3"/>
  <c r="I100" i="3"/>
  <c r="I97" i="3"/>
  <c r="I60" i="3"/>
  <c r="I30" i="3"/>
  <c r="I11" i="3"/>
  <c r="I101" i="3"/>
  <c r="I32" i="3"/>
  <c r="I19" i="3"/>
  <c r="I10" i="3"/>
  <c r="I98" i="3"/>
  <c r="I31" i="3"/>
  <c r="I42" i="3"/>
  <c r="I75" i="3"/>
  <c r="I41" i="3"/>
  <c r="I73" i="3"/>
  <c r="I61" i="3"/>
  <c r="I74" i="3"/>
  <c r="I43" i="3"/>
  <c r="I20" i="3"/>
  <c r="I18" i="3"/>
  <c r="I53" i="3"/>
  <c r="I52" i="3"/>
  <c r="I28" i="3"/>
  <c r="I64" i="3"/>
  <c r="I70" i="3"/>
  <c r="I29" i="3"/>
  <c r="I13" i="3"/>
  <c r="I67" i="3"/>
  <c r="I15" i="3"/>
  <c r="I83" i="3"/>
  <c r="I85" i="3"/>
  <c r="I86" i="3"/>
  <c r="I68" i="3"/>
  <c r="I3" i="3"/>
  <c r="I65" i="3"/>
  <c r="I7" i="3"/>
  <c r="I71" i="3"/>
  <c r="I69" i="3"/>
  <c r="I90" i="3"/>
  <c r="I84" i="3"/>
  <c r="I17" i="3"/>
  <c r="I8" i="3"/>
  <c r="I25" i="3"/>
  <c r="I24" i="3"/>
  <c r="I14" i="3"/>
  <c r="I55" i="3"/>
  <c r="I27" i="3"/>
  <c r="I87" i="3"/>
  <c r="I6" i="3"/>
  <c r="I51" i="3"/>
  <c r="I40" i="3"/>
  <c r="I2" i="3"/>
  <c r="I91" i="3"/>
  <c r="I54" i="3"/>
  <c r="I88" i="3"/>
  <c r="I23" i="3"/>
  <c r="I89" i="3"/>
  <c r="I9" i="3"/>
  <c r="I16" i="3"/>
  <c r="I66" i="3"/>
  <c r="I63"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<sst xmlns="http://schemas.openxmlformats.org/spreadsheetml/2006/main" count="24553" uniqueCount="6472">
  <si>
    <t>Value</t>
  </si>
  <si>
    <t>Setting</t>
  </si>
  <si>
    <t>Description</t>
  </si>
  <si>
    <t>Character Level</t>
  </si>
  <si>
    <t>Current player level</t>
  </si>
  <si>
    <t>BuildingID</t>
  </si>
  <si>
    <t>Key</t>
  </si>
  <si>
    <t>Level</t>
  </si>
  <si>
    <t>DisplayName</t>
  </si>
  <si>
    <t>Airship Lv 1</t>
  </si>
  <si>
    <t>WikiName</t>
  </si>
  <si>
    <t>Trackable</t>
  </si>
  <si>
    <t>Notes</t>
  </si>
  <si>
    <t>building.airship@1</t>
  </si>
  <si>
    <t>airship</t>
  </si>
  <si>
    <t>building.airship@2</t>
  </si>
  <si>
    <t>building.alchemists_hut@1</t>
  </si>
  <si>
    <t>alchemists_hut</t>
  </si>
  <si>
    <t>Alchemist's Hut</t>
  </si>
  <si>
    <t>building.alchemists_hut@2</t>
  </si>
  <si>
    <t>building.alchemists_hut@3</t>
  </si>
  <si>
    <t>building.alchemists_hut@4</t>
  </si>
  <si>
    <t>building.alchemists_hut@5</t>
  </si>
  <si>
    <t>building.alchemists_hut@6</t>
  </si>
  <si>
    <t>building.bonsai@1</t>
  </si>
  <si>
    <t>bonsai</t>
  </si>
  <si>
    <t>building.bonsai@2</t>
  </si>
  <si>
    <t>building.bridge@1</t>
  </si>
  <si>
    <t>bridge</t>
  </si>
  <si>
    <t>building.caravan@1</t>
  </si>
  <si>
    <t>caravan</t>
  </si>
  <si>
    <t>building.caravan@2</t>
  </si>
  <si>
    <t>building.caravan@3</t>
  </si>
  <si>
    <t>building.caravan@4</t>
  </si>
  <si>
    <t>building.chicken@1</t>
  </si>
  <si>
    <t>chicken</t>
  </si>
  <si>
    <t>building.chicken@2</t>
  </si>
  <si>
    <t>building.dairy@1</t>
  </si>
  <si>
    <t>dairy</t>
  </si>
  <si>
    <t>building.dairy@2</t>
  </si>
  <si>
    <t>building.dungeon@1</t>
  </si>
  <si>
    <t>dungeon</t>
  </si>
  <si>
    <t>building.dungeon@2</t>
  </si>
  <si>
    <t>building.dungeon@3</t>
  </si>
  <si>
    <t>building.dungeon@4</t>
  </si>
  <si>
    <t>building.dungeon@5</t>
  </si>
  <si>
    <t>building.fermentory@1</t>
  </si>
  <si>
    <t>fermentory</t>
  </si>
  <si>
    <t>building.fermentory@2</t>
  </si>
  <si>
    <t>building.fermentory@3</t>
  </si>
  <si>
    <t>building.fermentory@4</t>
  </si>
  <si>
    <t>building.fermentory@5</t>
  </si>
  <si>
    <t>building.fermentory@6</t>
  </si>
  <si>
    <t>building.field@1</t>
  </si>
  <si>
    <t>field</t>
  </si>
  <si>
    <t>building.field@2</t>
  </si>
  <si>
    <t>building.food_stall@1</t>
  </si>
  <si>
    <t>food_stall</t>
  </si>
  <si>
    <t>Food Stall</t>
  </si>
  <si>
    <t>building.food_stall@2</t>
  </si>
  <si>
    <t>building.food_stall@3</t>
  </si>
  <si>
    <t>building.furnace@1</t>
  </si>
  <si>
    <t>furnace</t>
  </si>
  <si>
    <t>building.furnace@2</t>
  </si>
  <si>
    <t>building.furnace@3</t>
  </si>
  <si>
    <t>building.garden@1</t>
  </si>
  <si>
    <t>garden</t>
  </si>
  <si>
    <t>building.garden@2</t>
  </si>
  <si>
    <t>building.garden@3</t>
  </si>
  <si>
    <t>building.gong@1</t>
  </si>
  <si>
    <t>gong</t>
  </si>
  <si>
    <t>building.guild@1</t>
  </si>
  <si>
    <t>guild</t>
  </si>
  <si>
    <t>building.guild@2</t>
  </si>
  <si>
    <t>building.guild@3</t>
  </si>
  <si>
    <t>building.guild@4</t>
  </si>
  <si>
    <t>building.guild@5</t>
  </si>
  <si>
    <t>building.guild_video_game_arcade@1</t>
  </si>
  <si>
    <t>guild_video_game_arcade</t>
  </si>
  <si>
    <t>guild: Video game arcade</t>
  </si>
  <si>
    <t>building.laboratory@1</t>
  </si>
  <si>
    <t>laboratory</t>
  </si>
  <si>
    <t>Laboratory</t>
  </si>
  <si>
    <t>building.laboratory@2</t>
  </si>
  <si>
    <t>building.laboratory@3</t>
  </si>
  <si>
    <t>building.laboratory@4</t>
  </si>
  <si>
    <t>building.laboratory@5</t>
  </si>
  <si>
    <t>building.laboratory_data_center@1</t>
  </si>
  <si>
    <t>laboratory_data_center</t>
  </si>
  <si>
    <t>Laboratory: Data center</t>
  </si>
  <si>
    <t>building.lumber@1</t>
  </si>
  <si>
    <t>lumber</t>
  </si>
  <si>
    <t>building.lumber@2</t>
  </si>
  <si>
    <t>building.lumber@3</t>
  </si>
  <si>
    <t>building.onsen@1</t>
  </si>
  <si>
    <t>onsen</t>
  </si>
  <si>
    <t>building.onsen@2</t>
  </si>
  <si>
    <t>building.outpost@1</t>
  </si>
  <si>
    <t>outpost</t>
  </si>
  <si>
    <t>building.outpost@2</t>
  </si>
  <si>
    <t>building.outpost@3</t>
  </si>
  <si>
    <t>building.pagoda@1</t>
  </si>
  <si>
    <t>pagoda</t>
  </si>
  <si>
    <t>building.pagoda@2</t>
  </si>
  <si>
    <t>building.pagoda@3</t>
  </si>
  <si>
    <t>building.pagoda@4</t>
  </si>
  <si>
    <t>building.pagoda@5</t>
  </si>
  <si>
    <t>building.pagoda@6</t>
  </si>
  <si>
    <t>building.pagoda@7</t>
  </si>
  <si>
    <t>building.pier@1</t>
  </si>
  <si>
    <t>pier</t>
  </si>
  <si>
    <t>building.rock_garden@1</t>
  </si>
  <si>
    <t>rock_garden</t>
  </si>
  <si>
    <t>Rock Garden</t>
  </si>
  <si>
    <t>building.rock_garden@2</t>
  </si>
  <si>
    <t>building.rock_garden@3</t>
  </si>
  <si>
    <t>building.ship@1</t>
  </si>
  <si>
    <t>ship</t>
  </si>
  <si>
    <t>building.ship@2</t>
  </si>
  <si>
    <t>building.ship@3</t>
  </si>
  <si>
    <t>building.ship@4</t>
  </si>
  <si>
    <t>building.shop@1</t>
  </si>
  <si>
    <t>shop</t>
  </si>
  <si>
    <t>building.shop@2</t>
  </si>
  <si>
    <t>building.shop@3</t>
  </si>
  <si>
    <t>building.smithy@1</t>
  </si>
  <si>
    <t>smithy</t>
  </si>
  <si>
    <t>building.smithy@2</t>
  </si>
  <si>
    <t>building.smithy@3</t>
  </si>
  <si>
    <t>building.station@1</t>
  </si>
  <si>
    <t>station</t>
  </si>
  <si>
    <t>building.tailor@1</t>
  </si>
  <si>
    <t>tailor</t>
  </si>
  <si>
    <t>building.tailor@2</t>
  </si>
  <si>
    <t>building.tailor@3</t>
  </si>
  <si>
    <t>building.train@1</t>
  </si>
  <si>
    <t>train</t>
  </si>
  <si>
    <t>building.train@2</t>
  </si>
  <si>
    <t>building.train_freight_carriage@1</t>
  </si>
  <si>
    <t>train_freight_carriage</t>
  </si>
  <si>
    <t>train: Freight carriage</t>
  </si>
  <si>
    <t>building.train_freight_carriage@2</t>
  </si>
  <si>
    <t>building.train_passenger_carriage@1</t>
  </si>
  <si>
    <t>train_passenger_carriage</t>
  </si>
  <si>
    <t>train: Passenger carriage</t>
  </si>
  <si>
    <t>building.train_passenger_carriage@2</t>
  </si>
  <si>
    <t>building.warehouse@1</t>
  </si>
  <si>
    <t>warehouse</t>
  </si>
  <si>
    <t>building.warehouse@2</t>
  </si>
  <si>
    <t>building.warehouse@3</t>
  </si>
  <si>
    <t>building.warehouse@4</t>
  </si>
  <si>
    <t>building.warehouse@5</t>
  </si>
  <si>
    <t>building.warehouse@6</t>
  </si>
  <si>
    <t>building.warehouse@7</t>
  </si>
  <si>
    <t>building.windmill@1</t>
  </si>
  <si>
    <t>windmill</t>
  </si>
  <si>
    <t>building.windmill@2</t>
  </si>
  <si>
    <t>building.workshop@1</t>
  </si>
  <si>
    <t>workshop</t>
  </si>
  <si>
    <t>building.workshop@2</t>
  </si>
  <si>
    <t>building.workshop@3</t>
  </si>
  <si>
    <t>building.workshop@4</t>
  </si>
  <si>
    <t>building.workshop@5</t>
  </si>
  <si>
    <t>Rock Garden Lv 1</t>
  </si>
  <si>
    <t>Rock Garden Lv 2</t>
  </si>
  <si>
    <t>Rock Garden Lv 3</t>
  </si>
  <si>
    <t>Requires completing Quests:_The_Ordinary_Days_of_an_Adventurer|The Ordinary Days of an Adventurer quest: Chapter V]].</t>
  </si>
  <si>
    <t>Tunnel can be built after accepting Quests:_Ahead_of_Time#Chapter_II:_Rabbit_Hole|Ahead of Time: Chapter 2]] in dungeon 6A.</t>
  </si>
  <si>
    <t>Requires Quests#Magic Beans|Magic Beans quest]] (completed).</t>
  </si>
  <si>
    <t>+25% productivity means that instead of crafting 8 x Steel, it now crafts 10 x Steel.</t>
  </si>
  <si>
    <t>Gold ingots can be crafted from different items.</t>
  </si>
  <si>
    <t>Increases rewards for Quests#Puzzle_of_the_Day|Puzzle of the Day]] quests by 2 Coins and Quests#WANTED|Wanted quests]] by 3 Coins.</t>
  </si>
  <si>
    <t>Requires completing Ahead of Time: Chapter V.</t>
  </si>
  <si>
    <t>Requires Quests#Ahead of time|Ahead of time (quest)]], Craftifacts#Telescope|Telescope]] and Craftifacts#Solver-1_prototype|Solver-1 prototype]].</t>
  </si>
  <si>
    <t>When Data center is built, passive income of Punched cards is replaced with passive income of Floppy disks.</t>
  </si>
  <si>
    <t>Data center can be built after accepting Quests:_Ahead_of_Time#Chapter_V:_Accelerating_Progress|Ahead of Time: Chapter 5]]. When Data center is build, passive income of Punched cards is replaced with passive income of Floppy disks.</t>
  </si>
  <si>
    <t>+25% productivity means that instead of crafting&amp;lt;br /&amp;gt;8 x Wooden beams it now crafts 10 x Wooden beams.</t>
  </si>
  <si>
    <t>Unlocks cities the train can travel to: Nagasaki, Osaka, Wakayama, Kyoto.</t>
  </si>
  <si>
    <t>Unlocks cities the train can travel to: Tokio, Fukushima, Aomori.</t>
  </si>
  <si>
    <t>Windmill now crafts 5 x Flour instead of 4 x Flour.</t>
  </si>
  <si>
    <t>description</t>
  </si>
  <si>
    <t>Unlocks Airship#Airship_missions|airship missions]], Quests#Festival Returns|Festival Returns quest]], Quest for Knowledge Chapter V, and 6 new craftifacts]].</t>
  </si>
  <si>
    <t>Increases carrying capacity to 4 slots.</t>
  </si>
  <si>
    <t>Crafting:</t>
  </si>
  <si>
    <t>Unlocks Cauldron]].</t>
  </si>
  <si>
    <t>Passive income: {{i|beans|30}} x 1.</t>
  </si>
  <si>
    <t>Passive income: {{i|beans|30}} x 2.</t>
  </si>
  <si>
    <t>Unlocks Bedouin (Bourse]] section) and new buildings: Caravan]], Outpost]], Tailor]], Airship]], and Train Station]].</t>
  </si>
  <si>
    <t>Unlocks Caravan#Caravan_missions|caravan missions]].</t>
  </si>
  <si>
    <t>One additional slot for an item to be sold and purchased.</t>
  </si>
  <si>
    <t>Increases maximum order size by 100%.</t>
  </si>
  <si>
    <t>Doubles productivity.</t>
  </si>
  <si>
    <t>Unlocks Dungeon: RPG]], Cultist (Bourse]] section), and Quests:_Quest_for_Knowledge|questline: Quest for Knowledge]].</t>
  </si>
  <si>
    <t>Dungeon 2A, and Quests:_Once_Upon_a_Forest|questline: Once Upon a Forest]].</t>
  </si>
  <si>
    <t>Dungeon 3A.</t>
  </si>
  <si>
    <t>Dungeon 4A.</t>
  </si>
  <si>
    <t>Dungeon 5A.</t>
  </si>
  <si>
    <t>New route in Train]]: Sapporo.</t>
  </si>
  <si>
    <t>Increases productivity by 25%.</t>
  </si>
  <si>
    <t>Passive income: {{i|wood|30}} x 1.</t>
  </si>
  <si>
    <t>Passive income: {{i|wood|30}} x 2.</t>
  </si>
  <si>
    <t>Passive income: {{i|wood|30}} x 3.</t>
  </si>
  <si>
    <t>Unlocks Hall of Fame]].</t>
  </si>
  <si>
    <t>Already built.</t>
  </si>
  <si>
    <t>Allows to upgrade other buildings to lvl. 2, unlocks Expedition]], and increases rewards for daily quests]].</t>
  </si>
  <si>
    <t>Allows to upgrade other buildings to lvl. 3, unlocks Office]], and increases rewards for daily quests]].</t>
  </si>
  <si>
    <t>Allows to upgrade other buildings to lvl. 4, and increases rewards for daily quests]].</t>
  </si>
  <si>
    <t>Allows to upgrade other buildings to lvl. 5, and increases rewards for daily quests]].</t>
  </si>
  <si>
    <t>Increases rewards for daily quests.</t>
  </si>
  <si>
    <t>Passive income: {{i|pcard|30}} x 1.</t>
  </si>
  <si>
    <t>Passive income: {{i|pcard|30}} x 2 / Character: Has a chance to find: {{i|pcard|30}} / Class: Scientist: +20% drop chance: {{i|pcard|30}}</t>
  </si>
  <si>
    <t>Passive income: {{i|pcard|30}} x 3.</t>
  </si>
  <si>
    <t>Passive income: {{i|pcard|30}} x 4.</t>
  </si>
  <si>
    <t>Passive income: {{i|floppy|30}} x 1</t>
  </si>
  <si>
    <t>Passive income: {{i|chemicals|30}} x 1.</t>
  </si>
  <si>
    <t>Reduces chances of robbery by 12%. Passive income: {{i|dinar|30}} x 1.</t>
  </si>
  <si>
    <t>Reduces chances of robbery by 12%. Passive income: {{i|dinar|30}} x 3.</t>
  </si>
  <si>
    <t>Reduces chances of robbery by 12%. Passive income: {{i|dinar|30}} x 5.</t>
  </si>
  <si>
    <t>+1 hint per puzzle and unlocks Pagoda#Charity|Charity]].</t>
  </si>
  <si>
    <t>+1 hint per puzzle and +25% Charity experience.</t>
  </si>
  <si>
    <t>Unlocks the ability to build Ship]], and increases storage capacity by 50% of original size.</t>
  </si>
  <si>
    <t>Passive income: {{i|stone|30}} x 1.</t>
  </si>
  <si>
    <t>Passive income: {{i|stone|30}} x 2.</t>
  </si>
  <si>
    <t>Passive income: {{i|stone|30}} x 3.</t>
  </si>
  <si>
    <t>Unlocks Ship#Ship_missions|6-hours missions]].</t>
  </si>
  <si>
    <t>Unlocks 12-hours missions.</t>
  </si>
  <si>
    <t>Unlocks 24-hours missions.</t>
  </si>
  <si>
    <t>Unlocks {{i|spices|30}} Ship#Spicy_Odyssey|Spicy Odyssey]].</t>
  </si>
  <si>
    <t>Shop makes buying and selling certain items available.</t>
  </si>
  <si>
    <t>Increases the amount of items that can be bought. It does not add new items to buy or sell.</t>
  </si>
  <si>
    <t>Increases the amount of items that can be Shop#Sell_limit|sold]]. It does not add new items to buy or sell.</t>
  </si>
  <si>
    <t>Unlocks the ability to build Train]], increases storage capacity by 50% of original size, and unlocks Quests#Journey_Through_Japan_By_Train|Journey Through Japan By Train quest]].</t>
  </si>
  <si>
    <t>Unlocks Train#Train_missions|Train missions]].</t>
  </si>
  <si>
    <t>Unlocks more cities to travel to.</t>
  </si>
  <si>
    <t>Allows to trade items from cities. Capacity: 2 items.</t>
  </si>
  <si>
    <t>Increases carrying capacity to 4 items.</t>
  </si>
  <si>
    <t>Allows to transport passengers and collect Coin]]s from them. Capacity: 2 slots.</t>
  </si>
  <si>
    <t>Increases storage capacity by 50% of original size, and unlocks Bourse]].</t>
  </si>
  <si>
    <t>Increases storage capacity by 50% of original size.</t>
  </si>
  <si>
    <t>Increases storage capacity by 50% of original size and unlocks Warehouse#Depository|Depository]].</t>
  </si>
  <si>
    <t>cost</t>
  </si>
  <si>
    <t>costtext</t>
  </si>
  <si>
    <t>ruby:10,coin:2000,silk:120,thread:20,chemicals:200,reagent:20,miron:50,page:40</t>
  </si>
  <si>
    <t>10 ruby,2000 coin,120 silk,20 thread,200 chemicals,20 reagent,50 miron,40 page</t>
  </si>
  <si>
    <t>ruby:12,coin:3000,plank:60,silk:100,gears:20,fan:50,thread:10</t>
  </si>
  <si>
    <t>12 ruby,3000 coin,60 plank,100 silk,20 gears,50 fan,10 thread</t>
  </si>
  <si>
    <t>ruby:1,coin:140,wood:70,stone:70</t>
  </si>
  <si>
    <t>1 ruby,140 coin,70 wood,70 stone</t>
  </si>
  <si>
    <t>ruby:2,coin:200,wood:100,stone:100,chemicals:20</t>
  </si>
  <si>
    <t>2 ruby,200 coin,100 wood,100 stone,20 chemicals</t>
  </si>
  <si>
    <t>ruby:3,coin:300,beam:300,stone:150,chemicals:40,charcoal:40</t>
  </si>
  <si>
    <t>3 ruby,300 coin,300 beam,150 stone,40 chemicals,40 charcoal</t>
  </si>
  <si>
    <t>ruby:4,coin:400,beam:400,stone:200,gunpowder:40</t>
  </si>
  <si>
    <t>4 ruby,400 coin,400 beam,200 stone,40 gunpowder</t>
  </si>
  <si>
    <t>ruby:5,coin:500,beam:440,stone:220,gunpowder:80</t>
  </si>
  <si>
    <t>5 ruby,500 coin,440 beam,220 stone,80 gunpowder</t>
  </si>
  <si>
    <t>ruby:6,coin:1000,beam:800,stone:400,chemicals:200,glass:50</t>
  </si>
  <si>
    <t>6 ruby,1000 coin,800 beam,400 stone,200 chemicals,50 glass</t>
  </si>
  <si>
    <t>ruby:3,coin:500,plank:500,beans:120</t>
  </si>
  <si>
    <t>3 ruby,500 coin,500 plank,120 beans</t>
  </si>
  <si>
    <t>ruby:5,coin:800,plank:600,beans:240,chemicals:150</t>
  </si>
  <si>
    <t>5 ruby,800 coin,600 plank,240 beans,150 chemicals</t>
  </si>
  <si>
    <t>ruby:4,coin:1000,beam:400,plank:1000,stone:400,steel:100</t>
  </si>
  <si>
    <t>4 ruby,1000 coin,400 beam,1000 plank,400 stone,100 steel</t>
  </si>
  <si>
    <t>ruby:5,coin:1000,plank:400,stone:200,beans:50,sushi:10</t>
  </si>
  <si>
    <t>5 ruby,1000 coin,400 plank,200 stone,50 beans,10 sushi</t>
  </si>
  <si>
    <t>ruby:7,coin:1200,plank:600,stone:300,ingot:50,fan:50</t>
  </si>
  <si>
    <t>7 ruby,1200 coin,600 plank,300 stone,50 ingot,50 fan</t>
  </si>
  <si>
    <t>ruby:9,coin:1500,plank:800,stone:400,paper:20,pearl:10</t>
  </si>
  <si>
    <t>9 ruby,1500 coin,800 plank,400 stone,20 paper,10 pearl</t>
  </si>
  <si>
    <t>ruby:12,coin:2000,plank:1000,stone:500,silk:30,spices:5</t>
  </si>
  <si>
    <t>12 ruby,2000 coin,1000 plank,500 stone,30 silk,5 spices</t>
  </si>
  <si>
    <t>ruby:2,coin:400,beam:400,stone:200,wheat:20,thread:10,egg:1</t>
  </si>
  <si>
    <t>2 ruby,400 coin,400 beam,200 stone,20 wheat,10 thread,1 egg</t>
  </si>
  <si>
    <t>ruby:3,coin:600,beam:600,stone:300,wheat:20,thread:10,egg:1</t>
  </si>
  <si>
    <t>3 ruby,600 coin,600 beam,300 stone,20 wheat,10 thread,1 egg</t>
  </si>
  <si>
    <t>ruby:5,coin:1000,beam:700,stone:300,thread:20,glass:40,wheat:100,herbs:20,goat:1</t>
  </si>
  <si>
    <t>5 ruby,1000 coin,700 beam,300 stone,20 thread,40 glass,100 wheat,20 herbs,1 goat</t>
  </si>
  <si>
    <t>ruby:5,coin:1000,beam:900,stone:500,thread:30,bamboo:20,milk:20,enzyme:10,grimoire:5</t>
  </si>
  <si>
    <t>5 ruby,1000 coin,900 beam,500 stone,30 thread,20 bamboo,20 milk,10 enzyme,5 grimoire</t>
  </si>
  <si>
    <t>ruby:1,coin:300,wood:200,stone:50,steel:100,fan:30</t>
  </si>
  <si>
    <t>1 ruby,300 coin,200 wood,50 stone,100 steel,30 fan</t>
  </si>
  <si>
    <t>ruby:2,coin:500,beam:500,steel:400,petard:100,bento:5,page:15</t>
  </si>
  <si>
    <t>2 ruby,500 coin,500 beam,400 steel,100 petard,5 bento,15 page</t>
  </si>
  <si>
    <t>ruby:3,coin:1000,beam:500,steel:400,kunai:50,ramen:3,page:15</t>
  </si>
  <si>
    <t>3 ruby,1000 coin,500 beam,400 steel,50 kunai,3 ramen,15 page</t>
  </si>
  <si>
    <t>ruby:5,coin:1500,beam:750,oil:30,clew:5,poe:20,page:20</t>
  </si>
  <si>
    <t>5 ruby,1500 coin,750 beam,30 oil,5 clew,20 poe,20 page</t>
  </si>
  <si>
    <t>ruby:7,coin:2000,beam:1000,mspider:10,smoothie:10,page:25</t>
  </si>
  <si>
    <t>7 ruby,2000 coin,1000 beam,10 mspider,10 smoothie,25 page</t>
  </si>
  <si>
    <t>ruby:5,coin:1000,beam:8000,stone:500,steel:1000,mechanism:40,petard:100,pcard:100,blueprint:100</t>
  </si>
  <si>
    <t>5 ruby,1000 coin,8000 beam,500 stone,1000 steel,40 mechanism,100 petard,100 pcard,100 blueprint</t>
  </si>
  <si>
    <t>ruby:5,coin:1000,beam:700,stone:700,steel:300,soybean:50,page:30</t>
  </si>
  <si>
    <t>5 ruby,1000 coin,700 beam,700 stone,300 steel,50 soybean,30 page</t>
  </si>
  <si>
    <t>ruby:5,coin:1000,beam:900,stone:500,chemicals:100,reagent:30,charcoal:200,soybean:50</t>
  </si>
  <si>
    <t>5 ruby,1000 coin,900 beam,500 stone,100 chemicals,30 reagent,200 charcoal,50 soybean</t>
  </si>
  <si>
    <t>ruby:7,coin:1000,plank:700,stone:500,steel:200,charcoal:200,soybean:50</t>
  </si>
  <si>
    <t>7 ruby,1000 coin,700 plank,500 stone,200 steel,200 charcoal,50 soybean</t>
  </si>
  <si>
    <t>ruby:8,coin:1000,plank:900,stone:500,steel:300,rice:50,wheat:50,soybean:50,soy:10</t>
  </si>
  <si>
    <t>8 ruby,1000 coin,900 plank,500 stone,300 steel,50 rice,50 wheat,50 soybean,10 soy</t>
  </si>
  <si>
    <t>ruby:9,coin:1000,plank:900,stone:800,thread:20,soybean:100,koji:24,grimoire:10</t>
  </si>
  <si>
    <t>9 ruby,1000 coin,900 plank,800 stone,20 thread,100 soybean,24 koji,10 grimoire</t>
  </si>
  <si>
    <t>ruby:10,coin:1000,plank:900,stone:500,paper:40,glass:30,koji:24,enzyme:10,grimoire:10</t>
  </si>
  <si>
    <t>10 ruby,1000 coin,900 plank,500 stone,40 paper,30 glass,24 koji,10 enzyme,10 grimoire</t>
  </si>
  <si>
    <t>ruby:1,coin:200,wood:100,chemicals:20</t>
  </si>
  <si>
    <t>1 ruby,200 coin,100 wood,20 chemicals</t>
  </si>
  <si>
    <t>ruby:3,coin:300,wood:100,chemicals:50,steel:20</t>
  </si>
  <si>
    <t>3 ruby,300 coin,100 wood,50 chemicals,20 steel</t>
  </si>
  <si>
    <t>ruby:1,coin:300,wood:150,stone:150,rice:20</t>
  </si>
  <si>
    <t>1 ruby,300 coin,150 wood,150 stone,20 rice</t>
  </si>
  <si>
    <t>ruby:3,coin:500,plank:500,stone:300,spices:5</t>
  </si>
  <si>
    <t>3 ruby,500 coin,500 plank,300 stone,5 spices</t>
  </si>
  <si>
    <t>ruby:5,coin:800,plank:600,beans:50,spices:3</t>
  </si>
  <si>
    <t>5 ruby,800 coin,600 plank,50 beans,3 spices</t>
  </si>
  <si>
    <t>ruby:1,coin:200,wood:100,stone:100</t>
  </si>
  <si>
    <t>1 ruby,200 coin,100 wood,100 stone</t>
  </si>
  <si>
    <t>ruby:3,coin:500,beam:400,stone:200,steel:20</t>
  </si>
  <si>
    <t>3 ruby,500 coin,400 beam,200 stone,20 steel</t>
  </si>
  <si>
    <t>ruby:5,coin:800,plank:600,stone:300,steel:50</t>
  </si>
  <si>
    <t>5 ruby,800 coin,600 plank,300 stone,50 steel</t>
  </si>
  <si>
    <t>ruby:1,coin:400,wood:200,stone:100</t>
  </si>
  <si>
    <t>1 ruby,400 coin,200 wood,100 stone</t>
  </si>
  <si>
    <t>ruby:2,coin:600,wood:300,stone:150</t>
  </si>
  <si>
    <t>2 ruby,600 coin,300 wood,150 stone</t>
  </si>
  <si>
    <t>ruby:4,coin:1000,beam:800,stone:200</t>
  </si>
  <si>
    <t>4 ruby,1000 coin,800 beam,200 stone</t>
  </si>
  <si>
    <t>ruby:3,coin:200,wood:100,stone:50,steel:50</t>
  </si>
  <si>
    <t>3 ruby,200 coin,100 wood,50 stone,50 steel</t>
  </si>
  <si>
    <t/>
  </si>
  <si>
    <t>ruby:1,coin:50,wood:50,stone:50</t>
  </si>
  <si>
    <t>1 ruby,50 coin,50 wood,50 stone</t>
  </si>
  <si>
    <t>ruby:2,coin:150,beam:300,stone:150</t>
  </si>
  <si>
    <t>2 ruby,150 coin,300 beam,150 stone</t>
  </si>
  <si>
    <t>ruby:4,coin:250,beam:500,stone:250,steel:40</t>
  </si>
  <si>
    <t>4 ruby,250 coin,500 beam,250 stone,40 steel</t>
  </si>
  <si>
    <t>ruby:8,coin:300,beam:600,stone:300,steel:50</t>
  </si>
  <si>
    <t>8 ruby,300 coin,600 beam,300 stone,50 steel</t>
  </si>
  <si>
    <t>ruby:3,crypto:500,mechanism:10,drum:10,mspider:3,ninja:2,microchip:40,floppy:40,blueprint:30</t>
  </si>
  <si>
    <t>3 ruby,500 crypto,10 mechanism,10 drum,3 mspider,2 ninja,40 microchip,40 floppy,30 blueprint</t>
  </si>
  <si>
    <t>ruby:6,coin:1000,stone:500,steel:300,glass:50,chemicals:100,mechanism:30,blueprint:40,malu:2</t>
  </si>
  <si>
    <t>6 ruby,1000 coin,500 stone,300 steel,50 glass,100 chemicals,30 mechanism,40 blueprint,2 malu</t>
  </si>
  <si>
    <t>ruby:7,coin:1000,stone:600,steel:400,glass:70,mercury:30,titanium:20,blueprint:40,malu:2</t>
  </si>
  <si>
    <t>7 ruby,1000 coin,600 stone,400 steel,70 glass,30 mercury,20 titanium,40 blueprint,2 malu</t>
  </si>
  <si>
    <t>ruby:8,coin:1500,stone:600,steel:400,glass:100,bluecrystal:20,pcard:20,blueprint:40,malu:2</t>
  </si>
  <si>
    <t>8 ruby,1500 coin,600 stone,400 steel,100 glass,20 bluecrystal,20 pcard,40 blueprint,2 malu</t>
  </si>
  <si>
    <t>ruby:9,coin:2000,stone:600,steel:400,redcrystal:20,greencrystal:20,pcard:30,blueprint:40,malu:1</t>
  </si>
  <si>
    <t>9 ruby,2000 coin,600 stone,400 steel,20 redcrystal,20 greencrystal,30 pcard,40 blueprint,1 malu</t>
  </si>
  <si>
    <t>ruby:10,coin:2000,stone:700,steel:500,mechanism:30,quartz:20,pcard:40,blueprint:40,malu:1</t>
  </si>
  <si>
    <t>10 ruby,2000 coin,700 stone,500 steel,30 mechanism,20 quartz,40 pcard,40 blueprint,1 malu</t>
  </si>
  <si>
    <t>ruby:10,coin:1000,stone:500,steel:300,glass:50,apy:20,quartz:20,microchip:50,blueprint:50</t>
  </si>
  <si>
    <t>10 ruby,1000 coin,500 stone,300 steel,50 glass,20 apy,20 quartz,50 microchip,50 blueprint</t>
  </si>
  <si>
    <t>ruby:1,coin:300,wood:150,stone:150</t>
  </si>
  <si>
    <t>1 ruby,300 coin,150 wood,150 stone</t>
  </si>
  <si>
    <t>ruby:5,coin:800,beam:600,stone:300,steel:100</t>
  </si>
  <si>
    <t>5 ruby,800 coin,600 beam,300 stone,100 steel</t>
  </si>
  <si>
    <t>ruby:3,coin:500,plank:500,stone:400</t>
  </si>
  <si>
    <t>3 ruby,500 coin,500 plank,400 stone</t>
  </si>
  <si>
    <t>ruby:5,coin:800,plank:600,stone:500</t>
  </si>
  <si>
    <t>5 ruby,800 coin,600 plank,500 stone</t>
  </si>
  <si>
    <t>ruby:6,coin:1000,beam:1000,stone:1000,katana:100,arrows:300</t>
  </si>
  <si>
    <t>6 ruby,1000 coin,1000 beam,1000 stone,100 katana,300 arrows</t>
  </si>
  <si>
    <t>ruby:8,coin:1500,beam:1500,stone:3000,steel:300,mortar:30</t>
  </si>
  <si>
    <t>8 ruby,1500 coin,1500 beam,3000 stone,300 steel,30 mortar</t>
  </si>
  <si>
    <t>ruby:10,coin:2000,beam:2000,stone:5000,oil:20,samurai:20</t>
  </si>
  <si>
    <t>10 ruby,2000 coin,2000 beam,5000 stone,20 oil,20 samurai</t>
  </si>
  <si>
    <t>ruby:1,coin:50,wood:50,stone:50,petard:5</t>
  </si>
  <si>
    <t>1 ruby,50 coin,50 wood,50 stone,5 petard</t>
  </si>
  <si>
    <t>ruby:2,coin:200,wood:200,stone:200,chemicals:10</t>
  </si>
  <si>
    <t>2 ruby,200 coin,200 wood,200 stone,10 chemicals</t>
  </si>
  <si>
    <t>ruby:4,coin:300,beam:600,stone:300,steel:50</t>
  </si>
  <si>
    <t>4 ruby,300 coin,600 beam,300 stone,50 steel</t>
  </si>
  <si>
    <t>ruby:6,coin:350,beam:700,stone:350,fan:30</t>
  </si>
  <si>
    <t>6 ruby,350 coin,700 beam,350 stone,30 fan</t>
  </si>
  <si>
    <t>ruby:8,coin:400,beam:800,stone:400,katana:30</t>
  </si>
  <si>
    <t>8 ruby,400 coin,800 beam,400 stone,30 katana</t>
  </si>
  <si>
    <t>ruby:10,coin:450,beam:900,stone:450,ingot:5,spices:5</t>
  </si>
  <si>
    <t>10 ruby,450 coin,900 beam,450 stone,5 ingot,5 spices</t>
  </si>
  <si>
    <t>ruby:15,coin:500,beam:1000,stone:500,treasure:3,pearl:5,silk:5,scroll:1</t>
  </si>
  <si>
    <t>15 ruby,500 coin,1000 beam,500 stone,3 treasure,5 pearl,5 silk,1 scroll</t>
  </si>
  <si>
    <t>ruby:3,coin:400,wood:50,plank:400,stone:300</t>
  </si>
  <si>
    <t>3 ruby,400 coin,50 wood,400 plank,300 stone</t>
  </si>
  <si>
    <t>ruby:1,coin:400,wood:100,stone:200</t>
  </si>
  <si>
    <t>1 ruby,400 coin,100 wood,200 stone</t>
  </si>
  <si>
    <t>ruby:2,coin:600,wood:150,stone:300</t>
  </si>
  <si>
    <t>2 ruby,600 coin,150 wood,300 stone</t>
  </si>
  <si>
    <t>ruby:4,coin:1000,beam:400,stone:400</t>
  </si>
  <si>
    <t>4 ruby,1000 coin,400 beam,400 stone</t>
  </si>
  <si>
    <t>ruby:3,coin:500,plank:600,stone:1,steel:60</t>
  </si>
  <si>
    <t>3 ruby,500 coin,600 plank,1 stone,60 steel</t>
  </si>
  <si>
    <t>ruby:6,coin:750,plank:800,steel:60,mortar:1</t>
  </si>
  <si>
    <t>6 ruby,750 coin,800 plank,60 steel,1 mortar</t>
  </si>
  <si>
    <t>ruby:9,coin:1000,plank:1000,anchor:1,spices:1</t>
  </si>
  <si>
    <t>9 ruby,1000 coin,1000 plank,1 anchor,1 spices</t>
  </si>
  <si>
    <t>ruby:10,coin:1000,plank:1000,spices:2,gunpowder:200</t>
  </si>
  <si>
    <t>10 ruby,1000 coin,1000 plank,2 spices,200 gunpowder</t>
  </si>
  <si>
    <t>ruby:1,coin:100,wood:20,stone:20</t>
  </si>
  <si>
    <t>1 ruby,100 coin,20 wood,20 stone</t>
  </si>
  <si>
    <t>ruby:2,coin:400,wood:80,stone:80</t>
  </si>
  <si>
    <t>2 ruby,400 coin,80 wood,80 stone</t>
  </si>
  <si>
    <t>ruby:3,coin:800,beam:400,stone:200</t>
  </si>
  <si>
    <t>3 ruby,800 coin,400 beam,200 stone</t>
  </si>
  <si>
    <t>ruby:1,coin:240,wood:120,stone:120,steel:20</t>
  </si>
  <si>
    <t>1 ruby,240 coin,120 wood,120 stone,20 steel</t>
  </si>
  <si>
    <t>ruby:2,coin:280,wood:140,stone:140,steel:40</t>
  </si>
  <si>
    <t>2 ruby,280 coin,140 wood,140 stone,40 steel</t>
  </si>
  <si>
    <t>ruby:4,coin:500,beam:400,stone:200,steel:60</t>
  </si>
  <si>
    <t>4 ruby,500 coin,400 beam,200 stone,60 steel</t>
  </si>
  <si>
    <t>ruby:10,coin:1000,beam:8000,plank:800,stone:500,steel:1000,ingot:1,kimono:10,blueprint:20</t>
  </si>
  <si>
    <t>10 ruby,1000 coin,8000 beam,800 plank,500 stone,1000 steel,1 ingot,10 kimono,20 blueprint</t>
  </si>
  <si>
    <t>ruby:4,coin:600,beam:600,stone:300,silk:10,paper:10</t>
  </si>
  <si>
    <t>4 ruby,600 coin,600 beam,300 stone,10 silk,10 paper</t>
  </si>
  <si>
    <t>ruby:6,coin:800,plank:800,stone:400,silk:20,glass:20</t>
  </si>
  <si>
    <t>6 ruby,800 coin,800 plank,400 stone,20 silk,20 glass</t>
  </si>
  <si>
    <t>ruby:8,coin:1000,plank:1000,stone:500,steel:100,silk:30</t>
  </si>
  <si>
    <t>8 ruby,1000 coin,1000 plank,500 stone,100 steel,30 silk</t>
  </si>
  <si>
    <t>ruby:10,coin:2000,steel:3000,msteel:100,mechanism:80,glass:10,blueprint:100</t>
  </si>
  <si>
    <t>10 ruby,2000 coin,3000 steel,100 msteel,80 mechanism,10 glass,100 blueprint</t>
  </si>
  <si>
    <t>ruby:10,coin:2000,steel:1000,mechanism:40,mercury:30,blueprint:40</t>
  </si>
  <si>
    <t>10 ruby,2000 coin,1000 steel,40 mechanism,30 mercury,40 blueprint</t>
  </si>
  <si>
    <t>ruby:2,coin:500,plank:500,steel:250,mechanism:12,blueprint:15</t>
  </si>
  <si>
    <t>2 ruby,500 coin,500 plank,250 steel,12 mechanism,15 blueprint</t>
  </si>
  <si>
    <t>ruby:2,coin:500,plank:500,steel:250,mechanism:12</t>
  </si>
  <si>
    <t>2 ruby,500 coin,500 plank,250 steel,12 mechanism</t>
  </si>
  <si>
    <t>ruby:2,coin:500,plank:600,steel:200,mechanism:12,glass:12,blueprint:15</t>
  </si>
  <si>
    <t>2 ruby,500 coin,600 plank,200 steel,12 mechanism,12 glass,15 blueprint</t>
  </si>
  <si>
    <t>ruby:2,coin:500,plank:600,steel:200,mechanism:12,glass:12</t>
  </si>
  <si>
    <t>2 ruby,500 coin,600 plank,200 steel,12 mechanism,12 glass</t>
  </si>
  <si>
    <t>ruby:1,coin:100,wood:60,stone:60</t>
  </si>
  <si>
    <t>1 ruby,100 coin,60 wood,60 stone</t>
  </si>
  <si>
    <t>ruby:2,coin:200,wood:80,stone:80</t>
  </si>
  <si>
    <t>2 ruby,200 coin,80 wood,80 stone</t>
  </si>
  <si>
    <t>ruby:3,coin:300,beam:200,stone:100</t>
  </si>
  <si>
    <t>3 ruby,300 coin,200 beam,100 stone</t>
  </si>
  <si>
    <t>ruby:4,coin:400,beam:280,stone:140</t>
  </si>
  <si>
    <t>4 ruby,400 coin,280 beam,140 stone</t>
  </si>
  <si>
    <t>ruby:5,coin:500,beam:360,stone:180</t>
  </si>
  <si>
    <t>5 ruby,500 coin,360 beam,180 stone</t>
  </si>
  <si>
    <t>ruby:6,coin:600,beam:440,stone:220,steel:20</t>
  </si>
  <si>
    <t>6 ruby,600 coin,440 beam,220 stone,20 steel</t>
  </si>
  <si>
    <t>ruby:7,coin:700,beam:520,stone:260,steel:30</t>
  </si>
  <si>
    <t>7 ruby,700 coin,520 beam,260 stone,30 steel</t>
  </si>
  <si>
    <t>ruby:1,coin:300,wood:150,stone:150,steel:40</t>
  </si>
  <si>
    <t>1 ruby,300 coin,150 wood,150 stone,40 steel</t>
  </si>
  <si>
    <t>ruby:3,coin:500,beam:400,stone:200,miron:30</t>
  </si>
  <si>
    <t>3 ruby,500 coin,400 beam,200 stone,30 miron</t>
  </si>
  <si>
    <t>ruby:1,coin:20,wood:10,stone:10</t>
  </si>
  <si>
    <t>1 ruby,20 coin,10 wood,10 stone</t>
  </si>
  <si>
    <t>ruby:2,coin:80,wood:40,stone:40</t>
  </si>
  <si>
    <t>2 ruby,80 coin,40 wood,40 stone</t>
  </si>
  <si>
    <t>ruby:3,coin:160,beam:160,stone:80</t>
  </si>
  <si>
    <t>3 ruby,160 coin,160 beam,80 stone</t>
  </si>
  <si>
    <t>ruby:4,coin:500,beam:500,stone:250,steel:20</t>
  </si>
  <si>
    <t>4 ruby,500 coin,500 beam,250 stone,20 steel</t>
  </si>
  <si>
    <t>ruby:5,coin:1000,beam:600,stone:300,steel:40</t>
  </si>
  <si>
    <t>5 ruby,1000 coin,600 beam,300 stone,40 steel</t>
  </si>
  <si>
    <t>Airship Lv 2</t>
  </si>
  <si>
    <t>Bonsai Lv 1</t>
  </si>
  <si>
    <t>Bonsai Lv 2</t>
  </si>
  <si>
    <t>Bridge Lv 1</t>
  </si>
  <si>
    <t>Caravan Lv 1</t>
  </si>
  <si>
    <t>Caravan Lv 2</t>
  </si>
  <si>
    <t>Caravan Lv 3</t>
  </si>
  <si>
    <t>Caravan Lv 4</t>
  </si>
  <si>
    <t>Chicken Lv 1</t>
  </si>
  <si>
    <t>Chicken Lv 2</t>
  </si>
  <si>
    <t>Dairy Lv 1</t>
  </si>
  <si>
    <t>Dairy Lv 2</t>
  </si>
  <si>
    <t>Dungeon Lv 1</t>
  </si>
  <si>
    <t>Dungeon Lv 2</t>
  </si>
  <si>
    <t>Dungeon Lv 3</t>
  </si>
  <si>
    <t>Dungeon Lv 4</t>
  </si>
  <si>
    <t>Dungeon Lv 5</t>
  </si>
  <si>
    <t>Fermentory Lv 1</t>
  </si>
  <si>
    <t>Fermentory Lv 2</t>
  </si>
  <si>
    <t>Fermentory Lv 3</t>
  </si>
  <si>
    <t>Fermentory Lv 4</t>
  </si>
  <si>
    <t>Fermentory Lv 5</t>
  </si>
  <si>
    <t>Fermentory Lv 6</t>
  </si>
  <si>
    <t>Field Lv 1</t>
  </si>
  <si>
    <t>Field Lv 2</t>
  </si>
  <si>
    <t>Food Stall Lv 1</t>
  </si>
  <si>
    <t>Food Stall Lv 2</t>
  </si>
  <si>
    <t>Food Stall Lv 3</t>
  </si>
  <si>
    <t>Furnace Lv 1</t>
  </si>
  <si>
    <t>Furnace Lv 2</t>
  </si>
  <si>
    <t>Furnace Lv 3</t>
  </si>
  <si>
    <t>Garden Lv 1</t>
  </si>
  <si>
    <t>Garden Lv 2</t>
  </si>
  <si>
    <t>Garden Lv 3</t>
  </si>
  <si>
    <t>Gong Lv 1</t>
  </si>
  <si>
    <t>Guild Lv 1</t>
  </si>
  <si>
    <t>Guild Lv 2</t>
  </si>
  <si>
    <t>Guild Lv 3</t>
  </si>
  <si>
    <t>Guild Lv 4</t>
  </si>
  <si>
    <t>Guild Lv 5</t>
  </si>
  <si>
    <t>Guild: Video Game Arcade Lv 1</t>
  </si>
  <si>
    <t>Laboratory Lv 1</t>
  </si>
  <si>
    <t>Laboratory Lv 2</t>
  </si>
  <si>
    <t>Laboratory Lv 3</t>
  </si>
  <si>
    <t>Laboratory Lv 4</t>
  </si>
  <si>
    <t>Laboratory Lv 5</t>
  </si>
  <si>
    <t>Laboratory: Data Center Lv 1</t>
  </si>
  <si>
    <t>Lumber Lv 1</t>
  </si>
  <si>
    <t>Lumber Lv 2</t>
  </si>
  <si>
    <t>Lumber Lv 3</t>
  </si>
  <si>
    <t>Onsen Lv 1</t>
  </si>
  <si>
    <t>Onsen Lv 2</t>
  </si>
  <si>
    <t>Outpost Lv 1</t>
  </si>
  <si>
    <t>Outpost Lv 2</t>
  </si>
  <si>
    <t>Outpost Lv 3</t>
  </si>
  <si>
    <t>Pagoda Lv 1</t>
  </si>
  <si>
    <t>Pagoda Lv 2</t>
  </si>
  <si>
    <t>Pagoda Lv 3</t>
  </si>
  <si>
    <t>Pagoda Lv 4</t>
  </si>
  <si>
    <t>Pagoda Lv 5</t>
  </si>
  <si>
    <t>Pagoda Lv 6</t>
  </si>
  <si>
    <t>Pagoda Lv 7</t>
  </si>
  <si>
    <t>Pier Lv 1</t>
  </si>
  <si>
    <t>Ship Lv 1</t>
  </si>
  <si>
    <t>Ship Lv 2</t>
  </si>
  <si>
    <t>Ship Lv 3</t>
  </si>
  <si>
    <t>Ship Lv 4</t>
  </si>
  <si>
    <t>Shop Lv 1</t>
  </si>
  <si>
    <t>Shop Lv 2</t>
  </si>
  <si>
    <t>Shop Lv 3</t>
  </si>
  <si>
    <t>Smithy Lv 1</t>
  </si>
  <si>
    <t>Smithy Lv 2</t>
  </si>
  <si>
    <t>Smithy Lv 3</t>
  </si>
  <si>
    <t>Station Lv 1</t>
  </si>
  <si>
    <t>Tailor Lv 1</t>
  </si>
  <si>
    <t>Tailor Lv 2</t>
  </si>
  <si>
    <t>Tailor Lv 3</t>
  </si>
  <si>
    <t>Train Lv 1</t>
  </si>
  <si>
    <t>Train Lv 2</t>
  </si>
  <si>
    <t>Train: Freight Carriage Lv 1</t>
  </si>
  <si>
    <t>Train: Freight Carriage Lv 2</t>
  </si>
  <si>
    <t>Train: Passenger Carriage Lv 1</t>
  </si>
  <si>
    <t>Train: Passenger Carriage Lv 2</t>
  </si>
  <si>
    <t>Warehouse Lv 1</t>
  </si>
  <si>
    <t>Warehouse Lv 2</t>
  </si>
  <si>
    <t>Warehouse Lv 3</t>
  </si>
  <si>
    <t>Warehouse Lv 4</t>
  </si>
  <si>
    <t>Warehouse Lv 5</t>
  </si>
  <si>
    <t>Warehouse Lv 6</t>
  </si>
  <si>
    <t>Warehouse Lv 7</t>
  </si>
  <si>
    <t>Windmill Lv 1</t>
  </si>
  <si>
    <t>Windmill Lv 2</t>
  </si>
  <si>
    <t>Workshop Lv 1</t>
  </si>
  <si>
    <t>Workshop Lv 2</t>
  </si>
  <si>
    <t>Workshop Lv 3</t>
  </si>
  <si>
    <t>Workshop Lv 4</t>
  </si>
  <si>
    <t>Workshop Lv 5</t>
  </si>
  <si>
    <t>all_prereqs</t>
  </si>
  <si>
    <t>bridge lvl. 1</t>
  </si>
  <si>
    <t>Requires completing The Ordinary Days of an Adventurer Chapter V]].</t>
  </si>
  <si>
    <t>Requires accepting  Ahead of Time Chapter II</t>
  </si>
  <si>
    <t>Requires completing Magic Beans</t>
  </si>
  <si>
    <t>Requires completing Ahead of Time Chapter V.</t>
  </si>
  <si>
    <t>Requires accepting Ahead of time chapter I | Telescope| Solver-1_prototype</t>
  </si>
  <si>
    <t>Requires accepting Ahead of Time Chapter V</t>
  </si>
  <si>
    <t>Warehouse lvl. 1</t>
  </si>
  <si>
    <t>Pier lvl. 1</t>
  </si>
  <si>
    <t>Station lvl. 1</t>
  </si>
  <si>
    <t>Train lvl. 1</t>
  </si>
  <si>
    <t>Guild lvl. 2</t>
  </si>
  <si>
    <t>Guild lvl. 3</t>
  </si>
  <si>
    <t>Guild lvl. 4</t>
  </si>
  <si>
    <t>Guild lvl. 5</t>
  </si>
  <si>
    <t>prereq_tokens_auto</t>
  </si>
  <si>
    <t>BUILDING_LVL:bridge@1</t>
  </si>
  <si>
    <t>BUILDING_LVL:airship@1</t>
  </si>
  <si>
    <t>BUILDING_LVL:Alchemist's Hut@1</t>
  </si>
  <si>
    <t>BUILDING_LVL:Alchemist's Hut@2</t>
  </si>
  <si>
    <t>BUILDING_LVL:Alchemist's Hut@3</t>
  </si>
  <si>
    <t>BUILDING_LVL:Alchemist's Hut@4</t>
  </si>
  <si>
    <t>BUILDING_LVL:Alchemist's Hut@5</t>
  </si>
  <si>
    <t>BUILDING_LVL:bonsai@1</t>
  </si>
  <si>
    <t>BUILDING_LVL:caravan@1</t>
  </si>
  <si>
    <t>BUILDING_LVL:caravan@2</t>
  </si>
  <si>
    <t>BUILDING_LVL:caravan@3</t>
  </si>
  <si>
    <t>BUILDING_LVL:chicken@1</t>
  </si>
  <si>
    <t>QUEST_COMPLETE:the ordinary days of an adventurer chapter v]]</t>
  </si>
  <si>
    <t>BUILDING_LVL:dairy@1</t>
  </si>
  <si>
    <t>BUILDING_LVL:dungeon@1</t>
  </si>
  <si>
    <t>BUILDING_LVL:dungeon@2</t>
  </si>
  <si>
    <t>BUILDING_LVL:dungeon@3</t>
  </si>
  <si>
    <t>BUILDING_LVL:dungeon@4</t>
  </si>
  <si>
    <t>QUEST_ACCEPT:ahead of time chapter ii</t>
  </si>
  <si>
    <t>QUEST_COMPLETE:magic beans</t>
  </si>
  <si>
    <t>BUILDING_LVL:fermentory@1</t>
  </si>
  <si>
    <t>BUILDING_LVL:fermentory@2</t>
  </si>
  <si>
    <t>BUILDING_LVL:fermentory@3</t>
  </si>
  <si>
    <t>BUILDING_LVL:fermentory@4</t>
  </si>
  <si>
    <t>BUILDING_LVL:fermentory@5</t>
  </si>
  <si>
    <t>BUILDING_LVL:field@1</t>
  </si>
  <si>
    <t>BUILDING_LVL:Food Stall@1</t>
  </si>
  <si>
    <t>BUILDING_LVL:Food Stall@2</t>
  </si>
  <si>
    <t>BUILDING_LVL:furnace@1</t>
  </si>
  <si>
    <t>BUILDING_LVL:furnace@2</t>
  </si>
  <si>
    <t>BUILDING_LVL:garden@1</t>
  </si>
  <si>
    <t>BUILDING_LVL:garden@2</t>
  </si>
  <si>
    <t>BUILDING_LVL:guild@1</t>
  </si>
  <si>
    <t>BUILDING_LVL:guild@2</t>
  </si>
  <si>
    <t>BUILDING_LVL:guild@3</t>
  </si>
  <si>
    <t>BUILDING_LVL:guild@4</t>
  </si>
  <si>
    <t>QUEST_COMPLETE:ahead of time chapter v</t>
  </si>
  <si>
    <t>QUEST_ACCEPT:ahead of time chapter i | STATE:CRAFT:Telescope | STATE:CRAFT:Solver-1_prototype</t>
  </si>
  <si>
    <t>BUILDING_LVL:Laboratory@1</t>
  </si>
  <si>
    <t>BUILDING_LVL:Laboratory@2</t>
  </si>
  <si>
    <t>BUILDING_LVL:Laboratory@3</t>
  </si>
  <si>
    <t>BUILDING_LVL:Laboratory@4</t>
  </si>
  <si>
    <t>QUEST_ACCEPT:ahead of time chapter v</t>
  </si>
  <si>
    <t>BUILDING_LVL:lumber@1</t>
  </si>
  <si>
    <t>BUILDING_LVL:lumber@2</t>
  </si>
  <si>
    <t>BUILDING_LVL:onsen@1</t>
  </si>
  <si>
    <t>BUILDING_LVL:Bridge@1</t>
  </si>
  <si>
    <t>BUILDING_LVL:outpost@1</t>
  </si>
  <si>
    <t>BUILDING_LVL:outpost@2</t>
  </si>
  <si>
    <t>BUILDING_LVL:pagoda@1</t>
  </si>
  <si>
    <t>BUILDING_LVL:pagoda@2</t>
  </si>
  <si>
    <t>BUILDING_LVL:pagoda@3</t>
  </si>
  <si>
    <t>BUILDING_LVL:pagoda@4</t>
  </si>
  <si>
    <t>BUILDING_LVL:pagoda@5</t>
  </si>
  <si>
    <t>BUILDING_LVL:pagoda@6</t>
  </si>
  <si>
    <t>BUILDING_LVL:Warehouse@1</t>
  </si>
  <si>
    <t>BUILDING_LVL:Rock Garden@1</t>
  </si>
  <si>
    <t>BUILDING_LVL:Rock Garden@2</t>
  </si>
  <si>
    <t>BUILDING_LVL:Pier@1</t>
  </si>
  <si>
    <t>BUILDING_LVL:ship@1</t>
  </si>
  <si>
    <t>BUILDING_LVL:ship@2</t>
  </si>
  <si>
    <t>BUILDING_LVL:ship@3</t>
  </si>
  <si>
    <t>BUILDING_LVL:shop@1</t>
  </si>
  <si>
    <t>BUILDING_LVL:shop@2</t>
  </si>
  <si>
    <t>BUILDING_LVL:smithy@1</t>
  </si>
  <si>
    <t>BUILDING_LVL:smithy@2</t>
  </si>
  <si>
    <t>BUILDING_LVL:tailor@1</t>
  </si>
  <si>
    <t>BUILDING_LVL:tailor@2</t>
  </si>
  <si>
    <t>BUILDING_LVL:Station@1</t>
  </si>
  <si>
    <t>BUILDING_LVL:train@1</t>
  </si>
  <si>
    <t>BUILDING_LVL:Train@1</t>
  </si>
  <si>
    <t>BUILDING_LVL:train: Freight carriage@1</t>
  </si>
  <si>
    <t>BUILDING_LVL:train: Passenger carriage@1</t>
  </si>
  <si>
    <t>BUILDING_LVL:Guild@2 | BUILDING_LVL:warehouse@1</t>
  </si>
  <si>
    <t>BUILDING_LVL:Guild@3 | BUILDING_LVL:warehouse@2</t>
  </si>
  <si>
    <t>BUILDING_LVL:Guild@4 | BUILDING_LVL:warehouse@3</t>
  </si>
  <si>
    <t>BUILDING_LVL:Guild@5 | BUILDING_LVL:warehouse@4</t>
  </si>
  <si>
    <t>BUILDING_LVL:warehouse@5</t>
  </si>
  <si>
    <t>BUILDING_LVL:warehouse@6</t>
  </si>
  <si>
    <t>BUILDING_LVL:windmill@1</t>
  </si>
  <si>
    <t>BUILDING_LVL:workshop@1</t>
  </si>
  <si>
    <t>BUILDING_LVL:workshop@2</t>
  </si>
  <si>
    <t>BUILDING_LVL:workshop@3</t>
  </si>
  <si>
    <t>BUILDING_LVL:workshop@4</t>
  </si>
  <si>
    <t>BuildingName</t>
  </si>
  <si>
    <t>anchor</t>
  </si>
  <si>
    <t>apy</t>
  </si>
  <si>
    <t>arrows</t>
  </si>
  <si>
    <t>bamboo</t>
  </si>
  <si>
    <t>beam</t>
  </si>
  <si>
    <t>beans</t>
  </si>
  <si>
    <t>bento</t>
  </si>
  <si>
    <t>bluecrystal</t>
  </si>
  <si>
    <t>blueprint</t>
  </si>
  <si>
    <t>charcoal</t>
  </si>
  <si>
    <t>chemicals</t>
  </si>
  <si>
    <t>clew</t>
  </si>
  <si>
    <t>coin</t>
  </si>
  <si>
    <t>crypto</t>
  </si>
  <si>
    <t>drum</t>
  </si>
  <si>
    <t>egg</t>
  </si>
  <si>
    <t>enzyme</t>
  </si>
  <si>
    <t>fan</t>
  </si>
  <si>
    <t>floppy</t>
  </si>
  <si>
    <t>gears</t>
  </si>
  <si>
    <t>glass</t>
  </si>
  <si>
    <t>goat</t>
  </si>
  <si>
    <t>greencrystal</t>
  </si>
  <si>
    <t>grimoire</t>
  </si>
  <si>
    <t>gunpowder</t>
  </si>
  <si>
    <t>herbs</t>
  </si>
  <si>
    <t>ingot</t>
  </si>
  <si>
    <t>katana</t>
  </si>
  <si>
    <t>kimono</t>
  </si>
  <si>
    <t>koji</t>
  </si>
  <si>
    <t>kunai</t>
  </si>
  <si>
    <t>malu</t>
  </si>
  <si>
    <t>mechanism</t>
  </si>
  <si>
    <t>mercury</t>
  </si>
  <si>
    <t>microchip</t>
  </si>
  <si>
    <t>milk</t>
  </si>
  <si>
    <t>miron</t>
  </si>
  <si>
    <t>mortar</t>
  </si>
  <si>
    <t>mspider</t>
  </si>
  <si>
    <t>msteel</t>
  </si>
  <si>
    <t>ninja</t>
  </si>
  <si>
    <t>oil</t>
  </si>
  <si>
    <t>page</t>
  </si>
  <si>
    <t>paper</t>
  </si>
  <si>
    <t>pcard</t>
  </si>
  <si>
    <t>pearl</t>
  </si>
  <si>
    <t>petard</t>
  </si>
  <si>
    <t>plank</t>
  </si>
  <si>
    <t>poe</t>
  </si>
  <si>
    <t>quartz</t>
  </si>
  <si>
    <t>ramen</t>
  </si>
  <si>
    <t>reagent</t>
  </si>
  <si>
    <t>redcrystal</t>
  </si>
  <si>
    <t>rice</t>
  </si>
  <si>
    <t>ruby</t>
  </si>
  <si>
    <t>samurai</t>
  </si>
  <si>
    <t>scroll</t>
  </si>
  <si>
    <t>silk</t>
  </si>
  <si>
    <t>smoothie</t>
  </si>
  <si>
    <t>soy</t>
  </si>
  <si>
    <t>soybean</t>
  </si>
  <si>
    <t>spices</t>
  </si>
  <si>
    <t>steel</t>
  </si>
  <si>
    <t>stone</t>
  </si>
  <si>
    <t>sushi</t>
  </si>
  <si>
    <t>thread</t>
  </si>
  <si>
    <t>titanium</t>
  </si>
  <si>
    <t>treasure</t>
  </si>
  <si>
    <t>wheat</t>
  </si>
  <si>
    <t>wood</t>
  </si>
  <si>
    <t>CharacterLevelReq</t>
  </si>
  <si>
    <t>TechnologyID</t>
  </si>
  <si>
    <t>BuildingKey</t>
  </si>
  <si>
    <t>TechnologyName</t>
  </si>
  <si>
    <t>Airship</t>
  </si>
  <si>
    <t>Bridge</t>
  </si>
  <si>
    <t>Dairy</t>
  </si>
  <si>
    <t>Dungeon</t>
  </si>
  <si>
    <t>Fermentory</t>
  </si>
  <si>
    <t>Field</t>
  </si>
  <si>
    <t>Furnace</t>
  </si>
  <si>
    <t>Garden</t>
  </si>
  <si>
    <t>Outpost</t>
  </si>
  <si>
    <t>Shop</t>
  </si>
  <si>
    <t>Smithy</t>
  </si>
  <si>
    <t>Tailor</t>
  </si>
  <si>
    <t>Train</t>
  </si>
  <si>
    <t>Warehouse</t>
  </si>
  <si>
    <t>Workshop</t>
  </si>
  <si>
    <t>Windmill</t>
  </si>
  <si>
    <t>Titanium longerons</t>
  </si>
  <si>
    <t>Greek grenade</t>
  </si>
  <si>
    <t>Synthetic fertilizer</t>
  </si>
  <si>
    <t>Balm</t>
  </si>
  <si>
    <t>Potion of mental power</t>
  </si>
  <si>
    <t>Mercury</t>
  </si>
  <si>
    <t>Gold ingot</t>
  </si>
  <si>
    <t>Madness grenade</t>
  </si>
  <si>
    <t>Potion of healing</t>
  </si>
  <si>
    <t>Potion of energy</t>
  </si>
  <si>
    <t>Potion of healing lvl. 2</t>
  </si>
  <si>
    <t>Alchemist's Hut Conveyor lvl. 1</t>
  </si>
  <si>
    <t>Alchemist's Hut Conveyor lvl. 2</t>
  </si>
  <si>
    <t>Galvanization</t>
  </si>
  <si>
    <t>Metamorphosis</t>
  </si>
  <si>
    <t>Advanced fertilizer</t>
  </si>
  <si>
    <t>Koi fish</t>
  </si>
  <si>
    <t>Salmon farming</t>
  </si>
  <si>
    <t>Classical music for the farm</t>
  </si>
  <si>
    <t>Big data farming</t>
  </si>
  <si>
    <t>Great Hall</t>
  </si>
  <si>
    <t>Pasteurization</t>
  </si>
  <si>
    <t>Seed drill</t>
  </si>
  <si>
    <t>Combine harvester</t>
  </si>
  <si>
    <t>Soybean</t>
  </si>
  <si>
    <t>Quintessence of taste</t>
  </si>
  <si>
    <t>Jam</t>
  </si>
  <si>
    <t>Mayonnaise</t>
  </si>
  <si>
    <t>Inarizushi</t>
  </si>
  <si>
    <t>Conveyor belt sushi</t>
  </si>
  <si>
    <t>Miso soup</t>
  </si>
  <si>
    <t>Meteoric Steel</t>
  </si>
  <si>
    <t>Titanium parts</t>
  </si>
  <si>
    <t>Glass</t>
  </si>
  <si>
    <t>Conveyor</t>
  </si>
  <si>
    <t>Sprinkler</t>
  </si>
  <si>
    <t>Digitization</t>
  </si>
  <si>
    <t>Experiments</t>
  </si>
  <si>
    <t>Sayonara tax</t>
  </si>
  <si>
    <t>Arsenal lvl. 1</t>
  </si>
  <si>
    <t>Arsenal lvl. 2</t>
  </si>
  <si>
    <t>Optional contracts</t>
  </si>
  <si>
    <t>Futures contracts</t>
  </si>
  <si>
    <t>Tax return on floppy disk</t>
  </si>
  <si>
    <t>Rake</t>
  </si>
  <si>
    <t>Pre-orders</t>
  </si>
  <si>
    <t>Glass recycling</t>
  </si>
  <si>
    <t>Throwing knife</t>
  </si>
  <si>
    <t>Sword for a hero lvl. 1</t>
  </si>
  <si>
    <t>Sword for a hero lvl. 2</t>
  </si>
  <si>
    <t>Sword for a hero lvl. 3</t>
  </si>
  <si>
    <t>Sword for a hero lvl. 4</t>
  </si>
  <si>
    <t>Sword for a hero lvl. 4+</t>
  </si>
  <si>
    <t>Weapon grease</t>
  </si>
  <si>
    <t>Gears</t>
  </si>
  <si>
    <t>Treasure</t>
  </si>
  <si>
    <t>Ariadne's thread</t>
  </si>
  <si>
    <t>Bedroll</t>
  </si>
  <si>
    <t>Salamander velour</t>
  </si>
  <si>
    <t>Armor for a hero lvl. 1</t>
  </si>
  <si>
    <t>Armor for a hero lvl. 2</t>
  </si>
  <si>
    <t>Armor for a hero lvl. 3</t>
  </si>
  <si>
    <t>Armor for a hero lvl. 4</t>
  </si>
  <si>
    <t>Armor for a hero lvl. 4+</t>
  </si>
  <si>
    <t>Strong stitch</t>
  </si>
  <si>
    <t>Strong rivets</t>
  </si>
  <si>
    <t>Colored threads</t>
  </si>
  <si>
    <t>Compound engine</t>
  </si>
  <si>
    <t>Superheater</t>
  </si>
  <si>
    <t>Automatic lubricator</t>
  </si>
  <si>
    <t>Titanium components</t>
  </si>
  <si>
    <t>Onboard computer</t>
  </si>
  <si>
    <t>Stackable racks lvl. 1</t>
  </si>
  <si>
    <t>Stackable racks lvl. 2</t>
  </si>
  <si>
    <t>Stackable racks lvl. 3</t>
  </si>
  <si>
    <t>Throwing net</t>
  </si>
  <si>
    <t>Shield for a hero lvl. 1</t>
  </si>
  <si>
    <t>Shield for a hero lvl. 2</t>
  </si>
  <si>
    <t>Shield for a hero lvl. 3</t>
  </si>
  <si>
    <t>Shield for a hero lvl. 4</t>
  </si>
  <si>
    <t>Shield for a hero lvl. 4+</t>
  </si>
  <si>
    <t>Strong glue</t>
  </si>
  <si>
    <t>Mechanism</t>
  </si>
  <si>
    <t>Mechanical spider</t>
  </si>
  <si>
    <t>Explosive mechanical spider</t>
  </si>
  <si>
    <t>Steamobile</t>
  </si>
  <si>
    <t>Zen fountain</t>
  </si>
  <si>
    <t>Workshop Conveyor lvl. 1</t>
  </si>
  <si>
    <t>Workshop Conveyor lvl. 2</t>
  </si>
  <si>
    <t>titanium_longerons</t>
  </si>
  <si>
    <t>greek_grenade</t>
  </si>
  <si>
    <t>synthetic_fertilizer</t>
  </si>
  <si>
    <t>balm</t>
  </si>
  <si>
    <t>potion_of_mental_power</t>
  </si>
  <si>
    <t>gold_ingot</t>
  </si>
  <si>
    <t>madness_grenade</t>
  </si>
  <si>
    <t>potion_of_healing</t>
  </si>
  <si>
    <t>potion_of_energy</t>
  </si>
  <si>
    <t>potion_of_healing_lvl_2</t>
  </si>
  <si>
    <t>galvanization</t>
  </si>
  <si>
    <t>metamorphosis</t>
  </si>
  <si>
    <t>advanced_fertilizer</t>
  </si>
  <si>
    <t>koi_fish</t>
  </si>
  <si>
    <t>salmon_farming</t>
  </si>
  <si>
    <t>classical_music_for_the_farm</t>
  </si>
  <si>
    <t>big_data_farming</t>
  </si>
  <si>
    <t>great_hall</t>
  </si>
  <si>
    <t>pasteurization</t>
  </si>
  <si>
    <t>seed_drill</t>
  </si>
  <si>
    <t>combine_harvester</t>
  </si>
  <si>
    <t>quintessence_of_taste</t>
  </si>
  <si>
    <t>jam</t>
  </si>
  <si>
    <t>mayonnaise</t>
  </si>
  <si>
    <t>mandra_cola</t>
  </si>
  <si>
    <t>inarizushi</t>
  </si>
  <si>
    <t>conveyor_belt_sushi</t>
  </si>
  <si>
    <t>miso_soup</t>
  </si>
  <si>
    <t>meteoric_steel</t>
  </si>
  <si>
    <t>titanium_parts</t>
  </si>
  <si>
    <t>conveyor</t>
  </si>
  <si>
    <t>sprinkler</t>
  </si>
  <si>
    <t>digitization</t>
  </si>
  <si>
    <t>experiments</t>
  </si>
  <si>
    <t>sayonara_tax</t>
  </si>
  <si>
    <t>arsenal_lvl_1</t>
  </si>
  <si>
    <t>arsenal_lvl_2</t>
  </si>
  <si>
    <t>optional_contracts</t>
  </si>
  <si>
    <t>futures_contracts</t>
  </si>
  <si>
    <t>tax_return_on_floppy_disk</t>
  </si>
  <si>
    <t>rake</t>
  </si>
  <si>
    <t>pre_orders</t>
  </si>
  <si>
    <t>glass_recycling</t>
  </si>
  <si>
    <t>throwing_knife</t>
  </si>
  <si>
    <t>sword_for_a_hero_lvl_1</t>
  </si>
  <si>
    <t>sword_for_a_hero_lvl_2</t>
  </si>
  <si>
    <t>sword_for_a_hero_lvl_3</t>
  </si>
  <si>
    <t>sword_for_a_hero_lvl_4</t>
  </si>
  <si>
    <t>sword_for_a_hero_lvl_4+</t>
  </si>
  <si>
    <t>weapon_grease</t>
  </si>
  <si>
    <t>ariadnes_thread</t>
  </si>
  <si>
    <t>bedroll</t>
  </si>
  <si>
    <t>salamander_velour</t>
  </si>
  <si>
    <t>armor_for_a_hero_lvl_1</t>
  </si>
  <si>
    <t>armor_for_a_hero_lvl_2</t>
  </si>
  <si>
    <t>armor_for_a_hero_lvl_3</t>
  </si>
  <si>
    <t>armor_for_a_hero_lvl_4</t>
  </si>
  <si>
    <t>armor_for_a_hero_lvl_4+</t>
  </si>
  <si>
    <t>strong_stitch</t>
  </si>
  <si>
    <t>strong_rivets</t>
  </si>
  <si>
    <t>colored_threads</t>
  </si>
  <si>
    <t>compound_engine</t>
  </si>
  <si>
    <t>superheater</t>
  </si>
  <si>
    <t>automatic_lubricator</t>
  </si>
  <si>
    <t>titanium_components</t>
  </si>
  <si>
    <t>onboard_computer</t>
  </si>
  <si>
    <t>stackable_racks_lvl_1</t>
  </si>
  <si>
    <t>stackable_racks_lvl_2</t>
  </si>
  <si>
    <t>stackable_racks_lvl_3</t>
  </si>
  <si>
    <t>throwing_net</t>
  </si>
  <si>
    <t>shield_for_a_hero_lvl_1</t>
  </si>
  <si>
    <t>shield_for_a_hero_lvl_2</t>
  </si>
  <si>
    <t>shield_for_a_hero_lvl_3</t>
  </si>
  <si>
    <t>shield_for_a_hero_lvl_4</t>
  </si>
  <si>
    <t>shield_for_a_hero_lvl_4+</t>
  </si>
  <si>
    <t>strong_glue</t>
  </si>
  <si>
    <t>mechanical_spider</t>
  </si>
  <si>
    <t>explosive_mechanical_spider</t>
  </si>
  <si>
    <t>steamobile</t>
  </si>
  <si>
    <t>zen_fountain</t>
  </si>
  <si>
    <t>potion_ambrosia</t>
  </si>
  <si>
    <t>potion_berserker_rage</t>
  </si>
  <si>
    <t>research_and_development</t>
  </si>
  <si>
    <t>Potion berserker rage</t>
  </si>
  <si>
    <t>Potion Ambrosia</t>
  </si>
  <si>
    <t>Research and development</t>
  </si>
  <si>
    <t>Mandra Cola</t>
  </si>
  <si>
    <t>conveyor_lvl_1</t>
  </si>
  <si>
    <t>conveyor_lvl_2</t>
  </si>
  <si>
    <t>OwnerID</t>
  </si>
  <si>
    <t>building</t>
  </si>
  <si>
    <t>unlocks</t>
  </si>
  <si>
    <t>notes</t>
  </si>
  <si>
    <t>amazake</t>
  </si>
  <si>
    <t>armor4</t>
  </si>
  <si>
    <t>catalyst</t>
  </si>
  <si>
    <t>cinnabar</t>
  </si>
  <si>
    <t>diamond</t>
  </si>
  <si>
    <t>elixir</t>
  </si>
  <si>
    <t>fertilizer</t>
  </si>
  <si>
    <t>flatbread</t>
  </si>
  <si>
    <t>flour</t>
  </si>
  <si>
    <t>ginkgo</t>
  </si>
  <si>
    <t>greek</t>
  </si>
  <si>
    <t>hide</t>
  </si>
  <si>
    <t>honey</t>
  </si>
  <si>
    <t>horn</t>
  </si>
  <si>
    <t>mandrake</t>
  </si>
  <si>
    <t>misopaste</t>
  </si>
  <si>
    <t>net</t>
  </si>
  <si>
    <t>onigiri</t>
  </si>
  <si>
    <t>poh</t>
  </si>
  <si>
    <t>poh2</t>
  </si>
  <si>
    <t>reddiamond</t>
  </si>
  <si>
    <t>ring1</t>
  </si>
  <si>
    <t>salmon</t>
  </si>
  <si>
    <t>shield3</t>
  </si>
  <si>
    <t>shield4</t>
  </si>
  <si>
    <t>strawberry</t>
  </si>
  <si>
    <t>sword3</t>
  </si>
  <si>
    <t>sword4</t>
  </si>
  <si>
    <t>tofu</t>
  </si>
  <si>
    <t>tparts</t>
  </si>
  <si>
    <t>tuna</t>
  </si>
  <si>
    <t>velour</t>
  </si>
  <si>
    <t>violetcrystal</t>
  </si>
  <si>
    <t>airship|titanium longerons</t>
  </si>
  <si>
    <t>Titanium parts | Requires completing the quest: Once Upon a Forest Chapter XI | Airship max level</t>
  </si>
  <si>
    <t>TECH:Titanium parts | QUEST_COMPLETE:Once Upon a Forest Chapter XI | BUILDING_MAX:Airship</t>
  </si>
  <si>
    <t>Increases carrying capacity.&lt;br&gt;(+1)</t>
  </si>
  <si>
    <t>Requires completing the quest: Once Upon a Forest Chapter XI: Back to Melbourne.</t>
  </si>
  <si>
    <t>10 apy,30 blueprint,1000 coin,20 reagent,5 ruby,30 tparts</t>
  </si>
  <si>
    <t>alchemist's hut|greek grenade</t>
  </si>
  <si>
    <t>| Alchemist's Hut max level</t>
  </si>
  <si>
    <t>BUILDING_MAX:Alchemist's Hut</t>
  </si>
  <si>
    <t>Unlocks crafting: {{i|greek|30}}</t>
  </si>
  <si>
    <t>40 chemicals,300 coin,10 glass,10 oil,20 page,1 ruby</t>
  </si>
  <si>
    <t>alchemist's hut|synthetic fertilizer</t>
  </si>
  <si>
    <t>Unlocks crafting: {{i|fertilizer|30}}</t>
  </si>
  <si>
    <t>15 blueprint,100 charcoal,50 chemicals,300 coin,10 reagent,1 ruby</t>
  </si>
  <si>
    <t>alchemist's hut|balm</t>
  </si>
  <si>
    <t>Requires accepting the quest: Once Upon a Forest Chapter VI | Alchemist's Hut max level</t>
  </si>
  <si>
    <t>QUEST_ACCEPT:Once Upon a Forest Chapter VI | BUILDING_MAX:Alchemist's Hut</t>
  </si>
  <si>
    <t>Unlocks crafting: {{i|balm|30}}</t>
  </si>
  <si>
    <t>Requires visiting F2 at least twice (for the Forest Fairy quest).</t>
  </si>
  <si>
    <t>9 cinnabar,300 coin,10 glass,10 grimoire,30 herbs,5 oil,1 ruby</t>
  </si>
  <si>
    <t>alchemist's hut|potion of mental power</t>
  </si>
  <si>
    <t>Unlocks crafting: {{i|pomp|30}}</t>
  </si>
  <si>
    <t>Requires visiting F2 at least twice&lt;br&gt;(for the Forest Fairy quest).</t>
  </si>
  <si>
    <t>15 cinnabar,300 coin,20 ginkgo,10 glass,10 grimoire,10 herbs,10 reagent,1 ruby</t>
  </si>
  <si>
    <t>alchemist's hut|mercury</t>
  </si>
  <si>
    <t>Requires completing the quest: Once Upon a Forest Chapter VI | Alchemist's Hut max level</t>
  </si>
  <si>
    <t>QUEST_COMPLETE:Once Upon a Forest Chapter VI | BUILDING_MAX:Alchemist's Hut</t>
  </si>
  <si>
    <t>Unlocks crafting: {{i|mercury|30}}</t>
  </si>
  <si>
    <t>Requires completing the quest: Once Upon a Forest Chapter VII: Experiments of the Dark Lady.</t>
  </si>
  <si>
    <t>100 charcoal,30 cinnabar,400 coin,10 glass,10 grimoire,10 reagent,1 ruby</t>
  </si>
  <si>
    <t>alchemist's hut|gold ingot</t>
  </si>
  <si>
    <t>Mercury | Requires completing the quest: Once Upon a Forest Chapter VII | Alchemist's Hut max level</t>
  </si>
  <si>
    <t>TECH:Mercury | QUEST_COMPLETE:Once Upon a Forest Chapter VII | BUILDING_MAX:Alchemist's Hut</t>
  </si>
  <si>
    <t>Unlocks crafting: {{i|ingot|30}}</t>
  </si>
  <si>
    <t>20 apy,100 charcoal,10 grimoire,20 ingot,15 mercury,3 ruby</t>
  </si>
  <si>
    <t>alchemist's hut|madness grenade</t>
  </si>
  <si>
    <t>Unlocks crafting: {{i|madgrenade|30}}</t>
  </si>
  <si>
    <t>5 apy,300 coin,10 glass,10 grimoire,100 gunpowder,10 herbs,10 mercury,1 ruby</t>
  </si>
  <si>
    <t>alchemist's hut|potion of healing</t>
  </si>
  <si>
    <t>Unlocks crafting: {{i|poh|30}}</t>
  </si>
  <si>
    <t>300 coin,50 crypto,10 glass,15 page,15 reagent,1 ruby</t>
  </si>
  <si>
    <t>alchemist's hut|potion of energy</t>
  </si>
  <si>
    <t>Unlocks crafting: {{i|poe|30}}</t>
  </si>
  <si>
    <t>alchemist's hut|potion "berserker rage"</t>
  </si>
  <si>
    <t>Unlocks crafting: {{i|pbr|30}}</t>
  </si>
  <si>
    <t>500 coin,10 glass,10 mandrake,20 page,20 reagent,3 ruby,3 spices</t>
  </si>
  <si>
    <t>alchemist's hut|potion of healing lvl. 2</t>
  </si>
  <si>
    <t>Potion of healing | Alchemist's Hut max level</t>
  </si>
  <si>
    <t>TECH:Potion of healing | BUILDING_MAX:Alchemist's Hut</t>
  </si>
  <si>
    <t>Unlocks crafting: {{i|poh2|30}}</t>
  </si>
  <si>
    <t>15 catalyst,500 coin,10 mandrake,20 page,12 poh,20 reagent,3 ruby</t>
  </si>
  <si>
    <t>alchemist's hut|potion "ambrosia"</t>
  </si>
  <si>
    <t>Potion "Berserker rage" / Potion of healing lvl. 2 | Alchemist's Hut max level</t>
  </si>
  <si>
    <t>TECH:Potion "Berserker rage" | TECH:Potion of healing lvl. 2 | BUILDING_MAX:Alchemist's Hut</t>
  </si>
  <si>
    <t>Unlocks crafting: {{i|pa|30}}</t>
  </si>
  <si>
    <t>20 catalyst,1000 coin,15 mandrake,30 page,12 poh2,30 reagent,5 ruby</t>
  </si>
  <si>
    <t>alchemist's hut|alchemist's hut conveyor lvl. 1</t>
  </si>
  <si>
    <t>Increases max order size by 100% for / {{i|charcoal|30}} {{i|gunpowder|30}} {{i|fertilizer|30}} {{i|mercury|30}} {{i|ingot|30}}</t>
  </si>
  <si>
    <t>10 blueprint,400 coin,40 elixir,10 mechanism,20 msteel,2 ruby</t>
  </si>
  <si>
    <t>alchemist's hut|alchemist's hut conveyor lvl. 2</t>
  </si>
  <si>
    <t>Alchemist's Hut Conveyor lvl. 1 | Alchemist's Hut max level</t>
  </si>
  <si>
    <t>TECH:Alchemist's Hut Conveyor lvl. 1 | BUILDING_MAX:Alchemist's Hut</t>
  </si>
  <si>
    <t>Increases max order size by 200% for / {{i|charcoal|30}} {{i|gunpowder|30}} {{i|fertilizer|30}} {{i|mercury|30}} {{i|ingot|30}}</t>
  </si>
  <si>
    <t>15 blueprint,500 coin,60 elixir,15 mechanism,30 msteel,3 ruby</t>
  </si>
  <si>
    <t>alchemist's hut|galvanization</t>
  </si>
  <si>
    <t>+5 Durability for / {{i|ring1|30}} {{i|ring2|30}} {{i|ring3|30}} {{i|ring4|30}} {{i|ring4p|30}}</t>
  </si>
  <si>
    <t>Durability of equipped equipment remains the same.</t>
  </si>
  <si>
    <t>30 blueprint,20 catalyst,25 ingot,40 reagent,2 ruby</t>
  </si>
  <si>
    <t>alchemist's hut|metamorphosis</t>
  </si>
  <si>
    <t>File:Metamorphosis.png|30px]] Merging the abilities of one pet and the appearance of another. (It only changes the appearance, but does not make a pet stronger.)</t>
  </si>
  <si>
    <t>Requires completing the quest: Once Upon a Forest Chapter VII: Experiments of the Dark Lady. / For more information see Dungeon:_familiars#Metamorphosis|Familiars &gt; Metamorphosis]].</t>
  </si>
  <si>
    <t>300 coin,5 grimoire,15 mandrake,5 mercury,15 reagent,3 ruby</t>
  </si>
  <si>
    <t>alchemist's hut|advanced fertilizer</t>
  </si>
  <si>
    <t>Synthetic fertilizer | Requires completing quest: Magic Beans | Alchemist's Hut max level</t>
  </si>
  <si>
    <t>TECH:Synthetic fertilizer | QUEST_COMPLETE:Magic Beans | BUILDING_MAX:Alchemist's Hut</t>
  </si>
  <si>
    <t>{{i|fertilizer|30}} Synthetic fertilizer: Increases productivity by 1.</t>
  </si>
  <si>
    <t>Requires completing quest: Magic Beans]]. / Instead of harvesting 10 x Rice, 11 x Rice is harvested.</t>
  </si>
  <si>
    <t>30 blueprint,20 catalyst,100 chemicals,800 coin,50 fertilizer,20 glass,20 reagent,5 ruby,10 titanium</t>
  </si>
  <si>
    <t>bridge|koi fish</t>
  </si>
  <si>
    <t>Bridge max level</t>
  </si>
  <si>
    <t>BUILDING_MAX:Bridge</t>
  </si>
  <si>
    <t>Ship#Expeditions|Ship]]: +25% Fishing</t>
  </si>
  <si>
    <t>Increases fishing loot by 25%. For the exact percentages see Ship#Ship_missions|Ship missions]].</t>
  </si>
  <si>
    <t>20 ingot,20 paper,20 ruby,20 salmon,20 tuna,20 wheat</t>
  </si>
  <si>
    <t>bridge|salmon farming</t>
  </si>
  <si>
    <t>Passive income: {{i|salmon|30}} x 1</t>
  </si>
  <si>
    <t>20 blueprint,40 flour,20 glass,10 net,15 ruby,20 salmon,400 stone</t>
  </si>
  <si>
    <t>dairy|classical music for the farm</t>
  </si>
  <si>
    <t>Dairy max level</t>
  </si>
  <si>
    <t>BUILDING_MAX:Dairy</t>
  </si>
  <si>
    <t>{{i|goat|30}} Increases productivity by 1.</t>
  </si>
  <si>
    <t>Allows to produce one more Milk per same ingredients.</t>
  </si>
  <si>
    <t>20 blueprint,500 coin,20 glass,4 horn,15 mechanism,20 milk,20 quartz,3 ruby</t>
  </si>
  <si>
    <t>dairy|big data farming</t>
  </si>
  <si>
    <t>Classical music for the farm | Dairy max level</t>
  </si>
  <si>
    <t>TECH:Classical music for the farm | BUILDING_MAX:Dairy</t>
  </si>
  <si>
    <t>32 blueprint,1000 coin,20 mechanism,20 milk,40 paper,20 quartz,5 ruby,20 tparts,10 violetcrystal</t>
  </si>
  <si>
    <t>dungeon|great hall</t>
  </si>
  <si>
    <t>Dungeon lvl. 3</t>
  </si>
  <si>
    <t>BUILDING_LVL:Dungeon@3</t>
  </si>
  <si>
    <t>300 coin,30 fan,100 steel,50 stone,200 wood</t>
  </si>
  <si>
    <t>fermentory|pasteurization</t>
  </si>
  <si>
    <t>Fermentory max level</t>
  </si>
  <si>
    <t>BUILDING_MAX:Fermentory</t>
  </si>
  <si>
    <t>{{i|amazake|30}} Amazake: increase caravan size.</t>
  </si>
  <si>
    <t>20 amazake,40 blueprint,20 catalyst,1000 coin,10 enzyme,30 glass,10 ruby,200 steel</t>
  </si>
  <si>
    <t>field|seed drill</t>
  </si>
  <si>
    <t>Mechanism | Field max level</t>
  </si>
  <si>
    <t>TECH:Mechanism | BUILDING_MAX:Field</t>
  </si>
  <si>
    <t>Increases max order size by 100%: / {{i|rice|30}} {{i|wheat|30}} {{i|soybean|30}}</t>
  </si>
  <si>
    <t>field|combine harvester</t>
  </si>
  <si>
    <t>Steamobile / Seed drill | Field max level</t>
  </si>
  <si>
    <t>TECH:Steamobile | TECH:Seed drill | BUILDING_MAX:Field</t>
  </si>
  <si>
    <t>Increases max order size by 200%: / {{i|rice|30}} {{i|wheat|30}} {{i|soybean|30}}</t>
  </si>
  <si>
    <t>30 blueprint,600 coin,60 elixir,10 mechanism,4 ruby,10 steamobile</t>
  </si>
  <si>
    <t>field|soybean</t>
  </si>
  <si>
    <t>Soybean | Requires completing the quest: Magic Beans]] | Field max level</t>
  </si>
  <si>
    <t>TECH:Soybean | QUEST_COMPLETE:Magic Beans]] | BUILDING_MAX:Field</t>
  </si>
  <si>
    <t>Unlocks crafting: {{i|soybean|30}}</t>
  </si>
  <si>
    <t>Requires completing the quest: Magic Beans]].</t>
  </si>
  <si>
    <t>800 coin,20 flatbread,20 onigiri,20 page,5 ruby,200 steel,20 thread,500 wood</t>
  </si>
  <si>
    <t>food stall|quintessence of taste</t>
  </si>
  <si>
    <t>Food Stall max level</t>
  </si>
  <si>
    <t>BUILDING_MAX:Food Stall</t>
  </si>
  <si>
    <t>{{i|cake|30|1}}: Increases loot by 40%.</t>
  </si>
  <si>
    <t>10 beans,10 blueprint,300 coin,10 honey,1 ruby,1 spices</t>
  </si>
  <si>
    <t>food stall|jam</t>
  </si>
  <si>
    <t>req.obtain_item: strawberry@F1. | Food Stall max level</t>
  </si>
  <si>
    <t>STATE:OBTAIN:strawberry@F1. | BUILDING_MAX:Food Stall</t>
  </si>
  <si>
    <t>Unlocks crafting: {{i|jam|30}}</t>
  </si>
  <si>
    <t>400 coin,5 glass,10 grimoire,2 ruby,20 strawberry</t>
  </si>
  <si>
    <t>food stall|mayonnaise</t>
  </si>
  <si>
    <t>Unlocks crafting: {{i|mayo|30}}</t>
  </si>
  <si>
    <t>15 blueprint,400 coin,25 egg,1 glass,10 oil,2 ruby</t>
  </si>
  <si>
    <t>food stall|mandra-cola</t>
  </si>
  <si>
    <t>Unlocks crafting: {{i|mcola|30}}</t>
  </si>
  <si>
    <t>20 beans,15 blueprint,400 coin,5 glass,10 honey,20 mandrake,2 ruby</t>
  </si>
  <si>
    <t>food stall|inarizushi</t>
  </si>
  <si>
    <t>Unlocks crafting: {{i|inarizushi|30}}</t>
  </si>
  <si>
    <t>400 coin,13 grimoire,2 ruby,8 soy,10 tofu</t>
  </si>
  <si>
    <t>food stall|conveyor belt sushi</t>
  </si>
  <si>
    <t>Increases max order size by 100% for / {{i|onigiri|30}} {{i|flatbread|30}} {{i|cherrybun|30}} {{i|muffin|30}} {{i|bento|30}} {{i|fried|30}} {{i|sushi|30}}</t>
  </si>
  <si>
    <t>Items that are affected by this technology only show once they can be crafted.</t>
  </si>
  <si>
    <t>10 blueprint,300 coin,40 elixir,5 mechanism,2 ruby,20 steel</t>
  </si>
  <si>
    <t>food stall|miso soup</t>
  </si>
  <si>
    <t>{{i|misosoup|30}} / +20% loot on expiditions: / {{i|wood|30}} {{i|stone|30}} {{i|ingot|30}} {{i|treasure|30}} ({{i|coin|30}})</t>
  </si>
  <si>
    <t>500 coin,20 elixir,10 grimoire,10 misopaste,5 ruby,10 sushi,10 tofu</t>
  </si>
  <si>
    <t>furnace|meteoric steel</t>
  </si>
  <si>
    <t>Furnace max level</t>
  </si>
  <si>
    <t>BUILDING_MAX:Furnace</t>
  </si>
  <si>
    <t>Unlocks crafting: {{i|msteel|30}}</t>
  </si>
  <si>
    <t>15 blueprint,1000 coin,50 miron,3 ruby</t>
  </si>
  <si>
    <t>furnace|titanium parts</t>
  </si>
  <si>
    <t>Requires completing the quest: Once Upon a Forest Chapter XI | Furnace max level</t>
  </si>
  <si>
    <t>QUEST_COMPLETE:Once Upon a Forest Chapter XI | BUILDING_MAX:Furnace</t>
  </si>
  <si>
    <t>Unlocks crafting: {{i|tparts|30}}</t>
  </si>
  <si>
    <t>20 blueprint,500 coin,5 mechanism,10 reagent,3 ruby,10 titanium</t>
  </si>
  <si>
    <t>furnace|glass</t>
  </si>
  <si>
    <t>Requires accepting the quest: The Ordinary Days of an Adventurer Chapter IV | Furnace max level</t>
  </si>
  <si>
    <t>QUEST_ACCEPT:The Ordinary Days of an Adventurer Chapter IV | BUILDING_MAX:Furnace</t>
  </si>
  <si>
    <t>Unlocks crafting: {{i|glass|30}}</t>
  </si>
  <si>
    <t>Requires accepting the quest: The Ordinary Days of an Adventurer Chapter IV.</t>
  </si>
  <si>
    <t>20 blueprint,20 chemicals,500 coin,20 glass,5 mechanism,40 quartz,3 ruby</t>
  </si>
  <si>
    <t>furnace|conveyor</t>
  </si>
  <si>
    <t>Increases max order size by 100% for / {{i|steel|30}} {{i|msteel|30}} {{i|tparts|30}} {{i|glass|30}} {{i|ingot|30}}</t>
  </si>
  <si>
    <t>15 blueprint,400 coin,40 elixir,10 mechanism,20 msteel,2 ruby</t>
  </si>
  <si>
    <t>garden|sprinkler</t>
  </si>
  <si>
    <t>Garden max level</t>
  </si>
  <si>
    <t>BUILDING_MAX:Garden</t>
  </si>
  <si>
    <t>Passive income: {{i|wood|30}} x 4</t>
  </si>
  <si>
    <t>30 blueprint,1500 coin,50 miron,6 ruby</t>
  </si>
  <si>
    <t>laboratory|r&amp;d (research and development)</t>
  </si>
  <si>
    <t>Laboratory: Data center max level | Laboratory max level</t>
  </si>
  <si>
    <t>BUILDING_MAX:Laboratory: Data center | BUILDING_MAX:Laboratory</t>
  </si>
  <si>
    <t>Unlocks crafting: {{i|blueprint|30}}</t>
  </si>
  <si>
    <t>Allows to craft {{i|blueprint|30}} from {{i|floppy|30}}.</t>
  </si>
  <si>
    <t>20 amazake,30 blueprint,20 catalyst,1000 coin,10 enzyme,20 floppy,20 microchip,20 reagent,5 ruby</t>
  </si>
  <si>
    <t>laboratory|digitization</t>
  </si>
  <si>
    <t>Unlocks crafting: {{i|floppy|30}}</t>
  </si>
  <si>
    <t>Allows to craft {{i|floppy|30}} from {{i|page|30}} {{i|grimoire|30}} {{i|pcard|30}}.</t>
  </si>
  <si>
    <t>30 blueprint,100 chemicals,1000 coin,20 floppy,30 mechanism,20 microchip,40 paper,20 quartz,5 ruby</t>
  </si>
  <si>
    <t>laboratory|experiments</t>
  </si>
  <si>
    <t>R&amp;D (Research and development) | Laboratory max level</t>
  </si>
  <si>
    <t>TECH:R&amp;D (Research and development) | BUILDING_MAX:Laboratory</t>
  </si>
  <si>
    <t>40 blueprint,1000 coin,2 diamond,30 floppy,20 mercury,30 microchip,5 ruby,20 tparts,10 violetcrystal</t>
  </si>
  <si>
    <t>outpost|sayonara tax</t>
  </si>
  <si>
    <t>| Outpost max level</t>
  </si>
  <si>
    <t>BUILDING_MAX:Outpost</t>
  </si>
  <si>
    <t>Passive income: {{i|dinar|30}} x 6</t>
  </si>
  <si>
    <t>30 blueprint,400 coin,20 paper,2 ruby</t>
  </si>
  <si>
    <t>outpost|arsenal lvl. 1</t>
  </si>
  <si>
    <t>Increases capacity by 50% of the original size for / {{i|fan|30}} {{i|arrows|30}} {{i|katana|30}} {{i|shuriken|30}} {{i|spikes|30}} {{i|boomerang|30}} {{i|petard|30}} {{i|bomb|30}} / {{i|firework|30}} {{i|mortar|30}} {{i|drum|30}} {{i|zenfountain|30}} {{i|btram|30}} {{i|anchor|30}} {{i|steamobile|30}}</t>
  </si>
  <si>
    <t>40 blueprint,1000 coin,400 plank,3 ruby,200 steel</t>
  </si>
  <si>
    <t>outpost|arsenal lvl. 2</t>
  </si>
  <si>
    <t>Arsenal lvl. 1 | Outpost max level</t>
  </si>
  <si>
    <t>TECH:Arsenal lvl. 1 | BUILDING_MAX:Outpost</t>
  </si>
  <si>
    <t>60 blueprint,1500 coin,600 plank,5 ruby,300 steel</t>
  </si>
  <si>
    <t>outpost|optional contracts</t>
  </si>
  <si>
    <t>Reduces the probability that a city will be unable to trade: no more than 1 city at a time.</t>
  </si>
  <si>
    <t>1000 coin,25 oil,40 page,20 paper,3 ruby</t>
  </si>
  <si>
    <t>outpost|futures contracts</t>
  </si>
  <si>
    <t>Optional contracts | Outpost max level</t>
  </si>
  <si>
    <t>TECH:Optional contracts | BUILDING_MAX:Outpost</t>
  </si>
  <si>
    <t>The probability that a city will be unable to trade is a thing of the past.</t>
  </si>
  <si>
    <t>40 blueprint,1000 coin,30 paper,50 rice,5 ruby,10 tuna</t>
  </si>
  <si>
    <t>outpost|tax return on floppy disk</t>
  </si>
  <si>
    <t>Requires completing: Ahead of Time Chapter V | Outpost max level</t>
  </si>
  <si>
    <t>QUEST_COMPLETE:Ahead of Time Chapter V | BUILDING_MAX:Outpost</t>
  </si>
  <si>
    <t>Passive income: {{i|dinar|30}} x 7</t>
  </si>
  <si>
    <t>30 blueprint,400 coin,40 floppy,30 microchip,3 ruby,200 steel</t>
  </si>
  <si>
    <t>rock garden|rake</t>
  </si>
  <si>
    <t>| Rock Garden max level</t>
  </si>
  <si>
    <t>BUILDING_MAX:Rock Garden</t>
  </si>
  <si>
    <t>Passive income: {{i|stone|30}} x 4</t>
  </si>
  <si>
    <t>shop|pre-orders</t>
  </si>
  <si>
    <t>| Shop max level</t>
  </si>
  <si>
    <t>BUILDING_MAX:Shop</t>
  </si>
  <si>
    <t>Increases the total cash of the shop to 900 Coins.</t>
  </si>
  <si>
    <t>20 beans,30 blueprint,300 coin,30 paper,1 ruby</t>
  </si>
  <si>
    <t>shop|glass recycling</t>
  </si>
  <si>
    <t>The shop exchanges empty bottles for glass. / {{i|ebottles|30}} -&gt; {{i|glass|30}} / The following items yield an empty bottle: / {{i|balm|30}} {{i|poh|30}} {{i|poh2|30}} {{i|poe|30}} {{i|pomp|30}} {{i|pbr|30}} {{i|pa|30}} {{i|mapbottle|30}}</t>
  </si>
  <si>
    <t>The last item is the Message in a bottle. 1 x Empty bottle is given per 1 x Treasure map fragment lvl. 4 found by the ship. / Items that are affected by this technology only show once they can be crafted/acquired.</t>
  </si>
  <si>
    <t>20 blueprint,40 chemicals,500 coin,25 glass,100 plank,5 ruby</t>
  </si>
  <si>
    <t>smithy|throwing knife</t>
  </si>
  <si>
    <t>| Smithy max level</t>
  </si>
  <si>
    <t>BUILDING_MAX:Smithy</t>
  </si>
  <si>
    <t>Unlocks crafting: {{i|kunai|30}}</t>
  </si>
  <si>
    <t>300 coin,30 miron,15 page,2 ruby</t>
  </si>
  <si>
    <t>smithy|sword for a hero lvl. 1</t>
  </si>
  <si>
    <t>Unlocks crafting: {{i|sword1|30}}</t>
  </si>
  <si>
    <t>50 charcoal,300 coin,40 miron,20 page,2 ruby,50 steel</t>
  </si>
  <si>
    <t>smithy|sword for a hero lvl. 2</t>
  </si>
  <si>
    <t>Sword for a hero lvl. 1 | Smithy max level</t>
  </si>
  <si>
    <t>TECH:Sword for a hero lvl. 1 | BUILDING_MAX:Smithy</t>
  </si>
  <si>
    <t>Unlocks crafting: {{i|sword2|30}}</t>
  </si>
  <si>
    <t>15 blueprint,100 charcoal,500 coin,40 msteel,3 ruby,100 steel</t>
  </si>
  <si>
    <t>smithy|sword for a hero lvl. 3</t>
  </si>
  <si>
    <t>Sword for a hero lvl. 2 | Smithy max level</t>
  </si>
  <si>
    <t>TECH:Sword for a hero lvl. 2 | BUILDING_MAX:Smithy</t>
  </si>
  <si>
    <t>Unlocks crafting: {{i|sword3|30}}</t>
  </si>
  <si>
    <t>20 blueprint,200 charcoal,1000 coin,60 msteel,5 ruby,200 steel</t>
  </si>
  <si>
    <t>smithy|sword for a hero lvl. 4</t>
  </si>
  <si>
    <t>Sword for a hero lvl. 3 | Smithy max level</t>
  </si>
  <si>
    <t>TECH:Sword for a hero lvl. 3 | BUILDING_MAX:Smithy</t>
  </si>
  <si>
    <t>Unlocks crafting: {{i|sword4|30}}</t>
  </si>
  <si>
    <t>Also requires finding the lost adventurer in 4C.</t>
  </si>
  <si>
    <t>40 blueprint,1000 coin,20 gears,20 mechanism,5 ruby,3 sword3</t>
  </si>
  <si>
    <t>smithy|sword for a hero lvl. 4+</t>
  </si>
  <si>
    <t>Sword for a hero lvl. 4 | Requires completing the quest: The Ordinary Days of an Adventurer Chapter II | Smithy max level</t>
  </si>
  <si>
    <t>TECH:Sword for a hero lvl. 4 | QUEST_COMPLETE:The Ordinary Days of an Adventurer Chapter II | BUILDING_MAX:Smithy</t>
  </si>
  <si>
    <t>Unlocks crafting: {{i|sword4p|30}}</t>
  </si>
  <si>
    <t>Requires completing the quest: The Ordinary Days of an Adventurer Chapter II: Sharpen Your blade.</t>
  </si>
  <si>
    <t>20 bamboo,25 bluecrystal,1000 coin,10 grimoire,10 mercury,10 quartz,1 reddiamond,5 ruby,1 sword4</t>
  </si>
  <si>
    <t>smithy|weapon grease</t>
  </si>
  <si>
    <t>+5 Durability for {{i|sword1|30}} {{i|sword2|30}} {{i|sword3|30}} {{i|sword4|30}} {{i|sword4p|30}}</t>
  </si>
  <si>
    <t>15 blueprint,500 coin,10 oil,15 reagent,2 ruby</t>
  </si>
  <si>
    <t>smithy|gears</t>
  </si>
  <si>
    <t>Unlocks crafting: {{i|gears|30}}</t>
  </si>
  <si>
    <t>30 blueprint,1000 coin,30 gears,20 miron,5 ruby</t>
  </si>
  <si>
    <t>smithy|treasure</t>
  </si>
  <si>
    <t>Requires completing the quest: The Ordinary Days of an Adventurer Chapter III | Smithy max level</t>
  </si>
  <si>
    <t>QUEST_COMPLETE:The Ordinary Days of an Adventurer Chapter III | BUILDING_MAX:Smithy</t>
  </si>
  <si>
    <t>Unlocks crafting: {{i|treasure|30}}</t>
  </si>
  <si>
    <t>Requires completing the quest: The Ordinary Days of an Adventurer Chapter III: Eclipse.</t>
  </si>
  <si>
    <t>30 bluecrystal,500 coin,20 greencrystal,10 grimoire,10 ingot,10 mercury,20 redcrystal,3 ruby,15 violetcrystal</t>
  </si>
  <si>
    <t>tailor|ariadne's thread</t>
  </si>
  <si>
    <t>| Tailor max level</t>
  </si>
  <si>
    <t>BUILDING_MAX:Tailor</t>
  </si>
  <si>
    <t>Unlocks crafting: {{i|clew|30}}</t>
  </si>
  <si>
    <t>300 coin,20 elixir,10 page,1 ring1,2 ruby,10 thread</t>
  </si>
  <si>
    <t>tailor|bedroll</t>
  </si>
  <si>
    <t>Requires completing the quest: Once Upon a Forest Chapter V | Tailor max level</t>
  </si>
  <si>
    <t>QUEST_COMPLETE:Once Upon a Forest Chapter V | BUILDING_MAX:Tailor</t>
  </si>
  <si>
    <t>Unlocks crafting: {{i|bedroll|30}}</t>
  </si>
  <si>
    <t>Requires completing the quest: Once Upon a Forest Chapter V: Smoothie for Mrs. Diligence.</t>
  </si>
  <si>
    <t>10 blueprint,300 coin,5 reagent,2 ruby,15 silk,20 thread</t>
  </si>
  <si>
    <t>tailor|salamander velour</t>
  </si>
  <si>
    <t>Requires completing the quest: Once Upon a Forest Chapter X | Tailor max level</t>
  </si>
  <si>
    <t>QUEST_COMPLETE:Once Upon a Forest Chapter X | BUILDING_MAX:Tailor</t>
  </si>
  <si>
    <t>Unlocks crafting: {{i|velour|30}}</t>
  </si>
  <si>
    <t>Requires completing the quest: Once Upon a Forest Chapter X: Salamander hunter.</t>
  </si>
  <si>
    <t>400 coin,10 ginkgo,15 grimoire,6 hide,15 mercury,3 ruby</t>
  </si>
  <si>
    <t>tailor|armor for a hero lvl. 1</t>
  </si>
  <si>
    <t>Unlocks crafting: {{i|armor1|30}}</t>
  </si>
  <si>
    <t>500 coin,50 miron,30 page,3 ruby,10 silk,5 thread</t>
  </si>
  <si>
    <t>tailor|armor for a hero lvl. 2</t>
  </si>
  <si>
    <t>Armor for a hero lvl. 1 | Tailor max level</t>
  </si>
  <si>
    <t>TECH:Armor for a hero lvl. 1 | BUILDING_MAX:Tailor</t>
  </si>
  <si>
    <t>Unlocks crafting: {{i|armor2|30}}</t>
  </si>
  <si>
    <t>20 blueprint,1000 coin,50 msteel,5 ruby,20 silk,10 thread</t>
  </si>
  <si>
    <t>tailor|armor for a hero lvl. 3</t>
  </si>
  <si>
    <t>Armor for a hero lvl. 2 | Tailor max level</t>
  </si>
  <si>
    <t>TECH:Armor for a hero lvl. 2 | BUILDING_MAX:Tailor</t>
  </si>
  <si>
    <t>Unlocks crafting: {{i|armor3|30}}</t>
  </si>
  <si>
    <t>30 blueprint,1500 coin,75 msteel,7 ruby,30 silk,15 thread</t>
  </si>
  <si>
    <t>tailor|armor for a hero lvl. 4</t>
  </si>
  <si>
    <t>Salamander velour&lt;br&gt;Titanium parts | Requires accepting the quest: Once Upon a Forest Chapter IX | Tailor max level</t>
  </si>
  <si>
    <t>TECH:Salamander velour | TECH:Titanium parts | QUEST_ACCEPT:Once Upon a Forest Chapter IX | BUILDING_MAX:Tailor</t>
  </si>
  <si>
    <t>Unlocks crafting: {{i|armor4|30}}</t>
  </si>
  <si>
    <t>Requires taking the quest: Once Upon a Forest Chapter IX: Perfect Armor.</t>
  </si>
  <si>
    <t>30 blueprint,500 coin,20 grimoire,5 mechanism,3 ruby,20 tparts,6 velour</t>
  </si>
  <si>
    <t>tailor|armor for a hero lvl. 4+</t>
  </si>
  <si>
    <t>Armor for a hero lvl. 4 | Requires accepting the quest: The Ordinary Days of an Adventurer Chapter IV | Tailor max level</t>
  </si>
  <si>
    <t>TECH:Armor for a hero lvl. 4 | QUEST_ACCEPT:The Ordinary Days of an Adventurer Chapter IV | BUILDING_MAX:Tailor</t>
  </si>
  <si>
    <t>Unlocks crafting: {{i|armor4p|30}}</t>
  </si>
  <si>
    <t>Requires accepting the quest: The Ordinary Days of an Adventurer Chapter IV: Full set.</t>
  </si>
  <si>
    <t>1 armor4,20 blueprint,1000 coin,10 grimoire,10 quartz,25 redcrystal,1 reddiamond,5 ruby,20 tparts</t>
  </si>
  <si>
    <t>tailor|strong stitch</t>
  </si>
  <si>
    <t>+10 Durability for {{i|kimono|30}} {{i|ninja|30}} {{i|samurai|30}}</t>
  </si>
  <si>
    <t>10 blueprint,300 coin,1 ruby,10 silk,10 thread</t>
  </si>
  <si>
    <t>tailor|strong rivets</t>
  </si>
  <si>
    <t>+5 Durability for {{i|armor1|30}} {{i|armor2|30}} {{i|armor3|30}} {{i|armor4|30}} {{i|armor4p|30}}</t>
  </si>
  <si>
    <t>20 blueprint,500 coin,30 miron,2 ruby,10 thread</t>
  </si>
  <si>
    <t>tailor|colored threads</t>
  </si>
  <si>
    <t>Ariadne"s thread allows placing marks and returning to them quickly</t>
  </si>
  <si>
    <t>10 cinnabar,300 coin,5 grimoire,10 herbs,10 reagent,2 ruby,10 thread</t>
  </si>
  <si>
    <t>train|compound engine</t>
  </si>
  <si>
    <t>| Train max level</t>
  </si>
  <si>
    <t>BUILDING_MAX:Train</t>
  </si>
  <si>
    <t>Reduces travel time by 10%.</t>
  </si>
  <si>
    <t>30 blueprint,1500 coin,50 gears,30 mechanism,4 ruby</t>
  </si>
  <si>
    <t>train|superheater</t>
  </si>
  <si>
    <t>Reduces Charcoal|coal]] consumption by 20%.</t>
  </si>
  <si>
    <t>30 blueprint,30 catalyst,1500 coin,30 mechanism,4 ruby,500 steel</t>
  </si>
  <si>
    <t>train|automatic lubricator</t>
  </si>
  <si>
    <t>30 blueprint,1500 coin,30 mechanism,50 oil,4 ruby</t>
  </si>
  <si>
    <t>train|titanium components</t>
  </si>
  <si>
    <t>Requires completing the quest: Once Upon a Forest Chapter XI | Train max level</t>
  </si>
  <si>
    <t>QUEST_COMPLETE:Once Upon a Forest Chapter XI | BUILDING_MAX:Train</t>
  </si>
  <si>
    <t>Reduces travel time by 5%.</t>
  </si>
  <si>
    <t>10 apy,30 blueprint,1500 coin,20 reagent,5 ruby,30 tparts</t>
  </si>
  <si>
    <t>train|onboard computer</t>
  </si>
  <si>
    <t>Requires completing Ahead of Time: Chapter V | Train max level</t>
  </si>
  <si>
    <t>QUEST_COMPLETE:Chapter V | BUILDING_MAX:Train</t>
  </si>
  <si>
    <t>20 apy,40 blueprint,1500 coin,40 floppy,30 mechanism,20 mercury,40 microchip,5 ruby,200 steel</t>
  </si>
  <si>
    <t>warehouse|stackable racks lvl. 1</t>
  </si>
  <si>
    <t>| Warehouse max level</t>
  </si>
  <si>
    <t>BUILDING_MAX:Warehouse</t>
  </si>
  <si>
    <t>Increases capacity by 30% of the original size.</t>
  </si>
  <si>
    <t>30 blueprint,300 coin,200 plank,1 ruby,50 steel</t>
  </si>
  <si>
    <t>warehouse|stackable racks lvl. 2</t>
  </si>
  <si>
    <t>Stackable racks lvl. 1 | Warehouse max level</t>
  </si>
  <si>
    <t>TECH:Stackable racks lvl. 1 | BUILDING_MAX:Warehouse</t>
  </si>
  <si>
    <t>30 blueprint,400 coin,300 plank,2 ruby,60 steel</t>
  </si>
  <si>
    <t>warehouse|stackable racks lvl. 3</t>
  </si>
  <si>
    <t>Stackable racks lvl. 2 | Warehouse max level</t>
  </si>
  <si>
    <t>TECH:Stackable racks lvl. 2 | BUILDING_MAX:Warehouse</t>
  </si>
  <si>
    <t>30 blueprint,500 coin,400 plank,3 ruby,70 steel</t>
  </si>
  <si>
    <t>workshop|throwing net</t>
  </si>
  <si>
    <t>| Workshop max level</t>
  </si>
  <si>
    <t>BUILDING_MAX:Workshop</t>
  </si>
  <si>
    <t>Unlocks crafting: {{i|net|30}}</t>
  </si>
  <si>
    <t>40 beam,300 coin,10 page,2 ruby,10 stone,10 thread</t>
  </si>
  <si>
    <t>workshop|shield for a hero lvl. 1</t>
  </si>
  <si>
    <t>Unlocks crafting: {{i|shield1|30}}</t>
  </si>
  <si>
    <t>50 beam,300 coin,40 miron,20 page,2 ruby</t>
  </si>
  <si>
    <t>workshop|shield for a hero lvl. 2</t>
  </si>
  <si>
    <t>Shield for a hero lvl. 1 | Workshop max level</t>
  </si>
  <si>
    <t>TECH:Shield for a hero lvl. 1 | BUILDING_MAX:Workshop</t>
  </si>
  <si>
    <t>Unlocks crafting: {{i|shield2|30}}</t>
  </si>
  <si>
    <t>15 blueprint,500 coin,40 msteel,100 plank,3 ruby</t>
  </si>
  <si>
    <t>workshop|shield for a hero lvl. 3</t>
  </si>
  <si>
    <t>Shield for a hero lvl. 2 | Workshop max level</t>
  </si>
  <si>
    <t>TECH:Shield for a hero lvl. 2 | BUILDING_MAX:Workshop</t>
  </si>
  <si>
    <t>Unlocks crafting: {{i|shield3|30}}</t>
  </si>
  <si>
    <t>20 blueprint,1000 coin,60 msteel,200 plank,5 ruby</t>
  </si>
  <si>
    <t>workshop|shield for a hero lvl. 4</t>
  </si>
  <si>
    <t>Shield for a hero lvl. 3 | Requires completing the quest "The Ring of the Dark Lady" (4A) | Workshop max level</t>
  </si>
  <si>
    <t>TECH:Shield for a hero lvl. 3 | QUEST_COMPLETE:"the ring of the dark lady" (4a) | BUILDING_MAX:Workshop</t>
  </si>
  <si>
    <t>Unlocks crafting: {{i|shield4|30}}</t>
  </si>
  <si>
    <t>Requires completing the quest "The Ring of the Dark Lady" (4A).</t>
  </si>
  <si>
    <t>25 blueprint,10 catalyst,30 chemicals,1000 coin,15 mechanism,5 ruby,3 shield3</t>
  </si>
  <si>
    <t>workshop|shield for a hero lvl. 4+</t>
  </si>
  <si>
    <t>Shield for a hero lvl. 4 | Requires accepting the quest: The Ordinary Days of an Adventurer Chapter III | Workshop max level</t>
  </si>
  <si>
    <t>TECH:Shield for a hero lvl. 4 | QUEST_ACCEPT:The Ordinary Days of an Adventurer Chapter III | BUILDING_MAX:Workshop</t>
  </si>
  <si>
    <t>Unlocks crafting: {{i|shield4p|30}}</t>
  </si>
  <si>
    <t>Requires accepting the quest: The Ordinary Days of an Adventurer Chapter III: Eclipse.</t>
  </si>
  <si>
    <t>20 apy,20 catalyst,1000 coin,25 greencrystal,10 grimoire,10 quartz,1 reddiamond,5 ruby,1 shield4</t>
  </si>
  <si>
    <t>workshop|strong glue</t>
  </si>
  <si>
    <t>+5 Durability for {{i|shield1|30}} {{i|shield2|30}} {{i|shield3|30}} {{i|shield4|30}} {{i|shield4p|30}}</t>
  </si>
  <si>
    <t>15 blueprint,500 coin,10 honey,15 reagent,2 ruby</t>
  </si>
  <si>
    <t>workshop|mechanism</t>
  </si>
  <si>
    <t>Unlocks crafting: {{i|mechanism|30}}</t>
  </si>
  <si>
    <t>30 blueprint,700 coin,30 gears,10 msteel,3 ruby</t>
  </si>
  <si>
    <t>workshop|mechanical spider</t>
  </si>
  <si>
    <t>Mechanism | Workshop max level</t>
  </si>
  <si>
    <t>TECH:Mechanism | BUILDING_MAX:Workshop</t>
  </si>
  <si>
    <t>Unlocks crafting: {{i|mspider|30}}</t>
  </si>
  <si>
    <t>30 blueprint,1000 coin,15 mechanism,20 msteel,5 ruby</t>
  </si>
  <si>
    <t>workshop|explosive mechanical spider</t>
  </si>
  <si>
    <t>Mechanical spider | Workshop max level</t>
  </si>
  <si>
    <t>TECH:Mechanical spider | BUILDING_MAX:Workshop</t>
  </si>
  <si>
    <t>Learning this technology while a hero is in dungeon, will make the Mechanical spider explosive.</t>
  </si>
  <si>
    <t>15 blueprint,400 coin,20 greek,10 mechanism,3 mspider,2 ruby</t>
  </si>
  <si>
    <t>workshop|steamobile</t>
  </si>
  <si>
    <t>Unlocks crafting: {{i|steamobile|30}}</t>
  </si>
  <si>
    <t>30 blueprint,1500 coin,15 mechanism,30 msteel,7 ruby</t>
  </si>
  <si>
    <t>workshop|zen fountain</t>
  </si>
  <si>
    <t>Requires accepting The Ordinary Days of an Adventurer Chapter II | Workshop max level</t>
  </si>
  <si>
    <t>QUEST_ACCEPT:the ordinary days of an adventurer chapter ii | BUILDING_MAX:Workshop</t>
  </si>
  <si>
    <t>Unlocks crafting: {{i|zenfountain|30}}</t>
  </si>
  <si>
    <t>30 bamboo,1000 coin,10 grimoire,5 ruby,100 stone,20 thread</t>
  </si>
  <si>
    <t>workshop|workshop conveyor lvl. 1</t>
  </si>
  <si>
    <t>Increases max order size by 100% for / {{i|mortar|30}} {{i|btram|30}} {{i|mspider|30}} {{i|steamobile|30}} {{i|zenfountain|30}}</t>
  </si>
  <si>
    <t>20 blueprint,1000 coin,50 elixir,10 mechanism,20 msteel,3 ruby</t>
  </si>
  <si>
    <t>workshop|workshop conveyor lvl. 2</t>
  </si>
  <si>
    <t>Workshop Conveyor lvl. 1 | Workshop max level</t>
  </si>
  <si>
    <t>TECH:Workshop Conveyor lvl. 1 | BUILDING_MAX:Workshop</t>
  </si>
  <si>
    <t>Increases max order size by 200% for / {{i|mortar|30}} {{i|btram|30}} {{i|mspider|30}} {{i|steamobile|30}} {{i|zenfountain|30}}</t>
  </si>
  <si>
    <t>30 blueprint,1500 coin,75 elixir,15 mechanism,30 msteel,5 ruby</t>
  </si>
  <si>
    <t>Alchemist's Hut |  Perfect fertilizer</t>
  </si>
  <si>
    <t>Windmill |  Bone meal</t>
  </si>
  <si>
    <t>QuestID</t>
  </si>
  <si>
    <t>QuestName</t>
  </si>
  <si>
    <t>Chapter</t>
  </si>
  <si>
    <t>festival</t>
  </si>
  <si>
    <t>wanted</t>
  </si>
  <si>
    <t>Culinary Battle</t>
  </si>
  <si>
    <t>Festival</t>
  </si>
  <si>
    <t>Festival Returns</t>
  </si>
  <si>
    <t>Green Potion</t>
  </si>
  <si>
    <t>Honor, Glory, Sushi</t>
  </si>
  <si>
    <t>Journey Through Japan By Train</t>
  </si>
  <si>
    <t>Magic Beans</t>
  </si>
  <si>
    <t>Silk Road</t>
  </si>
  <si>
    <t>Spicy Odyssey</t>
  </si>
  <si>
    <t>Treasure Island</t>
  </si>
  <si>
    <t>Undead Revenge</t>
  </si>
  <si>
    <t>Ahead of Time</t>
  </si>
  <si>
    <t>Build the Guild</t>
  </si>
  <si>
    <t>Build the Pagoda</t>
  </si>
  <si>
    <t>Dragon teeth</t>
  </si>
  <si>
    <t>Once Upon a Forest</t>
  </si>
  <si>
    <t>Quest for Knowledge</t>
  </si>
  <si>
    <t>Shogun's Katana</t>
  </si>
  <si>
    <t>The Ordinary Days of an Adventurer</t>
  </si>
  <si>
    <t>The Ring of the Dark Lady</t>
  </si>
  <si>
    <t>WANTED</t>
  </si>
  <si>
    <t>Festival of Beans</t>
  </si>
  <si>
    <t>ahead_of_time_chapter_1</t>
  </si>
  <si>
    <t>ahead_of_time_chapter_2</t>
  </si>
  <si>
    <t>ahead_of_time_chapter_3</t>
  </si>
  <si>
    <t>ahead_of_time_chapter_4</t>
  </si>
  <si>
    <t>ahead_of_time_chapter_5</t>
  </si>
  <si>
    <t>build_the_guild</t>
  </si>
  <si>
    <t>build_the_pagoda</t>
  </si>
  <si>
    <t>culinary_battle</t>
  </si>
  <si>
    <t>dragon_teeth</t>
  </si>
  <si>
    <t>festival_returns</t>
  </si>
  <si>
    <t>festival_of_beans</t>
  </si>
  <si>
    <t>green_potion</t>
  </si>
  <si>
    <t>honor_glory_sushi</t>
  </si>
  <si>
    <t>journey_through_japan_by_train</t>
  </si>
  <si>
    <t>magic_beans</t>
  </si>
  <si>
    <t>once_upon_a_forest_chapter_1</t>
  </si>
  <si>
    <t>once_upon_a_forest_chapter_2</t>
  </si>
  <si>
    <t>once_upon_a_forest_chapter_3</t>
  </si>
  <si>
    <t>once_upon_a_forest_chapter_4</t>
  </si>
  <si>
    <t>once_upon_a_forest_chapter_5</t>
  </si>
  <si>
    <t>once_upon_a_forest_chapter_6</t>
  </si>
  <si>
    <t>once_upon_a_forest_chapter_7</t>
  </si>
  <si>
    <t>once_upon_a_forest_chapter_8</t>
  </si>
  <si>
    <t>quest_for_knowledge_chapter_1</t>
  </si>
  <si>
    <t>quest_for_knowledge_chapter_2</t>
  </si>
  <si>
    <t>quest_for_knowledge_chapter_3</t>
  </si>
  <si>
    <t>quest_for_knowledge_chapter_4</t>
  </si>
  <si>
    <t>quest_for_knowledge_chapter_5</t>
  </si>
  <si>
    <t>shoguns_katana_chapter_1</t>
  </si>
  <si>
    <t>shoguns_katana_chapter_2</t>
  </si>
  <si>
    <t>shoguns_katana_chapter_3</t>
  </si>
  <si>
    <t>shoguns_katana_chapter_4</t>
  </si>
  <si>
    <t>shoguns_katana_chapter_5</t>
  </si>
  <si>
    <t>shoguns_katana_chapter_6</t>
  </si>
  <si>
    <t>shoguns_katana_chapter_7</t>
  </si>
  <si>
    <t>silk_road</t>
  </si>
  <si>
    <t>spicy_odyssey</t>
  </si>
  <si>
    <t>the_ordinary_days_of_an_adventurer_chapter_1</t>
  </si>
  <si>
    <t>the_ordinary_days_of_an_adventurer_chapter_2</t>
  </si>
  <si>
    <t>the_ordinary_days_of_an_adventurer_chapter_3</t>
  </si>
  <si>
    <t>the_ordinary_days_of_an_adventurer_chapter_4</t>
  </si>
  <si>
    <t>the_ordinary_days_of_an_adventurer_chapter_5</t>
  </si>
  <si>
    <t>the_ordinary_days_of_an_adventurer_chapter_6</t>
  </si>
  <si>
    <t>the_ordinary_days_of_an_adventurer_chapter_7</t>
  </si>
  <si>
    <t>the_ordinary_days_of_an_adventurer_chapter_8</t>
  </si>
  <si>
    <t>the_ring_of_the_dark_lady</t>
  </si>
  <si>
    <t>treasure_island</t>
  </si>
  <si>
    <t>undead_revenge</t>
  </si>
  <si>
    <t>once_upon_a_forest_chapter_9</t>
  </si>
  <si>
    <t>once_upon_a_forest_chapter_10</t>
  </si>
  <si>
    <t>once_upon_a_forest_chapter_11</t>
  </si>
  <si>
    <t>once_upon_a_forest_chapter_12</t>
  </si>
  <si>
    <t>once_upon_a_forest_chapter_13</t>
  </si>
  <si>
    <t>once_upon_a_forest_chapter_14</t>
  </si>
  <si>
    <t>once_upon_a_forest_chapter_15</t>
  </si>
  <si>
    <t>Cost</t>
  </si>
  <si>
    <t>Reward</t>
  </si>
  <si>
    <t>Note</t>
  </si>
  <si>
    <t>Canon_token</t>
  </si>
  <si>
    <t>State_token</t>
  </si>
  <si>
    <t>pbr:1,horn:1,pa:1,pasta:1,bedroll:1,yuba:1,pizza:2</t>
  </si>
  <si>
    <t>miron:50,cinnabar:50,apy:50,xp:20000</t>
  </si>
  <si>
    <t>Requires completing Magic Beans (quest) and completing at least on project. Items have to be traded in specific dungeon levels for MALU.</t>
  </si>
  <si>
    <t>requires completing the quest: magic beans | req.complete_project: any&gt;=1 | req.trade_for: malu</t>
  </si>
  <si>
    <t>ingot:80,diamond:5,vintcheese:5,xp:20000</t>
  </si>
  <si>
    <t>Requires completing previous chapter and visiting dungeon 6A.</t>
  </si>
  <si>
    <t>requires completing the quest: Ahead of Time Chapter I |
req.visit:6A</t>
  </si>
  <si>
    <t>QUEST_COMPLETE:Ahead of Time Chapter I</t>
  </si>
  <si>
    <t>drum:20,bedroll:20,mspider:10,xp:20000</t>
  </si>
  <si>
    <t>Requires completing previous chapter.</t>
  </si>
  <si>
    <t>requires completing the quest: Ahead of Time Chapter II</t>
  </si>
  <si>
    <t>QUEST_COMPLETE:Ahead of Time Chapter II</t>
  </si>
  <si>
    <t>tuna:10,soy:10,anchor:10,xp:20000</t>
  </si>
  <si>
    <t>requires completing the quest: Ahead of Time Chapter III</t>
  </si>
  <si>
    <t>QUEST_COMPLETE:Ahead of Time Chapter III</t>
  </si>
  <si>
    <t>pizza:10,cake:10,smoothie2:10,xp:20000</t>
  </si>
  <si>
    <t>requires completing the quest: Ahead of Time Chapter IV</t>
  </si>
  <si>
    <t>QUEST_COMPLETE:Ahead of Time Chapter IV</t>
  </si>
  <si>
    <t>ingot:40,sushi:5</t>
  </si>
  <si>
    <t>Requires building the Guild (building) to maximum level.</t>
  </si>
  <si>
    <t>ingot:40,treasure:40,sushi:10</t>
  </si>
  <si>
    <t>Requires building the Pagoda to maximum level.</t>
  </si>
  <si>
    <t>onigiri:2,flatbread:2,cherrybun:2,bento:2,fried:2,sushi:2,ramen:2,curry:2,cake:2,baklava:2,poke:2,marinated:2,teriyaki:2,mayo:2</t>
  </si>
  <si>
    <t>coin:500,soy:5,pa:3,xp:15000</t>
  </si>
  <si>
    <t>Requires visiting dungeon 4A.</t>
  </si>
  <si>
    <t>req.meet:Fat demon@4A</t>
  </si>
  <si>
    <t>kunai:10,greek:10,pbr:3,xp:15000</t>
  </si>
  <si>
    <t>Requires visiting dungeon 4C.</t>
  </si>
  <si>
    <t>req.meet: old man@4C</t>
  </si>
  <si>
    <t>kimono:5,firework:10,sushi:10,ramen:5,cake:5,honey:5</t>
  </si>
  <si>
    <t>ruby:5,dinar:200,glass:10,xp:15000</t>
  </si>
  <si>
    <t>Requires Bridge and enough storage capacity to hold 10 Fireworks.</t>
  </si>
  <si>
    <t>bridge lvl. 1
req.capacity:firework&gt;=10</t>
  </si>
  <si>
    <t>kimono:10,firework:10,drum:10,onigiri:10,cherrybun:10,bento:10,poke:10,baklava:20,smoothie:10</t>
  </si>
  <si>
    <t>ruby:5,dinar:300,glass:20,xp:20000</t>
  </si>
  <si>
    <t>Requires Airship and completion of Festival quest.</t>
  </si>
  <si>
    <t>airship lvl. 1
requires completing the quest:festival</t>
  </si>
  <si>
    <t>BUILDING_LVL:airship@1 | QUEST_COMPLETE:festival</t>
  </si>
  <si>
    <t>soybean:100,kimono:10,firework:10,natto:10,tofu:10,inarizushi:10,yuba:10,soy:10,misosoup:10,sushi:10,amazake:20</t>
  </si>
  <si>
    <t>ruby:5,ingot:25,glass:25,xp:20000</t>
  </si>
  <si>
    <t>Requires Fermentory lvl. 6 and completion of previous festival quests.</t>
  </si>
  <si>
    <t>fermentory lvl. 6
requires completing the quest festival returns</t>
  </si>
  <si>
    <t>BUILDING_LVL:fermentory@6 | QUEST_COMPLETE:festival returns</t>
  </si>
  <si>
    <t>reagent:2</t>
  </si>
  <si>
    <t>coin:200,poh:5,poe:5</t>
  </si>
  <si>
    <t>This quest unlocks upon visiting 1B. Requires visiting 3A to get Reagent.</t>
  </si>
  <si>
    <t>req.meet: traveling merchant @1B</t>
  </si>
  <si>
    <t>dinar:200,mortar:10,btram:5,xp:15000</t>
  </si>
  <si>
    <t>Requires Bridge.</t>
  </si>
  <si>
    <t>drum:35,soy:25,anchor:15,xp:25000</t>
  </si>
  <si>
    <t>This quest becomes available upon investing items into the Train Station.</t>
  </si>
  <si>
    <t>tofu:1,inarizushi:1,teriyaki:1</t>
  </si>
  <si>
    <t>soybean:1,xp:15000</t>
  </si>
  <si>
    <t>Visit dungeon 4A. Unlocks Fermentory after completing the quest.</t>
  </si>
  <si>
    <t>req.visit:4A|requires completing The Ring of the Dark Lady|dungeon lvl.5</t>
  </si>
  <si>
    <t>QUEST_COMPLETE:the ring of the dark lady | BUILDING_LVL:dungeon@5</t>
  </si>
  <si>
    <t>xp:5000</t>
  </si>
  <si>
    <t>Requires visiting dungeon 2B and 2C.</t>
  </si>
  <si>
    <t>req.meet:mech_adventurer@2B</t>
  </si>
  <si>
    <t>Requires completing dungeon F1.</t>
  </si>
  <si>
    <t>requires completing the quest: Once Upon a Forest Chapter I |req.meet: Raven@F1</t>
  </si>
  <si>
    <t>QUEST_COMPLETE:Once Upon a Forest Chapter I</t>
  </si>
  <si>
    <t>xp:10000</t>
  </si>
  <si>
    <t>Requires completing F1, F2, F3 and F4.</t>
  </si>
  <si>
    <t>requires completing the quest Once Upon a Forest Chapter II</t>
  </si>
  <si>
    <t>QUEST_COMPLETE:once upon a forest chapter ii</t>
  </si>
  <si>
    <t>accept_reward:egg:1| reward:xp:5000</t>
  </si>
  <si>
    <t>Requires visting 3C, 4C and 5C| after visiting F1 for the second time.</t>
  </si>
  <si>
    <t>req.repeat_visit: F1@2|
requires completing the quest: Once Upon a Forest Chapter III</t>
  </si>
  <si>
    <t>cup:2,smoothie2:2,silk:2,thread:4</t>
  </si>
  <si>
    <t>bedroll:2,xp:5000</t>
  </si>
  <si>
    <t>This chapter unlocks upon visting F2.</t>
  </si>
  <si>
    <t>req.meet:Mrs Diligance@F2
requires completing the quest: Once Upon a Forest Chapter IV</t>
  </si>
  <si>
    <t>QUEST_COMPLETE:Once Upon a Forest Chapter IV</t>
  </si>
  <si>
    <t>accept_reward:herbs:1; reward:poh2:1,xp:5000</t>
  </si>
  <si>
    <t>This chapter unlocks upon visting F2 for the second time.</t>
  </si>
  <si>
    <t>req.meet:forest fairy@F2 after accepting chapter V
requires accepting the quest: Once Upon a Forest Chapter V</t>
  </si>
  <si>
    <t>QUEST_ACCEPT:Once Upon a Forest Chapter V</t>
  </si>
  <si>
    <t>grimoire:1,xp:5000</t>
  </si>
  <si>
    <t>This chapter unlocks upon visiting F2 again| after chapter VI is concluded.</t>
  </si>
  <si>
    <t>req.meet: dark lady@F2 | requires completing the quest Once Upon a Forest Chapter VI</t>
  </si>
  <si>
    <t>QUEST_COMPLETE:once upon a forest chapter vi</t>
  </si>
  <si>
    <t>wheat:10,rice:10,coin:1000</t>
  </si>
  <si>
    <t>This chapter unlocks upon visiting F3 again and completing the last chapter.</t>
  </si>
  <si>
    <t>req.meet: Raven@F3 | requires completing the quest Once Upon a Forest Chapter VII</t>
  </si>
  <si>
    <t>QUEST_COMPLETE:once upon a forest chapter vii</t>
  </si>
  <si>
    <t>accept_reward:blueprint:1; reward:xp:10000</t>
  </si>
  <si>
    <t>This chapter unlocks upon completing the previous chapter. Requires finding Salamander hide, Titanium and crafting Armor for a hero lvl. 4.</t>
  </si>
  <si>
    <t>requires completing the quest Once Upon a Forest Chapter VIII | req.meet:inventor@5B</t>
  </si>
  <si>
    <t>QUEST_COMPLETE:once upon a forest chapter viii</t>
  </si>
  <si>
    <t>This chapter unlocks upon accepting the previous chapter, visiting F1 and finding the hunter. Requires bringing Balm to the hunter.</t>
  </si>
  <si>
    <t>req.visit:F1| req.deliver_item:balm to hunter @F3 | requires accepting the quest Once Upon a Forest Chapter IX</t>
  </si>
  <si>
    <t>QUEST_ACCEPT:once upon a forest chapter ix</t>
  </si>
  <si>
    <t>accept_reward:tparts:1| reward:xp:5000</t>
  </si>
  <si>
    <t>Requires visiting Melbourne with the Airship.</t>
  </si>
  <si>
    <t>req.meet: pilot@F3 | requires accepting the quest Once Upon a Forest Chapter X</t>
  </si>
  <si>
    <t>QUEST_ACCEPT:once upon a forest chapter x</t>
  </si>
  <si>
    <t>This chapter unlocks upon completing chapter III and visiting F1. Requires completing F1, F2, F3 and F4 again (each completed level rewards 1x Punced card).</t>
  </si>
  <si>
    <t>req.meet: Mr Diligence@F1|requires completing the quest Once upon a forest Chapter III | requires accepting the quest Once Upon a Forest Chapter Xi |</t>
  </si>
  <si>
    <t>QUEST_COMPLETE:once upon a forest chapter iii | QUEST_ACCEPT:once upon a forest chapter xi</t>
  </si>
  <si>
    <t>muffin:10,baklava:10,cake:5,jam:5,honey:5,mcola:10</t>
  </si>
  <si>
    <t>ruby:5,strawberry:30,porcini:10,xp:10000</t>
  </si>
  <si>
    <t>This chapter unlocks upon accepting Chapter XII and visiting F2?</t>
  </si>
  <si>
    <t>req.meet:foodie demon@F2 | requires accepting the quest Once Upon a Forest Chapter XII</t>
  </si>
  <si>
    <t>QUEST_ACCEPT:once upon a forest chapter xii</t>
  </si>
  <si>
    <t>This chapter unlocks upon completing Chapter XII. Requires crafting Solver-1 prototype (craftifact).</t>
  </si>
  <si>
    <t>requires completing the quest Once Upon a Forest Chapter XII</t>
  </si>
  <si>
    <t>QUEST_COMPLETE:once upon a forest chapter xii</t>
  </si>
  <si>
    <t>xp:10000,pog:1,hide:1,teeth:1,mspider:1,pa:1,spices:1,scroll:1,ring4p:1</t>
  </si>
  <si>
    <t>This chapter unlocks upon completing Chapter XIV. Requires visiting F1, then F2 and interacting with all creatures.</t>
  </si>
  <si>
    <t>requires completing the quest Once Upon a Forest Chapter XIV | req.meet: Raven@F1</t>
  </si>
  <si>
    <t>QUEST_COMPLETE:once upon a forest chapter xiv</t>
  </si>
  <si>
    <t>xp:2000</t>
  </si>
  <si>
    <t>Requires Dungeon.</t>
  </si>
  <si>
    <t>Dungeon lvl. 1</t>
  </si>
  <si>
    <t>BUILDING_LVL:Dungeon@1</t>
  </si>
  <si>
    <t>Requires completion of previous chapter.</t>
  </si>
  <si>
    <t>requires completing the quest Quest for Knowledge Chapter I</t>
  </si>
  <si>
    <t>QUEST_COMPLETE:quest for knowledge chapter i</t>
  </si>
  <si>
    <t>Requires completion of Chapter I.</t>
  </si>
  <si>
    <t>xp:15000</t>
  </si>
  <si>
    <t>Requires completing an expedition with Catacombs map.</t>
  </si>
  <si>
    <t>req.expedition_map:catacombs</t>
  </si>
  <si>
    <t>ruby:10,honey:10,avocado:10,xp:20000</t>
  </si>
  <si>
    <t>Requires Airship.</t>
  </si>
  <si>
    <t>airship lvl. 1</t>
  </si>
  <si>
    <t>map2:1</t>
  </si>
  <si>
    <t>xp:1000</t>
  </si>
  <si>
    <t>Requires finding an artifact.</t>
  </si>
  <si>
    <t>req.obtain_item:any artifact</t>
  </si>
  <si>
    <t>map3:1</t>
  </si>
  <si>
    <t>requires completing the quest Shogun's Katana Chapter I</t>
  </si>
  <si>
    <t>QUEST_COMPLETE:shogun's katana chapter i</t>
  </si>
  <si>
    <t>mapsmug:1</t>
  </si>
  <si>
    <t>xp:3000</t>
  </si>
  <si>
    <t>Requires buying, mounting and completing the expedition.</t>
  </si>
  <si>
    <t>requires completing the quest Shogun's Katana Chapter II</t>
  </si>
  <si>
    <t>QUEST_COMPLETE:shogun's katana chapter ii</t>
  </si>
  <si>
    <t>xp:4000</t>
  </si>
  <si>
    <t>requires completing the quest Shogun's Katana Chapter III</t>
  </si>
  <si>
    <t>QUEST_COMPLETE:shogun's katana chapter iii</t>
  </si>
  <si>
    <t>map4:1</t>
  </si>
  <si>
    <t>xp:6000</t>
  </si>
  <si>
    <t>Requires collecting map fragments, crafting, mounting and completing the expedition.</t>
  </si>
  <si>
    <t>requires completing the quest Shogun's Katana Chapter V</t>
  </si>
  <si>
    <t>QUEST_COMPLETE:shogun's katana chapter v</t>
  </si>
  <si>
    <t>xp:7000</t>
  </si>
  <si>
    <t>Requires collecting map fragments, crafting, mounting and completing the expedition. It also requires completing the previous quest.</t>
  </si>
  <si>
    <t>requires completing the quest Shogun's Katana Chapter V| requires completing the quest Shogun's Katana Chapter VI</t>
  </si>
  <si>
    <t>QUEST_COMPLETE:shogun's katana chapter v | QUEST_COMPLETE:shogun's katana chapter vi</t>
  </si>
  <si>
    <t>silk:10,map2:1,map3:1,xp:15000</t>
  </si>
  <si>
    <t>Requires bridge lvl. 1.</t>
  </si>
  <si>
    <t>anchor:1,mortar:5,bomb:10,xp:5000</t>
  </si>
  <si>
    <t>Requires Ship lvl. 1</t>
  </si>
  <si>
    <t>Ship lvl. 1</t>
  </si>
  <si>
    <t>BUILDING_LVL:Ship@1</t>
  </si>
  <si>
    <t>herbs:20,katana:50,grimoire:10,xp:10000</t>
  </si>
  <si>
    <t>This chapter becomes available upon meeting Methusalem in F3. To find the quest giver in F3 Sword lvl. 4, Shield lvl. 4 and Armor lvl. 4 technologies have to be learned and Once Upon a Forest quest: Chapter XII must be completed.</t>
  </si>
  <si>
    <t>req.meet:methusalem@F3| | Sword for a hero lvl. 4 | shield for a hero lvl. 4 | Armor for a hero lvl. 4 | requires completing the quest Once upon a forest chapter XII</t>
  </si>
  <si>
    <t>TECH:Sword for a hero lvl. 4 | TECH:shield for a hero lvl. 4 | TECH:Armor for a hero lvl. 4 | QUEST_COMPLETE:once upon a forest chapter xii</t>
  </si>
  <si>
    <t>bamboo:25,soy:5,inarizushi:3</t>
  </si>
  <si>
    <t>zenfountain:5,xp:10000</t>
  </si>
  <si>
    <t>This chapter becomes available upon meeting Samurai panda in 6A.</t>
  </si>
  <si>
    <t>req.meet:samurai_panda@6A | requires completing the quest Once upon a forest chapter XII</t>
  </si>
  <si>
    <t>firework:15,pa:10,pbr:10,xp:10000</t>
  </si>
  <si>
    <t>This chapter becomes available upon meeting Dark lady in 6A. Chapter II must be concluded.</t>
  </si>
  <si>
    <t>req.repeat_visit: 6A@3 | req.meet:dark_lady@6A| requires completing The Ordinary Days of an Adventurer chapter II</t>
  </si>
  <si>
    <t>QUEST_COMPLETE:the ordinary days of an adventurer chapter ii</t>
  </si>
  <si>
    <t>xp:20000</t>
  </si>
  <si>
    <t>This chapter becomes available upon meeting Dark lady in 6B (second visit). Chatper II might needs to be completed first.</t>
  </si>
  <si>
    <t>req.meet:dark_lady@6B|requires completing The Ordinary Days of an Adventurer chapter III</t>
  </si>
  <si>
    <t>QUEST_COMPLETE:the ordinary days of an adventurer chapter iii</t>
  </si>
  <si>
    <t>flour:150,egg:30,salmon:20,dates:20,oil:20</t>
  </si>
  <si>
    <t>goat:1,xp:10000</t>
  </si>
  <si>
    <t>This chapter becomes available after accepting chapter IV and re-entering guild.</t>
  </si>
  <si>
    <t>requires accepting quest: The Ordinary Days of an Adventurer chapter IV | req.action:reenter_guild</t>
  </si>
  <si>
    <t>QUEST_ACCEPT:The Ordinary Days of an Adventurer chapter IV</t>
  </si>
  <si>
    <t>vintcheese:1</t>
  </si>
  <si>
    <t>This chapter becomes available after going to 6B while having the Dairy lvl. 2.</t>
  </si>
  <si>
    <t>req.visit: 6B after building Dairy LVL 2 |dairy lvl. 2</t>
  </si>
  <si>
    <t>BUILDING_LVL:dairy@2</t>
  </si>
  <si>
    <t>treasure:30,honey:20,spices:10,xp:30000</t>
  </si>
  <si>
    <t>This chapter unlocks after completing Chapter IV: Full set.</t>
  </si>
  <si>
    <t>requires completing the quest The Ordinary Days of an Adventurer Chapter IV</t>
  </si>
  <si>
    <t>QUEST_COMPLETE:the ordinary days of an adventurer chapter iv</t>
  </si>
  <si>
    <t>vintcheese:5,steamobile:10,diamond:3,xp:20000</t>
  </si>
  <si>
    <t>This chapter unlocks upon interacting with the Dark Lady (with yellow exclamation mark above) in 6B. Requires completing the previous chapter?</t>
  </si>
  <si>
    <t>req.meet:Dark Lady@6B | requires completing the quest The Ordinary Days of an Adventurer Chapter VII</t>
  </si>
  <si>
    <t>QUEST_COMPLETE:the ordinary days of an adventurer chapter vii</t>
  </si>
  <si>
    <t>blueprint:1,xp:15000</t>
  </si>
  <si>
    <t>Requires completing quest Dragon teeth and visiting 4A.</t>
  </si>
  <si>
    <t>requires completing the quest dragon teeth |req.meet: dark lady@4A</t>
  </si>
  <si>
    <t>QUEST_COMPLETE:dragon teeth</t>
  </si>
  <si>
    <t>accept_reward:mapf3:1| reward:ruby:5,pearl:5,treasure:3,xp:5000</t>
  </si>
  <si>
    <t>This quest becomes available upon meeting a Pirate skeleton in dungeon 3A. Black pearl (artifact) must first be acquired and Spicy Odyssey (quest) must first be completed. Requires visiting Treasure Island (new Ship route) and coming back with a Treasure.</t>
  </si>
  <si>
    <t>req.meet:Pirate_skeleton@3A| requires completing the quest Shogun's Katana Chapter IV |requires completing the quest spicy odyssey |req.ship_route: treasure_island| req.obtain_item:treasure|req.expedition_map:Smugglers map</t>
  </si>
  <si>
    <t>QUEST_COMPLETE:shogun's katana chapter iv | QUEST_COMPLETE:spicy odyssey</t>
  </si>
  <si>
    <t>treasure:20,soy:20,page:20,xp:20000</t>
  </si>
  <si>
    <t>requires completing the quest Dragon Teeth| req.complete_dungeon:5C | req.visit:5A after completing 5C</t>
  </si>
  <si>
    <t>xp:50</t>
  </si>
  <si>
    <t>coin:3-21</t>
  </si>
  <si>
    <t>Depends on Guild level, Onsen lvl. 1 and Oil lamp artifact - each increases it by 3 x Coin.</t>
  </si>
  <si>
    <t>wood:4,sushi:1,fan:3,arrows:3,katana:1,shuriken:3,boomerang:3,petard:1</t>
  </si>
  <si>
    <t>Not a guarenteed drop (one of eight possible rewards).</t>
  </si>
  <si>
    <t>QuestGroup</t>
  </si>
  <si>
    <t>CitadelID</t>
  </si>
  <si>
    <t>CitadelName</t>
  </si>
  <si>
    <t>Armory</t>
  </si>
  <si>
    <t>Attic</t>
  </si>
  <si>
    <t>Courtyard</t>
  </si>
  <si>
    <t>Gallery</t>
  </si>
  <si>
    <t>Great hall</t>
  </si>
  <si>
    <t>Kitchen and buttery</t>
  </si>
  <si>
    <t>Lair lvl. 1</t>
  </si>
  <si>
    <t>Lair lvl. 2</t>
  </si>
  <si>
    <t>Mushroom farm</t>
  </si>
  <si>
    <t>Orangery</t>
  </si>
  <si>
    <t>Pantry</t>
  </si>
  <si>
    <t>Tavern</t>
  </si>
  <si>
    <t>Treasury</t>
  </si>
  <si>
    <t>Cheese Cave</t>
  </si>
  <si>
    <t>Mushroom Farm</t>
  </si>
  <si>
    <t>Kitchen and Buttery</t>
  </si>
  <si>
    <t>softcheese</t>
  </si>
  <si>
    <t>Great hall | Requires completing Once Upon a Forest Chapter XV</t>
  </si>
  <si>
    <t>Collection / Capacity +50%</t>
  </si>
  <si>
    <t>TECH:Great hall | QUEST_COMPLETE:once upon a forest chapter xv</t>
  </si>
  <si>
    <t>500 beam,500 coin,15 page,3 ruby,100 steel,500 stone</t>
  </si>
  <si>
    <t>Great hall | Dungeon lvl. 5</t>
  </si>
  <si>
    <t>TECH:Great hall | BUILDING_LVL:Dungeon@5</t>
  </si>
  <si>
    <t>400 beam,400 coin,10 page,2 ruby,400 stone</t>
  </si>
  <si>
    <t>Great hall | Requires accepting Ordinary Days of an adventurer Chapter VI</t>
  </si>
  <si>
    <t>Allows production of vintcheese</t>
  </si>
  <si>
    <t>TECH:Great hall | QUEST_ACCEPT:ordinary days of an adventurer chapter vi</t>
  </si>
  <si>
    <t>1000 coin,10 enzyme,5 grimoire,600 plank,5 ruby,10 softcheese,100 stone</t>
  </si>
  <si>
    <t>Collection / Doctor +1</t>
  </si>
  <si>
    <t>500 beam,500 coin,15 page,3 ruby,500 stone</t>
  </si>
  <si>
    <t>Collections / Mental +10</t>
  </si>
  <si>
    <t>Citadel</t>
  </si>
  <si>
    <t>600 beam,800 coin,20 page,5 ruby,600 stone</t>
  </si>
  <si>
    <t>Great hall | Dungeon lvl. 4</t>
  </si>
  <si>
    <t>Collection / Capacity +50% / Mental +10</t>
  </si>
  <si>
    <t>TECH:Great hall | BUILDING_LVL:Dungeon@4</t>
  </si>
  <si>
    <t>Great hall | Dungeon lvl. 5 | req.taming: a critter</t>
  </si>
  <si>
    <t>Nursery size +2</t>
  </si>
  <si>
    <t>TECH:Great hall | BUILDING_LVL:Dungeon@5 | STATE:TAME:a critter</t>
  </si>
  <si>
    <t>200 crypto,17 grimoire,10 inarizushi,5 ruby,3 treasure,300 wood</t>
  </si>
  <si>
    <t>Lair lvl.1</t>
  </si>
  <si>
    <t>400 crypto,19 grimoire,20 inarizushi,10 ruby,6 treasure,600 wood</t>
  </si>
  <si>
    <t>Great hall | Dungeon lvl. 3</t>
  </si>
  <si>
    <t>/ Every day brings: / mushrooms</t>
  </si>
  <si>
    <t>TECH:Great hall | BUILDING_LVL:Dungeon@3</t>
  </si>
  <si>
    <t>Great Hall | Dungeon lvl. 3</t>
  </si>
  <si>
    <t>/ Every day brings: / cherry</t>
  </si>
  <si>
    <t>TECH:Great Hall | BUILDING_LVL:Dungeon@3</t>
  </si>
  <si>
    <t>Collection / Energy +1</t>
  </si>
  <si>
    <t>Collections / Capacity +200%</t>
  </si>
  <si>
    <t>600 beam,600 coin,20 page,3 ruby,300 steel,600 stone</t>
  </si>
  <si>
    <t>CollectionID</t>
  </si>
  <si>
    <t>CollectionName</t>
  </si>
  <si>
    <t>armory_1</t>
  </si>
  <si>
    <t>armory_2</t>
  </si>
  <si>
    <t>attic</t>
  </si>
  <si>
    <t>courtyard_1</t>
  </si>
  <si>
    <t>courtyard_2</t>
  </si>
  <si>
    <t>gallery_1</t>
  </si>
  <si>
    <t>gallery_2</t>
  </si>
  <si>
    <t>gallery_3</t>
  </si>
  <si>
    <t>historical_library_1</t>
  </si>
  <si>
    <t>historical_library_2</t>
  </si>
  <si>
    <t>horse</t>
  </si>
  <si>
    <t>kitchen_and_buttery_1</t>
  </si>
  <si>
    <t>kitchen_and_buttery_2</t>
  </si>
  <si>
    <t>mushroom_farm</t>
  </si>
  <si>
    <t>orangery</t>
  </si>
  <si>
    <t>pantry_1</t>
  </si>
  <si>
    <t>pantry_2</t>
  </si>
  <si>
    <t>pantry_3</t>
  </si>
  <si>
    <t>pantry_4</t>
  </si>
  <si>
    <t>statue</t>
  </si>
  <si>
    <t>tavern</t>
  </si>
  <si>
    <t>treasury_1</t>
  </si>
  <si>
    <t>treasury_2</t>
  </si>
  <si>
    <t>treasury_3</t>
  </si>
  <si>
    <t>Armory #1</t>
  </si>
  <si>
    <t>Armory #2</t>
  </si>
  <si>
    <t>Courtyard #1</t>
  </si>
  <si>
    <t>Courtyard #2</t>
  </si>
  <si>
    <t>Gallery #1</t>
  </si>
  <si>
    <t>Gallery #2</t>
  </si>
  <si>
    <t>Gallery #3</t>
  </si>
  <si>
    <t>Historical library #1</t>
  </si>
  <si>
    <t>Historical library #2</t>
  </si>
  <si>
    <t>Horse</t>
  </si>
  <si>
    <t>Kitchen and buttery #1</t>
  </si>
  <si>
    <t>Kitchen and buttery #2</t>
  </si>
  <si>
    <t>Pantry #1</t>
  </si>
  <si>
    <t>Pantry #2</t>
  </si>
  <si>
    <t>Pantry #3</t>
  </si>
  <si>
    <t>Pantry #4</t>
  </si>
  <si>
    <t>Statue</t>
  </si>
  <si>
    <t>Treasury #1</t>
  </si>
  <si>
    <t>Treasury #2</t>
  </si>
  <si>
    <t>Treasury #3</t>
  </si>
  <si>
    <t>Armory | Requires completing The Ordinary Days of an Adventurer Chapter VII</t>
  </si>
  <si>
    <t>Courtyard | requires completing The Ordinary Days of an Adventurer Chapter VII</t>
  </si>
  <si>
    <t xml:space="preserve">Gallery | requires completing The Ordinary Days of an Adventurer Chapter VII </t>
  </si>
  <si>
    <t>Great hall | Historical Library</t>
  </si>
  <si>
    <t xml:space="preserve">Great hall | Requires  completing Once Upon a Forest Chapter II </t>
  </si>
  <si>
    <t>Pantry | requires completing  The Ordinary Days of an Adventurer Chapter VII</t>
  </si>
  <si>
    <t>Treasury | Requires completing The Ordinary Days of an Adventurer Chapter VII</t>
  </si>
  <si>
    <t>CITADEL:Armory</t>
  </si>
  <si>
    <t>CITADEL:Armory | QUEST_COMPLETE:the ordinary days of an adventurer chapter vii</t>
  </si>
  <si>
    <t>CITADEL:Attic</t>
  </si>
  <si>
    <t>CITADEL:Courtyard | QUEST_COMPLETE:the ordinary days of an adventurer chapter vii</t>
  </si>
  <si>
    <t>CITADEL:Gallery</t>
  </si>
  <si>
    <t>CITADEL:Gallery | QUEST_COMPLETE:the ordinary days of an adventurer chapter vii</t>
  </si>
  <si>
    <t>CITADEL:Great hall | CRAFTIFACT:Historical Library</t>
  </si>
  <si>
    <t>CITADEL:Great hall</t>
  </si>
  <si>
    <t>CITADEL:Great hall | QUEST_COMPLETE:once upon a forest chapter ii</t>
  </si>
  <si>
    <t>CITADEL:Kitchen and buttery</t>
  </si>
  <si>
    <t>CITADEL:Mushroom farm</t>
  </si>
  <si>
    <t>CITADEL:Orangery</t>
  </si>
  <si>
    <t>CITADEL:Pantry</t>
  </si>
  <si>
    <t>CITADEL:Pantry | QUEST_COMPLETE:the ordinary days of an adventurer chapter vii</t>
  </si>
  <si>
    <t>CITADEL:Tavern</t>
  </si>
  <si>
    <t>CITADEL:Treasury</t>
  </si>
  <si>
    <t>CITADEL:Treasury | QUEST_COMPLETE:the ordinary days of an adventurer chapter vii</t>
  </si>
  <si>
    <t>armor1</t>
  </si>
  <si>
    <t>armor2</t>
  </si>
  <si>
    <t>armor3</t>
  </si>
  <si>
    <t>armor4p</t>
  </si>
  <si>
    <t>avocado</t>
  </si>
  <si>
    <t>bamboo.2</t>
  </si>
  <si>
    <t>bamboo.3</t>
  </si>
  <si>
    <t>cake</t>
  </si>
  <si>
    <t>cherry</t>
  </si>
  <si>
    <t>cherry.2</t>
  </si>
  <si>
    <t>cherry.3</t>
  </si>
  <si>
    <t>cherry.4</t>
  </si>
  <si>
    <t>cherry.5</t>
  </si>
  <si>
    <t>cherry.6</t>
  </si>
  <si>
    <t>coin.2</t>
  </si>
  <si>
    <t>cup</t>
  </si>
  <si>
    <t>dates</t>
  </si>
  <si>
    <t>dinar</t>
  </si>
  <si>
    <t>firework</t>
  </si>
  <si>
    <t>fried</t>
  </si>
  <si>
    <t>gegg</t>
  </si>
  <si>
    <t>gegg.2</t>
  </si>
  <si>
    <t>herbs.2</t>
  </si>
  <si>
    <t>herbs.3</t>
  </si>
  <si>
    <t>isand</t>
  </si>
  <si>
    <t>map1</t>
  </si>
  <si>
    <t>map2</t>
  </si>
  <si>
    <t>map3</t>
  </si>
  <si>
    <t>mcola</t>
  </si>
  <si>
    <t>mushrooms</t>
  </si>
  <si>
    <t>mushrooms.2</t>
  </si>
  <si>
    <t>mushrooms.3</t>
  </si>
  <si>
    <t>mushrooms.4</t>
  </si>
  <si>
    <t>mushrooms.5</t>
  </si>
  <si>
    <t>mushrooms.6</t>
  </si>
  <si>
    <t>pasta</t>
  </si>
  <si>
    <t>plank.2</t>
  </si>
  <si>
    <t>plank.3</t>
  </si>
  <si>
    <t>plank.4</t>
  </si>
  <si>
    <t>plank.5</t>
  </si>
  <si>
    <t>plank.6</t>
  </si>
  <si>
    <t>plank.7</t>
  </si>
  <si>
    <t>plank.8</t>
  </si>
  <si>
    <t>pog</t>
  </si>
  <si>
    <t>porcini</t>
  </si>
  <si>
    <t>ring2</t>
  </si>
  <si>
    <t>ring3</t>
  </si>
  <si>
    <t>ring4</t>
  </si>
  <si>
    <t>ring4p</t>
  </si>
  <si>
    <t>shield1</t>
  </si>
  <si>
    <t>shield2</t>
  </si>
  <si>
    <t>shield4p</t>
  </si>
  <si>
    <t>shuriken</t>
  </si>
  <si>
    <t>smoothie2</t>
  </si>
  <si>
    <t>spikes</t>
  </si>
  <si>
    <t>stone.2</t>
  </si>
  <si>
    <t>strawberry.2</t>
  </si>
  <si>
    <t>strawberry.3</t>
  </si>
  <si>
    <t>sword1</t>
  </si>
  <si>
    <t>sword2</t>
  </si>
  <si>
    <t>sword4p</t>
  </si>
  <si>
    <t>teeth</t>
  </si>
  <si>
    <t>teriyaki</t>
  </si>
  <si>
    <t>vintcheese</t>
  </si>
  <si>
    <t>3 armor1,3 armor2,3 armor3,3 armor4,3 shield1,3 shield2,3 shield3,3 shield4,3 sword1,3 sword2,3 sword3,3 sword4</t>
  </si>
  <si>
    <t>6 armor1,6 armor2,6 armor3,6 armor4,6 shield1,6 shield2,6 shield3,6 shield4,6 sword1,6 sword2,6 sword3,6 sword4</t>
  </si>
  <si>
    <t>9 armor1,9 armor2,9 armor3,9 armor4,9 shield1,9 shield2,9 shield3,9 shield4,9 sword1,9 sword2,9 sword3,9 sword4</t>
  </si>
  <si>
    <t>3 armor4p,3 shield4p,3 sword4p</t>
  </si>
  <si>
    <t>3 drum,20 fan,3 firework,10 katana,3 kimono,3 ninja,3 samurai,20 shuriken,20 spikes</t>
  </si>
  <si>
    <t>6 drum,40 fan,6 firework,20 katana,6 kimono,6 ninja,6 samurai,40 shuriken,40 spikes</t>
  </si>
  <si>
    <t>9 drum,60 fan,9 firework,30 katana,9 kimono,9 ninja,9 samurai,60 shuriken,60 spikes</t>
  </si>
  <si>
    <t>12 drum,80 fan,12 firework,40 katana,12 kimono,12 ninja,12 samurai,80 shuriken,80 spikes</t>
  </si>
  <si>
    <t>15 drum,100 fan,15 firework,50 katana,15 kimono,15 ninja,15 samurai,100 shuriken,100 spikes</t>
  </si>
  <si>
    <t>20 ginkgo,5 herbs,5 herbs.2,5 herbs.3,15 honey,10 porcini,5 strawberry,5 strawberry.2,5 strawberry.3,50 wood</t>
  </si>
  <si>
    <t>40 ginkgo,10 herbs,10 herbs.2,10 herbs.3,30 honey,20 porcini,10 strawberry,10 strawberry.2,10 strawberry.3,100 wood</t>
  </si>
  <si>
    <t>15 bamboo,15 bamboo.2,15 bamboo.3</t>
  </si>
  <si>
    <t>5 apy,10 cinnabar,10 mandrake,15 miron,15 reagent,5 titanium</t>
  </si>
  <si>
    <t>10 apy,20 cinnabar,20 mandrake,30 miron,30 reagent,10 titanium</t>
  </si>
  <si>
    <t>15 apy,30 cinnabar,30 mandrake,45 miron,45 reagent,15 titanium</t>
  </si>
  <si>
    <t>20 apy,40 cinnabar,40 mandrake,60 miron,60 reagent,20 titanium</t>
  </si>
  <si>
    <t>25 apy,50 cinnabar,50 mandrake,75 miron,75 reagent,25 titanium</t>
  </si>
  <si>
    <t>3 hide,1 horn,3 teeth</t>
  </si>
  <si>
    <t>6 hide,2 horn,6 teeth</t>
  </si>
  <si>
    <t>9 hide,3 horn,9 teeth</t>
  </si>
  <si>
    <t>12 hide,4 horn,12 teeth</t>
  </si>
  <si>
    <t>15 hide,5 horn,15 teeth</t>
  </si>
  <si>
    <t>5 bluecrystal,5 greencrystal,5 quartz,5 redcrystal,5 violetcrystal</t>
  </si>
  <si>
    <t>10 bluecrystal,10 greencrystal,10 quartz,10 redcrystal,10 violetcrystal</t>
  </si>
  <si>
    <t>15 bluecrystal,15 greencrystal,15 quartz,15 redcrystal,15 violetcrystal</t>
  </si>
  <si>
    <t>20 bluecrystal,20 greencrystal,20 quartz,20 redcrystal,20 violetcrystal</t>
  </si>
  <si>
    <t>25 bluecrystal,25 greencrystal,25 quartz,25 redcrystal,25 violetcrystal</t>
  </si>
  <si>
    <t>20 blueprint,10 grimoire,30 page,1 scroll</t>
  </si>
  <si>
    <t>40 blueprint,20 grimoire,60 page,2 scroll</t>
  </si>
  <si>
    <t>60 blueprint,30 grimoire,90 page,3 scroll</t>
  </si>
  <si>
    <t>20 map1,10 map2,5 map3</t>
  </si>
  <si>
    <t>40 map1,20 map2,10 map3</t>
  </si>
  <si>
    <t>60 map1,30 map2,15 map3</t>
  </si>
  <si>
    <t>3000 coin</t>
  </si>
  <si>
    <t>10 honey,10 jam,15 oil,50 plank,50 plank.2,50 plank.3,50 plank.4,50 plank.5,50 plank.6,50 plank.7,50 plank.8,15 soy</t>
  </si>
  <si>
    <t>20 honey,20 jam,30 oil,100 plank,100 plank.2,100 plank.3,100 plank.4,100 plank.5,100 plank.6,100 plank.7,100 plank.8,30 soy</t>
  </si>
  <si>
    <t>30 honey,30 jam,45 oil,150 plank,150 plank.2,150 plank.3,150 plank.4,150 plank.5,150 plank.6,150 plank.7,150 plank.8,45 soy</t>
  </si>
  <si>
    <t>40 honey,40 jam,60 oil,200 plank,200 plank.2,200 plank.3,200 plank.4,200 plank.5,200 plank.6,200 plank.7,200 plank.8,60 soy</t>
  </si>
  <si>
    <t>50 honey,50 jam,75 oil,250 plank,250 plank.2,250 plank.3,250 plank.4,250 plank.5,250 plank.6,250 plank.7,250 plank.8,75 soy</t>
  </si>
  <si>
    <t>100 charcoal,20 oil,100 plank,100 plank.2,200 plank.3</t>
  </si>
  <si>
    <t>10 mushrooms,10 mushrooms.2,10 mushrooms.3,10 mushrooms.4,10 mushrooms.5,10 mushrooms.6</t>
  </si>
  <si>
    <t>20 mushrooms,20 mushrooms.2,20 mushrooms.3,20 mushrooms.4,20 mushrooms.5,20 mushrooms.6</t>
  </si>
  <si>
    <t>10 cherry,10 cherry.2,10 cherry.3,10 cherry.4,10 cherry.5,10 cherry.6,50 stone,50 stone.2</t>
  </si>
  <si>
    <t>20 cherry,20 cherry.2,20 cherry.3,20 cherry.4,20 cherry.5,20 cherry.6,100 stone,100 stone.2</t>
  </si>
  <si>
    <t>5 avocado,10 beans,10 dates,40 flour,10 glass,10 paper,40 rice,10 salmon,10 silk,5 spices,10 thread,5 tuna</t>
  </si>
  <si>
    <t>10 avocado,20 beans,20 dates,80 flour,20 glass,20 paper,80 rice,20 salmon,20 silk,10 spices,20 thread,10 tuna</t>
  </si>
  <si>
    <t>15 avocado,30 beans,30 dates,120 flour,30 glass,30 paper,120 rice,30 salmon,30 silk,15 spices,30 thread,15 tuna</t>
  </si>
  <si>
    <t>20 avocado,40 beans,40 dates,160 flour,40 glass,40 paper,160 rice,40 salmon,40 silk,20 spices,40 thread,20 tuna</t>
  </si>
  <si>
    <t>25 avocado,50 beans,50 dates,200 flour,50 glass,50 paper,200 rice,50 salmon,50 silk,25 spices,50 thread,25 tuna</t>
  </si>
  <si>
    <t>100 plank,100 plank.2,100 steel,100 stone</t>
  </si>
  <si>
    <t>200 plank,200 plank.2,200 steel,200 stone</t>
  </si>
  <si>
    <t>300 plank,300 plank.2,300 steel,300 stone</t>
  </si>
  <si>
    <t>400 plank,400 plank.2,400 steel,400 stone</t>
  </si>
  <si>
    <t>500 plank,500 plank.2,500 steel,500 stone</t>
  </si>
  <si>
    <t>100 charcoal,100 chemicals,100 gunpowder,100 isand</t>
  </si>
  <si>
    <t>200 charcoal,200 chemicals,200 gunpowder,200 isand</t>
  </si>
  <si>
    <t>300 charcoal,300 chemicals,300 gunpowder,300 isand</t>
  </si>
  <si>
    <t>400 charcoal,400 chemicals,400 gunpowder,400 isand</t>
  </si>
  <si>
    <t>500 charcoal,500 chemicals,500 gunpowder,500 isand</t>
  </si>
  <si>
    <t>20 egg,20 milk,10 vintcheese</t>
  </si>
  <si>
    <t>200 stone</t>
  </si>
  <si>
    <t>10 cake,10 cup,10 fried,20 mcola,10 pasta,10 ramen,10 smoothie2,10 sushi,10 teriyaki</t>
  </si>
  <si>
    <t>20 cake,20 cup,20 fried,40 mcola,20 pasta,20 ramen,20 smoothie2,20 sushi,20 teriyaki</t>
  </si>
  <si>
    <t>1000 coin,1000 coin.2,250 crypto,250 dinar,10 ingot,5 pearl,5 ruby,10 treasure</t>
  </si>
  <si>
    <t>2000 coin,2000 coin.2,500 crypto,500 dinar,20 ingot,10 pearl,10 ruby,20 treasure</t>
  </si>
  <si>
    <t>3000 coin,3000 coin.2,750 crypto,750 dinar,30 ingot,15 pearl,15 ruby,30 treasure</t>
  </si>
  <si>
    <t>4000 coin,4000 coin.2,1000 crypto,1000 dinar,40 ingot,20 pearl,20 ruby,40 treasure</t>
  </si>
  <si>
    <t>5000 coin,5000 coin.2,1250 crypto,1250 dinar,50 ingot,25 pearl,25 ruby,50 treasure</t>
  </si>
  <si>
    <t>3 ring1,3 ring2,3 ring3,3 ring4,3 ring4p</t>
  </si>
  <si>
    <t>6 ring1,6 ring2,6 ring3,6 ring4,6 ring4p</t>
  </si>
  <si>
    <t>9 ring1,9 ring2,9 ring3,9 ring4,9 ring4p</t>
  </si>
  <si>
    <t>3 diamond,1 gegg,1 gegg.2,1 pog,1 reddiamond</t>
  </si>
  <si>
    <t>Armory 1 Lv 1</t>
  </si>
  <si>
    <t>Armory 1 Lv 2</t>
  </si>
  <si>
    <t>Armory 1 Lv 3</t>
  </si>
  <si>
    <t>Armory 2 Lv 1</t>
  </si>
  <si>
    <t>Attic Lv 1</t>
  </si>
  <si>
    <t>Attic Lv 2</t>
  </si>
  <si>
    <t>Attic Lv 3</t>
  </si>
  <si>
    <t>Attic Lv 4</t>
  </si>
  <si>
    <t>Attic Lv 5</t>
  </si>
  <si>
    <t>Courtyard 1 Lv 1</t>
  </si>
  <si>
    <t>Courtyard 1 Lv 2</t>
  </si>
  <si>
    <t>Courtyard 2 Lv 1</t>
  </si>
  <si>
    <t>Gallery 1 Lv 1</t>
  </si>
  <si>
    <t>Gallery 1 Lv 2</t>
  </si>
  <si>
    <t>Gallery 1 Lv 3</t>
  </si>
  <si>
    <t>Gallery 1 Lv 4</t>
  </si>
  <si>
    <t>Gallery 1 Lv 5</t>
  </si>
  <si>
    <t>Gallery 2 Lv 1</t>
  </si>
  <si>
    <t>Gallery 2 Lv 2</t>
  </si>
  <si>
    <t>Gallery 2 Lv 3</t>
  </si>
  <si>
    <t>Gallery 2 Lv 4</t>
  </si>
  <si>
    <t>Gallery 2 Lv 5</t>
  </si>
  <si>
    <t>Gallery 3 Lv 1</t>
  </si>
  <si>
    <t>Gallery 3 Lv 2</t>
  </si>
  <si>
    <t>Gallery 3 Lv 3</t>
  </si>
  <si>
    <t>Gallery 3 Lv 4</t>
  </si>
  <si>
    <t>Gallery 3 Lv 5</t>
  </si>
  <si>
    <t>Historical Library 1 Lv 1</t>
  </si>
  <si>
    <t>Historical Library 1 Lv 2</t>
  </si>
  <si>
    <t>Historical Library 1 Lv 3</t>
  </si>
  <si>
    <t>Historical Library 2 Lv 1</t>
  </si>
  <si>
    <t>Historical Library 2 Lv 2</t>
  </si>
  <si>
    <t>Historical Library 2 Lv 3</t>
  </si>
  <si>
    <t>Horse Lv 1</t>
  </si>
  <si>
    <t>Kitchen And Buttery 1 Lv 1</t>
  </si>
  <si>
    <t>Kitchen And Buttery 1 Lv 2</t>
  </si>
  <si>
    <t>Kitchen And Buttery 1 Lv 3</t>
  </si>
  <si>
    <t>Kitchen And Buttery 1 Lv 4</t>
  </si>
  <si>
    <t>Kitchen And Buttery 1 Lv 5</t>
  </si>
  <si>
    <t>Kitchen And Buttery 2 Lv 1</t>
  </si>
  <si>
    <t>Mushroom Farm Lv 1</t>
  </si>
  <si>
    <t>Mushroom Farm Lv 2</t>
  </si>
  <si>
    <t>Orangery Lv 1</t>
  </si>
  <si>
    <t>Orangery Lv 2</t>
  </si>
  <si>
    <t>Pantry 1 Lv 1</t>
  </si>
  <si>
    <t>Pantry 1 Lv 2</t>
  </si>
  <si>
    <t>Pantry 1 Lv 3</t>
  </si>
  <si>
    <t>Pantry 1 Lv 4</t>
  </si>
  <si>
    <t>Pantry 1 Lv 5</t>
  </si>
  <si>
    <t>Pantry 2 Lv 1</t>
  </si>
  <si>
    <t>Pantry 2 Lv 2</t>
  </si>
  <si>
    <t>Pantry 2 Lv 3</t>
  </si>
  <si>
    <t>Pantry 2 Lv 4</t>
  </si>
  <si>
    <t>Pantry 2 Lv 5</t>
  </si>
  <si>
    <t>Pantry 3 Lv 1</t>
  </si>
  <si>
    <t>Pantry 3 Lv 2</t>
  </si>
  <si>
    <t>Pantry 3 Lv 3</t>
  </si>
  <si>
    <t>Pantry 3 Lv 4</t>
  </si>
  <si>
    <t>Pantry 3 Lv 5</t>
  </si>
  <si>
    <t>Pantry 4 Lv 1</t>
  </si>
  <si>
    <t>Statue Lv 1</t>
  </si>
  <si>
    <t>Tavern Lv 1</t>
  </si>
  <si>
    <t>Tavern Lv 2</t>
  </si>
  <si>
    <t>Treasury 1 Lv 1</t>
  </si>
  <si>
    <t>Treasury 1 Lv 2</t>
  </si>
  <si>
    <t>Treasury 1 Lv 3</t>
  </si>
  <si>
    <t>Treasury 1 Lv 4</t>
  </si>
  <si>
    <t>Treasury 1 Lv 5</t>
  </si>
  <si>
    <t>Treasury 2 Lv 1</t>
  </si>
  <si>
    <t>Treasury 2 Lv 2</t>
  </si>
  <si>
    <t>Treasury 2 Lv 3</t>
  </si>
  <si>
    <t>Treasury 3 Lv 1</t>
  </si>
  <si>
    <t>Ship lvl. 4 | Airship lvl. 1</t>
  </si>
  <si>
    <t>BUILDING_LVL:Ship@4 | BUILDING_LVL:Airship@1</t>
  </si>
  <si>
    <t>Workshop lvl. 5 | Requires completing Once Upon a Forest Chapter VI</t>
  </si>
  <si>
    <t>BUILDING_LVL:Workshop@5 | QUEST_COMPLETE:once upon a forest chapter vi</t>
  </si>
  <si>
    <t>Workshop lvl. 5 | Airship lvl. 1</t>
  </si>
  <si>
    <t>BUILDING_LVL:Workshop@5 | BUILDING_LVL:Airship@1</t>
  </si>
  <si>
    <t>Smithy lvl. 3 | Airship lvl. 1</t>
  </si>
  <si>
    <t>BUILDING_LVL:Smithy@3 | BUILDING_LVL:Airship@1</t>
  </si>
  <si>
    <t>Guild lvl. 5 | Dungeon lvl. 1</t>
  </si>
  <si>
    <t>BUILDING_LVL:Guild@5 | BUILDING_LVL:Dungeon@1</t>
  </si>
  <si>
    <t>Alchemist's Hut lvl. 6 | Requires completing Once Upon a Forest Chapter X</t>
  </si>
  <si>
    <t>BUILDING_LVL:Alchemist's Hut@6 | QUEST_COMPLETE:once upon a forest chapter x</t>
  </si>
  <si>
    <t>Tailor lvl. 2 | Bridge lvl. 1</t>
  </si>
  <si>
    <t>BUILDING_LVL:Tailor@2 | BUILDING_LVL:Bridge@1</t>
  </si>
  <si>
    <t>Guild lvl. 5 | Bridge lvl. 1</t>
  </si>
  <si>
    <t>BUILDING_LVL:Guild@5 | BUILDING_LVL:Bridge@1</t>
  </si>
  <si>
    <t>Food Stall lvl. 3 | Bridge lvl. 1</t>
  </si>
  <si>
    <t>BUILDING_LVL:Food Stall@3 | BUILDING_LVL:Bridge@1</t>
  </si>
  <si>
    <t>Tailor lvl. 3 | Requires completing Once Upon a Forest Chapter X</t>
  </si>
  <si>
    <t>BUILDING_LVL:Tailor@3 | QUEST_COMPLETE:once upon a forest chapter x</t>
  </si>
  <si>
    <t>Tailor lvl. 3 | Airship lvl. 1</t>
  </si>
  <si>
    <t>BUILDING_LVL:Tailor@3 | BUILDING_LVL:Airship@1</t>
  </si>
  <si>
    <t>Furnace lvl. 3</t>
  </si>
  <si>
    <t>BUILDING_LVL:Furnace@3</t>
  </si>
  <si>
    <t>Dungeon lvl. 5 | Requires completing Once Upon a Forest Chapter XI</t>
  </si>
  <si>
    <t>BUILDING_LVL:Dungeon@5 | QUEST_COMPLETE:once upon a forest chapter xi</t>
  </si>
  <si>
    <t>Workshop lvl. 5 | Ship lvl. 1</t>
  </si>
  <si>
    <t>BUILDING_LVL:Workshop@5 | BUILDING_LVL:Ship@1</t>
  </si>
  <si>
    <t>Workshop lvl. 5 | Requires completing Once Upon a Forest Chapter III</t>
  </si>
  <si>
    <t>BUILDING_LVL:Workshop@5 | QUEST_COMPLETE:once upon a forest chapter iii</t>
  </si>
  <si>
    <t>Alchemist's Hut lvl. 6 | Airship lvl. 1</t>
  </si>
  <si>
    <t>BUILDING_LVL:Alchemist's Hut@6 | BUILDING_LVL:Airship@1</t>
  </si>
  <si>
    <t>Astrolabe</t>
  </si>
  <si>
    <t>Barometer</t>
  </si>
  <si>
    <t>Cinema Projector</t>
  </si>
  <si>
    <t>Dagger</t>
  </si>
  <si>
    <t>Emerald Tablet</t>
  </si>
  <si>
    <t>Flamethrower</t>
  </si>
  <si>
    <t>Guild Banner</t>
  </si>
  <si>
    <t>Guild Codex</t>
  </si>
  <si>
    <t>Guild Supplies</t>
  </si>
  <si>
    <t>Hat Of Concentration</t>
  </si>
  <si>
    <t>Helmet</t>
  </si>
  <si>
    <t>Historical Library</t>
  </si>
  <si>
    <t>Hotei Statuette</t>
  </si>
  <si>
    <t>Metal Detector</t>
  </si>
  <si>
    <t>Necklace For Haruka</t>
  </si>
  <si>
    <t>Safe</t>
  </si>
  <si>
    <t>Solver 1 Prototype</t>
  </si>
  <si>
    <t>Telescope</t>
  </si>
  <si>
    <t>Tetrachloroaurate</t>
  </si>
  <si>
    <t>Trigonometry</t>
  </si>
  <si>
    <t>Ship: unlocks new route to {{i|blueprint|30}} New York</t>
  </si>
  <si>
    <t>Reduces production time by 5%:&amp;lt;br /&amp;gt;Ship, Caravan, Airship</t>
  </si>
  <si>
    <t>Fills 15% of a puzzle. / If there are errors, the area is reduced. / Can be used once a day.</t>
  </si>
  <si>
    <t>+5% critical strike chance</t>
  </si>
  <si>
    <t>+5 max. hero level</t>
  </si>
  <si>
    <t>Area of effect 5x5.&amp;lt;br /&amp;gt; The damage depends on the damage of a hero.&amp;lt;br /&amp;gt; Used in dungeon.</t>
  </si>
  <si>
    <t>Provides guards for the caravan, / reducing the chance of robbery by 12%.</t>
  </si>
  <si>
    <t>+10% Experience</t>
  </si>
  <si>
    <t>Increases capacity by 50% of the original size.</t>
  </si>
  <si>
    <t>Increases replenishment of mental power by 10%.&amp;lt;br /&amp;gt;Rounding to nearest integer.</t>
  </si>
  <si>
    <t>+5 max. {{i|health|30}}</t>
  </si>
  <si>
    <t>Guild: Every day finds:&amp;lt;br /&amp;gt;{{i|blueprint|30}} x 1.</t>
  </si>
  <si>
    <t>+10% drop chance: {{i|coin|30}} {{i|ingot|30}}</t>
  </si>
  <si>
    <t>Guild: Every day finds:&amp;lt;br /&amp;gt;{{i|miron|30}} x 5</t>
  </si>
  <si>
    <t>+25% loot on expeditions: {{i|beans|30}}</t>
  </si>
  <si>
    <t>Increases capacity by 250% of the original size: / {{i|coin|30}} {{i|dinar|30}} {{i|crypto|30}} {{i|ruby|30}} {{i|ingot|30}} {{i|treasure|30}} {{i|pearl|30}}</t>
  </si>
  <si>
    <t>Fills 100% of a puzzle. / If there are errors, the area is reduced. / Maximum size: 15x15. / Can be used once a day.</t>
  </si>
  <si>
    <t>Guild: Every day finds:&amp;lt;br /&amp;gt;{{i|blueprint|30}} x 1</t>
  </si>
  <si>
    <t>Cauldron: +20% {{i|ingot|30}} ({{i|coin|30}})</t>
  </si>
  <si>
    <t>+120 max. {{i|mp|30}}</t>
  </si>
  <si>
    <t>emeralds</t>
  </si>
  <si>
    <t>15 blueprint,1000 coin,10 mechanism,40 page,10 ruby</t>
  </si>
  <si>
    <t>40 blueprint,1000 coin,20 glass,25 mercury,20 paper</t>
  </si>
  <si>
    <t>80 blueprint,10 catalyst,30 chemicals,30 glass,30 mechanism,30 reagent,10 silk</t>
  </si>
  <si>
    <t>100 crypto,10 ingot,30 msteel,20 page,5 ruby,1 scroll</t>
  </si>
  <si>
    <t>15 emeralds,30 page</t>
  </si>
  <si>
    <t>10 apy,30 blueprint,10 catalyst,40 chemicals,10 glass,5 mechanism,20 oil,20 tparts</t>
  </si>
  <si>
    <t>100 silk</t>
  </si>
  <si>
    <t>100 paper</t>
  </si>
  <si>
    <t>50 dates,25 flour,25 glass,50 honey,50 oil,25 rice,25 tuna</t>
  </si>
  <si>
    <t>20 ginkgo,20 grimoire,10 herbs,10 mercury,10 silk,2 teeth,12 velour</t>
  </si>
  <si>
    <t>100 crypto,40 msteel,20 page,1 scroll</t>
  </si>
  <si>
    <t>15 blueprint,9 grimoire,40 page,12 scroll</t>
  </si>
  <si>
    <t>200 charcoal,200 coin,200 ingot</t>
  </si>
  <si>
    <t>20 apy,30 blueprint,10 catalyst,20 chemicals,5 mercury,30 miron,10 reagent,10 tparts</t>
  </si>
  <si>
    <t>50 pearl,1 thread</t>
  </si>
  <si>
    <t>30 blueprint,500 coin,10 mechanism,50 msteel,500 steel</t>
  </si>
  <si>
    <t>32 blueprint,16 ingot,8 malu,16 mechanism,4 pcard,40 tparts</t>
  </si>
  <si>
    <t>40 blueprint,60 glass,20 mechanism,5 ruby</t>
  </si>
  <si>
    <t>30 catalyst,50 chemicals,30 glass,50 ingot,40 reagent</t>
  </si>
  <si>
    <t>60 page,1 scroll</t>
  </si>
  <si>
    <t>PrereqText</t>
  </si>
  <si>
    <t>CraftifactID</t>
  </si>
  <si>
    <t>CraftifactName</t>
  </si>
  <si>
    <t>TargetID</t>
  </si>
  <si>
    <t>TargetType</t>
  </si>
  <si>
    <t>BUILDING</t>
  </si>
  <si>
    <t>tech.airship.titanium_longerons</t>
  </si>
  <si>
    <t>TECH</t>
  </si>
  <si>
    <t>Airship - Titanium Longerons</t>
  </si>
  <si>
    <t>tech.alchemists_hut.greek_grenade</t>
  </si>
  <si>
    <t>Alchemists Hut - Greek Grenade</t>
  </si>
  <si>
    <t>tech.alchemists_hut.synthetic_fertilizer</t>
  </si>
  <si>
    <t>Alchemists Hut - Synthetic Fertilizer</t>
  </si>
  <si>
    <t>tech.alchemists_hut.balm</t>
  </si>
  <si>
    <t>Alchemists Hut - Balm</t>
  </si>
  <si>
    <t>tech.alchemists_hut.potion_of_mental_power</t>
  </si>
  <si>
    <t>Alchemists Hut - Potion Of Mental Power</t>
  </si>
  <si>
    <t>tech.alchemists_hut.mercury</t>
  </si>
  <si>
    <t>Alchemists Hut - Mercury</t>
  </si>
  <si>
    <t>tech.alchemists_hut.gold_ingot</t>
  </si>
  <si>
    <t>Alchemists Hut - Gold Ingot</t>
  </si>
  <si>
    <t>tech.alchemists_hut.madness_grenade</t>
  </si>
  <si>
    <t>Alchemists Hut - Madness Grenade</t>
  </si>
  <si>
    <t>tech.alchemists_hut.potion_of_healing</t>
  </si>
  <si>
    <t>Alchemists Hut - Potion Of Healing</t>
  </si>
  <si>
    <t>tech.alchemists_hut.potion_of_energy</t>
  </si>
  <si>
    <t>Alchemists Hut - Potion Of Energy</t>
  </si>
  <si>
    <t>tech.alchemists_hut.potion_berserker_rage</t>
  </si>
  <si>
    <t>Alchemists Hut - Potion Berserker Rage</t>
  </si>
  <si>
    <t>tech.alchemists_hut.potion_of_healing_lvl_2</t>
  </si>
  <si>
    <t>Alchemists Hut - Potion Of Healing Lvl 2</t>
  </si>
  <si>
    <t>tech.alchemists_hut.potion_ambrosia</t>
  </si>
  <si>
    <t>Alchemists Hut - Potion Ambrosia</t>
  </si>
  <si>
    <t>tech.alchemists_hut.conveyor_lvl_1</t>
  </si>
  <si>
    <t>Alchemists Hut - Conveyor Lvl 1</t>
  </si>
  <si>
    <t>tech.alchemists_hut.conveyor_lvl_2</t>
  </si>
  <si>
    <t>Alchemists Hut - Conveyor Lvl 2</t>
  </si>
  <si>
    <t>tech.alchemists_hut.galvanization</t>
  </si>
  <si>
    <t>Alchemists Hut - Galvanization</t>
  </si>
  <si>
    <t>tech.alchemists_hut.metamorphosis</t>
  </si>
  <si>
    <t>Alchemists Hut - Metamorphosis</t>
  </si>
  <si>
    <t>tech.alchemists_hut.advanced_fertilizer</t>
  </si>
  <si>
    <t>Alchemists Hut - Advanced Fertilizer</t>
  </si>
  <si>
    <t>tech.bridge.koi_fish</t>
  </si>
  <si>
    <t>Bridge - Koi Fish</t>
  </si>
  <si>
    <t>tech.bridge.salmon_farming</t>
  </si>
  <si>
    <t>Bridge - Salmon Farming</t>
  </si>
  <si>
    <t>tech.dairy.classical_music_for_the_farm</t>
  </si>
  <si>
    <t>Dairy - Classical Music For The Farm</t>
  </si>
  <si>
    <t>tech.dairy.big_data_farming</t>
  </si>
  <si>
    <t>Dairy - Big Data Farming</t>
  </si>
  <si>
    <t>tech.dungeon.great_hall</t>
  </si>
  <si>
    <t>Dungeon - Great Hall</t>
  </si>
  <si>
    <t>tech.fermentory.pasteurization</t>
  </si>
  <si>
    <t>Fermentory - Pasteurization</t>
  </si>
  <si>
    <t>tech.field.seed_drill</t>
  </si>
  <si>
    <t>Field - Seed Drill</t>
  </si>
  <si>
    <t>tech.field.combine_harvester</t>
  </si>
  <si>
    <t>Field - Combine Harvester</t>
  </si>
  <si>
    <t>tech.field.soybean</t>
  </si>
  <si>
    <t>Field - Soybean</t>
  </si>
  <si>
    <t>tech.food_stall.quintessence_of_taste</t>
  </si>
  <si>
    <t>Food Stall - Quintessence Of Taste</t>
  </si>
  <si>
    <t>tech.food_stall.jam</t>
  </si>
  <si>
    <t>Food Stall - Jam</t>
  </si>
  <si>
    <t>tech.food_stall.mayonnaise</t>
  </si>
  <si>
    <t>Food Stall - Mayonnaise</t>
  </si>
  <si>
    <t>tech.food_stall.mandra_cola</t>
  </si>
  <si>
    <t>Food Stall - Mandra Cola</t>
  </si>
  <si>
    <t>tech.food_stall.inarizushi</t>
  </si>
  <si>
    <t>Food Stall - Inarizushi</t>
  </si>
  <si>
    <t>tech.food_stall.conveyor_belt_sushi</t>
  </si>
  <si>
    <t>Food Stall - Conveyor Belt Sushi</t>
  </si>
  <si>
    <t>tech.food_stall.miso_soup</t>
  </si>
  <si>
    <t>Food Stall - Miso Soup</t>
  </si>
  <si>
    <t>tech.furnace.meteoric_steel</t>
  </si>
  <si>
    <t>Furnace - Meteoric Steel</t>
  </si>
  <si>
    <t>tech.furnace.titanium_parts</t>
  </si>
  <si>
    <t>Furnace - Titanium Parts</t>
  </si>
  <si>
    <t>tech.furnace.glass</t>
  </si>
  <si>
    <t>Furnace - Glass</t>
  </si>
  <si>
    <t>tech.furnace.conveyor</t>
  </si>
  <si>
    <t>Furnace - Conveyor</t>
  </si>
  <si>
    <t>tech.garden.sprinkler</t>
  </si>
  <si>
    <t>Garden - Sprinkler</t>
  </si>
  <si>
    <t>tech.laboratory.research_and_development</t>
  </si>
  <si>
    <t>Laboratory - Research And Development</t>
  </si>
  <si>
    <t>tech.laboratory.digitization</t>
  </si>
  <si>
    <t>Laboratory - Digitization</t>
  </si>
  <si>
    <t>tech.laboratory.experiments</t>
  </si>
  <si>
    <t>Laboratory - Experiments</t>
  </si>
  <si>
    <t>tech.outpost.sayonara_tax</t>
  </si>
  <si>
    <t>Outpost - Sayonara Tax</t>
  </si>
  <si>
    <t>tech.outpost.arsenal_lvl_1</t>
  </si>
  <si>
    <t>Outpost - Arsenal Lvl 1</t>
  </si>
  <si>
    <t>tech.outpost.arsenal_lvl_2</t>
  </si>
  <si>
    <t>Outpost - Arsenal Lvl 2</t>
  </si>
  <si>
    <t>tech.outpost.optional_contracts</t>
  </si>
  <si>
    <t>Outpost - Optional Contracts</t>
  </si>
  <si>
    <t>tech.outpost.futures_contracts</t>
  </si>
  <si>
    <t>Outpost - Futures Contracts</t>
  </si>
  <si>
    <t>tech.outpost.tax_return_on_floppy_disk</t>
  </si>
  <si>
    <t>Outpost - Tax Return On Floppy Disk</t>
  </si>
  <si>
    <t>tech.rock_garden.rake</t>
  </si>
  <si>
    <t>Rock Garden - Rake</t>
  </si>
  <si>
    <t>tech.shop.pre_orders</t>
  </si>
  <si>
    <t>Shop - Pre Orders</t>
  </si>
  <si>
    <t>tech.shop.glass_recycling</t>
  </si>
  <si>
    <t>Shop - Glass Recycling</t>
  </si>
  <si>
    <t>tech.smithy.throwing_knife</t>
  </si>
  <si>
    <t>Smithy - Throwing Knife</t>
  </si>
  <si>
    <t>tech.smithy.sword_for_a_hero_lvl_1</t>
  </si>
  <si>
    <t>Smithy - Sword For A Hero Lvl 1</t>
  </si>
  <si>
    <t>tech.smithy.sword_for_a_hero_lvl_2</t>
  </si>
  <si>
    <t>Smithy - Sword For A Hero Lvl 2</t>
  </si>
  <si>
    <t>tech.smithy.sword_for_a_hero_lvl_3</t>
  </si>
  <si>
    <t>Smithy - Sword For A Hero Lvl 3</t>
  </si>
  <si>
    <t>tech.smithy.sword_for_a_hero_lvl_4</t>
  </si>
  <si>
    <t>Smithy - Sword For A Hero Lvl 4</t>
  </si>
  <si>
    <t>tech.smithy.sword_for_a_hero_lvl_4+</t>
  </si>
  <si>
    <t>Smithy - Sword For A Hero Lvl 4+</t>
  </si>
  <si>
    <t>tech.smithy.weapon_grease</t>
  </si>
  <si>
    <t>Smithy - Weapon Grease</t>
  </si>
  <si>
    <t>tech.smithy.gears</t>
  </si>
  <si>
    <t>Smithy - Gears</t>
  </si>
  <si>
    <t>tech.smithy.treasure</t>
  </si>
  <si>
    <t>Smithy - Treasure</t>
  </si>
  <si>
    <t>tech.tailor.ariadnes_thread</t>
  </si>
  <si>
    <t>Tailor - Ariadnes Thread</t>
  </si>
  <si>
    <t>tech.tailor.bedroll</t>
  </si>
  <si>
    <t>Tailor - Bedroll</t>
  </si>
  <si>
    <t>tech.tailor.salamander_velour</t>
  </si>
  <si>
    <t>Tailor - Salamander Velour</t>
  </si>
  <si>
    <t>tech.tailor.armor_for_a_hero_lvl_1</t>
  </si>
  <si>
    <t>Tailor - Armor For A Hero Lvl 1</t>
  </si>
  <si>
    <t>tech.tailor.armor_for_a_hero_lvl_2</t>
  </si>
  <si>
    <t>Tailor - Armor For A Hero Lvl 2</t>
  </si>
  <si>
    <t>tech.tailor.armor_for_a_hero_lvl_3</t>
  </si>
  <si>
    <t>Tailor - Armor For A Hero Lvl 3</t>
  </si>
  <si>
    <t>tech.tailor.armor_for_a_hero_lvl_4</t>
  </si>
  <si>
    <t>Tailor - Armor For A Hero Lvl 4</t>
  </si>
  <si>
    <t>tech.tailor.armor_for_a_hero_lvl_4+</t>
  </si>
  <si>
    <t>Tailor - Armor For A Hero Lvl 4+</t>
  </si>
  <si>
    <t>tech.tailor.strong_stitch</t>
  </si>
  <si>
    <t>Tailor - Strong Stitch</t>
  </si>
  <si>
    <t>tech.tailor.strong_rivets</t>
  </si>
  <si>
    <t>Tailor - Strong Rivets</t>
  </si>
  <si>
    <t>tech.tailor.colored_threads</t>
  </si>
  <si>
    <t>Tailor - Colored Threads</t>
  </si>
  <si>
    <t>tech.train.compound_engine</t>
  </si>
  <si>
    <t>Train - Compound Engine</t>
  </si>
  <si>
    <t>tech.train.superheater</t>
  </si>
  <si>
    <t>Train - Superheater</t>
  </si>
  <si>
    <t>tech.train.automatic_lubricator</t>
  </si>
  <si>
    <t>Train - Automatic Lubricator</t>
  </si>
  <si>
    <t>tech.train.titanium_components</t>
  </si>
  <si>
    <t>Train - Titanium Components</t>
  </si>
  <si>
    <t>tech.train.onboard_computer</t>
  </si>
  <si>
    <t>Train - Onboard Computer</t>
  </si>
  <si>
    <t>tech.warehouse.stackable_racks_lvl_1</t>
  </si>
  <si>
    <t>Warehouse - Stackable Racks Lvl 1</t>
  </si>
  <si>
    <t>tech.warehouse.stackable_racks_lvl_2</t>
  </si>
  <si>
    <t>Warehouse - Stackable Racks Lvl 2</t>
  </si>
  <si>
    <t>tech.warehouse.stackable_racks_lvl_3</t>
  </si>
  <si>
    <t>Warehouse - Stackable Racks Lvl 3</t>
  </si>
  <si>
    <t>tech.workshop.throwing_net</t>
  </si>
  <si>
    <t>Workshop - Throwing Net</t>
  </si>
  <si>
    <t>tech.workshop.shield_for_a_hero_lvl_1</t>
  </si>
  <si>
    <t>Workshop - Shield For A Hero Lvl 1</t>
  </si>
  <si>
    <t>tech.workshop.shield_for_a_hero_lvl_2</t>
  </si>
  <si>
    <t>Workshop - Shield For A Hero Lvl 2</t>
  </si>
  <si>
    <t>tech.workshop.shield_for_a_hero_lvl_3</t>
  </si>
  <si>
    <t>Workshop - Shield For A Hero Lvl 3</t>
  </si>
  <si>
    <t>tech.workshop.shield_for_a_hero_lvl_4</t>
  </si>
  <si>
    <t>Workshop - Shield For A Hero Lvl 4</t>
  </si>
  <si>
    <t>tech.workshop.shield_for_a_hero_lvl_4+</t>
  </si>
  <si>
    <t>Workshop - Shield For A Hero Lvl 4+</t>
  </si>
  <si>
    <t>tech.workshop.strong_glue</t>
  </si>
  <si>
    <t>Workshop - Strong Glue</t>
  </si>
  <si>
    <t>tech.workshop.mechanism</t>
  </si>
  <si>
    <t>Workshop - Mechanism</t>
  </si>
  <si>
    <t>tech.workshop.mechanical_spider</t>
  </si>
  <si>
    <t>Workshop - Mechanical Spider</t>
  </si>
  <si>
    <t>tech.workshop.explosive_mechanical_spider</t>
  </si>
  <si>
    <t>Workshop - Explosive Mechanical Spider</t>
  </si>
  <si>
    <t>tech.workshop.steamobile</t>
  </si>
  <si>
    <t>Workshop - Steamobile</t>
  </si>
  <si>
    <t>tech.workshop.zen_fountain</t>
  </si>
  <si>
    <t>Workshop - Zen Fountain</t>
  </si>
  <si>
    <t>tech.workshop.conveyor_lvl_1</t>
  </si>
  <si>
    <t>Workshop - Conveyor Lvl 1</t>
  </si>
  <si>
    <t>tech.workshop.conveyor_lvl_2</t>
  </si>
  <si>
    <t>Workshop - Conveyor Lvl 2</t>
  </si>
  <si>
    <t>Windmill -  Bone Meal</t>
  </si>
  <si>
    <t>quest.ahead_of_time_chapter_1.accepted</t>
  </si>
  <si>
    <t>QUEST</t>
  </si>
  <si>
    <t>quest.ahead_of_time_chapter_1</t>
  </si>
  <si>
    <t>Ahead of Time Chapter 1 Accepted</t>
  </si>
  <si>
    <t>quest.ahead_of_time_chapter_2.accepted</t>
  </si>
  <si>
    <t>quest.ahead_of_time_chapter_2</t>
  </si>
  <si>
    <t>Ahead of Time Chapter 2 Accepted</t>
  </si>
  <si>
    <t>quest.ahead_of_time_chapter_3.accepted</t>
  </si>
  <si>
    <t>quest.ahead_of_time_chapter_3</t>
  </si>
  <si>
    <t>Ahead of Time Chapter 3 Accepted</t>
  </si>
  <si>
    <t>quest.ahead_of_time_chapter_4.accepted</t>
  </si>
  <si>
    <t>quest.ahead_of_time_chapter_4</t>
  </si>
  <si>
    <t>Ahead of Time Chapter 4 Accepted</t>
  </si>
  <si>
    <t>quest.ahead_of_time_chapter_5.accepted</t>
  </si>
  <si>
    <t>quest.ahead_of_time_chapter_5</t>
  </si>
  <si>
    <t>Ahead of Time Chapter 5 Accepted</t>
  </si>
  <si>
    <t>quest.build_the_guild.accepted</t>
  </si>
  <si>
    <t>quest.build_the_guild</t>
  </si>
  <si>
    <t>Build the Guild Accepted</t>
  </si>
  <si>
    <t>quest.build_the_pagoda.accepted</t>
  </si>
  <si>
    <t>quest.build_the_pagoda</t>
  </si>
  <si>
    <t>Build the Pagoda Accepted</t>
  </si>
  <si>
    <t>quest.culinary_battle.accepted</t>
  </si>
  <si>
    <t>quest.culinary_battle</t>
  </si>
  <si>
    <t>Culinary Battle Accepted</t>
  </si>
  <si>
    <t>quest.dragon_teeth.accepted</t>
  </si>
  <si>
    <t>quest.dragon_teeth</t>
  </si>
  <si>
    <t>Dragon teeth Accepted</t>
  </si>
  <si>
    <t>quest.festival.accepted</t>
  </si>
  <si>
    <t>quest.festival</t>
  </si>
  <si>
    <t>Festival Accepted</t>
  </si>
  <si>
    <t>quest.festival_returns.accepted</t>
  </si>
  <si>
    <t>quest.festival_returns</t>
  </si>
  <si>
    <t>Festival Returns Accepted</t>
  </si>
  <si>
    <t>quest.festival_of_beans.accepted</t>
  </si>
  <si>
    <t>quest.festival_of_beans</t>
  </si>
  <si>
    <t>Festival of Beans Accepted</t>
  </si>
  <si>
    <t>quest.green_potion.accepted</t>
  </si>
  <si>
    <t>quest.green_potion</t>
  </si>
  <si>
    <t>Green Potion Accepted</t>
  </si>
  <si>
    <t>quest.honor_glory_sushi.accepted</t>
  </si>
  <si>
    <t>quest.honor_glory_sushi</t>
  </si>
  <si>
    <t>Honor, Glory, Sushi Accepted</t>
  </si>
  <si>
    <t>quest.journey_through_japan_by_train.accepted</t>
  </si>
  <si>
    <t>quest.journey_through_japan_by_train</t>
  </si>
  <si>
    <t>Journey Through Japan By Train Accepted</t>
  </si>
  <si>
    <t>quest.magic_beans.accepted</t>
  </si>
  <si>
    <t>quest.magic_beans</t>
  </si>
  <si>
    <t>Magic Beans Accepted</t>
  </si>
  <si>
    <t>quest.once_upon_a_forest_chapter_1.accepted</t>
  </si>
  <si>
    <t>quest.once_upon_a_forest_chapter_1</t>
  </si>
  <si>
    <t>Once Upon a Forest Chapter 1 Accepted</t>
  </si>
  <si>
    <t>quest.once_upon_a_forest_chapter_2.accepted</t>
  </si>
  <si>
    <t>quest.once_upon_a_forest_chapter_2</t>
  </si>
  <si>
    <t>Once Upon a Forest Chapter 2 Accepted</t>
  </si>
  <si>
    <t>quest.once_upon_a_forest_chapter_3.accepted</t>
  </si>
  <si>
    <t>quest.once_upon_a_forest_chapter_3</t>
  </si>
  <si>
    <t>Once Upon a Forest Chapter 3 Accepted</t>
  </si>
  <si>
    <t>quest.once_upon_a_forest_chapter_4.accepted</t>
  </si>
  <si>
    <t>quest.once_upon_a_forest_chapter_4</t>
  </si>
  <si>
    <t>Once Upon a Forest Chapter 4 Accepted</t>
  </si>
  <si>
    <t>quest.once_upon_a_forest_chapter_5.accepted</t>
  </si>
  <si>
    <t>quest.once_upon_a_forest_chapter_5</t>
  </si>
  <si>
    <t>Once Upon a Forest Chapter 5 Accepted</t>
  </si>
  <si>
    <t>quest.once_upon_a_forest_chapter_6.accepted</t>
  </si>
  <si>
    <t>quest.once_upon_a_forest_chapter_6</t>
  </si>
  <si>
    <t>Once Upon a Forest Chapter 6 Accepted</t>
  </si>
  <si>
    <t>quest.once_upon_a_forest_chapter_7.accepted</t>
  </si>
  <si>
    <t>quest.once_upon_a_forest_chapter_7</t>
  </si>
  <si>
    <t>Once Upon a Forest Chapter 7 Accepted</t>
  </si>
  <si>
    <t>quest.once_upon_a_forest_chapter_8.accepted</t>
  </si>
  <si>
    <t>quest.once_upon_a_forest_chapter_8</t>
  </si>
  <si>
    <t>Once Upon a Forest Chapter 8 Accepted</t>
  </si>
  <si>
    <t>quest.once_upon_a_forest_chapter_9.accepted</t>
  </si>
  <si>
    <t>quest.once_upon_a_forest_chapter_9</t>
  </si>
  <si>
    <t>Once Upon a Forest Chapter 9 Accepted</t>
  </si>
  <si>
    <t>quest.once_upon_a_forest_chapter_10.accepted</t>
  </si>
  <si>
    <t>quest.once_upon_a_forest_chapter_10</t>
  </si>
  <si>
    <t>Once Upon a Forest Chapter 10 Accepted</t>
  </si>
  <si>
    <t>quest.once_upon_a_forest_chapter_11.accepted</t>
  </si>
  <si>
    <t>quest.once_upon_a_forest_chapter_11</t>
  </si>
  <si>
    <t>Once Upon a Forest Chapter 11 Accepted</t>
  </si>
  <si>
    <t>quest.once_upon_a_forest_chapter_12.accepted</t>
  </si>
  <si>
    <t>quest.once_upon_a_forest_chapter_12</t>
  </si>
  <si>
    <t>Once Upon a Forest Chapter 12 Accepted</t>
  </si>
  <si>
    <t>quest.once_upon_a_forest_chapter_13.accepted</t>
  </si>
  <si>
    <t>quest.once_upon_a_forest_chapter_13</t>
  </si>
  <si>
    <t>Once Upon a Forest Chapter 13 Accepted</t>
  </si>
  <si>
    <t>quest.once_upon_a_forest_chapter_14.accepted</t>
  </si>
  <si>
    <t>quest.once_upon_a_forest_chapter_14</t>
  </si>
  <si>
    <t>Once Upon a Forest Chapter 14 Accepted</t>
  </si>
  <si>
    <t>quest.once_upon_a_forest_chapter_15.accepted</t>
  </si>
  <si>
    <t>quest.once_upon_a_forest_chapter_15</t>
  </si>
  <si>
    <t>Once Upon a Forest Chapter 15 Accepted</t>
  </si>
  <si>
    <t>quest.quest_for_knowledge_chapter_1.accepted</t>
  </si>
  <si>
    <t>quest.quest_for_knowledge_chapter_1</t>
  </si>
  <si>
    <t>Quest for Knowledge Chapter 1 Accepted</t>
  </si>
  <si>
    <t>quest.quest_for_knowledge_chapter_2.accepted</t>
  </si>
  <si>
    <t>quest.quest_for_knowledge_chapter_2</t>
  </si>
  <si>
    <t>Quest for Knowledge Chapter 2 Accepted</t>
  </si>
  <si>
    <t>quest.quest_for_knowledge_chapter_3.accepted</t>
  </si>
  <si>
    <t>quest.quest_for_knowledge_chapter_3</t>
  </si>
  <si>
    <t>Quest for Knowledge Chapter 3 Accepted</t>
  </si>
  <si>
    <t>quest.quest_for_knowledge_chapter_4.accepted</t>
  </si>
  <si>
    <t>quest.quest_for_knowledge_chapter_4</t>
  </si>
  <si>
    <t>Quest for Knowledge Chapter 4 Accepted</t>
  </si>
  <si>
    <t>quest.quest_for_knowledge_chapter_5.accepted</t>
  </si>
  <si>
    <t>quest.quest_for_knowledge_chapter_5</t>
  </si>
  <si>
    <t>Quest for Knowledge Chapter 5 Accepted</t>
  </si>
  <si>
    <t>quest.shoguns_katana_chapter_1.accepted</t>
  </si>
  <si>
    <t>quest.shoguns_katana_chapter_1</t>
  </si>
  <si>
    <t>Shogun's Katana Chapter 1 Accepted</t>
  </si>
  <si>
    <t>quest.shoguns_katana_chapter_2.accepted</t>
  </si>
  <si>
    <t>quest.shoguns_katana_chapter_2</t>
  </si>
  <si>
    <t>Shogun's Katana Chapter 2 Accepted</t>
  </si>
  <si>
    <t>quest.shoguns_katana_chapter_3.accepted</t>
  </si>
  <si>
    <t>quest.shoguns_katana_chapter_3</t>
  </si>
  <si>
    <t>Shogun's Katana Chapter 3 Accepted</t>
  </si>
  <si>
    <t>quest.shoguns_katana_chapter_4.accepted</t>
  </si>
  <si>
    <t>quest.shoguns_katana_chapter_4</t>
  </si>
  <si>
    <t>Shogun's Katana Chapter 4 Accepted</t>
  </si>
  <si>
    <t>quest.shoguns_katana_chapter_5.accepted</t>
  </si>
  <si>
    <t>quest.shoguns_katana_chapter_5</t>
  </si>
  <si>
    <t>Shogun's Katana Chapter 5 Accepted</t>
  </si>
  <si>
    <t>quest.shoguns_katana_chapter_6.accepted</t>
  </si>
  <si>
    <t>quest.shoguns_katana_chapter_6</t>
  </si>
  <si>
    <t>Shogun's Katana Chapter 6 Accepted</t>
  </si>
  <si>
    <t>quest.shoguns_katana_chapter_7.accepted</t>
  </si>
  <si>
    <t>quest.shoguns_katana_chapter_7</t>
  </si>
  <si>
    <t>Shogun's Katana Chapter 7 Accepted</t>
  </si>
  <si>
    <t>quest.silk_road.accepted</t>
  </si>
  <si>
    <t>quest.silk_road</t>
  </si>
  <si>
    <t>Silk Road Accepted</t>
  </si>
  <si>
    <t>quest.spicy_odyssey.accepted</t>
  </si>
  <si>
    <t>quest.spicy_odyssey</t>
  </si>
  <si>
    <t>Spicy Odyssey Accepted</t>
  </si>
  <si>
    <t>quest.the_ordinary_days_of_an_adventurer_chapter_1.accepted</t>
  </si>
  <si>
    <t>quest.the_ordinary_days_of_an_adventurer_chapter_1</t>
  </si>
  <si>
    <t>The Ordinary Days of an Adventurer Chapter 1 Accepted</t>
  </si>
  <si>
    <t>quest.the_ordinary_days_of_an_adventurer_chapter_2.accepted</t>
  </si>
  <si>
    <t>quest.the_ordinary_days_of_an_adventurer_chapter_2</t>
  </si>
  <si>
    <t>The Ordinary Days of an Adventurer Chapter 2 Accepted</t>
  </si>
  <si>
    <t>quest.the_ordinary_days_of_an_adventurer_chapter_3.accepted</t>
  </si>
  <si>
    <t>quest.the_ordinary_days_of_an_adventurer_chapter_3</t>
  </si>
  <si>
    <t>The Ordinary Days of an Adventurer Chapter 3 Accepted</t>
  </si>
  <si>
    <t>quest.the_ordinary_days_of_an_adventurer_chapter_4.accepted</t>
  </si>
  <si>
    <t>quest.the_ordinary_days_of_an_adventurer_chapter_4</t>
  </si>
  <si>
    <t>The Ordinary Days of an Adventurer Chapter 4 Accepted</t>
  </si>
  <si>
    <t>quest.the_ordinary_days_of_an_adventurer_chapter_5.accepted</t>
  </si>
  <si>
    <t>quest.the_ordinary_days_of_an_adventurer_chapter_5</t>
  </si>
  <si>
    <t>The Ordinary Days of an Adventurer Chapter 5 Accepted</t>
  </si>
  <si>
    <t>quest.the_ordinary_days_of_an_adventurer_chapter_6.accepted</t>
  </si>
  <si>
    <t>quest.the_ordinary_days_of_an_adventurer_chapter_6</t>
  </si>
  <si>
    <t>The Ordinary Days of an Adventurer Chapter 6 Accepted</t>
  </si>
  <si>
    <t>quest.the_ordinary_days_of_an_adventurer_chapter_7.accepted</t>
  </si>
  <si>
    <t>quest.the_ordinary_days_of_an_adventurer_chapter_7</t>
  </si>
  <si>
    <t>The Ordinary Days of an Adventurer Chapter 7 Accepted</t>
  </si>
  <si>
    <t>quest.the_ordinary_days_of_an_adventurer_chapter_8.accepted</t>
  </si>
  <si>
    <t>quest.the_ordinary_days_of_an_adventurer_chapter_8</t>
  </si>
  <si>
    <t>The Ordinary Days of an Adventurer Chapter 8 Accepted</t>
  </si>
  <si>
    <t>quest.the_ring_of_the_dark_lady.accepted</t>
  </si>
  <si>
    <t>quest.the_ring_of_the_dark_lady</t>
  </si>
  <si>
    <t>The Ring of the Dark Lady Accepted</t>
  </si>
  <si>
    <t>quest.treasure_island.accepted</t>
  </si>
  <si>
    <t>quest.treasure_island</t>
  </si>
  <si>
    <t>Treasure Island Accepted</t>
  </si>
  <si>
    <t>quest.undead_revenge.accepted</t>
  </si>
  <si>
    <t>quest.undead_revenge</t>
  </si>
  <si>
    <t>Undead Revenge Accepted</t>
  </si>
  <si>
    <t>quest.ahead_of_time_chapter_1.finished</t>
  </si>
  <si>
    <t>Ahead of Time Chapter 1 Finished</t>
  </si>
  <si>
    <t>quest.ahead_of_time_chapter_2.finished</t>
  </si>
  <si>
    <t>Ahead of Time Chapter 2 Finished</t>
  </si>
  <si>
    <t>quest.ahead_of_time_chapter_3.finished</t>
  </si>
  <si>
    <t>Ahead of Time Chapter 3 Finished</t>
  </si>
  <si>
    <t>quest.ahead_of_time_chapter_4.finished</t>
  </si>
  <si>
    <t>Ahead of Time Chapter 4 Finished</t>
  </si>
  <si>
    <t>quest.ahead_of_time_chapter_5.finished</t>
  </si>
  <si>
    <t>Ahead of Time Chapter 5 Finished</t>
  </si>
  <si>
    <t>quest.build_the_guild.finished</t>
  </si>
  <si>
    <t>Build the Guild Finished</t>
  </si>
  <si>
    <t>quest.build_the_pagoda.finished</t>
  </si>
  <si>
    <t>Build the Pagoda Finished</t>
  </si>
  <si>
    <t>quest.culinary_battle.finished</t>
  </si>
  <si>
    <t>Culinary Battle Finished</t>
  </si>
  <si>
    <t>quest.dragon_teeth.finished</t>
  </si>
  <si>
    <t>Dragon teeth Finished</t>
  </si>
  <si>
    <t>quest.festival.finished</t>
  </si>
  <si>
    <t>Festival Finished</t>
  </si>
  <si>
    <t>quest.festival_returns.finished</t>
  </si>
  <si>
    <t>Festival Returns Finished</t>
  </si>
  <si>
    <t>quest.festival_of_beans.finished</t>
  </si>
  <si>
    <t>Festival of Beans Finished</t>
  </si>
  <si>
    <t>quest.green_potion.finished</t>
  </si>
  <si>
    <t>Green Potion Finished</t>
  </si>
  <si>
    <t>quest.honor_glory_sushi.finished</t>
  </si>
  <si>
    <t>Honor, Glory, Sushi Finished</t>
  </si>
  <si>
    <t>quest.journey_through_japan_by_train.finished</t>
  </si>
  <si>
    <t>Journey Through Japan By Train Finished</t>
  </si>
  <si>
    <t>quest.magic_beans.finished</t>
  </si>
  <si>
    <t>Magic Beans Finished</t>
  </si>
  <si>
    <t>quest.once_upon_a_forest_chapter_1.finished</t>
  </si>
  <si>
    <t>Once Upon a Forest Chapter 1 Finished</t>
  </si>
  <si>
    <t>quest.once_upon_a_forest_chapter_2.finished</t>
  </si>
  <si>
    <t>Once Upon a Forest Chapter 2 Finished</t>
  </si>
  <si>
    <t>quest.once_upon_a_forest_chapter_3.finished</t>
  </si>
  <si>
    <t>Once Upon a Forest Chapter 3 Finished</t>
  </si>
  <si>
    <t>quest.once_upon_a_forest_chapter_4.finished</t>
  </si>
  <si>
    <t>Once Upon a Forest Chapter 4 Finished</t>
  </si>
  <si>
    <t>quest.once_upon_a_forest_chapter_5.finished</t>
  </si>
  <si>
    <t>Once Upon a Forest Chapter 5 Finished</t>
  </si>
  <si>
    <t>quest.once_upon_a_forest_chapter_6.finished</t>
  </si>
  <si>
    <t>Once Upon a Forest Chapter 6 Finished</t>
  </si>
  <si>
    <t>quest.once_upon_a_forest_chapter_7.finished</t>
  </si>
  <si>
    <t>Once Upon a Forest Chapter 7 Finished</t>
  </si>
  <si>
    <t>quest.once_upon_a_forest_chapter_8.finished</t>
  </si>
  <si>
    <t>Once Upon a Forest Chapter 8 Finished</t>
  </si>
  <si>
    <t>quest.once_upon_a_forest_chapter_9.finished</t>
  </si>
  <si>
    <t>Once Upon a Forest Chapter 9 Finished</t>
  </si>
  <si>
    <t>quest.once_upon_a_forest_chapter_10.finished</t>
  </si>
  <si>
    <t>Once Upon a Forest Chapter 10 Finished</t>
  </si>
  <si>
    <t>quest.once_upon_a_forest_chapter_11.finished</t>
  </si>
  <si>
    <t>Once Upon a Forest Chapter 11 Finished</t>
  </si>
  <si>
    <t>quest.once_upon_a_forest_chapter_12.finished</t>
  </si>
  <si>
    <t>Once Upon a Forest Chapter 12 Finished</t>
  </si>
  <si>
    <t>quest.once_upon_a_forest_chapter_13.finished</t>
  </si>
  <si>
    <t>Once Upon a Forest Chapter 13 Finished</t>
  </si>
  <si>
    <t>quest.once_upon_a_forest_chapter_14.finished</t>
  </si>
  <si>
    <t>Once Upon a Forest Chapter 14 Finished</t>
  </si>
  <si>
    <t>quest.once_upon_a_forest_chapter_15.finished</t>
  </si>
  <si>
    <t>Once Upon a Forest Chapter 15 Finished</t>
  </si>
  <si>
    <t>quest.quest_for_knowledge_chapter_1.finished</t>
  </si>
  <si>
    <t>Quest for Knowledge Chapter 1 Finished</t>
  </si>
  <si>
    <t>quest.quest_for_knowledge_chapter_2.finished</t>
  </si>
  <si>
    <t>Quest for Knowledge Chapter 2 Finished</t>
  </si>
  <si>
    <t>quest.quest_for_knowledge_chapter_3.finished</t>
  </si>
  <si>
    <t>Quest for Knowledge Chapter 3 Finished</t>
  </si>
  <si>
    <t>quest.quest_for_knowledge_chapter_4.finished</t>
  </si>
  <si>
    <t>Quest for Knowledge Chapter 4 Finished</t>
  </si>
  <si>
    <t>quest.quest_for_knowledge_chapter_5.finished</t>
  </si>
  <si>
    <t>Quest for Knowledge Chapter 5 Finished</t>
  </si>
  <si>
    <t>quest.shoguns_katana_chapter_1.finished</t>
  </si>
  <si>
    <t>Shogun's Katana Chapter 1 Finished</t>
  </si>
  <si>
    <t>quest.shoguns_katana_chapter_2.finished</t>
  </si>
  <si>
    <t>Shogun's Katana Chapter 2 Finished</t>
  </si>
  <si>
    <t>quest.shoguns_katana_chapter_3.finished</t>
  </si>
  <si>
    <t>Shogun's Katana Chapter 3 Finished</t>
  </si>
  <si>
    <t>quest.shoguns_katana_chapter_4.finished</t>
  </si>
  <si>
    <t>Shogun's Katana Chapter 4 Finished</t>
  </si>
  <si>
    <t>quest.shoguns_katana_chapter_5.finished</t>
  </si>
  <si>
    <t>Shogun's Katana Chapter 5 Finished</t>
  </si>
  <si>
    <t>quest.shoguns_katana_chapter_6.finished</t>
  </si>
  <si>
    <t>Shogun's Katana Chapter 6 Finished</t>
  </si>
  <si>
    <t>quest.shoguns_katana_chapter_7.finished</t>
  </si>
  <si>
    <t>Shogun's Katana Chapter 7 Finished</t>
  </si>
  <si>
    <t>quest.silk_road.finished</t>
  </si>
  <si>
    <t>Silk Road Finished</t>
  </si>
  <si>
    <t>quest.spicy_odyssey.finished</t>
  </si>
  <si>
    <t>Spicy Odyssey Finished</t>
  </si>
  <si>
    <t>quest.the_ordinary_days_of_an_adventurer_chapter_1.finished</t>
  </si>
  <si>
    <t>The Ordinary Days of an Adventurer Chapter 1 Finished</t>
  </si>
  <si>
    <t>quest.the_ordinary_days_of_an_adventurer_chapter_2.finished</t>
  </si>
  <si>
    <t>The Ordinary Days of an Adventurer Chapter 2 Finished</t>
  </si>
  <si>
    <t>quest.the_ordinary_days_of_an_adventurer_chapter_3.finished</t>
  </si>
  <si>
    <t>The Ordinary Days of an Adventurer Chapter 3 Finished</t>
  </si>
  <si>
    <t>quest.the_ordinary_days_of_an_adventurer_chapter_4.finished</t>
  </si>
  <si>
    <t>The Ordinary Days of an Adventurer Chapter 4 Finished</t>
  </si>
  <si>
    <t>quest.the_ordinary_days_of_an_adventurer_chapter_5.finished</t>
  </si>
  <si>
    <t>The Ordinary Days of an Adventurer Chapter 5 Finished</t>
  </si>
  <si>
    <t>quest.the_ordinary_days_of_an_adventurer_chapter_6.finished</t>
  </si>
  <si>
    <t>The Ordinary Days of an Adventurer Chapter 6 Finished</t>
  </si>
  <si>
    <t>quest.the_ordinary_days_of_an_adventurer_chapter_7.finished</t>
  </si>
  <si>
    <t>The Ordinary Days of an Adventurer Chapter 7 Finished</t>
  </si>
  <si>
    <t>quest.the_ordinary_days_of_an_adventurer_chapter_8.finished</t>
  </si>
  <si>
    <t>The Ordinary Days of an Adventurer Chapter 8 Finished</t>
  </si>
  <si>
    <t>quest.the_ring_of_the_dark_lady.finished</t>
  </si>
  <si>
    <t>The Ring of the Dark Lady Finished</t>
  </si>
  <si>
    <t>quest.treasure_island.finished</t>
  </si>
  <si>
    <t>Treasure Island Finished</t>
  </si>
  <si>
    <t>quest.undead_revenge.finished</t>
  </si>
  <si>
    <t>Undead Revenge Finished</t>
  </si>
  <si>
    <t>citadel.armory</t>
  </si>
  <si>
    <t>CITADEL</t>
  </si>
  <si>
    <t>citadel.attic</t>
  </si>
  <si>
    <t>citadel.cheese_cave</t>
  </si>
  <si>
    <t>citadel.courtyard</t>
  </si>
  <si>
    <t>citadel.gallery</t>
  </si>
  <si>
    <t>citadel.great_hall</t>
  </si>
  <si>
    <t>citadel.kitchen_and_buttery</t>
  </si>
  <si>
    <t>citadel.lair_lvl_1</t>
  </si>
  <si>
    <t>citadel.lair_lvl_2</t>
  </si>
  <si>
    <t>citadel.mushroom_farm</t>
  </si>
  <si>
    <t>citadel.orangery</t>
  </si>
  <si>
    <t>citadel.pantry</t>
  </si>
  <si>
    <t>citadel.tavern</t>
  </si>
  <si>
    <t>citadel.treasury</t>
  </si>
  <si>
    <t>collection.armory_1@1</t>
  </si>
  <si>
    <t>COLLECTION</t>
  </si>
  <si>
    <t>collection.armory_1@2</t>
  </si>
  <si>
    <t>collection.armory_1@3</t>
  </si>
  <si>
    <t>collection.armory_2@1</t>
  </si>
  <si>
    <t>collection.attic@1</t>
  </si>
  <si>
    <t>collection.attic@2</t>
  </si>
  <si>
    <t>collection.attic@3</t>
  </si>
  <si>
    <t>collection.attic@4</t>
  </si>
  <si>
    <t>collection.attic@5</t>
  </si>
  <si>
    <t>collection.courtyard_1@1</t>
  </si>
  <si>
    <t>collection.courtyard_1@2</t>
  </si>
  <si>
    <t>collection.courtyard_2@1</t>
  </si>
  <si>
    <t>collection.gallery_1@1</t>
  </si>
  <si>
    <t>collection.gallery_1@2</t>
  </si>
  <si>
    <t>collection.gallery_1@3</t>
  </si>
  <si>
    <t>collection.gallery_1@4</t>
  </si>
  <si>
    <t>collection.gallery_1@5</t>
  </si>
  <si>
    <t>collection.gallery_2@1</t>
  </si>
  <si>
    <t>collection.gallery_2@2</t>
  </si>
  <si>
    <t>collection.gallery_2@3</t>
  </si>
  <si>
    <t>collection.gallery_2@4</t>
  </si>
  <si>
    <t>collection.gallery_2@5</t>
  </si>
  <si>
    <t>collection.gallery_3@1</t>
  </si>
  <si>
    <t>collection.gallery_3@2</t>
  </si>
  <si>
    <t>collection.gallery_3@3</t>
  </si>
  <si>
    <t>collection.gallery_3@4</t>
  </si>
  <si>
    <t>collection.gallery_3@5</t>
  </si>
  <si>
    <t>collection.historical_library_1@1</t>
  </si>
  <si>
    <t>collection.historical_library_1@2</t>
  </si>
  <si>
    <t>collection.historical_library_1@3</t>
  </si>
  <si>
    <t>collection.historical_library_2@1</t>
  </si>
  <si>
    <t>collection.historical_library_2@2</t>
  </si>
  <si>
    <t>collection.historical_library_2@3</t>
  </si>
  <si>
    <t>collection.horse@1</t>
  </si>
  <si>
    <t>collection.kitchen_and_buttery_1@1</t>
  </si>
  <si>
    <t>collection.kitchen_and_buttery_1@2</t>
  </si>
  <si>
    <t>collection.kitchen_and_buttery_1@3</t>
  </si>
  <si>
    <t>collection.kitchen_and_buttery_1@4</t>
  </si>
  <si>
    <t>collection.kitchen_and_buttery_1@5</t>
  </si>
  <si>
    <t>collection.kitchen_and_buttery_2@1</t>
  </si>
  <si>
    <t>collection.mushroom_farm@1</t>
  </si>
  <si>
    <t>collection.mushroom_farm@2</t>
  </si>
  <si>
    <t>collection.orangery@1</t>
  </si>
  <si>
    <t>collection.orangery@2</t>
  </si>
  <si>
    <t>collection.pantry_1@1</t>
  </si>
  <si>
    <t>collection.pantry_1@2</t>
  </si>
  <si>
    <t>collection.pantry_1@3</t>
  </si>
  <si>
    <t>collection.pantry_1@4</t>
  </si>
  <si>
    <t>collection.pantry_1@5</t>
  </si>
  <si>
    <t>collection.pantry_2@1</t>
  </si>
  <si>
    <t>collection.pantry_2@2</t>
  </si>
  <si>
    <t>collection.pantry_2@3</t>
  </si>
  <si>
    <t>collection.pantry_2@4</t>
  </si>
  <si>
    <t>collection.pantry_2@5</t>
  </si>
  <si>
    <t>collection.pantry_3@1</t>
  </si>
  <si>
    <t>collection.pantry_3@2</t>
  </si>
  <si>
    <t>collection.pantry_3@3</t>
  </si>
  <si>
    <t>collection.pantry_3@4</t>
  </si>
  <si>
    <t>collection.pantry_3@5</t>
  </si>
  <si>
    <t>collection.pantry_4@1</t>
  </si>
  <si>
    <t>collection.statue@1</t>
  </si>
  <si>
    <t>collection.tavern@1</t>
  </si>
  <si>
    <t>collection.tavern@2</t>
  </si>
  <si>
    <t>collection.treasury_1@1</t>
  </si>
  <si>
    <t>collection.treasury_1@2</t>
  </si>
  <si>
    <t>collection.treasury_1@3</t>
  </si>
  <si>
    <t>collection.treasury_1@4</t>
  </si>
  <si>
    <t>collection.treasury_1@5</t>
  </si>
  <si>
    <t>collection.treasury_2@1</t>
  </si>
  <si>
    <t>collection.treasury_2@2</t>
  </si>
  <si>
    <t>collection.treasury_2@3</t>
  </si>
  <si>
    <t>collection.treasury_3@1</t>
  </si>
  <si>
    <t>craftifact.astrolabe</t>
  </si>
  <si>
    <t>CRAFTIFACT</t>
  </si>
  <si>
    <t>craftifact.barometer</t>
  </si>
  <si>
    <t>craftifact.cinema_projector</t>
  </si>
  <si>
    <t>craftifact.dagger</t>
  </si>
  <si>
    <t>craftifact.emerald_tablet</t>
  </si>
  <si>
    <t>craftifact.flamethrower</t>
  </si>
  <si>
    <t>craftifact.guild_banner</t>
  </si>
  <si>
    <t>craftifact.guild_codex</t>
  </si>
  <si>
    <t>craftifact.guild_supplies</t>
  </si>
  <si>
    <t>craftifact.hat_of_concentration</t>
  </si>
  <si>
    <t>craftifact.helmet</t>
  </si>
  <si>
    <t>craftifact.historical_library</t>
  </si>
  <si>
    <t>craftifact.hotei_statuette</t>
  </si>
  <si>
    <t>craftifact.metal_detector</t>
  </si>
  <si>
    <t>craftifact.necklace_for_haruka</t>
  </si>
  <si>
    <t>craftifact.safe</t>
  </si>
  <si>
    <t>craftifact.solver_1_prototype</t>
  </si>
  <si>
    <t>craftifact.telescope</t>
  </si>
  <si>
    <t>craftifact.tetrachloroaurate</t>
  </si>
  <si>
    <t>craftifact.trigonometry</t>
  </si>
  <si>
    <t>building.airship.maxed</t>
  </si>
  <si>
    <t>building.alchemists_hut.maxed</t>
  </si>
  <si>
    <t>building.bridge.maxed</t>
  </si>
  <si>
    <t>building.dairy.maxed</t>
  </si>
  <si>
    <t>building.dungeon.maxed</t>
  </si>
  <si>
    <t>building.fermentory.maxed</t>
  </si>
  <si>
    <t>building.field.maxed</t>
  </si>
  <si>
    <t>building.food_stall.maxed</t>
  </si>
  <si>
    <t>building.furnace.maxed</t>
  </si>
  <si>
    <t>building.garden.maxed</t>
  </si>
  <si>
    <t>building.laboratory.maxed</t>
  </si>
  <si>
    <t>building.outpost.maxed</t>
  </si>
  <si>
    <t>building.rock_garden.maxed</t>
  </si>
  <si>
    <t>building.shop.maxed</t>
  </si>
  <si>
    <t>building.smithy.maxed</t>
  </si>
  <si>
    <t>building.tailor.maxed</t>
  </si>
  <si>
    <t>building.train.maxed</t>
  </si>
  <si>
    <t>building.warehouse.maxed</t>
  </si>
  <si>
    <t>building.workshop.maxed</t>
  </si>
  <si>
    <t>building.windmill.maxed</t>
  </si>
  <si>
    <t>dairy maxed</t>
  </si>
  <si>
    <t>dungeon maxed</t>
  </si>
  <si>
    <t>shop maxed</t>
  </si>
  <si>
    <t>smithy maxed</t>
  </si>
  <si>
    <t>tailor maxed</t>
  </si>
  <si>
    <t>train maxed</t>
  </si>
  <si>
    <t>warehouse maxed</t>
  </si>
  <si>
    <t>workshop maxed</t>
  </si>
  <si>
    <t>windmill maxed</t>
  </si>
  <si>
    <t>DependencyID</t>
  </si>
  <si>
    <t>OwnerType</t>
  </si>
  <si>
    <t>Complete</t>
  </si>
  <si>
    <t>Type</t>
  </si>
  <si>
    <t>airship@1</t>
  </si>
  <si>
    <t>CHAR_LEVEL:40</t>
  </si>
  <si>
    <t>airship@2</t>
  </si>
  <si>
    <t>CHAR_LEVEL:6</t>
  </si>
  <si>
    <t>BUILDING_LVL:Guild@2</t>
  </si>
  <si>
    <t>BUILDING_LVL:Guild@3</t>
  </si>
  <si>
    <t>BUILDING_LVL:Guild@4</t>
  </si>
  <si>
    <t>BUILDING_LVL:Guild@5</t>
  </si>
  <si>
    <t>CHAR_LEVEL:32</t>
  </si>
  <si>
    <t>bonsai@1</t>
  </si>
  <si>
    <t>CHAR_LEVEL:21</t>
  </si>
  <si>
    <t>bonsai@2</t>
  </si>
  <si>
    <t>bridge@1</t>
  </si>
  <si>
    <t>CHAR_LEVEL:30</t>
  </si>
  <si>
    <t>caravan@1</t>
  </si>
  <si>
    <t>caravan@2</t>
  </si>
  <si>
    <t>caravan@3</t>
  </si>
  <si>
    <t>caravan@4</t>
  </si>
  <si>
    <t>chicken@1</t>
  </si>
  <si>
    <t>CHAR_LEVEL:15</t>
  </si>
  <si>
    <t>chicken@2</t>
  </si>
  <si>
    <t>dairy@1</t>
  </si>
  <si>
    <t>QUEST_COMPLETE:the ordinary days of an adventurer chapter vi</t>
  </si>
  <si>
    <t>dairy@2</t>
  </si>
  <si>
    <t>QUEST_ACCEPT:ahead of time chapter i</t>
  </si>
  <si>
    <t>dungeon@1</t>
  </si>
  <si>
    <t>CHAR_LEVEL:10</t>
  </si>
  <si>
    <t>dungeon@2</t>
  </si>
  <si>
    <t>CHAR_LEVEL:20</t>
  </si>
  <si>
    <t>dungeon@3</t>
  </si>
  <si>
    <t>dungeon@4</t>
  </si>
  <si>
    <t>dungeon@5</t>
  </si>
  <si>
    <t>CHAR_LEVEL:50</t>
  </si>
  <si>
    <t>fermentory@1</t>
  </si>
  <si>
    <t>CHAR_LEVEL:55</t>
  </si>
  <si>
    <t>fermentory@2</t>
  </si>
  <si>
    <t>fermentory@3</t>
  </si>
  <si>
    <t>fermentory@4</t>
  </si>
  <si>
    <t>fermentory@5</t>
  </si>
  <si>
    <t>fermentory@6</t>
  </si>
  <si>
    <t>field@1</t>
  </si>
  <si>
    <t>CHAR_LEVEL:7</t>
  </si>
  <si>
    <t>field@2</t>
  </si>
  <si>
    <t>CHAR_LEVEL:8</t>
  </si>
  <si>
    <t>CHAR_LEVEL:24</t>
  </si>
  <si>
    <t>furnace@1</t>
  </si>
  <si>
    <t>furnace@2</t>
  </si>
  <si>
    <t>furnace@3</t>
  </si>
  <si>
    <t>garden@1</t>
  </si>
  <si>
    <t>CHAR_LEVEL:12</t>
  </si>
  <si>
    <t>garden@2</t>
  </si>
  <si>
    <t>garden@3</t>
  </si>
  <si>
    <t>gong@1</t>
  </si>
  <si>
    <t>QUEST_COMPLETE:ahead of time chapter iv</t>
  </si>
  <si>
    <t>guild@2</t>
  </si>
  <si>
    <t>guild@3</t>
  </si>
  <si>
    <t>guild@4</t>
  </si>
  <si>
    <t>guild@5</t>
  </si>
  <si>
    <t>BUILDING_LVL:Laboratory@5</t>
  </si>
  <si>
    <t>CRAFTIFACT:Telescope</t>
  </si>
  <si>
    <t>CRAFTIFACT:Solver-1_prototype</t>
  </si>
  <si>
    <t>laboratory@1</t>
  </si>
  <si>
    <t>CHAR_LEVEL:80</t>
  </si>
  <si>
    <t>CRAFTIFACT: Solver-1_prototype</t>
  </si>
  <si>
    <t>lumber@1</t>
  </si>
  <si>
    <t>CHAR_LEVEL:11</t>
  </si>
  <si>
    <t>lumber@2</t>
  </si>
  <si>
    <t>lumber@3</t>
  </si>
  <si>
    <t>onsen@1</t>
  </si>
  <si>
    <t>onsen@2</t>
  </si>
  <si>
    <t>outpost@1</t>
  </si>
  <si>
    <t>CHAR_LEVEL:31</t>
  </si>
  <si>
    <t>outpost@2</t>
  </si>
  <si>
    <t>outpost@3</t>
  </si>
  <si>
    <t>pagoda@1</t>
  </si>
  <si>
    <t>CHAR_LEVEL:4</t>
  </si>
  <si>
    <t>pagoda@2</t>
  </si>
  <si>
    <t>pagoda@3</t>
  </si>
  <si>
    <t>pagoda@4</t>
  </si>
  <si>
    <t>CHAR_LEVEL:14</t>
  </si>
  <si>
    <t>pagoda@5</t>
  </si>
  <si>
    <t>CHAR_LEVEL:18</t>
  </si>
  <si>
    <t>pagoda@6</t>
  </si>
  <si>
    <t>CHAR_LEVEL:23</t>
  </si>
  <si>
    <t>pagoda@7</t>
  </si>
  <si>
    <t>CHAR_LEVEL:28</t>
  </si>
  <si>
    <t>pier@1</t>
  </si>
  <si>
    <t>CHAR_LEVEL:22</t>
  </si>
  <si>
    <t>CHAR_LEVEL:13</t>
  </si>
  <si>
    <t>ship@1</t>
  </si>
  <si>
    <t>ship@2</t>
  </si>
  <si>
    <t>ship@3</t>
  </si>
  <si>
    <t>ship@4</t>
  </si>
  <si>
    <t>shop@1</t>
  </si>
  <si>
    <t>CHAR_LEVEL:3</t>
  </si>
  <si>
    <t>shop@2</t>
  </si>
  <si>
    <t>shop@3</t>
  </si>
  <si>
    <t>smithy@1</t>
  </si>
  <si>
    <t>CHAR_LEVEL:9</t>
  </si>
  <si>
    <t>smithy@2</t>
  </si>
  <si>
    <t>smithy@3</t>
  </si>
  <si>
    <t>station@1</t>
  </si>
  <si>
    <t>tailor@1</t>
  </si>
  <si>
    <t>tailor@2</t>
  </si>
  <si>
    <t>tailor@3</t>
  </si>
  <si>
    <t>train@1</t>
  </si>
  <si>
    <t>train@2</t>
  </si>
  <si>
    <t>warehouse@1</t>
  </si>
  <si>
    <t>CHAR_LEVEL:5</t>
  </si>
  <si>
    <t>warehouse@2</t>
  </si>
  <si>
    <t>BUILDING_LVL:warehouse@1</t>
  </si>
  <si>
    <t>warehouse@3</t>
  </si>
  <si>
    <t>BUILDING_LVL:warehouse@2</t>
  </si>
  <si>
    <t>warehouse@4</t>
  </si>
  <si>
    <t>BUILDING_LVL:warehouse@3</t>
  </si>
  <si>
    <t>warehouse@5</t>
  </si>
  <si>
    <t>BUILDING_LVL:warehouse@4</t>
  </si>
  <si>
    <t>warehouse@6</t>
  </si>
  <si>
    <t>warehouse@7</t>
  </si>
  <si>
    <t>windmill@1</t>
  </si>
  <si>
    <t>windmill@2</t>
  </si>
  <si>
    <t>workshop@1</t>
  </si>
  <si>
    <t>CHAR_LEVEL:2</t>
  </si>
  <si>
    <t>workshop@2</t>
  </si>
  <si>
    <t>workshop@3</t>
  </si>
  <si>
    <t>workshop@4</t>
  </si>
  <si>
    <t>workshop@5</t>
  </si>
  <si>
    <t>TECH:Great hall</t>
  </si>
  <si>
    <t>QUEST_COMPLETE:once upon a forest chapter xv</t>
  </si>
  <si>
    <t>BUILDING_LVL:Dungeon@5</t>
  </si>
  <si>
    <t>QUEST_ACCEPT:The Ordinary Days of an Adventurer chapter V</t>
  </si>
  <si>
    <t>QUEST_ACCEPT:The Ordinary Days of an Adventurer chapter VI</t>
  </si>
  <si>
    <t>BUILDING_LVL:Dungeon@4</t>
  </si>
  <si>
    <t>STATE:TAME:a critter</t>
  </si>
  <si>
    <t>TECH:Great Hall</t>
  </si>
  <si>
    <t>CITADEL:Courtyard</t>
  </si>
  <si>
    <t>CRAFTIFACT:Historical Library</t>
  </si>
  <si>
    <t>BUILDING_LVL:Ship@4</t>
  </si>
  <si>
    <t>BUILDING_LVL:Airship@1</t>
  </si>
  <si>
    <t>BUILDING_LVL:Workshop@5</t>
  </si>
  <si>
    <t>BUILDING_LVL:Smithy@3</t>
  </si>
  <si>
    <t>BUILDING_LVL:Alchemist's Hut@6</t>
  </si>
  <si>
    <t>QUEST_COMPLETE:once upon a forest chapter x</t>
  </si>
  <si>
    <t>BUILDING_LVL:Tailor@2</t>
  </si>
  <si>
    <t>BUILDING_LVL:Food Stall@3</t>
  </si>
  <si>
    <t>BUILDING_LVL:Tailor@3</t>
  </si>
  <si>
    <t>QUEST_COMPLETE:once upon a forest chapter xi</t>
  </si>
  <si>
    <t>QUEST_COMPLETE:once upon a forest chapter iii</t>
  </si>
  <si>
    <t>STATE:COMPLETE_PROJECT: any&gt;=1</t>
  </si>
  <si>
    <t>STATE:VISIT:DUNGEON@6A</t>
  </si>
  <si>
    <t>STATE:MEET:Fat demon@4A</t>
  </si>
  <si>
    <t>STATE:MEET: old man@4C</t>
  </si>
  <si>
    <t>STATE:CAPACITY:firework&gt;=10</t>
  </si>
  <si>
    <t>BUILDING_LVL:fermentory@6</t>
  </si>
  <si>
    <t>QUEST_COMPLETE:festival returns</t>
  </si>
  <si>
    <t>QUEST_COMPLETE:festival</t>
  </si>
  <si>
    <t>STATE:MEET: traveling merchant @1B</t>
  </si>
  <si>
    <t>QUEST_COMPLETE:the ring of the dark lady</t>
  </si>
  <si>
    <t>BUILDING_LVL:dungeon@5</t>
  </si>
  <si>
    <t>STATE:VISIT:DUNGEON@4A</t>
  </si>
  <si>
    <t>STATE:MEET:mech_adventurer@2B</t>
  </si>
  <si>
    <t>STATE:MEET: Raven@F1</t>
  </si>
  <si>
    <t>STATE:REPEAT_VISIT:DUNGEON@ F1@2</t>
  </si>
  <si>
    <t>STATE:MEET:inventor@5B</t>
  </si>
  <si>
    <t>STATE:MEET:Mrs Diligance@F2</t>
  </si>
  <si>
    <t>STATE:MEET:forest fairy@F2 after accepting chapter V</t>
  </si>
  <si>
    <t>STATE:MEET: dark lady@F2</t>
  </si>
  <si>
    <t>STATE:MEET: Raven@F3</t>
  </si>
  <si>
    <t>STATE:VISIT:DUNGEON@F1</t>
  </si>
  <si>
    <t>STATE:DELIVER:balm to hunter @F3</t>
  </si>
  <si>
    <t>STATE:MEET: pilot@F3</t>
  </si>
  <si>
    <t>QUEST_ACCEPT:once upon a forest chapter xi</t>
  </si>
  <si>
    <t>STATE:MEET: Mr Diligence@F1</t>
  </si>
  <si>
    <t>STATE:MEET:foodie demon@F2</t>
  </si>
  <si>
    <t>STATE:MAP:catacombs</t>
  </si>
  <si>
    <t>STATE:OBTAIN:any artifact</t>
  </si>
  <si>
    <t>QUEST_COMPLETE:shogun's katana chapter vi</t>
  </si>
  <si>
    <t>TECH:Sword for a hero lvl. 4</t>
  </si>
  <si>
    <t>TECH:shield for a hero lvl. 4</t>
  </si>
  <si>
    <t>TECH:Armor for a hero lvl. 4</t>
  </si>
  <si>
    <t>STATE:MEET:methusalem@F3</t>
  </si>
  <si>
    <t>STATE:MEET:samurai_panda@6A</t>
  </si>
  <si>
    <t>STATE:MEET:dark_lady@6A</t>
  </si>
  <si>
    <t>STATE:MEET:dark_lady@6B</t>
  </si>
  <si>
    <t>STATE:ACTION:reenter_guild</t>
  </si>
  <si>
    <t>STATE:VISIT:DUNGEON@ 6B after building Dairy LVL 2</t>
  </si>
  <si>
    <t>STATE:MEET:Dark Lady@6B</t>
  </si>
  <si>
    <t>STATE:MEET: dark lady@4A</t>
  </si>
  <si>
    <t>QUEST_COMPLETE:shogun's katana chapter iv</t>
  </si>
  <si>
    <t>QUEST_COMPLETE:spicy odyssey</t>
  </si>
  <si>
    <t>STATE:MEET:Pirate_skeleton@3A</t>
  </si>
  <si>
    <t>STATE:OBTAIN:treasure</t>
  </si>
  <si>
    <t>STATE:COMPLETE_DUNGEON:5C</t>
  </si>
  <si>
    <t>STATE:VISIT:DUNGEON@5A after completing 5C</t>
  </si>
  <si>
    <t>TECH:Titanium parts</t>
  </si>
  <si>
    <t>QUEST_COMPLETE:Once Upon a Forest Chapter XI</t>
  </si>
  <si>
    <t>BUILDING_MAX:Airship</t>
  </si>
  <si>
    <t>TECH:Synthetic fertilizer</t>
  </si>
  <si>
    <t>QUEST_COMPLETE:Magic Beans</t>
  </si>
  <si>
    <t>QUEST_ACCEPT:Once Upon a Forest Chapter VI</t>
  </si>
  <si>
    <t>TECH:Mercury</t>
  </si>
  <si>
    <t>QUEST_COMPLETE:Once Upon a Forest Chapter VII</t>
  </si>
  <si>
    <t>QUEST_COMPLETE:Once Upon a Forest Chapter VI</t>
  </si>
  <si>
    <t>TECH:Potion of healing lvl. 2</t>
  </si>
  <si>
    <t>TECH:Potion of healing</t>
  </si>
  <si>
    <t>TECH:Classical music for the farm</t>
  </si>
  <si>
    <t>TECH:Steamobile</t>
  </si>
  <si>
    <t>TECH:Seed drill</t>
  </si>
  <si>
    <t>BUILDING_MAX:Field</t>
  </si>
  <si>
    <t>TECH:Mechanism</t>
  </si>
  <si>
    <t>TECH:Soybean</t>
  </si>
  <si>
    <t>STATE:OBTAIN:strawberry@F1.</t>
  </si>
  <si>
    <t>QUEST_ACCEPT:The Ordinary Days of an Adventurer Chapter III</t>
  </si>
  <si>
    <t>QUEST_ACCEPT:The Ordinary Days of an Adventurer Chapter IV</t>
  </si>
  <si>
    <t>QUEST_COMPLETE:Once Upon a Forest Chapter X</t>
  </si>
  <si>
    <t>BUILDING_MAX:Laboratory: Data center</t>
  </si>
  <si>
    <t>BUILDING_MAX:Laboratory</t>
  </si>
  <si>
    <t>TECH:Arsenal lvl. 1</t>
  </si>
  <si>
    <t>TECH:Optional contracts</t>
  </si>
  <si>
    <t>QUEST_COMPLETE:Ahead of Time Chapter V</t>
  </si>
  <si>
    <t>TECH:Sword for a hero lvl. 1</t>
  </si>
  <si>
    <t>TECH:Sword for a hero lvl. 2</t>
  </si>
  <si>
    <t>TECH:Sword for a hero lvl. 3</t>
  </si>
  <si>
    <t>QUEST_COMPLETE:The Ordinary Days of an Adventurer Chapter II</t>
  </si>
  <si>
    <t>QUEST_COMPLETE:The Ordinary Days of an Adventurer Chapter III</t>
  </si>
  <si>
    <t>TECH:Armor for a hero lvl. 1</t>
  </si>
  <si>
    <t>TECH:Armor for a hero lvl. 2</t>
  </si>
  <si>
    <t>TECH:Salamander velour</t>
  </si>
  <si>
    <t>QUEST_ACCEPT:Once Upon a Forest Chapter IX</t>
  </si>
  <si>
    <t>QUEST_COMPLETE:Once Upon a Forest Chapter V</t>
  </si>
  <si>
    <t>QUEST_COMPLETE:Once Upon a Forest Chapter IX</t>
  </si>
  <si>
    <t>QUEST_COMPLETE: Ahead of Time Chapter V</t>
  </si>
  <si>
    <t>TECH:Stackable racks lvl. 1</t>
  </si>
  <si>
    <t>TECH:Stackable racks lvl. 2</t>
  </si>
  <si>
    <t>TECH:Mechanical spider</t>
  </si>
  <si>
    <t>TECH:Shield for a hero lvl. 1</t>
  </si>
  <si>
    <t>TECH:Shield for a hero lvl. 2</t>
  </si>
  <si>
    <t>TECH:Shield for a hero lvl. 3</t>
  </si>
  <si>
    <t>QUEST_COMPLETE:The Ring of the Dark Lady</t>
  </si>
  <si>
    <t>TECH:Shield for a hero lvl. 4</t>
  </si>
  <si>
    <t>QUEST_ACCEPT:The Ordinary Days of an Adventurer Chapter II</t>
  </si>
  <si>
    <t>QUEST_ACCEPT:the ordinary days of an adventurer chapter ii</t>
  </si>
  <si>
    <t>Auto</t>
  </si>
  <si>
    <t>Manual</t>
  </si>
  <si>
    <t>ValidTarget</t>
  </si>
  <si>
    <t>ValidDependency</t>
  </si>
  <si>
    <t>Exception</t>
  </si>
  <si>
    <t>alchemists_hut@1</t>
  </si>
  <si>
    <t>alchemists_hut@2</t>
  </si>
  <si>
    <t>alchemists_hut@3</t>
  </si>
  <si>
    <t>alchemists_hut@4</t>
  </si>
  <si>
    <t>alchemists_hut@5</t>
  </si>
  <si>
    <t>alchemists_hut@6</t>
  </si>
  <si>
    <t>dungeon_tunnel@1</t>
  </si>
  <si>
    <t>food_stall@1</t>
  </si>
  <si>
    <t>food_stall@2</t>
  </si>
  <si>
    <t>food_stall@3</t>
  </si>
  <si>
    <t>guild_video_game_arcade@1</t>
  </si>
  <si>
    <t>laboratory_data_center@1</t>
  </si>
  <si>
    <t>laboratory@2</t>
  </si>
  <si>
    <t>laboratory@3</t>
  </si>
  <si>
    <t>laboratory@4</t>
  </si>
  <si>
    <t>laboratory@5</t>
  </si>
  <si>
    <t>rock_garden@1</t>
  </si>
  <si>
    <t>rock_garden@2</t>
  </si>
  <si>
    <t>rock_garden@3</t>
  </si>
  <si>
    <t>train_freight_carriage@1</t>
  </si>
  <si>
    <t>train_freight_carriage@2</t>
  </si>
  <si>
    <t>train_passenger_carriage@1</t>
  </si>
  <si>
    <t>train_passenger_carriage@2</t>
  </si>
  <si>
    <t>armory</t>
  </si>
  <si>
    <t>cheese_cave</t>
  </si>
  <si>
    <t>courtyard</t>
  </si>
  <si>
    <t>gallery</t>
  </si>
  <si>
    <t>kitchen_and_buttery</t>
  </si>
  <si>
    <t>lair_lvl_1</t>
  </si>
  <si>
    <t>lair_lvl_2</t>
  </si>
  <si>
    <t>pantry</t>
  </si>
  <si>
    <t>treasury</t>
  </si>
  <si>
    <t>armory_1@1</t>
  </si>
  <si>
    <t>armory_1@2</t>
  </si>
  <si>
    <t>armory_1@3</t>
  </si>
  <si>
    <t>armory_2@1</t>
  </si>
  <si>
    <t>attic@1</t>
  </si>
  <si>
    <t>attic@2</t>
  </si>
  <si>
    <t>attic@3</t>
  </si>
  <si>
    <t>attic@4</t>
  </si>
  <si>
    <t>attic@5</t>
  </si>
  <si>
    <t>courtyard_1@1</t>
  </si>
  <si>
    <t>courtyard_1@2</t>
  </si>
  <si>
    <t>courtyard_2@1</t>
  </si>
  <si>
    <t>gallery_1@1</t>
  </si>
  <si>
    <t>gallery_1@2</t>
  </si>
  <si>
    <t>gallery_1@3</t>
  </si>
  <si>
    <t>gallery_1@4</t>
  </si>
  <si>
    <t>gallery_1@5</t>
  </si>
  <si>
    <t>gallery_2@1</t>
  </si>
  <si>
    <t>gallery_2@2</t>
  </si>
  <si>
    <t>gallery_2@3</t>
  </si>
  <si>
    <t>gallery_2@4</t>
  </si>
  <si>
    <t>gallery_2@5</t>
  </si>
  <si>
    <t>gallery_3@1</t>
  </si>
  <si>
    <t>gallery_3@2</t>
  </si>
  <si>
    <t>gallery_3@3</t>
  </si>
  <si>
    <t>gallery_3@4</t>
  </si>
  <si>
    <t>gallery_3@5</t>
  </si>
  <si>
    <t>historical_library_1@1</t>
  </si>
  <si>
    <t>historical_library_1@2</t>
  </si>
  <si>
    <t>historical_library_1@3</t>
  </si>
  <si>
    <t>historical_library_2@1</t>
  </si>
  <si>
    <t>historical_library_2@2</t>
  </si>
  <si>
    <t>historical_library_2@3</t>
  </si>
  <si>
    <t>horse@1</t>
  </si>
  <si>
    <t>kitchen_and_buttery_1@1</t>
  </si>
  <si>
    <t>kitchen_and_buttery_1@2</t>
  </si>
  <si>
    <t>kitchen_and_buttery_1@3</t>
  </si>
  <si>
    <t>kitchen_and_buttery_1@4</t>
  </si>
  <si>
    <t>kitchen_and_buttery_1@5</t>
  </si>
  <si>
    <t>kitchen_and_buttery_2@1</t>
  </si>
  <si>
    <t>mushroom_farm@1</t>
  </si>
  <si>
    <t>mushroom_farm@2</t>
  </si>
  <si>
    <t>orangery@1</t>
  </si>
  <si>
    <t>orangery@2</t>
  </si>
  <si>
    <t>pantry_1@1</t>
  </si>
  <si>
    <t>pantry_1@2</t>
  </si>
  <si>
    <t>pantry_1@3</t>
  </si>
  <si>
    <t>pantry_1@4</t>
  </si>
  <si>
    <t>pantry_1@5</t>
  </si>
  <si>
    <t>pantry_2@1</t>
  </si>
  <si>
    <t>pantry_2@2</t>
  </si>
  <si>
    <t>pantry_2@3</t>
  </si>
  <si>
    <t>pantry_2@4</t>
  </si>
  <si>
    <t>pantry_2@5</t>
  </si>
  <si>
    <t>pantry_3@1</t>
  </si>
  <si>
    <t>pantry_3@2</t>
  </si>
  <si>
    <t>pantry_3@3</t>
  </si>
  <si>
    <t>pantry_3@4</t>
  </si>
  <si>
    <t>pantry_3@5</t>
  </si>
  <si>
    <t>pantry_4@1</t>
  </si>
  <si>
    <t>statue@1</t>
  </si>
  <si>
    <t>tavern@1</t>
  </si>
  <si>
    <t>tavern@2</t>
  </si>
  <si>
    <t>treasury_1@1</t>
  </si>
  <si>
    <t>treasury_1@2</t>
  </si>
  <si>
    <t>treasury_1@3</t>
  </si>
  <si>
    <t>treasury_1@4</t>
  </si>
  <si>
    <t>treasury_1@5</t>
  </si>
  <si>
    <t>treasury_2@1</t>
  </si>
  <si>
    <t>treasury_2@2</t>
  </si>
  <si>
    <t>treasury_2@3</t>
  </si>
  <si>
    <t>treasury_3@1</t>
  </si>
  <si>
    <t>astrolabe</t>
  </si>
  <si>
    <t>barometer</t>
  </si>
  <si>
    <t>cinema_projector</t>
  </si>
  <si>
    <t>dagger</t>
  </si>
  <si>
    <t>emerald_tablet</t>
  </si>
  <si>
    <t>flamethrower</t>
  </si>
  <si>
    <t>guild_banner</t>
  </si>
  <si>
    <t>guild_codex</t>
  </si>
  <si>
    <t>guild_supplies</t>
  </si>
  <si>
    <t>hat_of_concentration</t>
  </si>
  <si>
    <t>helmet</t>
  </si>
  <si>
    <t>historical_library</t>
  </si>
  <si>
    <t>hotei_statuette</t>
  </si>
  <si>
    <t>metal_detector</t>
  </si>
  <si>
    <t>necklace_for_haruka</t>
  </si>
  <si>
    <t>safe</t>
  </si>
  <si>
    <t>solver_1_prototype</t>
  </si>
  <si>
    <t>telescope</t>
  </si>
  <si>
    <t>tetrachloroaurate</t>
  </si>
  <si>
    <t>trigonometry</t>
  </si>
  <si>
    <t>airship_titanium_longerons</t>
  </si>
  <si>
    <t>alchemists_hut_balm</t>
  </si>
  <si>
    <t>alchemists_hut_galvanization</t>
  </si>
  <si>
    <t>alchemists_hut_gold_ingot</t>
  </si>
  <si>
    <t>alchemists_hut_greek_grenade</t>
  </si>
  <si>
    <t>alchemists_hut_madness_grenade</t>
  </si>
  <si>
    <t>alchemists_hut_mercury</t>
  </si>
  <si>
    <t>alchemists_hut_metamorphosis</t>
  </si>
  <si>
    <t>alchemists_hut_potion_of_energy</t>
  </si>
  <si>
    <t>alchemists_hut_potion_of_healing</t>
  </si>
  <si>
    <t>alchemists_hut_potion_of_healing_lvl_2</t>
  </si>
  <si>
    <t>alchemists_hut_potion_of_mental_power</t>
  </si>
  <si>
    <t>bridge_koi_fish</t>
  </si>
  <si>
    <t>bridge_salmon_farming</t>
  </si>
  <si>
    <t>dairy_big_data_farming</t>
  </si>
  <si>
    <t>dairy_classical_music_for_the_farm</t>
  </si>
  <si>
    <t>dungeon_great_hall</t>
  </si>
  <si>
    <t>fermentory_pasteurization</t>
  </si>
  <si>
    <t>field_combine_harvester</t>
  </si>
  <si>
    <t>field_seed_drill</t>
  </si>
  <si>
    <t>field_soybean</t>
  </si>
  <si>
    <t>food_stall_conveyor_belt_sushi</t>
  </si>
  <si>
    <t>food_stall_inarizushi</t>
  </si>
  <si>
    <t>food_stall_jam</t>
  </si>
  <si>
    <t>food_stall_mandra_cola</t>
  </si>
  <si>
    <t>food_stall_mayonnaise</t>
  </si>
  <si>
    <t>food_stall_miso_soup</t>
  </si>
  <si>
    <t>food_stall_quintessence_of_taste</t>
  </si>
  <si>
    <t>furnace_conveyor</t>
  </si>
  <si>
    <t>furnace_glass</t>
  </si>
  <si>
    <t>furnace_meteoric_steel</t>
  </si>
  <si>
    <t>furnace_titanium_parts</t>
  </si>
  <si>
    <t>garden_sprinkler</t>
  </si>
  <si>
    <t>laboratory_digitization</t>
  </si>
  <si>
    <t>laboratory_experiments</t>
  </si>
  <si>
    <t>outpost_arsenal_lvl_1</t>
  </si>
  <si>
    <t>outpost_arsenal_lvl_2</t>
  </si>
  <si>
    <t>outpost_futures_contracts</t>
  </si>
  <si>
    <t>outpost_optional_contracts</t>
  </si>
  <si>
    <t>outpost_sayonara_tax</t>
  </si>
  <si>
    <t>outpost_tax_return_on_floppy_disk</t>
  </si>
  <si>
    <t>rock_garden_rake</t>
  </si>
  <si>
    <t>shop_glass_recycling</t>
  </si>
  <si>
    <t>shop_pre_orders</t>
  </si>
  <si>
    <t>smithy_gears</t>
  </si>
  <si>
    <t>smithy_sword_for_a_hero_lvl_1</t>
  </si>
  <si>
    <t>smithy_sword_for_a_hero_lvl_2</t>
  </si>
  <si>
    <t>smithy_sword_for_a_hero_lvl_3</t>
  </si>
  <si>
    <t>smithy_sword_for_a_hero_lvl_4</t>
  </si>
  <si>
    <t>smithy_sword_for_a_hero_lvl_4+</t>
  </si>
  <si>
    <t>smithy_throwing_knife</t>
  </si>
  <si>
    <t>smithy_treasure</t>
  </si>
  <si>
    <t>smithy_weapon_grease</t>
  </si>
  <si>
    <t>tailor_ariadnes_thread</t>
  </si>
  <si>
    <t>tailor_armor_for_a_hero_lvl_1</t>
  </si>
  <si>
    <t>tailor_armor_for_a_hero_lvl_2</t>
  </si>
  <si>
    <t>tailor_armor_for_a_hero_lvl_3</t>
  </si>
  <si>
    <t>tailor_armor_for_a_hero_lvl_4</t>
  </si>
  <si>
    <t>tailor_armor_for_a_hero_lvl_4+</t>
  </si>
  <si>
    <t>tailor_bedroll</t>
  </si>
  <si>
    <t>tailor_colored_threads</t>
  </si>
  <si>
    <t>tailor_salamander_velour</t>
  </si>
  <si>
    <t>tailor_strong_rivets</t>
  </si>
  <si>
    <t>tailor_strong_stitch</t>
  </si>
  <si>
    <t>train_automatic_lubricator</t>
  </si>
  <si>
    <t>train_compound_engine</t>
  </si>
  <si>
    <t>train_onboard_computer</t>
  </si>
  <si>
    <t>train_superheater</t>
  </si>
  <si>
    <t>train_titanium_components</t>
  </si>
  <si>
    <t>warehouse_stackable_racks_lvl_1</t>
  </si>
  <si>
    <t>warehouse_stackable_racks_lvl_2</t>
  </si>
  <si>
    <t>warehouse_stackable_racks_lvl_3</t>
  </si>
  <si>
    <t>workshop_explosive_mechanical_spider</t>
  </si>
  <si>
    <t>workshop_mechanical_spider</t>
  </si>
  <si>
    <t>workshop_mechanism</t>
  </si>
  <si>
    <t>workshop_shield_for_a_hero_lvl_1</t>
  </si>
  <si>
    <t>workshop_shield_for_a_hero_lvl_2</t>
  </si>
  <si>
    <t>workshop_shield_for_a_hero_lvl_3</t>
  </si>
  <si>
    <t>workshop_shield_for_a_hero_lvl_4</t>
  </si>
  <si>
    <t>workshop_shield_for_a_hero_lvl_4+</t>
  </si>
  <si>
    <t>workshop_steamobile</t>
  </si>
  <si>
    <t>workshop_strong_glue</t>
  </si>
  <si>
    <t>workshop_throwing_net</t>
  </si>
  <si>
    <t>workshop_zen_fountain</t>
  </si>
  <si>
    <t>NormalizedNotes</t>
  </si>
  <si>
    <t>BUILDING_LVL:train:Freight carriage@1</t>
  </si>
  <si>
    <t>QUEST_COMPLETE:once upon a forest chapter 14</t>
  </si>
  <si>
    <t>QUEST_COMPLETE:once upon a forest chapter 15</t>
  </si>
  <si>
    <t>TECH:Research and development</t>
  </si>
  <si>
    <t>TECH:Potion Berserker rage</t>
  </si>
  <si>
    <t>NormalizedOwnerID</t>
  </si>
  <si>
    <t>alchemists_hut_conveyor_lvl_1</t>
  </si>
  <si>
    <t>alchemists_hut_conveyor_lvl_2</t>
  </si>
  <si>
    <t>alchemists_hut_potion_ambrosia</t>
  </si>
  <si>
    <t>alchemists_hut_potion_berserker_rage</t>
  </si>
  <si>
    <t>laboratory_research_and_development</t>
  </si>
  <si>
    <t>workshop_conveyor_lvl_1</t>
  </si>
  <si>
    <t>workshop_conveyor_lvl_2</t>
  </si>
  <si>
    <t>TECH:workshop.Conveyor lvl. 1</t>
  </si>
  <si>
    <t>TECH:alchemists_hut.Conveyor lvl. 1</t>
  </si>
  <si>
    <t>building.laboratory_data_center.maxed</t>
  </si>
  <si>
    <t>Laboratory: Data Center maxed</t>
  </si>
  <si>
    <t>COLLECTION_LVL:Armory #1@1</t>
  </si>
  <si>
    <t>COLLECTION_LVL:Armory #1@2</t>
  </si>
  <si>
    <t>COLLECTION_LVL:Attic@1</t>
  </si>
  <si>
    <t>COLLECTION_LVL:Attic@2</t>
  </si>
  <si>
    <t>COLLECTION_LVL:Attic@3</t>
  </si>
  <si>
    <t>COLLECTION_LVL:Attic@4</t>
  </si>
  <si>
    <t>COLLECTION_LVL:Courtyard #1@1</t>
  </si>
  <si>
    <t>COLLECTION_LVL:Gallery #1@1</t>
  </si>
  <si>
    <t>COLLECTION_LVL:Gallery #1@2</t>
  </si>
  <si>
    <t>COLLECTION_LVL:Gallery #1@3</t>
  </si>
  <si>
    <t>COLLECTION_LVL:Gallery #1@4</t>
  </si>
  <si>
    <t>COLLECTION_LVL:Gallery #2@1</t>
  </si>
  <si>
    <t>COLLECTION_LVL:Gallery #2@2</t>
  </si>
  <si>
    <t>COLLECTION_LVL:Gallery #2@3</t>
  </si>
  <si>
    <t>COLLECTION_LVL:Gallery #2@4</t>
  </si>
  <si>
    <t>COLLECTION_LVL:Gallery #3@1</t>
  </si>
  <si>
    <t>COLLECTION_LVL:Gallery #3@2</t>
  </si>
  <si>
    <t>COLLECTION_LVL:Gallery #3@3</t>
  </si>
  <si>
    <t>COLLECTION_LVL:Gallery #3@4</t>
  </si>
  <si>
    <t>COLLECTION_LVL:Historical library #1@1</t>
  </si>
  <si>
    <t>COLLECTION_LVL:Historical library #1@2</t>
  </si>
  <si>
    <t>COLLECTION_LVL:Historical library #2@1</t>
  </si>
  <si>
    <t>COLLECTION_LVL:Historical library #2@2</t>
  </si>
  <si>
    <t>COLLECTION_LVL:Kitchen and buttery #1@1</t>
  </si>
  <si>
    <t>COLLECTION_LVL:Kitchen and buttery #1@2</t>
  </si>
  <si>
    <t>COLLECTION_LVL:Kitchen and buttery #1@3</t>
  </si>
  <si>
    <t>COLLECTION_LVL:Kitchen and buttery #1@4</t>
  </si>
  <si>
    <t>COLLECTION_LVL:Mushroom farm@1</t>
  </si>
  <si>
    <t>COLLECTION_LVL:Orangery@1</t>
  </si>
  <si>
    <t>COLLECTION_LVL:Pantry #1@1</t>
  </si>
  <si>
    <t>COLLECTION_LVL:Pantry #1@2</t>
  </si>
  <si>
    <t>COLLECTION_LVL:Pantry #1@3</t>
  </si>
  <si>
    <t>COLLECTION_LVL:Pantry #1@4</t>
  </si>
  <si>
    <t>COLLECTION_LVL:Pantry #2@1</t>
  </si>
  <si>
    <t>COLLECTION_LVL:Pantry #2@2</t>
  </si>
  <si>
    <t>COLLECTION_LVL:Pantry #2@3</t>
  </si>
  <si>
    <t>COLLECTION_LVL:Pantry #2@4</t>
  </si>
  <si>
    <t>COLLECTION_LVL:Pantry #3@1</t>
  </si>
  <si>
    <t>COLLECTION_LVL:Pantry #3@2</t>
  </si>
  <si>
    <t>COLLECTION_LVL:Pantry #3@3</t>
  </si>
  <si>
    <t>COLLECTION_LVL:Pantry #3@4</t>
  </si>
  <si>
    <t>COLLECTION_LVL:Tavern@1</t>
  </si>
  <si>
    <t>COLLECTION_LVL:Treasury #1@1</t>
  </si>
  <si>
    <t>COLLECTION_LVL:Treasury #1@2</t>
  </si>
  <si>
    <t>COLLECTION_LVL:Treasury #1@3</t>
  </si>
  <si>
    <t>COLLECTION_LVL:Treasury #1@4</t>
  </si>
  <si>
    <t>COLLECTION_LVL:Treasury #2@1</t>
  </si>
  <si>
    <t>COLLECTION_LVL:Treasury #2@2</t>
  </si>
  <si>
    <t>CITADEL:Armory | COLLECTION_LVL:Armory #1@1</t>
  </si>
  <si>
    <t>CITADEL:Armory | COLLECTION_LVL:Armory #1@2</t>
  </si>
  <si>
    <t>CITADEL:Attic | COLLECTION_LVL:Attic@1</t>
  </si>
  <si>
    <t>CITADEL:Attic | COLLECTION_LVL:Attic@2</t>
  </si>
  <si>
    <t>CITADEL:Attic | COLLECTION_LVL:Attic@3</t>
  </si>
  <si>
    <t>CITADEL:Attic | COLLECTION_LVL:Attic@4</t>
  </si>
  <si>
    <t>CITADEL:Courtyard | COLLECTION_LVL:Courtyard #1@1</t>
  </si>
  <si>
    <t>CITADEL:Gallery | COLLECTION_LVL:Gallery #1@1</t>
  </si>
  <si>
    <t>CITADEL:Gallery | COLLECTION_LVL:Gallery #1@2</t>
  </si>
  <si>
    <t>CITADEL:Gallery | COLLECTION_LVL:Gallery #1@3</t>
  </si>
  <si>
    <t>CITADEL:Gallery | COLLECTION_LVL:Gallery #1@4</t>
  </si>
  <si>
    <t>CITADEL:Gallery | COLLECTION_LVL:Gallery #2@1</t>
  </si>
  <si>
    <t>CITADEL:Gallery | COLLECTION_LVL:Gallery #2@2</t>
  </si>
  <si>
    <t>CITADEL:Gallery | COLLECTION_LVL:Gallery #2@3</t>
  </si>
  <si>
    <t>CITADEL:Gallery | COLLECTION_LVL:Gallery #2@4</t>
  </si>
  <si>
    <t>CITADEL:Gallery | COLLECTION_LVL:Gallery #3@1</t>
  </si>
  <si>
    <t>CITADEL:Gallery | COLLECTION_LVL:Gallery #3@2</t>
  </si>
  <si>
    <t>CITADEL:Gallery | COLLECTION_LVL:Gallery #3@3</t>
  </si>
  <si>
    <t>CITADEL:Gallery | COLLECTION_LVL:Gallery #3@4</t>
  </si>
  <si>
    <t>CITADEL:Great hall | COLLECTION_LVL:Historical library #1@1</t>
  </si>
  <si>
    <t>CITADEL:Great hall | COLLECTION_LVL:Historical library #1@2</t>
  </si>
  <si>
    <t>CITADEL:Great hall | COLLECTION_LVL:Historical library #2@1</t>
  </si>
  <si>
    <t>CITADEL:Great hall | COLLECTION_LVL:Historical library #2@2</t>
  </si>
  <si>
    <t>CITADEL:Kitchen and buttery | COLLECTION_LVL:Kitchen and buttery #1@1</t>
  </si>
  <si>
    <t>CITADEL:Kitchen and buttery | COLLECTION_LVL:Kitchen and buttery #1@2</t>
  </si>
  <si>
    <t>CITADEL:Kitchen and buttery | COLLECTION_LVL:Kitchen and buttery #1@3</t>
  </si>
  <si>
    <t>CITADEL:Kitchen and buttery | COLLECTION_LVL:Kitchen and buttery #1@4</t>
  </si>
  <si>
    <t>CITADEL:Mushroom farm | COLLECTION_LVL:Mushroom farm@1</t>
  </si>
  <si>
    <t>CITADEL:Orangery | COLLECTION_LVL:Orangery@1</t>
  </si>
  <si>
    <t>CITADEL:Pantry | COLLECTION_LVL:Pantry #1@1</t>
  </si>
  <si>
    <t>CITADEL:Pantry | COLLECTION_LVL:Pantry #1@2</t>
  </si>
  <si>
    <t>CITADEL:Pantry | COLLECTION_LVL:Pantry #1@3</t>
  </si>
  <si>
    <t>CITADEL:Pantry | COLLECTION_LVL:Pantry #1@4</t>
  </si>
  <si>
    <t>CITADEL:Pantry | COLLECTION_LVL:Pantry #2@1</t>
  </si>
  <si>
    <t>CITADEL:Pantry | COLLECTION_LVL:Pantry #2@2</t>
  </si>
  <si>
    <t>CITADEL:Pantry | COLLECTION_LVL:Pantry #2@3</t>
  </si>
  <si>
    <t>CITADEL:Pantry | COLLECTION_LVL:Pantry #2@4</t>
  </si>
  <si>
    <t>CITADEL:Pantry | COLLECTION_LVL:Pantry #3@1</t>
  </si>
  <si>
    <t>CITADEL:Pantry | COLLECTION_LVL:Pantry #3@2</t>
  </si>
  <si>
    <t>CITADEL:Pantry | COLLECTION_LVL:Pantry #3@3</t>
  </si>
  <si>
    <t>CITADEL:Pantry | COLLECTION_LVL:Pantry #3@4</t>
  </si>
  <si>
    <t>CITADEL:Tavern | COLLECTION_LVL:Tavern@1</t>
  </si>
  <si>
    <t>CITADEL:Treasury | COLLECTION_LVL:Treasury #1@1</t>
  </si>
  <si>
    <t>CITADEL:Treasury | COLLECTION_LVL:Treasury #1@2</t>
  </si>
  <si>
    <t>CITADEL:Treasury | COLLECTION_LVL:Treasury #1@3</t>
  </si>
  <si>
    <t>CITADEL:Treasury | COLLECTION_LVL:Treasury #1@4</t>
  </si>
  <si>
    <t>CITADEL:Treasury | COLLECTION_LVL:Treasury #2@1</t>
  </si>
  <si>
    <t>CITADEL:Treasury | COLLECTION_LVL:Treasury #2@2</t>
  </si>
  <si>
    <t>CITADEL_LVL:Lair_Lvl_1</t>
  </si>
  <si>
    <t>airship.maxed</t>
  </si>
  <si>
    <t>alchemists_hut.maxed</t>
  </si>
  <si>
    <t>bridge.maxed</t>
  </si>
  <si>
    <t>dairy.maxed</t>
  </si>
  <si>
    <t>dungeon.maxed</t>
  </si>
  <si>
    <t>fermentory.maxed</t>
  </si>
  <si>
    <t>field.maxed</t>
  </si>
  <si>
    <t>food_stall.maxed</t>
  </si>
  <si>
    <t>furnace.maxed</t>
  </si>
  <si>
    <t>garden.maxed</t>
  </si>
  <si>
    <t>laboratory.maxed</t>
  </si>
  <si>
    <t>laboratory_data_center.maxed</t>
  </si>
  <si>
    <t>outpost.maxed</t>
  </si>
  <si>
    <t>rock_garden.maxed</t>
  </si>
  <si>
    <t>shop.maxed</t>
  </si>
  <si>
    <t>smithy.maxed</t>
  </si>
  <si>
    <t>tailor.maxed</t>
  </si>
  <si>
    <t>train.maxed</t>
  </si>
  <si>
    <t>warehouse.maxed</t>
  </si>
  <si>
    <t>windmill.maxed</t>
  </si>
  <si>
    <t>workshop.maxed</t>
  </si>
  <si>
    <t>building.Laboratory@5</t>
  </si>
  <si>
    <t>state.character_level@40</t>
  </si>
  <si>
    <t>state.character_level@6</t>
  </si>
  <si>
    <t>BUILDING_LVL:alchemists_hut@1</t>
  </si>
  <si>
    <t>BUILDING_LVL:alchemists_hut@2</t>
  </si>
  <si>
    <t>BUILDING_LVL:guild@5</t>
  </si>
  <si>
    <t>BUILDING_LVL:alchemists_hut@4</t>
  </si>
  <si>
    <t>BUILDING_LVL:alchemists_hut@5</t>
  </si>
  <si>
    <t>state.character_level@32</t>
  </si>
  <si>
    <t>state.character_level@21</t>
  </si>
  <si>
    <t>state.character_level@30</t>
  </si>
  <si>
    <t>state.character_level@15</t>
  </si>
  <si>
    <t>QUEST_COMPLETE:the_ordinary_days_of_an_adventurer_chapter_6</t>
  </si>
  <si>
    <t>QUEST_COMPLETE:the_ordinary_days_of_an_adventurer_chapter_7</t>
  </si>
  <si>
    <t>QUEST_ACCEPT:ahead_of_time_chapter_1</t>
  </si>
  <si>
    <t>QUEST_ACCEPT:ahead_of_time_chapter_2</t>
  </si>
  <si>
    <t>state.character_level@10</t>
  </si>
  <si>
    <t>state.character_level@20</t>
  </si>
  <si>
    <t>state.character_level@50</t>
  </si>
  <si>
    <t>QUEST_COMPLETE:magic_beans</t>
  </si>
  <si>
    <t>state.character_level@55</t>
  </si>
  <si>
    <t>state.character_level@7</t>
  </si>
  <si>
    <t>state.character_level@8</t>
  </si>
  <si>
    <t>BUILDING_LVL:food_stall@1</t>
  </si>
  <si>
    <t>state.character_level@24</t>
  </si>
  <si>
    <t>BUILDING_LVL:food_stall@2</t>
  </si>
  <si>
    <t>state.character_level@12</t>
  </si>
  <si>
    <t>QUEST_COMPLETE:ahead_of_time_chapter_4</t>
  </si>
  <si>
    <t>QUEST_COMPLETE:ahead_of_time_chapter_5</t>
  </si>
  <si>
    <t>BUILDING_LVL:laboratory@5</t>
  </si>
  <si>
    <t>QUEST_ACCEPT:ahead_of_time_chapter_5</t>
  </si>
  <si>
    <t>CRAFTIFACT:telescope</t>
  </si>
  <si>
    <t>CRAFTIFACT:solver_1_prototype</t>
  </si>
  <si>
    <t>state.character_level@80</t>
  </si>
  <si>
    <t>BUILDING_LVL:laboratory@1</t>
  </si>
  <si>
    <t>BUILDING_LVL:laboratory@2</t>
  </si>
  <si>
    <t>BUILDING_LVL:laboratory@3</t>
  </si>
  <si>
    <t>BUILDING_LVL:laboratory@4</t>
  </si>
  <si>
    <t>state.character_level@11</t>
  </si>
  <si>
    <t>state.character_level@31</t>
  </si>
  <si>
    <t>state.character_level@4</t>
  </si>
  <si>
    <t>state.character_level@14</t>
  </si>
  <si>
    <t>state.character_level@18</t>
  </si>
  <si>
    <t>state.character_level@23</t>
  </si>
  <si>
    <t>state.character_level@28</t>
  </si>
  <si>
    <t>state.character_level@22</t>
  </si>
  <si>
    <t>state.character_level@13</t>
  </si>
  <si>
    <t>BUILDING_LVL:rock_garden@1</t>
  </si>
  <si>
    <t>BUILDING_LVL:rock_garden@2</t>
  </si>
  <si>
    <t>BUILDING_LVL:pier@1</t>
  </si>
  <si>
    <t>state.character_level@3</t>
  </si>
  <si>
    <t>state.character_level@9</t>
  </si>
  <si>
    <t>BUILDING_LVL:train_freight_carriage@1</t>
  </si>
  <si>
    <t>BUILDING_LVL:train_passenger_carriage@1</t>
  </si>
  <si>
    <t>BUILDING_LVL:station@1</t>
  </si>
  <si>
    <t>state.character_level@5</t>
  </si>
  <si>
    <t>state.character_level@2</t>
  </si>
  <si>
    <t>TECH:great_hall</t>
  </si>
  <si>
    <t>QUEST_COMPLETE:once_upon_a_forest_chapter_14</t>
  </si>
  <si>
    <t>QUEST_COMPLETE:once_upon_a_forest_chapter_15</t>
  </si>
  <si>
    <t>QUEST_ACCEPT:the_ordinary_days_of_an_adventurer_chapter_5</t>
  </si>
  <si>
    <t>QUEST_ACCEPT:the_ordinary_days_of_an_adventurer_chapter_6</t>
  </si>
  <si>
    <t>STATE:tame_a_critter</t>
  </si>
  <si>
    <t>CITADEL_LVL:lair_lvl_1</t>
  </si>
  <si>
    <t>CITADEL:armory</t>
  </si>
  <si>
    <t>COLLECTION_LVL:armory_1@1</t>
  </si>
  <si>
    <t>COLLECTION_LVL:armory_1@2</t>
  </si>
  <si>
    <t>CITADEL:attic</t>
  </si>
  <si>
    <t>COLLECTION_LVL:attic@1</t>
  </si>
  <si>
    <t>COLLECTION_LVL:attic@2</t>
  </si>
  <si>
    <t>COLLECTION_LVL:attic@3</t>
  </si>
  <si>
    <t>COLLECTION_LVL:attic@4</t>
  </si>
  <si>
    <t>CITADEL:courtyard</t>
  </si>
  <si>
    <t>COLLECTION_LVL:courtyard_1@1</t>
  </si>
  <si>
    <t>CITADEL:gallery</t>
  </si>
  <si>
    <t>COLLECTION_LVL:gallery_1@1</t>
  </si>
  <si>
    <t>COLLECTION_LVL:gallery_1@2</t>
  </si>
  <si>
    <t>COLLECTION_LVL:gallery_1@3</t>
  </si>
  <si>
    <t>COLLECTION_LVL:gallery_1@4</t>
  </si>
  <si>
    <t>COLLECTION_LVL:gallery_2@1</t>
  </si>
  <si>
    <t>COLLECTION_LVL:gallery_2@2</t>
  </si>
  <si>
    <t>COLLECTION_LVL:gallery_2@3</t>
  </si>
  <si>
    <t>COLLECTION_LVL:gallery_2@4</t>
  </si>
  <si>
    <t>COLLECTION_LVL:gallery_3@1</t>
  </si>
  <si>
    <t>COLLECTION_LVL:gallery_3@2</t>
  </si>
  <si>
    <t>COLLECTION_LVL:gallery_3@3</t>
  </si>
  <si>
    <t>COLLECTION_LVL:gallery_3@4</t>
  </si>
  <si>
    <t>CITADEL:great_hall</t>
  </si>
  <si>
    <t>CRAFTIFACT:historical_library</t>
  </si>
  <si>
    <t>COLLECTION_LVL:historical_library_1@1</t>
  </si>
  <si>
    <t>COLLECTION_LVL:historical_library_1@2</t>
  </si>
  <si>
    <t>COLLECTION_LVL:historical_library_2@1</t>
  </si>
  <si>
    <t>COLLECTION_LVL:historical_library_2@2</t>
  </si>
  <si>
    <t>QUEST_COMPLETE:once_upon_a_forest_chapter_2</t>
  </si>
  <si>
    <t>CITADEL:kitchen_and_buttery</t>
  </si>
  <si>
    <t>COLLECTION_LVL:kitchen_and_buttery_1@1</t>
  </si>
  <si>
    <t>COLLECTION_LVL:kitchen_and_buttery_1@2</t>
  </si>
  <si>
    <t>COLLECTION_LVL:kitchen_and_buttery_1@3</t>
  </si>
  <si>
    <t>COLLECTION_LVL:kitchen_and_buttery_1@4</t>
  </si>
  <si>
    <t>CITADEL:mushroom_farm</t>
  </si>
  <si>
    <t>COLLECTION_LVL:mushroom_farm@1</t>
  </si>
  <si>
    <t>CITADEL:orangery</t>
  </si>
  <si>
    <t>COLLECTION_LVL:orangery@1</t>
  </si>
  <si>
    <t>CITADEL:pantry</t>
  </si>
  <si>
    <t>COLLECTION_LVL:pantry_1@1</t>
  </si>
  <si>
    <t>COLLECTION_LVL:pantry_1@2</t>
  </si>
  <si>
    <t>COLLECTION_LVL:pantry_1@3</t>
  </si>
  <si>
    <t>COLLECTION_LVL:pantry_1@4</t>
  </si>
  <si>
    <t>COLLECTION_LVL:pantry_2@1</t>
  </si>
  <si>
    <t>COLLECTION_LVL:pantry_2@2</t>
  </si>
  <si>
    <t>COLLECTION_LVL:pantry_2@3</t>
  </si>
  <si>
    <t>COLLECTION_LVL:pantry_2@4</t>
  </si>
  <si>
    <t>COLLECTION_LVL:pantry_3@1</t>
  </si>
  <si>
    <t>COLLECTION_LVL:pantry_3@2</t>
  </si>
  <si>
    <t>COLLECTION_LVL:pantry_3@3</t>
  </si>
  <si>
    <t>COLLECTION_LVL:pantry_3@4</t>
  </si>
  <si>
    <t>CITADEL:tavern</t>
  </si>
  <si>
    <t>COLLECTION_LVL:tavern@1</t>
  </si>
  <si>
    <t>CITADEL:treasury</t>
  </si>
  <si>
    <t>COLLECTION_LVL:treasury_1@1</t>
  </si>
  <si>
    <t>COLLECTION_LVL:treasury_1@2</t>
  </si>
  <si>
    <t>COLLECTION_LVL:treasury_1@3</t>
  </si>
  <si>
    <t>COLLECTION_LVL:treasury_1@4</t>
  </si>
  <si>
    <t>COLLECTION_LVL:treasury_2@1</t>
  </si>
  <si>
    <t>COLLECTION_LVL:treasury_2@2</t>
  </si>
  <si>
    <t>BUILDING_LVL:ship@4</t>
  </si>
  <si>
    <t>BUILDING_LVL:workshop@5</t>
  </si>
  <si>
    <t>QUEST_COMPLETE:once_upon_a_forest_chapter_6</t>
  </si>
  <si>
    <t>BUILDING_LVL:smithy@3</t>
  </si>
  <si>
    <t>BUILDING_LVL:alchemists_hut@6</t>
  </si>
  <si>
    <t>QUEST_COMPLETE:once_upon_a_forest_chapter_10</t>
  </si>
  <si>
    <t>BUILDING_LVL:food_stall@3</t>
  </si>
  <si>
    <t>BUILDING_LVL:tailor@3</t>
  </si>
  <si>
    <t>BUILDING_LVL:furnace@3</t>
  </si>
  <si>
    <t>QUEST_COMPLETE:once_upon_a_forest_chapter_11</t>
  </si>
  <si>
    <t>QUEST_COMPLETE:once_upon_a_forest_chapter_3</t>
  </si>
  <si>
    <t>STATE:complete_project_any&gt;=1</t>
  </si>
  <si>
    <t>QUEST_COMPLETE:ahead_of_time_chapter_1</t>
  </si>
  <si>
    <t>STATE:visit_dungeon@6a</t>
  </si>
  <si>
    <t>state.visit_dungeon@6a</t>
  </si>
  <si>
    <t>QUEST_COMPLETE:ahead_of_time_chapter_2</t>
  </si>
  <si>
    <t>QUEST_COMPLETE:ahead_of_time_chapter_3</t>
  </si>
  <si>
    <t>STATE:meet_fat_demon@4a</t>
  </si>
  <si>
    <t>state.meet_fat_demon@4a</t>
  </si>
  <si>
    <t>STATE:meet_old_man@4c</t>
  </si>
  <si>
    <t>state.meet_old_man@4c</t>
  </si>
  <si>
    <t>STATE:capacity_firework&gt;=10</t>
  </si>
  <si>
    <t>state.capacity_firework&gt;=10</t>
  </si>
  <si>
    <t>QUEST_COMPLETE:festival_returns</t>
  </si>
  <si>
    <t>QUEST_COMPLETE:the_ring_of_the_dark_lady</t>
  </si>
  <si>
    <t>STATE:visit_dungeon@4a</t>
  </si>
  <si>
    <t>state.visit_dungeon@4a</t>
  </si>
  <si>
    <t>STATE:meet_mech_adventurer@2b</t>
  </si>
  <si>
    <t>state.meet_mech_adventurer@2b</t>
  </si>
  <si>
    <t>QUEST_COMPLETE:once_upon_a_forest_chapter_1</t>
  </si>
  <si>
    <t>STATE:meet_raven@f1</t>
  </si>
  <si>
    <t>QUEST_COMPLETE:once_upon_a_forest_chapter_8</t>
  </si>
  <si>
    <t>STATE:meet_inventor@5b</t>
  </si>
  <si>
    <t>state.meet_inventor@5b</t>
  </si>
  <si>
    <t>QUEST_COMPLETE:once_upon_a_forest_chapter_4</t>
  </si>
  <si>
    <t>STATE:meet_mrs_diligance@f2</t>
  </si>
  <si>
    <t>state.meet_mrs_diligance@f2</t>
  </si>
  <si>
    <t>QUEST_ACCEPT:once_upon_a_forest_chapter_5</t>
  </si>
  <si>
    <t>STATE:meet_forest_fairy@f2_after_accepting_chapter_5</t>
  </si>
  <si>
    <t>STATE:meet_dark_lady@f2</t>
  </si>
  <si>
    <t>state.meet_dark_lady@f2</t>
  </si>
  <si>
    <t>QUEST_COMPLETE:once_upon_a_forest_chapter_7</t>
  </si>
  <si>
    <t>STATE:meet_raven@f3</t>
  </si>
  <si>
    <t>state.meet_raven@f3</t>
  </si>
  <si>
    <t>QUEST_ACCEPT:once_upon_a_forest_chapter_9</t>
  </si>
  <si>
    <t>STATE:visit_dungeon@f1</t>
  </si>
  <si>
    <t>QUEST_ACCEPT:once_upon_a_forest_chapter_10</t>
  </si>
  <si>
    <t>STATE:meet_pilot@f3</t>
  </si>
  <si>
    <t>state.meet_pilot@f3</t>
  </si>
  <si>
    <t>QUEST_ACCEPT:once_upon_a_forest_chapter_11</t>
  </si>
  <si>
    <t>STATE:meet_mr_diligence@f1</t>
  </si>
  <si>
    <t>state.meet_mr_diligence@f1</t>
  </si>
  <si>
    <t>QUEST_ACCEPT:once_upon_a_forest_chapter_12</t>
  </si>
  <si>
    <t>STATE:meet_foodie_demon@f2</t>
  </si>
  <si>
    <t>state.meet_foodie_demon@f2</t>
  </si>
  <si>
    <t>QUEST_COMPLETE:once_upon_a_forest_chapter_12</t>
  </si>
  <si>
    <t>QUEST_COMPLETE:quest_for_knowledge_chapter_1</t>
  </si>
  <si>
    <t>STATE:map_catacombs</t>
  </si>
  <si>
    <t>STATE:obtain_any_artifact</t>
  </si>
  <si>
    <t>state.obtain_any_artifact</t>
  </si>
  <si>
    <t>QUEST_COMPLETE:shoguns_katana_chapter_1</t>
  </si>
  <si>
    <t>QUEST_COMPLETE:shoguns_katana_chapter_2</t>
  </si>
  <si>
    <t>QUEST_COMPLETE:shoguns_katana_chapter_3</t>
  </si>
  <si>
    <t>QUEST_COMPLETE:shoguns_katana_chapter_5</t>
  </si>
  <si>
    <t>QUEST_COMPLETE:shoguns_katana_chapter_6</t>
  </si>
  <si>
    <t>TECH:sword_for_a_hero_lvl_4</t>
  </si>
  <si>
    <t>TECH:shield_for_a_hero_lvl_4</t>
  </si>
  <si>
    <t>TECH:armor_for_a_hero_lvl_4</t>
  </si>
  <si>
    <t>STATE:meet_methusalem@f3</t>
  </si>
  <si>
    <t>state.meet_methusalem@f3</t>
  </si>
  <si>
    <t>STATE:meet_samurai_panda@6a</t>
  </si>
  <si>
    <t>state.meet_samurai_panda@6a</t>
  </si>
  <si>
    <t>QUEST_COMPLETE:the_ordinary_days_of_an_adventurer_chapter_2</t>
  </si>
  <si>
    <t>STATE:meet_dark_lady@6a</t>
  </si>
  <si>
    <t>state.meet_dark_lady@6a</t>
  </si>
  <si>
    <t>QUEST_COMPLETE:the_ordinary_days_of_an_adventurer_chapter_3</t>
  </si>
  <si>
    <t>STATE:meet_dark_lady@6b</t>
  </si>
  <si>
    <t>state.meet_dark_lady@6b</t>
  </si>
  <si>
    <t>QUEST_ACCEPT:the_ordinary_days_of_an_adventurer_chapter_4</t>
  </si>
  <si>
    <t>STATE:action_reenter_guild</t>
  </si>
  <si>
    <t>state.action_reenter_guild</t>
  </si>
  <si>
    <t>QUEST_COMPLETE:the_ordinary_days_of_an_adventurer_chapter_4</t>
  </si>
  <si>
    <t>QUEST_COMPLETE:dragon_teeth</t>
  </si>
  <si>
    <t>STATE:meet_dark_lady@4a</t>
  </si>
  <si>
    <t>state.meet_dark_lady@4a</t>
  </si>
  <si>
    <t>QUEST_COMPLETE:shoguns_katana_chapter_4</t>
  </si>
  <si>
    <t>QUEST_COMPLETE:spicy_odyssey</t>
  </si>
  <si>
    <t>STATE:meet_pirate_skeleton@3a</t>
  </si>
  <si>
    <t>state.meet_pirate_skeleton@3a</t>
  </si>
  <si>
    <t>STATE:obtain_treasure</t>
  </si>
  <si>
    <t>state.obtain_treasure</t>
  </si>
  <si>
    <t>STATE:complete_dungeon_5c</t>
  </si>
  <si>
    <t>state.complete_dungeon_5c</t>
  </si>
  <si>
    <t>STATE:visit_dungeon@5a_after_completing_5c</t>
  </si>
  <si>
    <t>TECH:titanium_parts</t>
  </si>
  <si>
    <t>BUILDING_MAX:airship</t>
  </si>
  <si>
    <t>tech.alchemists.hut_conveyor_lvl_1</t>
  </si>
  <si>
    <t>BUILDING_MAX:alchemists_hut</t>
  </si>
  <si>
    <t>BUILDING_MAX:workshop</t>
  </si>
  <si>
    <t>tech.alchemists.hut_advanced_fertilizer</t>
  </si>
  <si>
    <t>TECH:synthetic_fertilizer</t>
  </si>
  <si>
    <t>tech.alchemists.hut_conveyor_lvl_2</t>
  </si>
  <si>
    <t>TECH:alchemists_hut_conveyor_lvl_1</t>
  </si>
  <si>
    <t>tech.alchemists.hut_balm</t>
  </si>
  <si>
    <t>QUEST_ACCEPT:once_upon_a_forest_chapter_6</t>
  </si>
  <si>
    <t>tech.alchemists.hut_galvanization</t>
  </si>
  <si>
    <t>tech.alchemists.hut_gold_ingot</t>
  </si>
  <si>
    <t>TECH:mercury</t>
  </si>
  <si>
    <t>tech.alchemists.hut_greek_grenade</t>
  </si>
  <si>
    <t>tech.alchemists.hut_madness_grenade</t>
  </si>
  <si>
    <t>tech.alchemists.hut_mercury</t>
  </si>
  <si>
    <t>tech.alchemists.hut_metamorphosis</t>
  </si>
  <si>
    <t>tech.alchemists.hut_potion_ambrosia</t>
  </si>
  <si>
    <t>TECH:potion_berserker_rage</t>
  </si>
  <si>
    <t>TECH:potion_of_healing_lvl_2</t>
  </si>
  <si>
    <t>tech.alchemists.hut_potion_berserker_rage</t>
  </si>
  <si>
    <t>tech.alchemists.hut_potion_of_energy</t>
  </si>
  <si>
    <t>tech.alchemists.hut_potion_of_healing</t>
  </si>
  <si>
    <t>tech.alchemists.hut_potion_of_healing_lvl_2</t>
  </si>
  <si>
    <t>TECH:potion_of_healing</t>
  </si>
  <si>
    <t>tech.alchemists.hut_potion_of_mental_power</t>
  </si>
  <si>
    <t>tech.alchemists.hut_synthetic_fertilizer</t>
  </si>
  <si>
    <t>BUILDING_MAX:bridge</t>
  </si>
  <si>
    <t>TECH:classical_music_for_the_farm</t>
  </si>
  <si>
    <t>BUILDING_MAX:dairy</t>
  </si>
  <si>
    <t>BUILDING_MAX:fermentory</t>
  </si>
  <si>
    <t>TECH:steamobile</t>
  </si>
  <si>
    <t>TECH:seed_drill</t>
  </si>
  <si>
    <t>BUILDING_MAX:field</t>
  </si>
  <si>
    <t>TECH:mechanism</t>
  </si>
  <si>
    <t>TECH:soybean</t>
  </si>
  <si>
    <t>tech.food.stall_conveyor_belt_sushi</t>
  </si>
  <si>
    <t>BUILDING_MAX:food_stall</t>
  </si>
  <si>
    <t>tech.food.stall_inarizushi</t>
  </si>
  <si>
    <t>tech.food.stall_jam</t>
  </si>
  <si>
    <t>STATE:obtain_strawberry@f1_</t>
  </si>
  <si>
    <t>tech.food.stall_mandra_cola</t>
  </si>
  <si>
    <t>tech.food.stall_mayonnaise</t>
  </si>
  <si>
    <t>tech.food.stall_miso_soup</t>
  </si>
  <si>
    <t>tech.food.stall_quintessence_of_taste</t>
  </si>
  <si>
    <t>BUILDING_MAX:furnace</t>
  </si>
  <si>
    <t>QUEST_ACCEPT:the_ordinary_days_of_an_adventurer_chapter_3</t>
  </si>
  <si>
    <t>BUILDING_MAX:garden</t>
  </si>
  <si>
    <t>BUILDING_MAX:laboratory_data_center</t>
  </si>
  <si>
    <t>BUILDING_MAX:laboratory</t>
  </si>
  <si>
    <t>TECH:research_and_development</t>
  </si>
  <si>
    <t>BUILDING_MAX:outpost</t>
  </si>
  <si>
    <t>TECH:arsenal_lvl_1</t>
  </si>
  <si>
    <t>TECH:optional_contracts</t>
  </si>
  <si>
    <t>BUILDING_MAX:rock_garden</t>
  </si>
  <si>
    <t>BUILDING_MAX:shop</t>
  </si>
  <si>
    <t>BUILDING_MAX:smithy</t>
  </si>
  <si>
    <t>TECH:sword_for_a_hero_lvl_1</t>
  </si>
  <si>
    <t>TECH:sword_for_a_hero_lvl_2</t>
  </si>
  <si>
    <t>TECH:sword_for_a_hero_lvl_3</t>
  </si>
  <si>
    <t>BUILDING_MAX:tailor</t>
  </si>
  <si>
    <t>TECH:armor_for_a_hero_lvl_1</t>
  </si>
  <si>
    <t>TECH:armor_for_a_hero_lvl_2</t>
  </si>
  <si>
    <t>TECH:salamander_velour</t>
  </si>
  <si>
    <t>QUEST_COMPLETE:once_upon_a_forest_chapter_5</t>
  </si>
  <si>
    <t>QUEST_COMPLETE:once_upon_a_forest_chapter_9</t>
  </si>
  <si>
    <t>BUILDING_MAX:train</t>
  </si>
  <si>
    <t>BUILDING_MAX:warehouse</t>
  </si>
  <si>
    <t>TECH:stackable_racks_lvl_1</t>
  </si>
  <si>
    <t>TECH:stackable_racks_lvl_2</t>
  </si>
  <si>
    <t>TECH:mechanical_spider</t>
  </si>
  <si>
    <t>TECH:shield_for_a_hero_lvl_1</t>
  </si>
  <si>
    <t>TECH:shield_for_a_hero_lvl_2</t>
  </si>
  <si>
    <t>TECH:shield_for_a_hero_lvl_3</t>
  </si>
  <si>
    <t>QUEST_ACCEPT:the_ordinary_days_of_an_adventurer_chapter_2</t>
  </si>
  <si>
    <t>TECH:workshop_conveyor_lvl_1</t>
  </si>
  <si>
    <t>CompletedDependencies</t>
  </si>
  <si>
    <t>FirstMissingDependency</t>
  </si>
  <si>
    <t>Status</t>
  </si>
  <si>
    <t>PlayerCompleted</t>
  </si>
  <si>
    <t>TotalDependencies</t>
  </si>
  <si>
    <t>MissingDependencies</t>
  </si>
  <si>
    <t>FirstMissingDependencyID</t>
  </si>
  <si>
    <t>CompletionMethod</t>
  </si>
  <si>
    <t>PLAYER</t>
  </si>
  <si>
    <t>AUTO</t>
  </si>
  <si>
    <t>Alchemist's Hut Lv 1</t>
  </si>
  <si>
    <t>Alchemist's Hut Lv 2</t>
  </si>
  <si>
    <t>Alchemist's Hut Lv 3</t>
  </si>
  <si>
    <t>Alchemist's Hut Lv 4</t>
  </si>
  <si>
    <t>Alchemist's Hut Lv 5</t>
  </si>
  <si>
    <t>Alchemist's Hut Lv 6</t>
  </si>
  <si>
    <t>Alchemist's Hut - Perfect Fertilizer</t>
  </si>
  <si>
    <t>tech.alchemists_hut.perfect_fertilizer</t>
  </si>
  <si>
    <t>Chapter I: Master Masamune</t>
  </si>
  <si>
    <t>Chapter II: Smuggler's map</t>
  </si>
  <si>
    <t>Chapter III: Vast Oceans</t>
  </si>
  <si>
    <t>Chapter IV: Spices</t>
  </si>
  <si>
    <t>Chapter V: Pearl</t>
  </si>
  <si>
    <t>Chapter VI: Message in a bottle</t>
  </si>
  <si>
    <t>Chapter VII: We are on the right track</t>
  </si>
  <si>
    <t>Chapter I: Dungeon</t>
  </si>
  <si>
    <t>Chapter II: Ancient Evil and Ancient Knowledge</t>
  </si>
  <si>
    <t>Chapter III: Shard</t>
  </si>
  <si>
    <t>Chapter IV: Knowledge Increases Knowledge</t>
  </si>
  <si>
    <t>Chapter V: Age of Technology</t>
  </si>
  <si>
    <t>Chapter I: Jade Gate, Emerald Key</t>
  </si>
  <si>
    <t>Chapter II: Meditative Walk</t>
  </si>
  <si>
    <t>Chapter III: 8 Bits</t>
  </si>
  <si>
    <t>Chapter IV: Other Gates</t>
  </si>
  <si>
    <t>Chapter V: Smoothie for Mrs. Diligence</t>
  </si>
  <si>
    <t>Chapter VI: Forest Fairy</t>
  </si>
  <si>
    <t>Chapter VII: Experiments of the Dark Lady</t>
  </si>
  <si>
    <t>Chapter VIII: I Know the One Who Knows</t>
  </si>
  <si>
    <t>Chapter IX: Perfect Armor</t>
  </si>
  <si>
    <t>Chapter X: Salamander Hunter</t>
  </si>
  <si>
    <t>Chapter XI: Melbourne</t>
  </si>
  <si>
    <t>Chapter XII: Around the World Journey</t>
  </si>
  <si>
    <t>Chapter XIII: Sweet Tooth</t>
  </si>
  <si>
    <t>Chapter XIV: Assembly</t>
  </si>
  <si>
    <t>Chapter XV: One more request (Epilogue)</t>
  </si>
  <si>
    <t>Chapter I: The Goat is Missing</t>
  </si>
  <si>
    <t>Chapter II: Sharpen Your blade</t>
  </si>
  <si>
    <t>Chapter III: Eclipse</t>
  </si>
  <si>
    <t>Chapter IV: Full set</t>
  </si>
  <si>
    <t>Chapter V: Goat II</t>
  </si>
  <si>
    <t>Chapter VI: Cheese and Diamonds</t>
  </si>
  <si>
    <t>Chapter VII: Save the World</t>
  </si>
  <si>
    <t>Chapter VIII: Tourists for Life</t>
  </si>
  <si>
    <t>Chapter II: Rabbit Hole</t>
  </si>
  <si>
    <t>Chapter III: Pandora's Box</t>
  </si>
  <si>
    <t>Chapter IV: Trip to Hokkaido</t>
  </si>
  <si>
    <t>Chapter V: Accelerating Progress</t>
  </si>
  <si>
    <t>Current Cost</t>
  </si>
  <si>
    <t>ResourceID</t>
  </si>
  <si>
    <t>QuantityRequired</t>
  </si>
  <si>
    <t>RequirementID</t>
  </si>
  <si>
    <t>Bonemeal</t>
  </si>
  <si>
    <t>bone</t>
  </si>
  <si>
    <t>5 Ruby, 1000 coin, 50 fertilizer, 30 bonemeal, 100 chemical, 20 reagent, 20 catalyst, 30 blueprint, 30 pcard</t>
  </si>
  <si>
    <t>5 Ruby, 400 coin, 100 stone, 20 miron, 40 bone, 20 elixir, 15 page</t>
  </si>
  <si>
    <t>coustcount</t>
  </si>
  <si>
    <t>resourcecount</t>
  </si>
  <si>
    <t>PaymentSlot</t>
  </si>
  <si>
    <t>cost.building.airship@1.ruby.1</t>
  </si>
  <si>
    <t>cost.building.airship@1.coin.1</t>
  </si>
  <si>
    <t>cost.building.airship@1.silk.1</t>
  </si>
  <si>
    <t>cost.building.airship@1.thread.1</t>
  </si>
  <si>
    <t>cost.building.airship@1.chemicals.1</t>
  </si>
  <si>
    <t>cost.building.airship@1.reagent.1</t>
  </si>
  <si>
    <t>cost.building.airship@1.miron.1</t>
  </si>
  <si>
    <t>cost.building.airship@1.page.1</t>
  </si>
  <si>
    <t>cost.building.airship@2.ruby.1</t>
  </si>
  <si>
    <t>cost.building.airship@2.coin.1</t>
  </si>
  <si>
    <t>cost.building.airship@2.plank.1</t>
  </si>
  <si>
    <t>cost.building.airship@2.silk.1</t>
  </si>
  <si>
    <t>cost.building.airship@2.gears.1</t>
  </si>
  <si>
    <t>cost.building.airship@2.fan.1</t>
  </si>
  <si>
    <t>cost.building.airship@2.thread.1</t>
  </si>
  <si>
    <t>cost.building.alchemists_hut@1.ruby.1</t>
  </si>
  <si>
    <t>cost.building.alchemists_hut@1.coin.1</t>
  </si>
  <si>
    <t>cost.building.alchemists_hut@1.wood.1</t>
  </si>
  <si>
    <t>cost.building.alchemists_hut@1.stone.1</t>
  </si>
  <si>
    <t>cost.building.alchemists_hut@2.ruby.1</t>
  </si>
  <si>
    <t>cost.building.alchemists_hut@2.coin.1</t>
  </si>
  <si>
    <t>cost.building.alchemists_hut@2.wood.1</t>
  </si>
  <si>
    <t>cost.building.alchemists_hut@2.stone.1</t>
  </si>
  <si>
    <t>cost.building.alchemists_hut@2.chemicals.1</t>
  </si>
  <si>
    <t>cost.building.alchemists_hut@3.ruby.1</t>
  </si>
  <si>
    <t>cost.building.alchemists_hut@3.coin.1</t>
  </si>
  <si>
    <t>cost.building.alchemists_hut@3.beam.1</t>
  </si>
  <si>
    <t>cost.building.alchemists_hut@3.stone.1</t>
  </si>
  <si>
    <t>cost.building.alchemists_hut@3.chemicals.1</t>
  </si>
  <si>
    <t>cost.building.alchemists_hut@3.charcoal.1</t>
  </si>
  <si>
    <t>cost.building.alchemists_hut@4.ruby.1</t>
  </si>
  <si>
    <t>cost.building.alchemists_hut@4.coin.1</t>
  </si>
  <si>
    <t>cost.building.alchemists_hut@4.beam.1</t>
  </si>
  <si>
    <t>cost.building.alchemists_hut@4.stone.1</t>
  </si>
  <si>
    <t>cost.building.alchemists_hut@4.gunpowder.1</t>
  </si>
  <si>
    <t>cost.building.alchemists_hut@5.ruby.1</t>
  </si>
  <si>
    <t>cost.building.alchemists_hut@5.coin.1</t>
  </si>
  <si>
    <t>cost.building.alchemists_hut@5.beam.1</t>
  </si>
  <si>
    <t>cost.building.alchemists_hut@5.stone.1</t>
  </si>
  <si>
    <t>cost.building.alchemists_hut@5.gunpowder.1</t>
  </si>
  <si>
    <t>cost.building.alchemists_hut@6.ruby.1</t>
  </si>
  <si>
    <t>cost.building.alchemists_hut@6.coin.1</t>
  </si>
  <si>
    <t>cost.building.alchemists_hut@6.beam.1</t>
  </si>
  <si>
    <t>cost.building.alchemists_hut@6.stone.1</t>
  </si>
  <si>
    <t>cost.building.alchemists_hut@6.chemicals.1</t>
  </si>
  <si>
    <t>cost.building.alchemists_hut@6.glass.1</t>
  </si>
  <si>
    <t>cost.building.bonsai@1.ruby.1</t>
  </si>
  <si>
    <t>cost.building.bonsai@1.coin.1</t>
  </si>
  <si>
    <t>cost.building.bonsai@1.plank.1</t>
  </si>
  <si>
    <t>cost.building.bonsai@1.beans.1</t>
  </si>
  <si>
    <t>cost.building.bonsai@2.ruby.1</t>
  </si>
  <si>
    <t>cost.building.bonsai@2.coin.1</t>
  </si>
  <si>
    <t>cost.building.bonsai@2.plank.1</t>
  </si>
  <si>
    <t>cost.building.bonsai@2.beans.1</t>
  </si>
  <si>
    <t>cost.building.bonsai@2.chemicals.1</t>
  </si>
  <si>
    <t>cost.building.bridge@1.ruby.1</t>
  </si>
  <si>
    <t>cost.building.bridge@1.coin.1</t>
  </si>
  <si>
    <t>cost.building.bridge@1.beam.1</t>
  </si>
  <si>
    <t>cost.building.bridge@1.plank.1</t>
  </si>
  <si>
    <t>cost.building.bridge@1.stone.1</t>
  </si>
  <si>
    <t>cost.building.bridge@1.steel.1</t>
  </si>
  <si>
    <t>cost.building.caravan@1.ruby.1</t>
  </si>
  <si>
    <t>cost.building.caravan@1.coin.1</t>
  </si>
  <si>
    <t>cost.building.caravan@1.plank.1</t>
  </si>
  <si>
    <t>cost.building.caravan@1.stone.1</t>
  </si>
  <si>
    <t>cost.building.caravan@1.beans.1</t>
  </si>
  <si>
    <t>cost.building.caravan@1.sushi.1</t>
  </si>
  <si>
    <t>cost.building.caravan@2.ruby.1</t>
  </si>
  <si>
    <t>cost.building.caravan@2.coin.1</t>
  </si>
  <si>
    <t>cost.building.caravan@2.plank.1</t>
  </si>
  <si>
    <t>cost.building.caravan@2.stone.1</t>
  </si>
  <si>
    <t>cost.building.caravan@2.ingot.1</t>
  </si>
  <si>
    <t>cost.building.caravan@2.fan.1</t>
  </si>
  <si>
    <t>cost.building.caravan@3.ruby.1</t>
  </si>
  <si>
    <t>cost.building.caravan@3.coin.1</t>
  </si>
  <si>
    <t>cost.building.caravan@3.plank.1</t>
  </si>
  <si>
    <t>cost.building.caravan@3.stone.1</t>
  </si>
  <si>
    <t>cost.building.caravan@3.paper.1</t>
  </si>
  <si>
    <t>cost.building.caravan@3.pearl.1</t>
  </si>
  <si>
    <t>cost.building.caravan@4.ruby.1</t>
  </si>
  <si>
    <t>cost.building.caravan@4.coin.1</t>
  </si>
  <si>
    <t>cost.building.caravan@4.plank.1</t>
  </si>
  <si>
    <t>cost.building.caravan@4.stone.1</t>
  </si>
  <si>
    <t>cost.building.caravan@4.silk.1</t>
  </si>
  <si>
    <t>cost.building.caravan@4.spices.1</t>
  </si>
  <si>
    <t>cost.building.chicken@1.ruby.1</t>
  </si>
  <si>
    <t>cost.building.chicken@1.coin.1</t>
  </si>
  <si>
    <t>cost.building.chicken@1.beam.1</t>
  </si>
  <si>
    <t>cost.building.chicken@1.stone.1</t>
  </si>
  <si>
    <t>cost.building.chicken@1.wheat.1</t>
  </si>
  <si>
    <t>cost.building.chicken@1.thread.1</t>
  </si>
  <si>
    <t>cost.building.chicken@1.egg.1</t>
  </si>
  <si>
    <t>cost.building.chicken@2.ruby.1</t>
  </si>
  <si>
    <t>cost.building.chicken@2.coin.1</t>
  </si>
  <si>
    <t>cost.building.chicken@2.beam.1</t>
  </si>
  <si>
    <t>cost.building.chicken@2.stone.1</t>
  </si>
  <si>
    <t>cost.building.chicken@2.wheat.1</t>
  </si>
  <si>
    <t>cost.building.chicken@2.thread.1</t>
  </si>
  <si>
    <t>cost.building.chicken@2.egg.1</t>
  </si>
  <si>
    <t>cost.building.dairy@1.ruby.1</t>
  </si>
  <si>
    <t>cost.building.dairy@1.coin.1</t>
  </si>
  <si>
    <t>cost.building.dairy@1.beam.1</t>
  </si>
  <si>
    <t>cost.building.dairy@1.stone.1</t>
  </si>
  <si>
    <t>cost.building.dairy@1.thread.1</t>
  </si>
  <si>
    <t>cost.building.dairy@1.glass.1</t>
  </si>
  <si>
    <t>cost.building.dairy@1.wheat.1</t>
  </si>
  <si>
    <t>cost.building.dairy@1.herbs.1</t>
  </si>
  <si>
    <t>cost.building.dairy@1.goat.1</t>
  </si>
  <si>
    <t>cost.building.dairy@2.ruby.1</t>
  </si>
  <si>
    <t>cost.building.dairy@2.coin.1</t>
  </si>
  <si>
    <t>cost.building.dairy@2.beam.1</t>
  </si>
  <si>
    <t>cost.building.dairy@2.stone.1</t>
  </si>
  <si>
    <t>cost.building.dairy@2.thread.1</t>
  </si>
  <si>
    <t>cost.building.dairy@2.bamboo.1</t>
  </si>
  <si>
    <t>cost.building.dairy@2.milk.1</t>
  </si>
  <si>
    <t>cost.building.dairy@2.enzyme.1</t>
  </si>
  <si>
    <t>cost.building.dairy@2.grimoire.1</t>
  </si>
  <si>
    <t>cost.building.dungeon@1.ruby.1</t>
  </si>
  <si>
    <t>cost.building.dungeon@1.coin.1</t>
  </si>
  <si>
    <t>cost.building.dungeon@1.wood.1</t>
  </si>
  <si>
    <t>cost.building.dungeon@1.stone.1</t>
  </si>
  <si>
    <t>cost.building.dungeon@1.steel.1</t>
  </si>
  <si>
    <t>cost.building.dungeon@1.fan.1</t>
  </si>
  <si>
    <t>cost.building.dungeon@2.ruby.1</t>
  </si>
  <si>
    <t>cost.building.dungeon@2.coin.1</t>
  </si>
  <si>
    <t>cost.building.dungeon@2.beam.1</t>
  </si>
  <si>
    <t>cost.building.dungeon@2.steel.1</t>
  </si>
  <si>
    <t>cost.building.dungeon@2.petard.1</t>
  </si>
  <si>
    <t>cost.building.dungeon@2.bento.1</t>
  </si>
  <si>
    <t>cost.building.dungeon@2.page.1</t>
  </si>
  <si>
    <t>cost.building.dungeon@3.ruby.1</t>
  </si>
  <si>
    <t>cost.building.dungeon@3.coin.1</t>
  </si>
  <si>
    <t>cost.building.dungeon@3.beam.1</t>
  </si>
  <si>
    <t>cost.building.dungeon@3.steel.1</t>
  </si>
  <si>
    <t>cost.building.dungeon@3.kunai.1</t>
  </si>
  <si>
    <t>cost.building.dungeon@3.ramen.1</t>
  </si>
  <si>
    <t>cost.building.dungeon@3.page.1</t>
  </si>
  <si>
    <t>cost.building.dungeon@4.ruby.1</t>
  </si>
  <si>
    <t>cost.building.dungeon@4.coin.1</t>
  </si>
  <si>
    <t>cost.building.dungeon@4.beam.1</t>
  </si>
  <si>
    <t>cost.building.dungeon@4.oil.1</t>
  </si>
  <si>
    <t>cost.building.dungeon@4.clew.1</t>
  </si>
  <si>
    <t>cost.building.dungeon@4.poe.1</t>
  </si>
  <si>
    <t>cost.building.dungeon@4.page.1</t>
  </si>
  <si>
    <t>cost.building.dungeon@5.ruby.1</t>
  </si>
  <si>
    <t>cost.building.dungeon@5.coin.1</t>
  </si>
  <si>
    <t>cost.building.dungeon@5.beam.1</t>
  </si>
  <si>
    <t>cost.building.dungeon@5.mspider.1</t>
  </si>
  <si>
    <t>cost.building.dungeon@5.smoothie.1</t>
  </si>
  <si>
    <t>cost.building.dungeon@5.page.1</t>
  </si>
  <si>
    <t>cost.building.fermentory@1.ruby.1</t>
  </si>
  <si>
    <t>cost.building.fermentory@1.coin.1</t>
  </si>
  <si>
    <t>cost.building.fermentory@1.beam.1</t>
  </si>
  <si>
    <t>cost.building.fermentory@1.stone.1</t>
  </si>
  <si>
    <t>cost.building.fermentory@1.steel.1</t>
  </si>
  <si>
    <t>cost.building.fermentory@1.soybean.1</t>
  </si>
  <si>
    <t>cost.building.fermentory@1.page.1</t>
  </si>
  <si>
    <t>cost.building.fermentory@2.ruby.1</t>
  </si>
  <si>
    <t>cost.building.fermentory@2.coin.1</t>
  </si>
  <si>
    <t>cost.building.fermentory@2.beam.1</t>
  </si>
  <si>
    <t>cost.building.fermentory@2.stone.1</t>
  </si>
  <si>
    <t>cost.building.fermentory@2.chemicals.1</t>
  </si>
  <si>
    <t>cost.building.fermentory@2.reagent.1</t>
  </si>
  <si>
    <t>cost.building.fermentory@2.charcoal.1</t>
  </si>
  <si>
    <t>cost.building.fermentory@2.soybean.1</t>
  </si>
  <si>
    <t>cost.building.fermentory@3.ruby.1</t>
  </si>
  <si>
    <t>cost.building.fermentory@3.coin.1</t>
  </si>
  <si>
    <t>cost.building.fermentory@3.plank.1</t>
  </si>
  <si>
    <t>cost.building.fermentory@3.stone.1</t>
  </si>
  <si>
    <t>cost.building.fermentory@3.steel.1</t>
  </si>
  <si>
    <t>cost.building.fermentory@3.charcoal.1</t>
  </si>
  <si>
    <t>cost.building.fermentory@3.soybean.1</t>
  </si>
  <si>
    <t>cost.building.fermentory@4.ruby.1</t>
  </si>
  <si>
    <t>cost.building.fermentory@4.coin.1</t>
  </si>
  <si>
    <t>cost.building.fermentory@4.plank.1</t>
  </si>
  <si>
    <t>cost.building.fermentory@4.stone.1</t>
  </si>
  <si>
    <t>cost.building.fermentory@4.steel.1</t>
  </si>
  <si>
    <t>cost.building.fermentory@4.rice.1</t>
  </si>
  <si>
    <t>cost.building.fermentory@4.wheat.1</t>
  </si>
  <si>
    <t>cost.building.fermentory@4.soybean.1</t>
  </si>
  <si>
    <t>cost.building.fermentory@4.soy.1</t>
  </si>
  <si>
    <t>cost.building.fermentory@5.ruby.1</t>
  </si>
  <si>
    <t>cost.building.fermentory@5.coin.1</t>
  </si>
  <si>
    <t>cost.building.fermentory@5.plank.1</t>
  </si>
  <si>
    <t>cost.building.fermentory@5.stone.1</t>
  </si>
  <si>
    <t>cost.building.fermentory@5.thread.1</t>
  </si>
  <si>
    <t>cost.building.fermentory@5.soybean.1</t>
  </si>
  <si>
    <t>cost.building.fermentory@5.koji.1</t>
  </si>
  <si>
    <t>cost.building.fermentory@5.grimoire.1</t>
  </si>
  <si>
    <t>cost.building.fermentory@6.ruby.1</t>
  </si>
  <si>
    <t>cost.building.fermentory@6.coin.1</t>
  </si>
  <si>
    <t>cost.building.fermentory@6.plank.1</t>
  </si>
  <si>
    <t>cost.building.fermentory@6.stone.1</t>
  </si>
  <si>
    <t>cost.building.fermentory@6.paper.1</t>
  </si>
  <si>
    <t>cost.building.fermentory@6.glass.1</t>
  </si>
  <si>
    <t>cost.building.fermentory@6.koji.1</t>
  </si>
  <si>
    <t>cost.building.fermentory@6.enzyme.1</t>
  </si>
  <si>
    <t>cost.building.fermentory@6.grimoire.1</t>
  </si>
  <si>
    <t>cost.building.field@1.ruby.1</t>
  </si>
  <si>
    <t>cost.building.field@1.coin.1</t>
  </si>
  <si>
    <t>cost.building.field@1.wood.1</t>
  </si>
  <si>
    <t>cost.building.field@1.chemicals.1</t>
  </si>
  <si>
    <t>cost.building.field@2.ruby.1</t>
  </si>
  <si>
    <t>cost.building.field@2.coin.1</t>
  </si>
  <si>
    <t>cost.building.field@2.wood.1</t>
  </si>
  <si>
    <t>cost.building.field@2.chemicals.1</t>
  </si>
  <si>
    <t>cost.building.field@2.steel.1</t>
  </si>
  <si>
    <t>cost.building.food_stall@1.ruby.1</t>
  </si>
  <si>
    <t>cost.building.food_stall@1.coin.1</t>
  </si>
  <si>
    <t>cost.building.food_stall@1.wood.1</t>
  </si>
  <si>
    <t>cost.building.food_stall@1.stone.1</t>
  </si>
  <si>
    <t>cost.building.food_stall@1.rice.1</t>
  </si>
  <si>
    <t>cost.building.food_stall@2.ruby.1</t>
  </si>
  <si>
    <t>cost.building.food_stall@2.coin.1</t>
  </si>
  <si>
    <t>cost.building.food_stall@2.plank.1</t>
  </si>
  <si>
    <t>cost.building.food_stall@2.stone.1</t>
  </si>
  <si>
    <t>cost.building.food_stall@2.spices.1</t>
  </si>
  <si>
    <t>cost.building.food_stall@3.ruby.1</t>
  </si>
  <si>
    <t>cost.building.food_stall@3.coin.1</t>
  </si>
  <si>
    <t>cost.building.food_stall@3.plank.1</t>
  </si>
  <si>
    <t>cost.building.food_stall@3.beans.1</t>
  </si>
  <si>
    <t>cost.building.food_stall@3.spices.1</t>
  </si>
  <si>
    <t>cost.building.furnace@1.ruby.1</t>
  </si>
  <si>
    <t>cost.building.furnace@1.coin.1</t>
  </si>
  <si>
    <t>cost.building.furnace@1.wood.1</t>
  </si>
  <si>
    <t>cost.building.furnace@1.stone.1</t>
  </si>
  <si>
    <t>cost.building.furnace@2.ruby.1</t>
  </si>
  <si>
    <t>cost.building.furnace@2.coin.1</t>
  </si>
  <si>
    <t>cost.building.furnace@2.beam.1</t>
  </si>
  <si>
    <t>cost.building.furnace@2.stone.1</t>
  </si>
  <si>
    <t>cost.building.furnace@2.steel.1</t>
  </si>
  <si>
    <t>cost.building.furnace@3.ruby.1</t>
  </si>
  <si>
    <t>cost.building.furnace@3.coin.1</t>
  </si>
  <si>
    <t>cost.building.furnace@3.plank.1</t>
  </si>
  <si>
    <t>cost.building.furnace@3.stone.1</t>
  </si>
  <si>
    <t>cost.building.furnace@3.steel.1</t>
  </si>
  <si>
    <t>cost.building.garden@1.ruby.1</t>
  </si>
  <si>
    <t>cost.building.garden@1.coin.1</t>
  </si>
  <si>
    <t>cost.building.garden@1.wood.1</t>
  </si>
  <si>
    <t>cost.building.garden@1.stone.1</t>
  </si>
  <si>
    <t>cost.building.garden@2.ruby.1</t>
  </si>
  <si>
    <t>cost.building.garden@2.coin.1</t>
  </si>
  <si>
    <t>cost.building.garden@2.wood.1</t>
  </si>
  <si>
    <t>cost.building.garden@2.stone.1</t>
  </si>
  <si>
    <t>cost.building.garden@3.ruby.1</t>
  </si>
  <si>
    <t>cost.building.garden@3.coin.1</t>
  </si>
  <si>
    <t>cost.building.garden@3.beam.1</t>
  </si>
  <si>
    <t>cost.building.garden@3.stone.1</t>
  </si>
  <si>
    <t>cost.building.gong@1.ruby.1</t>
  </si>
  <si>
    <t>cost.building.gong@1.coin.1</t>
  </si>
  <si>
    <t>cost.building.gong@1.wood.1</t>
  </si>
  <si>
    <t>cost.building.gong@1.stone.1</t>
  </si>
  <si>
    <t>cost.building.gong@1.steel.1</t>
  </si>
  <si>
    <t>cost.building.guild@2.ruby.1</t>
  </si>
  <si>
    <t>cost.building.guild@2.coin.1</t>
  </si>
  <si>
    <t>cost.building.guild@2.wood.1</t>
  </si>
  <si>
    <t>cost.building.guild@2.stone.1</t>
  </si>
  <si>
    <t>cost.building.guild@3.ruby.1</t>
  </si>
  <si>
    <t>cost.building.guild@3.coin.1</t>
  </si>
  <si>
    <t>cost.building.guild@3.beam.1</t>
  </si>
  <si>
    <t>cost.building.guild@3.stone.1</t>
  </si>
  <si>
    <t>cost.building.guild@4.ruby.1</t>
  </si>
  <si>
    <t>cost.building.guild@4.coin.1</t>
  </si>
  <si>
    <t>cost.building.guild@4.beam.1</t>
  </si>
  <si>
    <t>cost.building.guild@4.stone.1</t>
  </si>
  <si>
    <t>cost.building.guild@4.steel.1</t>
  </si>
  <si>
    <t>cost.building.guild@5.ruby.1</t>
  </si>
  <si>
    <t>cost.building.guild@5.coin.1</t>
  </si>
  <si>
    <t>cost.building.guild@5.beam.1</t>
  </si>
  <si>
    <t>cost.building.guild@5.stone.1</t>
  </si>
  <si>
    <t>cost.building.guild@5.steel.1</t>
  </si>
  <si>
    <t>cost.building.guild_video_game_arcade@1.ruby.1</t>
  </si>
  <si>
    <t>cost.building.guild_video_game_arcade@1.crypto.1</t>
  </si>
  <si>
    <t>cost.building.guild_video_game_arcade@1.mechanism.1</t>
  </si>
  <si>
    <t>cost.building.guild_video_game_arcade@1.drum.1</t>
  </si>
  <si>
    <t>cost.building.guild_video_game_arcade@1.mspider.1</t>
  </si>
  <si>
    <t>cost.building.guild_video_game_arcade@1.ninja.1</t>
  </si>
  <si>
    <t>cost.building.guild_video_game_arcade@1.microchip.1</t>
  </si>
  <si>
    <t>cost.building.guild_video_game_arcade@1.floppy.1</t>
  </si>
  <si>
    <t>cost.building.guild_video_game_arcade@1.blueprint.1</t>
  </si>
  <si>
    <t>cost.building.laboratory@1.ruby.1</t>
  </si>
  <si>
    <t>cost.building.laboratory@1.coin.1</t>
  </si>
  <si>
    <t>cost.building.laboratory@1.stone.1</t>
  </si>
  <si>
    <t>cost.building.laboratory@1.steel.1</t>
  </si>
  <si>
    <t>cost.building.laboratory@1.glass.1</t>
  </si>
  <si>
    <t>cost.building.laboratory@1.chemicals.1</t>
  </si>
  <si>
    <t>cost.building.laboratory@1.mechanism.1</t>
  </si>
  <si>
    <t>cost.building.laboratory@1.blueprint.1</t>
  </si>
  <si>
    <t>cost.building.laboratory@1.malu.1</t>
  </si>
  <si>
    <t>cost.building.laboratory@2.ruby.1</t>
  </si>
  <si>
    <t>cost.building.laboratory@2.coin.1</t>
  </si>
  <si>
    <t>cost.building.laboratory@2.stone.1</t>
  </si>
  <si>
    <t>cost.building.laboratory@2.steel.1</t>
  </si>
  <si>
    <t>cost.building.laboratory@2.glass.1</t>
  </si>
  <si>
    <t>cost.building.laboratory@2.mercury.1</t>
  </si>
  <si>
    <t>cost.building.laboratory@2.titanium.1</t>
  </si>
  <si>
    <t>cost.building.laboratory@2.blueprint.1</t>
  </si>
  <si>
    <t>cost.building.laboratory@2.malu.1</t>
  </si>
  <si>
    <t>cost.building.laboratory@3.ruby.1</t>
  </si>
  <si>
    <t>cost.building.laboratory@3.coin.1</t>
  </si>
  <si>
    <t>cost.building.laboratory@3.stone.1</t>
  </si>
  <si>
    <t>cost.building.laboratory@3.steel.1</t>
  </si>
  <si>
    <t>cost.building.laboratory@3.glass.1</t>
  </si>
  <si>
    <t>cost.building.laboratory@3.bluecrystal.1</t>
  </si>
  <si>
    <t>cost.building.laboratory@3.pcard.1</t>
  </si>
  <si>
    <t>cost.building.laboratory@3.blueprint.1</t>
  </si>
  <si>
    <t>cost.building.laboratory@3.malu.1</t>
  </si>
  <si>
    <t>cost.building.laboratory@4.ruby.1</t>
  </si>
  <si>
    <t>cost.building.laboratory@4.coin.1</t>
  </si>
  <si>
    <t>cost.building.laboratory@4.stone.1</t>
  </si>
  <si>
    <t>cost.building.laboratory@4.steel.1</t>
  </si>
  <si>
    <t>cost.building.laboratory@4.redcrystal.1</t>
  </si>
  <si>
    <t>cost.building.laboratory@4.greencrystal.1</t>
  </si>
  <si>
    <t>cost.building.laboratory@4.pcard.1</t>
  </si>
  <si>
    <t>cost.building.laboratory@4.blueprint.1</t>
  </si>
  <si>
    <t>cost.building.laboratory@4.malu.1</t>
  </si>
  <si>
    <t>cost.building.laboratory@5.ruby.1</t>
  </si>
  <si>
    <t>cost.building.laboratory@5.coin.1</t>
  </si>
  <si>
    <t>cost.building.laboratory@5.stone.1</t>
  </si>
  <si>
    <t>cost.building.laboratory@5.steel.1</t>
  </si>
  <si>
    <t>cost.building.laboratory@5.mechanism.1</t>
  </si>
  <si>
    <t>cost.building.laboratory@5.quartz.1</t>
  </si>
  <si>
    <t>cost.building.laboratory@5.pcard.1</t>
  </si>
  <si>
    <t>cost.building.laboratory@5.blueprint.1</t>
  </si>
  <si>
    <t>cost.building.laboratory@5.malu.1</t>
  </si>
  <si>
    <t>cost.building.laboratory_data_center@1.ruby.1</t>
  </si>
  <si>
    <t>cost.building.laboratory_data_center@1.coin.1</t>
  </si>
  <si>
    <t>cost.building.laboratory_data_center@1.stone.1</t>
  </si>
  <si>
    <t>cost.building.laboratory_data_center@1.steel.1</t>
  </si>
  <si>
    <t>cost.building.laboratory_data_center@1.glass.1</t>
  </si>
  <si>
    <t>cost.building.laboratory_data_center@1.apy.1</t>
  </si>
  <si>
    <t>cost.building.laboratory_data_center@1.quartz.1</t>
  </si>
  <si>
    <t>cost.building.laboratory_data_center@1.microchip.1</t>
  </si>
  <si>
    <t>cost.building.laboratory_data_center@1.blueprint.1</t>
  </si>
  <si>
    <t>cost.building.lumber@1.ruby.1</t>
  </si>
  <si>
    <t>cost.building.lumber@1.coin.1</t>
  </si>
  <si>
    <t>cost.building.lumber@1.wood.1</t>
  </si>
  <si>
    <t>cost.building.lumber@1.stone.1</t>
  </si>
  <si>
    <t>cost.building.lumber@2.ruby.1</t>
  </si>
  <si>
    <t>cost.building.lumber@2.coin.1</t>
  </si>
  <si>
    <t>cost.building.lumber@2.beam.1</t>
  </si>
  <si>
    <t>cost.building.lumber@2.stone.1</t>
  </si>
  <si>
    <t>cost.building.lumber@2.steel.1</t>
  </si>
  <si>
    <t>cost.building.lumber@3.ruby.1</t>
  </si>
  <si>
    <t>cost.building.lumber@3.coin.1</t>
  </si>
  <si>
    <t>cost.building.lumber@3.beam.1</t>
  </si>
  <si>
    <t>cost.building.lumber@3.stone.1</t>
  </si>
  <si>
    <t>cost.building.lumber@3.steel.1</t>
  </si>
  <si>
    <t>cost.building.onsen@1.ruby.1</t>
  </si>
  <si>
    <t>cost.building.onsen@1.coin.1</t>
  </si>
  <si>
    <t>cost.building.onsen@1.plank.1</t>
  </si>
  <si>
    <t>cost.building.onsen@1.stone.1</t>
  </si>
  <si>
    <t>cost.building.onsen@2.ruby.1</t>
  </si>
  <si>
    <t>cost.building.onsen@2.coin.1</t>
  </si>
  <si>
    <t>cost.building.onsen@2.plank.1</t>
  </si>
  <si>
    <t>cost.building.onsen@2.stone.1</t>
  </si>
  <si>
    <t>cost.building.outpost@1.ruby.1</t>
  </si>
  <si>
    <t>cost.building.outpost@1.coin.1</t>
  </si>
  <si>
    <t>cost.building.outpost@1.beam.1</t>
  </si>
  <si>
    <t>cost.building.outpost@1.stone.1</t>
  </si>
  <si>
    <t>cost.building.outpost@1.katana.1</t>
  </si>
  <si>
    <t>cost.building.outpost@1.arrows.1</t>
  </si>
  <si>
    <t>cost.building.outpost@2.ruby.1</t>
  </si>
  <si>
    <t>cost.building.outpost@2.coin.1</t>
  </si>
  <si>
    <t>cost.building.outpost@2.beam.1</t>
  </si>
  <si>
    <t>cost.building.outpost@2.stone.1</t>
  </si>
  <si>
    <t>cost.building.outpost@2.steel.1</t>
  </si>
  <si>
    <t>cost.building.outpost@2.mortar.1</t>
  </si>
  <si>
    <t>cost.building.outpost@3.ruby.1</t>
  </si>
  <si>
    <t>cost.building.outpost@3.coin.1</t>
  </si>
  <si>
    <t>cost.building.outpost@3.beam.1</t>
  </si>
  <si>
    <t>cost.building.outpost@3.stone.1</t>
  </si>
  <si>
    <t>cost.building.outpost@3.oil.1</t>
  </si>
  <si>
    <t>cost.building.outpost@3.samurai.1</t>
  </si>
  <si>
    <t>cost.building.pagoda@1.ruby.1</t>
  </si>
  <si>
    <t>cost.building.pagoda@1.coin.1</t>
  </si>
  <si>
    <t>cost.building.pagoda@1.wood.1</t>
  </si>
  <si>
    <t>cost.building.pagoda@1.stone.1</t>
  </si>
  <si>
    <t>cost.building.pagoda@1.petard.1</t>
  </si>
  <si>
    <t>cost.building.pagoda@2.ruby.1</t>
  </si>
  <si>
    <t>cost.building.pagoda@2.coin.1</t>
  </si>
  <si>
    <t>cost.building.pagoda@2.wood.1</t>
  </si>
  <si>
    <t>cost.building.pagoda@2.stone.1</t>
  </si>
  <si>
    <t>cost.building.pagoda@2.chemicals.1</t>
  </si>
  <si>
    <t>cost.building.pagoda@3.ruby.1</t>
  </si>
  <si>
    <t>cost.building.pagoda@3.coin.1</t>
  </si>
  <si>
    <t>cost.building.pagoda@3.beam.1</t>
  </si>
  <si>
    <t>cost.building.pagoda@3.stone.1</t>
  </si>
  <si>
    <t>cost.building.pagoda@3.steel.1</t>
  </si>
  <si>
    <t>cost.building.pagoda@4.ruby.1</t>
  </si>
  <si>
    <t>cost.building.pagoda@4.coin.1</t>
  </si>
  <si>
    <t>cost.building.pagoda@4.beam.1</t>
  </si>
  <si>
    <t>cost.building.pagoda@4.stone.1</t>
  </si>
  <si>
    <t>cost.building.pagoda@4.fan.1</t>
  </si>
  <si>
    <t>cost.building.pagoda@5.ruby.1</t>
  </si>
  <si>
    <t>cost.building.pagoda@5.coin.1</t>
  </si>
  <si>
    <t>cost.building.pagoda@5.beam.1</t>
  </si>
  <si>
    <t>cost.building.pagoda@5.stone.1</t>
  </si>
  <si>
    <t>cost.building.pagoda@5.katana.1</t>
  </si>
  <si>
    <t>cost.building.pagoda@6.ruby.1</t>
  </si>
  <si>
    <t>cost.building.pagoda@6.coin.1</t>
  </si>
  <si>
    <t>cost.building.pagoda@6.beam.1</t>
  </si>
  <si>
    <t>cost.building.pagoda@6.stone.1</t>
  </si>
  <si>
    <t>cost.building.pagoda@6.ingot.1</t>
  </si>
  <si>
    <t>cost.building.pagoda@6.spices.1</t>
  </si>
  <si>
    <t>cost.building.pagoda@7.ruby.1</t>
  </si>
  <si>
    <t>cost.building.pagoda@7.coin.1</t>
  </si>
  <si>
    <t>cost.building.pagoda@7.beam.1</t>
  </si>
  <si>
    <t>cost.building.pagoda@7.stone.1</t>
  </si>
  <si>
    <t>cost.building.pagoda@7.treasure.1</t>
  </si>
  <si>
    <t>cost.building.pagoda@7.pearl.1</t>
  </si>
  <si>
    <t>cost.building.pagoda@7.silk.1</t>
  </si>
  <si>
    <t>cost.building.pagoda@7.scroll.1</t>
  </si>
  <si>
    <t>cost.building.pier@1.ruby.1</t>
  </si>
  <si>
    <t>cost.building.pier@1.coin.1</t>
  </si>
  <si>
    <t>cost.building.pier@1.wood.1</t>
  </si>
  <si>
    <t>cost.building.pier@1.plank.1</t>
  </si>
  <si>
    <t>cost.building.pier@1.stone.1</t>
  </si>
  <si>
    <t>cost.building.rock_garden@1.ruby.1</t>
  </si>
  <si>
    <t>cost.building.rock_garden@1.coin.1</t>
  </si>
  <si>
    <t>cost.building.rock_garden@1.wood.1</t>
  </si>
  <si>
    <t>cost.building.rock_garden@1.stone.1</t>
  </si>
  <si>
    <t>cost.building.rock_garden@2.ruby.1</t>
  </si>
  <si>
    <t>cost.building.rock_garden@2.coin.1</t>
  </si>
  <si>
    <t>cost.building.rock_garden@2.wood.1</t>
  </si>
  <si>
    <t>cost.building.rock_garden@2.stone.1</t>
  </si>
  <si>
    <t>cost.building.rock_garden@3.ruby.1</t>
  </si>
  <si>
    <t>cost.building.rock_garden@3.coin.1</t>
  </si>
  <si>
    <t>cost.building.rock_garden@3.beam.1</t>
  </si>
  <si>
    <t>cost.building.rock_garden@3.stone.1</t>
  </si>
  <si>
    <t>cost.building.ship@1.ruby.1</t>
  </si>
  <si>
    <t>cost.building.ship@1.coin.1</t>
  </si>
  <si>
    <t>cost.building.ship@1.plank.1</t>
  </si>
  <si>
    <t>cost.building.ship@1.stone.1</t>
  </si>
  <si>
    <t>cost.building.ship@1.steel.1</t>
  </si>
  <si>
    <t>cost.building.ship@2.ruby.1</t>
  </si>
  <si>
    <t>cost.building.ship@2.coin.1</t>
  </si>
  <si>
    <t>cost.building.ship@2.plank.1</t>
  </si>
  <si>
    <t>cost.building.ship@2.steel.1</t>
  </si>
  <si>
    <t>cost.building.ship@2.mortar.1</t>
  </si>
  <si>
    <t>cost.building.ship@3.ruby.1</t>
  </si>
  <si>
    <t>cost.building.ship@3.coin.1</t>
  </si>
  <si>
    <t>cost.building.ship@3.plank.1</t>
  </si>
  <si>
    <t>cost.building.ship@3.anchor.1</t>
  </si>
  <si>
    <t>cost.building.ship@3.spices.1</t>
  </si>
  <si>
    <t>cost.building.ship@4.ruby.1</t>
  </si>
  <si>
    <t>cost.building.ship@4.coin.1</t>
  </si>
  <si>
    <t>cost.building.ship@4.plank.1</t>
  </si>
  <si>
    <t>cost.building.ship@4.spices.1</t>
  </si>
  <si>
    <t>cost.building.ship@4.gunpowder.1</t>
  </si>
  <si>
    <t>cost.building.shop@1.ruby.1</t>
  </si>
  <si>
    <t>cost.building.shop@1.coin.1</t>
  </si>
  <si>
    <t>cost.building.shop@1.wood.1</t>
  </si>
  <si>
    <t>cost.building.shop@1.stone.1</t>
  </si>
  <si>
    <t>cost.building.shop@2.ruby.1</t>
  </si>
  <si>
    <t>cost.building.shop@2.coin.1</t>
  </si>
  <si>
    <t>cost.building.shop@2.wood.1</t>
  </si>
  <si>
    <t>cost.building.shop@2.stone.1</t>
  </si>
  <si>
    <t>cost.building.shop@3.ruby.1</t>
  </si>
  <si>
    <t>cost.building.shop@3.coin.1</t>
  </si>
  <si>
    <t>cost.building.shop@3.beam.1</t>
  </si>
  <si>
    <t>cost.building.shop@3.stone.1</t>
  </si>
  <si>
    <t>cost.building.smithy@1.ruby.1</t>
  </si>
  <si>
    <t>cost.building.smithy@1.coin.1</t>
  </si>
  <si>
    <t>cost.building.smithy@1.wood.1</t>
  </si>
  <si>
    <t>cost.building.smithy@1.stone.1</t>
  </si>
  <si>
    <t>cost.building.smithy@1.steel.1</t>
  </si>
  <si>
    <t>cost.building.smithy@2.ruby.1</t>
  </si>
  <si>
    <t>cost.building.smithy@2.coin.1</t>
  </si>
  <si>
    <t>cost.building.smithy@2.wood.1</t>
  </si>
  <si>
    <t>cost.building.smithy@2.stone.1</t>
  </si>
  <si>
    <t>cost.building.smithy@2.steel.1</t>
  </si>
  <si>
    <t>cost.building.smithy@3.ruby.1</t>
  </si>
  <si>
    <t>cost.building.smithy@3.coin.1</t>
  </si>
  <si>
    <t>cost.building.smithy@3.beam.1</t>
  </si>
  <si>
    <t>cost.building.smithy@3.stone.1</t>
  </si>
  <si>
    <t>cost.building.smithy@3.steel.1</t>
  </si>
  <si>
    <t>cost.building.station@1.ruby.1</t>
  </si>
  <si>
    <t>cost.building.station@1.coin.1</t>
  </si>
  <si>
    <t>cost.building.station@1.beam.1</t>
  </si>
  <si>
    <t>cost.building.station@1.plank.1</t>
  </si>
  <si>
    <t>cost.building.station@1.stone.1</t>
  </si>
  <si>
    <t>cost.building.station@1.steel.1</t>
  </si>
  <si>
    <t>cost.building.station@1.ingot.1</t>
  </si>
  <si>
    <t>cost.building.station@1.kimono.1</t>
  </si>
  <si>
    <t>cost.building.station@1.blueprint.1</t>
  </si>
  <si>
    <t>cost.building.tailor@1.ruby.1</t>
  </si>
  <si>
    <t>cost.building.tailor@1.coin.1</t>
  </si>
  <si>
    <t>cost.building.tailor@1.beam.1</t>
  </si>
  <si>
    <t>cost.building.tailor@1.stone.1</t>
  </si>
  <si>
    <t>cost.building.tailor@1.silk.1</t>
  </si>
  <si>
    <t>cost.building.tailor@1.paper.1</t>
  </si>
  <si>
    <t>cost.building.tailor@2.ruby.1</t>
  </si>
  <si>
    <t>cost.building.tailor@2.coin.1</t>
  </si>
  <si>
    <t>cost.building.tailor@2.plank.1</t>
  </si>
  <si>
    <t>cost.building.tailor@2.stone.1</t>
  </si>
  <si>
    <t>cost.building.tailor@2.silk.1</t>
  </si>
  <si>
    <t>cost.building.tailor@2.glass.1</t>
  </si>
  <si>
    <t>cost.building.tailor@3.ruby.1</t>
  </si>
  <si>
    <t>cost.building.tailor@3.coin.1</t>
  </si>
  <si>
    <t>cost.building.tailor@3.plank.1</t>
  </si>
  <si>
    <t>cost.building.tailor@3.stone.1</t>
  </si>
  <si>
    <t>cost.building.tailor@3.steel.1</t>
  </si>
  <si>
    <t>cost.building.tailor@3.silk.1</t>
  </si>
  <si>
    <t>cost.building.train@1.ruby.1</t>
  </si>
  <si>
    <t>cost.building.train@1.coin.1</t>
  </si>
  <si>
    <t>cost.building.train@1.steel.1</t>
  </si>
  <si>
    <t>cost.building.train@1.msteel.1</t>
  </si>
  <si>
    <t>cost.building.train@1.mechanism.1</t>
  </si>
  <si>
    <t>cost.building.train@1.glass.1</t>
  </si>
  <si>
    <t>cost.building.train@1.blueprint.1</t>
  </si>
  <si>
    <t>cost.building.train@2.ruby.1</t>
  </si>
  <si>
    <t>cost.building.train@2.coin.1</t>
  </si>
  <si>
    <t>cost.building.train@2.steel.1</t>
  </si>
  <si>
    <t>cost.building.train@2.mechanism.1</t>
  </si>
  <si>
    <t>cost.building.train@2.mercury.1</t>
  </si>
  <si>
    <t>cost.building.train@2.blueprint.1</t>
  </si>
  <si>
    <t>cost.building.train_freight_carriage@1.ruby.1</t>
  </si>
  <si>
    <t>cost.building.train_freight_carriage@1.coin.1</t>
  </si>
  <si>
    <t>cost.building.train_freight_carriage@1.plank.1</t>
  </si>
  <si>
    <t>cost.building.train_freight_carriage@1.steel.1</t>
  </si>
  <si>
    <t>cost.building.train_freight_carriage@1.mechanism.1</t>
  </si>
  <si>
    <t>cost.building.train_freight_carriage@1.blueprint.1</t>
  </si>
  <si>
    <t>cost.building.train_freight_carriage@2.ruby.1</t>
  </si>
  <si>
    <t>cost.building.train_freight_carriage@2.coin.1</t>
  </si>
  <si>
    <t>cost.building.train_freight_carriage@2.plank.1</t>
  </si>
  <si>
    <t>cost.building.train_freight_carriage@2.steel.1</t>
  </si>
  <si>
    <t>cost.building.train_freight_carriage@2.mechanism.1</t>
  </si>
  <si>
    <t>cost.building.train_passenger_carriage@1.ruby.1</t>
  </si>
  <si>
    <t>cost.building.train_passenger_carriage@1.coin.1</t>
  </si>
  <si>
    <t>cost.building.train_passenger_carriage@1.plank.1</t>
  </si>
  <si>
    <t>cost.building.train_passenger_carriage@1.steel.1</t>
  </si>
  <si>
    <t>cost.building.train_passenger_carriage@1.mechanism.1</t>
  </si>
  <si>
    <t>cost.building.train_passenger_carriage@1.glass.1</t>
  </si>
  <si>
    <t>cost.building.train_passenger_carriage@1.blueprint.1</t>
  </si>
  <si>
    <t>cost.building.train_passenger_carriage@2.ruby.1</t>
  </si>
  <si>
    <t>cost.building.train_passenger_carriage@2.coin.1</t>
  </si>
  <si>
    <t>cost.building.train_passenger_carriage@2.plank.1</t>
  </si>
  <si>
    <t>cost.building.train_passenger_carriage@2.steel.1</t>
  </si>
  <si>
    <t>cost.building.train_passenger_carriage@2.mechanism.1</t>
  </si>
  <si>
    <t>cost.building.train_passenger_carriage@2.glass.1</t>
  </si>
  <si>
    <t>cost.building.warehouse@1.ruby.1</t>
  </si>
  <si>
    <t>cost.building.warehouse@1.coin.1</t>
  </si>
  <si>
    <t>cost.building.warehouse@1.wood.1</t>
  </si>
  <si>
    <t>cost.building.warehouse@1.stone.1</t>
  </si>
  <si>
    <t>cost.building.warehouse@2.ruby.1</t>
  </si>
  <si>
    <t>cost.building.warehouse@2.coin.1</t>
  </si>
  <si>
    <t>cost.building.warehouse@2.wood.1</t>
  </si>
  <si>
    <t>cost.building.warehouse@2.stone.1</t>
  </si>
  <si>
    <t>cost.building.warehouse@3.ruby.1</t>
  </si>
  <si>
    <t>cost.building.warehouse@3.coin.1</t>
  </si>
  <si>
    <t>cost.building.warehouse@3.beam.1</t>
  </si>
  <si>
    <t>cost.building.warehouse@3.stone.1</t>
  </si>
  <si>
    <t>cost.building.warehouse@4.ruby.1</t>
  </si>
  <si>
    <t>cost.building.warehouse@4.coin.1</t>
  </si>
  <si>
    <t>cost.building.warehouse@4.beam.1</t>
  </si>
  <si>
    <t>cost.building.warehouse@4.stone.1</t>
  </si>
  <si>
    <t>cost.building.warehouse@5.ruby.1</t>
  </si>
  <si>
    <t>cost.building.warehouse@5.coin.1</t>
  </si>
  <si>
    <t>cost.building.warehouse@5.beam.1</t>
  </si>
  <si>
    <t>cost.building.warehouse@5.stone.1</t>
  </si>
  <si>
    <t>cost.building.warehouse@6.ruby.1</t>
  </si>
  <si>
    <t>cost.building.warehouse@6.coin.1</t>
  </si>
  <si>
    <t>cost.building.warehouse@6.beam.1</t>
  </si>
  <si>
    <t>cost.building.warehouse@6.stone.1</t>
  </si>
  <si>
    <t>cost.building.warehouse@6.steel.1</t>
  </si>
  <si>
    <t>cost.building.warehouse@7.ruby.1</t>
  </si>
  <si>
    <t>cost.building.warehouse@7.coin.1</t>
  </si>
  <si>
    <t>cost.building.warehouse@7.beam.1</t>
  </si>
  <si>
    <t>cost.building.warehouse@7.stone.1</t>
  </si>
  <si>
    <t>cost.building.warehouse@7.steel.1</t>
  </si>
  <si>
    <t>cost.building.windmill@1.ruby.1</t>
  </si>
  <si>
    <t>cost.building.windmill@1.coin.1</t>
  </si>
  <si>
    <t>cost.building.windmill@1.wood.1</t>
  </si>
  <si>
    <t>cost.building.windmill@1.stone.1</t>
  </si>
  <si>
    <t>cost.building.windmill@1.steel.1</t>
  </si>
  <si>
    <t>cost.building.windmill@2.ruby.1</t>
  </si>
  <si>
    <t>cost.building.windmill@2.coin.1</t>
  </si>
  <si>
    <t>cost.building.windmill@2.beam.1</t>
  </si>
  <si>
    <t>cost.building.windmill@2.stone.1</t>
  </si>
  <si>
    <t>cost.building.windmill@2.miron.1</t>
  </si>
  <si>
    <t>cost.building.workshop@1.ruby.1</t>
  </si>
  <si>
    <t>cost.building.workshop@1.coin.1</t>
  </si>
  <si>
    <t>cost.building.workshop@1.wood.1</t>
  </si>
  <si>
    <t>cost.building.workshop@1.stone.1</t>
  </si>
  <si>
    <t>cost.building.workshop@2.ruby.1</t>
  </si>
  <si>
    <t>cost.building.workshop@2.coin.1</t>
  </si>
  <si>
    <t>cost.building.workshop@2.wood.1</t>
  </si>
  <si>
    <t>cost.building.workshop@2.stone.1</t>
  </si>
  <si>
    <t>cost.building.workshop@3.ruby.1</t>
  </si>
  <si>
    <t>cost.building.workshop@3.coin.1</t>
  </si>
  <si>
    <t>cost.building.workshop@3.beam.1</t>
  </si>
  <si>
    <t>cost.building.workshop@3.stone.1</t>
  </si>
  <si>
    <t>cost.building.workshop@4.ruby.1</t>
  </si>
  <si>
    <t>cost.building.workshop@4.coin.1</t>
  </si>
  <si>
    <t>cost.building.workshop@4.beam.1</t>
  </si>
  <si>
    <t>cost.building.workshop@4.stone.1</t>
  </si>
  <si>
    <t>cost.building.workshop@4.steel.1</t>
  </si>
  <si>
    <t>cost.building.workshop@5.ruby.1</t>
  </si>
  <si>
    <t>cost.building.workshop@5.coin.1</t>
  </si>
  <si>
    <t>cost.building.workshop@5.beam.1</t>
  </si>
  <si>
    <t>cost.building.workshop@5.stone.1</t>
  </si>
  <si>
    <t>cost.building.workshop@5.steel.1</t>
  </si>
  <si>
    <t>cost.tech.airship.titanium_longerons.apy.1</t>
  </si>
  <si>
    <t>cost.tech.airship.titanium_longerons.blueprint.1</t>
  </si>
  <si>
    <t>cost.tech.airship.titanium_longerons.coin.1</t>
  </si>
  <si>
    <t>cost.tech.airship.titanium_longerons.reagent.1</t>
  </si>
  <si>
    <t>cost.tech.airship.titanium_longerons.ruby.1</t>
  </si>
  <si>
    <t>cost.tech.airship.titanium_longerons.tparts.1</t>
  </si>
  <si>
    <t>cost.tech.alchemists_hut.greek_grenade.chemicals.1</t>
  </si>
  <si>
    <t>cost.tech.alchemists_hut.greek_grenade.coin.1</t>
  </si>
  <si>
    <t>cost.tech.alchemists_hut.greek_grenade.glass.1</t>
  </si>
  <si>
    <t>cost.tech.alchemists_hut.greek_grenade.oil.1</t>
  </si>
  <si>
    <t>cost.tech.alchemists_hut.greek_grenade.page.1</t>
  </si>
  <si>
    <t>cost.tech.alchemists_hut.greek_grenade.ruby.1</t>
  </si>
  <si>
    <t>cost.tech.alchemists_hut.synthetic_fertilizer.blueprint.1</t>
  </si>
  <si>
    <t>cost.tech.alchemists_hut.synthetic_fertilizer.charcoal.1</t>
  </si>
  <si>
    <t>cost.tech.alchemists_hut.synthetic_fertilizer.chemicals.1</t>
  </si>
  <si>
    <t>cost.tech.alchemists_hut.synthetic_fertilizer.coin.1</t>
  </si>
  <si>
    <t>cost.tech.alchemists_hut.synthetic_fertilizer.reagent.1</t>
  </si>
  <si>
    <t>cost.tech.alchemists_hut.synthetic_fertilizer.ruby.1</t>
  </si>
  <si>
    <t>cost.tech.alchemists_hut.balm.cinnabar.1</t>
  </si>
  <si>
    <t>cost.tech.alchemists_hut.balm.coin.1</t>
  </si>
  <si>
    <t>cost.tech.alchemists_hut.balm.glass.1</t>
  </si>
  <si>
    <t>cost.tech.alchemists_hut.balm.grimoire.1</t>
  </si>
  <si>
    <t>cost.tech.alchemists_hut.balm.herbs.1</t>
  </si>
  <si>
    <t>cost.tech.alchemists_hut.balm.oil.1</t>
  </si>
  <si>
    <t>cost.tech.alchemists_hut.balm.ruby.1</t>
  </si>
  <si>
    <t>cost.tech.alchemists_hut.potion_of_mental_power.cinnabar.1</t>
  </si>
  <si>
    <t>cost.tech.alchemists_hut.potion_of_mental_power.coin.1</t>
  </si>
  <si>
    <t>cost.tech.alchemists_hut.potion_of_mental_power.ginkgo.1</t>
  </si>
  <si>
    <t>cost.tech.alchemists_hut.potion_of_mental_power.glass.1</t>
  </si>
  <si>
    <t>cost.tech.alchemists_hut.potion_of_mental_power.grimoire.1</t>
  </si>
  <si>
    <t>cost.tech.alchemists_hut.potion_of_mental_power.herbs.1</t>
  </si>
  <si>
    <t>cost.tech.alchemists_hut.potion_of_mental_power.reagent.1</t>
  </si>
  <si>
    <t>cost.tech.alchemists_hut.potion_of_mental_power.ruby.1</t>
  </si>
  <si>
    <t>cost.tech.alchemists_hut.mercury.charcoal.1</t>
  </si>
  <si>
    <t>cost.tech.alchemists_hut.mercury.cinnabar.1</t>
  </si>
  <si>
    <t>cost.tech.alchemists_hut.mercury.coin.1</t>
  </si>
  <si>
    <t>cost.tech.alchemists_hut.mercury.glass.1</t>
  </si>
  <si>
    <t>cost.tech.alchemists_hut.mercury.grimoire.1</t>
  </si>
  <si>
    <t>cost.tech.alchemists_hut.mercury.reagent.1</t>
  </si>
  <si>
    <t>cost.tech.alchemists_hut.mercury.ruby.1</t>
  </si>
  <si>
    <t>cost.tech.alchemists_hut.gold_ingot.apy.1</t>
  </si>
  <si>
    <t>cost.tech.alchemists_hut.gold_ingot.charcoal.1</t>
  </si>
  <si>
    <t>cost.tech.alchemists_hut.gold_ingot.grimoire.1</t>
  </si>
  <si>
    <t>cost.tech.alchemists_hut.gold_ingot.ingot.1</t>
  </si>
  <si>
    <t>cost.tech.alchemists_hut.gold_ingot.mercury.1</t>
  </si>
  <si>
    <t>cost.tech.alchemists_hut.gold_ingot.ruby.1</t>
  </si>
  <si>
    <t>cost.tech.alchemists_hut.madness_grenade.apy.1</t>
  </si>
  <si>
    <t>cost.tech.alchemists_hut.madness_grenade.coin.1</t>
  </si>
  <si>
    <t>cost.tech.alchemists_hut.madness_grenade.glass.1</t>
  </si>
  <si>
    <t>cost.tech.alchemists_hut.madness_grenade.grimoire.1</t>
  </si>
  <si>
    <t>cost.tech.alchemists_hut.madness_grenade.gunpowder.1</t>
  </si>
  <si>
    <t>cost.tech.alchemists_hut.madness_grenade.herbs.1</t>
  </si>
  <si>
    <t>cost.tech.alchemists_hut.madness_grenade.mercury.1</t>
  </si>
  <si>
    <t>cost.tech.alchemists_hut.madness_grenade.ruby.1</t>
  </si>
  <si>
    <t>cost.tech.alchemists_hut.potion_of_healing.coin.1</t>
  </si>
  <si>
    <t>cost.tech.alchemists_hut.potion_of_healing.crypto.1</t>
  </si>
  <si>
    <t>cost.tech.alchemists_hut.potion_of_healing.glass.1</t>
  </si>
  <si>
    <t>cost.tech.alchemists_hut.potion_of_healing.page.1</t>
  </si>
  <si>
    <t>cost.tech.alchemists_hut.potion_of_healing.reagent.1</t>
  </si>
  <si>
    <t>cost.tech.alchemists_hut.potion_of_healing.ruby.1</t>
  </si>
  <si>
    <t>cost.tech.alchemists_hut.potion_of_energy.coin.1</t>
  </si>
  <si>
    <t>cost.tech.alchemists_hut.potion_of_energy.crypto.1</t>
  </si>
  <si>
    <t>cost.tech.alchemists_hut.potion_of_energy.glass.1</t>
  </si>
  <si>
    <t>cost.tech.alchemists_hut.potion_of_energy.page.1</t>
  </si>
  <si>
    <t>cost.tech.alchemists_hut.potion_of_energy.reagent.1</t>
  </si>
  <si>
    <t>cost.tech.alchemists_hut.potion_of_energy.ruby.1</t>
  </si>
  <si>
    <t>cost.tech.alchemists_hut.potion_berserker_rage.coin.1</t>
  </si>
  <si>
    <t>cost.tech.alchemists_hut.potion_berserker_rage.glass.1</t>
  </si>
  <si>
    <t>cost.tech.alchemists_hut.potion_berserker_rage.mandrake.1</t>
  </si>
  <si>
    <t>cost.tech.alchemists_hut.potion_berserker_rage.page.1</t>
  </si>
  <si>
    <t>cost.tech.alchemists_hut.potion_berserker_rage.reagent.1</t>
  </si>
  <si>
    <t>cost.tech.alchemists_hut.potion_berserker_rage.ruby.1</t>
  </si>
  <si>
    <t>cost.tech.alchemists_hut.potion_berserker_rage.spices.1</t>
  </si>
  <si>
    <t>cost.tech.alchemists_hut.potion_of_healing_lvl_2.catalyst.1</t>
  </si>
  <si>
    <t>cost.tech.alchemists_hut.potion_of_healing_lvl_2.coin.1</t>
  </si>
  <si>
    <t>cost.tech.alchemists_hut.potion_of_healing_lvl_2.mandrake.1</t>
  </si>
  <si>
    <t>cost.tech.alchemists_hut.potion_of_healing_lvl_2.page.1</t>
  </si>
  <si>
    <t>cost.tech.alchemists_hut.potion_of_healing_lvl_2.poh.1</t>
  </si>
  <si>
    <t>cost.tech.alchemists_hut.potion_of_healing_lvl_2.reagent.1</t>
  </si>
  <si>
    <t>cost.tech.alchemists_hut.potion_of_healing_lvl_2.ruby.1</t>
  </si>
  <si>
    <t>cost.tech.alchemists_hut.potion_ambrosia.catalyst.1</t>
  </si>
  <si>
    <t>cost.tech.alchemists_hut.potion_ambrosia.coin.1</t>
  </si>
  <si>
    <t>cost.tech.alchemists_hut.potion_ambrosia.mandrake.1</t>
  </si>
  <si>
    <t>cost.tech.alchemists_hut.potion_ambrosia.page.1</t>
  </si>
  <si>
    <t>cost.tech.alchemists_hut.potion_ambrosia.poh2.1</t>
  </si>
  <si>
    <t>cost.tech.alchemists_hut.potion_ambrosia.reagent.1</t>
  </si>
  <si>
    <t>cost.tech.alchemists_hut.potion_ambrosia.ruby.1</t>
  </si>
  <si>
    <t>cost.tech.alchemists_hut.conveyor_lvl_1.blueprint.1</t>
  </si>
  <si>
    <t>cost.tech.alchemists_hut.conveyor_lvl_1.coin.1</t>
  </si>
  <si>
    <t>cost.tech.alchemists_hut.conveyor_lvl_1.elixir.1</t>
  </si>
  <si>
    <t>cost.tech.alchemists_hut.conveyor_lvl_1.mechanism.1</t>
  </si>
  <si>
    <t>cost.tech.alchemists_hut.conveyor_lvl_1.msteel.1</t>
  </si>
  <si>
    <t>cost.tech.alchemists_hut.conveyor_lvl_1.ruby.1</t>
  </si>
  <si>
    <t>cost.tech.alchemists_hut.conveyor_lvl_2.blueprint.1</t>
  </si>
  <si>
    <t>cost.tech.alchemists_hut.conveyor_lvl_2.coin.1</t>
  </si>
  <si>
    <t>cost.tech.alchemists_hut.conveyor_lvl_2.elixir.1</t>
  </si>
  <si>
    <t>cost.tech.alchemists_hut.conveyor_lvl_2.mechanism.1</t>
  </si>
  <si>
    <t>cost.tech.alchemists_hut.conveyor_lvl_2.msteel.1</t>
  </si>
  <si>
    <t>cost.tech.alchemists_hut.conveyor_lvl_2.ruby.1</t>
  </si>
  <si>
    <t>cost.tech.alchemists_hut.galvanization.blueprint.1</t>
  </si>
  <si>
    <t>cost.tech.alchemists_hut.galvanization.catalyst.1</t>
  </si>
  <si>
    <t>cost.tech.alchemists_hut.galvanization.ingot.1</t>
  </si>
  <si>
    <t>cost.tech.alchemists_hut.galvanization.reagent.1</t>
  </si>
  <si>
    <t>cost.tech.alchemists_hut.galvanization.ruby.1</t>
  </si>
  <si>
    <t>cost.tech.alchemists_hut.metamorphosis.coin.1</t>
  </si>
  <si>
    <t>cost.tech.alchemists_hut.metamorphosis.grimoire.1</t>
  </si>
  <si>
    <t>cost.tech.alchemists_hut.metamorphosis.mandrake.1</t>
  </si>
  <si>
    <t>cost.tech.alchemists_hut.metamorphosis.mercury.1</t>
  </si>
  <si>
    <t>cost.tech.alchemists_hut.metamorphosis.reagent.1</t>
  </si>
  <si>
    <t>cost.tech.alchemists_hut.metamorphosis.ruby.1</t>
  </si>
  <si>
    <t>cost.tech.alchemists_hut.advanced_fertilizer.blueprint.1</t>
  </si>
  <si>
    <t>cost.tech.alchemists_hut.advanced_fertilizer.catalyst.1</t>
  </si>
  <si>
    <t>cost.tech.alchemists_hut.advanced_fertilizer.chemicals.1</t>
  </si>
  <si>
    <t>cost.tech.alchemists_hut.advanced_fertilizer.coin.1</t>
  </si>
  <si>
    <t>cost.tech.alchemists_hut.advanced_fertilizer.fertilizer.1</t>
  </si>
  <si>
    <t>cost.tech.alchemists_hut.advanced_fertilizer.glass.1</t>
  </si>
  <si>
    <t>cost.tech.alchemists_hut.advanced_fertilizer.reagent.1</t>
  </si>
  <si>
    <t>cost.tech.alchemists_hut.advanced_fertilizer.ruby.1</t>
  </si>
  <si>
    <t>cost.tech.alchemists_hut.advanced_fertilizer.titanium.1</t>
  </si>
  <si>
    <t>cost.tech.bridge.koi_fish.ingot.1</t>
  </si>
  <si>
    <t>cost.tech.bridge.koi_fish.paper.1</t>
  </si>
  <si>
    <t>cost.tech.bridge.koi_fish.ruby.1</t>
  </si>
  <si>
    <t>cost.tech.bridge.koi_fish.salmon.1</t>
  </si>
  <si>
    <t>cost.tech.bridge.koi_fish.tuna.1</t>
  </si>
  <si>
    <t>cost.tech.bridge.koi_fish.wheat.1</t>
  </si>
  <si>
    <t>cost.tech.bridge.salmon_farming.blueprint.1</t>
  </si>
  <si>
    <t>cost.tech.bridge.salmon_farming.flour.1</t>
  </si>
  <si>
    <t>cost.tech.bridge.salmon_farming.glass.1</t>
  </si>
  <si>
    <t>cost.tech.bridge.salmon_farming.net.1</t>
  </si>
  <si>
    <t>cost.tech.bridge.salmon_farming.ruby.1</t>
  </si>
  <si>
    <t>cost.tech.bridge.salmon_farming.salmon.1</t>
  </si>
  <si>
    <t>cost.tech.bridge.salmon_farming.stone.1</t>
  </si>
  <si>
    <t>cost.tech.dairy.classical_music_for_the_farm.blueprint.1</t>
  </si>
  <si>
    <t>cost.tech.dairy.classical_music_for_the_farm.coin.1</t>
  </si>
  <si>
    <t>cost.tech.dairy.classical_music_for_the_farm.glass.1</t>
  </si>
  <si>
    <t>cost.tech.dairy.classical_music_for_the_farm.horn.1</t>
  </si>
  <si>
    <t>cost.tech.dairy.classical_music_for_the_farm.mechanism.1</t>
  </si>
  <si>
    <t>cost.tech.dairy.classical_music_for_the_farm.milk.1</t>
  </si>
  <si>
    <t>cost.tech.dairy.classical_music_for_the_farm.quartz.1</t>
  </si>
  <si>
    <t>cost.tech.dairy.classical_music_for_the_farm.ruby.1</t>
  </si>
  <si>
    <t>cost.tech.dairy.big_data_farming.blueprint.1</t>
  </si>
  <si>
    <t>cost.tech.dairy.big_data_farming.coin.1</t>
  </si>
  <si>
    <t>cost.tech.dairy.big_data_farming.mechanism.1</t>
  </si>
  <si>
    <t>cost.tech.dairy.big_data_farming.milk.1</t>
  </si>
  <si>
    <t>cost.tech.dairy.big_data_farming.paper.1</t>
  </si>
  <si>
    <t>cost.tech.dairy.big_data_farming.quartz.1</t>
  </si>
  <si>
    <t>cost.tech.dairy.big_data_farming.ruby.1</t>
  </si>
  <si>
    <t>cost.tech.dairy.big_data_farming.tparts.1</t>
  </si>
  <si>
    <t>cost.tech.dairy.big_data_farming.violetcrystal.1</t>
  </si>
  <si>
    <t>cost.tech.dungeon.great_hall.coin.1</t>
  </si>
  <si>
    <t>cost.tech.dungeon.great_hall.fan.1</t>
  </si>
  <si>
    <t>cost.tech.dungeon.great_hall.steel.1</t>
  </si>
  <si>
    <t>cost.tech.dungeon.great_hall.stone.1</t>
  </si>
  <si>
    <t>cost.tech.dungeon.great_hall.wood.1</t>
  </si>
  <si>
    <t>cost.tech.fermentory.pasteurization.amazake.1</t>
  </si>
  <si>
    <t>cost.tech.fermentory.pasteurization.blueprint.1</t>
  </si>
  <si>
    <t>cost.tech.fermentory.pasteurization.catalyst.1</t>
  </si>
  <si>
    <t>cost.tech.fermentory.pasteurization.coin.1</t>
  </si>
  <si>
    <t>cost.tech.fermentory.pasteurization.enzyme.1</t>
  </si>
  <si>
    <t>cost.tech.fermentory.pasteurization.glass.1</t>
  </si>
  <si>
    <t>cost.tech.fermentory.pasteurization.ruby.1</t>
  </si>
  <si>
    <t>cost.tech.fermentory.pasteurization.steel.1</t>
  </si>
  <si>
    <t>cost.tech.field.seed_drill.blueprint.1</t>
  </si>
  <si>
    <t>cost.tech.field.seed_drill.coin.1</t>
  </si>
  <si>
    <t>cost.tech.field.seed_drill.elixir.1</t>
  </si>
  <si>
    <t>cost.tech.field.seed_drill.mechanism.1</t>
  </si>
  <si>
    <t>cost.tech.field.seed_drill.msteel.1</t>
  </si>
  <si>
    <t>cost.tech.field.seed_drill.ruby.1</t>
  </si>
  <si>
    <t>cost.tech.field.combine_harvester.blueprint.1</t>
  </si>
  <si>
    <t>cost.tech.field.combine_harvester.coin.1</t>
  </si>
  <si>
    <t>cost.tech.field.combine_harvester.elixir.1</t>
  </si>
  <si>
    <t>cost.tech.field.combine_harvester.mechanism.1</t>
  </si>
  <si>
    <t>cost.tech.field.combine_harvester.ruby.1</t>
  </si>
  <si>
    <t>cost.tech.field.combine_harvester.steamobile.1</t>
  </si>
  <si>
    <t>cost.tech.field.soybean.coin.1</t>
  </si>
  <si>
    <t>cost.tech.field.soybean.flatbread.1</t>
  </si>
  <si>
    <t>cost.tech.field.soybean.onigiri.1</t>
  </si>
  <si>
    <t>cost.tech.field.soybean.page.1</t>
  </si>
  <si>
    <t>cost.tech.field.soybean.ruby.1</t>
  </si>
  <si>
    <t>cost.tech.field.soybean.steel.1</t>
  </si>
  <si>
    <t>cost.tech.field.soybean.thread.1</t>
  </si>
  <si>
    <t>cost.tech.field.soybean.wood.1</t>
  </si>
  <si>
    <t>cost.tech.food_stall.quintessence_of_taste.beans.1</t>
  </si>
  <si>
    <t>cost.tech.food_stall.quintessence_of_taste.blueprint.1</t>
  </si>
  <si>
    <t>cost.tech.food_stall.quintessence_of_taste.coin.1</t>
  </si>
  <si>
    <t>cost.tech.food_stall.quintessence_of_taste.honey.1</t>
  </si>
  <si>
    <t>cost.tech.food_stall.quintessence_of_taste.ruby.1</t>
  </si>
  <si>
    <t>cost.tech.food_stall.quintessence_of_taste.spices.1</t>
  </si>
  <si>
    <t>cost.tech.food_stall.jam.coin.1</t>
  </si>
  <si>
    <t>cost.tech.food_stall.jam.glass.1</t>
  </si>
  <si>
    <t>cost.tech.food_stall.jam.grimoire.1</t>
  </si>
  <si>
    <t>cost.tech.food_stall.jam.ruby.1</t>
  </si>
  <si>
    <t>cost.tech.food_stall.jam.strawberry.1</t>
  </si>
  <si>
    <t>cost.tech.food_stall.mayonnaise.blueprint.1</t>
  </si>
  <si>
    <t>cost.tech.food_stall.mayonnaise.coin.1</t>
  </si>
  <si>
    <t>cost.tech.food_stall.mayonnaise.egg.1</t>
  </si>
  <si>
    <t>cost.tech.food_stall.mayonnaise.glass.1</t>
  </si>
  <si>
    <t>cost.tech.food_stall.mayonnaise.oil.1</t>
  </si>
  <si>
    <t>cost.tech.food_stall.mayonnaise.ruby.1</t>
  </si>
  <si>
    <t>cost.tech.food_stall.mandra_cola.beans.1</t>
  </si>
  <si>
    <t>cost.tech.food_stall.mandra_cola.blueprint.1</t>
  </si>
  <si>
    <t>cost.tech.food_stall.mandra_cola.coin.1</t>
  </si>
  <si>
    <t>cost.tech.food_stall.mandra_cola.glass.1</t>
  </si>
  <si>
    <t>cost.tech.food_stall.mandra_cola.honey.1</t>
  </si>
  <si>
    <t>cost.tech.food_stall.mandra_cola.mandrake.1</t>
  </si>
  <si>
    <t>cost.tech.food_stall.mandra_cola.ruby.1</t>
  </si>
  <si>
    <t>cost.tech.food_stall.inarizushi.coin.1</t>
  </si>
  <si>
    <t>cost.tech.food_stall.inarizushi.grimoire.1</t>
  </si>
  <si>
    <t>cost.tech.food_stall.inarizushi.ruby.1</t>
  </si>
  <si>
    <t>cost.tech.food_stall.inarizushi.soy.1</t>
  </si>
  <si>
    <t>cost.tech.food_stall.inarizushi.tofu.1</t>
  </si>
  <si>
    <t>cost.tech.food_stall.conveyor_belt_sushi.blueprint.1</t>
  </si>
  <si>
    <t>cost.tech.food_stall.conveyor_belt_sushi.coin.1</t>
  </si>
  <si>
    <t>cost.tech.food_stall.conveyor_belt_sushi.elixir.1</t>
  </si>
  <si>
    <t>cost.tech.food_stall.conveyor_belt_sushi.mechanism.1</t>
  </si>
  <si>
    <t>cost.tech.food_stall.conveyor_belt_sushi.ruby.1</t>
  </si>
  <si>
    <t>cost.tech.food_stall.conveyor_belt_sushi.steel.1</t>
  </si>
  <si>
    <t>cost.tech.food_stall.miso_soup.coin.1</t>
  </si>
  <si>
    <t>cost.tech.food_stall.miso_soup.elixir.1</t>
  </si>
  <si>
    <t>cost.tech.food_stall.miso_soup.grimoire.1</t>
  </si>
  <si>
    <t>cost.tech.food_stall.miso_soup.misopaste.1</t>
  </si>
  <si>
    <t>cost.tech.food_stall.miso_soup.ruby.1</t>
  </si>
  <si>
    <t>cost.tech.food_stall.miso_soup.sushi.1</t>
  </si>
  <si>
    <t>cost.tech.food_stall.miso_soup.tofu.1</t>
  </si>
  <si>
    <t>cost.tech.furnace.meteoric_steel.blueprint.1</t>
  </si>
  <si>
    <t>cost.tech.furnace.meteoric_steel.coin.1</t>
  </si>
  <si>
    <t>cost.tech.furnace.meteoric_steel.miron.1</t>
  </si>
  <si>
    <t>cost.tech.furnace.meteoric_steel.ruby.1</t>
  </si>
  <si>
    <t>cost.tech.furnace.titanium_parts.blueprint.1</t>
  </si>
  <si>
    <t>cost.tech.furnace.titanium_parts.coin.1</t>
  </si>
  <si>
    <t>cost.tech.furnace.titanium_parts.mechanism.1</t>
  </si>
  <si>
    <t>cost.tech.furnace.titanium_parts.reagent.1</t>
  </si>
  <si>
    <t>cost.tech.furnace.titanium_parts.ruby.1</t>
  </si>
  <si>
    <t>cost.tech.furnace.titanium_parts.titanium.1</t>
  </si>
  <si>
    <t>cost.tech.furnace.glass.blueprint.1</t>
  </si>
  <si>
    <t>cost.tech.furnace.glass.chemicals.1</t>
  </si>
  <si>
    <t>cost.tech.furnace.glass.coin.1</t>
  </si>
  <si>
    <t>cost.tech.furnace.glass.glass.1</t>
  </si>
  <si>
    <t>cost.tech.furnace.glass.mechanism.1</t>
  </si>
  <si>
    <t>cost.tech.furnace.glass.quartz.1</t>
  </si>
  <si>
    <t>cost.tech.furnace.glass.ruby.1</t>
  </si>
  <si>
    <t>cost.tech.furnace.conveyor.blueprint.1</t>
  </si>
  <si>
    <t>cost.tech.furnace.conveyor.coin.1</t>
  </si>
  <si>
    <t>cost.tech.furnace.conveyor.elixir.1</t>
  </si>
  <si>
    <t>cost.tech.furnace.conveyor.mechanism.1</t>
  </si>
  <si>
    <t>cost.tech.furnace.conveyor.msteel.1</t>
  </si>
  <si>
    <t>cost.tech.furnace.conveyor.ruby.1</t>
  </si>
  <si>
    <t>cost.tech.garden.sprinkler.blueprint.1</t>
  </si>
  <si>
    <t>cost.tech.garden.sprinkler.coin.1</t>
  </si>
  <si>
    <t>cost.tech.garden.sprinkler.miron.1</t>
  </si>
  <si>
    <t>cost.tech.garden.sprinkler.ruby.1</t>
  </si>
  <si>
    <t>cost.tech.laboratory.research_and_development.amazake.1</t>
  </si>
  <si>
    <t>cost.tech.laboratory.research_and_development.blueprint.1</t>
  </si>
  <si>
    <t>cost.tech.laboratory.research_and_development.catalyst.1</t>
  </si>
  <si>
    <t>cost.tech.laboratory.research_and_development.coin.1</t>
  </si>
  <si>
    <t>cost.tech.laboratory.research_and_development.enzyme.1</t>
  </si>
  <si>
    <t>cost.tech.laboratory.research_and_development.floppy.1</t>
  </si>
  <si>
    <t>cost.tech.laboratory.research_and_development.microchip.1</t>
  </si>
  <si>
    <t>cost.tech.laboratory.research_and_development.reagent.1</t>
  </si>
  <si>
    <t>cost.tech.laboratory.research_and_development.ruby.1</t>
  </si>
  <si>
    <t>cost.tech.laboratory.digitization.blueprint.1</t>
  </si>
  <si>
    <t>cost.tech.laboratory.digitization.chemicals.1</t>
  </si>
  <si>
    <t>cost.tech.laboratory.digitization.coin.1</t>
  </si>
  <si>
    <t>cost.tech.laboratory.digitization.floppy.1</t>
  </si>
  <si>
    <t>cost.tech.laboratory.digitization.mechanism.1</t>
  </si>
  <si>
    <t>cost.tech.laboratory.digitization.microchip.1</t>
  </si>
  <si>
    <t>cost.tech.laboratory.digitization.paper.1</t>
  </si>
  <si>
    <t>cost.tech.laboratory.digitization.quartz.1</t>
  </si>
  <si>
    <t>cost.tech.laboratory.digitization.ruby.1</t>
  </si>
  <si>
    <t>cost.tech.laboratory.experiments.blueprint.1</t>
  </si>
  <si>
    <t>cost.tech.laboratory.experiments.coin.1</t>
  </si>
  <si>
    <t>cost.tech.laboratory.experiments.diamond.1</t>
  </si>
  <si>
    <t>cost.tech.laboratory.experiments.floppy.1</t>
  </si>
  <si>
    <t>cost.tech.laboratory.experiments.mercury.1</t>
  </si>
  <si>
    <t>cost.tech.laboratory.experiments.microchip.1</t>
  </si>
  <si>
    <t>cost.tech.laboratory.experiments.ruby.1</t>
  </si>
  <si>
    <t>cost.tech.laboratory.experiments.tparts.1</t>
  </si>
  <si>
    <t>cost.tech.laboratory.experiments.violetcrystal.1</t>
  </si>
  <si>
    <t>cost.tech.outpost.sayonara_tax.blueprint.1</t>
  </si>
  <si>
    <t>cost.tech.outpost.sayonara_tax.coin.1</t>
  </si>
  <si>
    <t>cost.tech.outpost.sayonara_tax.paper.1</t>
  </si>
  <si>
    <t>cost.tech.outpost.sayonara_tax.ruby.1</t>
  </si>
  <si>
    <t>cost.tech.outpost.arsenal_lvl_1.blueprint.1</t>
  </si>
  <si>
    <t>cost.tech.outpost.arsenal_lvl_1.coin.1</t>
  </si>
  <si>
    <t>cost.tech.outpost.arsenal_lvl_1.plank.1</t>
  </si>
  <si>
    <t>cost.tech.outpost.arsenal_lvl_1.ruby.1</t>
  </si>
  <si>
    <t>cost.tech.outpost.arsenal_lvl_1.steel.1</t>
  </si>
  <si>
    <t>cost.tech.outpost.arsenal_lvl_2.blueprint.1</t>
  </si>
  <si>
    <t>cost.tech.outpost.arsenal_lvl_2.coin.1</t>
  </si>
  <si>
    <t>cost.tech.outpost.arsenal_lvl_2.plank.1</t>
  </si>
  <si>
    <t>cost.tech.outpost.arsenal_lvl_2.ruby.1</t>
  </si>
  <si>
    <t>cost.tech.outpost.arsenal_lvl_2.steel.1</t>
  </si>
  <si>
    <t>cost.tech.outpost.optional_contracts.coin.1</t>
  </si>
  <si>
    <t>cost.tech.outpost.optional_contracts.oil.1</t>
  </si>
  <si>
    <t>cost.tech.outpost.optional_contracts.page.1</t>
  </si>
  <si>
    <t>cost.tech.outpost.optional_contracts.paper.1</t>
  </si>
  <si>
    <t>cost.tech.outpost.optional_contracts.ruby.1</t>
  </si>
  <si>
    <t>cost.tech.outpost.futures_contracts.blueprint.1</t>
  </si>
  <si>
    <t>cost.tech.outpost.futures_contracts.coin.1</t>
  </si>
  <si>
    <t>cost.tech.outpost.futures_contracts.paper.1</t>
  </si>
  <si>
    <t>cost.tech.outpost.futures_contracts.rice.1</t>
  </si>
  <si>
    <t>cost.tech.outpost.futures_contracts.ruby.1</t>
  </si>
  <si>
    <t>cost.tech.outpost.futures_contracts.tuna.1</t>
  </si>
  <si>
    <t>cost.tech.outpost.tax_return_on_floppy_disk.blueprint.1</t>
  </si>
  <si>
    <t>cost.tech.outpost.tax_return_on_floppy_disk.coin.1</t>
  </si>
  <si>
    <t>cost.tech.outpost.tax_return_on_floppy_disk.floppy.1</t>
  </si>
  <si>
    <t>cost.tech.outpost.tax_return_on_floppy_disk.microchip.1</t>
  </si>
  <si>
    <t>cost.tech.outpost.tax_return_on_floppy_disk.ruby.1</t>
  </si>
  <si>
    <t>cost.tech.outpost.tax_return_on_floppy_disk.steel.1</t>
  </si>
  <si>
    <t>cost.tech.rock_garden.rake.blueprint.1</t>
  </si>
  <si>
    <t>cost.tech.rock_garden.rake.coin.1</t>
  </si>
  <si>
    <t>cost.tech.rock_garden.rake.miron.1</t>
  </si>
  <si>
    <t>cost.tech.rock_garden.rake.ruby.1</t>
  </si>
  <si>
    <t>cost.tech.shop.pre_orders.beans.1</t>
  </si>
  <si>
    <t>cost.tech.shop.pre_orders.blueprint.1</t>
  </si>
  <si>
    <t>cost.tech.shop.pre_orders.coin.1</t>
  </si>
  <si>
    <t>cost.tech.shop.pre_orders.paper.1</t>
  </si>
  <si>
    <t>cost.tech.shop.pre_orders.ruby.1</t>
  </si>
  <si>
    <t>cost.tech.shop.glass_recycling.blueprint.1</t>
  </si>
  <si>
    <t>cost.tech.shop.glass_recycling.chemicals.1</t>
  </si>
  <si>
    <t>cost.tech.shop.glass_recycling.coin.1</t>
  </si>
  <si>
    <t>cost.tech.shop.glass_recycling.glass.1</t>
  </si>
  <si>
    <t>cost.tech.shop.glass_recycling.plank.1</t>
  </si>
  <si>
    <t>cost.tech.shop.glass_recycling.ruby.1</t>
  </si>
  <si>
    <t>cost.tech.smithy.throwing_knife.coin.1</t>
  </si>
  <si>
    <t>cost.tech.smithy.throwing_knife.miron.1</t>
  </si>
  <si>
    <t>cost.tech.smithy.throwing_knife.page.1</t>
  </si>
  <si>
    <t>cost.tech.smithy.throwing_knife.ruby.1</t>
  </si>
  <si>
    <t>cost.tech.smithy.sword_for_a_hero_lvl_1.charcoal.1</t>
  </si>
  <si>
    <t>cost.tech.smithy.sword_for_a_hero_lvl_1.coin.1</t>
  </si>
  <si>
    <t>cost.tech.smithy.sword_for_a_hero_lvl_1.miron.1</t>
  </si>
  <si>
    <t>cost.tech.smithy.sword_for_a_hero_lvl_1.page.1</t>
  </si>
  <si>
    <t>cost.tech.smithy.sword_for_a_hero_lvl_1.ruby.1</t>
  </si>
  <si>
    <t>cost.tech.smithy.sword_for_a_hero_lvl_1.steel.1</t>
  </si>
  <si>
    <t>cost.tech.smithy.sword_for_a_hero_lvl_2.blueprint.1</t>
  </si>
  <si>
    <t>cost.tech.smithy.sword_for_a_hero_lvl_2.charcoal.1</t>
  </si>
  <si>
    <t>cost.tech.smithy.sword_for_a_hero_lvl_2.coin.1</t>
  </si>
  <si>
    <t>cost.tech.smithy.sword_for_a_hero_lvl_2.msteel.1</t>
  </si>
  <si>
    <t>cost.tech.smithy.sword_for_a_hero_lvl_2.ruby.1</t>
  </si>
  <si>
    <t>cost.tech.smithy.sword_for_a_hero_lvl_2.steel.1</t>
  </si>
  <si>
    <t>cost.tech.smithy.sword_for_a_hero_lvl_3.blueprint.1</t>
  </si>
  <si>
    <t>cost.tech.smithy.sword_for_a_hero_lvl_3.charcoal.1</t>
  </si>
  <si>
    <t>cost.tech.smithy.sword_for_a_hero_lvl_3.coin.1</t>
  </si>
  <si>
    <t>cost.tech.smithy.sword_for_a_hero_lvl_3.msteel.1</t>
  </si>
  <si>
    <t>cost.tech.smithy.sword_for_a_hero_lvl_3.ruby.1</t>
  </si>
  <si>
    <t>cost.tech.smithy.sword_for_a_hero_lvl_3.steel.1</t>
  </si>
  <si>
    <t>cost.tech.smithy.sword_for_a_hero_lvl_4.blueprint.1</t>
  </si>
  <si>
    <t>cost.tech.smithy.sword_for_a_hero_lvl_4.coin.1</t>
  </si>
  <si>
    <t>cost.tech.smithy.sword_for_a_hero_lvl_4.gears.1</t>
  </si>
  <si>
    <t>cost.tech.smithy.sword_for_a_hero_lvl_4.mechanism.1</t>
  </si>
  <si>
    <t>cost.tech.smithy.sword_for_a_hero_lvl_4.ruby.1</t>
  </si>
  <si>
    <t>cost.tech.smithy.sword_for_a_hero_lvl_4.sword3.1</t>
  </si>
  <si>
    <t>cost.tech.smithy.sword_for_a_hero_lvl_4+.bamboo.1</t>
  </si>
  <si>
    <t>cost.tech.smithy.sword_for_a_hero_lvl_4+.bluecrystal.1</t>
  </si>
  <si>
    <t>cost.tech.smithy.sword_for_a_hero_lvl_4+.coin.1</t>
  </si>
  <si>
    <t>cost.tech.smithy.sword_for_a_hero_lvl_4+.grimoire.1</t>
  </si>
  <si>
    <t>cost.tech.smithy.sword_for_a_hero_lvl_4+.mercury.1</t>
  </si>
  <si>
    <t>cost.tech.smithy.sword_for_a_hero_lvl_4+.quartz.1</t>
  </si>
  <si>
    <t>cost.tech.smithy.sword_for_a_hero_lvl_4+.reddiamond.1</t>
  </si>
  <si>
    <t>cost.tech.smithy.sword_for_a_hero_lvl_4+.ruby.1</t>
  </si>
  <si>
    <t>cost.tech.smithy.sword_for_a_hero_lvl_4+.sword4.1</t>
  </si>
  <si>
    <t>cost.tech.smithy.weapon_grease.blueprint.1</t>
  </si>
  <si>
    <t>cost.tech.smithy.weapon_grease.coin.1</t>
  </si>
  <si>
    <t>cost.tech.smithy.weapon_grease.oil.1</t>
  </si>
  <si>
    <t>cost.tech.smithy.weapon_grease.reagent.1</t>
  </si>
  <si>
    <t>cost.tech.smithy.weapon_grease.ruby.1</t>
  </si>
  <si>
    <t>cost.tech.smithy.gears.blueprint.1</t>
  </si>
  <si>
    <t>cost.tech.smithy.gears.coin.1</t>
  </si>
  <si>
    <t>cost.tech.smithy.gears.gears.1</t>
  </si>
  <si>
    <t>cost.tech.smithy.gears.miron.1</t>
  </si>
  <si>
    <t>cost.tech.smithy.gears.ruby.1</t>
  </si>
  <si>
    <t>cost.tech.smithy.treasure.bluecrystal.1</t>
  </si>
  <si>
    <t>cost.tech.smithy.treasure.coin.1</t>
  </si>
  <si>
    <t>cost.tech.smithy.treasure.greencrystal.1</t>
  </si>
  <si>
    <t>cost.tech.smithy.treasure.grimoire.1</t>
  </si>
  <si>
    <t>cost.tech.smithy.treasure.ingot.1</t>
  </si>
  <si>
    <t>cost.tech.smithy.treasure.mercury.1</t>
  </si>
  <si>
    <t>cost.tech.smithy.treasure.redcrystal.1</t>
  </si>
  <si>
    <t>cost.tech.smithy.treasure.ruby.1</t>
  </si>
  <si>
    <t>cost.tech.smithy.treasure.violetcrystal.1</t>
  </si>
  <si>
    <t>cost.tech.tailor.ariadnes_thread.coin.1</t>
  </si>
  <si>
    <t>cost.tech.tailor.ariadnes_thread.elixir.1</t>
  </si>
  <si>
    <t>cost.tech.tailor.ariadnes_thread.page.1</t>
  </si>
  <si>
    <t>cost.tech.tailor.ariadnes_thread.ring1.1</t>
  </si>
  <si>
    <t>cost.tech.tailor.ariadnes_thread.ruby.1</t>
  </si>
  <si>
    <t>cost.tech.tailor.ariadnes_thread.thread.1</t>
  </si>
  <si>
    <t>cost.tech.tailor.bedroll.blueprint.1</t>
  </si>
  <si>
    <t>cost.tech.tailor.bedroll.coin.1</t>
  </si>
  <si>
    <t>cost.tech.tailor.bedroll.reagent.1</t>
  </si>
  <si>
    <t>cost.tech.tailor.bedroll.ruby.1</t>
  </si>
  <si>
    <t>cost.tech.tailor.bedroll.silk.1</t>
  </si>
  <si>
    <t>cost.tech.tailor.bedroll.thread.1</t>
  </si>
  <si>
    <t>cost.tech.tailor.salamander_velour.coin.1</t>
  </si>
  <si>
    <t>cost.tech.tailor.salamander_velour.ginkgo.1</t>
  </si>
  <si>
    <t>cost.tech.tailor.salamander_velour.grimoire.1</t>
  </si>
  <si>
    <t>cost.tech.tailor.salamander_velour.hide.1</t>
  </si>
  <si>
    <t>cost.tech.tailor.salamander_velour.mercury.1</t>
  </si>
  <si>
    <t>cost.tech.tailor.salamander_velour.ruby.1</t>
  </si>
  <si>
    <t>cost.tech.tailor.armor_for_a_hero_lvl_1.coin.1</t>
  </si>
  <si>
    <t>cost.tech.tailor.armor_for_a_hero_lvl_1.miron.1</t>
  </si>
  <si>
    <t>cost.tech.tailor.armor_for_a_hero_lvl_1.page.1</t>
  </si>
  <si>
    <t>cost.tech.tailor.armor_for_a_hero_lvl_1.ruby.1</t>
  </si>
  <si>
    <t>cost.tech.tailor.armor_for_a_hero_lvl_1.silk.1</t>
  </si>
  <si>
    <t>cost.tech.tailor.armor_for_a_hero_lvl_1.thread.1</t>
  </si>
  <si>
    <t>cost.tech.tailor.armor_for_a_hero_lvl_2.blueprint.1</t>
  </si>
  <si>
    <t>cost.tech.tailor.armor_for_a_hero_lvl_2.coin.1</t>
  </si>
  <si>
    <t>cost.tech.tailor.armor_for_a_hero_lvl_2.msteel.1</t>
  </si>
  <si>
    <t>cost.tech.tailor.armor_for_a_hero_lvl_2.ruby.1</t>
  </si>
  <si>
    <t>cost.tech.tailor.armor_for_a_hero_lvl_2.silk.1</t>
  </si>
  <si>
    <t>cost.tech.tailor.armor_for_a_hero_lvl_2.thread.1</t>
  </si>
  <si>
    <t>cost.tech.tailor.armor_for_a_hero_lvl_3.blueprint.1</t>
  </si>
  <si>
    <t>cost.tech.tailor.armor_for_a_hero_lvl_3.coin.1</t>
  </si>
  <si>
    <t>cost.tech.tailor.armor_for_a_hero_lvl_3.msteel.1</t>
  </si>
  <si>
    <t>cost.tech.tailor.armor_for_a_hero_lvl_3.ruby.1</t>
  </si>
  <si>
    <t>cost.tech.tailor.armor_for_a_hero_lvl_3.silk.1</t>
  </si>
  <si>
    <t>cost.tech.tailor.armor_for_a_hero_lvl_3.thread.1</t>
  </si>
  <si>
    <t>cost.tech.tailor.armor_for_a_hero_lvl_4.blueprint.1</t>
  </si>
  <si>
    <t>cost.tech.tailor.armor_for_a_hero_lvl_4.coin.1</t>
  </si>
  <si>
    <t>cost.tech.tailor.armor_for_a_hero_lvl_4.grimoire.1</t>
  </si>
  <si>
    <t>cost.tech.tailor.armor_for_a_hero_lvl_4.mechanism.1</t>
  </si>
  <si>
    <t>cost.tech.tailor.armor_for_a_hero_lvl_4.ruby.1</t>
  </si>
  <si>
    <t>cost.tech.tailor.armor_for_a_hero_lvl_4.tparts.1</t>
  </si>
  <si>
    <t>cost.tech.tailor.armor_for_a_hero_lvl_4.velour.1</t>
  </si>
  <si>
    <t>cost.tech.tailor.armor_for_a_hero_lvl_4+.armor4.1</t>
  </si>
  <si>
    <t>cost.tech.tailor.armor_for_a_hero_lvl_4+.blueprint.1</t>
  </si>
  <si>
    <t>cost.tech.tailor.armor_for_a_hero_lvl_4+.coin.1</t>
  </si>
  <si>
    <t>cost.tech.tailor.armor_for_a_hero_lvl_4+.grimoire.1</t>
  </si>
  <si>
    <t>cost.tech.tailor.armor_for_a_hero_lvl_4+.quartz.1</t>
  </si>
  <si>
    <t>cost.tech.tailor.armor_for_a_hero_lvl_4+.redcrystal.1</t>
  </si>
  <si>
    <t>cost.tech.tailor.armor_for_a_hero_lvl_4+.reddiamond.1</t>
  </si>
  <si>
    <t>cost.tech.tailor.armor_for_a_hero_lvl_4+.ruby.1</t>
  </si>
  <si>
    <t>cost.tech.tailor.armor_for_a_hero_lvl_4+.tparts.1</t>
  </si>
  <si>
    <t>cost.tech.tailor.strong_stitch.blueprint.1</t>
  </si>
  <si>
    <t>cost.tech.tailor.strong_stitch.coin.1</t>
  </si>
  <si>
    <t>cost.tech.tailor.strong_stitch.ruby.1</t>
  </si>
  <si>
    <t>cost.tech.tailor.strong_stitch.silk.1</t>
  </si>
  <si>
    <t>cost.tech.tailor.strong_stitch.thread.1</t>
  </si>
  <si>
    <t>cost.tech.tailor.strong_rivets.blueprint.1</t>
  </si>
  <si>
    <t>cost.tech.tailor.strong_rivets.coin.1</t>
  </si>
  <si>
    <t>cost.tech.tailor.strong_rivets.miron.1</t>
  </si>
  <si>
    <t>cost.tech.tailor.strong_rivets.ruby.1</t>
  </si>
  <si>
    <t>cost.tech.tailor.strong_rivets.thread.1</t>
  </si>
  <si>
    <t>cost.tech.tailor.colored_threads.cinnabar.1</t>
  </si>
  <si>
    <t>cost.tech.tailor.colored_threads.coin.1</t>
  </si>
  <si>
    <t>cost.tech.tailor.colored_threads.grimoire.1</t>
  </si>
  <si>
    <t>cost.tech.tailor.colored_threads.herbs.1</t>
  </si>
  <si>
    <t>cost.tech.tailor.colored_threads.reagent.1</t>
  </si>
  <si>
    <t>cost.tech.tailor.colored_threads.ruby.1</t>
  </si>
  <si>
    <t>cost.tech.tailor.colored_threads.thread.1</t>
  </si>
  <si>
    <t>cost.tech.train.compound_engine.blueprint.1</t>
  </si>
  <si>
    <t>cost.tech.train.compound_engine.coin.1</t>
  </si>
  <si>
    <t>cost.tech.train.compound_engine.gears.1</t>
  </si>
  <si>
    <t>cost.tech.train.compound_engine.mechanism.1</t>
  </si>
  <si>
    <t>cost.tech.train.compound_engine.ruby.1</t>
  </si>
  <si>
    <t>cost.tech.train.superheater.blueprint.1</t>
  </si>
  <si>
    <t>cost.tech.train.superheater.catalyst.1</t>
  </si>
  <si>
    <t>cost.tech.train.superheater.coin.1</t>
  </si>
  <si>
    <t>cost.tech.train.superheater.mechanism.1</t>
  </si>
  <si>
    <t>cost.tech.train.superheater.ruby.1</t>
  </si>
  <si>
    <t>cost.tech.train.superheater.steel.1</t>
  </si>
  <si>
    <t>cost.tech.train.automatic_lubricator.blueprint.1</t>
  </si>
  <si>
    <t>cost.tech.train.automatic_lubricator.coin.1</t>
  </si>
  <si>
    <t>cost.tech.train.automatic_lubricator.mechanism.1</t>
  </si>
  <si>
    <t>cost.tech.train.automatic_lubricator.oil.1</t>
  </si>
  <si>
    <t>cost.tech.train.automatic_lubricator.ruby.1</t>
  </si>
  <si>
    <t>cost.tech.train.titanium_components.apy.1</t>
  </si>
  <si>
    <t>cost.tech.train.titanium_components.blueprint.1</t>
  </si>
  <si>
    <t>cost.tech.train.titanium_components.coin.1</t>
  </si>
  <si>
    <t>cost.tech.train.titanium_components.reagent.1</t>
  </si>
  <si>
    <t>cost.tech.train.titanium_components.ruby.1</t>
  </si>
  <si>
    <t>cost.tech.train.titanium_components.tparts.1</t>
  </si>
  <si>
    <t>cost.tech.train.onboard_computer.apy.1</t>
  </si>
  <si>
    <t>cost.tech.train.onboard_computer.blueprint.1</t>
  </si>
  <si>
    <t>cost.tech.train.onboard_computer.coin.1</t>
  </si>
  <si>
    <t>cost.tech.train.onboard_computer.floppy.1</t>
  </si>
  <si>
    <t>cost.tech.train.onboard_computer.mechanism.1</t>
  </si>
  <si>
    <t>cost.tech.train.onboard_computer.mercury.1</t>
  </si>
  <si>
    <t>cost.tech.train.onboard_computer.microchip.1</t>
  </si>
  <si>
    <t>cost.tech.train.onboard_computer.ruby.1</t>
  </si>
  <si>
    <t>cost.tech.train.onboard_computer.steel.1</t>
  </si>
  <si>
    <t>cost.tech.warehouse.stackable_racks_lvl_1.blueprint.1</t>
  </si>
  <si>
    <t>cost.tech.warehouse.stackable_racks_lvl_1.coin.1</t>
  </si>
  <si>
    <t>cost.tech.warehouse.stackable_racks_lvl_1.plank.1</t>
  </si>
  <si>
    <t>cost.tech.warehouse.stackable_racks_lvl_1.ruby.1</t>
  </si>
  <si>
    <t>cost.tech.warehouse.stackable_racks_lvl_1.steel.1</t>
  </si>
  <si>
    <t>cost.tech.warehouse.stackable_racks_lvl_2.blueprint.1</t>
  </si>
  <si>
    <t>cost.tech.warehouse.stackable_racks_lvl_2.coin.1</t>
  </si>
  <si>
    <t>cost.tech.warehouse.stackable_racks_lvl_2.plank.1</t>
  </si>
  <si>
    <t>cost.tech.warehouse.stackable_racks_lvl_2.ruby.1</t>
  </si>
  <si>
    <t>cost.tech.warehouse.stackable_racks_lvl_2.steel.1</t>
  </si>
  <si>
    <t>cost.tech.warehouse.stackable_racks_lvl_3.blueprint.1</t>
  </si>
  <si>
    <t>cost.tech.warehouse.stackable_racks_lvl_3.coin.1</t>
  </si>
  <si>
    <t>cost.tech.warehouse.stackable_racks_lvl_3.plank.1</t>
  </si>
  <si>
    <t>cost.tech.warehouse.stackable_racks_lvl_3.ruby.1</t>
  </si>
  <si>
    <t>cost.tech.warehouse.stackable_racks_lvl_3.steel.1</t>
  </si>
  <si>
    <t>cost.tech.workshop.throwing_net.beam.1</t>
  </si>
  <si>
    <t>cost.tech.workshop.throwing_net.coin.1</t>
  </si>
  <si>
    <t>cost.tech.workshop.throwing_net.page.1</t>
  </si>
  <si>
    <t>cost.tech.workshop.throwing_net.ruby.1</t>
  </si>
  <si>
    <t>cost.tech.workshop.throwing_net.stone.1</t>
  </si>
  <si>
    <t>cost.tech.workshop.throwing_net.thread.1</t>
  </si>
  <si>
    <t>cost.tech.workshop.shield_for_a_hero_lvl_1.beam.1</t>
  </si>
  <si>
    <t>cost.tech.workshop.shield_for_a_hero_lvl_1.coin.1</t>
  </si>
  <si>
    <t>cost.tech.workshop.shield_for_a_hero_lvl_1.miron.1</t>
  </si>
  <si>
    <t>cost.tech.workshop.shield_for_a_hero_lvl_1.page.1</t>
  </si>
  <si>
    <t>cost.tech.workshop.shield_for_a_hero_lvl_1.ruby.1</t>
  </si>
  <si>
    <t>cost.tech.workshop.shield_for_a_hero_lvl_2.blueprint.1</t>
  </si>
  <si>
    <t>cost.tech.workshop.shield_for_a_hero_lvl_2.coin.1</t>
  </si>
  <si>
    <t>cost.tech.workshop.shield_for_a_hero_lvl_2.msteel.1</t>
  </si>
  <si>
    <t>cost.tech.workshop.shield_for_a_hero_lvl_2.plank.1</t>
  </si>
  <si>
    <t>cost.tech.workshop.shield_for_a_hero_lvl_2.ruby.1</t>
  </si>
  <si>
    <t>cost.tech.workshop.shield_for_a_hero_lvl_3.blueprint.1</t>
  </si>
  <si>
    <t>cost.tech.workshop.shield_for_a_hero_lvl_3.coin.1</t>
  </si>
  <si>
    <t>cost.tech.workshop.shield_for_a_hero_lvl_3.msteel.1</t>
  </si>
  <si>
    <t>cost.tech.workshop.shield_for_a_hero_lvl_3.plank.1</t>
  </si>
  <si>
    <t>cost.tech.workshop.shield_for_a_hero_lvl_3.ruby.1</t>
  </si>
  <si>
    <t>cost.tech.workshop.shield_for_a_hero_lvl_4.blueprint.1</t>
  </si>
  <si>
    <t>cost.tech.workshop.shield_for_a_hero_lvl_4.catalyst.1</t>
  </si>
  <si>
    <t>cost.tech.workshop.shield_for_a_hero_lvl_4.chemicals.1</t>
  </si>
  <si>
    <t>cost.tech.workshop.shield_for_a_hero_lvl_4.coin.1</t>
  </si>
  <si>
    <t>cost.tech.workshop.shield_for_a_hero_lvl_4.mechanism.1</t>
  </si>
  <si>
    <t>cost.tech.workshop.shield_for_a_hero_lvl_4.ruby.1</t>
  </si>
  <si>
    <t>cost.tech.workshop.shield_for_a_hero_lvl_4.shield3.1</t>
  </si>
  <si>
    <t>cost.tech.workshop.shield_for_a_hero_lvl_4+.apy.1</t>
  </si>
  <si>
    <t>cost.tech.workshop.shield_for_a_hero_lvl_4+.catalyst.1</t>
  </si>
  <si>
    <t>cost.tech.workshop.shield_for_a_hero_lvl_4+.coin.1</t>
  </si>
  <si>
    <t>cost.tech.workshop.shield_for_a_hero_lvl_4+.greencrystal.1</t>
  </si>
  <si>
    <t>cost.tech.workshop.shield_for_a_hero_lvl_4+.grimoire.1</t>
  </si>
  <si>
    <t>cost.tech.workshop.shield_for_a_hero_lvl_4+.quartz.1</t>
  </si>
  <si>
    <t>cost.tech.workshop.shield_for_a_hero_lvl_4+.reddiamond.1</t>
  </si>
  <si>
    <t>cost.tech.workshop.shield_for_a_hero_lvl_4+.ruby.1</t>
  </si>
  <si>
    <t>cost.tech.workshop.shield_for_a_hero_lvl_4+.shield4.1</t>
  </si>
  <si>
    <t>cost.tech.workshop.strong_glue.blueprint.1</t>
  </si>
  <si>
    <t>cost.tech.workshop.strong_glue.coin.1</t>
  </si>
  <si>
    <t>cost.tech.workshop.strong_glue.honey.1</t>
  </si>
  <si>
    <t>cost.tech.workshop.strong_glue.reagent.1</t>
  </si>
  <si>
    <t>cost.tech.workshop.strong_glue.ruby.1</t>
  </si>
  <si>
    <t>cost.tech.workshop.mechanism.blueprint.1</t>
  </si>
  <si>
    <t>cost.tech.workshop.mechanism.coin.1</t>
  </si>
  <si>
    <t>cost.tech.workshop.mechanism.gears.1</t>
  </si>
  <si>
    <t>cost.tech.workshop.mechanism.msteel.1</t>
  </si>
  <si>
    <t>cost.tech.workshop.mechanism.ruby.1</t>
  </si>
  <si>
    <t>cost.tech.workshop.mechanical_spider.blueprint.1</t>
  </si>
  <si>
    <t>cost.tech.workshop.mechanical_spider.coin.1</t>
  </si>
  <si>
    <t>cost.tech.workshop.mechanical_spider.mechanism.1</t>
  </si>
  <si>
    <t>cost.tech.workshop.mechanical_spider.msteel.1</t>
  </si>
  <si>
    <t>cost.tech.workshop.mechanical_spider.ruby.1</t>
  </si>
  <si>
    <t>cost.tech.workshop.explosive_mechanical_spider.blueprint.1</t>
  </si>
  <si>
    <t>cost.tech.workshop.explosive_mechanical_spider.coin.1</t>
  </si>
  <si>
    <t>cost.tech.workshop.explosive_mechanical_spider.greek.1</t>
  </si>
  <si>
    <t>cost.tech.workshop.explosive_mechanical_spider.mechanism.1</t>
  </si>
  <si>
    <t>cost.tech.workshop.explosive_mechanical_spider.mspider.1</t>
  </si>
  <si>
    <t>cost.tech.workshop.explosive_mechanical_spider.ruby.1</t>
  </si>
  <si>
    <t>cost.tech.workshop.steamobile.blueprint.1</t>
  </si>
  <si>
    <t>cost.tech.workshop.steamobile.coin.1</t>
  </si>
  <si>
    <t>cost.tech.workshop.steamobile.mechanism.1</t>
  </si>
  <si>
    <t>cost.tech.workshop.steamobile.msteel.1</t>
  </si>
  <si>
    <t>cost.tech.workshop.steamobile.ruby.1</t>
  </si>
  <si>
    <t>cost.tech.workshop.zen_fountain.bamboo.1</t>
  </si>
  <si>
    <t>cost.tech.workshop.zen_fountain.coin.1</t>
  </si>
  <si>
    <t>cost.tech.workshop.zen_fountain.grimoire.1</t>
  </si>
  <si>
    <t>cost.tech.workshop.zen_fountain.ruby.1</t>
  </si>
  <si>
    <t>cost.tech.workshop.zen_fountain.stone.1</t>
  </si>
  <si>
    <t>cost.tech.workshop.zen_fountain.thread.1</t>
  </si>
  <si>
    <t>cost.tech.workshop.conveyor_lvl_1.blueprint.1</t>
  </si>
  <si>
    <t>cost.tech.workshop.conveyor_lvl_1.coin.1</t>
  </si>
  <si>
    <t>cost.tech.workshop.conveyor_lvl_1.elixir.1</t>
  </si>
  <si>
    <t>cost.tech.workshop.conveyor_lvl_1.mechanism.1</t>
  </si>
  <si>
    <t>cost.tech.workshop.conveyor_lvl_1.msteel.1</t>
  </si>
  <si>
    <t>cost.tech.workshop.conveyor_lvl_1.ruby.1</t>
  </si>
  <si>
    <t>cost.tech.workshop.conveyor_lvl_2.blueprint.1</t>
  </si>
  <si>
    <t>cost.tech.workshop.conveyor_lvl_2.coin.1</t>
  </si>
  <si>
    <t>cost.tech.workshop.conveyor_lvl_2.elixir.1</t>
  </si>
  <si>
    <t>cost.tech.workshop.conveyor_lvl_2.mechanism.1</t>
  </si>
  <si>
    <t>cost.tech.workshop.conveyor_lvl_2.msteel.1</t>
  </si>
  <si>
    <t>cost.tech.workshop.conveyor_lvl_2.ruby.1</t>
  </si>
  <si>
    <t>bone_meal</t>
  </si>
  <si>
    <t>punch_card</t>
  </si>
  <si>
    <t>meteroic_iron</t>
  </si>
  <si>
    <t>elixir_of_insight</t>
  </si>
  <si>
    <t>ancient_page</t>
  </si>
  <si>
    <t>cost.citadel.armory.beam.1</t>
  </si>
  <si>
    <t>cost.citadel.armory.coin.1</t>
  </si>
  <si>
    <t>cost.citadel.armory.page.1</t>
  </si>
  <si>
    <t>cost.citadel.armory.ruby.1</t>
  </si>
  <si>
    <t>cost.citadel.armory.steel.1</t>
  </si>
  <si>
    <t>cost.citadel.armory.stone.1</t>
  </si>
  <si>
    <t>cost.citadel.attic.beam.1</t>
  </si>
  <si>
    <t>cost.citadel.attic.coin.1</t>
  </si>
  <si>
    <t>cost.citadel.attic.page.1</t>
  </si>
  <si>
    <t>cost.citadel.attic.ruby.1</t>
  </si>
  <si>
    <t>cost.citadel.attic.stone.1</t>
  </si>
  <si>
    <t>cost.citadel.cheese_cave.coin.1</t>
  </si>
  <si>
    <t>cost.citadel.cheese_cave.enzyme.1</t>
  </si>
  <si>
    <t>cost.citadel.cheese_cave.grimoire.1</t>
  </si>
  <si>
    <t>cost.citadel.cheese_cave.plank.1</t>
  </si>
  <si>
    <t>cost.citadel.cheese_cave.ruby.1</t>
  </si>
  <si>
    <t>cost.citadel.cheese_cave.softcheese.1</t>
  </si>
  <si>
    <t>cost.citadel.cheese_cave.stone.1</t>
  </si>
  <si>
    <t>cost.citadel.courtyard.beam.1</t>
  </si>
  <si>
    <t>cost.citadel.courtyard.coin.1</t>
  </si>
  <si>
    <t>cost.citadel.courtyard.page.1</t>
  </si>
  <si>
    <t>cost.citadel.courtyard.ruby.1</t>
  </si>
  <si>
    <t>cost.citadel.courtyard.stone.1</t>
  </si>
  <si>
    <t>cost.citadel.gallery.beam.1</t>
  </si>
  <si>
    <t>cost.citadel.gallery.coin.1</t>
  </si>
  <si>
    <t>cost.citadel.gallery.page.1</t>
  </si>
  <si>
    <t>cost.citadel.gallery.ruby.1</t>
  </si>
  <si>
    <t>cost.citadel.gallery.steel.1</t>
  </si>
  <si>
    <t>cost.citadel.gallery.stone.1</t>
  </si>
  <si>
    <t>cost.citadel.great_hall.beam.1</t>
  </si>
  <si>
    <t>cost.citadel.great_hall.coin.1</t>
  </si>
  <si>
    <t>cost.citadel.great_hall.page.1</t>
  </si>
  <si>
    <t>cost.citadel.great_hall.ruby.1</t>
  </si>
  <si>
    <t>cost.citadel.great_hall.stone.1</t>
  </si>
  <si>
    <t>cost.citadel.kitchen_and_buttery.beam.1</t>
  </si>
  <si>
    <t>cost.citadel.kitchen_and_buttery.coin.1</t>
  </si>
  <si>
    <t>cost.citadel.kitchen_and_buttery.page.1</t>
  </si>
  <si>
    <t>cost.citadel.kitchen_and_buttery.ruby.1</t>
  </si>
  <si>
    <t>cost.citadel.kitchen_and_buttery.stone.1</t>
  </si>
  <si>
    <t>cost.citadel.lair_lvl_1.crypto.1</t>
  </si>
  <si>
    <t>cost.citadel.lair_lvl_1.grimoire.1</t>
  </si>
  <si>
    <t>cost.citadel.lair_lvl_1.inarizushi.1</t>
  </si>
  <si>
    <t>cost.citadel.lair_lvl_1.ruby.1</t>
  </si>
  <si>
    <t>cost.citadel.lair_lvl_1.treasure.1</t>
  </si>
  <si>
    <t>cost.citadel.lair_lvl_1.wood.1</t>
  </si>
  <si>
    <t>cost.citadel.lair_lvl_2.crypto.1</t>
  </si>
  <si>
    <t>cost.citadel.lair_lvl_2.grimoire.1</t>
  </si>
  <si>
    <t>cost.citadel.lair_lvl_2.inarizushi.1</t>
  </si>
  <si>
    <t>cost.citadel.lair_lvl_2.ruby.1</t>
  </si>
  <si>
    <t>cost.citadel.lair_lvl_2.treasure.1</t>
  </si>
  <si>
    <t>cost.citadel.lair_lvl_2.wood.1</t>
  </si>
  <si>
    <t>cost.citadel.mushroom_farm.beam.1</t>
  </si>
  <si>
    <t>cost.citadel.mushroom_farm.coin.1</t>
  </si>
  <si>
    <t>cost.citadel.mushroom_farm.page.1</t>
  </si>
  <si>
    <t>cost.citadel.mushroom_farm.ruby.1</t>
  </si>
  <si>
    <t>cost.citadel.mushroom_farm.stone.1</t>
  </si>
  <si>
    <t>cost.citadel.orangery.beam.1</t>
  </si>
  <si>
    <t>cost.citadel.orangery.coin.1</t>
  </si>
  <si>
    <t>cost.citadel.orangery.page.1</t>
  </si>
  <si>
    <t>cost.citadel.orangery.ruby.1</t>
  </si>
  <si>
    <t>cost.citadel.orangery.stone.1</t>
  </si>
  <si>
    <t>cost.citadel.pantry.beam.1</t>
  </si>
  <si>
    <t>cost.citadel.pantry.coin.1</t>
  </si>
  <si>
    <t>cost.citadel.pantry.page.1</t>
  </si>
  <si>
    <t>cost.citadel.pantry.ruby.1</t>
  </si>
  <si>
    <t>cost.citadel.pantry.stone.1</t>
  </si>
  <si>
    <t>cost.citadel.tavern.beam.1</t>
  </si>
  <si>
    <t>cost.citadel.tavern.coin.1</t>
  </si>
  <si>
    <t>cost.citadel.tavern.page.1</t>
  </si>
  <si>
    <t>cost.citadel.tavern.ruby.1</t>
  </si>
  <si>
    <t>cost.citadel.tavern.stone.1</t>
  </si>
  <si>
    <t>cost.citadel.treasury.beam.1</t>
  </si>
  <si>
    <t>cost.citadel.treasury.coin.1</t>
  </si>
  <si>
    <t>cost.citadel.treasury.page.1</t>
  </si>
  <si>
    <t>cost.citadel.treasury.ruby.1</t>
  </si>
  <si>
    <t>cost.citadel.treasury.steel.1</t>
  </si>
  <si>
    <t>cost.citadel.treasury.stone.1</t>
  </si>
  <si>
    <t>cost.collection.armory_1@1.armor1.1</t>
  </si>
  <si>
    <t>cost.collection.armory_1@1.armor2.1</t>
  </si>
  <si>
    <t>cost.collection.armory_1@1.armor3.1</t>
  </si>
  <si>
    <t>cost.collection.armory_1@1.armor4.1</t>
  </si>
  <si>
    <t>cost.collection.armory_1@1.shield1.1</t>
  </si>
  <si>
    <t>cost.collection.armory_1@1.shield2.1</t>
  </si>
  <si>
    <t>cost.collection.armory_1@1.shield3.1</t>
  </si>
  <si>
    <t>cost.collection.armory_1@1.shield4.1</t>
  </si>
  <si>
    <t>cost.collection.armory_1@1.sword1.1</t>
  </si>
  <si>
    <t>cost.collection.armory_1@1.sword2.1</t>
  </si>
  <si>
    <t>cost.collection.armory_1@1.sword3.1</t>
  </si>
  <si>
    <t>cost.collection.armory_1@1.sword4.1</t>
  </si>
  <si>
    <t>cost.collection.armory_1@2.armor1.1</t>
  </si>
  <si>
    <t>cost.collection.armory_1@2.armor2.1</t>
  </si>
  <si>
    <t>cost.collection.armory_1@2.armor3.1</t>
  </si>
  <si>
    <t>cost.collection.armory_1@2.armor4.1</t>
  </si>
  <si>
    <t>cost.collection.armory_1@2.shield1.1</t>
  </si>
  <si>
    <t>cost.collection.armory_1@2.shield2.1</t>
  </si>
  <si>
    <t>cost.collection.armory_1@2.shield3.1</t>
  </si>
  <si>
    <t>cost.collection.armory_1@2.shield4.1</t>
  </si>
  <si>
    <t>cost.collection.armory_1@2.sword1.1</t>
  </si>
  <si>
    <t>cost.collection.armory_1@2.sword2.1</t>
  </si>
  <si>
    <t>cost.collection.armory_1@2.sword3.1</t>
  </si>
  <si>
    <t>cost.collection.armory_1@2.sword4.1</t>
  </si>
  <si>
    <t>cost.collection.armory_1@3.armor1.1</t>
  </si>
  <si>
    <t>cost.collection.armory_1@3.armor2.1</t>
  </si>
  <si>
    <t>cost.collection.armory_1@3.armor3.1</t>
  </si>
  <si>
    <t>cost.collection.armory_1@3.armor4.1</t>
  </si>
  <si>
    <t>cost.collection.armory_1@3.shield1.1</t>
  </si>
  <si>
    <t>cost.collection.armory_1@3.shield2.1</t>
  </si>
  <si>
    <t>cost.collection.armory_1@3.shield3.1</t>
  </si>
  <si>
    <t>cost.collection.armory_1@3.shield4.1</t>
  </si>
  <si>
    <t>cost.collection.armory_1@3.sword1.1</t>
  </si>
  <si>
    <t>cost.collection.armory_1@3.sword2.1</t>
  </si>
  <si>
    <t>cost.collection.armory_1@3.sword3.1</t>
  </si>
  <si>
    <t>cost.collection.armory_1@3.sword4.1</t>
  </si>
  <si>
    <t>cost.collection.armory_2@1.armor4p.1</t>
  </si>
  <si>
    <t>cost.collection.armory_2@1.shield4p.1</t>
  </si>
  <si>
    <t>cost.collection.armory_2@1.sword4p.1</t>
  </si>
  <si>
    <t>cost.collection.attic@1.drum.1</t>
  </si>
  <si>
    <t>cost.collection.attic@1.fan.1</t>
  </si>
  <si>
    <t>cost.collection.attic@1.firework.1</t>
  </si>
  <si>
    <t>cost.collection.attic@1.katana.1</t>
  </si>
  <si>
    <t>cost.collection.attic@1.kimono.1</t>
  </si>
  <si>
    <t>cost.collection.attic@1.ninja.1</t>
  </si>
  <si>
    <t>cost.collection.attic@1.samurai.1</t>
  </si>
  <si>
    <t>cost.collection.attic@1.shuriken.1</t>
  </si>
  <si>
    <t>cost.collection.attic@1.spikes.1</t>
  </si>
  <si>
    <t>cost.collection.attic@2.drum.1</t>
  </si>
  <si>
    <t>cost.collection.attic@2.fan.1</t>
  </si>
  <si>
    <t>cost.collection.attic@2.firework.1</t>
  </si>
  <si>
    <t>cost.collection.attic@2.katana.1</t>
  </si>
  <si>
    <t>cost.collection.attic@2.kimono.1</t>
  </si>
  <si>
    <t>cost.collection.attic@2.ninja.1</t>
  </si>
  <si>
    <t>cost.collection.attic@2.samurai.1</t>
  </si>
  <si>
    <t>cost.collection.attic@2.shuriken.1</t>
  </si>
  <si>
    <t>cost.collection.attic@2.spikes.1</t>
  </si>
  <si>
    <t>cost.collection.attic@3.drum.1</t>
  </si>
  <si>
    <t>cost.collection.attic@3.fan.1</t>
  </si>
  <si>
    <t>cost.collection.attic@3.firework.1</t>
  </si>
  <si>
    <t>cost.collection.attic@3.katana.1</t>
  </si>
  <si>
    <t>cost.collection.attic@3.kimono.1</t>
  </si>
  <si>
    <t>cost.collection.attic@3.ninja.1</t>
  </si>
  <si>
    <t>cost.collection.attic@3.samurai.1</t>
  </si>
  <si>
    <t>cost.collection.attic@3.shuriken.1</t>
  </si>
  <si>
    <t>cost.collection.attic@3.spikes.1</t>
  </si>
  <si>
    <t>cost.collection.attic@4.drum.1</t>
  </si>
  <si>
    <t>cost.collection.attic@4.fan.1</t>
  </si>
  <si>
    <t>cost.collection.attic@4.firework.1</t>
  </si>
  <si>
    <t>cost.collection.attic@4.katana.1</t>
  </si>
  <si>
    <t>cost.collection.attic@4.kimono.1</t>
  </si>
  <si>
    <t>cost.collection.attic@4.ninja.1</t>
  </si>
  <si>
    <t>cost.collection.attic@4.samurai.1</t>
  </si>
  <si>
    <t>cost.collection.attic@4.shuriken.1</t>
  </si>
  <si>
    <t>cost.collection.attic@4.spikes.1</t>
  </si>
  <si>
    <t>cost.collection.attic@5.drum.1</t>
  </si>
  <si>
    <t>cost.collection.attic@5.fan.1</t>
  </si>
  <si>
    <t>cost.collection.attic@5.firework.1</t>
  </si>
  <si>
    <t>cost.collection.attic@5.katana.1</t>
  </si>
  <si>
    <t>cost.collection.attic@5.kimono.1</t>
  </si>
  <si>
    <t>cost.collection.attic@5.ninja.1</t>
  </si>
  <si>
    <t>cost.collection.attic@5.samurai.1</t>
  </si>
  <si>
    <t>cost.collection.attic@5.shuriken.1</t>
  </si>
  <si>
    <t>cost.collection.attic@5.spikes.1</t>
  </si>
  <si>
    <t>cost.collection.courtyard_1@1.ginkgo.1</t>
  </si>
  <si>
    <t>cost.collection.courtyard_1@1.herbs.1</t>
  </si>
  <si>
    <t>cost.collection.courtyard_1@1.herbs.2</t>
  </si>
  <si>
    <t>cost.collection.courtyard_1@1.herbs.3</t>
  </si>
  <si>
    <t>cost.collection.courtyard_1@1.honey.1</t>
  </si>
  <si>
    <t>cost.collection.courtyard_1@1.porcini.1</t>
  </si>
  <si>
    <t>cost.collection.courtyard_1@1.strawberry.1</t>
  </si>
  <si>
    <t>cost.collection.courtyard_1@1.strawberry.2</t>
  </si>
  <si>
    <t>cost.collection.courtyard_1@1.strawberry.3</t>
  </si>
  <si>
    <t>cost.collection.courtyard_1@1.wood.1</t>
  </si>
  <si>
    <t>cost.collection.courtyard_1@2.ginkgo.1</t>
  </si>
  <si>
    <t>cost.collection.courtyard_1@2.herbs.1</t>
  </si>
  <si>
    <t>cost.collection.courtyard_1@2.herbs.2</t>
  </si>
  <si>
    <t>cost.collection.courtyard_1@2.herbs.3</t>
  </si>
  <si>
    <t>cost.collection.courtyard_1@2.honey.1</t>
  </si>
  <si>
    <t>cost.collection.courtyard_1@2.porcini.1</t>
  </si>
  <si>
    <t>cost.collection.courtyard_1@2.strawberry.1</t>
  </si>
  <si>
    <t>cost.collection.courtyard_1@2.strawberry.2</t>
  </si>
  <si>
    <t>cost.collection.courtyard_1@2.strawberry.3</t>
  </si>
  <si>
    <t>cost.collection.courtyard_1@2.wood.1</t>
  </si>
  <si>
    <t>cost.collection.courtyard_2@1.bamboo.1</t>
  </si>
  <si>
    <t>cost.collection.courtyard_2@1.bamboo.2</t>
  </si>
  <si>
    <t>cost.collection.courtyard_2@1.bamboo.3</t>
  </si>
  <si>
    <t>cost.collection.gallery_1@1.apy.1</t>
  </si>
  <si>
    <t>cost.collection.gallery_1@1.cinnabar.1</t>
  </si>
  <si>
    <t>cost.collection.gallery_1@1.mandrake.1</t>
  </si>
  <si>
    <t>cost.collection.gallery_1@1.miron.1</t>
  </si>
  <si>
    <t>cost.collection.gallery_1@1.reagent.1</t>
  </si>
  <si>
    <t>cost.collection.gallery_1@1.titanium.1</t>
  </si>
  <si>
    <t>cost.collection.gallery_1@2.apy.1</t>
  </si>
  <si>
    <t>cost.collection.gallery_1@2.cinnabar.1</t>
  </si>
  <si>
    <t>cost.collection.gallery_1@2.mandrake.1</t>
  </si>
  <si>
    <t>cost.collection.gallery_1@2.miron.1</t>
  </si>
  <si>
    <t>cost.collection.gallery_1@2.reagent.1</t>
  </si>
  <si>
    <t>cost.collection.gallery_1@2.titanium.1</t>
  </si>
  <si>
    <t>cost.collection.gallery_1@3.apy.1</t>
  </si>
  <si>
    <t>cost.collection.gallery_1@3.cinnabar.1</t>
  </si>
  <si>
    <t>cost.collection.gallery_1@3.mandrake.1</t>
  </si>
  <si>
    <t>cost.collection.gallery_1@3.miron.1</t>
  </si>
  <si>
    <t>cost.collection.gallery_1@3.reagent.1</t>
  </si>
  <si>
    <t>cost.collection.gallery_1@3.titanium.1</t>
  </si>
  <si>
    <t>cost.collection.gallery_1@4.apy.1</t>
  </si>
  <si>
    <t>cost.collection.gallery_1@4.cinnabar.1</t>
  </si>
  <si>
    <t>cost.collection.gallery_1@4.mandrake.1</t>
  </si>
  <si>
    <t>cost.collection.gallery_1@4.miron.1</t>
  </si>
  <si>
    <t>cost.collection.gallery_1@4.reagent.1</t>
  </si>
  <si>
    <t>cost.collection.gallery_1@4.titanium.1</t>
  </si>
  <si>
    <t>cost.collection.gallery_1@5.apy.1</t>
  </si>
  <si>
    <t>cost.collection.gallery_1@5.cinnabar.1</t>
  </si>
  <si>
    <t>cost.collection.gallery_1@5.mandrake.1</t>
  </si>
  <si>
    <t>cost.collection.gallery_1@5.miron.1</t>
  </si>
  <si>
    <t>cost.collection.gallery_1@5.reagent.1</t>
  </si>
  <si>
    <t>cost.collection.gallery_1@5.titanium.1</t>
  </si>
  <si>
    <t>cost.collection.gallery_2@1.hide.1</t>
  </si>
  <si>
    <t>cost.collection.gallery_2@1.horn.1</t>
  </si>
  <si>
    <t>cost.collection.gallery_2@1.teeth.1</t>
  </si>
  <si>
    <t>cost.collection.gallery_2@2.hide.1</t>
  </si>
  <si>
    <t>cost.collection.gallery_2@2.horn.1</t>
  </si>
  <si>
    <t>cost.collection.gallery_2@2.teeth.1</t>
  </si>
  <si>
    <t>cost.collection.gallery_2@3.hide.1</t>
  </si>
  <si>
    <t>cost.collection.gallery_2@3.horn.1</t>
  </si>
  <si>
    <t>cost.collection.gallery_2@3.teeth.1</t>
  </si>
  <si>
    <t>cost.collection.gallery_2@4.hide.1</t>
  </si>
  <si>
    <t>cost.collection.gallery_2@4.horn.1</t>
  </si>
  <si>
    <t>cost.collection.gallery_2@4.teeth.1</t>
  </si>
  <si>
    <t>cost.collection.gallery_2@5.hide.1</t>
  </si>
  <si>
    <t>cost.collection.gallery_2@5.horn.1</t>
  </si>
  <si>
    <t>cost.collection.gallery_2@5.teeth.1</t>
  </si>
  <si>
    <t>cost.collection.gallery_3@1.bluecrystal.1</t>
  </si>
  <si>
    <t>cost.collection.gallery_3@1.greencrystal.1</t>
  </si>
  <si>
    <t>cost.collection.gallery_3@1.quartz.1</t>
  </si>
  <si>
    <t>cost.collection.gallery_3@1.redcrystal.1</t>
  </si>
  <si>
    <t>cost.collection.gallery_3@1.violetcrystal.1</t>
  </si>
  <si>
    <t>cost.collection.gallery_3@2.bluecrystal.1</t>
  </si>
  <si>
    <t>cost.collection.gallery_3@2.greencrystal.1</t>
  </si>
  <si>
    <t>cost.collection.gallery_3@2.quartz.1</t>
  </si>
  <si>
    <t>cost.collection.gallery_3@2.redcrystal.1</t>
  </si>
  <si>
    <t>cost.collection.gallery_3@2.violetcrystal.1</t>
  </si>
  <si>
    <t>cost.collection.gallery_3@3.bluecrystal.1</t>
  </si>
  <si>
    <t>cost.collection.gallery_3@3.greencrystal.1</t>
  </si>
  <si>
    <t>cost.collection.gallery_3@3.quartz.1</t>
  </si>
  <si>
    <t>cost.collection.gallery_3@3.redcrystal.1</t>
  </si>
  <si>
    <t>cost.collection.gallery_3@3.violetcrystal.1</t>
  </si>
  <si>
    <t>cost.collection.gallery_3@4.bluecrystal.1</t>
  </si>
  <si>
    <t>cost.collection.gallery_3@4.greencrystal.1</t>
  </si>
  <si>
    <t>cost.collection.gallery_3@4.quartz.1</t>
  </si>
  <si>
    <t>cost.collection.gallery_3@4.redcrystal.1</t>
  </si>
  <si>
    <t>cost.collection.gallery_3@4.violetcrystal.1</t>
  </si>
  <si>
    <t>cost.collection.gallery_3@5.bluecrystal.1</t>
  </si>
  <si>
    <t>cost.collection.gallery_3@5.greencrystal.1</t>
  </si>
  <si>
    <t>cost.collection.gallery_3@5.quartz.1</t>
  </si>
  <si>
    <t>cost.collection.gallery_3@5.redcrystal.1</t>
  </si>
  <si>
    <t>cost.collection.gallery_3@5.violetcrystal.1</t>
  </si>
  <si>
    <t>cost.collection.historical_library_1@1.blueprint.1</t>
  </si>
  <si>
    <t>cost.collection.historical_library_1@1.grimoire.1</t>
  </si>
  <si>
    <t>cost.collection.historical_library_1@1.page.1</t>
  </si>
  <si>
    <t>cost.collection.historical_library_1@1.scroll.1</t>
  </si>
  <si>
    <t>cost.collection.historical_library_1@2.blueprint.1</t>
  </si>
  <si>
    <t>cost.collection.historical_library_1@2.grimoire.1</t>
  </si>
  <si>
    <t>cost.collection.historical_library_1@2.page.1</t>
  </si>
  <si>
    <t>cost.collection.historical_library_1@2.scroll.1</t>
  </si>
  <si>
    <t>cost.collection.historical_library_1@3.blueprint.1</t>
  </si>
  <si>
    <t>cost.collection.historical_library_1@3.grimoire.1</t>
  </si>
  <si>
    <t>cost.collection.historical_library_1@3.page.1</t>
  </si>
  <si>
    <t>cost.collection.historical_library_1@3.scroll.1</t>
  </si>
  <si>
    <t>cost.collection.historical_library_2@1.map1.1</t>
  </si>
  <si>
    <t>cost.collection.historical_library_2@1.map2.1</t>
  </si>
  <si>
    <t>cost.collection.historical_library_2@1.map3.1</t>
  </si>
  <si>
    <t>cost.collection.historical_library_2@2.map1.1</t>
  </si>
  <si>
    <t>cost.collection.historical_library_2@2.map2.1</t>
  </si>
  <si>
    <t>cost.collection.historical_library_2@2.map3.1</t>
  </si>
  <si>
    <t>cost.collection.historical_library_2@3.map1.1</t>
  </si>
  <si>
    <t>cost.collection.historical_library_2@3.map2.1</t>
  </si>
  <si>
    <t>cost.collection.historical_library_2@3.map3.1</t>
  </si>
  <si>
    <t>cost.collection.horse@1.coin.1</t>
  </si>
  <si>
    <t>cost.collection.kitchen_and_buttery_1@1.honey.1</t>
  </si>
  <si>
    <t>cost.collection.kitchen_and_buttery_1@1.jam.1</t>
  </si>
  <si>
    <t>cost.collection.kitchen_and_buttery_1@1.oil.1</t>
  </si>
  <si>
    <t>cost.collection.kitchen_and_buttery_1@1.plank.1</t>
  </si>
  <si>
    <t>cost.collection.kitchen_and_buttery_1@1.plank.2</t>
  </si>
  <si>
    <t>cost.collection.kitchen_and_buttery_1@1.plank.3</t>
  </si>
  <si>
    <t>cost.collection.kitchen_and_buttery_1@1.plank.4</t>
  </si>
  <si>
    <t>cost.collection.kitchen_and_buttery_1@1.plank.5</t>
  </si>
  <si>
    <t>cost.collection.kitchen_and_buttery_1@1.plank.6</t>
  </si>
  <si>
    <t>cost.collection.kitchen_and_buttery_1@1.plank.7</t>
  </si>
  <si>
    <t>cost.collection.kitchen_and_buttery_1@1.plank.8</t>
  </si>
  <si>
    <t>cost.collection.kitchen_and_buttery_1@1.soy.1</t>
  </si>
  <si>
    <t>cost.collection.kitchen_and_buttery_1@2.honey.1</t>
  </si>
  <si>
    <t>cost.collection.kitchen_and_buttery_1@2.jam.1</t>
  </si>
  <si>
    <t>cost.collection.kitchen_and_buttery_1@2.oil.1</t>
  </si>
  <si>
    <t>cost.collection.kitchen_and_buttery_1@2.plank.1</t>
  </si>
  <si>
    <t>cost.collection.kitchen_and_buttery_1@2.plank.2</t>
  </si>
  <si>
    <t>cost.collection.kitchen_and_buttery_1@2.plank.3</t>
  </si>
  <si>
    <t>cost.collection.kitchen_and_buttery_1@2.plank.4</t>
  </si>
  <si>
    <t>cost.collection.kitchen_and_buttery_1@2.plank.5</t>
  </si>
  <si>
    <t>cost.collection.kitchen_and_buttery_1@2.plank.6</t>
  </si>
  <si>
    <t>cost.collection.kitchen_and_buttery_1@2.plank.7</t>
  </si>
  <si>
    <t>cost.collection.kitchen_and_buttery_1@2.plank.8</t>
  </si>
  <si>
    <t>cost.collection.kitchen_and_buttery_1@2.soy.1</t>
  </si>
  <si>
    <t>cost.collection.kitchen_and_buttery_1@3.honey.1</t>
  </si>
  <si>
    <t>cost.collection.kitchen_and_buttery_1@3.jam.1</t>
  </si>
  <si>
    <t>cost.collection.kitchen_and_buttery_1@3.oil.1</t>
  </si>
  <si>
    <t>cost.collection.kitchen_and_buttery_1@3.plank.1</t>
  </si>
  <si>
    <t>cost.collection.kitchen_and_buttery_1@3.plank.2</t>
  </si>
  <si>
    <t>cost.collection.kitchen_and_buttery_1@3.plank.3</t>
  </si>
  <si>
    <t>cost.collection.kitchen_and_buttery_1@3.plank.4</t>
  </si>
  <si>
    <t>cost.collection.kitchen_and_buttery_1@3.plank.5</t>
  </si>
  <si>
    <t>cost.collection.kitchen_and_buttery_1@3.plank.6</t>
  </si>
  <si>
    <t>cost.collection.kitchen_and_buttery_1@3.plank.7</t>
  </si>
  <si>
    <t>cost.collection.kitchen_and_buttery_1@3.plank.8</t>
  </si>
  <si>
    <t>cost.collection.kitchen_and_buttery_1@3.soy.1</t>
  </si>
  <si>
    <t>cost.collection.kitchen_and_buttery_1@4.honey.1</t>
  </si>
  <si>
    <t>cost.collection.kitchen_and_buttery_1@4.jam.1</t>
  </si>
  <si>
    <t>cost.collection.kitchen_and_buttery_1@4.oil.1</t>
  </si>
  <si>
    <t>cost.collection.kitchen_and_buttery_1@4.plank.1</t>
  </si>
  <si>
    <t>cost.collection.kitchen_and_buttery_1@4.plank.2</t>
  </si>
  <si>
    <t>cost.collection.kitchen_and_buttery_1@4.plank.3</t>
  </si>
  <si>
    <t>cost.collection.kitchen_and_buttery_1@4.plank.4</t>
  </si>
  <si>
    <t>cost.collection.kitchen_and_buttery_1@4.plank.5</t>
  </si>
  <si>
    <t>cost.collection.kitchen_and_buttery_1@4.plank.6</t>
  </si>
  <si>
    <t>cost.collection.kitchen_and_buttery_1@4.plank.7</t>
  </si>
  <si>
    <t>cost.collection.kitchen_and_buttery_1@4.plank.8</t>
  </si>
  <si>
    <t>cost.collection.kitchen_and_buttery_1@4.soy.1</t>
  </si>
  <si>
    <t>cost.collection.kitchen_and_buttery_1@5.honey.1</t>
  </si>
  <si>
    <t>cost.collection.kitchen_and_buttery_1@5.jam.1</t>
  </si>
  <si>
    <t>cost.collection.kitchen_and_buttery_1@5.oil.1</t>
  </si>
  <si>
    <t>cost.collection.kitchen_and_buttery_1@5.plank.1</t>
  </si>
  <si>
    <t>cost.collection.kitchen_and_buttery_1@5.plank.2</t>
  </si>
  <si>
    <t>cost.collection.kitchen_and_buttery_1@5.plank.3</t>
  </si>
  <si>
    <t>cost.collection.kitchen_and_buttery_1@5.plank.4</t>
  </si>
  <si>
    <t>cost.collection.kitchen_and_buttery_1@5.plank.5</t>
  </si>
  <si>
    <t>cost.collection.kitchen_and_buttery_1@5.plank.6</t>
  </si>
  <si>
    <t>cost.collection.kitchen_and_buttery_1@5.plank.7</t>
  </si>
  <si>
    <t>cost.collection.kitchen_and_buttery_1@5.plank.8</t>
  </si>
  <si>
    <t>cost.collection.kitchen_and_buttery_1@5.soy.1</t>
  </si>
  <si>
    <t>cost.collection.kitchen_and_buttery_2@1.charcoal.1</t>
  </si>
  <si>
    <t>cost.collection.kitchen_and_buttery_2@1.oil.1</t>
  </si>
  <si>
    <t>cost.collection.kitchen_and_buttery_2@1.plank.1</t>
  </si>
  <si>
    <t>cost.collection.kitchen_and_buttery_2@1.plank.2</t>
  </si>
  <si>
    <t>cost.collection.kitchen_and_buttery_2@1.plank.3</t>
  </si>
  <si>
    <t>cost.collection.mushroom_farm@1.mushrooms.1</t>
  </si>
  <si>
    <t>cost.collection.mushroom_farm@1.mushrooms.2</t>
  </si>
  <si>
    <t>cost.collection.mushroom_farm@1.mushrooms.3</t>
  </si>
  <si>
    <t>cost.collection.mushroom_farm@1.mushrooms.4</t>
  </si>
  <si>
    <t>cost.collection.mushroom_farm@1.mushrooms.5</t>
  </si>
  <si>
    <t>cost.collection.mushroom_farm@1.mushrooms.6</t>
  </si>
  <si>
    <t>cost.collection.mushroom_farm@2.mushrooms.1</t>
  </si>
  <si>
    <t>cost.collection.mushroom_farm@2.mushrooms.2</t>
  </si>
  <si>
    <t>cost.collection.mushroom_farm@2.mushrooms.3</t>
  </si>
  <si>
    <t>cost.collection.mushroom_farm@2.mushrooms.4</t>
  </si>
  <si>
    <t>cost.collection.mushroom_farm@2.mushrooms.5</t>
  </si>
  <si>
    <t>cost.collection.mushroom_farm@2.mushrooms.6</t>
  </si>
  <si>
    <t>cost.collection.orangery@1.cherry.1</t>
  </si>
  <si>
    <t>cost.collection.orangery@1.cherry.2</t>
  </si>
  <si>
    <t>cost.collection.orangery@1.cherry.3</t>
  </si>
  <si>
    <t>cost.collection.orangery@1.cherry.4</t>
  </si>
  <si>
    <t>cost.collection.orangery@1.cherry.5</t>
  </si>
  <si>
    <t>cost.collection.orangery@1.cherry.6</t>
  </si>
  <si>
    <t>cost.collection.orangery@1.stone.1</t>
  </si>
  <si>
    <t>cost.collection.orangery@1.stone.2</t>
  </si>
  <si>
    <t>cost.collection.orangery@2.cherry.1</t>
  </si>
  <si>
    <t>cost.collection.orangery@2.cherry.2</t>
  </si>
  <si>
    <t>cost.collection.orangery@2.cherry.3</t>
  </si>
  <si>
    <t>cost.collection.orangery@2.cherry.4</t>
  </si>
  <si>
    <t>cost.collection.orangery@2.cherry.5</t>
  </si>
  <si>
    <t>cost.collection.orangery@2.cherry.6</t>
  </si>
  <si>
    <t>cost.collection.orangery@2.stone.1</t>
  </si>
  <si>
    <t>cost.collection.orangery@2.stone.2</t>
  </si>
  <si>
    <t>cost.collection.pantry_1@1.avocado.1</t>
  </si>
  <si>
    <t>cost.collection.pantry_1@1.beans.1</t>
  </si>
  <si>
    <t>cost.collection.pantry_1@1.dates.1</t>
  </si>
  <si>
    <t>cost.collection.pantry_1@1.flour.1</t>
  </si>
  <si>
    <t>cost.collection.pantry_1@1.glass.1</t>
  </si>
  <si>
    <t>cost.collection.pantry_1@1.paper.1</t>
  </si>
  <si>
    <t>cost.collection.pantry_1@1.rice.1</t>
  </si>
  <si>
    <t>cost.collection.pantry_1@1.salmon.1</t>
  </si>
  <si>
    <t>cost.collection.pantry_1@1.silk.1</t>
  </si>
  <si>
    <t>cost.collection.pantry_1@1.spices.1</t>
  </si>
  <si>
    <t>cost.collection.pantry_1@1.thread.1</t>
  </si>
  <si>
    <t>cost.collection.pantry_1@1.tuna.1</t>
  </si>
  <si>
    <t>cost.collection.pantry_1@2.avocado.1</t>
  </si>
  <si>
    <t>cost.collection.pantry_1@2.beans.1</t>
  </si>
  <si>
    <t>cost.collection.pantry_1@2.dates.1</t>
  </si>
  <si>
    <t>cost.collection.pantry_1@2.flour.1</t>
  </si>
  <si>
    <t>cost.collection.pantry_1@2.glass.1</t>
  </si>
  <si>
    <t>cost.collection.pantry_1@2.paper.1</t>
  </si>
  <si>
    <t>cost.collection.pantry_1@2.rice.1</t>
  </si>
  <si>
    <t>cost.collection.pantry_1@2.salmon.1</t>
  </si>
  <si>
    <t>cost.collection.pantry_1@2.silk.1</t>
  </si>
  <si>
    <t>cost.collection.pantry_1@2.spices.1</t>
  </si>
  <si>
    <t>cost.collection.pantry_1@2.thread.1</t>
  </si>
  <si>
    <t>cost.collection.pantry_1@2.tuna.1</t>
  </si>
  <si>
    <t>cost.collection.pantry_1@3.avocado.1</t>
  </si>
  <si>
    <t>cost.collection.pantry_1@3.beans.1</t>
  </si>
  <si>
    <t>cost.collection.pantry_1@3.dates.1</t>
  </si>
  <si>
    <t>cost.collection.pantry_1@3.flour.1</t>
  </si>
  <si>
    <t>cost.collection.pantry_1@3.glass.1</t>
  </si>
  <si>
    <t>cost.collection.pantry_1@3.paper.1</t>
  </si>
  <si>
    <t>cost.collection.pantry_1@3.rice.1</t>
  </si>
  <si>
    <t>cost.collection.pantry_1@3.salmon.1</t>
  </si>
  <si>
    <t>cost.collection.pantry_1@3.silk.1</t>
  </si>
  <si>
    <t>cost.collection.pantry_1@3.spices.1</t>
  </si>
  <si>
    <t>cost.collection.pantry_1@3.thread.1</t>
  </si>
  <si>
    <t>cost.collection.pantry_1@3.tuna.1</t>
  </si>
  <si>
    <t>cost.collection.pantry_1@4.avocado.1</t>
  </si>
  <si>
    <t>cost.collection.pantry_1@4.beans.1</t>
  </si>
  <si>
    <t>cost.collection.pantry_1@4.dates.1</t>
  </si>
  <si>
    <t>cost.collection.pantry_1@4.flour.1</t>
  </si>
  <si>
    <t>cost.collection.pantry_1@4.glass.1</t>
  </si>
  <si>
    <t>cost.collection.pantry_1@4.paper.1</t>
  </si>
  <si>
    <t>cost.collection.pantry_1@4.rice.1</t>
  </si>
  <si>
    <t>cost.collection.pantry_1@4.salmon.1</t>
  </si>
  <si>
    <t>cost.collection.pantry_1@4.silk.1</t>
  </si>
  <si>
    <t>cost.collection.pantry_1@4.spices.1</t>
  </si>
  <si>
    <t>cost.collection.pantry_1@4.thread.1</t>
  </si>
  <si>
    <t>cost.collection.pantry_1@4.tuna.1</t>
  </si>
  <si>
    <t>cost.collection.pantry_1@5.avocado.1</t>
  </si>
  <si>
    <t>cost.collection.pantry_1@5.beans.1</t>
  </si>
  <si>
    <t>cost.collection.pantry_1@5.dates.1</t>
  </si>
  <si>
    <t>cost.collection.pantry_1@5.flour.1</t>
  </si>
  <si>
    <t>cost.collection.pantry_1@5.glass.1</t>
  </si>
  <si>
    <t>cost.collection.pantry_1@5.paper.1</t>
  </si>
  <si>
    <t>cost.collection.pantry_1@5.rice.1</t>
  </si>
  <si>
    <t>cost.collection.pantry_1@5.salmon.1</t>
  </si>
  <si>
    <t>cost.collection.pantry_1@5.silk.1</t>
  </si>
  <si>
    <t>cost.collection.pantry_1@5.spices.1</t>
  </si>
  <si>
    <t>cost.collection.pantry_1@5.thread.1</t>
  </si>
  <si>
    <t>cost.collection.pantry_1@5.tuna.1</t>
  </si>
  <si>
    <t>cost.collection.pantry_2@1.plank.1</t>
  </si>
  <si>
    <t>cost.collection.pantry_2@1.plank.2</t>
  </si>
  <si>
    <t>cost.collection.pantry_2@1.steel.1</t>
  </si>
  <si>
    <t>cost.collection.pantry_2@1.stone.1</t>
  </si>
  <si>
    <t>cost.collection.pantry_2@2.plank.1</t>
  </si>
  <si>
    <t>cost.collection.pantry_2@2.plank.2</t>
  </si>
  <si>
    <t>cost.collection.pantry_2@2.steel.1</t>
  </si>
  <si>
    <t>cost.collection.pantry_2@2.stone.1</t>
  </si>
  <si>
    <t>cost.collection.pantry_2@3.plank.1</t>
  </si>
  <si>
    <t>cost.collection.pantry_2@3.plank.2</t>
  </si>
  <si>
    <t>cost.collection.pantry_2@3.steel.1</t>
  </si>
  <si>
    <t>cost.collection.pantry_2@3.stone.1</t>
  </si>
  <si>
    <t>cost.collection.pantry_2@4.plank.1</t>
  </si>
  <si>
    <t>cost.collection.pantry_2@4.plank.2</t>
  </si>
  <si>
    <t>cost.collection.pantry_2@4.steel.1</t>
  </si>
  <si>
    <t>cost.collection.pantry_2@4.stone.1</t>
  </si>
  <si>
    <t>cost.collection.pantry_2@5.plank.1</t>
  </si>
  <si>
    <t>cost.collection.pantry_2@5.plank.2</t>
  </si>
  <si>
    <t>cost.collection.pantry_2@5.steel.1</t>
  </si>
  <si>
    <t>cost.collection.pantry_2@5.stone.1</t>
  </si>
  <si>
    <t>cost.collection.pantry_3@1.charcoal.1</t>
  </si>
  <si>
    <t>cost.collection.pantry_3@1.chemicals.1</t>
  </si>
  <si>
    <t>cost.collection.pantry_3@1.gunpowder.1</t>
  </si>
  <si>
    <t>cost.collection.pantry_3@1.isand.1</t>
  </si>
  <si>
    <t>cost.collection.pantry_3@2.charcoal.1</t>
  </si>
  <si>
    <t>cost.collection.pantry_3@2.chemicals.1</t>
  </si>
  <si>
    <t>cost.collection.pantry_3@2.gunpowder.1</t>
  </si>
  <si>
    <t>cost.collection.pantry_3@2.isand.1</t>
  </si>
  <si>
    <t>cost.collection.pantry_3@3.charcoal.1</t>
  </si>
  <si>
    <t>cost.collection.pantry_3@3.chemicals.1</t>
  </si>
  <si>
    <t>cost.collection.pantry_3@3.gunpowder.1</t>
  </si>
  <si>
    <t>cost.collection.pantry_3@3.isand.1</t>
  </si>
  <si>
    <t>cost.collection.pantry_3@4.charcoal.1</t>
  </si>
  <si>
    <t>cost.collection.pantry_3@4.chemicals.1</t>
  </si>
  <si>
    <t>cost.collection.pantry_3@4.gunpowder.1</t>
  </si>
  <si>
    <t>cost.collection.pantry_3@4.isand.1</t>
  </si>
  <si>
    <t>cost.collection.pantry_3@5.charcoal.1</t>
  </si>
  <si>
    <t>cost.collection.pantry_3@5.chemicals.1</t>
  </si>
  <si>
    <t>cost.collection.pantry_3@5.gunpowder.1</t>
  </si>
  <si>
    <t>cost.collection.pantry_3@5.isand.1</t>
  </si>
  <si>
    <t>cost.collection.pantry_4@1.egg.1</t>
  </si>
  <si>
    <t>cost.collection.pantry_4@1.milk.1</t>
  </si>
  <si>
    <t>cost.collection.pantry_4@1.vintcheese.1</t>
  </si>
  <si>
    <t>cost.collection.statue@1.stone.1</t>
  </si>
  <si>
    <t>cost.collection.tavern@1.cake.1</t>
  </si>
  <si>
    <t>cost.collection.tavern@1.cup.1</t>
  </si>
  <si>
    <t>cost.collection.tavern@1.fried.1</t>
  </si>
  <si>
    <t>cost.collection.tavern@1.mcola.1</t>
  </si>
  <si>
    <t>cost.collection.tavern@1.pasta.1</t>
  </si>
  <si>
    <t>cost.collection.tavern@1.ramen.1</t>
  </si>
  <si>
    <t>cost.collection.tavern@1.smoothie2.1</t>
  </si>
  <si>
    <t>cost.collection.tavern@1.sushi.1</t>
  </si>
  <si>
    <t>cost.collection.tavern@1.teriyaki.1</t>
  </si>
  <si>
    <t>cost.collection.tavern@2.cake.1</t>
  </si>
  <si>
    <t>cost.collection.tavern@2.cup.1</t>
  </si>
  <si>
    <t>cost.collection.tavern@2.fried.1</t>
  </si>
  <si>
    <t>cost.collection.tavern@2.mcola.1</t>
  </si>
  <si>
    <t>cost.collection.tavern@2.pasta.1</t>
  </si>
  <si>
    <t>cost.collection.tavern@2.ramen.1</t>
  </si>
  <si>
    <t>cost.collection.tavern@2.smoothie2.1</t>
  </si>
  <si>
    <t>cost.collection.tavern@2.sushi.1</t>
  </si>
  <si>
    <t>cost.collection.tavern@2.teriyaki.1</t>
  </si>
  <si>
    <t>cost.collection.treasury_1@1.coin.1</t>
  </si>
  <si>
    <t>cost.collection.treasury_1@1.coin.2</t>
  </si>
  <si>
    <t>cost.collection.treasury_1@1.crypto.1</t>
  </si>
  <si>
    <t>cost.collection.treasury_1@1.dinar.1</t>
  </si>
  <si>
    <t>cost.collection.treasury_1@1.ingot.1</t>
  </si>
  <si>
    <t>cost.collection.treasury_1@1.pearl.1</t>
  </si>
  <si>
    <t>cost.collection.treasury_1@1.ruby.1</t>
  </si>
  <si>
    <t>cost.collection.treasury_1@1.treasure.1</t>
  </si>
  <si>
    <t>cost.collection.treasury_1@2.coin.1</t>
  </si>
  <si>
    <t>cost.collection.treasury_1@2.coin.2</t>
  </si>
  <si>
    <t>cost.collection.treasury_1@2.crypto.1</t>
  </si>
  <si>
    <t>cost.collection.treasury_1@2.dinar.1</t>
  </si>
  <si>
    <t>cost.collection.treasury_1@2.ingot.1</t>
  </si>
  <si>
    <t>cost.collection.treasury_1@2.pearl.1</t>
  </si>
  <si>
    <t>cost.collection.treasury_1@2.ruby.1</t>
  </si>
  <si>
    <t>cost.collection.treasury_1@2.treasure.1</t>
  </si>
  <si>
    <t>cost.collection.treasury_1@3.coin.1</t>
  </si>
  <si>
    <t>cost.collection.treasury_1@3.coin.2</t>
  </si>
  <si>
    <t>cost.collection.treasury_1@3.crypto.1</t>
  </si>
  <si>
    <t>cost.collection.treasury_1@3.dinar.1</t>
  </si>
  <si>
    <t>cost.collection.treasury_1@3.ingot.1</t>
  </si>
  <si>
    <t>cost.collection.treasury_1@3.pearl.1</t>
  </si>
  <si>
    <t>cost.collection.treasury_1@3.ruby.1</t>
  </si>
  <si>
    <t>cost.collection.treasury_1@3.treasure.1</t>
  </si>
  <si>
    <t>cost.collection.treasury_1@4.coin.1</t>
  </si>
  <si>
    <t>cost.collection.treasury_1@4.coin.2</t>
  </si>
  <si>
    <t>cost.collection.treasury_1@4.crypto.1</t>
  </si>
  <si>
    <t>cost.collection.treasury_1@4.dinar.1</t>
  </si>
  <si>
    <t>cost.collection.treasury_1@4.ingot.1</t>
  </si>
  <si>
    <t>cost.collection.treasury_1@4.pearl.1</t>
  </si>
  <si>
    <t>cost.collection.treasury_1@4.ruby.1</t>
  </si>
  <si>
    <t>cost.collection.treasury_1@4.treasure.1</t>
  </si>
  <si>
    <t>cost.collection.treasury_1@5.coin.1</t>
  </si>
  <si>
    <t>cost.collection.treasury_1@5.coin.2</t>
  </si>
  <si>
    <t>cost.collection.treasury_1@5.crypto.1</t>
  </si>
  <si>
    <t>cost.collection.treasury_1@5.dinar.1</t>
  </si>
  <si>
    <t>cost.collection.treasury_1@5.ingot.1</t>
  </si>
  <si>
    <t>cost.collection.treasury_1@5.pearl.1</t>
  </si>
  <si>
    <t>cost.collection.treasury_1@5.ruby.1</t>
  </si>
  <si>
    <t>cost.collection.treasury_1@5.treasure.1</t>
  </si>
  <si>
    <t>cost.collection.treasury_2@1.ring1.1</t>
  </si>
  <si>
    <t>cost.collection.treasury_2@1.ring2.1</t>
  </si>
  <si>
    <t>cost.collection.treasury_2@1.ring3.1</t>
  </si>
  <si>
    <t>cost.collection.treasury_2@1.ring4.1</t>
  </si>
  <si>
    <t>cost.collection.treasury_2@1.ring4p.1</t>
  </si>
  <si>
    <t>cost.collection.treasury_2@2.ring1.1</t>
  </si>
  <si>
    <t>cost.collection.treasury_2@2.ring2.1</t>
  </si>
  <si>
    <t>cost.collection.treasury_2@2.ring3.1</t>
  </si>
  <si>
    <t>cost.collection.treasury_2@2.ring4.1</t>
  </si>
  <si>
    <t>cost.collection.treasury_2@2.ring4p.1</t>
  </si>
  <si>
    <t>cost.collection.treasury_2@3.ring1.1</t>
  </si>
  <si>
    <t>cost.collection.treasury_2@3.ring2.1</t>
  </si>
  <si>
    <t>cost.collection.treasury_2@3.ring3.1</t>
  </si>
  <si>
    <t>cost.collection.treasury_2@3.ring4.1</t>
  </si>
  <si>
    <t>cost.collection.treasury_2@3.ring4p.1</t>
  </si>
  <si>
    <t>cost.collection.treasury_3@1.diamond.1</t>
  </si>
  <si>
    <t>cost.collection.treasury_3@1.gegg.1</t>
  </si>
  <si>
    <t>cost.collection.treasury_3@1.gegg.2</t>
  </si>
  <si>
    <t>cost.collection.treasury_3@1.pog.1</t>
  </si>
  <si>
    <t>cost.collection.treasury_3@1.reddiamond.1</t>
  </si>
  <si>
    <t>cost.craftifact.astrolabe.blueprint.1</t>
  </si>
  <si>
    <t>cost.craftifact.astrolabe.coin.1</t>
  </si>
  <si>
    <t>cost.craftifact.astrolabe.mechanism.1</t>
  </si>
  <si>
    <t>cost.craftifact.astrolabe.page.1</t>
  </si>
  <si>
    <t>cost.craftifact.astrolabe.ruby.1</t>
  </si>
  <si>
    <t>cost.craftifact.barometer.blueprint.1</t>
  </si>
  <si>
    <t>cost.craftifact.barometer.coin.1</t>
  </si>
  <si>
    <t>cost.craftifact.barometer.glass.1</t>
  </si>
  <si>
    <t>cost.craftifact.barometer.mercury.1</t>
  </si>
  <si>
    <t>cost.craftifact.barometer.paper.1</t>
  </si>
  <si>
    <t>cost.craftifact.cinema_projector.blueprint.1</t>
  </si>
  <si>
    <t>cost.craftifact.cinema_projector.catalyst.1</t>
  </si>
  <si>
    <t>cost.craftifact.cinema_projector.chemicals.1</t>
  </si>
  <si>
    <t>cost.craftifact.cinema_projector.glass.1</t>
  </si>
  <si>
    <t>cost.craftifact.cinema_projector.mechanism.1</t>
  </si>
  <si>
    <t>cost.craftifact.cinema_projector.reagent.1</t>
  </si>
  <si>
    <t>cost.craftifact.cinema_projector.silk.1</t>
  </si>
  <si>
    <t>cost.craftifact.dagger.crypto.1</t>
  </si>
  <si>
    <t>cost.craftifact.dagger.ingot.1</t>
  </si>
  <si>
    <t>cost.craftifact.dagger.msteel.1</t>
  </si>
  <si>
    <t>cost.craftifact.dagger.page.1</t>
  </si>
  <si>
    <t>cost.craftifact.dagger.ruby.1</t>
  </si>
  <si>
    <t>cost.craftifact.dagger.scroll.1</t>
  </si>
  <si>
    <t>cost.craftifact.emerald_tablet.emeralds.1</t>
  </si>
  <si>
    <t>cost.craftifact.emerald_tablet.page.1</t>
  </si>
  <si>
    <t>cost.craftifact.flamethrower.apy.1</t>
  </si>
  <si>
    <t>cost.craftifact.flamethrower.blueprint.1</t>
  </si>
  <si>
    <t>cost.craftifact.flamethrower.catalyst.1</t>
  </si>
  <si>
    <t>cost.craftifact.flamethrower.chemicals.1</t>
  </si>
  <si>
    <t>cost.craftifact.flamethrower.glass.1</t>
  </si>
  <si>
    <t>cost.craftifact.flamethrower.mechanism.1</t>
  </si>
  <si>
    <t>cost.craftifact.flamethrower.oil.1</t>
  </si>
  <si>
    <t>cost.craftifact.flamethrower.tparts.1</t>
  </si>
  <si>
    <t>cost.craftifact.guild_banner.silk.1</t>
  </si>
  <si>
    <t>cost.craftifact.guild_codex.paper.1</t>
  </si>
  <si>
    <t>cost.craftifact.guild_supplies.dates.1</t>
  </si>
  <si>
    <t>cost.craftifact.guild_supplies.flour.1</t>
  </si>
  <si>
    <t>cost.craftifact.guild_supplies.glass.1</t>
  </si>
  <si>
    <t>cost.craftifact.guild_supplies.honey.1</t>
  </si>
  <si>
    <t>cost.craftifact.guild_supplies.oil.1</t>
  </si>
  <si>
    <t>cost.craftifact.guild_supplies.rice.1</t>
  </si>
  <si>
    <t>cost.craftifact.guild_supplies.tuna.1</t>
  </si>
  <si>
    <t>cost.craftifact.hat_of_concentration.ginkgo.1</t>
  </si>
  <si>
    <t>cost.craftifact.hat_of_concentration.grimoire.1</t>
  </si>
  <si>
    <t>cost.craftifact.hat_of_concentration.herbs.1</t>
  </si>
  <si>
    <t>cost.craftifact.hat_of_concentration.mercury.1</t>
  </si>
  <si>
    <t>cost.craftifact.hat_of_concentration.silk.1</t>
  </si>
  <si>
    <t>cost.craftifact.hat_of_concentration.teeth.1</t>
  </si>
  <si>
    <t>cost.craftifact.hat_of_concentration.velour.1</t>
  </si>
  <si>
    <t>cost.craftifact.helmet.crypto.1</t>
  </si>
  <si>
    <t>cost.craftifact.helmet.msteel.1</t>
  </si>
  <si>
    <t>cost.craftifact.helmet.page.1</t>
  </si>
  <si>
    <t>cost.craftifact.helmet.scroll.1</t>
  </si>
  <si>
    <t>cost.craftifact.historical_library.blueprint.1</t>
  </si>
  <si>
    <t>cost.craftifact.historical_library.grimoire.1</t>
  </si>
  <si>
    <t>cost.craftifact.historical_library.page.1</t>
  </si>
  <si>
    <t>cost.craftifact.historical_library.scroll.1</t>
  </si>
  <si>
    <t>cost.craftifact.hotei_statuette.charcoal.1</t>
  </si>
  <si>
    <t>cost.craftifact.hotei_statuette.coin.1</t>
  </si>
  <si>
    <t>cost.craftifact.hotei_statuette.ingot.1</t>
  </si>
  <si>
    <t>cost.craftifact.metal_detector.apy.1</t>
  </si>
  <si>
    <t>cost.craftifact.metal_detector.blueprint.1</t>
  </si>
  <si>
    <t>cost.craftifact.metal_detector.catalyst.1</t>
  </si>
  <si>
    <t>cost.craftifact.metal_detector.chemicals.1</t>
  </si>
  <si>
    <t>cost.craftifact.metal_detector.mercury.1</t>
  </si>
  <si>
    <t>cost.craftifact.metal_detector.miron.1</t>
  </si>
  <si>
    <t>cost.craftifact.metal_detector.reagent.1</t>
  </si>
  <si>
    <t>cost.craftifact.metal_detector.tparts.1</t>
  </si>
  <si>
    <t>cost.craftifact.necklace_for_haruka.pearl.1</t>
  </si>
  <si>
    <t>cost.craftifact.necklace_for_haruka.thread.1</t>
  </si>
  <si>
    <t>cost.craftifact.safe.blueprint.1</t>
  </si>
  <si>
    <t>cost.craftifact.safe.coin.1</t>
  </si>
  <si>
    <t>cost.craftifact.safe.mechanism.1</t>
  </si>
  <si>
    <t>cost.craftifact.safe.msteel.1</t>
  </si>
  <si>
    <t>cost.craftifact.safe.steel.1</t>
  </si>
  <si>
    <t>cost.craftifact.solver_1_prototype.blueprint.1</t>
  </si>
  <si>
    <t>cost.craftifact.solver_1_prototype.ingot.1</t>
  </si>
  <si>
    <t>cost.craftifact.solver_1_prototype.malu.1</t>
  </si>
  <si>
    <t>cost.craftifact.solver_1_prototype.mechanism.1</t>
  </si>
  <si>
    <t>cost.craftifact.solver_1_prototype.pcard.1</t>
  </si>
  <si>
    <t>cost.craftifact.solver_1_prototype.tparts.1</t>
  </si>
  <si>
    <t>cost.craftifact.telescope.blueprint.1</t>
  </si>
  <si>
    <t>cost.craftifact.telescope.glass.1</t>
  </si>
  <si>
    <t>cost.craftifact.telescope.mechanism.1</t>
  </si>
  <si>
    <t>cost.craftifact.telescope.ruby.1</t>
  </si>
  <si>
    <t>cost.craftifact.tetrachloroaurate.catalyst.1</t>
  </si>
  <si>
    <t>cost.craftifact.tetrachloroaurate.chemicals.1</t>
  </si>
  <si>
    <t>cost.craftifact.tetrachloroaurate.glass.1</t>
  </si>
  <si>
    <t>cost.craftifact.tetrachloroaurate.ingot.1</t>
  </si>
  <si>
    <t>cost.craftifact.tetrachloroaurate.reagent.1</t>
  </si>
  <si>
    <t>cost.craftifact.trigonometry.page.1</t>
  </si>
  <si>
    <t>cost.craftifact.trigonometry.scroll.1</t>
  </si>
  <si>
    <t>PlayerPaid</t>
  </si>
  <si>
    <t>TargetRequirements</t>
  </si>
  <si>
    <t>CompletedRequirements</t>
  </si>
  <si>
    <t>RemainingRequirements</t>
  </si>
  <si>
    <t>TargetFunded</t>
  </si>
  <si>
    <t>FundingPercent</t>
  </si>
  <si>
    <t>Target</t>
  </si>
  <si>
    <t>Funded</t>
  </si>
  <si>
    <t>Remaining</t>
  </si>
  <si>
    <t>Cost Details</t>
  </si>
  <si>
    <t>Missing</t>
  </si>
  <si>
    <t>One Away</t>
  </si>
  <si>
    <t>FirstMissingStatus</t>
  </si>
  <si>
    <t>ChainAwareStatus</t>
  </si>
  <si>
    <t>RootTargetID</t>
  </si>
  <si>
    <t>PredLevel</t>
  </si>
  <si>
    <t>DependencyName</t>
  </si>
  <si>
    <t>DependencyStatus</t>
  </si>
  <si>
    <t>SuccessorID</t>
  </si>
  <si>
    <t>SuccessorName</t>
  </si>
  <si>
    <t>Successor status</t>
  </si>
  <si>
    <t>StateID</t>
  </si>
  <si>
    <t>StateType</t>
  </si>
  <si>
    <t>Character Level@40</t>
  </si>
  <si>
    <t>Character Level@6</t>
  </si>
  <si>
    <t>Character Level@32</t>
  </si>
  <si>
    <t>Character Level@21</t>
  </si>
  <si>
    <t>Character Level@30</t>
  </si>
  <si>
    <t>Character Level@15</t>
  </si>
  <si>
    <t>Character Level@10</t>
  </si>
  <si>
    <t>Character Level@20</t>
  </si>
  <si>
    <t>Character Level@50</t>
  </si>
  <si>
    <t>Character Level@55</t>
  </si>
  <si>
    <t>Character Level@7</t>
  </si>
  <si>
    <t>Character Level@8</t>
  </si>
  <si>
    <t>Character Level@24</t>
  </si>
  <si>
    <t>Character Level@12</t>
  </si>
  <si>
    <t>Character Level@80</t>
  </si>
  <si>
    <t>Character Level@11</t>
  </si>
  <si>
    <t>Character Level@31</t>
  </si>
  <si>
    <t>Character Level@4</t>
  </si>
  <si>
    <t>Character Level@14</t>
  </si>
  <si>
    <t>Character Level@18</t>
  </si>
  <si>
    <t>Character Level@23</t>
  </si>
  <si>
    <t>Character Level@28</t>
  </si>
  <si>
    <t>Character Level@22</t>
  </si>
  <si>
    <t>Character Level@13</t>
  </si>
  <si>
    <t>Character Level@3</t>
  </si>
  <si>
    <t>Character Level@9</t>
  </si>
  <si>
    <t>Character Level@5</t>
  </si>
  <si>
    <t>Character Level@2</t>
  </si>
  <si>
    <t>Tame A Critter</t>
  </si>
  <si>
    <t>Visit Dungeon@6A</t>
  </si>
  <si>
    <t>Meet Fat Demon@4A</t>
  </si>
  <si>
    <t>Meet Old Man@4C</t>
  </si>
  <si>
    <t>Meet Traveling Merchant @1B</t>
  </si>
  <si>
    <t>Visit Dungeon@4A</t>
  </si>
  <si>
    <t>Meet Mech Adventurer@2B</t>
  </si>
  <si>
    <t>Visit Dungeon@F1</t>
  </si>
  <si>
    <t>Meet Pilot@F3</t>
  </si>
  <si>
    <t>Meet Mr Diligence@F1</t>
  </si>
  <si>
    <t>Meet Foodie Demon@F2</t>
  </si>
  <si>
    <t>Meet Raven@F1</t>
  </si>
  <si>
    <t>Meet Mrs Diligance@F2</t>
  </si>
  <si>
    <t>Meet Dark Lady@F2</t>
  </si>
  <si>
    <t>Meet Raven@F3</t>
  </si>
  <si>
    <t>Meet Inventor@5B</t>
  </si>
  <si>
    <t>Map Catacombs</t>
  </si>
  <si>
    <t>Obtain Any Artifact</t>
  </si>
  <si>
    <t>Meet Methusalem@F3</t>
  </si>
  <si>
    <t>Meet Samurai Panda@6A</t>
  </si>
  <si>
    <t>Meet Dark Lady@6A</t>
  </si>
  <si>
    <t>Meet Dark Lady@6B</t>
  </si>
  <si>
    <t>Action Reenter Guild</t>
  </si>
  <si>
    <t>Meet Dark Lady@4A</t>
  </si>
  <si>
    <t>Meet Pirate Skeleton@3A</t>
  </si>
  <si>
    <t>Obtain Treasure</t>
  </si>
  <si>
    <t>Complete Dungeon 5C</t>
  </si>
  <si>
    <t xml:space="preserve">Obtain Strawberry@F1 </t>
  </si>
  <si>
    <t>STATE</t>
  </si>
  <si>
    <t>alchemists_hut.perfect_fertilizer</t>
  </si>
  <si>
    <t>TECH:Advanced fertilizer</t>
  </si>
  <si>
    <t>Open Quests</t>
  </si>
  <si>
    <t>ObjectiveNumber</t>
  </si>
  <si>
    <t>ObjectiveType</t>
  </si>
  <si>
    <t>Chapter I: Laboratory</t>
  </si>
  <si>
    <t>Objective</t>
  </si>
  <si>
    <t>collection.broken_lever@1</t>
  </si>
  <si>
    <t>Broken Lever</t>
  </si>
  <si>
    <t>mech</t>
  </si>
  <si>
    <t>Retrieve Spices, building.ship@4</t>
  </si>
  <si>
    <t>visit Beijing, Xian, Delhi, Baghdad, Cairo, Athens, Rome, Kyiv</t>
  </si>
  <si>
    <t>craft guild codex, guild banner, guild supplies, building.outpost@3</t>
  </si>
  <si>
    <t>defeat dragon@3C, tech.smithy.sword_for_a_hero_lvl_4, craft sword4</t>
  </si>
  <si>
    <t>Requires completing quest: Dragon teeth and dungeon 5C; and visiting 5A.</t>
  </si>
  <si>
    <t>Complete 5C after meeting skeleton in 5A</t>
  </si>
  <si>
    <t>kill boss in 4C. Deliver ring in 4C</t>
  </si>
  <si>
    <t>building.dungeon@3, tech.smithy.throwing_knife</t>
  </si>
  <si>
    <t>acquire treasure from treasure island</t>
  </si>
  <si>
    <t>acquire blueprint, build ing.train@1, building.passenger_carriage, visit nagasaki, osaka, wakayama, kyoto, tokyo, fukushima, aomori, building.train@2</t>
  </si>
  <si>
    <t>deliver tofu dungeon4A, deliver Inarizushi dungeon 4B, deliver teriyaki salmon dungeon 4C</t>
  </si>
  <si>
    <t>quest.letter_from_the_dark_lady.finished</t>
  </si>
  <si>
    <t>quest.letter_from_the_dark_lady.accepted</t>
  </si>
  <si>
    <t>letter_from_the_dark_lady</t>
  </si>
  <si>
    <t>Letter from the Dark Lady</t>
  </si>
  <si>
    <t>Collapsed Staircase</t>
  </si>
  <si>
    <t>Rotten Ladder</t>
  </si>
  <si>
    <t>Broken Minecart</t>
  </si>
  <si>
    <t>Crystal Cave</t>
  </si>
  <si>
    <t>Cave-in Bone Dragon</t>
  </si>
  <si>
    <t>Cave-in Alchemist Hall</t>
  </si>
  <si>
    <t>Bone Dragon</t>
  </si>
  <si>
    <t>Alchemist Hall #1</t>
  </si>
  <si>
    <t>Alchemist Hall #2</t>
  </si>
  <si>
    <t>Collection Staircase</t>
  </si>
  <si>
    <t>Alchemist Hall #3</t>
  </si>
  <si>
    <t>5 mechanism</t>
  </si>
  <si>
    <t>50 beam, 150 stone, 10 bonemeal, 5 blueprint</t>
  </si>
  <si>
    <t>200 plank</t>
  </si>
  <si>
    <t>30 petard</t>
  </si>
  <si>
    <t>20 cherry, 20 catalyst, 20 mercury, 10 hide, 20 mandrake, 5 grimoire, 10 violetcrystal, 111 reagent</t>
  </si>
  <si>
    <t>40 cherry, 40 catalyst, 40 mercury, 20 hide, 40 mandrake, 10 grimoire, 20 violetcrystal, 222 reagent</t>
  </si>
  <si>
    <t>20 msteel</t>
  </si>
  <si>
    <t>20 quartz, 20 bluecrystal, 20 greencrystal, 20 redcrystal, 20 violetcrystal</t>
  </si>
  <si>
    <t>30 bone, 10 teeth, 11 bonemeal, 2 diamond, 150 bone.2, 30 bone.3, 30 bone.4, 30 bone.5, 30 bone.6, 555 crypto, 5 grimoire</t>
  </si>
  <si>
    <t>60 bone, 20 teeth, 22 bonemeal, 4 diamond, 300 bone.2, 60 bone.3, 60 bone.4, 60 bone.5, 60 bone.6, 1110 crypto, 10 grimoire</t>
  </si>
  <si>
    <t>10 herbs, 10 herbs.2, 20 mushrooms, 24 bone, 24 bone.2, 20 page, 1 scroll, 10 quartz</t>
  </si>
  <si>
    <t>20 herbs, 20 herbs.2, 40 mushrooms, 48 bone, 48 bone.2, 40 page, 2 scroll, 20 quartz</t>
  </si>
  <si>
    <t>12 bonemeal, 24 ginkgo, 24 ginkgo.2, 10 grimoire, 10 bluecrystal</t>
  </si>
  <si>
    <t>24 bonemeal, 48 ginkgo, 48 ginkgo.2, 20 grimoire, 20 bluecrystal</t>
  </si>
  <si>
    <t>bonemeal</t>
  </si>
  <si>
    <t>Bone Dragon Lv 1</t>
  </si>
  <si>
    <t>Bone Dragon Lv 2</t>
  </si>
  <si>
    <t>Alchemist Hall Lv 1</t>
  </si>
  <si>
    <t>Alchemist Hall Lv 2</t>
  </si>
  <si>
    <t>Coin x 500 Ring for a hero lvl. 4 x 1 Potion Ambrosia x 3 Experience x 5000</t>
  </si>
  <si>
    <t>Letter from the Dark Lady Accepted</t>
  </si>
  <si>
    <t>collapsed_staircase</t>
  </si>
  <si>
    <t>rotten_ladder</t>
  </si>
  <si>
    <t>cave_in_bone_dragon</t>
  </si>
  <si>
    <t>bone_dragon</t>
  </si>
  <si>
    <t>broken_minecart</t>
  </si>
  <si>
    <t>crystal_cave</t>
  </si>
  <si>
    <t>staircase</t>
  </si>
  <si>
    <t>state.obtain_spices</t>
  </si>
  <si>
    <t>collection.bone_dragon@1</t>
  </si>
  <si>
    <t>collection.bone_dragon@2</t>
  </si>
  <si>
    <t>tech.food_stall.quintessence_of_taste, tech.food_stall.mayonnaise, cooking@13</t>
  </si>
  <si>
    <t>BUILDING_LVL:cooking@13 | BUILDING_MAX:Food Stall</t>
  </si>
  <si>
    <t>STATE:LEVEL:cooking@13</t>
  </si>
  <si>
    <t>STATE:level_cooking@13</t>
  </si>
  <si>
    <t>Cooking lvl. 13 | Food Stall max level</t>
  </si>
  <si>
    <t>state.obtain_sword4</t>
  </si>
  <si>
    <t>Return the ring</t>
  </si>
  <si>
    <t>Obtain Reagent from 3A</t>
  </si>
  <si>
    <t>state.obtain_blueprint</t>
  </si>
  <si>
    <t>Obtain Blueprint</t>
  </si>
  <si>
    <t>Visit Nagasaki</t>
  </si>
  <si>
    <t>Visit Osaka</t>
  </si>
  <si>
    <t>Visit Wakayama</t>
  </si>
  <si>
    <t>Visit Kyoto</t>
  </si>
  <si>
    <t>Visit Tokyo</t>
  </si>
  <si>
    <t>Visit Fukushima</t>
  </si>
  <si>
    <t>Visit Aomori</t>
  </si>
  <si>
    <t>Deliver Tofu to 4A</t>
  </si>
  <si>
    <t>Deliver Inarizushi to 4B</t>
  </si>
  <si>
    <t>collection.collapsed_staircase@1</t>
  </si>
  <si>
    <t>collection.rotten_ladder@1</t>
  </si>
  <si>
    <t>collection.cave_in_bone_dragon@1</t>
  </si>
  <si>
    <t>collection.broken_minecart@1</t>
  </si>
  <si>
    <t>Meet mechanical adventurer in Dungeon 3A</t>
  </si>
  <si>
    <t>Deliver Potion Berserker rage to  1C </t>
  </si>
  <si>
    <t>Deliver Horn to  2C </t>
  </si>
  <si>
    <t>Deliver Potion Ambrosia to  3B </t>
  </si>
  <si>
    <t>Deliver Porcini pasta to  3C </t>
  </si>
  <si>
    <t>Deliver Bedroll to  4B </t>
  </si>
  <si>
    <t>Deliver Yuba to  4C </t>
  </si>
  <si>
    <t>Deliver Pizza Diavola to  5B </t>
  </si>
  <si>
    <t>Deliver Pizza Diavola to  5C </t>
  </si>
  <si>
    <t>Deliver Teriyaki Salmon to 4C</t>
  </si>
  <si>
    <t>Meet Dark Lady in 6D</t>
  </si>
  <si>
    <t>Meet Alchemist in 6D</t>
  </si>
  <si>
    <t>state.action_send_train_to_sapporo</t>
  </si>
  <si>
    <t>Send Train to Sapporo</t>
  </si>
  <si>
    <t>Find Goat in 6B</t>
  </si>
  <si>
    <t>state.obtain_red_diamond_6a</t>
  </si>
  <si>
    <t>state.obtain_red_diamond_6b</t>
  </si>
  <si>
    <t>state.obtain_red_diamond_6c</t>
  </si>
  <si>
    <t>Obtain the Red Diamond in 6A</t>
  </si>
  <si>
    <t>Obtain the Red Diamond in 6B</t>
  </si>
  <si>
    <t>Obtain the Red Diamond in 6C</t>
  </si>
  <si>
    <t>state.obtain_sword4+</t>
  </si>
  <si>
    <t>state.obtain_shield4+</t>
  </si>
  <si>
    <t>state.obtain_armor4+</t>
  </si>
  <si>
    <t>state.deliver_cheese_6b</t>
  </si>
  <si>
    <t>Deliver Cheese to Rat in 6B</t>
  </si>
  <si>
    <t>Craft sword 4+</t>
  </si>
  <si>
    <t>Craft Shield 4+</t>
  </si>
  <si>
    <t>Craft Armor 4+</t>
  </si>
  <si>
    <t>state.complete_dungeon_6c</t>
  </si>
  <si>
    <t>Complete Dungeon 6C</t>
  </si>
  <si>
    <t>Visit Paris in the Airship</t>
  </si>
  <si>
    <t>state.visit_paris</t>
  </si>
  <si>
    <t>Craft Sword for a Hero Lvl 4</t>
  </si>
  <si>
    <t>state.find_jade_gate_2c</t>
  </si>
  <si>
    <t>state.obtain_8_malu</t>
  </si>
  <si>
    <t>state.meet_mech_adventurer_f1</t>
  </si>
  <si>
    <t>Meet mechanical adventurer in Dungeon F1</t>
  </si>
  <si>
    <t>Discover the gate in 3C to F2</t>
  </si>
  <si>
    <t>Discover the gate in 4C to F3</t>
  </si>
  <si>
    <t>Discover the gate in 5C to F4</t>
  </si>
  <si>
    <t>state.obtain_potion_of_mental_power</t>
  </si>
  <si>
    <t>Craft Potion of Mental Power</t>
  </si>
  <si>
    <t>Deliver Ambrosia to Dark Lady in F3</t>
  </si>
  <si>
    <t>state.obtain_hide</t>
  </si>
  <si>
    <t>state.obtain_titanium</t>
  </si>
  <si>
    <t>Craft Armor 4</t>
  </si>
  <si>
    <t>Obtain Hide</t>
  </si>
  <si>
    <t>Obtain Titanium</t>
  </si>
  <si>
    <t>state.visit_melbourne</t>
  </si>
  <si>
    <t>Visit Melbourne in Airship</t>
  </si>
  <si>
    <t>Escort Mr and Mrs Diligance through F1</t>
  </si>
  <si>
    <t>Escort Mr and Mrs Diligance through F2</t>
  </si>
  <si>
    <t>Escort Mr and Mrs Diligance through F3</t>
  </si>
  <si>
    <t>Escort Mr and Mrs Diligance through F4</t>
  </si>
  <si>
    <t>Meet the raven in F2</t>
  </si>
  <si>
    <t>state.obtain_all_emerald_shards</t>
  </si>
  <si>
    <t>Obtain all emerald shards</t>
  </si>
  <si>
    <t>state.obtain_mechanism</t>
  </si>
  <si>
    <t>state.obtain_steamobile</t>
  </si>
  <si>
    <t>Craft mechanism</t>
  </si>
  <si>
    <t>Craft steamobile</t>
  </si>
  <si>
    <t>Learn character skill cartographer lvl 2</t>
  </si>
  <si>
    <t>state.obtain_level_2_map</t>
  </si>
  <si>
    <t>state.obtain_level_2_artifact</t>
  </si>
  <si>
    <t>state.obtain_level_3_artifact</t>
  </si>
  <si>
    <t>state.obtain_reagent</t>
  </si>
  <si>
    <t>state.obtain_ship_in_a_bottle</t>
  </si>
  <si>
    <t>state.obtain_smugglers_map_100_beans</t>
  </si>
  <si>
    <t>state.obtain_smugglers_map_10_spices</t>
  </si>
  <si>
    <t>state.obtain_smugglers_map_15_pearl</t>
  </si>
  <si>
    <t>state.obtain_map4</t>
  </si>
  <si>
    <t>Craft level 4 map</t>
  </si>
  <si>
    <t>state.obtain_map4_x2</t>
  </si>
  <si>
    <t>Craft level 4 map again</t>
  </si>
  <si>
    <t>state.obtain_shoguns_katana</t>
  </si>
  <si>
    <t>Obtain Shogun's Katana</t>
  </si>
  <si>
    <t>Purchase Smuggler's map for 15 pearl</t>
  </si>
  <si>
    <t>Purchase Smuggler's map for 10 spices</t>
  </si>
  <si>
    <t>Purchase Smuggler's map for 100 coffee beans</t>
  </si>
  <si>
    <t>Obtain Ship in a bottle</t>
  </si>
  <si>
    <t>Craft level 2 map</t>
  </si>
  <si>
    <t>Obtain level 2 artifact</t>
  </si>
  <si>
    <t>Obtain level 3 artifact</t>
  </si>
  <si>
    <t>Costtext</t>
  </si>
  <si>
    <t>state.visit_athens</t>
  </si>
  <si>
    <t>state.visit_baghdad</t>
  </si>
  <si>
    <t>state.visit_beijing</t>
  </si>
  <si>
    <t>state.visit_cairo</t>
  </si>
  <si>
    <t>state.visit_delhi</t>
  </si>
  <si>
    <t>state.visit_kyiv</t>
  </si>
  <si>
    <t>state.visit_rome</t>
  </si>
  <si>
    <t>state.visit_xian</t>
  </si>
  <si>
    <t>collection.alchemist_hall_1@1</t>
  </si>
  <si>
    <t>collection.alchemist_hall_1@2</t>
  </si>
  <si>
    <t>collection.alchemist_hall_2@1</t>
  </si>
  <si>
    <t>collection.alchemist_hall_2@2</t>
  </si>
  <si>
    <t>collection.alchemist_hall_3@1</t>
  </si>
  <si>
    <t>collection.alchemist_hall_3@2</t>
  </si>
  <si>
    <t>state.meet_mech_adventurer_3a</t>
  </si>
  <si>
    <t>state.meet_traveling_merchant@1b</t>
  </si>
  <si>
    <t>state.deliver_yuba_4c</t>
  </si>
  <si>
    <t>state.meet_alchemist_6d</t>
  </si>
  <si>
    <t>state.meet_dark_lady_6d</t>
  </si>
  <si>
    <t>state.visit_aomori</t>
  </si>
  <si>
    <t>state.visit_fukushima</t>
  </si>
  <si>
    <t>state.visit_kyoto</t>
  </si>
  <si>
    <t>state.visit_nagasaki</t>
  </si>
  <si>
    <t>state.visit_osaka</t>
  </si>
  <si>
    <t>state.visit_tokyo</t>
  </si>
  <si>
    <t>state.visit_wakayama</t>
  </si>
  <si>
    <t>collection.cave_in_alchemist_hall@1</t>
  </si>
  <si>
    <t>state.deliver_inarizushi_4b</t>
  </si>
  <si>
    <t>state.deliver_teriyaki_salmon_4c</t>
  </si>
  <si>
    <t>state.deliver_tofu_4a</t>
  </si>
  <si>
    <t>state.deliver_balm_to_hunter@f2</t>
  </si>
  <si>
    <t>state.find_goat_6b</t>
  </si>
  <si>
    <t>tech.windmill.bone_meal</t>
  </si>
  <si>
    <t>state.complete_f1_first_time</t>
  </si>
  <si>
    <t>state.complete_f1_with_diligence</t>
  </si>
  <si>
    <t>state.complete_f2_with_diligence</t>
  </si>
  <si>
    <t>state.complete_f3_with_diligence</t>
  </si>
  <si>
    <t>state.complete_f4_with_diligence</t>
  </si>
  <si>
    <t>Complete F1 for the first time</t>
  </si>
  <si>
    <t>state.obtain_armor4</t>
  </si>
  <si>
    <t>Learn character skill cartographer lvl 4</t>
  </si>
  <si>
    <t>state.deliver_potion_berserker_rage_ 1c</t>
  </si>
  <si>
    <t>Attain level 2 cooking skill</t>
  </si>
  <si>
    <t>Attain level 3 cooking skill</t>
  </si>
  <si>
    <t>Visit Beijing</t>
  </si>
  <si>
    <t>Visit Xian</t>
  </si>
  <si>
    <t>Visit Delhi</t>
  </si>
  <si>
    <t>Visit Baghdad</t>
  </si>
  <si>
    <t>Visit Cairo</t>
  </si>
  <si>
    <t>Visit Athens</t>
  </si>
  <si>
    <t>Visit Rome</t>
  </si>
  <si>
    <t>Visit Kyiv</t>
  </si>
  <si>
    <t>Letter from the Dark Lady Finished</t>
  </si>
  <si>
    <t>state.obtain_strawberry@f1</t>
  </si>
  <si>
    <t>STATE:repeat_visit_dungeon@f1@2</t>
  </si>
  <si>
    <t>STATE:visit_dungeon@6b_after_building_dairy_lvl_2</t>
  </si>
  <si>
    <t>Defeat Bone Dragon in 4C</t>
  </si>
  <si>
    <t>state.complete_lvl1_any_project</t>
  </si>
  <si>
    <t>Complete Lvl1 Any Project</t>
  </si>
  <si>
    <t>state.deliver_horn_ 2c</t>
  </si>
  <si>
    <t>state.deliver_pizza_diavola_ 5b</t>
  </si>
  <si>
    <t>state.deliver_pizza_diavola_ 5c</t>
  </si>
  <si>
    <t>state.deliver_porcini_pasta_ 3c</t>
  </si>
  <si>
    <t>state.deliver_potion_ambrosia_ 3b</t>
  </si>
  <si>
    <t>state.deliver_ambrosia@f3</t>
  </si>
  <si>
    <t>collection.broken_level, collection.collapsed_staircase, collection.rotten_ladder, collection.cave_in_bone_dragon, collection.cave_in_alchemist_hall, collection.bone_dragon@1, collection.alchemist_hall_1@1, collection.alchemist_hall_2@1, collection.alchemist_hall_3@1, collection.broken_minecart</t>
  </si>
  <si>
    <t>cave_in_alchemist_hall</t>
  </si>
  <si>
    <t>alchemist_hall_1</t>
  </si>
  <si>
    <t>alchemist_hall_2</t>
  </si>
  <si>
    <t>alchemist_hall_3</t>
  </si>
  <si>
    <t>STATE:deliver_balm_to_hunter@f3</t>
  </si>
  <si>
    <t>STATE:meet_traveling_merchant@1b</t>
  </si>
  <si>
    <t>Doesn't require Train lvl. 2.</t>
  </si>
  <si>
    <t>cost.quest.ahead_of_time_chapter_1.finished.pbr.1</t>
  </si>
  <si>
    <t>pbr</t>
  </si>
  <si>
    <t>cost.quest.ahead_of_time_chapter_1.finished.horn.1</t>
  </si>
  <si>
    <t>cost.quest.ahead_of_time_chapter_1.finished.pa.1</t>
  </si>
  <si>
    <t>pa</t>
  </si>
  <si>
    <t>cost.quest.ahead_of_time_chapter_1.finished.pasta.1</t>
  </si>
  <si>
    <t>cost.quest.ahead_of_time_chapter_1.finished.bedroll.1</t>
  </si>
  <si>
    <t>cost.quest.ahead_of_time_chapter_1.finished.yuba.1</t>
  </si>
  <si>
    <t>yuba</t>
  </si>
  <si>
    <t>cost.quest.ahead_of_time_chapter_1.finished.pizza.1</t>
  </si>
  <si>
    <t>pizza</t>
  </si>
  <si>
    <t>cost.quest.culinary_battle.finished.onigiri.1</t>
  </si>
  <si>
    <t>cost.quest.culinary_battle.finished.flatbread.1</t>
  </si>
  <si>
    <t>cost.quest.culinary_battle.finished.cherrybun.1</t>
  </si>
  <si>
    <t>cherrybun</t>
  </si>
  <si>
    <t>cost.quest.culinary_battle.finished.bento.1</t>
  </si>
  <si>
    <t>cost.quest.culinary_battle.finished.fried.1</t>
  </si>
  <si>
    <t>cost.quest.culinary_battle.finished.sushi.1</t>
  </si>
  <si>
    <t>cost.quest.culinary_battle.finished.ramen.1</t>
  </si>
  <si>
    <t>cost.quest.culinary_battle.finished.curry.1</t>
  </si>
  <si>
    <t>curry</t>
  </si>
  <si>
    <t>cost.quest.culinary_battle.finished.cake.1</t>
  </si>
  <si>
    <t>cost.quest.culinary_battle.finished.baklava.1</t>
  </si>
  <si>
    <t>baklava</t>
  </si>
  <si>
    <t>cost.quest.culinary_battle.finished.poke.1</t>
  </si>
  <si>
    <t>poke</t>
  </si>
  <si>
    <t>cost.quest.culinary_battle.finished.marinated.1</t>
  </si>
  <si>
    <t>marinated</t>
  </si>
  <si>
    <t>cost.quest.culinary_battle.finished.teriyaki.1</t>
  </si>
  <si>
    <t>cost.quest.culinary_battle.finished.mayo.1</t>
  </si>
  <si>
    <t>mayo</t>
  </si>
  <si>
    <t>cost.quest.festival.finished.kimono.1</t>
  </si>
  <si>
    <t>cost.quest.festival.finished.firework.1</t>
  </si>
  <si>
    <t>cost.quest.festival.finished.sushi.1</t>
  </si>
  <si>
    <t>cost.quest.festival.finished.ramen.1</t>
  </si>
  <si>
    <t>cost.quest.festival.finished.cake.1</t>
  </si>
  <si>
    <t>cost.quest.festival.finished.honey.1</t>
  </si>
  <si>
    <t>cost.quest.festival_returns.finished.kimono.1</t>
  </si>
  <si>
    <t>cost.quest.festival_returns.finished.firework.1</t>
  </si>
  <si>
    <t>cost.quest.festival_returns.finished.drum.1</t>
  </si>
  <si>
    <t>cost.quest.festival_returns.finished.onigiri.1</t>
  </si>
  <si>
    <t>cost.quest.festival_returns.finished.cherrybun.1</t>
  </si>
  <si>
    <t>cost.quest.festival_returns.finished.bento.1</t>
  </si>
  <si>
    <t>cost.quest.festival_returns.finished.poke.1</t>
  </si>
  <si>
    <t>cost.quest.festival_returns.finished.baklava.1</t>
  </si>
  <si>
    <t>cost.quest.festival_returns.finished.smoothie.1</t>
  </si>
  <si>
    <t>cost.quest.festival_of_beans.finished.soybean.1</t>
  </si>
  <si>
    <t>cost.quest.festival_of_beans.finished.kimono.1</t>
  </si>
  <si>
    <t>cost.quest.festival_of_beans.finished.firework.1</t>
  </si>
  <si>
    <t>cost.quest.festival_of_beans.finished.natto.1</t>
  </si>
  <si>
    <t>natto</t>
  </si>
  <si>
    <t>cost.quest.festival_of_beans.finished.tofu.1</t>
  </si>
  <si>
    <t>cost.quest.festival_of_beans.finished.inarizushi.1</t>
  </si>
  <si>
    <t>cost.quest.festival_of_beans.finished.yuba.1</t>
  </si>
  <si>
    <t>cost.quest.festival_of_beans.finished.soy.1</t>
  </si>
  <si>
    <t>cost.quest.festival_of_beans.finished.misosoup.1</t>
  </si>
  <si>
    <t>misosoup</t>
  </si>
  <si>
    <t>cost.quest.festival_of_beans.finished.sushi.1</t>
  </si>
  <si>
    <t>cost.quest.festival_of_beans.finished.amazake.1</t>
  </si>
  <si>
    <t>cost.quest.green_potion.finished.reagent.1</t>
  </si>
  <si>
    <t>cost.quest.magic_beans.finished.tofu.1</t>
  </si>
  <si>
    <t>cost.quest.magic_beans.finished.inarizushi.1</t>
  </si>
  <si>
    <t>cost.quest.magic_beans.finished.teriyaki.1</t>
  </si>
  <si>
    <t>cost.quest.once_upon_a_forest_chapter_5.finished.cup.1</t>
  </si>
  <si>
    <t>cost.quest.once_upon_a_forest_chapter_5.finished.smoothie2.1</t>
  </si>
  <si>
    <t>cost.quest.once_upon_a_forest_chapter_5.finished.silk.1</t>
  </si>
  <si>
    <t>cost.quest.once_upon_a_forest_chapter_5.finished.thread.1</t>
  </si>
  <si>
    <t>cost.quest.once_upon_a_forest_chapter_8.finished.wheat.1</t>
  </si>
  <si>
    <t>cost.quest.once_upon_a_forest_chapter_8.finished.rice.1</t>
  </si>
  <si>
    <t>cost.quest.once_upon_a_forest_chapter_8.finished.coin.1</t>
  </si>
  <si>
    <t>cost.quest.once_upon_a_forest_chapter_13.finished.muffin.1</t>
  </si>
  <si>
    <t>muffin</t>
  </si>
  <si>
    <t>cost.quest.once_upon_a_forest_chapter_13.finished.baklava.1</t>
  </si>
  <si>
    <t>cost.quest.once_upon_a_forest_chapter_13.finished.cake.1</t>
  </si>
  <si>
    <t>cost.quest.once_upon_a_forest_chapter_13.finished.jam.1</t>
  </si>
  <si>
    <t>cost.quest.once_upon_a_forest_chapter_13.finished.honey.1</t>
  </si>
  <si>
    <t>cost.quest.once_upon_a_forest_chapter_13.finished.mcola.1</t>
  </si>
  <si>
    <t>cost.quest.shoguns_katana_chapter_1.finished.map2.1</t>
  </si>
  <si>
    <t>cost.quest.shoguns_katana_chapter_2.finished.map3.1</t>
  </si>
  <si>
    <t>cost.quest.shoguns_katana_chapter_3.finished.mapsmug.1</t>
  </si>
  <si>
    <t>mapsmug</t>
  </si>
  <si>
    <t>cost.quest.shoguns_katana_chapter_4.finished.mapsmug.1</t>
  </si>
  <si>
    <t>cost.quest.shoguns_katana_chapter_5.finished.mapsmug.1</t>
  </si>
  <si>
    <t>cost.quest.shoguns_katana_chapter_6.finished.map4.1</t>
  </si>
  <si>
    <t>map4</t>
  </si>
  <si>
    <t>cost.quest.shoguns_katana_chapter_7.finished.map4.1</t>
  </si>
  <si>
    <t>cost.quest.the_ordinary_days_of_an_adventurer_chapter_2.finished.bamboo.1</t>
  </si>
  <si>
    <t>cost.quest.the_ordinary_days_of_an_adventurer_chapter_2.finished.soy.1</t>
  </si>
  <si>
    <t>cost.quest.the_ordinary_days_of_an_adventurer_chapter_2.finished.inarizushi.1</t>
  </si>
  <si>
    <t>cost.quest.the_ordinary_days_of_an_adventurer_chapter_5.finished.flour.1</t>
  </si>
  <si>
    <t>cost.quest.the_ordinary_days_of_an_adventurer_chapter_5.finished.egg.1</t>
  </si>
  <si>
    <t>cost.quest.the_ordinary_days_of_an_adventurer_chapter_5.finished.salmon.1</t>
  </si>
  <si>
    <t>cost.quest.the_ordinary_days_of_an_adventurer_chapter_5.finished.dates.1</t>
  </si>
  <si>
    <t>cost.quest.the_ordinary_days_of_an_adventurer_chapter_5.finished.oil.1</t>
  </si>
  <si>
    <t>cost.quest.the_ordinary_days_of_an_adventurer_chapter_6.finished.vintcheese.1</t>
  </si>
  <si>
    <t>Quest</t>
  </si>
  <si>
    <t>Deliver Potion of Mental Power to F2</t>
  </si>
  <si>
    <t>Find Jade Gate in 2C</t>
  </si>
  <si>
    <t>Obtain 8 MALU</t>
  </si>
  <si>
    <t>Deliver Balm To Hunter @F2</t>
  </si>
  <si>
    <t>tblChecklist[TargetID]</t>
  </si>
  <si>
    <t>tblDependencies[TargetID]</t>
  </si>
  <si>
    <t>tblDependencies[DependencyID]</t>
  </si>
  <si>
    <t>tblTargetStatus[TargetID]</t>
  </si>
  <si>
    <t>tblTargets[TargetID]</t>
  </si>
  <si>
    <t>tblStates[StateID]</t>
  </si>
  <si>
    <t>state.meet_raven@f2</t>
  </si>
  <si>
    <t>state.deliver_potion_mental_power@f2</t>
  </si>
  <si>
    <t>state.deliver_potion_mental_power@F2</t>
  </si>
  <si>
    <t>state.deliver_bedroll_4b</t>
  </si>
  <si>
    <t>broken_lever</t>
  </si>
  <si>
    <t>collection.staircase@1</t>
  </si>
  <si>
    <t>collection.crystal_cave@1</t>
  </si>
  <si>
    <t>cost.collection.bone_dragon@1.bone.1</t>
  </si>
  <si>
    <t>cost.collection.bone_dragon@1.teeth.1</t>
  </si>
  <si>
    <t>cost.collection.bone_dragon@1.bonemeal.1</t>
  </si>
  <si>
    <t>cost.collection.bone_dragon@1.diamond.1</t>
  </si>
  <si>
    <t>cost.collection.bone_dragon@1.bone.2</t>
  </si>
  <si>
    <t>cost.collection.bone_dragon@1.bone.3</t>
  </si>
  <si>
    <t>cost.collection.bone_dragon@1.bone.4</t>
  </si>
  <si>
    <t>cost.collection.bone_dragon@1.bone.5</t>
  </si>
  <si>
    <t>cost.collection.bone_dragon@1.bone.6</t>
  </si>
  <si>
    <t>cost.collection.bone_dragon@1.crypto.1</t>
  </si>
  <si>
    <t>cost.collection.bone_dragon@1.grimoire.1</t>
  </si>
  <si>
    <t>cost.collection.bone_dragon@2.bone.1</t>
  </si>
  <si>
    <t>cost.collection.bone_dragon@2.teeth.1</t>
  </si>
  <si>
    <t>cost.collection.bone_dragon@2.bonemeal.1</t>
  </si>
  <si>
    <t>cost.collection.bone_dragon@2.diamond.1</t>
  </si>
  <si>
    <t>cost.collection.bone_dragon@2.bone.2</t>
  </si>
  <si>
    <t>cost.collection.bone_dragon@2.bone.3</t>
  </si>
  <si>
    <t>cost.collection.bone_dragon@2.bone.4</t>
  </si>
  <si>
    <t>cost.collection.bone_dragon@2.bone.5</t>
  </si>
  <si>
    <t>cost.collection.bone_dragon@2.bone.6</t>
  </si>
  <si>
    <t>cost.collection.bone_dragon@2.crypto.1</t>
  </si>
  <si>
    <t>cost.collection.bone_dragon@2.grimoire.1</t>
  </si>
  <si>
    <t>cost.collection.alchemist_hall_1@1.cherry.1</t>
  </si>
  <si>
    <t>cost.collection.alchemist_hall_1@1.catalyst.1</t>
  </si>
  <si>
    <t>cost.collection.alchemist_hall_1@1.mercury.1</t>
  </si>
  <si>
    <t>cost.collection.alchemist_hall_1@1.hide.1</t>
  </si>
  <si>
    <t>cost.collection.alchemist_hall_1@1.mandrake.1</t>
  </si>
  <si>
    <t>cost.collection.alchemist_hall_1@1.grimoire.1</t>
  </si>
  <si>
    <t>cost.collection.alchemist_hall_1@1.violetcrystal.1</t>
  </si>
  <si>
    <t>cost.collection.alchemist_hall_1@1.reagent.1</t>
  </si>
  <si>
    <t>cost.collection.alchemist_hall_1@2.cherry.1</t>
  </si>
  <si>
    <t>cost.collection.alchemist_hall_1@2.catalyst.1</t>
  </si>
  <si>
    <t>cost.collection.alchemist_hall_1@2.mercury.1</t>
  </si>
  <si>
    <t>cost.collection.alchemist_hall_1@2.hide.1</t>
  </si>
  <si>
    <t>cost.collection.alchemist_hall_1@2.mandrake.1</t>
  </si>
  <si>
    <t>cost.collection.alchemist_hall_1@2.grimoire.1</t>
  </si>
  <si>
    <t>cost.collection.alchemist_hall_1@2.violetcrystal.1</t>
  </si>
  <si>
    <t>cost.collection.alchemist_hall_1@2.reagent.1</t>
  </si>
  <si>
    <t>cost.collection.alchemist_hall_2@1.herbs.1</t>
  </si>
  <si>
    <t>cost.collection.alchemist_hall_2@1.herbs.2</t>
  </si>
  <si>
    <t>cost.collection.alchemist_hall_2@1.mushrooms.1</t>
  </si>
  <si>
    <t>cost.collection.alchemist_hall_2@1.bone.1</t>
  </si>
  <si>
    <t>cost.collection.alchemist_hall_2@1.bone.2</t>
  </si>
  <si>
    <t>cost.collection.alchemist_hall_2@1.page.1</t>
  </si>
  <si>
    <t>cost.collection.alchemist_hall_2@1.scroll.1</t>
  </si>
  <si>
    <t>cost.collection.alchemist_hall_2@1.quartz.1</t>
  </si>
  <si>
    <t>cost.collection.alchemist_hall_2@2.herbs.1</t>
  </si>
  <si>
    <t>cost.collection.alchemist_hall_2@2.herbs.2</t>
  </si>
  <si>
    <t>cost.collection.alchemist_hall_2@2.mushrooms.1</t>
  </si>
  <si>
    <t>cost.collection.alchemist_hall_2@2.bone.1</t>
  </si>
  <si>
    <t>cost.collection.alchemist_hall_2@2.bone.2</t>
  </si>
  <si>
    <t>cost.collection.alchemist_hall_2@2.page.1</t>
  </si>
  <si>
    <t>cost.collection.alchemist_hall_2@2.scroll.1</t>
  </si>
  <si>
    <t>cost.collection.alchemist_hall_2@2.quartz.1</t>
  </si>
  <si>
    <t>cost.collection.alchemist_hall_3@1.bonemeal.1</t>
  </si>
  <si>
    <t>cost.collection.alchemist_hall_3@1.ginkgo.1</t>
  </si>
  <si>
    <t>cost.collection.alchemist_hall_3@1.ginkgo.2</t>
  </si>
  <si>
    <t>cost.collection.alchemist_hall_3@1.grimoire.1</t>
  </si>
  <si>
    <t>cost.collection.alchemist_hall_3@1.bluecrystal.1</t>
  </si>
  <si>
    <t>cost.collection.alchemist_hall_3@2.bonemeal.1</t>
  </si>
  <si>
    <t>cost.collection.alchemist_hall_3@2.ginkgo.1</t>
  </si>
  <si>
    <t>cost.collection.alchemist_hall_3@2.ginkgo.2</t>
  </si>
  <si>
    <t>cost.collection.alchemist_hall_3@2.grimoire.1</t>
  </si>
  <si>
    <t>cost.collection.alchemist_hall_3@2.bluecrystal.1</t>
  </si>
  <si>
    <t>cost.collection.broken_lever@1.mechanism.1</t>
  </si>
  <si>
    <t>cost.collection.collapsed_staircase@1.beam.1</t>
  </si>
  <si>
    <t>cost.collection.collapsed_staircase@1.stone.1</t>
  </si>
  <si>
    <t>cost.collection.collapsed_staircase@1.bonemeal.1</t>
  </si>
  <si>
    <t>cost.collection.collapsed_staircase@1.blueprint.1</t>
  </si>
  <si>
    <t>cost.collection.rotten_ladder@1.plank.1</t>
  </si>
  <si>
    <t>cost.collection.cave_in_bone_dragon@1.petard.1</t>
  </si>
  <si>
    <t>cost.collection.cave_in_alchemist_hall@1.petard.1</t>
  </si>
  <si>
    <t>cost.collection.crystal_cave@1.quartz.1</t>
  </si>
  <si>
    <t>cost.collection.crystal_cave@1.bluecrystal.1</t>
  </si>
  <si>
    <t>cost.collection.crystal_cave@1.greencrystal.1</t>
  </si>
  <si>
    <t>cost.collection.crystal_cave@1.redcrystal.1</t>
  </si>
  <si>
    <t>cost.collection.crystal_cave@1.violetcrystal.1</t>
  </si>
  <si>
    <t>cost.collection.staircase@1.beam.1</t>
  </si>
  <si>
    <t>cost.collection.staircase@1.stone.1</t>
  </si>
  <si>
    <t>cost.collection.staircase@1.bonemeal.1</t>
  </si>
  <si>
    <t>cost.collection.staircase@1.blueprint.1</t>
  </si>
  <si>
    <t>cost.tech.alchemists_hut.perfect_fertilizer.ruby.1</t>
  </si>
  <si>
    <t>cost.tech.alchemists_hut.perfect_fertilizer.coin.1</t>
  </si>
  <si>
    <t>cost.tech.alchemists_hut.perfect_fertilizer.synthetic_fertilizer.1</t>
  </si>
  <si>
    <t>cost.tech.alchemists_hut.perfect_fertilizer.bone_meal.1</t>
  </si>
  <si>
    <t>cost.tech.alchemists_hut.perfect_fertilizer.chemicals.1</t>
  </si>
  <si>
    <t>cost.tech.alchemists_hut.perfect_fertilizer.reagent.1</t>
  </si>
  <si>
    <t>cost.tech.alchemists_hut.perfect_fertilizer.catalyst.1</t>
  </si>
  <si>
    <t>cost.tech.alchemists_hut.perfect_fertilizer.blueprint.1</t>
  </si>
  <si>
    <t>cost.tech.alchemists_hut.perfect_fertilizer.punch_card.1</t>
  </si>
  <si>
    <t>cost.tech.windmill.bone_meal.ruby.1</t>
  </si>
  <si>
    <t>cost.tech.windmill.bone_meal.coin.1</t>
  </si>
  <si>
    <t>cost.tech.windmill.bone_meal.stone.1</t>
  </si>
  <si>
    <t>cost.tech.windmill.bone_meal.meteroic_iron.1</t>
  </si>
  <si>
    <t>cost.tech.windmill.bone_meal.bone.1</t>
  </si>
  <si>
    <t>cost.tech.windmill.bone_meal.elixir_of_insight.1</t>
  </si>
  <si>
    <t>cost.tech.windmill.bone_meal.ancient_page.1</t>
  </si>
  <si>
    <t>Dependency</t>
  </si>
  <si>
    <t>Orphan</t>
  </si>
  <si>
    <t>Schema</t>
  </si>
  <si>
    <t>DuplicateTarget</t>
  </si>
  <si>
    <t>DuplicateState</t>
  </si>
  <si>
    <t>Obtain Spices from Spice Island</t>
  </si>
  <si>
    <t>Cartographer</t>
  </si>
  <si>
    <t>Cooking</t>
  </si>
  <si>
    <t>Current Cooking level</t>
  </si>
  <si>
    <t>Current cartographer level</t>
  </si>
  <si>
    <t>Only needs to be tracked until level 4</t>
  </si>
  <si>
    <t>Only needs to be tracked until level 13</t>
  </si>
  <si>
    <t>Only needs to be tracked until level 80</t>
  </si>
  <si>
    <t>building.dungeon@6</t>
  </si>
  <si>
    <t>state.obtain_map_catacombs</t>
  </si>
  <si>
    <t>state.meet_forest_fairy@f2</t>
  </si>
  <si>
    <t>state.meet_raven@f1_first_time</t>
  </si>
  <si>
    <t>Meet Raven @F1 on first entrance</t>
  </si>
  <si>
    <t>state.visit_dungeon@5a</t>
  </si>
  <si>
    <t xml:space="preserve">Visit Dungeon@5A </t>
  </si>
  <si>
    <t>Visit Dungeon@ 6B</t>
  </si>
  <si>
    <t>Dungeon Lv 6</t>
  </si>
  <si>
    <t>Learn character skill cartographer lvl 3</t>
  </si>
  <si>
    <t>Learn character skill cartographer lvl 1</t>
  </si>
  <si>
    <t>Attain level 1 cooking skill</t>
  </si>
  <si>
    <t>Attain level 12 cooking skill</t>
  </si>
  <si>
    <t>Attain level 13 cooking skill</t>
  </si>
  <si>
    <t>Repeat Visit Dungeon@ F1</t>
  </si>
  <si>
    <t>Meet Forest Fairy@F2</t>
  </si>
  <si>
    <t>cost.collection.broken_minecart@1.msteel.1</t>
  </si>
  <si>
    <t>TabVerification</t>
  </si>
  <si>
    <t>perfect_fertilizer</t>
  </si>
  <si>
    <t>Perfect fertilizer</t>
  </si>
  <si>
    <t>Bone meal</t>
  </si>
  <si>
    <t>citadel.tunnel</t>
  </si>
  <si>
    <t>tunnel</t>
  </si>
  <si>
    <t>Tunnel</t>
  </si>
  <si>
    <t>cost.citadel.tunnel.ruby.1</t>
  </si>
  <si>
    <t>cost.citadel.tunnel.coin.1</t>
  </si>
  <si>
    <t>cost.citadel.tunnel.beam.1</t>
  </si>
  <si>
    <t>cost.citadel.tunnel.stone.1</t>
  </si>
  <si>
    <t>cost.citadel.tunnel.steel.1</t>
  </si>
  <si>
    <t>cost.citadel.tunnel.mechanism.1</t>
  </si>
  <si>
    <t>cost.citadel.tunnel.petard.1</t>
  </si>
  <si>
    <t>cost.citadel.tunnel.pcard.1</t>
  </si>
  <si>
    <t>cost.citadel.tunnel.blueprint.1</t>
  </si>
  <si>
    <t>Airship maxed</t>
  </si>
  <si>
    <t>Fermentory maxed</t>
  </si>
  <si>
    <t>Field maxed</t>
  </si>
  <si>
    <t>Food stall maxed</t>
  </si>
  <si>
    <t>Alchemists Hut maxed</t>
  </si>
  <si>
    <t>Bridge maxed</t>
  </si>
  <si>
    <t>Furnace maxed</t>
  </si>
  <si>
    <t>Garden maxed</t>
  </si>
  <si>
    <t>Laboratory maxed</t>
  </si>
  <si>
    <t>Outpost maxed</t>
  </si>
  <si>
    <t>Rock Garden maxed</t>
  </si>
  <si>
    <t>TargetCompleted</t>
  </si>
  <si>
    <t>PlayerStateID</t>
  </si>
  <si>
    <t>state.character_cartographer</t>
  </si>
  <si>
    <t>state.character_cooking</t>
  </si>
  <si>
    <t>state.character_cartographer@4</t>
  </si>
  <si>
    <t>state.character_cartographer@2</t>
  </si>
  <si>
    <t>state.character_cartographer@1</t>
  </si>
  <si>
    <t>state.character_cartographer@3</t>
  </si>
  <si>
    <t>state.character_cooking@13</t>
  </si>
  <si>
    <t>state.character_cooking@2</t>
  </si>
  <si>
    <t>state.character_cooking@3</t>
  </si>
  <si>
    <t>state.character_cooking@1</t>
  </si>
  <si>
    <t>state.character_cooking@12</t>
  </si>
  <si>
    <t>state.character_level</t>
  </si>
  <si>
    <t>quest.letter_from_the_dark_lady</t>
  </si>
  <si>
    <t>quest.wanted</t>
  </si>
  <si>
    <t>state.deliver_ring</t>
  </si>
  <si>
    <t>state.action_defeat_bone_dragon_4c</t>
  </si>
  <si>
    <t>state.action_tame_a_critter</t>
  </si>
  <si>
    <t>state.find_gate_3c</t>
  </si>
  <si>
    <t>state.find_gate_4c</t>
  </si>
  <si>
    <t>state.find_gate_5c</t>
  </si>
  <si>
    <t>state.meet_raven@f1_second_time</t>
  </si>
  <si>
    <t>state.meet_raven@f1_third_time</t>
  </si>
  <si>
    <t>state.meet_hunter@f1</t>
  </si>
  <si>
    <t>PlayerSort</t>
  </si>
  <si>
    <t>Sort</t>
  </si>
  <si>
    <t>Successors</t>
  </si>
  <si>
    <t>QuestTargetID</t>
  </si>
  <si>
    <t>ObjectiveID</t>
  </si>
  <si>
    <t>tblQuestObjectives[QuestTargetID]</t>
  </si>
  <si>
    <t>tblQuestObjectives[ObjectiveID]</t>
  </si>
  <si>
    <t>tblCost[TargetID]</t>
  </si>
  <si>
    <t>AllDependenciesComplete</t>
  </si>
  <si>
    <t>CompletedDependencyCount</t>
  </si>
  <si>
    <t>DependencyCount</t>
  </si>
  <si>
    <t>Action</t>
  </si>
  <si>
    <t>Pending actions</t>
  </si>
  <si>
    <t>Building order list</t>
  </si>
  <si>
    <t>Building</t>
  </si>
  <si>
    <t>Source ID</t>
  </si>
  <si>
    <t>Tracker Key</t>
  </si>
  <si>
    <t>Tracker Target Pattern</t>
  </si>
  <si>
    <t>Confidence</t>
  </si>
  <si>
    <t>Reason</t>
  </si>
  <si>
    <t>ahut</t>
  </si>
  <si>
    <t>building.alchemists_hut@{level}</t>
  </si>
  <si>
    <t>High</t>
  </si>
  <si>
    <t>Lua abbreviation</t>
  </si>
  <si>
    <t>food</t>
  </si>
  <si>
    <t>building.food_stall@{level}</t>
  </si>
  <si>
    <t>Tracker uses friendly normalized ID</t>
  </si>
  <si>
    <t>rock</t>
  </si>
  <si>
    <t>building.rock_garden@{level}</t>
  </si>
  <si>
    <t>lab</t>
  </si>
  <si>
    <t>building.laboratory@{level}</t>
  </si>
  <si>
    <t>data_center</t>
  </si>
  <si>
    <t>Nested Laboratory sub-building</t>
  </si>
  <si>
    <t>video_game_arcade</t>
  </si>
  <si>
    <t>Nested Guild sub-building</t>
  </si>
  <si>
    <t>freight_carriage_1</t>
  </si>
  <si>
    <t>Source suffix encodes carriage level</t>
  </si>
  <si>
    <t>freight_carriage_2</t>
  </si>
  <si>
    <t>passenger_carriage_1</t>
  </si>
  <si>
    <t>passenger_carriage_2</t>
  </si>
  <si>
    <t>Source stores Tunnel under dungeon; tracker models it as a Citadel target</t>
  </si>
  <si>
    <t>SourceType</t>
  </si>
  <si>
    <t>Technology</t>
  </si>
  <si>
    <t>alchemists_hut.greek</t>
  </si>
  <si>
    <t>Lua name 'greek' maps to tracker technology 'Greek grenade'.</t>
  </si>
  <si>
    <t>alchemists_hut.fertilizer</t>
  </si>
  <si>
    <t>Lua name 'fertilizer' maps to tracker technology 'Synthetic fertilizer'.</t>
  </si>
  <si>
    <t>alchemists_hut.pomp</t>
  </si>
  <si>
    <t>Lua name 'pomp' maps to tracker technology 'Potion of mental power'.</t>
  </si>
  <si>
    <t>alchemists_hut.ingot</t>
  </si>
  <si>
    <t>Lua name 'ingot' maps to tracker technology 'Gold ingot'.</t>
  </si>
  <si>
    <t>alchemists_hut.madgrenade</t>
  </si>
  <si>
    <t>Lua name 'madgrenade' maps to tracker technology 'Madness grenade'.</t>
  </si>
  <si>
    <t>alchemists_hut.poh</t>
  </si>
  <si>
    <t>Lua name 'poh' maps to tracker technology 'Potion of healing'.</t>
  </si>
  <si>
    <t>alchemists_hut.poe</t>
  </si>
  <si>
    <t>Lua name 'poe' maps to tracker technology 'Potion of energy'.</t>
  </si>
  <si>
    <t>alchemists_hut.pbr</t>
  </si>
  <si>
    <t>Lua name 'pbr' maps to tracker technology 'Potion berserker rage'.</t>
  </si>
  <si>
    <t>alchemists_hut.poh2</t>
  </si>
  <si>
    <t>Lua name 'poh2' maps to tracker technology 'Potion of healing lvl. 2'.</t>
  </si>
  <si>
    <t>alchemists_hut.pa</t>
  </si>
  <si>
    <t>Lua name 'pa' maps to tracker technology 'Potion Ambrosia'.</t>
  </si>
  <si>
    <t>alchemists_hut.Conveyor@1</t>
  </si>
  <si>
    <t>Lua name 'Conveyor' maps to tracker technology 'Alchemist's Hut Conveyor lvl. 1'.</t>
  </si>
  <si>
    <t>alchemists_hut.Conveyor@2</t>
  </si>
  <si>
    <t>Lua name 'Conveyor' maps to tracker technology 'Alchemist's Hut Conveyor lvl. 2'.</t>
  </si>
  <si>
    <t>alchemists_hut.pfertilizer</t>
  </si>
  <si>
    <t>Lua name 'pfertilizer' maps to tracker technology 'Perfect fertilizer'.</t>
  </si>
  <si>
    <t>tailor.clew</t>
  </si>
  <si>
    <t>Lua name 'clew' maps to tracker technology 'Ariadne's thread'.</t>
  </si>
  <si>
    <t>tailor.velour</t>
  </si>
  <si>
    <t>Lua name 'velour' maps to tracker technology 'Salamander velour'.</t>
  </si>
  <si>
    <t>tailor.armor1</t>
  </si>
  <si>
    <t>Lua name 'armor1' maps to tracker technology 'Armor for a hero lvl. 1'.</t>
  </si>
  <si>
    <t>tailor.armor2</t>
  </si>
  <si>
    <t>Lua name 'armor2' maps to tracker technology 'Armor for a hero lvl. 2'.</t>
  </si>
  <si>
    <t>tailor.armor3</t>
  </si>
  <si>
    <t>Lua name 'armor3' maps to tracker technology 'Armor for a hero lvl. 3'.</t>
  </si>
  <si>
    <t>tailor.armor4</t>
  </si>
  <si>
    <t>Lua name 'armor4' maps to tracker technology 'Armor for a hero lvl. 4'.</t>
  </si>
  <si>
    <t>tailor.armor4p</t>
  </si>
  <si>
    <t>Lua name 'armor4p' maps to tracker technology 'Armor for a hero lvl. 4+'.</t>
  </si>
  <si>
    <t>workshop.net</t>
  </si>
  <si>
    <t>Lua name 'net' maps to tracker technology 'Throwing net'.</t>
  </si>
  <si>
    <t>workshop.shield1</t>
  </si>
  <si>
    <t>Lua name 'shield1' maps to tracker technology 'Shield for a hero lvl. 1'.</t>
  </si>
  <si>
    <t>workshop.shield2</t>
  </si>
  <si>
    <t>Lua name 'shield2' maps to tracker technology 'Shield for a hero lvl. 2'.</t>
  </si>
  <si>
    <t>workshop.shield3</t>
  </si>
  <si>
    <t>Lua name 'shield3' maps to tracker technology 'Shield for a hero lvl. 3'.</t>
  </si>
  <si>
    <t>workshop.shield4</t>
  </si>
  <si>
    <t>Lua name 'shield4' maps to tracker technology 'Shield for a hero lvl. 4'.</t>
  </si>
  <si>
    <t>workshop.shield4p</t>
  </si>
  <si>
    <t>Lua name 'shield4p' maps to tracker technology 'Shield for a hero lvl. 4+'.</t>
  </si>
  <si>
    <t>workshop.mspider</t>
  </si>
  <si>
    <t>Lua name 'mspider' maps to tracker technology 'Mechanical spider'.</t>
  </si>
  <si>
    <t>workshop.zenfountain</t>
  </si>
  <si>
    <t>Lua name 'zenfountain' maps to tracker technology 'Zen fountain'.</t>
  </si>
  <si>
    <t>workshop.Conveyor@1</t>
  </si>
  <si>
    <t>Lua name 'Conveyor' maps to tracker technology 'Workshop Conveyor lvl. 1'.</t>
  </si>
  <si>
    <t>workshop.Conveyor@2</t>
  </si>
  <si>
    <t>Lua name 'Conveyor' maps to tracker technology 'Workshop Conveyor lvl. 2'.</t>
  </si>
  <si>
    <t>smithy.kunai</t>
  </si>
  <si>
    <t>Lua name 'kunai' maps to tracker technology 'Throwing knife'.</t>
  </si>
  <si>
    <t>smithy.sword1</t>
  </si>
  <si>
    <t>Lua name 'sword1' maps to tracker technology 'Sword for a hero lvl. 1'.</t>
  </si>
  <si>
    <t>smithy.sword2</t>
  </si>
  <si>
    <t>Lua name 'sword2' maps to tracker technology 'Sword for a hero lvl. 2'.</t>
  </si>
  <si>
    <t>smithy.sword3</t>
  </si>
  <si>
    <t>Lua name 'sword3' maps to tracker technology 'Sword for a hero lvl. 3'.</t>
  </si>
  <si>
    <t>smithy.sword4</t>
  </si>
  <si>
    <t>Lua name 'sword4' maps to tracker technology 'Sword for a hero lvl. 4'.</t>
  </si>
  <si>
    <t>smithy.sword4p</t>
  </si>
  <si>
    <t>Lua name 'sword4p' maps to tracker technology 'Sword for a hero lvl. 4+'.</t>
  </si>
  <si>
    <t>furnace.msteel</t>
  </si>
  <si>
    <t>Lua name 'msteel' maps to tracker technology 'Meteoric Steel'.</t>
  </si>
  <si>
    <t>furnace.tparts</t>
  </si>
  <si>
    <t>Lua name 'tparts' maps to tracker technology 'Titanium parts'.</t>
  </si>
  <si>
    <t>food_stall.mayo</t>
  </si>
  <si>
    <t>Lua name 'mayo' maps to tracker technology 'Mayonnaise'.</t>
  </si>
  <si>
    <t>food_stall.mcola</t>
  </si>
  <si>
    <t>Lua name 'mcola' maps to tracker technology 'Mandra Cola'.</t>
  </si>
  <si>
    <t>food_stall.misosoup</t>
  </si>
  <si>
    <t>Lua name 'misosoup' maps to tracker technology 'Miso soup'.</t>
  </si>
  <si>
    <t>laboratory.R&amp;D (Research and development)</t>
  </si>
  <si>
    <t>Lua name 'R&amp;D (Research and development)' maps to tracker technology 'Research and development'.</t>
  </si>
  <si>
    <t>windmill.bonemeal</t>
  </si>
  <si>
    <t>Lua name 'bonemeal' maps to tracker technology 'Bone meal'.</t>
  </si>
  <si>
    <t>cost.tech.tailor.armor_for_a_hero_lvl_4+.apy.1</t>
  </si>
  <si>
    <t>successors</t>
  </si>
  <si>
    <t>completionmethod</t>
  </si>
  <si>
    <t>OutstandingResources</t>
  </si>
  <si>
    <t>OpenQuest</t>
  </si>
  <si>
    <t>Unlocks</t>
  </si>
  <si>
    <t>Active Quest</t>
  </si>
  <si>
    <t>Outstanding Objective</t>
  </si>
  <si>
    <t>Outstanding</t>
  </si>
  <si>
    <t>activequest</t>
  </si>
  <si>
    <t>QuestDisplayName</t>
  </si>
  <si>
    <t>ObjectiveDisplayName</t>
  </si>
  <si>
    <t>PendingQuestAcceptances</t>
  </si>
  <si>
    <t>automate quest finish?</t>
  </si>
  <si>
    <t>HasCost</t>
  </si>
  <si>
    <t>Funded not Complete</t>
  </si>
  <si>
    <t>state.complete_dungeon_5c_second</t>
  </si>
  <si>
    <t xml:space="preserve">Complete Dungeon 5C second </t>
  </si>
  <si>
    <t>state.obtain_Pirate_hat</t>
  </si>
  <si>
    <t>Obtain Pirate hat</t>
  </si>
  <si>
    <t>state.obtain_Black_Pearl</t>
  </si>
  <si>
    <t>Obtain Black Pearl</t>
  </si>
  <si>
    <t>state.obtain_Shoguns_Mortar</t>
  </si>
  <si>
    <t>Obtain Shogun's Mortar</t>
  </si>
  <si>
    <t>state.obtain_pirate_hat</t>
  </si>
  <si>
    <t>state.obtain_black_pearl</t>
  </si>
  <si>
    <t>state.obtain_shoguns_mortar</t>
  </si>
  <si>
    <t>state.complete_dungeon@1a</t>
  </si>
  <si>
    <t>Complete Dungeon 1A</t>
  </si>
  <si>
    <t>state.complete_dungeon@6D</t>
  </si>
  <si>
    <t>Complete Dungeon 6D</t>
  </si>
  <si>
    <t>state.meet_royal_rat@6b</t>
  </si>
  <si>
    <t>state.meet_dark_lady@6b_second</t>
  </si>
  <si>
    <t>Meet Dark Lady@6B second time</t>
  </si>
  <si>
    <t>Active</t>
  </si>
  <si>
    <t>Passive</t>
  </si>
  <si>
    <t>passive</t>
  </si>
  <si>
    <t>Guild lvl. 2</t>
  </si>
  <si>
    <t>Warehouse lvl. 1</t>
  </si>
  <si>
    <t>Unlocks Bourse - watching ads for Treasure map fragments, Katanas and Coffee beans.</t>
  </si>
  <si>
    <t>Shop lvl. 1</t>
  </si>
  <si>
    <t>Alchemist's Hut lvl. 1</t>
  </si>
  <si>
    <t>Alchemist's Hut lvl. 2</t>
  </si>
  <si>
    <t>Field lvl. 1</t>
  </si>
  <si>
    <t>Rock Garden lvl. 1</t>
  </si>
  <si>
    <t>Rock Garden lvl. 2</t>
  </si>
  <si>
    <t>Garden lvl. 1</t>
  </si>
  <si>
    <t>Garden lvl. 2</t>
  </si>
  <si>
    <t>Lumber Mill lvl. 1</t>
  </si>
  <si>
    <t>Lumber Mill lvl. 2</t>
  </si>
  <si>
    <t>Rock Garden lvl. 3</t>
  </si>
  <si>
    <t>Garden lvl. 3</t>
  </si>
  <si>
    <t>Food Stall lvl. 1</t>
  </si>
  <si>
    <t>Field lvl. 2</t>
  </si>
  <si>
    <t>Windmill lvl. 1</t>
  </si>
  <si>
    <t>Enables crafting Flour from Wheat.</t>
  </si>
  <si>
    <t>Furnace lvl. 1</t>
  </si>
  <si>
    <t>Furnace lvl. 2</t>
  </si>
  <si>
    <t>Dungeon lvl. 1</t>
  </si>
  <si>
    <t>Chicken Coop lvl. 1</t>
  </si>
  <si>
    <t>Chicken Coop lvl. 2</t>
  </si>
  <si>
    <t>Doubles productivity of Eggs. Doubles the amount of Eggs produced, but also doubles expenses.</t>
  </si>
  <si>
    <t>Lumber Mill lvl. 3</t>
  </si>
  <si>
    <t>Pier lvl. 1</t>
  </si>
  <si>
    <t>Ship lvl. 1</t>
  </si>
  <si>
    <t>Ship lvl. 2</t>
  </si>
  <si>
    <t>Ship lvl. 3</t>
  </si>
  <si>
    <t>Enables building lvl. 5 buildings. Increases daily rewards. Completes the Build the Guild quest.</t>
  </si>
  <si>
    <t>Dungeon lvl. 2</t>
  </si>
  <si>
    <t>Windmill lvl. 2</t>
  </si>
  <si>
    <t>Food Stall lvl. 2</t>
  </si>
  <si>
    <t>Food Stall lvl. 3</t>
  </si>
  <si>
    <t>Bridge lvl. 1</t>
  </si>
  <si>
    <t>Outpost lvl. 1</t>
  </si>
  <si>
    <t>Passive income of Dinars. 12% reduction of robbery in Caravan. Building Workshop lvl. 2 can be considered, since 300 Arrows are needed.</t>
  </si>
  <si>
    <t>Coffee Bonsai lvl. 1</t>
  </si>
  <si>
    <t>Coffee Bonsai lvl. 2</t>
  </si>
  <si>
    <t>Onsen lvl. 1</t>
  </si>
  <si>
    <t>Increases daily rewards.</t>
  </si>
  <si>
    <t>Onsen lvl. 2</t>
  </si>
  <si>
    <t>Workshop lvl. 1</t>
  </si>
  <si>
    <t>Workshop lvl. 2</t>
  </si>
  <si>
    <t>Workshop lvl. 3</t>
  </si>
  <si>
    <t>Workshop lvl. 4</t>
  </si>
  <si>
    <t>Workshop lvl. 5</t>
  </si>
  <si>
    <t>Outpost lvl. 2</t>
  </si>
  <si>
    <t>Increases passive income of Dinars and further reduces chances of robbery by 12%.</t>
  </si>
  <si>
    <t>Caravan lvl. 1</t>
  </si>
  <si>
    <t>Caravan lvl. 2</t>
  </si>
  <si>
    <t>Increases the amount of items to buy/sell.</t>
  </si>
  <si>
    <t>Caravan lvl. 3</t>
  </si>
  <si>
    <t>Smithy lvl. 1</t>
  </si>
  <si>
    <t>Smithy lvl. 2</t>
  </si>
  <si>
    <t>Smithy lvl. 3</t>
  </si>
  <si>
    <t>Required for acquiring Reagent (3A), which is needed for Airship.</t>
  </si>
  <si>
    <t>Airship lvl. 1</t>
  </si>
  <si>
    <t>Ship lvl. 4</t>
  </si>
  <si>
    <t>Required for crafting Meteoric Steel. Also unlocks technologies.</t>
  </si>
  <si>
    <t>Tailor lvl. 1</t>
  </si>
  <si>
    <t>Required for Tailor lvl. 2.</t>
  </si>
  <si>
    <t>Tailor lvl. 2</t>
  </si>
  <si>
    <t>Required for crafting Guild banner craftifact.</t>
  </si>
  <si>
    <t>Caravan lvl. 4</t>
  </si>
  <si>
    <t>Tailor lvl. 3</t>
  </si>
  <si>
    <t>Required for building Outpost lvl. 3 (20 Samurai armor are needed). Also unlocks technologies (most importantly armor for dungeon).</t>
  </si>
  <si>
    <t>Outpost lvl. 3</t>
  </si>
  <si>
    <t>Increases passive income of Dinars and reduces robbery chances by another 12%. By now you should have 0% chance of robbery for all cities in Caravan.</t>
  </si>
  <si>
    <t>Alchemist's Hut lvl. 3</t>
  </si>
  <si>
    <t>Alchemist's Hut lvl. 4</t>
  </si>
  <si>
    <t>Alchemist's Hut lvl. 5</t>
  </si>
  <si>
    <t>Alchemist's Hut lvl. 6</t>
  </si>
  <si>
    <t>Airship lvl. 2</t>
  </si>
  <si>
    <t>Dungeon lvl. 4</t>
  </si>
  <si>
    <t>Dungeon lvl. 5</t>
  </si>
  <si>
    <t>Pagoda lvl. 1</t>
  </si>
  <si>
    <t>Pagoda lvl. 2</t>
  </si>
  <si>
    <t>Pagoda lvl. 3</t>
  </si>
  <si>
    <t>Pagoda lvl. 4</t>
  </si>
  <si>
    <t>Pagoda lvl. 5</t>
  </si>
  <si>
    <t>Pagoda lvl. 6</t>
  </si>
  <si>
    <t>Pagoda lvl. 7</t>
  </si>
  <si>
    <t>Laboratory lvl. 1</t>
  </si>
  <si>
    <t>Laboratory lvl. 2</t>
  </si>
  <si>
    <t>Passive income of Punched cards.</t>
  </si>
  <si>
    <t>Laboratory lvl. 3</t>
  </si>
  <si>
    <t>Increases passive income of Punched cards. Punched cards can now drop from nonograms.</t>
  </si>
  <si>
    <t>Train Station lvl. 1</t>
  </si>
  <si>
    <t>Required for building Train.</t>
  </si>
  <si>
    <t>Train lvl. 1</t>
  </si>
  <si>
    <t>Train lvl. 2</t>
  </si>
  <si>
    <t>Increases passenger income (Coins) and adds 2 slots to buy/sell. Train itself doesn't provide any new items, but it does provide a bit of income, bypasses the randomness of the ship and reduces the need to visit dungeon for certain items.</t>
  </si>
  <si>
    <t>Fermentory lvl. 1</t>
  </si>
  <si>
    <t>Fermentory lvl. 2</t>
  </si>
  <si>
    <t>Fermentory lvl. 3</t>
  </si>
  <si>
    <t>Laboratory lvl. 4</t>
  </si>
  <si>
    <t>Increases passive income of Punched cards.</t>
  </si>
  <si>
    <t>Laboratory lvl. 5</t>
  </si>
  <si>
    <t>Dairy Farm lvl. 1</t>
  </si>
  <si>
    <t>Mostly built to complete The Ordinary Days of an Adventurer questline.</t>
  </si>
  <si>
    <t>Dairy Farm lvl. 2</t>
  </si>
  <si>
    <t>Mostly built to complete the questline.</t>
  </si>
  <si>
    <t>Fermentory lvl. 4</t>
  </si>
  <si>
    <t>Mostly built for crafting Amazake at lvl. 6. Amazake is required for R&amp;D (Research and development) technology in Laboratory.</t>
  </si>
  <si>
    <t>Fermentory lvl. 5</t>
  </si>
  <si>
    <t>Fermentory lvl. 6</t>
  </si>
  <si>
    <t>Warehouse lvl. 2</t>
  </si>
  <si>
    <t>Storage capacity will need to be increased (with Warehouse lvl. 2 or Athlete lvl. 1, but Athlete is cheaper), when buying Smuggler's map Chapter III (requires 100 Coffee beans) in Bourse.</t>
  </si>
  <si>
    <t>Warehouse lvl. 3</t>
  </si>
  <si>
    <t>Warehouse lvl. 4</t>
  </si>
  <si>
    <t>Warehouse lvl. 5</t>
  </si>
  <si>
    <t>Warehouse lvl. 6</t>
  </si>
  <si>
    <t>Warehouse lvl. 7</t>
  </si>
  <si>
    <t>Shop lvl. 2</t>
  </si>
  <si>
    <t>It doesn't add any new items to the shop, but increases the amount of items that can be bought (useful for buying Wood or Stone).</t>
  </si>
  <si>
    <t>Shop lvl. 3</t>
  </si>
  <si>
    <t>More items can be sold in shop (up to 600 Coins worth of items).</t>
  </si>
  <si>
    <t>Gong lvl. 1</t>
  </si>
  <si>
    <t>Hall of Fame rewards only with bugles, which are not items and can't be used for upgrading the Territory. This building is required for competing in the Hall of Fame.</t>
  </si>
  <si>
    <t>Enables building Alchemist's Hut lvl. 2.</t>
  </si>
  <si>
    <t>Unlocks Cauldron.</t>
  </si>
  <si>
    <t>Enables crafting Eggs. Eggs are used for crafting dungeon related items.</t>
  </si>
  <si>
    <t>Passive income of Coffee beans. It can be built simultaneously with the Outpost, because Outpost requires a lot of Stone and Coffee Bonsai requires a lot of Wood.</t>
  </si>
  <si>
    <t>Enables acquiring dungeon related items. Allows to convert nonogram loot -&gt; MP -&gt; dungeon loot.</t>
  </si>
  <si>
    <t>Allows to visit 2A, which is more efficient to farm than 1A.</t>
  </si>
  <si>
    <t>Allows to complete the Emerald tablet craftifact and unlocks some dungeon related quests.</t>
  </si>
  <si>
    <t>Passive income of Rice (used in dungeon).</t>
  </si>
  <si>
    <t>Passive income of Wheat (also used in dungeon).</t>
  </si>
  <si>
    <t>Enables crafting dungeon related items.</t>
  </si>
  <si>
    <t>Enables crafting Steel (required for Dungeon and later other buildings).</t>
  </si>
  <si>
    <t>Increases Steel production by 25%. Preferably only craft Steel when you have Furnace lvl. 2.</t>
  </si>
  <si>
    <t>Passive income of Wood. It can also be built to not overflow Wood or Stone.</t>
  </si>
  <si>
    <t>Increases daily rewards and enables building lvl. 2 buildings.</t>
  </si>
  <si>
    <t>Increases daily rewards and allows to build lvl. 3 buildings.</t>
  </si>
  <si>
    <t>Enables building lvl. 4 buildings.</t>
  </si>
  <si>
    <t>Enables crafting Wooden beams, which is needed for a lot of buildings.</t>
  </si>
  <si>
    <t>Increases production of Wooden beams.</t>
  </si>
  <si>
    <t>Enables crafting Wooden planks.</t>
  </si>
  <si>
    <t>Unlocks passive income of Chemicals, which can be thrown into the Cauldron).</t>
  </si>
  <si>
    <t>Required for building Ship.</t>
  </si>
  <si>
    <t>Passive income of Stone. It can also be built to not overflow Wood or Stone.</t>
  </si>
  <si>
    <t>Enables going on ship missions. See Ship section.</t>
  </si>
  <si>
    <t>Enables sending the ship on 12 hour missions instead of 6 hour ones. Ship can be sent over night without losing "production" time.</t>
  </si>
  <si>
    <t>Enables sending the ship on 24 hour missions. Less downtime.</t>
  </si>
  <si>
    <t>Enables buying Chemicals, which are required for Alchemist's Hut lvl. 2.</t>
  </si>
  <si>
    <t>Required for Smithy lvl. 2.</t>
  </si>
  <si>
    <t>Required for Smithy lvl. 3.</t>
  </si>
  <si>
    <t>Required for Dungeon lvl. 3. It's also later useful for crafting swords.</t>
  </si>
  <si>
    <t>More efficient Flour crafting.</t>
  </si>
  <si>
    <t>Required for Workshop lvl. 2.</t>
  </si>
  <si>
    <t>Required for Workshop lvl. 3.</t>
  </si>
  <si>
    <t>Required for Workshop lvl. 4.</t>
  </si>
  <si>
    <t>Player Type</t>
  </si>
  <si>
    <t>Bonsai lvl. 1</t>
  </si>
  <si>
    <t>Bonsai lvl. 2</t>
  </si>
  <si>
    <t>Bonsai lvl. 2</t>
  </si>
  <si>
    <t>alchemists_hut.advanced_fertilizer</t>
  </si>
  <si>
    <t>alchemists_hut.synthetic_fertilizer</t>
  </si>
  <si>
    <t>Order</t>
  </si>
  <si>
    <t>Passive buildings (long ROI)</t>
  </si>
  <si>
    <t>Situational buildings</t>
  </si>
  <si>
    <t>Passive Buildings</t>
  </si>
  <si>
    <t>Active Buildings</t>
  </si>
  <si>
    <t>Active ID</t>
  </si>
  <si>
    <t>Passive ID</t>
  </si>
  <si>
    <t>Enables crafting Ramen and Curry, which are necessary for completing Shogun's Katana questline.</t>
  </si>
  <si>
    <t>Enables crafting Cup of coffee, which is required for mounting lvl. 4 expeditions.</t>
  </si>
  <si>
    <t>Unlocks buildings: Caravan, Outpost, and Tailor (and others, but these will be your next focus). Start saving Katanas and Arrows for Outpost lvl. 1. Also start saving Gold ingots, Treasures and duplicated artifacts for selling in Caravan.</t>
  </si>
  <si>
    <t>Enables crafting Battering rams and unlocks technologies. Required for Necklace for Haruka craftifact.</t>
  </si>
  <si>
    <t>Enables travelling to cities to buy items like Paper, Silk, Glass, etc. Building Caravan only makes sense once you have enough items to trade and robbery chances are at 0%. See Caravan section.</t>
  </si>
  <si>
    <t>Enables acquiring Gears, Blueprints, Avocados, etc. See Airship section.</t>
  </si>
  <si>
    <t>Level 6 is required for completing Festival quests, mounting Catacombs maps, and unlocking technologies.</t>
  </si>
  <si>
    <t>Allows to gather items like Soy sauce, Mandrake root, etc.</t>
  </si>
  <si>
    <t>Level 7 unlocks projects and completes the Build the Pagoda quest. Also don't use hints on puzzles as the reduce rewards.</t>
  </si>
  <si>
    <t>Allows production of Blueprints. This building has a lot of requirements, before it can be built: forest questline, Telescope (craftifact), and Solver-1 prototype (craftifact).</t>
  </si>
  <si>
    <t>Built mostly to craft Yuba. Trade Yuba for MALU from the Ahead of Time questline. Then use MALU for building Laboratory.</t>
  </si>
  <si>
    <t>Increases passive income of Punched cards, unlocks technologies, experiments, and improves passive income (Punched cards -&gt; Floppy disks).</t>
  </si>
  <si>
    <t>Increases storage capacity of items. In most cases storage capacity isn't a problem, because items can be provided partially. The only time increasing storage capacity is need when learning skills in Character. Storage capacity can also be increased with Athlete (skill). For more information about storage capacity see Items &gt; Storage capacity.</t>
  </si>
  <si>
    <t>Storage capacity will also need to be increased for supplying Fireworks for the Festival quests.</t>
  </si>
  <si>
    <t>Faster acquisition of Spices. It's also required for crafting Astrolabe craftifact and completing Treasure Island quest.</t>
  </si>
  <si>
    <t>Enables crafting Mortars. 30 Mortars are also required for building Outpost lvl. 2. Consider switching to Samurai or Zen Master class (these classes give you Mortars from puzzles), if you'd like to postpone this building.</t>
  </si>
  <si>
    <t>Enables travelling to cities and buying items like Drums, Soy sauce, etc. without needing to go to dungeon; or items like Anchors or Tuna without waiting for ship randomness. Train doesn't provide you with any new items (like Ship or Caravan), so it's not vital for guild progression.</t>
  </si>
  <si>
    <t>ActiveTargetID</t>
  </si>
  <si>
    <t>PassiveTargetID</t>
  </si>
  <si>
    <t>Lumber Mill</t>
  </si>
  <si>
    <t>Chicken Coop</t>
  </si>
  <si>
    <t>building.lumber@{level}</t>
  </si>
  <si>
    <t>Wiki name differs from tracker base name</t>
  </si>
  <si>
    <t>building.chicken@{level}</t>
  </si>
  <si>
    <t>Coffee Bonsai</t>
  </si>
  <si>
    <t>building.bonsai@{level}</t>
  </si>
  <si>
    <t>Train Station</t>
  </si>
  <si>
    <t>building.station@{level}</t>
  </si>
  <si>
    <t>Dairy Farm</t>
  </si>
  <si>
    <t>building.dairy@{level}</t>
  </si>
  <si>
    <t>Search Term</t>
  </si>
  <si>
    <t>Select Resource</t>
  </si>
  <si>
    <t>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</si>
</sst>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11"/>
      <color theme="1"/>
      <name val="Aptos Narrow"/>
      <family val="2"/>
      <scheme val="minor"/>
    </font>
    <font>
      <b/>
      <sz val="11"/>
      <color rgb="FFFFFFFF"/>
      <name val="Calibri"/>
      <family val="2"/>
    </font>
    <font>
      <b/>
      <sz val="11"/>
      <name val="Calibri"/>
      <family val="2"/>
    </font>
    <font>
      <sz val="8"/>
      <name val="Aptos Narrow"/>
      <family val="2"/>
      <scheme val="minor"/>
    </font>
    <font>
      <b/>
      <sz val="11"/>
      <color theme="0"/>
      <name val="Aptos Narrow"/>
      <family val="2"/>
      <scheme val="minor"/>
    </font>
    <font>
      <sz val="11"/>
      <name val="Courier New"/>
      <family val="3"/>
    </font>
    <font>
      <b/>
      <sz val="11"/>
      <name val="Aptos Narrow"/>
      <family val="2"/>
      <scheme val="minor"/>
    </font>
    <font>
      <b/>
      <sz val="11"/>
      <color theme="0"/>
      <name val="Calibri"/>
      <family val="2"/>
    </font>
    <font>
      <sz val="10.5"/>
      <color theme="1"/>
      <name val="Aptos Narrow"/>
      <family val="2"/>
    </font>
    <font>
      <sz val="11"/>
      <color theme="1"/>
      <name val="Aptos Narrow"/>
      <family val="2"/>
      <scheme val="minor"/>
    </font>
    <font>
      <sz val="12"/>
      <color theme="1"/>
      <name val="Aptos Narrow"/>
      <family val="2"/>
      <scheme val="minor"/>
    </font>
    <font>
      <b/>
      <sz val="18"/>
      <color theme="1"/>
      <name val="Aptos Narrow"/>
      <family val="2"/>
      <scheme val="minor"/>
    </font>
    <font>
      <sz val="10.5"/>
      <color theme="1"/>
      <name val="Courier New"/>
      <family val="3"/>
    </font>
    <font>
      <sz val="10"/>
      <color rgb="FF000000"/>
      <name val="Aptos Narrow"/>
      <family val="2"/>
      <scheme val="minor"/>
    </font>
    <font>
      <b/>
      <sz val="15"/>
      <color rgb="FF000000"/>
      <name val="Arial"/>
      <family val="2"/>
    </font>
    <font>
      <b/>
      <sz val="15"/>
      <color rgb="FFFFFFFF"/>
      <name val="Arial"/>
      <family val="2"/>
    </font>
    <font>
      <b/>
      <sz val="15"/>
      <color theme="1"/>
      <name val="Arial"/>
      <family val="2"/>
    </font>
    <font>
      <b/>
      <sz val="10"/>
      <color rgb="FFFFFFFF"/>
      <name val="Arial"/>
      <family val="2"/>
    </font>
    <font>
      <b/>
      <sz val="10"/>
      <color theme="1"/>
      <name val="Arial"/>
      <family val="2"/>
    </font>
    <font>
      <sz val="10"/>
      <color theme="1"/>
      <name val="Arial"/>
      <family val="2"/>
    </font>
    <font>
      <sz val="11"/>
      <name val="Carlito"/>
    </font>
    <font>
      <b/>
      <sz val="11"/>
      <color rgb="FFFFFFFF"/>
      <name val="Carlito"/>
    </font>
    <font>
      <sz val="7"/>
      <color rgb="FF3A3A3A"/>
      <name val="Arial"/>
    </font>
    <font>
      <sz val="12"/>
      <color rgb="FF3A3A3A"/>
      <name val="Arial"/>
    </font>
    <font>
      <b/>
      <sz val="12"/>
      <color rgb="FF3A3A3A"/>
      <name val="Arial"/>
    </font>
    <font>
      <sz val="10"/>
      <color theme="1"/>
      <name val="Arial Unicode MS"/>
    </font>
    <font>
      <sz val="11"/>
      <name val="Aptos Narrow"/>
      <family val="2"/>
      <scheme val="minor"/>
    </font>
    <font>
      <sz val="11"/>
      <name val="Arial"/>
      <family val="2"/>
    </font>
  </fonts>
  <fills count="9">
    <fill>
      <patternFill patternType="none"/>
    </fill>
    <fill>
      <patternFill patternType="gray125"/>
    </fill>
    <fill>
      <patternFill patternType="solid">
        <fgColor rgb="FF1F4E78"/>
      </patternFill>
    </fill>
    <fill>
      <patternFill patternType="solid">
        <fgColor theme="4"/>
        <bgColor theme="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00"/>
        <bgColor indexed="64"/>
      </patternFill>
    </fill>
    <fill>
      <patternFill patternType="solid">
        <fgColor rgb="FF274E13"/>
        <bgColor rgb="FF274E13"/>
      </patternFill>
    </fill>
    <fill>
      <patternFill patternType="solid">
        <fgColor rgb="FFFFFFFF"/>
        <bgColor indexed="64"/>
      </patternFill>
    </fill>
  </fills>
  <borders count="32">
    <border>
      <left/>
      <right/>
      <top/>
      <bottom/>
      <diagonal/>
    </border>
    <border>
      <left style="thin">
        <color rgb="FFD9E2F3"/>
      </left>
      <right style="thin">
        <color rgb="FFD9E2F3"/>
      </right>
      <top style="thin">
        <color rgb="FFD9E2F3"/>
      </top>
      <bottom style="thin">
        <color rgb="FFD9E2F3"/>
      </bottom>
      <diagonal/>
    </border>
    <border>
      <left style="thin">
        <color auto="1"/>
      </left>
      <right style="thin">
        <color auto="1"/>
      </right>
      <top/>
      <bottom style="thin">
        <color auto="1"/>
      </bottom>
      <diagonal/>
    </border>
    <border>
      <left/>
      <right/>
      <top style="thin">
        <color auto="1"/>
      </top>
      <bottom/>
      <diagonal/>
    </border>
    <border>
      <left style="thin">
        <color theme="0"/>
      </left>
      <right/>
      <top style="thin">
        <color theme="0"/>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auto="1"/>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style="thin">
        <color theme="4" tint="0.39997558519241921"/>
      </bottom>
      <diagonal/>
    </border>
    <border>
      <left style="thin">
        <color auto="1"/>
      </left>
      <right style="thin">
        <color auto="1"/>
      </right>
      <top style="thin">
        <color theme="4" tint="0.39997558519241921"/>
      </top>
      <bottom style="thin">
        <color auto="1"/>
      </bottom>
      <diagonal/>
    </border>
    <border>
      <left style="thin">
        <color auto="1"/>
      </left>
      <right/>
      <top/>
      <bottom/>
      <diagonal/>
    </border>
    <border>
      <left style="medium">
        <color rgb="FF666666"/>
      </left>
      <right style="medium">
        <color rgb="FF666666"/>
      </right>
      <top style="medium">
        <color rgb="FF666666"/>
      </top>
      <bottom style="medium">
        <color rgb="FF666666"/>
      </bottom>
      <diagonal/>
    </border>
    <border>
      <left/>
      <right/>
      <top style="thin">
        <color theme="4" tint="0.39997558519241921"/>
      </top>
      <bottom/>
      <diagonal/>
    </border>
    <border>
      <left style="thin">
        <color rgb="FFD9E2F3"/>
      </left>
      <right style="thin">
        <color rgb="FFD9E2F3"/>
      </right>
      <top style="thin">
        <color rgb="FFD9E2F3"/>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ECECE"/>
      </left>
      <right style="medium">
        <color rgb="FFCECECE"/>
      </right>
      <top style="medium">
        <color rgb="FFCECECE"/>
      </top>
      <bottom style="medium">
        <color rgb="FFCECECE"/>
      </bottom>
      <diagonal/>
    </border>
    <border>
      <left style="medium">
        <color rgb="FFCECECE"/>
      </left>
      <right style="medium">
        <color rgb="FFCECECE"/>
      </right>
      <top style="medium">
        <color rgb="FFCECECE"/>
      </top>
      <bottom/>
      <diagonal/>
    </border>
    <border>
      <left style="medium">
        <color rgb="FFCECECE"/>
      </left>
      <right style="medium">
        <color rgb="FFCECECE"/>
      </right>
      <top/>
      <bottom style="medium">
        <color rgb="FFCECECE"/>
      </bottom>
      <diagonal/>
    </border>
    <border>
      <left style="medium">
        <color rgb="FFCECECE"/>
      </left>
      <right style="medium">
        <color rgb="FFCECECE"/>
      </right>
      <top/>
      <bottom/>
      <diagonal/>
    </border>
    <border>
      <left/>
      <right style="medium">
        <color rgb="FFCECECE"/>
      </right>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4">
    <xf numFmtId="0" fontId="0" fillId="0" borderId="0"/>
    <xf numFmtId="9" fontId="10" fillId="0" borderId="0" applyFont="0" applyFill="0" applyBorder="0" applyAlignment="0" applyProtection="0"/>
    <xf numFmtId="0" fontId="14" fillId="0" borderId="0"/>
    <xf numFmtId="0" fontId="21" fillId="0" borderId="0"/>
  </cellStyleXfs>
  <cellXfs count="123">
    <xf numFmtId="0" fontId="0" fillId="0" borderId="0" xfId="0"/>
    <xf numFmtId="0" fontId="2" fillId="2" borderId="0" xfId="0" applyFont="1" applyFill="1"/>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1" xfId="0" applyBorder="1" applyAlignment="1">
      <alignment vertical="top"/>
    </xf>
    <xf numFmtId="0" fontId="3" fillId="0" borderId="2" xfId="0"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horizontal="center" vertical="top" wrapText="1"/>
    </xf>
    <xf numFmtId="0" fontId="3" fillId="0" borderId="2" xfId="0" applyFont="1" applyBorder="1" applyAlignment="1">
      <alignment horizontal="center" vertical="top" wrapText="1"/>
    </xf>
    <xf numFmtId="2" fontId="0" fillId="0" borderId="0" xfId="0" applyNumberFormat="1" applyAlignment="1">
      <alignment wrapText="1"/>
    </xf>
    <xf numFmtId="0" fontId="5" fillId="0" borderId="5" xfId="0" applyFont="1" applyBorder="1" applyAlignment="1">
      <alignment horizontal="center" vertical="top" wrapText="1"/>
    </xf>
    <xf numFmtId="0" fontId="0" fillId="0" borderId="7" xfId="0" applyBorder="1" applyAlignment="1">
      <alignment wrapText="1"/>
    </xf>
    <xf numFmtId="0" fontId="0" fillId="0" borderId="4" xfId="0" applyBorder="1" applyAlignment="1">
      <alignment wrapText="1"/>
    </xf>
    <xf numFmtId="2" fontId="0" fillId="0" borderId="4" xfId="0" applyNumberFormat="1" applyBorder="1" applyAlignment="1">
      <alignment wrapText="1"/>
    </xf>
    <xf numFmtId="0" fontId="0" fillId="0" borderId="12" xfId="0" applyBorder="1"/>
    <xf numFmtId="0" fontId="5" fillId="0" borderId="6" xfId="0" applyFont="1" applyBorder="1" applyAlignment="1">
      <alignment horizontal="center" vertical="top" wrapText="1"/>
    </xf>
    <xf numFmtId="0" fontId="0" fillId="0" borderId="3" xfId="0" applyBorder="1" applyAlignment="1">
      <alignment wrapText="1"/>
    </xf>
    <xf numFmtId="0" fontId="0" fillId="0" borderId="8" xfId="0" applyBorder="1" applyAlignment="1">
      <alignment wrapText="1"/>
    </xf>
    <xf numFmtId="0" fontId="5" fillId="3" borderId="9" xfId="0" applyFont="1" applyFill="1" applyBorder="1" applyAlignment="1">
      <alignment wrapText="1"/>
    </xf>
    <xf numFmtId="0" fontId="5" fillId="3" borderId="10" xfId="0" applyFont="1" applyFill="1" applyBorder="1" applyAlignment="1">
      <alignment wrapText="1"/>
    </xf>
    <xf numFmtId="0" fontId="5" fillId="3" borderId="10" xfId="0" applyFont="1" applyFill="1" applyBorder="1" applyAlignment="1">
      <alignment horizontal="center" vertical="top" wrapText="1"/>
    </xf>
    <xf numFmtId="0" fontId="5" fillId="3" borderId="11" xfId="0" applyFont="1" applyFill="1" applyBorder="1" applyAlignment="1">
      <alignment horizontal="center" vertical="top" wrapText="1"/>
    </xf>
    <xf numFmtId="0" fontId="0" fillId="0" borderId="13" xfId="0" applyBorder="1"/>
    <xf numFmtId="0" fontId="0" fillId="0" borderId="0" xfId="0">
      <extLst>
        <ext xmlns:xfpb="http://schemas.microsoft.com/office/spreadsheetml/2022/featurepropertybag" uri="{C7286773-470A-42A8-94C5-96B5CB345126}">
          <xfpb:xfComplement i="0"/>
        </ext>
      </extLst>
    </xf>
    <xf numFmtId="0" fontId="0" fillId="4" borderId="0" xfId="0" applyFill="1"/>
    <xf numFmtId="0" fontId="5" fillId="3" borderId="12" xfId="0" applyFont="1" applyFill="1" applyBorder="1"/>
    <xf numFmtId="0" fontId="0" fillId="4" borderId="14" xfId="0" applyFill="1" applyBorder="1"/>
    <xf numFmtId="0" fontId="0" fillId="0" borderId="14" xfId="0" applyBorder="1"/>
    <xf numFmtId="1" fontId="5" fillId="0" borderId="5" xfId="0" applyNumberFormat="1" applyFont="1" applyBorder="1" applyAlignment="1">
      <alignment horizontal="center" vertical="top" wrapText="1"/>
    </xf>
    <xf numFmtId="1" fontId="0" fillId="0" borderId="0" xfId="0" applyNumberFormat="1" applyAlignment="1">
      <alignment wrapText="1"/>
    </xf>
    <xf numFmtId="1" fontId="0" fillId="0" borderId="4" xfId="0" applyNumberFormat="1" applyBorder="1" applyAlignment="1">
      <alignment wrapText="1"/>
    </xf>
    <xf numFmtId="0" fontId="3" fillId="0" borderId="16" xfId="0" applyFont="1" applyBorder="1" applyAlignment="1">
      <alignment horizontal="center" vertical="top"/>
    </xf>
    <xf numFmtId="0" fontId="6" fillId="0" borderId="17" xfId="0" applyFont="1" applyBorder="1"/>
    <xf numFmtId="1" fontId="7" fillId="0" borderId="5" xfId="0" applyNumberFormat="1" applyFont="1" applyBorder="1" applyAlignment="1">
      <alignment horizontal="center" vertical="top" wrapText="1"/>
    </xf>
    <xf numFmtId="0" fontId="8" fillId="0" borderId="16" xfId="0" applyFont="1" applyBorder="1" applyAlignment="1">
      <alignment horizontal="center" vertical="top"/>
    </xf>
    <xf numFmtId="0" fontId="0" fillId="4" borderId="1" xfId="0" applyFill="1" applyBorder="1" applyAlignment="1">
      <alignment vertical="top"/>
    </xf>
    <xf numFmtId="0" fontId="3" fillId="3" borderId="15" xfId="0" applyFont="1" applyFill="1" applyBorder="1" applyAlignment="1">
      <alignment horizontal="center" vertical="top"/>
    </xf>
    <xf numFmtId="0" fontId="0" fillId="0" borderId="19" xfId="0" applyBorder="1" applyAlignment="1">
      <alignment vertical="top"/>
    </xf>
    <xf numFmtId="0" fontId="0" fillId="0" borderId="18" xfId="0" applyBorder="1"/>
    <xf numFmtId="0" fontId="9" fillId="0" borderId="0" xfId="0" applyFont="1" applyAlignment="1">
      <alignment vertical="center"/>
    </xf>
    <xf numFmtId="9" fontId="0" fillId="0" borderId="0" xfId="0" applyNumberFormat="1"/>
    <xf numFmtId="9" fontId="9" fillId="0" borderId="0" xfId="0" applyNumberFormat="1" applyFont="1" applyAlignment="1">
      <alignment vertical="center"/>
    </xf>
    <xf numFmtId="49" fontId="0" fillId="0" borderId="0" xfId="0" applyNumberFormat="1"/>
    <xf numFmtId="0" fontId="12" fillId="0" borderId="0" xfId="0" applyFont="1" applyAlignment="1">
      <alignment wrapText="1"/>
    </xf>
    <xf numFmtId="0" fontId="5" fillId="3" borderId="13" xfId="0" applyFont="1" applyFill="1" applyBorder="1"/>
    <xf numFmtId="0" fontId="0" fillId="0" borderId="21" xfId="0" applyBorder="1" applyAlignment="1">
      <alignment wrapText="1"/>
    </xf>
    <xf numFmtId="0" fontId="13" fillId="0" borderId="0" xfId="0" applyFont="1" applyAlignment="1">
      <alignment vertical="center"/>
    </xf>
    <xf numFmtId="0" fontId="13" fillId="0" borderId="0" xfId="0" applyFont="1" applyAlignment="1">
      <alignment vertical="center" wrapText="1"/>
    </xf>
    <xf numFmtId="0" fontId="0" fillId="6" borderId="0" xfId="0" applyFill="1" applyAlignment="1">
      <alignment wrapText="1"/>
    </xf>
    <xf numFmtId="0" fontId="0" fillId="5" borderId="0" xfId="0" applyFill="1" applyAlignment="1">
      <alignment wrapText="1"/>
    </xf>
    <xf numFmtId="0" fontId="5" fillId="3" borderId="18" xfId="0" applyFont="1" applyFill="1" applyBorder="1" applyAlignment="1">
      <alignment wrapText="1"/>
    </xf>
    <xf numFmtId="0" fontId="5" fillId="3" borderId="0" xfId="0" applyFont="1" applyFill="1"/>
    <xf numFmtId="0" fontId="5" fillId="3" borderId="0" xfId="0" applyFont="1" applyFill="1" applyAlignment="1">
      <alignment vertical="center"/>
    </xf>
    <xf numFmtId="0" fontId="5" fillId="0" borderId="0" xfId="0" applyFont="1" applyAlignment="1">
      <alignment vertical="center"/>
    </xf>
    <xf numFmtId="0" fontId="0" fillId="0" borderId="13" xfId="0" applyBorder="1" applyAlignment="1">
      <alignment vertical="center" wrapText="1"/>
    </xf>
    <xf numFmtId="0" fontId="0" fillId="0" borderId="0" xfId="0" applyAlignment="1">
      <alignment horizontal="center" vertical="center" wrapText="1"/>
    </xf>
    <xf numFmtId="0" fontId="5" fillId="0" borderId="14" xfId="0" applyFont="1" applyBorder="1"/>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xf>
    <xf numFmtId="0" fontId="9" fillId="0" borderId="0" xfId="0" applyFont="1" applyAlignment="1">
      <alignment horizontal="center" vertical="center"/>
    </xf>
    <xf numFmtId="0" fontId="12" fillId="0" borderId="0" xfId="0" applyFont="1" applyAlignment="1">
      <alignment horizontal="center" vertical="center" wrapText="1"/>
    </xf>
    <xf numFmtId="0" fontId="11" fillId="0" borderId="21" xfId="0" applyFont="1" applyBorder="1" applyAlignment="1">
      <alignment horizontal="center" vertical="center" wrapText="1"/>
    </xf>
    <xf numFmtId="1" fontId="11" fillId="0" borderId="21" xfId="1" applyNumberFormat="1" applyFont="1" applyBorder="1" applyAlignment="1">
      <alignment horizontal="center" vertical="center" wrapText="1"/>
    </xf>
    <xf numFmtId="10" fontId="11" fillId="0" borderId="21" xfId="1" applyNumberFormat="1" applyFont="1" applyBorder="1" applyAlignment="1">
      <alignment horizontal="center" vertical="center" wrapText="1"/>
    </xf>
    <xf numFmtId="0" fontId="12" fillId="0" borderId="21" xfId="0" applyFont="1" applyBorder="1" applyAlignment="1">
      <alignment horizontal="center" vertical="center" wrapText="1"/>
    </xf>
    <xf numFmtId="0" fontId="0" fillId="0" borderId="21" xfId="0" applyBorder="1" applyAlignment="1">
      <alignment horizontal="center" vertical="center" wrapText="1"/>
    </xf>
    <xf numFmtId="0" fontId="15" fillId="0" borderId="0" xfId="2" applyFont="1"/>
    <xf numFmtId="0" fontId="16" fillId="0" borderId="0" xfId="2" applyFont="1"/>
    <xf numFmtId="0" fontId="17" fillId="0" borderId="0" xfId="2" applyFont="1"/>
    <xf numFmtId="0" fontId="14" fillId="0" borderId="0" xfId="2"/>
    <xf numFmtId="0" fontId="18" fillId="7" borderId="0" xfId="2" applyFont="1" applyFill="1"/>
    <xf numFmtId="0" fontId="19" fillId="0" borderId="0" xfId="2" applyFont="1"/>
    <xf numFmtId="0" fontId="20" fillId="0" borderId="0" xfId="2" applyFont="1"/>
    <xf numFmtId="0" fontId="22" fillId="2" borderId="0" xfId="3" applyFont="1" applyFill="1" applyAlignment="1">
      <alignment horizontal="center"/>
    </xf>
    <xf numFmtId="0" fontId="21" fillId="0" borderId="0" xfId="3"/>
    <xf numFmtId="0" fontId="21" fillId="0" borderId="0" xfId="3" applyAlignment="1">
      <alignment wrapText="1"/>
    </xf>
    <xf numFmtId="0" fontId="0" fillId="0" borderId="0" xfId="0" applyAlignment="1">
      <alignment horizontal="center" vertical="center"/>
    </xf>
    <xf numFmtId="9" fontId="0" fillId="0" borderId="0" xfId="1" applyFont="1" applyAlignment="1">
      <alignment horizontal="center" wrapText="1"/>
    </xf>
    <xf numFmtId="9" fontId="0" fillId="0" borderId="0" xfId="1" applyFont="1" applyAlignment="1">
      <alignment horizont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0" fillId="0" borderId="12" xfId="0" applyBorder="1" applyAlignment="1">
      <alignment vertical="center" wrapText="1"/>
    </xf>
    <xf numFmtId="0" fontId="5" fillId="3" borderId="18" xfId="0" applyFont="1" applyFill="1" applyBorder="1" applyAlignment="1">
      <alignment horizontal="center" vertical="center"/>
    </xf>
    <xf numFmtId="0" fontId="5" fillId="3" borderId="18" xfId="0" applyFont="1" applyFill="1" applyBorder="1" applyAlignment="1">
      <alignment horizontal="left" vertical="center" wrapText="1"/>
    </xf>
    <xf numFmtId="0" fontId="5" fillId="3" borderId="20"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23" fillId="8" borderId="25" xfId="0" applyFont="1" applyFill="1" applyBorder="1" applyAlignment="1">
      <alignment vertical="center" wrapText="1"/>
    </xf>
    <xf numFmtId="0" fontId="0" fillId="8" borderId="25" xfId="0" applyFill="1" applyBorder="1" applyAlignment="1">
      <alignment vertical="center" wrapText="1"/>
    </xf>
    <xf numFmtId="0" fontId="24" fillId="8" borderId="25" xfId="0" applyFont="1" applyFill="1" applyBorder="1" applyAlignment="1">
      <alignment vertical="center" wrapText="1"/>
    </xf>
    <xf numFmtId="0" fontId="11" fillId="8" borderId="25" xfId="0" applyFont="1" applyFill="1" applyBorder="1" applyAlignment="1">
      <alignment vertical="center" wrapText="1"/>
    </xf>
    <xf numFmtId="0" fontId="11" fillId="0" borderId="0" xfId="0" applyFont="1" applyAlignment="1">
      <alignment vertical="center" wrapText="1"/>
    </xf>
    <xf numFmtId="0" fontId="25" fillId="0" borderId="0" xfId="0" applyFont="1" applyAlignment="1">
      <alignment vertical="center" wrapText="1"/>
    </xf>
    <xf numFmtId="0" fontId="24" fillId="8" borderId="26" xfId="0" applyFont="1" applyFill="1" applyBorder="1" applyAlignment="1">
      <alignment vertical="center" wrapText="1"/>
    </xf>
    <xf numFmtId="0" fontId="5" fillId="3" borderId="21" xfId="0" applyFont="1" applyFill="1" applyBorder="1"/>
    <xf numFmtId="0" fontId="0" fillId="0" borderId="12" xfId="0" applyBorder="1" applyAlignment="1">
      <alignment horizontal="center" vertical="center"/>
    </xf>
    <xf numFmtId="9" fontId="19" fillId="0" borderId="0" xfId="2" applyNumberFormat="1" applyFont="1"/>
    <xf numFmtId="0" fontId="26" fillId="0" borderId="0" xfId="0" applyFont="1" applyAlignment="1">
      <alignment vertical="center" wrapText="1"/>
    </xf>
    <xf numFmtId="0" fontId="0" fillId="6" borderId="30" xfId="0" applyFill="1" applyBorder="1" applyAlignment="1">
      <alignment wrapText="1"/>
    </xf>
    <xf numFmtId="0" fontId="0" fillId="6" borderId="31" xfId="0" applyFill="1" applyBorder="1" applyAlignment="1">
      <alignment wrapText="1"/>
    </xf>
    <xf numFmtId="0" fontId="0" fillId="6" borderId="0" xfId="0" applyFill="1" applyAlignment="1">
      <alignment horizontal="right" vertical="center" wrapText="1"/>
    </xf>
    <xf numFmtId="0" fontId="0" fillId="6" borderId="21" xfId="0" applyFill="1" applyBorder="1"/>
    <xf numFmtId="0" fontId="0" fillId="6" borderId="12" xfId="0" applyFill="1" applyBorder="1" applyAlignment="1">
      <alignment vertical="center" wrapText="1"/>
    </xf>
    <xf numFmtId="1" fontId="0" fillId="0" borderId="0" xfId="1" applyNumberFormat="1" applyFont="1" applyAlignment="1">
      <alignment horizontal="center" vertical="center" wrapText="1"/>
    </xf>
    <xf numFmtId="10" fontId="0" fillId="0" borderId="0" xfId="0" applyNumberFormat="1" applyAlignment="1">
      <alignment horizontal="center" vertical="center" wrapText="1"/>
    </xf>
    <xf numFmtId="1" fontId="0" fillId="0" borderId="0" xfId="0" applyNumberFormat="1" applyAlignment="1">
      <alignment horizontal="center" vertical="center" wrapText="1"/>
    </xf>
    <xf numFmtId="0" fontId="27" fillId="8" borderId="25" xfId="0" applyFont="1" applyFill="1" applyBorder="1" applyAlignment="1">
      <alignment vertical="center" wrapText="1"/>
    </xf>
    <xf numFmtId="0" fontId="27" fillId="8" borderId="28" xfId="0" applyFont="1" applyFill="1" applyBorder="1" applyAlignment="1">
      <alignment vertical="center" wrapText="1"/>
    </xf>
    <xf numFmtId="0" fontId="27" fillId="8" borderId="27" xfId="0" applyFont="1" applyFill="1" applyBorder="1" applyAlignment="1">
      <alignment vertical="center" wrapText="1"/>
    </xf>
    <xf numFmtId="0" fontId="28" fillId="8" borderId="25" xfId="0" applyFont="1" applyFill="1" applyBorder="1" applyAlignment="1">
      <alignment vertical="center" wrapText="1"/>
    </xf>
    <xf numFmtId="0" fontId="28" fillId="8" borderId="26" xfId="0" applyFont="1" applyFill="1" applyBorder="1" applyAlignment="1">
      <alignment vertical="center" wrapText="1"/>
    </xf>
    <xf numFmtId="0" fontId="28" fillId="8" borderId="28" xfId="0" applyFont="1" applyFill="1" applyBorder="1" applyAlignment="1">
      <alignment vertical="center" wrapText="1"/>
    </xf>
    <xf numFmtId="0" fontId="28" fillId="8" borderId="27" xfId="0" applyFont="1" applyFill="1" applyBorder="1" applyAlignment="1">
      <alignment vertical="center" wrapText="1"/>
    </xf>
    <xf numFmtId="0" fontId="11" fillId="0" borderId="0" xfId="0" applyFont="1" applyAlignment="1">
      <alignment vertical="center"/>
    </xf>
    <xf numFmtId="0" fontId="0" fillId="0" borderId="0" xfId="0" applyAlignment="1">
      <alignment vertical="center"/>
    </xf>
    <xf numFmtId="0" fontId="27" fillId="0" borderId="0" xfId="0" applyFont="1" applyAlignment="1">
      <alignment vertical="center"/>
    </xf>
    <xf numFmtId="0" fontId="27" fillId="0" borderId="29" xfId="0" applyFont="1" applyBorder="1" applyAlignment="1">
      <alignment vertical="center"/>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9" fillId="0" borderId="0" xfId="0" applyNumberFormat="1" applyFont="1" applyAlignment="1">
      <alignment vertical="center"/>
    </xf>
  </cellXfs>
  <cellStyles count="4">
    <cellStyle name="Normal" xfId="0" builtinId="0"/>
    <cellStyle name="Normal 2" xfId="2" xr:uid="{D95B988B-887E-48B2-BC98-41741337174F}"/>
    <cellStyle name="Normal 3" xfId="3" xr:uid="{26606687-0FEE-4FED-A779-59C5C250DEFC}"/>
    <cellStyle name="Percent" xfId="1" builtinId="5"/>
  </cellStyles>
  <dxfs count="334">
    <dxf>
      <border>
        <bottom style="thin">
          <color auto="1"/>
        </bottom>
        <vertical/>
        <horizontal/>
      </border>
    </dxf>
    <dxf>
      <border>
        <left/>
        <right style="thin">
          <color auto="1"/>
        </right>
        <vertical/>
        <horizontal/>
      </border>
    </dxf>
    <dxf>
      <fill>
        <patternFill>
          <bgColor rgb="FF00B0F0"/>
        </patternFill>
      </fill>
    </dxf>
    <dxf>
      <fill>
        <patternFill>
          <bgColor rgb="FF92D050"/>
        </patternFill>
      </fill>
    </dxf>
    <dxf>
      <border>
        <bottom style="thin">
          <color auto="1"/>
        </bottom>
        <vertical/>
        <horizontal/>
      </border>
    </dxf>
    <dxf>
      <border>
        <left/>
        <right style="thin">
          <color auto="1"/>
        </right>
        <vertical/>
        <horizontal/>
      </border>
    </dxf>
    <dxf>
      <font>
        <strike/>
        <color theme="0" tint="-0.499984740745262"/>
      </font>
      <fill>
        <patternFill>
          <bgColor theme="0" tint="-0.14996795556505021"/>
        </patternFill>
      </fill>
    </dxf>
    <dxf>
      <font>
        <color rgb="FF9C0006"/>
      </font>
      <fill>
        <patternFill>
          <bgColor rgb="FFFFC7CE"/>
        </patternFill>
      </fill>
    </dxf>
    <dxf>
      <border>
        <left/>
        <right style="thin">
          <color auto="1"/>
        </right>
        <vertical/>
        <horizontal/>
      </border>
    </dxf>
    <dxf>
      <border>
        <bottom style="thin">
          <color auto="1"/>
        </bottom>
      </border>
    </dxf>
    <dxf>
      <border>
        <left style="thin">
          <color auto="1"/>
        </left>
        <right/>
        <vertical/>
        <horizontal/>
      </border>
    </dxf>
    <dxf>
      <border>
        <bottom style="thin">
          <color auto="1"/>
        </bottom>
        <vertical/>
        <horizontal/>
      </border>
    </dxf>
    <dxf>
      <border>
        <left style="thin">
          <color auto="1"/>
        </left>
        <right style="thin">
          <color auto="1"/>
        </right>
        <vertical/>
        <horizontal/>
      </border>
    </dxf>
    <dxf>
      <border>
        <left/>
        <right style="thin">
          <color auto="1"/>
        </right>
        <vertical/>
        <horizontal/>
      </border>
    </dxf>
    <dxf>
      <border>
        <bottom style="thin">
          <color auto="1"/>
        </bottom>
        <vertical/>
        <horizontal/>
      </border>
    </dxf>
    <dxf>
      <border>
        <left style="thin">
          <color auto="1"/>
        </left>
        <right style="thin">
          <color auto="1"/>
        </right>
        <vertical/>
        <horizontal/>
      </border>
    </dxf>
    <dxf>
      <border>
        <bottom style="thin">
          <color auto="1"/>
        </bottom>
        <vertical/>
        <horizontal/>
      </border>
    </dxf>
    <dxf>
      <border>
        <left style="thin">
          <color auto="1"/>
        </left>
        <right style="thin">
          <color auto="1"/>
        </right>
        <vertical/>
        <horizontal/>
      </border>
    </dxf>
    <dxf>
      <border>
        <bottom style="thin">
          <color auto="1"/>
        </bottom>
      </border>
    </dxf>
    <dxf>
      <border>
        <left/>
        <right style="thin">
          <color auto="1"/>
        </right>
        <vertical/>
        <horizontal/>
      </border>
    </dxf>
    <dxf>
      <border>
        <bottom style="thin">
          <color auto="1"/>
        </bottom>
      </border>
    </dxf>
    <dxf>
      <border>
        <bottom style="thin">
          <color auto="1"/>
        </bottom>
        <vertical/>
        <horizontal/>
      </border>
    </dxf>
    <dxf>
      <border>
        <left style="thin">
          <color auto="1"/>
        </left>
        <right/>
        <vertical/>
        <horizontal/>
      </border>
    </dxf>
    <dxf>
      <border>
        <bottom style="thin">
          <color auto="1"/>
        </bottom>
      </border>
    </dxf>
    <dxf>
      <border>
        <left/>
        <right style="thin">
          <color auto="1"/>
        </right>
        <vertical/>
        <horizontal/>
      </border>
    </dxf>
    <dxf>
      <border>
        <bottom style="thin">
          <color auto="1"/>
        </bottom>
      </border>
    </dxf>
    <dxf>
      <font>
        <color rgb="FF9C0006"/>
      </font>
      <fill>
        <patternFill>
          <bgColor rgb="FFFFC7CE"/>
        </patternFill>
      </fill>
    </dxf>
    <dxf>
      <border>
        <left style="thin">
          <color auto="1"/>
        </left>
        <right/>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alignment horizontal="general" vertical="bottom" textRotation="0" wrapText="1" indent="0" justifyLastLine="0" shrinkToFit="0" readingOrder="0"/>
      <border diagonalUp="0" diagonalDown="0">
        <left style="thin">
          <color theme="0"/>
        </left>
        <right/>
        <top style="thin">
          <color theme="0"/>
        </top>
        <bottom/>
        <vertical/>
        <horizontal/>
      </border>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alignment horizontal="general" vertical="bottom" textRotation="0" wrapText="1" indent="0" justifyLastLine="0" shrinkToFit="0" readingOrder="0"/>
      <border diagonalUp="0" diagonalDown="0">
        <left style="thin">
          <color theme="0"/>
        </left>
        <right/>
        <top style="thin">
          <color theme="0"/>
        </top>
        <bottom/>
        <vertical/>
        <horizontal/>
      </border>
    </dxf>
    <dxf>
      <alignment horizontal="general" vertical="bottom" textRotation="0" wrapText="1" indent="0" justifyLastLine="0" shrinkToFit="0" readingOrder="0"/>
      <border diagonalUp="0" diagonalDown="0">
        <left style="thin">
          <color theme="0"/>
        </left>
        <right/>
        <top style="thin">
          <color theme="0"/>
        </top>
        <bottom/>
        <vertical/>
        <horizontal/>
      </border>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numFmt numFmtId="1" formatCode="0"/>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numFmt numFmtId="0" formatCode="General"/>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numFmt numFmtId="0" formatCode="General"/>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2" formatCode="0.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indexed="65"/>
        </patternFill>
      </fill>
      <alignment horizontal="general" vertical="bottom" textRotation="0" wrapText="1" indent="0" justifyLastLine="0" shrinkToFit="0" readingOrder="0"/>
    </dxf>
    <dxf>
      <numFmt numFmtId="0" formatCode="General"/>
    </dxf>
    <dxf>
      <numFmt numFmtId="0" formatCode="General"/>
      <fill>
        <patternFill patternType="none">
          <fgColor indexed="64"/>
          <bgColor indexed="65"/>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top style="thin">
          <color theme="4" tint="0.39997558519241921"/>
        </top>
      </border>
    </dxf>
    <dxf>
      <alignment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border diagonalUp="0" diagonalDown="0">
        <left style="thin">
          <color rgb="FFD9E2F3"/>
        </left>
        <right style="thin">
          <color rgb="FFD9E2F3"/>
        </right>
        <top style="thin">
          <color rgb="FFD9E2F3"/>
        </top>
        <bottom style="thin">
          <color rgb="FFD9E2F3"/>
        </bottom>
        <vertical/>
        <horizontal/>
      </border>
    </dxf>
    <dxf>
      <alignment horizontal="general" vertical="top" textRotation="0" wrapText="0" indent="0" justifyLastLine="0" shrinkToFit="0" readingOrder="0"/>
    </dxf>
    <dxf>
      <alignment horizontal="general" vertical="top" textRotation="0" wrapText="0" indent="0" justifyLastLine="0" shrinkToFit="0" readingOrder="0"/>
      <border diagonalUp="0" diagonalDown="0">
        <left style="thin">
          <color rgb="FFD9E2F3"/>
        </left>
        <right style="thin">
          <color rgb="FFD9E2F3"/>
        </right>
        <top style="thin">
          <color rgb="FFD9E2F3"/>
        </top>
        <bottom style="thin">
          <color rgb="FFD9E2F3"/>
        </bottom>
        <vertical/>
        <horizontal/>
      </border>
    </dxf>
    <dxf>
      <alignment horizontal="general" vertical="top" textRotation="0" wrapText="0"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top" textRotation="0" wrapText="0" indent="0" justifyLastLine="0" shrinkToFit="0" readingOrder="0"/>
      <border diagonalUp="0" diagonalDown="0" outline="0">
        <left style="thin">
          <color rgb="FFD9E2F3"/>
        </left>
        <right style="thin">
          <color rgb="FFD9E2F3"/>
        </right>
        <top style="thin">
          <color rgb="FFD9E2F3"/>
        </top>
        <bottom style="thin">
          <color rgb="FFD9E2F3"/>
        </bottom>
      </border>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strike val="0"/>
        <outline val="0"/>
        <shadow val="0"/>
        <u val="none"/>
        <vertAlign val="baseline"/>
        <sz val="11"/>
        <color theme="1"/>
        <name val="Aptos Narrow"/>
        <family val="2"/>
        <scheme val="minor"/>
      </font>
      <numFmt numFmtId="0" formatCode="General"/>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textRotation="0" wrapText="1" indent="0" justifyLastLine="0" shrinkToFit="0" readingOrder="0"/>
    </dxf>
    <dxf>
      <border diagonalUp="0" diagonalDown="0" outline="0">
        <left/>
        <right/>
        <top/>
        <bottom/>
      </border>
    </dxf>
    <dxf>
      <border diagonalUp="0" diagonalDown="0" outline="0">
        <left/>
        <right/>
        <top/>
        <bottom/>
      </border>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bgColor auto="1"/>
        </patternFill>
      </fill>
    </dxf>
    <dxf>
      <font>
        <b val="0"/>
      </font>
      <numFmt numFmtId="0" formatCode="General"/>
    </dxf>
    <dxf>
      <font>
        <b val="0"/>
      </font>
      <numFmt numFmtId="0" formatCode="General"/>
    </dxf>
    <dxf>
      <font>
        <b val="0"/>
      </font>
      <numFmt numFmtId="0" formatCode="General"/>
    </dxf>
    <dxf>
      <font>
        <b val="0"/>
      </font>
      <numFmt numFmtId="0" formatCode="General"/>
      <alignment horizontal="center" vertical="center" textRotation="0" indent="0" justifyLastLine="0" shrinkToFit="0" readingOrder="0"/>
    </dxf>
    <dxf>
      <font>
        <b val="0"/>
      </font>
      <numFmt numFmtId="0" formatCode="General"/>
    </dxf>
    <dxf>
      <font>
        <b val="0"/>
      </font>
      <numFmt numFmtId="13" formatCode="0%"/>
      <alignment horizontal="center" vertical="bottom"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numFmt numFmtId="0" formatCode="General"/>
    </dxf>
    <dxf>
      <font>
        <b val="0"/>
      </font>
      <numFmt numFmtId="0" formatCode="General"/>
    </dxf>
    <dxf>
      <numFmt numFmtId="0" formatCode="General"/>
    </dxf>
    <dxf>
      <font>
        <b val="0"/>
      </font>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dxf>
    <dxf>
      <font>
        <b val="0"/>
      </font>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5"/>
        <color theme="1"/>
        <name val="Courier New"/>
        <family val="3"/>
        <scheme val="none"/>
      </font>
      <alignment horizontal="general"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0" formatCode="General"/>
    </dxf>
    <dxf>
      <numFmt numFmtId="0" formatCode="General"/>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center" vertical="center" textRotation="0"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fill>
        <patternFill patternType="solid">
          <fgColor indexed="64"/>
          <bgColor rgb="FFFFFF00"/>
        </patternFill>
      </fill>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5"/>
        <color theme="1"/>
        <name val="Aptos Narrow"/>
        <family val="2"/>
        <scheme val="none"/>
      </font>
      <numFmt numFmtId="13" formatCode="0%"/>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7.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3.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0</xdr:col>
      <xdr:colOff>273050</xdr:colOff>
      <xdr:row>1</xdr:row>
      <xdr:rowOff>158750</xdr:rowOff>
    </xdr:from>
    <xdr:ext cx="10571740" cy="19381716"/>
    <xdr:sp macro="" textlink="">
      <xdr:nvSpPr>
        <xdr:cNvPr id="2" name="TextBox 1">
          <a:extLst>
            <a:ext uri="{FF2B5EF4-FFF2-40B4-BE49-F238E27FC236}">
              <a16:creationId xmlns:a16="http://schemas.microsoft.com/office/drawing/2014/main" id="{AB1319BC-6227-674E-22BA-90920726DE5C}"/>
            </a:ext>
          </a:extLst>
        </xdr:cNvPr>
        <xdr:cNvSpPr txBox="1"/>
      </xdr:nvSpPr>
      <xdr:spPr>
        <a:xfrm>
          <a:off x="273050" y="339725"/>
          <a:ext cx="10571740" cy="19381716"/>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t>Nonograms Katana Tracker</a:t>
          </a:r>
        </a:p>
        <a:p>
          <a:r>
            <a:rPr lang="en-US" b="1"/>
            <a:t>Player Instructions</a:t>
          </a:r>
        </a:p>
        <a:p>
          <a:r>
            <a:rPr lang="en-US" b="1"/>
            <a:t>What This Tracker Does</a:t>
          </a:r>
        </a:p>
        <a:p>
          <a:r>
            <a:rPr lang="en-US"/>
            <a:t>The Nonograms Katana Tracker is designed to help you determine what you can work on now, what is coming next, and what resources you need to continue progressing through the game.</a:t>
          </a:r>
        </a:p>
        <a:p>
          <a:r>
            <a:rPr lang="en-US"/>
            <a:t>The tracker follows dependencies between:</a:t>
          </a:r>
        </a:p>
        <a:p>
          <a:pPr lvl="0"/>
          <a:r>
            <a:rPr lang="en-US"/>
            <a:t>Buildings and building levels</a:t>
          </a:r>
        </a:p>
        <a:p>
          <a:pPr lvl="0"/>
          <a:r>
            <a:rPr lang="en-US"/>
            <a:t>Technologies</a:t>
          </a:r>
        </a:p>
        <a:p>
          <a:pPr lvl="0"/>
          <a:r>
            <a:rPr lang="en-US"/>
            <a:t>Quests and quest objectives</a:t>
          </a:r>
        </a:p>
        <a:p>
          <a:pPr lvl="0"/>
          <a:r>
            <a:rPr lang="en-US"/>
            <a:t>Citadel upgrades</a:t>
          </a:r>
        </a:p>
        <a:p>
          <a:pPr lvl="0"/>
          <a:r>
            <a:rPr lang="en-US"/>
            <a:t>Collections</a:t>
          </a:r>
        </a:p>
        <a:p>
          <a:pPr lvl="0"/>
          <a:r>
            <a:rPr lang="en-US"/>
            <a:t>Craftifacts</a:t>
          </a:r>
        </a:p>
        <a:p>
          <a:pPr lvl="0"/>
          <a:r>
            <a:rPr lang="en-US"/>
            <a:t>Character levels and skills</a:t>
          </a:r>
        </a:p>
        <a:p>
          <a:pPr lvl="0"/>
          <a:r>
            <a:rPr lang="en-US"/>
            <a:t>Other game states and progression requirements</a:t>
          </a:r>
        </a:p>
        <a:p>
          <a:r>
            <a:rPr lang="en-US"/>
            <a:t>As you update your progress, the tracker automatically recalculates which targets are </a:t>
          </a:r>
          <a:r>
            <a:rPr lang="en-US" b="1"/>
            <a:t>COMPLETED</a:t>
          </a:r>
          <a:r>
            <a:rPr lang="en-US"/>
            <a:t>, </a:t>
          </a:r>
          <a:r>
            <a:rPr lang="en-US" b="1"/>
            <a:t>READY</a:t>
          </a:r>
          <a:r>
            <a:rPr lang="en-US"/>
            <a:t>, or </a:t>
          </a:r>
          <a:r>
            <a:rPr lang="en-US" b="1"/>
            <a:t>BLOCKED</a:t>
          </a:r>
          <a:r>
            <a:rPr lang="en-US"/>
            <a:t>.</a:t>
          </a:r>
        </a:p>
        <a:p>
          <a:r>
            <a:rPr lang="en-US"/>
            <a:t>Most of your normal interaction with the workbook takes place on four tabs:</a:t>
          </a:r>
        </a:p>
        <a:p>
          <a:pPr lvl="0"/>
          <a:r>
            <a:rPr lang="en-US" b="1"/>
            <a:t>Dashboard</a:t>
          </a:r>
          <a:endParaRPr lang="en-US"/>
        </a:p>
        <a:p>
          <a:pPr lvl="0"/>
          <a:r>
            <a:rPr lang="en-US" b="1"/>
            <a:t>Player</a:t>
          </a:r>
          <a:endParaRPr lang="en-US"/>
        </a:p>
        <a:p>
          <a:pPr lvl="0"/>
          <a:r>
            <a:rPr lang="en-US" b="1"/>
            <a:t>Checklist</a:t>
          </a:r>
          <a:endParaRPr lang="en-US"/>
        </a:p>
        <a:p>
          <a:pPr lvl="0"/>
          <a:r>
            <a:rPr lang="en-US" b="1"/>
            <a:t>cost checklist</a:t>
          </a:r>
          <a:endParaRPr lang="en-US"/>
        </a:p>
        <a:p>
          <a:r>
            <a:rPr lang="en-US"/>
            <a:t>The other tabs primarily contain game data and calculations used by the tracker.</a:t>
          </a:r>
        </a:p>
        <a:p>
          <a:br>
            <a:rPr lang="en-US"/>
          </a:br>
          <a:r>
            <a:rPr lang="en-US" b="1"/>
            <a:t>Getting Started</a:t>
          </a:r>
        </a:p>
        <a:p>
          <a:r>
            <a:rPr lang="en-US"/>
            <a:t>When using the tracker for the first time, update your information in this order:</a:t>
          </a:r>
        </a:p>
        <a:p>
          <a:pPr lvl="0"/>
          <a:r>
            <a:rPr lang="en-US"/>
            <a:t>Update the </a:t>
          </a:r>
          <a:r>
            <a:rPr lang="en-US" b="1"/>
            <a:t>Player</a:t>
          </a:r>
          <a:r>
            <a:rPr lang="en-US"/>
            <a:t> tab.</a:t>
          </a:r>
        </a:p>
        <a:p>
          <a:pPr lvl="0"/>
          <a:r>
            <a:rPr lang="en-US"/>
            <a:t>Update completed items on the </a:t>
          </a:r>
          <a:r>
            <a:rPr lang="en-US" b="1"/>
            <a:t>Checklist</a:t>
          </a:r>
          <a:r>
            <a:rPr lang="en-US"/>
            <a:t> tab.</a:t>
          </a:r>
        </a:p>
        <a:p>
          <a:pPr lvl="0"/>
          <a:r>
            <a:rPr lang="en-US"/>
            <a:t>Update resources already paid on the </a:t>
          </a:r>
          <a:r>
            <a:rPr lang="en-US" b="1"/>
            <a:t>cost checklist</a:t>
          </a:r>
          <a:r>
            <a:rPr lang="en-US"/>
            <a:t> tab.</a:t>
          </a:r>
        </a:p>
        <a:p>
          <a:pPr lvl="0"/>
          <a:r>
            <a:rPr lang="en-US"/>
            <a:t>Return to the </a:t>
          </a:r>
          <a:r>
            <a:rPr lang="en-US" b="1"/>
            <a:t>Dashboard</a:t>
          </a:r>
          <a:r>
            <a:rPr lang="en-US"/>
            <a:t>.</a:t>
          </a:r>
        </a:p>
        <a:p>
          <a:r>
            <a:rPr lang="en-US"/>
            <a:t>Once those three areas reflect your current game, the Dashboard should give you an overview of your current progression.</a:t>
          </a:r>
        </a:p>
        <a:p>
          <a:br>
            <a:rPr lang="en-US"/>
          </a:br>
          <a:r>
            <a:rPr lang="en-US" b="1"/>
            <a:t>Using Slicers</a:t>
          </a:r>
        </a:p>
        <a:p>
          <a:r>
            <a:rPr lang="en-US"/>
            <a:t>Some sheets use Excel </a:t>
          </a:r>
          <a:r>
            <a:rPr lang="en-US" b="1"/>
            <a:t>Slicers</a:t>
          </a:r>
          <a:r>
            <a:rPr lang="en-US"/>
            <a:t> to make large tables easier to navigate.</a:t>
          </a:r>
        </a:p>
        <a:p>
          <a:r>
            <a:rPr lang="en-US"/>
            <a:t>A slicer is a set of clickable filter buttons connected to a table.</a:t>
          </a:r>
        </a:p>
        <a:p>
          <a:r>
            <a:rPr lang="en-US"/>
            <a:t>Instead of opening the normal Excel filter menus, you can simply click the value you want to see.</a:t>
          </a:r>
        </a:p>
        <a:p>
          <a:r>
            <a:rPr lang="en-US"/>
            <a:t>For example, a slicer might allow you to display only:</a:t>
          </a:r>
        </a:p>
        <a:p>
          <a:pPr lvl="0"/>
          <a:r>
            <a:rPr lang="en-US"/>
            <a:t>BUILDING</a:t>
          </a:r>
        </a:p>
        <a:p>
          <a:pPr lvl="0"/>
          <a:r>
            <a:rPr lang="en-US"/>
            <a:t>TECH</a:t>
          </a:r>
        </a:p>
        <a:p>
          <a:pPr lvl="0"/>
          <a:r>
            <a:rPr lang="en-US"/>
            <a:t>QUEST</a:t>
          </a:r>
        </a:p>
        <a:p>
          <a:pPr lvl="0"/>
          <a:r>
            <a:rPr lang="en-US"/>
            <a:t>COLLECTION</a:t>
          </a:r>
        </a:p>
        <a:p>
          <a:pPr lvl="0"/>
          <a:r>
            <a:rPr lang="en-US"/>
            <a:t>CRAFTIFACT</a:t>
          </a:r>
        </a:p>
        <a:p>
          <a:pPr lvl="0"/>
          <a:r>
            <a:rPr lang="en-US"/>
            <a:t>CITADEL</a:t>
          </a:r>
        </a:p>
        <a:p>
          <a:r>
            <a:rPr lang="en-US" b="1"/>
            <a:t>Selecting One Item</a:t>
          </a:r>
        </a:p>
        <a:p>
          <a:r>
            <a:rPr lang="en-US"/>
            <a:t>Click a slicer button once.</a:t>
          </a:r>
        </a:p>
        <a:p>
          <a:r>
            <a:rPr lang="en-US"/>
            <a:t>The table immediately filters to show only rows matching that selection.</a:t>
          </a:r>
        </a:p>
        <a:p>
          <a:r>
            <a:rPr lang="en-US" b="1"/>
            <a:t>Selecting Multiple Items</a:t>
          </a:r>
        </a:p>
        <a:p>
          <a:r>
            <a:rPr lang="en-US"/>
            <a:t>Click the </a:t>
          </a:r>
          <a:r>
            <a:rPr lang="en-US" b="1"/>
            <a:t>Multi-Select</a:t>
          </a:r>
          <a:r>
            <a:rPr lang="en-US"/>
            <a:t> button in the upper-right corner of the slicer.</a:t>
          </a:r>
        </a:p>
        <a:p>
          <a:r>
            <a:rPr lang="en-US"/>
            <a:t>Then click each item you want included.</a:t>
          </a:r>
        </a:p>
        <a:p>
          <a:r>
            <a:rPr lang="en-US"/>
            <a:t>Depending on your version of Excel, you can also hold </a:t>
          </a:r>
          <a:r>
            <a:rPr lang="en-US" b="1"/>
            <a:t>Ctrl</a:t>
          </a:r>
          <a:r>
            <a:rPr lang="en-US"/>
            <a:t> while clicking multiple slicer buttons.</a:t>
          </a:r>
        </a:p>
        <a:p>
          <a:r>
            <a:rPr lang="en-US" b="1"/>
            <a:t>Clearing a Slicer</a:t>
          </a:r>
        </a:p>
        <a:p>
          <a:r>
            <a:rPr lang="en-US"/>
            <a:t>Click the </a:t>
          </a:r>
          <a:r>
            <a:rPr lang="en-US" b="1"/>
            <a:t>Clear Filter</a:t>
          </a:r>
          <a:r>
            <a:rPr lang="en-US"/>
            <a:t> button in the upper-right corner of the slicer.</a:t>
          </a:r>
        </a:p>
        <a:p>
          <a:r>
            <a:rPr lang="en-US"/>
            <a:t>The table returns to showing all applicable records.</a:t>
          </a:r>
        </a:p>
        <a:p>
          <a:r>
            <a:rPr lang="en-US"/>
            <a:t>Slicers are very useful at reducig the size of the checklists to see what</a:t>
          </a:r>
          <a:r>
            <a:rPr lang="en-US" baseline="0"/>
            <a:t> is ready to be completed and is not yet completed</a:t>
          </a:r>
        </a:p>
        <a:p>
          <a:endParaRPr lang="en-US"/>
        </a:p>
        <a:p>
          <a:r>
            <a:rPr lang="en-US" b="1"/>
            <a:t>If Something Seems Missing</a:t>
          </a:r>
        </a:p>
        <a:p>
          <a:r>
            <a:rPr lang="en-US"/>
            <a:t>Always check the slicers before assuming data has disappeared.</a:t>
          </a:r>
        </a:p>
        <a:p>
          <a:r>
            <a:rPr lang="en-US"/>
            <a:t>A slicer selection can remain active even after you move to another part of the workbook.</a:t>
          </a:r>
        </a:p>
        <a:p>
          <a:r>
            <a:rPr lang="en-US"/>
            <a:t>If a table appears unexpectedly short or an item you expect to see is missing:</a:t>
          </a:r>
        </a:p>
        <a:p>
          <a:pPr lvl="0"/>
          <a:r>
            <a:rPr lang="en-US"/>
            <a:t>Look at the connected slicers.</a:t>
          </a:r>
        </a:p>
        <a:p>
          <a:pPr lvl="0"/>
          <a:r>
            <a:rPr lang="en-US"/>
            <a:t>Clear their filters.</a:t>
          </a:r>
        </a:p>
        <a:p>
          <a:pPr lvl="0"/>
          <a:r>
            <a:rPr lang="en-US"/>
            <a:t>Check the table again.</a:t>
          </a:r>
        </a:p>
        <a:p>
          <a:pPr lvl="0"/>
          <a:endParaRPr lang="en-US"/>
        </a:p>
        <a:p>
          <a:endParaRPr lang="en-US"/>
        </a:p>
        <a:p>
          <a:r>
            <a:rPr lang="en-US" sz="1100" b="1">
              <a:solidFill>
                <a:schemeClr val="tx1"/>
              </a:solidFill>
              <a:effectLst/>
              <a:latin typeface="+mn-lt"/>
              <a:ea typeface="+mn-ea"/>
              <a:cs typeface="+mn-cs"/>
            </a:rPr>
            <a:t>Normal Playing Routine</a:t>
          </a:r>
          <a:endParaRPr lang="en-US">
            <a:effectLst/>
          </a:endParaRPr>
        </a:p>
        <a:p>
          <a:r>
            <a:rPr lang="en-US" sz="1100">
              <a:solidFill>
                <a:schemeClr val="tx1"/>
              </a:solidFill>
              <a:effectLst/>
              <a:latin typeface="+mn-lt"/>
              <a:ea typeface="+mn-ea"/>
              <a:cs typeface="+mn-cs"/>
            </a:rPr>
            <a:t>Once the tracker has been set up, keeping it current should be simple.</a:t>
          </a:r>
          <a:endParaRPr lang="en-US">
            <a:effectLst/>
          </a:endParaRPr>
        </a:p>
        <a:p>
          <a:r>
            <a:rPr lang="en-US" sz="1100" b="1">
              <a:solidFill>
                <a:schemeClr val="tx1"/>
              </a:solidFill>
              <a:effectLst/>
              <a:latin typeface="+mn-lt"/>
              <a:ea typeface="+mn-ea"/>
              <a:cs typeface="+mn-cs"/>
            </a:rPr>
            <a:t>When your character progresses</a:t>
          </a:r>
          <a:endParaRPr lang="en-US">
            <a:effectLst/>
          </a:endParaRPr>
        </a:p>
        <a:p>
          <a:r>
            <a:rPr lang="en-US" sz="1100">
              <a:solidFill>
                <a:schemeClr val="tx1"/>
              </a:solidFill>
              <a:effectLst/>
              <a:latin typeface="+mn-lt"/>
              <a:ea typeface="+mn-ea"/>
              <a:cs typeface="+mn-cs"/>
            </a:rPr>
            <a:t>Update the relevant value on the </a:t>
          </a:r>
          <a:r>
            <a:rPr lang="en-US" sz="1100" b="1">
              <a:solidFill>
                <a:schemeClr val="tx1"/>
              </a:solidFill>
              <a:effectLst/>
              <a:latin typeface="+mn-lt"/>
              <a:ea typeface="+mn-ea"/>
              <a:cs typeface="+mn-cs"/>
            </a:rPr>
            <a:t>Player</a:t>
          </a:r>
          <a:r>
            <a:rPr lang="en-US" sz="1100">
              <a:solidFill>
                <a:schemeClr val="tx1"/>
              </a:solidFill>
              <a:effectLst/>
              <a:latin typeface="+mn-lt"/>
              <a:ea typeface="+mn-ea"/>
              <a:cs typeface="+mn-cs"/>
            </a:rPr>
            <a:t> tab.</a:t>
          </a:r>
          <a:endParaRPr lang="en-US">
            <a:effectLst/>
          </a:endParaRPr>
        </a:p>
        <a:p>
          <a:r>
            <a:rPr lang="en-US" sz="1100">
              <a:solidFill>
                <a:schemeClr val="tx1"/>
              </a:solidFill>
              <a:effectLst/>
              <a:latin typeface="+mn-lt"/>
              <a:ea typeface="+mn-ea"/>
              <a:cs typeface="+mn-cs"/>
            </a:rPr>
            <a:t>Examples include:</a:t>
          </a:r>
          <a:endParaRPr lang="en-US">
            <a:effectLst/>
          </a:endParaRPr>
        </a:p>
        <a:p>
          <a:r>
            <a:rPr lang="en-US" sz="1100">
              <a:solidFill>
                <a:schemeClr val="tx1"/>
              </a:solidFill>
              <a:effectLst/>
              <a:latin typeface="+mn-lt"/>
              <a:ea typeface="+mn-ea"/>
              <a:cs typeface="+mn-cs"/>
            </a:rPr>
            <a:t>Character Level</a:t>
          </a:r>
          <a:endParaRPr lang="en-US">
            <a:effectLst/>
          </a:endParaRPr>
        </a:p>
        <a:p>
          <a:r>
            <a:rPr lang="en-US" sz="1100">
              <a:solidFill>
                <a:schemeClr val="tx1"/>
              </a:solidFill>
              <a:effectLst/>
              <a:latin typeface="+mn-lt"/>
              <a:ea typeface="+mn-ea"/>
              <a:cs typeface="+mn-cs"/>
            </a:rPr>
            <a:t>Cartographer</a:t>
          </a:r>
          <a:endParaRPr lang="en-US">
            <a:effectLst/>
          </a:endParaRPr>
        </a:p>
        <a:p>
          <a:r>
            <a:rPr lang="en-US" sz="1100">
              <a:solidFill>
                <a:schemeClr val="tx1"/>
              </a:solidFill>
              <a:effectLst/>
              <a:latin typeface="+mn-lt"/>
              <a:ea typeface="+mn-ea"/>
              <a:cs typeface="+mn-cs"/>
            </a:rPr>
            <a:t>Cooking</a:t>
          </a:r>
          <a:endParaRPr lang="en-US">
            <a:effectLst/>
          </a:endParaRPr>
        </a:p>
        <a:p>
          <a:r>
            <a:rPr lang="en-US" sz="1100" b="1">
              <a:solidFill>
                <a:schemeClr val="tx1"/>
              </a:solidFill>
              <a:effectLst/>
              <a:latin typeface="+mn-lt"/>
              <a:ea typeface="+mn-ea"/>
              <a:cs typeface="+mn-cs"/>
            </a:rPr>
            <a:t>When you complete something</a:t>
          </a:r>
          <a:endParaRPr lang="en-US">
            <a:effectLst/>
          </a:endParaRPr>
        </a:p>
        <a:p>
          <a:r>
            <a:rPr lang="en-US" sz="1100">
              <a:solidFill>
                <a:schemeClr val="tx1"/>
              </a:solidFill>
              <a:effectLst/>
              <a:latin typeface="+mn-lt"/>
              <a:ea typeface="+mn-ea"/>
              <a:cs typeface="+mn-cs"/>
            </a:rPr>
            <a:t>Find the item on the </a:t>
          </a:r>
          <a:r>
            <a:rPr lang="en-US" sz="1100" b="1">
              <a:solidFill>
                <a:schemeClr val="tx1"/>
              </a:solidFill>
              <a:effectLst/>
              <a:latin typeface="+mn-lt"/>
              <a:ea typeface="+mn-ea"/>
              <a:cs typeface="+mn-cs"/>
            </a:rPr>
            <a:t>Checklist</a:t>
          </a:r>
          <a:r>
            <a:rPr lang="en-US" sz="1100">
              <a:solidFill>
                <a:schemeClr val="tx1"/>
              </a:solidFill>
              <a:effectLst/>
              <a:latin typeface="+mn-lt"/>
              <a:ea typeface="+mn-ea"/>
              <a:cs typeface="+mn-cs"/>
            </a:rPr>
            <a:t> and set </a:t>
          </a:r>
          <a:r>
            <a:rPr lang="en-US" sz="1100" b="1">
              <a:solidFill>
                <a:schemeClr val="tx1"/>
              </a:solidFill>
              <a:effectLst/>
              <a:latin typeface="+mn-lt"/>
              <a:ea typeface="+mn-ea"/>
              <a:cs typeface="+mn-cs"/>
            </a:rPr>
            <a:t>PlayerCompleted</a:t>
          </a:r>
          <a:r>
            <a:rPr lang="en-US" sz="1100">
              <a:solidFill>
                <a:schemeClr val="tx1"/>
              </a:solidFill>
              <a:effectLst/>
              <a:latin typeface="+mn-lt"/>
              <a:ea typeface="+mn-ea"/>
              <a:cs typeface="+mn-cs"/>
            </a:rPr>
            <a:t> to TRUE.</a:t>
          </a:r>
          <a:endParaRPr lang="en-US">
            <a:effectLst/>
          </a:endParaRPr>
        </a:p>
        <a:p>
          <a:r>
            <a:rPr lang="en-US" sz="1100" b="1">
              <a:solidFill>
                <a:schemeClr val="tx1"/>
              </a:solidFill>
              <a:effectLst/>
              <a:latin typeface="+mn-lt"/>
              <a:ea typeface="+mn-ea"/>
              <a:cs typeface="+mn-cs"/>
            </a:rPr>
            <a:t>When you pay resources toward something</a:t>
          </a:r>
          <a:endParaRPr lang="en-US">
            <a:effectLst/>
          </a:endParaRPr>
        </a:p>
        <a:p>
          <a:r>
            <a:rPr lang="en-US" sz="1100">
              <a:solidFill>
                <a:schemeClr val="tx1"/>
              </a:solidFill>
              <a:effectLst/>
              <a:latin typeface="+mn-lt"/>
              <a:ea typeface="+mn-ea"/>
              <a:cs typeface="+mn-cs"/>
            </a:rPr>
            <a:t>Find the applicable resource rows on the </a:t>
          </a:r>
          <a:r>
            <a:rPr lang="en-US" sz="1100" b="1">
              <a:solidFill>
                <a:schemeClr val="tx1"/>
              </a:solidFill>
              <a:effectLst/>
              <a:latin typeface="+mn-lt"/>
              <a:ea typeface="+mn-ea"/>
              <a:cs typeface="+mn-cs"/>
            </a:rPr>
            <a:t>cost checklist</a:t>
          </a:r>
          <a:r>
            <a:rPr lang="en-US" sz="1100">
              <a:solidFill>
                <a:schemeClr val="tx1"/>
              </a:solidFill>
              <a:effectLst/>
              <a:latin typeface="+mn-lt"/>
              <a:ea typeface="+mn-ea"/>
              <a:cs typeface="+mn-cs"/>
            </a:rPr>
            <a:t> and set </a:t>
          </a:r>
          <a:r>
            <a:rPr lang="en-US" sz="1100" b="1">
              <a:solidFill>
                <a:schemeClr val="tx1"/>
              </a:solidFill>
              <a:effectLst/>
              <a:latin typeface="+mn-lt"/>
              <a:ea typeface="+mn-ea"/>
              <a:cs typeface="+mn-cs"/>
            </a:rPr>
            <a:t>PlayerPaid</a:t>
          </a:r>
          <a:r>
            <a:rPr lang="en-US" sz="1100">
              <a:solidFill>
                <a:schemeClr val="tx1"/>
              </a:solidFill>
              <a:effectLst/>
              <a:latin typeface="+mn-lt"/>
              <a:ea typeface="+mn-ea"/>
              <a:cs typeface="+mn-cs"/>
            </a:rPr>
            <a:t> to TRUE.</a:t>
          </a:r>
          <a:endParaRPr lang="en-US">
            <a:effectLst/>
          </a:endParaRPr>
        </a:p>
        <a:p>
          <a:r>
            <a:rPr lang="en-US" sz="1100" b="1">
              <a:solidFill>
                <a:schemeClr val="tx1"/>
              </a:solidFill>
              <a:effectLst/>
              <a:latin typeface="+mn-lt"/>
              <a:ea typeface="+mn-ea"/>
              <a:cs typeface="+mn-cs"/>
            </a:rPr>
            <a:t>When deciding what to do next</a:t>
          </a:r>
          <a:endParaRPr lang="en-US">
            <a:effectLst/>
          </a:endParaRPr>
        </a:p>
        <a:p>
          <a:r>
            <a:rPr lang="en-US" sz="1100">
              <a:solidFill>
                <a:schemeClr val="tx1"/>
              </a:solidFill>
              <a:effectLst/>
              <a:latin typeface="+mn-lt"/>
              <a:ea typeface="+mn-ea"/>
              <a:cs typeface="+mn-cs"/>
            </a:rPr>
            <a:t>Return to the </a:t>
          </a:r>
          <a:r>
            <a:rPr lang="en-US" sz="1100" b="1">
              <a:solidFill>
                <a:schemeClr val="tx1"/>
              </a:solidFill>
              <a:effectLst/>
              <a:latin typeface="+mn-lt"/>
              <a:ea typeface="+mn-ea"/>
              <a:cs typeface="+mn-cs"/>
            </a:rPr>
            <a:t>Dashboard</a:t>
          </a:r>
          <a:r>
            <a:rPr lang="en-US" sz="1100">
              <a:solidFill>
                <a:schemeClr val="tx1"/>
              </a:solidFill>
              <a:effectLst/>
              <a:latin typeface="+mn-lt"/>
              <a:ea typeface="+mn-ea"/>
              <a:cs typeface="+mn-cs"/>
            </a:rPr>
            <a:t>.</a:t>
          </a:r>
          <a:endParaRPr lang="en-US">
            <a:effectLst/>
          </a:endParaRPr>
        </a:p>
        <a:p>
          <a:r>
            <a:rPr lang="en-US" sz="1100">
              <a:solidFill>
                <a:schemeClr val="tx1"/>
              </a:solidFill>
              <a:effectLst/>
              <a:latin typeface="+mn-lt"/>
              <a:ea typeface="+mn-ea"/>
              <a:cs typeface="+mn-cs"/>
            </a:rPr>
            <a:t>Use:</a:t>
          </a:r>
          <a:endParaRPr lang="en-US">
            <a:effectLst/>
          </a:endParaRPr>
        </a:p>
        <a:p>
          <a:r>
            <a:rPr lang="en-US" sz="1100" b="1">
              <a:solidFill>
                <a:schemeClr val="tx1"/>
              </a:solidFill>
              <a:effectLst/>
              <a:latin typeface="+mn-lt"/>
              <a:ea typeface="+mn-ea"/>
              <a:cs typeface="+mn-cs"/>
            </a:rPr>
            <a:t>Current Cost</a:t>
          </a:r>
          <a:r>
            <a:rPr lang="en-US" sz="1100">
              <a:solidFill>
                <a:schemeClr val="tx1"/>
              </a:solidFill>
              <a:effectLst/>
              <a:latin typeface="+mn-lt"/>
              <a:ea typeface="+mn-ea"/>
              <a:cs typeface="+mn-cs"/>
            </a:rPr>
            <a:t> for things you can currently fund</a:t>
          </a:r>
          <a:endParaRPr lang="en-US">
            <a:effectLst/>
          </a:endParaRPr>
        </a:p>
        <a:p>
          <a:r>
            <a:rPr lang="en-US" sz="1100" b="1">
              <a:solidFill>
                <a:schemeClr val="tx1"/>
              </a:solidFill>
              <a:effectLst/>
              <a:latin typeface="+mn-lt"/>
              <a:ea typeface="+mn-ea"/>
              <a:cs typeface="+mn-cs"/>
            </a:rPr>
            <a:t>One Away</a:t>
          </a:r>
          <a:r>
            <a:rPr lang="en-US" sz="1100">
              <a:solidFill>
                <a:schemeClr val="tx1"/>
              </a:solidFill>
              <a:effectLst/>
              <a:latin typeface="+mn-lt"/>
              <a:ea typeface="+mn-ea"/>
              <a:cs typeface="+mn-cs"/>
            </a:rPr>
            <a:t> for near-future targets</a:t>
          </a:r>
          <a:endParaRPr lang="en-US">
            <a:effectLst/>
          </a:endParaRPr>
        </a:p>
        <a:p>
          <a:r>
            <a:rPr lang="en-US" sz="1100" b="1">
              <a:solidFill>
                <a:schemeClr val="tx1"/>
              </a:solidFill>
              <a:effectLst/>
              <a:latin typeface="+mn-lt"/>
              <a:ea typeface="+mn-ea"/>
              <a:cs typeface="+mn-cs"/>
            </a:rPr>
            <a:t>Open Quests</a:t>
          </a:r>
          <a:r>
            <a:rPr lang="en-US" sz="1100">
              <a:solidFill>
                <a:schemeClr val="tx1"/>
              </a:solidFill>
              <a:effectLst/>
              <a:latin typeface="+mn-lt"/>
              <a:ea typeface="+mn-ea"/>
              <a:cs typeface="+mn-cs"/>
            </a:rPr>
            <a:t> for outstanding quest objectives</a:t>
          </a:r>
          <a:endParaRPr lang="en-US">
            <a:effectLst/>
          </a:endParaRPr>
        </a:p>
        <a:p>
          <a:r>
            <a:rPr lang="en-US" sz="1100" b="1">
              <a:solidFill>
                <a:schemeClr val="tx1"/>
              </a:solidFill>
              <a:effectLst/>
              <a:latin typeface="+mn-lt"/>
              <a:ea typeface="+mn-ea"/>
              <a:cs typeface="+mn-cs"/>
            </a:rPr>
            <a:t>Pending Actions</a:t>
          </a:r>
          <a:r>
            <a:rPr lang="en-US" sz="1100">
              <a:solidFill>
                <a:schemeClr val="tx1"/>
              </a:solidFill>
              <a:effectLst/>
              <a:latin typeface="+mn-lt"/>
              <a:ea typeface="+mn-ea"/>
              <a:cs typeface="+mn-cs"/>
            </a:rPr>
            <a:t> to see what actions unlock</a:t>
          </a:r>
          <a:endParaRPr lang="en-US">
            <a:effectLst/>
          </a:endParaRPr>
        </a:p>
        <a:p>
          <a:r>
            <a:rPr lang="en-US" sz="1100" b="1">
              <a:solidFill>
                <a:schemeClr val="tx1"/>
              </a:solidFill>
              <a:effectLst/>
              <a:latin typeface="+mn-lt"/>
              <a:ea typeface="+mn-ea"/>
              <a:cs typeface="+mn-cs"/>
            </a:rPr>
            <a:t>Funded not Complete</a:t>
          </a:r>
          <a:r>
            <a:rPr lang="en-US" sz="1100">
              <a:solidFill>
                <a:schemeClr val="tx1"/>
              </a:solidFill>
              <a:effectLst/>
              <a:latin typeface="+mn-lt"/>
              <a:ea typeface="+mn-ea"/>
              <a:cs typeface="+mn-cs"/>
            </a:rPr>
            <a:t> for things you may need to finish or mark complete</a:t>
          </a:r>
          <a:endParaRPr lang="en-US">
            <a:effectLst/>
          </a:endParaRPr>
        </a:p>
        <a:p>
          <a:r>
            <a:rPr lang="en-US" sz="1100" b="1">
              <a:solidFill>
                <a:schemeClr val="tx1"/>
              </a:solidFill>
              <a:effectLst/>
              <a:latin typeface="+mn-lt"/>
              <a:ea typeface="+mn-ea"/>
              <a:cs typeface="+mn-cs"/>
            </a:rPr>
            <a:t>Resource Lookup</a:t>
          </a:r>
          <a:r>
            <a:rPr lang="en-US" sz="1100">
              <a:solidFill>
                <a:schemeClr val="tx1"/>
              </a:solidFill>
              <a:effectLst/>
              <a:latin typeface="+mn-lt"/>
              <a:ea typeface="+mn-ea"/>
              <a:cs typeface="+mn-cs"/>
            </a:rPr>
            <a:t> when deciding where to spend a particular resource</a:t>
          </a:r>
          <a:endParaRPr lang="en-US">
            <a:effectLst/>
          </a:endParaRPr>
        </a:p>
        <a:p>
          <a:r>
            <a:rPr lang="en-US" sz="1100" b="1">
              <a:solidFill>
                <a:schemeClr val="tx1"/>
              </a:solidFill>
              <a:effectLst/>
              <a:latin typeface="+mn-lt"/>
              <a:ea typeface="+mn-ea"/>
              <a:cs typeface="+mn-cs"/>
            </a:rPr>
            <a:t>Recommended</a:t>
          </a:r>
          <a:r>
            <a:rPr lang="en-US" sz="1100">
              <a:solidFill>
                <a:schemeClr val="tx1"/>
              </a:solidFill>
              <a:effectLst/>
              <a:latin typeface="+mn-lt"/>
              <a:ea typeface="+mn-ea"/>
              <a:cs typeface="+mn-cs"/>
            </a:rPr>
            <a:t> building order as a progression guide</a:t>
          </a:r>
          <a:endParaRPr lang="en-US">
            <a:effectLst/>
          </a:endParaRPr>
        </a:p>
        <a:p>
          <a:r>
            <a:rPr lang="en-US" sz="1100">
              <a:solidFill>
                <a:schemeClr val="tx1"/>
              </a:solidFill>
              <a:effectLst/>
              <a:latin typeface="+mn-lt"/>
              <a:ea typeface="+mn-ea"/>
              <a:cs typeface="+mn-cs"/>
            </a:rPr>
            <a:t>As long as the Player, Checklist, and cost checklist remain current, the rest of the tracker should update automatically.</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A Note About Tracker Recommendations</a:t>
          </a:r>
          <a:endParaRPr lang="en-US">
            <a:effectLst/>
          </a:endParaRPr>
        </a:p>
        <a:p>
          <a:r>
            <a:rPr lang="en-US" sz="1100">
              <a:solidFill>
                <a:schemeClr val="tx1"/>
              </a:solidFill>
              <a:effectLst/>
              <a:latin typeface="+mn-lt"/>
              <a:ea typeface="+mn-ea"/>
              <a:cs typeface="+mn-cs"/>
            </a:rPr>
            <a:t>The tracker is intended to provide information, not dictate how you play.</a:t>
          </a:r>
          <a:endParaRPr lang="en-US">
            <a:effectLst/>
          </a:endParaRPr>
        </a:p>
        <a:p>
          <a:r>
            <a:rPr lang="en-US" sz="1100">
              <a:solidFill>
                <a:schemeClr val="tx1"/>
              </a:solidFill>
              <a:effectLst/>
              <a:latin typeface="+mn-lt"/>
              <a:ea typeface="+mn-ea"/>
              <a:cs typeface="+mn-cs"/>
            </a:rPr>
            <a:t>The recommended building order represents a suggested progression strategy, while PlayerSort allows you to establish your own priorities.</a:t>
          </a:r>
          <a:endParaRPr lang="en-US">
            <a:effectLst/>
          </a:endParaRPr>
        </a:p>
        <a:p>
          <a:r>
            <a:rPr lang="en-US" sz="1100">
              <a:solidFill>
                <a:schemeClr val="tx1"/>
              </a:solidFill>
              <a:effectLst/>
              <a:latin typeface="+mn-lt"/>
              <a:ea typeface="+mn-ea"/>
              <a:cs typeface="+mn-cs"/>
            </a:rPr>
            <a:t>You can freely choose a different path.</a:t>
          </a:r>
          <a:endParaRPr lang="en-US">
            <a:effectLst/>
          </a:endParaRPr>
        </a:p>
        <a:p>
          <a:r>
            <a:rPr lang="en-US" sz="1100">
              <a:solidFill>
                <a:schemeClr val="tx1"/>
              </a:solidFill>
              <a:effectLst/>
              <a:latin typeface="+mn-lt"/>
              <a:ea typeface="+mn-ea"/>
              <a:cs typeface="+mn-cs"/>
            </a:rPr>
            <a:t>The tracker will continue recalculating available targets based on what you actually complete.</a:t>
          </a:r>
          <a:endParaRPr lang="en-US">
            <a:effectLst/>
          </a:endParaRPr>
        </a:p>
        <a:p>
          <a:endParaRPr lang="en-US"/>
        </a:p>
        <a:p>
          <a:r>
            <a:rPr lang="en-US" b="1"/>
            <a:t>Inspector</a:t>
          </a:r>
        </a:p>
        <a:p>
          <a:r>
            <a:rPr lang="en-US"/>
            <a:t>Used for inspecting and validating relationships within the tracker.</a:t>
          </a:r>
        </a:p>
        <a:p>
          <a:r>
            <a:rPr lang="en-US"/>
            <a:t>This tool is useful for seeing what</a:t>
          </a:r>
          <a:r>
            <a:rPr lang="en-US" baseline="0"/>
            <a:t> predecessors or successors are tied to a certain item. </a:t>
          </a:r>
        </a:p>
        <a:p>
          <a:r>
            <a:rPr lang="en-US" baseline="0"/>
            <a:t>Type an item into A2 and it will tell you the current status in A3 as well as the predecessors (going back 3 levels) and the immediate successors for that item. </a:t>
          </a:r>
          <a:endParaRPr lang="en-US"/>
        </a:p>
        <a:p>
          <a:r>
            <a:rPr lang="en-US"/>
            <a:t>This tool allows</a:t>
          </a:r>
          <a:r>
            <a:rPr lang="en-US" baseline="0"/>
            <a:t> you to see what is blocking a certain quest of what is needed to build a certain building.</a:t>
          </a:r>
          <a:br>
            <a:rPr lang="en-US"/>
          </a:br>
          <a:br>
            <a:rPr lang="en-US" sz="1100">
              <a:solidFill>
                <a:schemeClr val="tx1"/>
              </a:solidFill>
              <a:effectLst/>
              <a:latin typeface="+mn-lt"/>
              <a:ea typeface="+mn-ea"/>
              <a:cs typeface="+mn-cs"/>
            </a:rPr>
          </a:br>
          <a:r>
            <a:rPr lang="en-US" sz="1100" b="1">
              <a:solidFill>
                <a:schemeClr val="tx1"/>
              </a:solidFill>
              <a:effectLst/>
              <a:latin typeface="+mn-lt"/>
              <a:ea typeface="+mn-ea"/>
              <a:cs typeface="+mn-cs"/>
            </a:rPr>
            <a:t>Understanding Status</a:t>
          </a:r>
          <a:endParaRPr lang="en-US">
            <a:effectLst/>
          </a:endParaRPr>
        </a:p>
        <a:p>
          <a:r>
            <a:rPr lang="en-US" sz="1100">
              <a:solidFill>
                <a:schemeClr val="tx1"/>
              </a:solidFill>
              <a:effectLst/>
              <a:latin typeface="+mn-lt"/>
              <a:ea typeface="+mn-ea"/>
              <a:cs typeface="+mn-cs"/>
            </a:rPr>
            <a:t>The tracker primarily uses three progression statuses.</a:t>
          </a:r>
          <a:endParaRPr lang="en-US">
            <a:effectLst/>
          </a:endParaRPr>
        </a:p>
        <a:p>
          <a:r>
            <a:rPr lang="en-US" sz="1100" b="1">
              <a:solidFill>
                <a:schemeClr val="tx1"/>
              </a:solidFill>
              <a:effectLst/>
              <a:latin typeface="+mn-lt"/>
              <a:ea typeface="+mn-ea"/>
              <a:cs typeface="+mn-cs"/>
            </a:rPr>
            <a:t>COMPLETED</a:t>
          </a:r>
          <a:endParaRPr lang="en-US">
            <a:effectLst/>
          </a:endParaRPr>
        </a:p>
        <a:p>
          <a:r>
            <a:rPr lang="en-US" sz="1100">
              <a:solidFill>
                <a:schemeClr val="tx1"/>
              </a:solidFill>
              <a:effectLst/>
              <a:latin typeface="+mn-lt"/>
              <a:ea typeface="+mn-ea"/>
              <a:cs typeface="+mn-cs"/>
            </a:rPr>
            <a:t>The target has been completed.</a:t>
          </a:r>
          <a:endParaRPr lang="en-US">
            <a:effectLst/>
          </a:endParaRPr>
        </a:p>
        <a:p>
          <a:r>
            <a:rPr lang="en-US" sz="1100">
              <a:solidFill>
                <a:schemeClr val="tx1"/>
              </a:solidFill>
              <a:effectLst/>
              <a:latin typeface="+mn-lt"/>
              <a:ea typeface="+mn-ea"/>
              <a:cs typeface="+mn-cs"/>
            </a:rPr>
            <a:t>No additional action is required.</a:t>
          </a:r>
          <a:endParaRPr lang="en-US">
            <a:effectLst/>
          </a:endParaRPr>
        </a:p>
        <a:p>
          <a:r>
            <a:rPr lang="en-US" sz="1100" b="1">
              <a:solidFill>
                <a:schemeClr val="tx1"/>
              </a:solidFill>
              <a:effectLst/>
              <a:latin typeface="+mn-lt"/>
              <a:ea typeface="+mn-ea"/>
              <a:cs typeface="+mn-cs"/>
            </a:rPr>
            <a:t>READY</a:t>
          </a:r>
          <a:endParaRPr lang="en-US">
            <a:effectLst/>
          </a:endParaRPr>
        </a:p>
        <a:p>
          <a:r>
            <a:rPr lang="en-US" sz="1100">
              <a:solidFill>
                <a:schemeClr val="tx1"/>
              </a:solidFill>
              <a:effectLst/>
              <a:latin typeface="+mn-lt"/>
              <a:ea typeface="+mn-ea"/>
              <a:cs typeface="+mn-cs"/>
            </a:rPr>
            <a:t>All required dependencies have been satisfied.</a:t>
          </a:r>
          <a:endParaRPr lang="en-US">
            <a:effectLst/>
          </a:endParaRPr>
        </a:p>
        <a:p>
          <a:r>
            <a:rPr lang="en-US" sz="1100">
              <a:solidFill>
                <a:schemeClr val="tx1"/>
              </a:solidFill>
              <a:effectLst/>
              <a:latin typeface="+mn-lt"/>
              <a:ea typeface="+mn-ea"/>
              <a:cs typeface="+mn-cs"/>
            </a:rPr>
            <a:t>The target is available to work on.</a:t>
          </a:r>
          <a:endParaRPr lang="en-US">
            <a:effectLst/>
          </a:endParaRPr>
        </a:p>
        <a:p>
          <a:r>
            <a:rPr lang="en-US" sz="1100">
              <a:solidFill>
                <a:schemeClr val="tx1"/>
              </a:solidFill>
              <a:effectLst/>
              <a:latin typeface="+mn-lt"/>
              <a:ea typeface="+mn-ea"/>
              <a:cs typeface="+mn-cs"/>
            </a:rPr>
            <a:t>A READY target may still require resources before it can actually be purchased or completed.</a:t>
          </a:r>
          <a:endParaRPr lang="en-US">
            <a:effectLst/>
          </a:endParaRPr>
        </a:p>
        <a:p>
          <a:r>
            <a:rPr lang="en-US" sz="1100" b="1">
              <a:solidFill>
                <a:schemeClr val="tx1"/>
              </a:solidFill>
              <a:effectLst/>
              <a:latin typeface="+mn-lt"/>
              <a:ea typeface="+mn-ea"/>
              <a:cs typeface="+mn-cs"/>
            </a:rPr>
            <a:t>BLOCKED</a:t>
          </a:r>
          <a:endParaRPr lang="en-US">
            <a:effectLst/>
          </a:endParaRPr>
        </a:p>
        <a:p>
          <a:r>
            <a:rPr lang="en-US" sz="1100">
              <a:solidFill>
                <a:schemeClr val="tx1"/>
              </a:solidFill>
              <a:effectLst/>
              <a:latin typeface="+mn-lt"/>
              <a:ea typeface="+mn-ea"/>
              <a:cs typeface="+mn-cs"/>
            </a:rPr>
            <a:t>One or more dependencies have not yet been satisfied.</a:t>
          </a:r>
          <a:endParaRPr lang="en-US">
            <a:effectLst/>
          </a:endParaRPr>
        </a:p>
        <a:p>
          <a:r>
            <a:rPr lang="en-US" sz="1100">
              <a:solidFill>
                <a:schemeClr val="tx1"/>
              </a:solidFill>
              <a:effectLst/>
              <a:latin typeface="+mn-lt"/>
              <a:ea typeface="+mn-ea"/>
              <a:cs typeface="+mn-cs"/>
            </a:rPr>
            <a:t>The target is not currently available.</a:t>
          </a:r>
          <a:endParaRPr lang="en-US">
            <a:effectLst/>
          </a:endParaRPr>
        </a:p>
        <a:p>
          <a:r>
            <a:rPr lang="en-US" sz="1100">
              <a:solidFill>
                <a:schemeClr val="tx1"/>
              </a:solidFill>
              <a:effectLst/>
              <a:latin typeface="+mn-lt"/>
              <a:ea typeface="+mn-ea"/>
              <a:cs typeface="+mn-cs"/>
            </a:rPr>
            <a:t>Use the Dashboard's </a:t>
          </a:r>
          <a:r>
            <a:rPr lang="en-US" sz="1100" b="1">
              <a:solidFill>
                <a:schemeClr val="tx1"/>
              </a:solidFill>
              <a:effectLst/>
              <a:latin typeface="+mn-lt"/>
              <a:ea typeface="+mn-ea"/>
              <a:cs typeface="+mn-cs"/>
            </a:rPr>
            <a:t>One Away</a:t>
          </a:r>
          <a:r>
            <a:rPr lang="en-US" sz="1100">
              <a:solidFill>
                <a:schemeClr val="tx1"/>
              </a:solidFill>
              <a:effectLst/>
              <a:latin typeface="+mn-lt"/>
              <a:ea typeface="+mn-ea"/>
              <a:cs typeface="+mn-cs"/>
            </a:rPr>
            <a:t> section and dependency information to determine what is preventing progression.</a:t>
          </a:r>
          <a:endParaRPr lang="en-US"/>
        </a:p>
      </xdr:txBody>
    </xdr:sp>
    <xdr:clientData/>
  </xdr:oneCellAnchor>
  <xdr:oneCellAnchor>
    <xdr:from>
      <xdr:col>12</xdr:col>
      <xdr:colOff>0</xdr:colOff>
      <xdr:row>2</xdr:row>
      <xdr:rowOff>6350</xdr:rowOff>
    </xdr:from>
    <xdr:ext cx="11495070" cy="16798317"/>
    <xdr:sp macro="" textlink="">
      <xdr:nvSpPr>
        <xdr:cNvPr id="3" name="TextBox 2">
          <a:extLst>
            <a:ext uri="{FF2B5EF4-FFF2-40B4-BE49-F238E27FC236}">
              <a16:creationId xmlns:a16="http://schemas.microsoft.com/office/drawing/2014/main" id="{92E5FFA8-B41E-AD82-F33E-20A0DB899ED7}"/>
            </a:ext>
          </a:extLst>
        </xdr:cNvPr>
        <xdr:cNvSpPr txBox="1"/>
      </xdr:nvSpPr>
      <xdr:spPr>
        <a:xfrm>
          <a:off x="12382500" y="368300"/>
          <a:ext cx="11495070" cy="16798317"/>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t>Nonograms Katana Tracker</a:t>
          </a:r>
        </a:p>
        <a:p>
          <a:endParaRPr lang="en-US"/>
        </a:p>
        <a:p>
          <a:r>
            <a:rPr lang="en-US" b="1"/>
            <a:t>Player Tab</a:t>
          </a:r>
        </a:p>
        <a:p>
          <a:r>
            <a:rPr lang="en-US"/>
            <a:t>The </a:t>
          </a:r>
          <a:r>
            <a:rPr lang="en-US" b="1"/>
            <a:t>Player</a:t>
          </a:r>
          <a:r>
            <a:rPr lang="en-US"/>
            <a:t> tab contains information about your character that cannot be determined from the normal completion checklist.</a:t>
          </a:r>
        </a:p>
        <a:p>
          <a:r>
            <a:rPr lang="en-US"/>
            <a:t>Currently this includes:</a:t>
          </a:r>
        </a:p>
        <a:p>
          <a:pPr lvl="0"/>
          <a:r>
            <a:rPr lang="en-US"/>
            <a:t>Character Level</a:t>
          </a:r>
        </a:p>
        <a:p>
          <a:pPr lvl="0"/>
          <a:r>
            <a:rPr lang="en-US"/>
            <a:t>Cartographer level</a:t>
          </a:r>
        </a:p>
        <a:p>
          <a:pPr lvl="0"/>
          <a:r>
            <a:rPr lang="en-US"/>
            <a:t>Cooking level</a:t>
          </a:r>
        </a:p>
        <a:p>
          <a:r>
            <a:rPr lang="en-US"/>
            <a:t>Enter your current value for each item in the </a:t>
          </a:r>
          <a:r>
            <a:rPr lang="en-US" b="1"/>
            <a:t>Value</a:t>
          </a:r>
          <a:r>
            <a:rPr lang="en-US"/>
            <a:t> column.</a:t>
          </a:r>
        </a:p>
        <a:p>
          <a:r>
            <a:rPr lang="en-US"/>
            <a:t>For example, if your character is level 80, enter:</a:t>
          </a:r>
        </a:p>
        <a:p>
          <a:r>
            <a:rPr lang="en-US" sz="1100">
              <a:solidFill>
                <a:schemeClr val="tx1"/>
              </a:solidFill>
              <a:latin typeface="+mn-lt"/>
              <a:ea typeface="+mn-ea"/>
              <a:cs typeface="+mn-cs"/>
            </a:rPr>
            <a:t>80</a:t>
          </a:r>
          <a:endParaRPr lang="en-US"/>
        </a:p>
        <a:p>
          <a:r>
            <a:rPr lang="en-US"/>
            <a:t>beside Character Level.</a:t>
          </a:r>
        </a:p>
        <a:p>
          <a:r>
            <a:rPr lang="en-US"/>
            <a:t>The tracker uses these values automatically when checking requirements such as Character Level 40 or Cartographer Level 3. You do not need to separately mark each lower character level as completed.</a:t>
          </a:r>
        </a:p>
        <a:p>
          <a:r>
            <a:rPr lang="en-US" b="1"/>
            <a:t>Player Type</a:t>
          </a:r>
        </a:p>
        <a:p>
          <a:r>
            <a:rPr lang="en-US"/>
            <a:t>The Player tab also contains the </a:t>
          </a:r>
          <a:r>
            <a:rPr lang="en-US" b="1"/>
            <a:t>Player Type</a:t>
          </a:r>
          <a:r>
            <a:rPr lang="en-US"/>
            <a:t> selection.</a:t>
          </a:r>
        </a:p>
        <a:p>
          <a:r>
            <a:rPr lang="en-US"/>
            <a:t>Choose:</a:t>
          </a:r>
        </a:p>
        <a:p>
          <a:pPr lvl="0"/>
          <a:r>
            <a:rPr lang="en-US" b="1"/>
            <a:t>Active</a:t>
          </a:r>
          <a:endParaRPr lang="en-US"/>
        </a:p>
        <a:p>
          <a:pPr lvl="0"/>
          <a:r>
            <a:rPr lang="en-US" b="1"/>
            <a:t>Passive</a:t>
          </a:r>
          <a:endParaRPr lang="en-US"/>
        </a:p>
        <a:p>
          <a:r>
            <a:rPr lang="en-US"/>
            <a:t>This controls which building progression order is shown in the tracker.</a:t>
          </a:r>
        </a:p>
        <a:p>
          <a:r>
            <a:rPr lang="en-US"/>
            <a:t>The recommended building order is based on the game's recommended progression and differs depending on whether you play actively or rely more heavily on passive income.</a:t>
          </a:r>
        </a:p>
        <a:p>
          <a:r>
            <a:rPr lang="en-US"/>
            <a:t>Changing this selection automatically changes the recommended building order shown elsewhere in the workbook.</a:t>
          </a:r>
        </a:p>
        <a:p>
          <a:br>
            <a:rPr lang="en-US"/>
          </a:br>
          <a:endParaRPr lang="en-US"/>
        </a:p>
        <a:p>
          <a:r>
            <a:rPr lang="en-US" b="1"/>
            <a:t>Checklist Tab</a:t>
          </a:r>
        </a:p>
        <a:p>
          <a:r>
            <a:rPr lang="en-US"/>
            <a:t>The </a:t>
          </a:r>
          <a:r>
            <a:rPr lang="en-US" b="1"/>
            <a:t>Checklist</a:t>
          </a:r>
          <a:r>
            <a:rPr lang="en-US"/>
            <a:t> is the primary place where you record completed game progress.</a:t>
          </a:r>
        </a:p>
        <a:p>
          <a:r>
            <a:rPr lang="en-US"/>
            <a:t>Each row represents a trackable target such as:</a:t>
          </a:r>
        </a:p>
        <a:p>
          <a:pPr lvl="0"/>
          <a:r>
            <a:rPr lang="en-US"/>
            <a:t>Building level</a:t>
          </a:r>
        </a:p>
        <a:p>
          <a:pPr lvl="0"/>
          <a:r>
            <a:rPr lang="en-US"/>
            <a:t>Technology</a:t>
          </a:r>
        </a:p>
        <a:p>
          <a:pPr lvl="0"/>
          <a:r>
            <a:rPr lang="en-US"/>
            <a:t>Quest state</a:t>
          </a:r>
        </a:p>
        <a:p>
          <a:pPr lvl="0"/>
          <a:r>
            <a:rPr lang="en-US"/>
            <a:t>Collection</a:t>
          </a:r>
        </a:p>
        <a:p>
          <a:pPr lvl="0"/>
          <a:r>
            <a:rPr lang="en-US"/>
            <a:t>Craftifact</a:t>
          </a:r>
        </a:p>
        <a:p>
          <a:pPr lvl="0"/>
          <a:r>
            <a:rPr lang="en-US"/>
            <a:t>Citadel upgrade</a:t>
          </a:r>
        </a:p>
        <a:p>
          <a:pPr lvl="0"/>
          <a:r>
            <a:rPr lang="en-US"/>
            <a:t>Other trackable game state</a:t>
          </a:r>
        </a:p>
        <a:p>
          <a:r>
            <a:rPr lang="en-US" b="1"/>
            <a:t>PlayerCompleted</a:t>
          </a:r>
        </a:p>
        <a:p>
          <a:r>
            <a:rPr lang="en-US"/>
            <a:t>Use the </a:t>
          </a:r>
          <a:r>
            <a:rPr lang="en-US" b="1"/>
            <a:t>PlayerCompleted</a:t>
          </a:r>
          <a:r>
            <a:rPr lang="en-US"/>
            <a:t> column to indicate that you have completed an item in the game.</a:t>
          </a:r>
        </a:p>
        <a:p>
          <a:r>
            <a:rPr lang="en-US"/>
            <a:t>Set the value to </a:t>
          </a:r>
          <a:r>
            <a:rPr lang="en-US" b="1"/>
            <a:t>TRUE</a:t>
          </a:r>
          <a:r>
            <a:rPr lang="en-US"/>
            <a:t> when the item is complete.</a:t>
          </a:r>
        </a:p>
        <a:p>
          <a:r>
            <a:rPr lang="en-US"/>
            <a:t>Leave it </a:t>
          </a:r>
          <a:r>
            <a:rPr lang="en-US" b="1"/>
            <a:t>FALSE</a:t>
          </a:r>
          <a:r>
            <a:rPr lang="en-US"/>
            <a:t> until it has actually been completed.</a:t>
          </a:r>
        </a:p>
        <a:p>
          <a:r>
            <a:rPr lang="en-US"/>
            <a:t>You generally should not need to modify any of the calculated columns.</a:t>
          </a:r>
        </a:p>
        <a:p>
          <a:r>
            <a:rPr lang="en-US" b="1"/>
            <a:t>Important</a:t>
          </a:r>
        </a:p>
        <a:p>
          <a:r>
            <a:rPr lang="en-US"/>
            <a:t>Some progression states are calculated automatically and should not be manually recreated.</a:t>
          </a:r>
        </a:p>
        <a:p>
          <a:r>
            <a:rPr lang="en-US"/>
            <a:t>For example, character-level requirements are calculated from the </a:t>
          </a:r>
          <a:r>
            <a:rPr lang="en-US" b="1"/>
            <a:t>Player</a:t>
          </a:r>
          <a:r>
            <a:rPr lang="en-US"/>
            <a:t> tab.</a:t>
          </a:r>
        </a:p>
        <a:p>
          <a:r>
            <a:rPr lang="en-US"/>
            <a:t>Likewise, some automatic targets are calculated from their dependencies rather than requiring a manual check.</a:t>
          </a:r>
        </a:p>
        <a:p>
          <a:br>
            <a:rPr lang="en-US"/>
          </a:br>
          <a:endParaRPr lang="en-US"/>
        </a:p>
        <a:p>
          <a:r>
            <a:rPr lang="en-US" b="1"/>
            <a:t>PlayerSort</a:t>
          </a:r>
        </a:p>
        <a:p>
          <a:r>
            <a:rPr lang="en-US"/>
            <a:t>The </a:t>
          </a:r>
          <a:r>
            <a:rPr lang="en-US" b="1"/>
            <a:t>PlayerSort</a:t>
          </a:r>
          <a:r>
            <a:rPr lang="en-US"/>
            <a:t> column allows you to assign your own priority to targets.</a:t>
          </a:r>
        </a:p>
        <a:p>
          <a:r>
            <a:rPr lang="en-US"/>
            <a:t>Lower numbers have higher priority.</a:t>
          </a:r>
        </a:p>
        <a:p>
          <a:r>
            <a:rPr lang="en-US"/>
            <a:t>For example:</a:t>
          </a:r>
        </a:p>
        <a:p>
          <a:pPr lvl="0"/>
          <a:r>
            <a:rPr lang="en-US" sz="1100">
              <a:solidFill>
                <a:schemeClr val="tx1"/>
              </a:solidFill>
              <a:latin typeface="+mn-lt"/>
              <a:ea typeface="+mn-ea"/>
              <a:cs typeface="+mn-cs"/>
            </a:rPr>
            <a:t>1</a:t>
          </a:r>
          <a:r>
            <a:rPr lang="en-US"/>
            <a:t> = highest priority</a:t>
          </a:r>
        </a:p>
        <a:p>
          <a:pPr lvl="0"/>
          <a:r>
            <a:rPr lang="en-US" sz="1100">
              <a:solidFill>
                <a:schemeClr val="tx1"/>
              </a:solidFill>
              <a:latin typeface="+mn-lt"/>
              <a:ea typeface="+mn-ea"/>
              <a:cs typeface="+mn-cs"/>
            </a:rPr>
            <a:t>2</a:t>
          </a:r>
          <a:r>
            <a:rPr lang="en-US"/>
            <a:t> = second priority</a:t>
          </a:r>
        </a:p>
        <a:p>
          <a:pPr lvl="0"/>
          <a:r>
            <a:rPr lang="en-US" sz="1100">
              <a:solidFill>
                <a:schemeClr val="tx1"/>
              </a:solidFill>
              <a:latin typeface="+mn-lt"/>
              <a:ea typeface="+mn-ea"/>
              <a:cs typeface="+mn-cs"/>
            </a:rPr>
            <a:t>3</a:t>
          </a:r>
          <a:r>
            <a:rPr lang="en-US"/>
            <a:t> = third priority</a:t>
          </a:r>
        </a:p>
        <a:p>
          <a:r>
            <a:rPr lang="en-US"/>
            <a:t>You do not need to assign a number to every item.</a:t>
          </a:r>
        </a:p>
        <a:p>
          <a:r>
            <a:rPr lang="en-US"/>
            <a:t>The Dashboard uses PlayerSort when displaying certain lists, allowing you to control the order in which targets appear.</a:t>
          </a:r>
        </a:p>
        <a:p>
          <a:r>
            <a:rPr lang="en-US"/>
            <a:t>This is useful if several things are available but you have decided that one particular building, technology, quest, or other target is more important to you.</a:t>
          </a:r>
        </a:p>
        <a:p>
          <a:br>
            <a:rPr lang="en-US"/>
          </a:br>
          <a:endParaRPr lang="en-US"/>
        </a:p>
        <a:p>
          <a:r>
            <a:rPr lang="en-US" b="1"/>
            <a:t>Recommended</a:t>
          </a:r>
        </a:p>
        <a:p>
          <a:r>
            <a:rPr lang="en-US"/>
            <a:t>For buildings, the </a:t>
          </a:r>
          <a:r>
            <a:rPr lang="en-US" b="1"/>
            <a:t>Recommended</a:t>
          </a:r>
          <a:r>
            <a:rPr lang="en-US"/>
            <a:t> column shows the recommended construction order based on the Player Type selected on the Player tab.</a:t>
          </a:r>
        </a:p>
        <a:p>
          <a:r>
            <a:rPr lang="en-US"/>
            <a:t>If </a:t>
          </a:r>
          <a:r>
            <a:rPr lang="en-US" b="1"/>
            <a:t>Active</a:t>
          </a:r>
          <a:r>
            <a:rPr lang="en-US"/>
            <a:t> is selected, the Active recommendation order is used.</a:t>
          </a:r>
        </a:p>
        <a:p>
          <a:r>
            <a:rPr lang="en-US"/>
            <a:t>If </a:t>
          </a:r>
          <a:r>
            <a:rPr lang="en-US" b="1"/>
            <a:t>Passive</a:t>
          </a:r>
          <a:r>
            <a:rPr lang="en-US"/>
            <a:t> is selected, the Passive recommendation order is used.</a:t>
          </a:r>
        </a:p>
        <a:p>
          <a:r>
            <a:rPr lang="en-US"/>
            <a:t>This value is informational. You are not required to follow the recommended order.</a:t>
          </a:r>
        </a:p>
        <a:p>
          <a:br>
            <a:rPr lang="en-US"/>
          </a:br>
          <a:endParaRPr lang="en-US"/>
        </a:p>
        <a:p>
          <a:r>
            <a:rPr lang="en-US" b="1"/>
            <a:t>Successors</a:t>
          </a:r>
        </a:p>
        <a:p>
          <a:r>
            <a:rPr lang="en-US"/>
            <a:t>The </a:t>
          </a:r>
          <a:r>
            <a:rPr lang="en-US" b="1"/>
            <a:t>Successors</a:t>
          </a:r>
          <a:r>
            <a:rPr lang="en-US"/>
            <a:t> column identifies items that depend on the current target.</a:t>
          </a:r>
        </a:p>
        <a:p>
          <a:r>
            <a:rPr lang="en-US"/>
            <a:t>This can be useful when deciding what to complete next.</a:t>
          </a:r>
        </a:p>
        <a:p>
          <a:r>
            <a:rPr lang="en-US"/>
            <a:t>For example, completing one state or upgrade may unlock several later targets. The Successors field allows you to see what progression is waiting behind that requirement.</a:t>
          </a:r>
        </a:p>
        <a:p>
          <a:br>
            <a:rPr lang="en-US"/>
          </a:br>
          <a:endParaRPr lang="en-US"/>
        </a:p>
        <a:p>
          <a:r>
            <a:rPr lang="en-US" b="1"/>
            <a:t>ChainAwareStatus</a:t>
          </a:r>
        </a:p>
        <a:p>
          <a:r>
            <a:rPr lang="en-US"/>
            <a:t>This field shows the current calculated progression status of the target while considering its dependency chain.</a:t>
          </a:r>
        </a:p>
        <a:p>
          <a:r>
            <a:rPr lang="en-US"/>
            <a:t>The tracker calculates this automatically.</a:t>
          </a:r>
        </a:p>
        <a:p>
          <a:r>
            <a:rPr lang="en-US"/>
            <a:t>Do not manually edit it.</a:t>
          </a:r>
        </a:p>
        <a:p>
          <a:br>
            <a:rPr lang="en-US"/>
          </a:br>
          <a:endParaRPr lang="en-US"/>
        </a:p>
        <a:p>
          <a:r>
            <a:rPr lang="en-US" b="1"/>
            <a:t>Cost Checklist Tab</a:t>
          </a:r>
        </a:p>
        <a:p>
          <a:r>
            <a:rPr lang="en-US"/>
            <a:t>The </a:t>
          </a:r>
          <a:r>
            <a:rPr lang="en-US" b="1"/>
            <a:t>cost checklist</a:t>
          </a:r>
          <a:r>
            <a:rPr lang="en-US"/>
            <a:t> tracks individual resources required to purchase or complete targets.</a:t>
          </a:r>
        </a:p>
        <a:p>
          <a:r>
            <a:rPr lang="en-US"/>
            <a:t>A target may require several different resources, so a single target can have multiple rows.</a:t>
          </a:r>
        </a:p>
        <a:p>
          <a:r>
            <a:rPr lang="en-US"/>
            <a:t>For example, an upgrade might require:</a:t>
          </a:r>
        </a:p>
        <a:p>
          <a:pPr lvl="0"/>
          <a:r>
            <a:rPr lang="en-US"/>
            <a:t>Coins</a:t>
          </a:r>
        </a:p>
        <a:p>
          <a:pPr lvl="0"/>
          <a:r>
            <a:rPr lang="en-US"/>
            <a:t>Planks</a:t>
          </a:r>
        </a:p>
        <a:p>
          <a:pPr lvl="0"/>
          <a:r>
            <a:rPr lang="en-US"/>
            <a:t>Steel</a:t>
          </a:r>
        </a:p>
        <a:p>
          <a:pPr lvl="0"/>
          <a:r>
            <a:rPr lang="en-US"/>
            <a:t>Mechanisms</a:t>
          </a:r>
        </a:p>
        <a:p>
          <a:pPr lvl="0"/>
          <a:r>
            <a:rPr lang="en-US"/>
            <a:t>Blueprints</a:t>
          </a:r>
        </a:p>
        <a:p>
          <a:r>
            <a:rPr lang="en-US"/>
            <a:t>Each resource is tracked separately.</a:t>
          </a:r>
        </a:p>
        <a:p>
          <a:r>
            <a:rPr lang="en-US" b="1"/>
            <a:t>PlayerPaid</a:t>
          </a:r>
        </a:p>
        <a:p>
          <a:r>
            <a:rPr lang="en-US"/>
            <a:t>This is the primary field you update on this tab.</a:t>
          </a:r>
        </a:p>
        <a:p>
          <a:r>
            <a:rPr lang="en-US"/>
            <a:t>Set </a:t>
          </a:r>
          <a:r>
            <a:rPr lang="en-US" b="1"/>
            <a:t>PlayerPaid</a:t>
          </a:r>
          <a:r>
            <a:rPr lang="en-US"/>
            <a:t> to TRUE after you have paid or committed that particular resource requirement in the game.</a:t>
          </a:r>
        </a:p>
        <a:p>
          <a:r>
            <a:rPr lang="en-US"/>
            <a:t>Leave it FALSE if the resource is still required.</a:t>
          </a:r>
        </a:p>
        <a:p>
          <a:r>
            <a:rPr lang="en-US"/>
            <a:t>This allows partially funded targets to be tracked correctly.</a:t>
          </a:r>
        </a:p>
        <a:p>
          <a:r>
            <a:rPr lang="en-US"/>
            <a:t>For example, if an upgrade requires six resources and you have already supplied four of them, mark those four rows TRUE and leave the remaining two FALSE.</a:t>
          </a:r>
        </a:p>
        <a:p>
          <a:r>
            <a:rPr lang="en-US"/>
            <a:t>The Dashboard will then show that target as partially funded and identify the remaining resources.</a:t>
          </a:r>
        </a:p>
        <a:p>
          <a:r>
            <a:rPr lang="en-US" b="1"/>
            <a:t>Important</a:t>
          </a:r>
        </a:p>
        <a:p>
          <a:r>
            <a:rPr lang="en-US"/>
            <a:t>Mark a resource as paid based on whether it has actually been committed to the target in the game, not simply because you currently possess enough of that resource.</a:t>
          </a:r>
        </a:p>
        <a:p>
          <a:r>
            <a:rPr lang="en-US"/>
            <a:t>The purpose of this checklist is to track what the target still requires.</a:t>
          </a:r>
        </a:p>
        <a:p>
          <a:br>
            <a:rPr lang="en-US"/>
          </a:br>
          <a:endParaRPr lang="en-US" sz="1100"/>
        </a:p>
      </xdr:txBody>
    </xdr:sp>
    <xdr:clientData/>
  </xdr:oneCellAnchor>
  <xdr:oneCellAnchor>
    <xdr:from>
      <xdr:col>32</xdr:col>
      <xdr:colOff>0</xdr:colOff>
      <xdr:row>2</xdr:row>
      <xdr:rowOff>0</xdr:rowOff>
    </xdr:from>
    <xdr:ext cx="8564268" cy="14731597"/>
    <xdr:sp macro="" textlink="">
      <xdr:nvSpPr>
        <xdr:cNvPr id="4" name="TextBox 3">
          <a:extLst>
            <a:ext uri="{FF2B5EF4-FFF2-40B4-BE49-F238E27FC236}">
              <a16:creationId xmlns:a16="http://schemas.microsoft.com/office/drawing/2014/main" id="{DE3D4FD4-B9A8-4D9D-0BA3-93D194CA3E43}"/>
            </a:ext>
          </a:extLst>
        </xdr:cNvPr>
        <xdr:cNvSpPr txBox="1"/>
      </xdr:nvSpPr>
      <xdr:spPr>
        <a:xfrm>
          <a:off x="24574500" y="361950"/>
          <a:ext cx="8564268" cy="14731597"/>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t>Nonograms Katana Tracker</a:t>
          </a:r>
        </a:p>
        <a:p>
          <a:endParaRPr lang="en-US"/>
        </a:p>
        <a:p>
          <a:r>
            <a:rPr lang="en-US" b="1"/>
            <a:t>Dashboard</a:t>
          </a:r>
        </a:p>
        <a:p>
          <a:r>
            <a:rPr lang="en-US"/>
            <a:t>The </a:t>
          </a:r>
          <a:r>
            <a:rPr lang="en-US" b="1"/>
            <a:t>Dashboard</a:t>
          </a:r>
          <a:r>
            <a:rPr lang="en-US"/>
            <a:t> is the main player-facing overview.</a:t>
          </a:r>
        </a:p>
        <a:p>
          <a:r>
            <a:rPr lang="en-US"/>
            <a:t>It combines progression, dependencies, costs, quests, and player priorities into several sections.</a:t>
          </a:r>
        </a:p>
        <a:p>
          <a:r>
            <a:rPr lang="en-US"/>
            <a:t>You generally should not type directly into Dashboard results. They are calculated from the rest of the tracker.</a:t>
          </a:r>
        </a:p>
        <a:p>
          <a:br>
            <a:rPr lang="en-US"/>
          </a:br>
          <a:endParaRPr lang="en-US"/>
        </a:p>
        <a:p>
          <a:r>
            <a:rPr lang="en-US" b="1"/>
            <a:t>Current Cost</a:t>
          </a:r>
        </a:p>
        <a:p>
          <a:r>
            <a:rPr lang="en-US"/>
            <a:t>The </a:t>
          </a:r>
          <a:r>
            <a:rPr lang="en-US" b="1"/>
            <a:t>Current Cost</a:t>
          </a:r>
          <a:r>
            <a:rPr lang="en-US"/>
            <a:t> section shows READY targets that still have unpaid resource requirements.</a:t>
          </a:r>
        </a:p>
        <a:p>
          <a:r>
            <a:rPr lang="en-US"/>
            <a:t>It includes:</a:t>
          </a:r>
        </a:p>
        <a:p>
          <a:pPr lvl="0"/>
          <a:r>
            <a:rPr lang="en-US" b="1"/>
            <a:t>Target</a:t>
          </a:r>
          <a:r>
            <a:rPr lang="en-US"/>
            <a:t> – Name of the target</a:t>
          </a:r>
        </a:p>
        <a:p>
          <a:pPr lvl="0"/>
          <a:r>
            <a:rPr lang="en-US" b="1"/>
            <a:t>Type</a:t>
          </a:r>
          <a:r>
            <a:rPr lang="en-US"/>
            <a:t> – Building, Technology, Quest, Collection, Craftifact, Citadel, etc.</a:t>
          </a:r>
        </a:p>
        <a:p>
          <a:pPr lvl="0"/>
          <a:r>
            <a:rPr lang="en-US" b="1"/>
            <a:t>Sort</a:t>
          </a:r>
          <a:r>
            <a:rPr lang="en-US"/>
            <a:t> – Your PlayerSort priority</a:t>
          </a:r>
        </a:p>
        <a:p>
          <a:pPr lvl="0"/>
          <a:r>
            <a:rPr lang="en-US" b="1"/>
            <a:t>Funded</a:t>
          </a:r>
          <a:r>
            <a:rPr lang="en-US"/>
            <a:t> – How much of the target's cost has already been paid</a:t>
          </a:r>
        </a:p>
        <a:p>
          <a:pPr lvl="0"/>
          <a:r>
            <a:rPr lang="en-US" b="1"/>
            <a:t>Remaining</a:t>
          </a:r>
          <a:r>
            <a:rPr lang="en-US"/>
            <a:t> – Number of resource requirements still unpaid</a:t>
          </a:r>
        </a:p>
        <a:p>
          <a:pPr lvl="0"/>
          <a:r>
            <a:rPr lang="en-US" b="1"/>
            <a:t>Cost Details</a:t>
          </a:r>
          <a:r>
            <a:rPr lang="en-US"/>
            <a:t> – Remaining resources and quantities</a:t>
          </a:r>
        </a:p>
        <a:p>
          <a:r>
            <a:rPr lang="en-US"/>
            <a:t>Targets are ordered using </a:t>
          </a:r>
          <a:r>
            <a:rPr lang="en-US" b="1"/>
            <a:t>PlayerSort</a:t>
          </a:r>
          <a:r>
            <a:rPr lang="en-US"/>
            <a:t>, allowing you to place the things you care about most near the top.</a:t>
          </a:r>
        </a:p>
        <a:p>
          <a:r>
            <a:rPr lang="en-US"/>
            <a:t>A target disappears from Current Cost when all of its required resources have been marked paid.</a:t>
          </a:r>
        </a:p>
        <a:p>
          <a:br>
            <a:rPr lang="en-US"/>
          </a:br>
          <a:endParaRPr lang="en-US"/>
        </a:p>
        <a:p>
          <a:r>
            <a:rPr lang="en-US" b="1"/>
            <a:t>One Away</a:t>
          </a:r>
        </a:p>
        <a:p>
          <a:r>
            <a:rPr lang="en-US"/>
            <a:t>The </a:t>
          </a:r>
          <a:r>
            <a:rPr lang="en-US" b="1"/>
            <a:t>One Away</a:t>
          </a:r>
          <a:r>
            <a:rPr lang="en-US"/>
            <a:t> section identifies targets that are only </a:t>
          </a:r>
          <a:r>
            <a:rPr lang="en-US" b="1"/>
            <a:t>one dependency away</a:t>
          </a:r>
          <a:r>
            <a:rPr lang="en-US"/>
            <a:t> from becoming available.</a:t>
          </a:r>
        </a:p>
        <a:p>
          <a:r>
            <a:rPr lang="en-US"/>
            <a:t>This is useful for planning ahead.</a:t>
          </a:r>
        </a:p>
        <a:p>
          <a:r>
            <a:rPr lang="en-US"/>
            <a:t>Rather than only showing what you can do now, One Away shows what is sitting immediately behind your current progression.</a:t>
          </a:r>
        </a:p>
        <a:p>
          <a:r>
            <a:rPr lang="en-US"/>
            <a:t>The section identifies:</a:t>
          </a:r>
        </a:p>
        <a:p>
          <a:pPr lvl="0"/>
          <a:r>
            <a:rPr lang="en-US"/>
            <a:t>Target</a:t>
          </a:r>
        </a:p>
        <a:p>
          <a:pPr lvl="0"/>
          <a:r>
            <a:rPr lang="en-US"/>
            <a:t>Target Type</a:t>
          </a:r>
        </a:p>
        <a:p>
          <a:pPr lvl="0"/>
          <a:r>
            <a:rPr lang="en-US"/>
            <a:t>Missing requirement</a:t>
          </a:r>
        </a:p>
        <a:p>
          <a:pPr lvl="0"/>
          <a:r>
            <a:rPr lang="en-US"/>
            <a:t>Relevant cost information</a:t>
          </a:r>
        </a:p>
        <a:p>
          <a:r>
            <a:rPr lang="en-US"/>
            <a:t>For example, if a building upgrade only requires one additional technology, quest, state, or building level before becoming READY, it can appear here.</a:t>
          </a:r>
        </a:p>
        <a:p>
          <a:r>
            <a:rPr lang="en-US"/>
            <a:t>This is one of the most useful sections for answering:</a:t>
          </a:r>
        </a:p>
        <a:p>
          <a:r>
            <a:rPr lang="en-US" b="1"/>
            <a:t>"What should I work on now if I want to unlock more things?"</a:t>
          </a:r>
          <a:endParaRPr lang="en-US"/>
        </a:p>
        <a:p>
          <a:endParaRPr lang="en-US"/>
        </a:p>
        <a:p>
          <a:endParaRPr lang="en-US"/>
        </a:p>
        <a:p>
          <a:r>
            <a:rPr lang="en-US" b="1"/>
            <a:t>Open Quests</a:t>
          </a:r>
        </a:p>
        <a:p>
          <a:r>
            <a:rPr lang="en-US"/>
            <a:t>The </a:t>
          </a:r>
          <a:r>
            <a:rPr lang="en-US" b="1"/>
            <a:t>Open Quests</a:t>
          </a:r>
          <a:r>
            <a:rPr lang="en-US"/>
            <a:t> section displays quests that are currently active and their outstanding objectives.</a:t>
          </a:r>
        </a:p>
        <a:p>
          <a:r>
            <a:rPr lang="en-US"/>
            <a:t>The two primary columns are:</a:t>
          </a:r>
        </a:p>
        <a:p>
          <a:pPr lvl="0"/>
          <a:r>
            <a:rPr lang="en-US" b="1"/>
            <a:t>Active Quest</a:t>
          </a:r>
          <a:endParaRPr lang="en-US"/>
        </a:p>
        <a:p>
          <a:pPr lvl="0"/>
          <a:r>
            <a:rPr lang="en-US" b="1"/>
            <a:t>Outstanding Objective</a:t>
          </a:r>
          <a:endParaRPr lang="en-US"/>
        </a:p>
        <a:p>
          <a:r>
            <a:rPr lang="en-US"/>
            <a:t>A quest can appear multiple times when it has multiple unfinished objectives.</a:t>
          </a:r>
        </a:p>
        <a:p>
          <a:r>
            <a:rPr lang="en-US"/>
            <a:t>As objectives are completed through the appropriate Checklist entries or other tracked progression, they disappear from the outstanding-objective list.</a:t>
          </a:r>
        </a:p>
        <a:p>
          <a:r>
            <a:rPr lang="en-US"/>
            <a:t>This section is particularly useful for chapter quests and quests with several simultaneous requirements.</a:t>
          </a:r>
        </a:p>
        <a:p>
          <a:br>
            <a:rPr lang="en-US"/>
          </a:br>
          <a:endParaRPr lang="en-US"/>
        </a:p>
        <a:p>
          <a:r>
            <a:rPr lang="en-US" b="1"/>
            <a:t>Pending Actions</a:t>
          </a:r>
        </a:p>
        <a:p>
          <a:r>
            <a:rPr lang="en-US"/>
            <a:t>The </a:t>
          </a:r>
          <a:r>
            <a:rPr lang="en-US" b="1"/>
            <a:t>Pending Actions</a:t>
          </a:r>
          <a:r>
            <a:rPr lang="en-US"/>
            <a:t> section highlights actions that can be taken and what those actions unlock.</a:t>
          </a:r>
        </a:p>
        <a:p>
          <a:r>
            <a:rPr lang="en-US"/>
            <a:t>It contains:</a:t>
          </a:r>
        </a:p>
        <a:p>
          <a:pPr lvl="0"/>
          <a:r>
            <a:rPr lang="en-US" b="1"/>
            <a:t>Action</a:t>
          </a:r>
          <a:endParaRPr lang="en-US"/>
        </a:p>
        <a:p>
          <a:pPr lvl="0"/>
          <a:r>
            <a:rPr lang="en-US" b="1"/>
            <a:t>Unlocks</a:t>
          </a:r>
          <a:endParaRPr lang="en-US"/>
        </a:p>
        <a:p>
          <a:r>
            <a:rPr lang="en-US"/>
            <a:t>Use this section to identify progression choices that may immediately open additional content.</a:t>
          </a:r>
        </a:p>
        <a:p>
          <a:r>
            <a:rPr lang="en-US"/>
            <a:t>It is especially useful when several possible actions are available and you want to know which ones have useful successors.</a:t>
          </a:r>
        </a:p>
        <a:p>
          <a:br>
            <a:rPr lang="en-US"/>
          </a:br>
          <a:endParaRPr lang="en-US"/>
        </a:p>
        <a:p>
          <a:r>
            <a:rPr lang="en-US" b="1"/>
            <a:t>Funded Not Complete</a:t>
          </a:r>
        </a:p>
        <a:p>
          <a:r>
            <a:rPr lang="en-US"/>
            <a:t>The </a:t>
          </a:r>
          <a:r>
            <a:rPr lang="en-US" b="1"/>
            <a:t>Funded not Complete</a:t>
          </a:r>
          <a:r>
            <a:rPr lang="en-US"/>
            <a:t> section identifies targets for which all required costs have been paid but the target itself has not yet been marked complete.</a:t>
          </a:r>
        </a:p>
        <a:p>
          <a:r>
            <a:rPr lang="en-US"/>
            <a:t>This is a useful reminder.</a:t>
          </a:r>
        </a:p>
        <a:p>
          <a:r>
            <a:rPr lang="en-US"/>
            <a:t>If something appears here, check the game to determine whether:</a:t>
          </a:r>
        </a:p>
        <a:p>
          <a:pPr lvl="0"/>
          <a:r>
            <a:rPr lang="en-US"/>
            <a:t>the upgrade still needs to finish,</a:t>
          </a:r>
        </a:p>
        <a:p>
          <a:pPr lvl="0"/>
          <a:r>
            <a:rPr lang="en-US"/>
            <a:t>another in-game action is required, or</a:t>
          </a:r>
        </a:p>
        <a:p>
          <a:pPr lvl="0"/>
          <a:r>
            <a:rPr lang="en-US"/>
            <a:t>you simply forgot to mark the target complete on the Checklist.</a:t>
          </a:r>
        </a:p>
        <a:p>
          <a:r>
            <a:rPr lang="en-US"/>
            <a:t>Once the target is completed and recorded, it should disappear from this section.</a:t>
          </a:r>
        </a:p>
        <a:p>
          <a:br>
            <a:rPr lang="en-US"/>
          </a:br>
          <a:endParaRPr lang="en-US"/>
        </a:p>
        <a:p>
          <a:r>
            <a:rPr lang="en-US" b="1"/>
            <a:t>Resource Lookup</a:t>
          </a:r>
        </a:p>
        <a:p>
          <a:r>
            <a:rPr lang="en-US"/>
            <a:t>The Dashboard includes a </a:t>
          </a:r>
          <a:r>
            <a:rPr lang="en-US" b="1"/>
            <a:t>Select Resource</a:t>
          </a:r>
          <a:r>
            <a:rPr lang="en-US"/>
            <a:t> tool.</a:t>
          </a:r>
        </a:p>
        <a:p>
          <a:r>
            <a:rPr lang="en-US"/>
            <a:t>Use the dropdown to choose a resource.</a:t>
          </a:r>
        </a:p>
        <a:p>
          <a:r>
            <a:rPr lang="en-US"/>
            <a:t>Only resources currently needed by READY, unpaid targets are available for selection.</a:t>
          </a:r>
        </a:p>
        <a:p>
          <a:r>
            <a:rPr lang="en-US"/>
            <a:t>After selecting a resource, the tracker displays the READY targets that currently require that resource and the quantity required for each.</a:t>
          </a:r>
        </a:p>
        <a:p>
          <a:r>
            <a:rPr lang="en-US"/>
            <a:t>This is useful when deciding where to spend a resource.</a:t>
          </a:r>
        </a:p>
        <a:p>
          <a:r>
            <a:rPr lang="en-US"/>
            <a:t>For example, if several READY targets require Mechanisms, selecting </a:t>
          </a:r>
          <a:r>
            <a:rPr lang="en-US" b="1"/>
            <a:t>mechanism</a:t>
          </a:r>
          <a:r>
            <a:rPr lang="en-US"/>
            <a:t> allows you to see which targets are competing for them.</a:t>
          </a:r>
        </a:p>
        <a:p>
          <a:r>
            <a:rPr lang="en-US"/>
            <a:t>This turns the Dashboard into a quick answer to:</a:t>
          </a:r>
        </a:p>
        <a:p>
          <a:r>
            <a:rPr lang="en-US" b="1"/>
            <a:t>"What currently needs this resource?"</a:t>
          </a:r>
          <a:endParaRPr lang="en-US"/>
        </a:p>
        <a:p>
          <a:br>
            <a:rPr lang="en-US"/>
          </a:br>
          <a:endParaRPr lang="en-US"/>
        </a:p>
        <a:p>
          <a:r>
            <a:rPr lang="en-US" b="1"/>
            <a:t>Recommended Tab</a:t>
          </a:r>
        </a:p>
        <a:p>
          <a:r>
            <a:rPr lang="en-US"/>
            <a:t>The </a:t>
          </a:r>
          <a:r>
            <a:rPr lang="en-US" b="1"/>
            <a:t>Recommended</a:t>
          </a:r>
          <a:r>
            <a:rPr lang="en-US"/>
            <a:t> tab contains the recommended building progression for both Active and Passive play styles.</a:t>
          </a:r>
        </a:p>
        <a:p>
          <a:r>
            <a:rPr lang="en-US"/>
            <a:t>The tracker uses canonical TargetIDs internally so that the recommendation list can be matched directly to buildings in the rest of the workbook.</a:t>
          </a:r>
        </a:p>
        <a:p>
          <a:r>
            <a:rPr lang="en-US"/>
            <a:t>Completed buildings are visually identified so you can quickly see your position in the recommended progression.</a:t>
          </a:r>
        </a:p>
        <a:p>
          <a:r>
            <a:rPr lang="en-US"/>
            <a:t>The recommendation list is guidance rather than a requirement.</a:t>
          </a:r>
        </a:p>
        <a:p>
          <a:r>
            <a:rPr lang="en-US"/>
            <a:t>Your own </a:t>
          </a:r>
          <a:r>
            <a:rPr lang="en-US" b="1"/>
            <a:t>PlayerSort</a:t>
          </a:r>
          <a:r>
            <a:rPr lang="en-US"/>
            <a:t> priorities can override the order in which you personally choose to pursue available targets.</a:t>
          </a:r>
        </a:p>
        <a:p>
          <a:br>
            <a:rPr lang="en-US"/>
          </a:br>
          <a:endParaRPr lang="en-US"/>
        </a:p>
        <a:p>
          <a:endParaRPr lang="en-US"/>
        </a:p>
        <a:p>
          <a:endParaRPr lang="en-US" sz="1100"/>
        </a:p>
      </xdr:txBody>
    </xdr:sp>
    <xdr:clientData/>
  </xdr:oneCellAnchor>
  <xdr:oneCellAnchor>
    <xdr:from>
      <xdr:col>47</xdr:col>
      <xdr:colOff>285750</xdr:colOff>
      <xdr:row>3</xdr:row>
      <xdr:rowOff>0</xdr:rowOff>
    </xdr:from>
    <xdr:ext cx="184731" cy="264560"/>
    <xdr:sp macro="" textlink="">
      <xdr:nvSpPr>
        <xdr:cNvPr id="5" name="TextBox 4">
          <a:extLst>
            <a:ext uri="{FF2B5EF4-FFF2-40B4-BE49-F238E27FC236}">
              <a16:creationId xmlns:a16="http://schemas.microsoft.com/office/drawing/2014/main" id="{95555A2F-4DD3-76BF-AAA3-0BA874B03D9F}"/>
            </a:ext>
          </a:extLst>
        </xdr:cNvPr>
        <xdr:cNvSpPr txBox="1"/>
      </xdr:nvSpPr>
      <xdr:spPr>
        <a:xfrm>
          <a:off x="34004250" y="542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47</xdr:col>
      <xdr:colOff>0</xdr:colOff>
      <xdr:row>2</xdr:row>
      <xdr:rowOff>0</xdr:rowOff>
    </xdr:from>
    <xdr:ext cx="8809848" cy="16626090"/>
    <xdr:sp macro="" textlink="">
      <xdr:nvSpPr>
        <xdr:cNvPr id="6" name="TextBox 5">
          <a:extLst>
            <a:ext uri="{FF2B5EF4-FFF2-40B4-BE49-F238E27FC236}">
              <a16:creationId xmlns:a16="http://schemas.microsoft.com/office/drawing/2014/main" id="{4DF2310D-F5A8-00E0-89FF-B4144FE14985}"/>
            </a:ext>
          </a:extLst>
        </xdr:cNvPr>
        <xdr:cNvSpPr txBox="1"/>
      </xdr:nvSpPr>
      <xdr:spPr>
        <a:xfrm>
          <a:off x="33718500" y="361950"/>
          <a:ext cx="8809848" cy="16626090"/>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Other Tabs</a:t>
          </a:r>
          <a:endParaRPr lang="en-US">
            <a:effectLst/>
          </a:endParaRPr>
        </a:p>
        <a:p>
          <a:r>
            <a:rPr lang="en-US" sz="1100">
              <a:solidFill>
                <a:schemeClr val="tx1"/>
              </a:solidFill>
              <a:effectLst/>
              <a:latin typeface="+mn-lt"/>
              <a:ea typeface="+mn-ea"/>
              <a:cs typeface="+mn-cs"/>
            </a:rPr>
            <a:t>Most players will not need to edit the remaining tabs during normal use.</a:t>
          </a:r>
          <a:endParaRPr lang="en-US">
            <a:effectLst/>
          </a:endParaRPr>
        </a:p>
        <a:p>
          <a:r>
            <a:rPr lang="en-US" sz="1100" b="1">
              <a:solidFill>
                <a:schemeClr val="tx1"/>
              </a:solidFill>
              <a:effectLst/>
              <a:latin typeface="+mn-lt"/>
              <a:ea typeface="+mn-ea"/>
              <a:cs typeface="+mn-cs"/>
            </a:rPr>
            <a:t>TargetStatus</a:t>
          </a:r>
          <a:endParaRPr lang="en-US">
            <a:effectLst/>
          </a:endParaRPr>
        </a:p>
        <a:p>
          <a:r>
            <a:rPr lang="en-US" sz="1100">
              <a:solidFill>
                <a:schemeClr val="tx1"/>
              </a:solidFill>
              <a:effectLst/>
              <a:latin typeface="+mn-lt"/>
              <a:ea typeface="+mn-ea"/>
              <a:cs typeface="+mn-cs"/>
            </a:rPr>
            <a:t>This is the tracker's progression engine.</a:t>
          </a:r>
          <a:endParaRPr lang="en-US">
            <a:effectLst/>
          </a:endParaRPr>
        </a:p>
        <a:p>
          <a:r>
            <a:rPr lang="en-US" sz="1100">
              <a:solidFill>
                <a:schemeClr val="tx1"/>
              </a:solidFill>
              <a:effectLst/>
              <a:latin typeface="+mn-lt"/>
              <a:ea typeface="+mn-ea"/>
              <a:cs typeface="+mn-cs"/>
            </a:rPr>
            <a:t>It calculates information such as:</a:t>
          </a:r>
          <a:endParaRPr lang="en-US">
            <a:effectLst/>
          </a:endParaRPr>
        </a:p>
        <a:p>
          <a:r>
            <a:rPr lang="en-US" sz="1100">
              <a:solidFill>
                <a:schemeClr val="tx1"/>
              </a:solidFill>
              <a:effectLst/>
              <a:latin typeface="+mn-lt"/>
              <a:ea typeface="+mn-ea"/>
              <a:cs typeface="+mn-cs"/>
            </a:rPr>
            <a:t>Player completion</a:t>
          </a:r>
          <a:endParaRPr lang="en-US">
            <a:effectLst/>
          </a:endParaRPr>
        </a:p>
        <a:p>
          <a:r>
            <a:rPr lang="en-US" sz="1100">
              <a:solidFill>
                <a:schemeClr val="tx1"/>
              </a:solidFill>
              <a:effectLst/>
              <a:latin typeface="+mn-lt"/>
              <a:ea typeface="+mn-ea"/>
              <a:cs typeface="+mn-cs"/>
            </a:rPr>
            <a:t>Dependency totals</a:t>
          </a:r>
          <a:endParaRPr lang="en-US">
            <a:effectLst/>
          </a:endParaRPr>
        </a:p>
        <a:p>
          <a:r>
            <a:rPr lang="en-US" sz="1100">
              <a:solidFill>
                <a:schemeClr val="tx1"/>
              </a:solidFill>
              <a:effectLst/>
              <a:latin typeface="+mn-lt"/>
              <a:ea typeface="+mn-ea"/>
              <a:cs typeface="+mn-cs"/>
            </a:rPr>
            <a:t>Completed dependencies</a:t>
          </a:r>
          <a:endParaRPr lang="en-US">
            <a:effectLst/>
          </a:endParaRPr>
        </a:p>
        <a:p>
          <a:r>
            <a:rPr lang="en-US" sz="1100">
              <a:solidFill>
                <a:schemeClr val="tx1"/>
              </a:solidFill>
              <a:effectLst/>
              <a:latin typeface="+mn-lt"/>
              <a:ea typeface="+mn-ea"/>
              <a:cs typeface="+mn-cs"/>
            </a:rPr>
            <a:t>Missing dependencies</a:t>
          </a:r>
          <a:endParaRPr lang="en-US">
            <a:effectLst/>
          </a:endParaRPr>
        </a:p>
        <a:p>
          <a:r>
            <a:rPr lang="en-US" sz="1100">
              <a:solidFill>
                <a:schemeClr val="tx1"/>
              </a:solidFill>
              <a:effectLst/>
              <a:latin typeface="+mn-lt"/>
              <a:ea typeface="+mn-ea"/>
              <a:cs typeface="+mn-cs"/>
            </a:rPr>
            <a:t>Status</a:t>
          </a:r>
          <a:endParaRPr lang="en-US">
            <a:effectLst/>
          </a:endParaRPr>
        </a:p>
        <a:p>
          <a:r>
            <a:rPr lang="en-US" sz="1100">
              <a:solidFill>
                <a:schemeClr val="tx1"/>
              </a:solidFill>
              <a:effectLst/>
              <a:latin typeface="+mn-lt"/>
              <a:ea typeface="+mn-ea"/>
              <a:cs typeface="+mn-cs"/>
            </a:rPr>
            <a:t>Funding status</a:t>
          </a:r>
          <a:endParaRPr lang="en-US">
            <a:effectLst/>
          </a:endParaRPr>
        </a:p>
        <a:p>
          <a:r>
            <a:rPr lang="en-US" sz="1100">
              <a:solidFill>
                <a:schemeClr val="tx1"/>
              </a:solidFill>
              <a:effectLst/>
              <a:latin typeface="+mn-lt"/>
              <a:ea typeface="+mn-ea"/>
              <a:cs typeface="+mn-cs"/>
            </a:rPr>
            <a:t>This tab drives much of the Dashboard.</a:t>
          </a:r>
          <a:endParaRPr lang="en-US">
            <a:effectLst/>
          </a:endParaRPr>
        </a:p>
        <a:p>
          <a:r>
            <a:rPr lang="en-US" sz="1100" b="1">
              <a:solidFill>
                <a:schemeClr val="tx1"/>
              </a:solidFill>
              <a:effectLst/>
              <a:latin typeface="+mn-lt"/>
              <a:ea typeface="+mn-ea"/>
              <a:cs typeface="+mn-cs"/>
            </a:rPr>
            <a:t>Do not manually edit calculated values on this tab.</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Targets</a:t>
          </a:r>
          <a:endParaRPr lang="en-US">
            <a:effectLst/>
          </a:endParaRPr>
        </a:p>
        <a:p>
          <a:r>
            <a:rPr lang="en-US" sz="1100">
              <a:solidFill>
                <a:schemeClr val="tx1"/>
              </a:solidFill>
              <a:effectLst/>
              <a:latin typeface="+mn-lt"/>
              <a:ea typeface="+mn-ea"/>
              <a:cs typeface="+mn-cs"/>
            </a:rPr>
            <a:t>Contains the canonical list of targets recognized by the tracker.</a:t>
          </a:r>
          <a:endParaRPr lang="en-US">
            <a:effectLst/>
          </a:endParaRPr>
        </a:p>
        <a:p>
          <a:r>
            <a:rPr lang="en-US" sz="1100">
              <a:solidFill>
                <a:schemeClr val="tx1"/>
              </a:solidFill>
              <a:effectLst/>
              <a:latin typeface="+mn-lt"/>
              <a:ea typeface="+mn-ea"/>
              <a:cs typeface="+mn-cs"/>
            </a:rPr>
            <a:t>Each target has a unique TargetID used throughout the workbook.</a:t>
          </a:r>
          <a:endParaRPr lang="en-US">
            <a:effectLst/>
          </a:endParaRPr>
        </a:p>
        <a:p>
          <a:r>
            <a:rPr lang="en-US" sz="1100">
              <a:solidFill>
                <a:schemeClr val="tx1"/>
              </a:solidFill>
              <a:effectLst/>
              <a:latin typeface="+mn-lt"/>
              <a:ea typeface="+mn-ea"/>
              <a:cs typeface="+mn-cs"/>
            </a:rPr>
            <a:t>This is one of the core data tables and normally should not be edited during gameplay.</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Dependencies</a:t>
          </a:r>
          <a:endParaRPr lang="en-US">
            <a:effectLst/>
          </a:endParaRPr>
        </a:p>
        <a:p>
          <a:r>
            <a:rPr lang="en-US" sz="1100">
              <a:solidFill>
                <a:schemeClr val="tx1"/>
              </a:solidFill>
              <a:effectLst/>
              <a:latin typeface="+mn-lt"/>
              <a:ea typeface="+mn-ea"/>
              <a:cs typeface="+mn-cs"/>
            </a:rPr>
            <a:t>Defines prerequisite relationships between targets.</a:t>
          </a:r>
          <a:endParaRPr lang="en-US">
            <a:effectLst/>
          </a:endParaRPr>
        </a:p>
        <a:p>
          <a:r>
            <a:rPr lang="en-US" sz="1100">
              <a:solidFill>
                <a:schemeClr val="tx1"/>
              </a:solidFill>
              <a:effectLst/>
              <a:latin typeface="+mn-lt"/>
              <a:ea typeface="+mn-ea"/>
              <a:cs typeface="+mn-cs"/>
            </a:rPr>
            <a:t>For example, it tells the tracker that one building level, technology, state, or quest must be completed before another target becomes available.</a:t>
          </a:r>
          <a:endParaRPr lang="en-US">
            <a:effectLst/>
          </a:endParaRPr>
        </a:p>
        <a:p>
          <a:r>
            <a:rPr lang="en-US" sz="1100">
              <a:solidFill>
                <a:schemeClr val="tx1"/>
              </a:solidFill>
              <a:effectLst/>
              <a:latin typeface="+mn-lt"/>
              <a:ea typeface="+mn-ea"/>
              <a:cs typeface="+mn-cs"/>
            </a:rPr>
            <a:t>Do not modify this tab during normal gameplay.</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QuestObjectives</a:t>
          </a:r>
          <a:endParaRPr lang="en-US">
            <a:effectLst/>
          </a:endParaRPr>
        </a:p>
        <a:p>
          <a:r>
            <a:rPr lang="en-US" sz="1100">
              <a:solidFill>
                <a:schemeClr val="tx1"/>
              </a:solidFill>
              <a:effectLst/>
              <a:latin typeface="+mn-lt"/>
              <a:ea typeface="+mn-ea"/>
              <a:cs typeface="+mn-cs"/>
            </a:rPr>
            <a:t>Contains requirements associated with quest objectives.</a:t>
          </a:r>
          <a:endParaRPr lang="en-US">
            <a:effectLst/>
          </a:endParaRPr>
        </a:p>
        <a:p>
          <a:r>
            <a:rPr lang="en-US" sz="1100">
              <a:solidFill>
                <a:schemeClr val="tx1"/>
              </a:solidFill>
              <a:effectLst/>
              <a:latin typeface="+mn-lt"/>
              <a:ea typeface="+mn-ea"/>
              <a:cs typeface="+mn-cs"/>
            </a:rPr>
            <a:t>These requirements are included in the dependency calculations used to determine quest progression.</a:t>
          </a:r>
          <a:endParaRPr lang="en-US">
            <a:effectLst/>
          </a:endParaRPr>
        </a:p>
        <a:p>
          <a:r>
            <a:rPr lang="en-US" sz="1100">
              <a:solidFill>
                <a:schemeClr val="tx1"/>
              </a:solidFill>
              <a:effectLst/>
              <a:latin typeface="+mn-lt"/>
              <a:ea typeface="+mn-ea"/>
              <a:cs typeface="+mn-cs"/>
            </a:rPr>
            <a:t>Do not modify this tab during normal gameplay.</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CostStatus</a:t>
          </a:r>
          <a:endParaRPr lang="en-US">
            <a:effectLst/>
          </a:endParaRPr>
        </a:p>
        <a:p>
          <a:r>
            <a:rPr lang="en-US" sz="1100">
              <a:solidFill>
                <a:schemeClr val="tx1"/>
              </a:solidFill>
              <a:effectLst/>
              <a:latin typeface="+mn-lt"/>
              <a:ea typeface="+mn-ea"/>
              <a:cs typeface="+mn-cs"/>
            </a:rPr>
            <a:t>Calculates funding progress for targets with resource costs.</a:t>
          </a:r>
          <a:endParaRPr lang="en-US">
            <a:effectLst/>
          </a:endParaRPr>
        </a:p>
        <a:p>
          <a:r>
            <a:rPr lang="en-US" sz="1100">
              <a:solidFill>
                <a:schemeClr val="tx1"/>
              </a:solidFill>
              <a:effectLst/>
              <a:latin typeface="+mn-lt"/>
              <a:ea typeface="+mn-ea"/>
              <a:cs typeface="+mn-cs"/>
            </a:rPr>
            <a:t>It is used by the Dashboard to determine whether a target is unfunded, partially funded, or fully funded.</a:t>
          </a:r>
          <a:endParaRPr lang="en-US">
            <a:effectLst/>
          </a:endParaRPr>
        </a:p>
        <a:p>
          <a:r>
            <a:rPr lang="en-US" sz="1100">
              <a:solidFill>
                <a:schemeClr val="tx1"/>
              </a:solidFill>
              <a:effectLst/>
              <a:latin typeface="+mn-lt"/>
              <a:ea typeface="+mn-ea"/>
              <a:cs typeface="+mn-cs"/>
            </a:rPr>
            <a:t>Do not manually edit this tab.</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Buildings</a:t>
          </a:r>
          <a:endParaRPr lang="en-US">
            <a:effectLst/>
          </a:endParaRPr>
        </a:p>
        <a:p>
          <a:r>
            <a:rPr lang="en-US" sz="1100">
              <a:solidFill>
                <a:schemeClr val="tx1"/>
              </a:solidFill>
              <a:effectLst/>
              <a:latin typeface="+mn-lt"/>
              <a:ea typeface="+mn-ea"/>
              <a:cs typeface="+mn-cs"/>
            </a:rPr>
            <a:t>Contains the building data used by the tracker.</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Technologies</a:t>
          </a:r>
          <a:endParaRPr lang="en-US">
            <a:effectLst/>
          </a:endParaRPr>
        </a:p>
        <a:p>
          <a:r>
            <a:rPr lang="en-US" sz="1100">
              <a:solidFill>
                <a:schemeClr val="tx1"/>
              </a:solidFill>
              <a:effectLst/>
              <a:latin typeface="+mn-lt"/>
              <a:ea typeface="+mn-ea"/>
              <a:cs typeface="+mn-cs"/>
            </a:rPr>
            <a:t>Contains technology data used by the tracker.</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Quests</a:t>
          </a:r>
          <a:endParaRPr lang="en-US">
            <a:effectLst/>
          </a:endParaRPr>
        </a:p>
        <a:p>
          <a:r>
            <a:rPr lang="en-US" sz="1100">
              <a:solidFill>
                <a:schemeClr val="tx1"/>
              </a:solidFill>
              <a:effectLst/>
              <a:latin typeface="+mn-lt"/>
              <a:ea typeface="+mn-ea"/>
              <a:cs typeface="+mn-cs"/>
            </a:rPr>
            <a:t>Contains quest and quest-chapter data used by the tracker.</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Citadel</a:t>
          </a:r>
          <a:endParaRPr lang="en-US">
            <a:effectLst/>
          </a:endParaRPr>
        </a:p>
        <a:p>
          <a:r>
            <a:rPr lang="en-US" sz="1100">
              <a:solidFill>
                <a:schemeClr val="tx1"/>
              </a:solidFill>
              <a:effectLst/>
              <a:latin typeface="+mn-lt"/>
              <a:ea typeface="+mn-ea"/>
              <a:cs typeface="+mn-cs"/>
            </a:rPr>
            <a:t>Contains Citadel progression data.</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Collections</a:t>
          </a:r>
          <a:endParaRPr lang="en-US">
            <a:effectLst/>
          </a:endParaRPr>
        </a:p>
        <a:p>
          <a:r>
            <a:rPr lang="en-US" sz="1100">
              <a:solidFill>
                <a:schemeClr val="tx1"/>
              </a:solidFill>
              <a:effectLst/>
              <a:latin typeface="+mn-lt"/>
              <a:ea typeface="+mn-ea"/>
              <a:cs typeface="+mn-cs"/>
            </a:rPr>
            <a:t>Contains Collection progression data.</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Craftifacts</a:t>
          </a:r>
          <a:endParaRPr lang="en-US">
            <a:effectLst/>
          </a:endParaRPr>
        </a:p>
        <a:p>
          <a:r>
            <a:rPr lang="en-US" sz="1100">
              <a:solidFill>
                <a:schemeClr val="tx1"/>
              </a:solidFill>
              <a:effectLst/>
              <a:latin typeface="+mn-lt"/>
              <a:ea typeface="+mn-ea"/>
              <a:cs typeface="+mn-cs"/>
            </a:rPr>
            <a:t>Contains Craftifact progression data.</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States</a:t>
          </a:r>
          <a:endParaRPr lang="en-US">
            <a:effectLst/>
          </a:endParaRPr>
        </a:p>
        <a:p>
          <a:r>
            <a:rPr lang="en-US" sz="1100">
              <a:solidFill>
                <a:schemeClr val="tx1"/>
              </a:solidFill>
              <a:effectLst/>
              <a:latin typeface="+mn-lt"/>
              <a:ea typeface="+mn-ea"/>
              <a:cs typeface="+mn-cs"/>
            </a:rPr>
            <a:t>Contains state-based progression requirements, including character requirements and other game conditions used by dependencies and quest objectives.</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Recommended</a:t>
          </a:r>
          <a:endParaRPr lang="en-US">
            <a:effectLst/>
          </a:endParaRPr>
        </a:p>
        <a:p>
          <a:r>
            <a:rPr lang="en-US" sz="1100">
              <a:solidFill>
                <a:schemeClr val="tx1"/>
              </a:solidFill>
              <a:effectLst/>
              <a:latin typeface="+mn-lt"/>
              <a:ea typeface="+mn-ea"/>
              <a:cs typeface="+mn-cs"/>
            </a:rPr>
            <a:t>Contains the Active and Passive recommended building progression.</a:t>
          </a:r>
          <a:endParaRPr lang="en-US">
            <a:effectLst/>
          </a:endParaRPr>
        </a:p>
        <a:p>
          <a:r>
            <a:rPr lang="en-US" sz="1100">
              <a:solidFill>
                <a:schemeClr val="tx1"/>
              </a:solidFill>
              <a:effectLst/>
              <a:latin typeface="+mn-lt"/>
              <a:ea typeface="+mn-ea"/>
              <a:cs typeface="+mn-cs"/>
            </a:rPr>
            <a:t>Players may use this as a planning reference, but normally do not need to modify the recommendation data.</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Aliases</a:t>
          </a:r>
          <a:endParaRPr lang="en-US">
            <a:effectLst/>
          </a:endParaRPr>
        </a:p>
        <a:p>
          <a:r>
            <a:rPr lang="en-US" sz="1100">
              <a:solidFill>
                <a:schemeClr val="tx1"/>
              </a:solidFill>
              <a:effectLst/>
              <a:latin typeface="+mn-lt"/>
              <a:ea typeface="+mn-ea"/>
              <a:cs typeface="+mn-cs"/>
            </a:rPr>
            <a:t>Contains mappings between names used by source data and the canonical names and TargetIDs used by the tracker.</a:t>
          </a:r>
          <a:endParaRPr lang="en-US">
            <a:effectLst/>
          </a:endParaRPr>
        </a:p>
        <a:p>
          <a:r>
            <a:rPr lang="en-US" sz="1100">
              <a:solidFill>
                <a:schemeClr val="tx1"/>
              </a:solidFill>
              <a:effectLst/>
              <a:latin typeface="+mn-lt"/>
              <a:ea typeface="+mn-ea"/>
              <a:cs typeface="+mn-cs"/>
            </a:rPr>
            <a:t>This is primarily a maintenance/import tool.</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Inspector</a:t>
          </a:r>
          <a:endParaRPr lang="en-US">
            <a:effectLst/>
          </a:endParaRPr>
        </a:p>
        <a:p>
          <a:r>
            <a:rPr lang="en-US" sz="1100">
              <a:solidFill>
                <a:schemeClr val="tx1"/>
              </a:solidFill>
              <a:effectLst/>
              <a:latin typeface="+mn-lt"/>
              <a:ea typeface="+mn-ea"/>
              <a:cs typeface="+mn-cs"/>
            </a:rPr>
            <a:t>Used for inspecting and validating relationships within the tracker.</a:t>
          </a:r>
          <a:endParaRPr lang="en-US">
            <a:effectLst/>
          </a:endParaRPr>
        </a:p>
        <a:p>
          <a:r>
            <a:rPr lang="en-US" sz="1100">
              <a:solidFill>
                <a:schemeClr val="tx1"/>
              </a:solidFill>
              <a:effectLst/>
              <a:latin typeface="+mn-lt"/>
              <a:ea typeface="+mn-ea"/>
              <a:cs typeface="+mn-cs"/>
            </a:rPr>
            <a:t>This is primarily a maintenance and troubleshooting tab.</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Validation</a:t>
          </a:r>
          <a:endParaRPr lang="en-US">
            <a:effectLst/>
          </a:endParaRPr>
        </a:p>
        <a:p>
          <a:r>
            <a:rPr lang="en-US" sz="1100">
              <a:solidFill>
                <a:schemeClr val="tx1"/>
              </a:solidFill>
              <a:effectLst/>
              <a:latin typeface="+mn-lt"/>
              <a:ea typeface="+mn-ea"/>
              <a:cs typeface="+mn-cs"/>
            </a:rPr>
            <a:t>Contains validation checks used to identify invalid or inconsistent tracker data.</a:t>
          </a:r>
          <a:endParaRPr lang="en-US">
            <a:effectLst/>
          </a:endParaRPr>
        </a:p>
        <a:p>
          <a:r>
            <a:rPr lang="en-US" sz="1100">
              <a:solidFill>
                <a:schemeClr val="tx1"/>
              </a:solidFill>
              <a:effectLst/>
              <a:latin typeface="+mn-lt"/>
              <a:ea typeface="+mn-ea"/>
              <a:cs typeface="+mn-cs"/>
            </a:rPr>
            <a:t>This is primarily a maintenance tab.</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Exceptions</a:t>
          </a:r>
          <a:endParaRPr lang="en-US">
            <a:effectLst/>
          </a:endParaRPr>
        </a:p>
        <a:p>
          <a:r>
            <a:rPr lang="en-US" sz="1100">
              <a:solidFill>
                <a:schemeClr val="tx1"/>
              </a:solidFill>
              <a:effectLst/>
              <a:latin typeface="+mn-lt"/>
              <a:ea typeface="+mn-ea"/>
              <a:cs typeface="+mn-cs"/>
            </a:rPr>
            <a:t>Used to record known exceptions or special cases that cannot safely follow the normal automated rules.</a:t>
          </a:r>
          <a:endParaRPr lang="en-US">
            <a:effectLst/>
          </a:endParaRPr>
        </a:p>
        <a:p>
          <a:r>
            <a:rPr lang="en-US" sz="1100">
              <a:solidFill>
                <a:schemeClr val="tx1"/>
              </a:solidFill>
              <a:effectLst/>
              <a:latin typeface="+mn-lt"/>
              <a:ea typeface="+mn-ea"/>
              <a:cs typeface="+mn-cs"/>
            </a:rPr>
            <a:t>This is primarily a maintenance tab.</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Lists / Config / Import and Temporary Tabs</a:t>
          </a:r>
          <a:endParaRPr lang="en-US">
            <a:effectLst/>
          </a:endParaRPr>
        </a:p>
        <a:p>
          <a:r>
            <a:rPr lang="en-US" sz="1100">
              <a:solidFill>
                <a:schemeClr val="tx1"/>
              </a:solidFill>
              <a:effectLst/>
              <a:latin typeface="+mn-lt"/>
              <a:ea typeface="+mn-ea"/>
              <a:cs typeface="+mn-cs"/>
            </a:rPr>
            <a:t>Tabs such as Lists, Config, Dep_Import, CostDependency, and CostTemp support calculations, imports, validation, or workbook maintenance.</a:t>
          </a:r>
          <a:endParaRPr lang="en-US">
            <a:effectLst/>
          </a:endParaRPr>
        </a:p>
        <a:p>
          <a:r>
            <a:rPr lang="en-US" sz="1100">
              <a:solidFill>
                <a:schemeClr val="tx1"/>
              </a:solidFill>
              <a:effectLst/>
              <a:latin typeface="+mn-lt"/>
              <a:ea typeface="+mn-ea"/>
              <a:cs typeface="+mn-cs"/>
            </a:rPr>
            <a:t>They are not intended for normal player interaction.</a:t>
          </a:r>
          <a:endParaRPr lang="en-US">
            <a:effectLst/>
          </a:endParaRP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10</xdr:col>
      <xdr:colOff>9525</xdr:colOff>
      <xdr:row>0</xdr:row>
      <xdr:rowOff>28576</xdr:rowOff>
    </xdr:from>
    <xdr:to>
      <xdr:col>13</xdr:col>
      <xdr:colOff>9525</xdr:colOff>
      <xdr:row>6</xdr:row>
      <xdr:rowOff>114301</xdr:rowOff>
    </xdr:to>
    <mc:AlternateContent xmlns:mc="http://schemas.openxmlformats.org/markup-compatibility/2006" xmlns:sle15="http://schemas.microsoft.com/office/drawing/2012/slicer">
      <mc:Choice Requires="sle15">
        <xdr:graphicFrame macro="">
          <xdr:nvGraphicFramePr>
            <xdr:cNvPr id="2" name="TargetType">
              <a:extLst>
                <a:ext uri="{FF2B5EF4-FFF2-40B4-BE49-F238E27FC236}">
                  <a16:creationId xmlns:a16="http://schemas.microsoft.com/office/drawing/2014/main" id="{54067E8D-099F-1853-D257-664AA87CEA0C}"/>
                </a:ext>
              </a:extLst>
            </xdr:cNvPr>
            <xdr:cNvGraphicFramePr/>
          </xdr:nvGraphicFramePr>
          <xdr:xfrm>
            <a:off x="0" y="0"/>
            <a:ext cx="0" cy="0"/>
          </xdr:xfrm>
          <a:graphic>
            <a:graphicData uri="http://schemas.microsoft.com/office/drawing/2010/slicer">
              <sle:slicer xmlns:sle="http://schemas.microsoft.com/office/drawing/2010/slicer" name="TargetType"/>
            </a:graphicData>
          </a:graphic>
        </xdr:graphicFrame>
      </mc:Choice>
      <mc:Fallback xmlns="">
        <xdr:sp macro="" textlink="">
          <xdr:nvSpPr>
            <xdr:cNvPr id="0" name=""/>
            <xdr:cNvSpPr>
              <a:spLocks noTextEdit="1"/>
            </xdr:cNvSpPr>
          </xdr:nvSpPr>
          <xdr:spPr>
            <a:xfrm>
              <a:off x="14074775" y="25401"/>
              <a:ext cx="1828800" cy="2260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34925</xdr:colOff>
      <xdr:row>0</xdr:row>
      <xdr:rowOff>28576</xdr:rowOff>
    </xdr:from>
    <xdr:to>
      <xdr:col>16</xdr:col>
      <xdr:colOff>34925</xdr:colOff>
      <xdr:row>6</xdr:row>
      <xdr:rowOff>114301</xdr:rowOff>
    </xdr:to>
    <mc:AlternateContent xmlns:mc="http://schemas.openxmlformats.org/markup-compatibility/2006" xmlns:sle15="http://schemas.microsoft.com/office/drawing/2012/slicer">
      <mc:Choice Requires="sle15">
        <xdr:graphicFrame macro="">
          <xdr:nvGraphicFramePr>
            <xdr:cNvPr id="3" name="ChainAwareStatus">
              <a:extLst>
                <a:ext uri="{FF2B5EF4-FFF2-40B4-BE49-F238E27FC236}">
                  <a16:creationId xmlns:a16="http://schemas.microsoft.com/office/drawing/2014/main" id="{20E87BAB-4EE7-0013-5811-7F2EC574F9BE}"/>
                </a:ext>
              </a:extLst>
            </xdr:cNvPr>
            <xdr:cNvGraphicFramePr/>
          </xdr:nvGraphicFramePr>
          <xdr:xfrm>
            <a:off x="0" y="0"/>
            <a:ext cx="0" cy="0"/>
          </xdr:xfrm>
          <a:graphic>
            <a:graphicData uri="http://schemas.microsoft.com/office/drawing/2010/slicer">
              <sle:slicer xmlns:sle="http://schemas.microsoft.com/office/drawing/2010/slicer" name="ChainAwareStatus"/>
            </a:graphicData>
          </a:graphic>
        </xdr:graphicFrame>
      </mc:Choice>
      <mc:Fallback xmlns="">
        <xdr:sp macro="" textlink="">
          <xdr:nvSpPr>
            <xdr:cNvPr id="0" name=""/>
            <xdr:cNvSpPr>
              <a:spLocks noTextEdit="1"/>
            </xdr:cNvSpPr>
          </xdr:nvSpPr>
          <xdr:spPr>
            <a:xfrm>
              <a:off x="15932150" y="25401"/>
              <a:ext cx="1828800" cy="2260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19050</xdr:colOff>
      <xdr:row>6</xdr:row>
      <xdr:rowOff>114300</xdr:rowOff>
    </xdr:from>
    <xdr:to>
      <xdr:col>16</xdr:col>
      <xdr:colOff>19050</xdr:colOff>
      <xdr:row>9</xdr:row>
      <xdr:rowOff>320675</xdr:rowOff>
    </xdr:to>
    <mc:AlternateContent xmlns:mc="http://schemas.openxmlformats.org/markup-compatibility/2006" xmlns:sle15="http://schemas.microsoft.com/office/drawing/2012/slicer">
      <mc:Choice Requires="sle15">
        <xdr:graphicFrame macro="">
          <xdr:nvGraphicFramePr>
            <xdr:cNvPr id="4" name="PlayerCompleted">
              <a:extLst>
                <a:ext uri="{FF2B5EF4-FFF2-40B4-BE49-F238E27FC236}">
                  <a16:creationId xmlns:a16="http://schemas.microsoft.com/office/drawing/2014/main" id="{695FB4FE-6DEB-76D5-553E-732B8562AFAA}"/>
                </a:ext>
              </a:extLst>
            </xdr:cNvPr>
            <xdr:cNvGraphicFramePr/>
          </xdr:nvGraphicFramePr>
          <xdr:xfrm>
            <a:off x="0" y="0"/>
            <a:ext cx="0" cy="0"/>
          </xdr:xfrm>
          <a:graphic>
            <a:graphicData uri="http://schemas.microsoft.com/office/drawing/2010/slicer">
              <sle:slicer xmlns:sle="http://schemas.microsoft.com/office/drawing/2010/slicer" name="PlayerCompleted"/>
            </a:graphicData>
          </a:graphic>
        </xdr:graphicFrame>
      </mc:Choice>
      <mc:Fallback xmlns="">
        <xdr:sp macro="" textlink="">
          <xdr:nvSpPr>
            <xdr:cNvPr id="0" name=""/>
            <xdr:cNvSpPr>
              <a:spLocks noTextEdit="1"/>
            </xdr:cNvSpPr>
          </xdr:nvSpPr>
          <xdr:spPr>
            <a:xfrm>
              <a:off x="15916275" y="2286000"/>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9525</xdr:colOff>
      <xdr:row>6</xdr:row>
      <xdr:rowOff>139701</xdr:rowOff>
    </xdr:from>
    <xdr:to>
      <xdr:col>13</xdr:col>
      <xdr:colOff>9525</xdr:colOff>
      <xdr:row>10</xdr:row>
      <xdr:rowOff>0</xdr:rowOff>
    </xdr:to>
    <mc:AlternateContent xmlns:mc="http://schemas.openxmlformats.org/markup-compatibility/2006" xmlns:sle15="http://schemas.microsoft.com/office/drawing/2012/slicer">
      <mc:Choice Requires="sle15">
        <xdr:graphicFrame macro="">
          <xdr:nvGraphicFramePr>
            <xdr:cNvPr id="5" name="TargetFunded">
              <a:extLst>
                <a:ext uri="{FF2B5EF4-FFF2-40B4-BE49-F238E27FC236}">
                  <a16:creationId xmlns:a16="http://schemas.microsoft.com/office/drawing/2014/main" id="{5FBC7A7D-0F3F-54A6-C87D-809FBF96E640}"/>
                </a:ext>
              </a:extLst>
            </xdr:cNvPr>
            <xdr:cNvGraphicFramePr/>
          </xdr:nvGraphicFramePr>
          <xdr:xfrm>
            <a:off x="0" y="0"/>
            <a:ext cx="0" cy="0"/>
          </xdr:xfrm>
          <a:graphic>
            <a:graphicData uri="http://schemas.microsoft.com/office/drawing/2010/slicer">
              <sle:slicer xmlns:sle="http://schemas.microsoft.com/office/drawing/2010/slicer" name="TargetFunded"/>
            </a:graphicData>
          </a:graphic>
        </xdr:graphicFrame>
      </mc:Choice>
      <mc:Fallback xmlns="">
        <xdr:sp macro="" textlink="">
          <xdr:nvSpPr>
            <xdr:cNvPr id="0" name=""/>
            <xdr:cNvSpPr>
              <a:spLocks noTextEdit="1"/>
            </xdr:cNvSpPr>
          </xdr:nvSpPr>
          <xdr:spPr>
            <a:xfrm>
              <a:off x="14074775" y="2314576"/>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11</xdr:col>
      <xdr:colOff>301625</xdr:colOff>
      <xdr:row>0</xdr:row>
      <xdr:rowOff>19050</xdr:rowOff>
    </xdr:from>
    <xdr:to>
      <xdr:col>14</xdr:col>
      <xdr:colOff>301625</xdr:colOff>
      <xdr:row>11</xdr:row>
      <xdr:rowOff>57150</xdr:rowOff>
    </xdr:to>
    <mc:AlternateContent xmlns:mc="http://schemas.openxmlformats.org/markup-compatibility/2006" xmlns:sle15="http://schemas.microsoft.com/office/drawing/2012/slicer">
      <mc:Choice Requires="sle15">
        <xdr:graphicFrame macro="">
          <xdr:nvGraphicFramePr>
            <xdr:cNvPr id="2" name="TargetType 1">
              <a:extLst>
                <a:ext uri="{FF2B5EF4-FFF2-40B4-BE49-F238E27FC236}">
                  <a16:creationId xmlns:a16="http://schemas.microsoft.com/office/drawing/2014/main" id="{5ECC3839-1835-29A6-48E2-7193612B8B61}"/>
                </a:ext>
              </a:extLst>
            </xdr:cNvPr>
            <xdr:cNvGraphicFramePr/>
          </xdr:nvGraphicFramePr>
          <xdr:xfrm>
            <a:off x="0" y="0"/>
            <a:ext cx="0" cy="0"/>
          </xdr:xfrm>
          <a:graphic>
            <a:graphicData uri="http://schemas.microsoft.com/office/drawing/2010/slicer">
              <sle:slicer xmlns:sle="http://schemas.microsoft.com/office/drawing/2010/slicer" name="TargetType 1"/>
            </a:graphicData>
          </a:graphic>
        </xdr:graphicFrame>
      </mc:Choice>
      <mc:Fallback xmlns="">
        <xdr:sp macro="" textlink="">
          <xdr:nvSpPr>
            <xdr:cNvPr id="0" name=""/>
            <xdr:cNvSpPr>
              <a:spLocks noTextEdit="1"/>
            </xdr:cNvSpPr>
          </xdr:nvSpPr>
          <xdr:spPr>
            <a:xfrm>
              <a:off x="15474950" y="19050"/>
              <a:ext cx="1828800" cy="20288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320675</xdr:colOff>
      <xdr:row>0</xdr:row>
      <xdr:rowOff>34925</xdr:rowOff>
    </xdr:from>
    <xdr:to>
      <xdr:col>18</xdr:col>
      <xdr:colOff>311150</xdr:colOff>
      <xdr:row>11</xdr:row>
      <xdr:rowOff>63500</xdr:rowOff>
    </xdr:to>
    <mc:AlternateContent xmlns:mc="http://schemas.openxmlformats.org/markup-compatibility/2006" xmlns:sle15="http://schemas.microsoft.com/office/drawing/2012/slicer">
      <mc:Choice Requires="sle15">
        <xdr:graphicFrame macro="">
          <xdr:nvGraphicFramePr>
            <xdr:cNvPr id="3" name="TargetCompleted">
              <a:extLst>
                <a:ext uri="{FF2B5EF4-FFF2-40B4-BE49-F238E27FC236}">
                  <a16:creationId xmlns:a16="http://schemas.microsoft.com/office/drawing/2014/main" id="{1F9E085F-5958-0549-C41B-268296DFB870}"/>
                </a:ext>
              </a:extLst>
            </xdr:cNvPr>
            <xdr:cNvGraphicFramePr/>
          </xdr:nvGraphicFramePr>
          <xdr:xfrm>
            <a:off x="0" y="0"/>
            <a:ext cx="0" cy="0"/>
          </xdr:xfrm>
          <a:graphic>
            <a:graphicData uri="http://schemas.microsoft.com/office/drawing/2010/slicer">
              <sle:slicer xmlns:sle="http://schemas.microsoft.com/office/drawing/2010/slicer" name="TargetCompleted"/>
            </a:graphicData>
          </a:graphic>
        </xdr:graphicFrame>
      </mc:Choice>
      <mc:Fallback xmlns="">
        <xdr:sp macro="" textlink="">
          <xdr:nvSpPr>
            <xdr:cNvPr id="0" name=""/>
            <xdr:cNvSpPr>
              <a:spLocks noTextEdit="1"/>
            </xdr:cNvSpPr>
          </xdr:nvSpPr>
          <xdr:spPr>
            <a:xfrm>
              <a:off x="17322800" y="34925"/>
              <a:ext cx="1822450" cy="20224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292100</xdr:colOff>
      <xdr:row>11</xdr:row>
      <xdr:rowOff>76200</xdr:rowOff>
    </xdr:from>
    <xdr:to>
      <xdr:col>14</xdr:col>
      <xdr:colOff>292100</xdr:colOff>
      <xdr:row>16</xdr:row>
      <xdr:rowOff>158750</xdr:rowOff>
    </xdr:to>
    <mc:AlternateContent xmlns:mc="http://schemas.openxmlformats.org/markup-compatibility/2006" xmlns:sle15="http://schemas.microsoft.com/office/drawing/2012/slicer">
      <mc:Choice Requires="sle15">
        <xdr:graphicFrame macro="">
          <xdr:nvGraphicFramePr>
            <xdr:cNvPr id="4" name="PlayerPaid">
              <a:extLst>
                <a:ext uri="{FF2B5EF4-FFF2-40B4-BE49-F238E27FC236}">
                  <a16:creationId xmlns:a16="http://schemas.microsoft.com/office/drawing/2014/main" id="{D2F0D939-9C0E-542C-6163-4BE61C9895BA}"/>
                </a:ext>
              </a:extLst>
            </xdr:cNvPr>
            <xdr:cNvGraphicFramePr/>
          </xdr:nvGraphicFramePr>
          <xdr:xfrm>
            <a:off x="0" y="0"/>
            <a:ext cx="0" cy="0"/>
          </xdr:xfrm>
          <a:graphic>
            <a:graphicData uri="http://schemas.microsoft.com/office/drawing/2010/slicer">
              <sle:slicer xmlns:sle="http://schemas.microsoft.com/office/drawing/2010/slicer" name="PlayerPaid"/>
            </a:graphicData>
          </a:graphic>
        </xdr:graphicFrame>
      </mc:Choice>
      <mc:Fallback xmlns="">
        <xdr:sp macro="" textlink="">
          <xdr:nvSpPr>
            <xdr:cNvPr id="0" name=""/>
            <xdr:cNvSpPr>
              <a:spLocks noTextEdit="1"/>
            </xdr:cNvSpPr>
          </xdr:nvSpPr>
          <xdr:spPr>
            <a:xfrm>
              <a:off x="15468600" y="2066925"/>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Type" xr10:uid="{21856E0F-581A-410D-8D57-AB44C3C2C58B}" sourceName="TargetType">
  <extLst>
    <x:ext xmlns:x15="http://schemas.microsoft.com/office/spreadsheetml/2010/11/main" uri="{2F2917AC-EB37-4324-AD4E-5DD8C200BD13}">
      <x15:tableSlicerCache tableId="1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inAwareStatus" xr10:uid="{01804819-001E-4DC8-876E-3CC81EB719F1}" sourceName="ChainAwareStatus">
  <extLst>
    <x:ext xmlns:x15="http://schemas.microsoft.com/office/spreadsheetml/2010/11/main" uri="{2F2917AC-EB37-4324-AD4E-5DD8C200BD13}">
      <x15:tableSlicerCache tableId="12"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Completed" xr10:uid="{69B79682-B483-4765-B864-1C543340E48C}" sourceName="PlayerCompleted">
  <extLst>
    <x:ext xmlns:x15="http://schemas.microsoft.com/office/spreadsheetml/2010/11/main" uri="{2F2917AC-EB37-4324-AD4E-5DD8C200BD13}">
      <x15:tableSlicerCache tableId="12"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Funded" xr10:uid="{A4E16432-A229-44DE-9D44-B8A1760B3E12}" sourceName="TargetFunded">
  <extLst>
    <x:ext xmlns:x15="http://schemas.microsoft.com/office/spreadsheetml/2010/11/main" uri="{2F2917AC-EB37-4324-AD4E-5DD8C200BD13}">
      <x15:tableSlicerCache tableId="12" column="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Type1" xr10:uid="{52811273-24D1-44E0-9F10-B6E2CE14210A}" sourceName="TargetType">
  <extLst>
    <x:ext xmlns:x15="http://schemas.microsoft.com/office/spreadsheetml/2010/11/main" uri="{2F2917AC-EB37-4324-AD4E-5DD8C200BD13}">
      <x15:tableSlicerCache tableId="16"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Completed" xr10:uid="{93A9E8F0-D7AE-4BC9-A67A-9B25BBA2EBF6}" sourceName="TargetCompleted">
  <extLst>
    <x:ext xmlns:x15="http://schemas.microsoft.com/office/spreadsheetml/2010/11/main" uri="{2F2917AC-EB37-4324-AD4E-5DD8C200BD13}">
      <x15:tableSlicerCache tableId="16" column="7"/>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Paid" xr10:uid="{B4B74976-B842-4BBC-9813-2A404B7874E0}" sourceName="PlayerPaid">
  <extLst>
    <x:ext xmlns:x15="http://schemas.microsoft.com/office/spreadsheetml/2010/11/main" uri="{2F2917AC-EB37-4324-AD4E-5DD8C200BD13}">
      <x15:tableSlicerCache tableId="16"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rgetType" xr10:uid="{84AE6C4D-D21C-4DCC-9DDE-0BCE736D8BC4}" cache="Slicer_TargetType" caption="TargetType" rowHeight="251883"/>
  <slicer name="ChainAwareStatus" xr10:uid="{9D7826A7-EF9B-4B05-B2F8-7778152BD866}" cache="Slicer_ChainAwareStatus" caption="ChainAwareStatus" rowHeight="251883"/>
  <slicer name="PlayerCompleted" xr10:uid="{ADFD43D9-809B-40C1-9D26-D0B92D4F016C}" cache="Slicer_PlayerCompleted" caption="PlayerCompleted" rowHeight="251883"/>
  <slicer name="TargetFunded" xr10:uid="{7242DA71-C735-48C4-9133-F50DB12688F2}" cache="Slicer_TargetFunded" caption="TargetFunded"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rgetType 1" xr10:uid="{EDA07401-76DE-4624-AF66-8EB4D8AAE4F8}" cache="Slicer_TargetType1" caption="TargetType" rowHeight="251883"/>
  <slicer name="TargetCompleted" xr10:uid="{AD24AA74-70C9-4897-99BA-C834F8FF3753}" cache="Slicer_TargetCompleted" caption="TargetCompleted" rowHeight="251883"/>
  <slicer name="PlayerPaid" xr10:uid="{AB035891-5933-4E80-87AE-FB73675B0DDB}" cache="Slicer_PlayerPaid" caption="PlayerPai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64AF5E-0CE6-4050-A5FB-93E50C9D2870}" name="tblPlayer" displayName="tblPlayer" ref="A1:E4" totalsRowShown="0">
  <autoFilter ref="A1:E4" xr:uid="{1664AF5E-0CE6-4050-A5FB-93E50C9D2870}"/>
  <tableColumns count="5">
    <tableColumn id="1" xr3:uid="{F9C6E63B-9951-4833-B24B-ABD6A12F3B6B}" name="Setting" dataDxfId="321"/>
    <tableColumn id="2" xr3:uid="{C796C4A9-9780-4E7B-8EE5-D4FFE2532389}" name="Value" dataDxfId="320"/>
    <tableColumn id="5" xr3:uid="{C1441F4D-9A1F-400A-92EE-58854771D738}" name="PlayerStateID" dataDxfId="319"/>
    <tableColumn id="3" xr3:uid="{2052744B-E952-4586-82C1-CB807B3183AE}" name="Description" dataDxfId="318"/>
    <tableColumn id="4" xr3:uid="{D4E11E0A-9346-4722-9031-0730E803E7BE}"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3C96B41-B4E1-45A1-95D6-7D6C6B8432C4}" name="tblChecklist" displayName="tblChecklist" ref="A1:I561" totalsRowShown="0" headerRowDxfId="317">
  <autoFilter ref="A1:I561" xr:uid="{B3C96B41-B4E1-45A1-95D6-7D6C6B8432C4}"/>
  <tableColumns count="9">
    <tableColumn id="1" xr3:uid="{75B05D2B-5047-4E7D-8463-2A613C63237C}" name="TargetID"/>
    <tableColumn id="2" xr3:uid="{A393D920-0728-4709-A0C7-E0BB0BE4772D}" name="DisplayName"/>
    <tableColumn id="7" xr3:uid="{13DF1DC1-6552-4058-B6FA-CE8795AE5DBF}" name="Successors" dataDxfId="316" totalsRowDxfId="315">
      <calculatedColumnFormula>_xlfn.XLOOKUP(
 tblChecklist[[#This Row],[TargetID]],
 tblTargetStatus[TargetID],
 tblTargetStatus[successors],
 ""
)</calculatedColumnFormula>
    </tableColumn>
    <tableColumn id="3" xr3:uid="{FC793DFE-4D5E-46F2-9155-058192CE5A24}" name="TargetType" dataDxfId="314" totalsRowDxfId="313"/>
    <tableColumn id="6" xr3:uid="{2D13E6A1-05B2-4D75-B9E1-8270A66ADE54}" name="ChainAwareStatus" dataDxfId="312" totalsRowDxfId="311">
      <calculatedColumnFormula>_xlfn.XLOOKUP(tblChecklist[[#This Row],[TargetID]],tblTargetStatus[TargetID],tblTargetStatus[ChainAwareStatus],"")</calculatedColumnFormula>
    </tableColumn>
    <tableColumn id="5" xr3:uid="{7EB6EFDB-7FA4-44A8-8416-75DE63CD6790}" name="PlayerSort" dataDxfId="310" totalsRowDxfId="309"/>
    <tableColumn id="4" xr3:uid="{E882C933-2E64-407F-BC2A-C4BEDE2DFA03}" name="PlayerCompleted" dataDxfId="308" totalsRowDxfId="307"/>
    <tableColumn id="8" xr3:uid="{3FDA574E-3152-425C-8B84-127C769123C5}" name="TargetFunded" dataDxfId="306" totalsRowDxfId="305">
      <calculatedColumnFormula>_xlfn.XLOOKUP(tblChecklist[[#This Row],[TargetID]],tblTargetStatus[TargetID],tblTargetStatus[TargetFunded],"")</calculatedColumnFormula>
    </tableColumn>
    <tableColumn id="9" xr3:uid="{1267429E-AB58-4783-AE65-8B2CB9349FA8}" name="Recommended" dataDxfId="304" totalsRowDxfId="303">
      <calculatedColumnFormula>IF(
    tblChecklist[[#This Row],[TargetType]]&lt;&gt;"BUILDING",
    "",
    IF(
        Player!$H$1="Active",
        _xlfn.XLOOKUP(
            tblChecklist[[#This Row],[TargetID]],
            tblrecommended[ActiveTargetID],
            tblrecommended[Order],
            ""
        ),
        _xlfn.XLOOKUP(
            tblChecklist[[#This Row],[TargetID]],
            tblrecommended[PassiveTargetID],
            tblrecommended[Order],
            ""
        )
    )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5D576E5-33E5-4943-9A74-2C7405CBB021}" name="tblCostChecklist" displayName="tblCostChecklist" ref="A1:J2010" totalsRowShown="0">
  <autoFilter ref="A1:J2010" xr:uid="{D5D576E5-33E5-4943-9A74-2C7405CBB021}"/>
  <tableColumns count="10">
    <tableColumn id="1" xr3:uid="{C7BD2B99-D6D5-4A8C-ABFA-891EDD8B299C}" name="RequirementID" dataDxfId="302"/>
    <tableColumn id="2" xr3:uid="{88094769-5260-492F-9CA9-D725A5C99B1D}" name="TargetID" dataDxfId="301">
      <calculatedColumnFormula>_xlfn.TEXTAFTER(
 _xlfn.TEXTBEFORE(tblCostChecklist[[#This Row],[RequirementID]],".",-2),
 "cost."
)</calculatedColumnFormula>
    </tableColumn>
    <tableColumn id="3" xr3:uid="{CB02A463-ECF1-4EE4-B32C-9A6E72A634FB}" name="DisplayName" dataDxfId="300">
      <calculatedColumnFormula>_xlfn.XLOOKUP(tblCostChecklist[[#This Row],[TargetID]],tblTargets[TargetID],tblTargets[DisplayName],"")</calculatedColumnFormula>
    </tableColumn>
    <tableColumn id="8" xr3:uid="{2E569FBE-535C-4D60-9583-B91DF71572BA}" name="TargetType" dataDxfId="299">
      <calculatedColumnFormula>_xlfn.XLOOKUP(tblCostChecklist[[#This Row],[TargetID]],tblTargets[TargetID],tblTargets[TargetType],"")</calculatedColumnFormula>
    </tableColumn>
    <tableColumn id="4" xr3:uid="{F2318327-5FDA-4E37-83F7-56DDE2D478F7}" name="ResourceID" dataDxfId="298"/>
    <tableColumn id="5" xr3:uid="{B7D087FD-35BE-4569-95D7-7F09FF5684C4}" name="PaymentSlot" dataDxfId="297"/>
    <tableColumn id="10" xr3:uid="{BF92B1F8-BE49-424B-85D7-E364D72C650C}" name="QuantityRequired" dataDxfId="296">
      <calculatedColumnFormula>_xlfn.XLOOKUP(
 tblCostChecklist[[#This Row],[RequirementID]],
 tblCost[RequirementID],
 tblCost[QuantityRequired],
 ""
)</calculatedColumnFormula>
    </tableColumn>
    <tableColumn id="9" xr3:uid="{9BA31D2F-0941-4B7A-9741-D72548950DEA}" name="Sort" dataDxfId="295">
      <calculatedColumnFormula>IF(OR(LEFT(tblCostChecklist[[#This Row],[TargetID]],10)="state.CHAR",RIGHT(tblCostChecklist[[#This Row],[TargetID]],5)="maxed"),0,IF(_xlfn.XLOOKUP(tblCostChecklist[[#This Row],[TargetID]],tblChecklist[TargetID],tblChecklist[PlayerSort])=0,500,_xlfn.XLOOKUP(tblCostChecklist[[#This Row],[TargetID]],tblChecklist[TargetID],tblChecklist[PlayerSort])))</calculatedColumnFormula>
    </tableColumn>
    <tableColumn id="7" xr3:uid="{E35F73D9-2531-48B6-BFB3-DCB89626DF8B}" name="TargetCompleted" dataDxfId="294">
      <calculatedColumnFormula>_xlfn.XLOOKUP(tblCostChecklist[[#This Row],[TargetID]],tblTargetStatus[TargetID],tblTargetStatus[Status])</calculatedColumnFormula>
    </tableColumn>
    <tableColumn id="6" xr3:uid="{97679E6B-8CB7-4EEE-AA4B-DA756BA76871}" name="PlayerPa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250D073-B526-474B-B0EF-3DBBA1392392}" name="tblrecommended" displayName="tblrecommended" ref="A2:C104" totalsRowShown="0">
  <autoFilter ref="A2:C104" xr:uid="{F250D073-B526-474B-B0EF-3DBBA1392392}"/>
  <tableColumns count="3">
    <tableColumn id="1" xr3:uid="{DE68A04F-DDE5-458C-BA04-A37C7AB61A98}" name="Order" dataCellStyle="Normal 2"/>
    <tableColumn id="2" xr3:uid="{EAE2DB05-710F-4F91-B8EA-58F87DF92803}" name="PassiveTargetID" dataDxfId="293" dataCellStyle="Normal 2"/>
    <tableColumn id="3" xr3:uid="{81E8AA99-750B-4CAD-91EA-CF76BB082780}" name="ActiveTargetID" dataDxfId="292" dataCellStyle="Normal 2">
      <calculatedColumnFormula>_xlfn.XLOOKUP(
    tblrecommended[[#This Row],[Order]],
    tblwikirecommended[Order],
    tblwikirecommended[Active ID],
    ""
)</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C3F4D90-ABC1-4D8F-A072-32E30C913158}" name="tblwikirecommended" displayName="tblwikirecommended" ref="F2:K104" totalsRowShown="0" headerRowDxfId="291" headerRowCellStyle="Normal 2" dataCellStyle="Normal 2">
  <autoFilter ref="F2:K104" xr:uid="{2C3F4D90-ABC1-4D8F-A072-32E30C913158}"/>
  <tableColumns count="6">
    <tableColumn id="1" xr3:uid="{3AF6762D-1D09-4E9E-B3E9-F2004EDCD9CF}" name="Order" dataCellStyle="Normal 2">
      <calculatedColumnFormula>1+F2</calculatedColumnFormula>
    </tableColumn>
    <tableColumn id="2" xr3:uid="{4169D890-E8D0-465A-B04F-AC30F010B6A6}" name="Passive Buildings"/>
    <tableColumn id="3" xr3:uid="{261FD7C9-C578-4B80-A0F8-CFE438639F34}" name="Passive ID" dataDxfId="290" dataCellStyle="Normal 2">
      <calculatedColumnFormula array="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calculatedColumnFormula>
    </tableColumn>
    <tableColumn id="4" xr3:uid="{3EDEC3C9-98E5-4E74-8E5E-1CF3669EDE6C}" name="Active ID" dataDxfId="289" dataCellStyle="Normal 2">
      <calculatedColumnFormula array="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calculatedColumnFormula>
    </tableColumn>
    <tableColumn id="5" xr3:uid="{E8836C02-D678-4006-B67B-1E594C31F903}" name="Active Buildings" dataCellStyle="Normal 2"/>
    <tableColumn id="6" xr3:uid="{36375836-786E-40A1-A9D7-18C6D32EA0C4}" name="Notes" dataCellStyle="Normal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0806FBC-747E-462B-8D51-BA38CFB84588}" name="tblValidation" displayName="tblValidation" ref="A1:P613" totalsRowShown="0" headerRowDxfId="288" dataDxfId="287">
  <autoFilter ref="A1:P613" xr:uid="{30806FBC-747E-462B-8D51-BA38CFB84588}"/>
  <tableColumns count="16">
    <tableColumn id="1" xr3:uid="{AC1B7BD7-B0F8-4105-AAAB-E122D5FD7205}" name="TargetID" dataDxfId="286">
      <calculatedColumnFormula>IF(OR(V2=0,V2=""),"",V2)</calculatedColumnFormula>
    </tableColumn>
    <tableColumn id="16" xr3:uid="{79373754-7EE2-4EAF-9449-5931FDE1A8D6}" name="TargetType" dataDxfId="285">
      <calculatedColumnFormula>_xlfn.XLOOKUP(tblValidation[[#This Row],[TargetID]],tblTargets[TargetID],tblTargets[TargetType],"")</calculatedColumnFormula>
    </tableColumn>
    <tableColumn id="8" xr3:uid="{537C8BB1-44BD-471E-969A-F367E90CF458}" name="tblTargets[TargetID]" dataDxfId="284">
      <calculatedColumnFormula>COUNTIF(tblTargets[TargetID], $A2) &gt; 0</calculatedColumnFormula>
    </tableColumn>
    <tableColumn id="2" xr3:uid="{6DD428C6-3039-40CC-8FAC-EA95BAF483D8}" name="tblChecklist[TargetID]" dataDxfId="283">
      <calculatedColumnFormula>IF(OR(LEFT(tblValidation[[#This Row],[TargetID]],10)="state.CHAR",RIGHT(tblValidation[[#This Row],[TargetID]],5)="maxed"),TRUE, COUNTIF(tblChecklist[TargetID], $A2) &gt; 0)</calculatedColumnFormula>
    </tableColumn>
    <tableColumn id="3" xr3:uid="{9D99CE71-346A-4F32-AE57-81207B3143F9}" name="tblDependencies[TargetID]" dataDxfId="282">
      <calculatedColumnFormula>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 &gt; 0)</calculatedColumnFormula>
    </tableColumn>
    <tableColumn id="4" xr3:uid="{7BA91E61-2F70-41D8-8E11-D05481C8008F}" name="tblDependencies[DependencyID]" dataDxfId="281">
      <calculatedColumnFormula>COUNTIF(tblDependencies[DependencyID], $A2) &gt; 0</calculatedColumnFormula>
    </tableColumn>
    <tableColumn id="5" xr3:uid="{AB44176E-CB19-44B8-B27F-5ECFA7B96193}" name="tblQuestObjectives[QuestTargetID]" dataDxfId="280">
      <calculatedColumnFormula>COUNTIF(tblQuestObjectives[QuestTargetID], $A2) &gt; 0</calculatedColumnFormula>
    </tableColumn>
    <tableColumn id="6" xr3:uid="{73E01659-41A0-47F4-9400-A25CFE8E234C}" name="tblQuestObjectives[ObjectiveID]" dataDxfId="279">
      <calculatedColumnFormula>COUNTIF(tblQuestObjectives[ObjectiveID], $A2) &gt; 0</calculatedColumnFormula>
    </tableColumn>
    <tableColumn id="7" xr3:uid="{4862A1C9-66C0-4703-BED7-1871F19A216E}" name="tblTargetStatus[TargetID]" dataDxfId="278">
      <calculatedColumnFormula>COUNTIF(tblTargetStatus[TargetID], $A2) &gt; 0</calculatedColumnFormula>
    </tableColumn>
    <tableColumn id="9" xr3:uid="{48DBD905-80B0-417C-8A37-5ADEDBF7CD4C}" name="tblCost[TargetID]" dataDxfId="277">
      <calculatedColumnFormula>COUNTIF(tblCost[TargetID], $A2) &gt; 0</calculatedColumnFormula>
    </tableColumn>
    <tableColumn id="11" xr3:uid="{C3FBE380-5270-43AF-A505-2BF78585EC4D}" name="tblStates[StateID]" dataDxfId="276">
      <calculatedColumnFormula>COUNTIF(tblStates[StateID], $A2) &gt; 0</calculatedColumnFormula>
    </tableColumn>
    <tableColumn id="12" xr3:uid="{DEB35320-F2D4-4762-9E70-5C1E981C91D9}" name="Schema" dataDxfId="275">
      <calculatedColumnFormula>AND(
A2=LOWER(A2),
ISERROR(SEARCH(" ",A2)),
ISERROR(SEARCH("..",A2))
)</calculatedColumnFormula>
    </tableColumn>
    <tableColumn id="13" xr3:uid="{7C243515-AEA4-4B1B-ACC6-EBA535301CFF}" name="DuplicateTarget" dataDxfId="274">
      <calculatedColumnFormula>IF(tblValidation[[#This Row],[TargetID]]="","",COUNTIF(tblTargets[TargetID],A2)&gt;1)</calculatedColumnFormula>
    </tableColumn>
    <tableColumn id="15" xr3:uid="{33E70C71-EC5E-4781-BC20-9D5B800441D2}" name="DuplicateState" dataDxfId="273">
      <calculatedColumnFormula>IF(tblValidation[[#This Row],[TargetID]]="","",COUNTIF(tblStates[StateID],tblValidation[[#This Row],[TargetID]])&gt;1)</calculatedColumnFormula>
    </tableColumn>
    <tableColumn id="18" xr3:uid="{A33FF46C-2999-44EE-B502-9D575C4D5956}" name="TabVerification" dataDxfId="272">
      <calculatedColumnFormula array="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calculatedColumnFormula>
    </tableColumn>
    <tableColumn id="14" xr3:uid="{DC8A07DD-CA9C-464F-9C0A-E4E843496BA4}" name="Orphan" dataDxfId="271">
      <calculatedColumnFormula>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9BC932-633A-45E6-BADF-02AEDBBAE1CF}" name="tblTargets" displayName="tblTargets" ref="A1:H619" totalsRowShown="0">
  <autoFilter ref="A1:H619" xr:uid="{D59BC932-633A-45E6-BADF-02AEDBBAE1CF}"/>
  <tableColumns count="8">
    <tableColumn id="1" xr3:uid="{20126341-B17E-4B9E-A132-1E3517DBCD8F}" name="TargetID"/>
    <tableColumn id="5" xr3:uid="{9AD7EA7A-154C-48BE-88AD-2CEC9093C793}" name="DisplayName"/>
    <tableColumn id="2" xr3:uid="{3817D4F1-83DB-4E68-9DE2-748CD5738F3B}" name="TargetType"/>
    <tableColumn id="9" xr3:uid="{DE8BAC0C-A361-42CB-BEA1-82CFE6A5B602}" name="StateType" dataDxfId="270">
      <calculatedColumnFormula>IF(tblTargets[[#This Row],[TargetType]]="state",UPPER(_xlfn.TEXTBEFORE(_xlfn.TEXTAFTER(tblTargets[[#This Row],[TargetID]],"state."),"_")),"")</calculatedColumnFormula>
    </tableColumn>
    <tableColumn id="6" xr3:uid="{E30B6574-EEC1-4055-A882-9D97E4147060}" name="Trackable"/>
    <tableColumn id="8" xr3:uid="{B1EF0C8D-6D55-4BB1-A806-0486E20F5CEF}" name="CompletionMethod"/>
    <tableColumn id="3" xr3:uid="{F06F945E-CB1F-429E-82BB-893C71395CE6}" name="Active" dataDxfId="269">
      <calculatedColumnFormula>IF(RIGHT(tblTargets[[#This Row],[TargetID]],5)="maxed","",IF(tblTargets[[#This Row],[TargetType]]="BUILDING",_xlfn.XLOOKUP(tblTargets[[#This Row],[TargetID]],Targets!$Q$2:$Q$101,Targets!$O$2:$O$101),"Not a building"))</calculatedColumnFormula>
    </tableColumn>
    <tableColumn id="4" xr3:uid="{C1874CDC-EC39-4D5D-BCFB-F9D87AB6AAC3}" name="Passive" dataDxfId="268">
      <calculatedColumnFormula>IF(RIGHT(tblTargets[[#This Row],[TargetID]],5)="maxed","",IF(tblTargets[[#This Row],[TargetType]]="BUILDING",_xlfn.XLOOKUP(tblTargets[[#This Row],[TargetID]],Targets!$M$2:$M$101,Targets!$K$2:$K$101),"Not a building"))</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0AEEED2-0A72-4121-80A9-D3EB894A70C1}" name="tblTargetStatus" displayName="tblTargetStatus" ref="A1:AA619" totalsRowShown="0" headerRowDxfId="267" dataDxfId="266">
  <autoFilter ref="A1:AA619" xr:uid="{50AEEED2-0A72-4121-80A9-D3EB894A70C1}"/>
  <tableColumns count="27">
    <tableColumn id="1" xr3:uid="{A0905A40-A394-4937-AADD-A668CB59017C}" name="TargetID" dataDxfId="265"/>
    <tableColumn id="2" xr3:uid="{43022C01-9E94-4686-B94B-7D7FB9035D6D}" name="DisplayName" dataDxfId="264">
      <calculatedColumnFormula>_xlfn.XLOOKUP(tblTargetStatus[[#This Row],[TargetID]],tblTargets[TargetID],tblTargets[DisplayName],"")</calculatedColumnFormula>
    </tableColumn>
    <tableColumn id="11" xr3:uid="{377C3C00-CD48-4A4D-B7E1-1153E6F5B55A}" name="Status" dataDxfId="263">
      <calculatedColumnFormula>IF(tblTargetStatus[[#This Row],[PlayerCompleted]],"COMPLETED",IF(tblTargetStatus[[#This Row],[MissingDependencies]]=0,"READY","BLOCKED"))</calculatedColumnFormula>
    </tableColumn>
    <tableColumn id="5" xr3:uid="{809BE802-755E-4DFE-B635-DCCCA1E430D8}" name="PlayerCompleted" dataDxfId="262">
      <calculatedColumnFormula>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calculatedColumnFormula>
    </tableColumn>
    <tableColumn id="3" xr3:uid="{5067BC05-07F0-40F4-B98E-B6D195817998}" name="TargetType" dataDxfId="261">
      <calculatedColumnFormula>_xlfn.XLOOKUP(tblTargetStatus[[#This Row],[TargetID]],tblTargets[TargetID],tblTargets[TargetType],"")</calculatedColumnFormula>
    </tableColumn>
    <tableColumn id="16" xr3:uid="{210716A8-EF78-4214-9DCF-E0769CE0EF3A}" name="StateType" dataDxfId="260">
      <calculatedColumnFormula>_xlfn.XLOOKUP(tblTargetStatus[[#This Row],[TargetID]],tblTargets[TargetID],tblTargets[StateType])</calculatedColumnFormula>
    </tableColumn>
    <tableColumn id="19" xr3:uid="{5829CF1C-3238-4589-B805-1FC38055DBFD}" name="DependencyCount" dataDxfId="259">
      <calculatedColumnFormula>_xlfn.LET(
_xlpm.id,tblTargetStatus[[#This Row],[TargetID]],
_xlpm.depCount,COUNTIF(tblDependencies[TargetID],_xlpm.id),
_xlpm.objCount,COUNTIF(tblQuestObjectives[QuestTargetID],_xlpm.id),
_xlpm.depCount+_xlpm.objCount
)</calculatedColumnFormula>
    </tableColumn>
    <tableColumn id="6" xr3:uid="{E393CDC3-2E18-44C3-A179-3ED60D856C39}" name="TotalDependencies" dataDxfId="258">
      <calculatedColumnFormula>tblTargetStatus[[#This Row],[DependencyCount]]</calculatedColumnFormula>
    </tableColumn>
    <tableColumn id="18" xr3:uid="{F3CC22B3-EAE7-43ED-BF3B-99AC1189A554}" name="CompletedDependencyCount" dataDxfId="257">
      <calculatedColumnFormula array="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calculatedColumnFormula>
    </tableColumn>
    <tableColumn id="7" xr3:uid="{E3BC2FBF-A940-47D1-A111-0CBC3EB2F9E1}" name="CompletedDependencies" dataDxfId="256">
      <calculatedColumnFormula>tblTargetStatus[[#This Row],[CompletedDependencyCount]]</calculatedColumnFormula>
    </tableColumn>
    <tableColumn id="17" xr3:uid="{B8F9C571-5041-4478-8CBC-A36CC68816C1}" name="AllDependenciesComplete" dataDxfId="255">
      <calculatedColumnFormula>tblTargetStatus[[#This Row],[CompletedDependencies]]=tblTargetStatus[[#This Row],[TotalDependencies]]</calculatedColumnFormula>
    </tableColumn>
    <tableColumn id="8" xr3:uid="{1BF62505-C400-4BB1-9980-006BCC4652B3}" name="MissingDependencies" dataDxfId="254">
      <calculatedColumnFormula>tblTargetStatus[[#This Row],[TotalDependencies]]-tblTargetStatus[[#This Row],[CompletedDependencies]]</calculatedColumnFormula>
    </tableColumn>
    <tableColumn id="9" xr3:uid="{2C5B6637-1BAB-4781-ABCB-DC65F665E18A}" name="FirstMissingDependencyID" dataDxfId="253">
      <calculatedColumnFormula array="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calculatedColumnFormula>
    </tableColumn>
    <tableColumn id="10" xr3:uid="{690A2B32-0FF3-4E64-804C-F7292DB73030}" name="FirstMissingDependency" dataDxfId="252">
      <calculatedColumnFormula>IF(tblTargetStatus[[#This Row],[FirstMissingDependencyID]]="","",_xlfn.XLOOKUP(tblTargetStatus[[#This Row],[FirstMissingDependencyID]],tblTargets[TargetID],tblTargets[DisplayName],tblTargetStatus[[#This Row],[FirstMissingDependencyID]]))</calculatedColumnFormula>
    </tableColumn>
    <tableColumn id="12" xr3:uid="{07EA29F0-C735-4F72-B070-D5DCF6EA9579}" name="Cost" dataDxfId="251">
      <calculatedColumnFormula array="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calculatedColumnFormula>
    </tableColumn>
    <tableColumn id="14" xr3:uid="{AC961990-EFA3-4DBB-8CE0-7FC144F3A715}" name="FirstMissingStatus" dataDxfId="250">
      <calculatedColumnFormula>IF(tblTargetStatus[[#This Row],[FirstMissingDependencyID]]="","",_xlfn.XLOOKUP(tblTargetStatus[[#This Row],[FirstMissingDependencyID]],tblTargetStatus[TargetID],tblTargetStatus[Status],""))</calculatedColumnFormula>
    </tableColumn>
    <tableColumn id="15" xr3:uid="{804AFBB6-A9A6-44C2-96DF-1ADBA94A538D}" name="ChainAwareStatus" dataDxfId="249">
      <calculatedColumnFormula>IF(
 tblTargetStatus[[#This Row],[Status]]&lt;&gt;"BLOCKED",
 tblTargetStatus[[#This Row],[Status]],
 IF(
  AND(
   tblTargetStatus[[#This Row],[MissingDependencies]]=1,
   tblTargetStatus[[#This Row],[FirstMissingStatus]]="READY"
  ),
  "ONE AWAY",
  "BLOCKED"
 )
)</calculatedColumnFormula>
    </tableColumn>
    <tableColumn id="4" xr3:uid="{0635E069-173C-4C4F-BF44-4E9C7E8FFB52}" name="PlayerSort" dataDxfId="248">
      <calculatedColumnFormula>IF(
 OR(
  tblTargetStatus[[#This Row],[StateType]]="CHARACTER",
  RIGHT(tblTargetStatus[[#This Row],[TargetID]],6)=".maxed"
 ),
 0,
 _xlfn.LET(
  _xlpm.sort,
   _xlfn.XLOOKUP(
    tblTargetStatus[[#This Row],[TargetID]],
    tblChecklist[TargetID],
    tblChecklist[PlayerSort],
    0
   ),
  IF(_xlpm.sort=0,500,_xlpm.sort)
 )
)</calculatedColumnFormula>
    </tableColumn>
    <tableColumn id="13" xr3:uid="{92CC7081-F25A-43AD-9625-8B6A50504701}" name="successors" dataDxfId="247">
      <calculatedColumnFormula array="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calculatedColumnFormula>
    </tableColumn>
    <tableColumn id="20" xr3:uid="{B5F78152-6DF2-4AFB-A1C0-45FCEBFC6C28}" name="completionmethod" dataDxfId="246">
      <calculatedColumnFormula>_xlfn.XLOOKUP(tblTargetStatus[[#This Row],[TargetID]],tblTargets[TargetID],tblTargets[CompletionMethod],"")</calculatedColumnFormula>
    </tableColumn>
    <tableColumn id="27" xr3:uid="{9D4A2EF8-D398-4266-9ADB-80BCFC924D8F}" name="HasCost" dataDxfId="245">
      <calculatedColumnFormula>COUNTIF(
    tblCost[TargetID],
    tblTargetStatus[[#This Row],[TargetID]]
)&gt;0</calculatedColumnFormula>
    </tableColumn>
    <tableColumn id="21" xr3:uid="{DA2C18D7-478A-4094-A307-823A5883B1A4}" name="FundingPercent" dataDxfId="244" dataCellStyle="Percent">
      <calculatedColumnFormula>IF(tblTargetStatus[[#This Row],[HasCost]]=FALSE,
"N/A",
_xlfn.XLOOKUP(
tblTargetStatus[[#This Row],[TargetID]],
tblCost[TargetID],
tblCost[FundingPercent],
""
)
)</calculatedColumnFormula>
    </tableColumn>
    <tableColumn id="22" xr3:uid="{81A928F8-6238-45BB-904C-75743AA70BBF}" name="RemainingRequirements" dataDxfId="243">
      <calculatedColumnFormula>IF(
COUNTIF(tblCost[TargetID],tblTargetStatus[[#This Row],[TargetID]])=0,
"",
_xlfn.XLOOKUP(
tblTargetStatus[[#This Row],[TargetID]],
tblCost[TargetID],
tblCost[RemainingRequirements],
""
)
)</calculatedColumnFormula>
    </tableColumn>
    <tableColumn id="23" xr3:uid="{9D7922BE-3251-4467-A606-AEB86F8C7FD7}" name="TargetFunded" dataDxfId="242">
      <calculatedColumnFormula>IF(tblTargetStatus[[#This Row],[HasCost]]=FALSE,"N/A",_xlfn.XLOOKUP(
tblTargetStatus[[#This Row],[TargetID]],
tblCost[TargetID],
tblCost[TargetFunded],
TRUE
))</calculatedColumnFormula>
    </tableColumn>
    <tableColumn id="24" xr3:uid="{F6AA0E4C-9DDB-41F8-BE81-0B8BC2529284}" name="OutstandingResources" dataDxfId="241">
      <calculatedColumnFormula array="1">_xlfn.TEXTJOIN(
", ",
TRUE,
_xlfn._xlws.FILTER(
tblCost[ResourceID]&amp;": "&amp;tblCost[QuantityRequired],
(tblCost[TargetID]=tblTargetStatus[[#This Row],[TargetID]])*
(tblCost[PlayerPaid]=FALSE),
""
)
)</calculatedColumnFormula>
    </tableColumn>
    <tableColumn id="25" xr3:uid="{524206CA-8740-42F3-8F35-72A773FCA76A}" name="OpenQuest" dataDxfId="240">
      <calculatedColumnFormula>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calculatedColumnFormula>
    </tableColumn>
    <tableColumn id="26" xr3:uid="{22D9BC6E-D69B-473F-B9D0-3B723110CF82}" name="PendingQuestAcceptances" dataDxfId="239">
      <calculatedColumnFormula array="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136C37-ABAF-4E08-9A0F-E7136E11EA67}" name="tblCost" displayName="tblCost" ref="A1:M2012" totalsRowShown="0">
  <autoFilter ref="A1:M2012" xr:uid="{46136C37-ABAF-4E08-9A0F-E7136E11EA67}"/>
  <tableColumns count="13">
    <tableColumn id="1" xr3:uid="{503F6DA5-F857-44AA-B21F-8CCA8F45BCF0}" name="RequirementID" dataDxfId="333"/>
    <tableColumn id="4" xr3:uid="{EE5A488D-E3B0-477A-B143-AA911813447F}" name="TargetID" dataDxfId="332">
      <calculatedColumnFormula>_xlfn.TEXTAFTER(_xlfn.TEXTBEFORE(tblCost[[#This Row],[RequirementID]],".",-2),"cost.")</calculatedColumnFormula>
    </tableColumn>
    <tableColumn id="6" xr3:uid="{4E364F1E-E798-4593-AE9A-C1CD3A1C3BFF}" name="DisplayName" dataDxfId="331">
      <calculatedColumnFormula>_xlfn.XLOOKUP(tblCost[[#This Row],[TargetID]],tblTargets[TargetID],tblTargets[DisplayName],"")</calculatedColumnFormula>
    </tableColumn>
    <tableColumn id="7" xr3:uid="{4F52B1FB-1649-442D-8A7B-2A80279C9A6D}" name="TargetType" dataDxfId="330">
      <calculatedColumnFormula>_xlfn.XLOOKUP(tblCost[[#This Row],[TargetID]],tblTargets[TargetID],tblTargets[TargetType],"")</calculatedColumnFormula>
    </tableColumn>
    <tableColumn id="8" xr3:uid="{198FB310-08D3-4D2A-AE0E-EEB8D846DBDF}" name="ResourceID" dataDxfId="329"/>
    <tableColumn id="9" xr3:uid="{0EE8BD67-7A70-494D-BBE1-3292FBBAB788}" name="PaymentSlot" dataDxfId="328">
      <calculatedColumnFormula>RIGHT(tblCost[[#This Row],[RequirementID]],1)</calculatedColumnFormula>
    </tableColumn>
    <tableColumn id="10" xr3:uid="{B46E13D8-3CF6-4926-A8A2-7C1A8474BD2B}" name="QuantityRequired" dataDxfId="327"/>
    <tableColumn id="11" xr3:uid="{80CC34BD-090A-4E1F-9F1E-0C53CFB10AA9}" name="PlayerPaid">
      <calculatedColumnFormula>COUNTIFS(tblCostChecklist[RequirementID],tblCost[[#This Row],[RequirementID]],tblCostChecklist[PlayerPaid],TRUE)&gt;0</calculatedColumnFormula>
    </tableColumn>
    <tableColumn id="5" xr3:uid="{47C22BD9-8809-4052-964C-55589D8BFC9A}" name="TargetRequirements" dataDxfId="326">
      <calculatedColumnFormula>COUNTIF(tblCost[TargetID],tblCost[[#This Row],[TargetID]])</calculatedColumnFormula>
    </tableColumn>
    <tableColumn id="13" xr3:uid="{2011F040-B287-44A5-B78A-FFB1817084C2}" name="CompletedRequirements" dataDxfId="325">
      <calculatedColumnFormula>COUNTIFS(tblCost[TargetID],tblCost[[#This Row],[TargetID]],tblCost[PlayerPaid],TRUE)</calculatedColumnFormula>
    </tableColumn>
    <tableColumn id="14" xr3:uid="{5CD4A4A3-917E-4CE9-A087-6A9F7837E686}" name="RemainingRequirements" dataDxfId="324">
      <calculatedColumnFormula>tblCost[[#This Row],[TargetRequirements]]-tblCost[[#This Row],[CompletedRequirements]]</calculatedColumnFormula>
    </tableColumn>
    <tableColumn id="15" xr3:uid="{DB42DB4C-8964-4976-A530-F357508E5776}" name="TargetFunded" dataDxfId="323">
      <calculatedColumnFormula>tblCost[[#This Row],[RemainingRequirements]]=0</calculatedColumnFormula>
    </tableColumn>
    <tableColumn id="16" xr3:uid="{761DD37A-FD8F-4D63-88EC-BEDCEE222F53}" name="FundingPercent" dataDxfId="322">
      <calculatedColumnFormula>IF(tblCost[[#This Row],[TargetRequirements]]=0,0,tblCost[[#This Row],[CompletedRequirements]]/tblCost[[#This Row],[TargetRequirements]])</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C25823-01E2-4C45-9CC7-7603511C0F00}" name="tblDependencies" displayName="tblDependencies" ref="A1:B798" headerRowDxfId="238" dataDxfId="237">
  <autoFilter ref="A1:B798" xr:uid="{83C25823-01E2-4C45-9CC7-7603511C0F00}"/>
  <tableColumns count="2">
    <tableColumn id="1" xr3:uid="{F9AB8BD3-5B9F-4BD8-83B5-10EF4BD7C5F2}" name="TargetID" totalsRowDxfId="236"/>
    <tableColumn id="2" xr3:uid="{FA1CAC64-419C-438D-B643-3C6806C0F3F7}" name="DependencyID" totalsRowDxfId="23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B092705-A29B-4CFD-A027-04FFADE5C00B}" name="tblQuestObjectives" displayName="tblQuestObjectives" ref="A1:H148" totalsRowShown="0" headerRowDxfId="234" dataDxfId="233">
  <autoFilter ref="A1:H148" xr:uid="{2B092705-A29B-4CFD-A027-04FFADE5C00B}">
    <filterColumn colId="0">
      <filters>
        <filter val="quest.once_upon_a_forest_chapter_1.finished"/>
        <filter val="quest.once_upon_a_forest_chapter_10.finished"/>
        <filter val="quest.once_upon_a_forest_chapter_11.finished"/>
        <filter val="quest.once_upon_a_forest_chapter_12.finished"/>
        <filter val="quest.once_upon_a_forest_chapter_13.finished"/>
        <filter val="quest.once_upon_a_forest_chapter_14.finished"/>
        <filter val="quest.once_upon_a_forest_chapter_15.finished"/>
        <filter val="quest.once_upon_a_forest_chapter_2.finished"/>
        <filter val="quest.once_upon_a_forest_chapter_3.finished"/>
        <filter val="quest.once_upon_a_forest_chapter_4.finished"/>
        <filter val="quest.once_upon_a_forest_chapter_6.finished"/>
        <filter val="quest.once_upon_a_forest_chapter_7.finished"/>
        <filter val="quest.once_upon_a_forest_chapter_9.finished"/>
      </filters>
    </filterColumn>
  </autoFilter>
  <tableColumns count="8">
    <tableColumn id="1" xr3:uid="{E15C4697-656F-4EE1-B9B7-25161A6BD4B3}" name="QuestTargetID" dataDxfId="232"/>
    <tableColumn id="2" xr3:uid="{C3409917-000E-4340-870F-EB9590B4D22A}" name="ObjectiveNumber" dataDxfId="231"/>
    <tableColumn id="3" xr3:uid="{1E320D21-2110-473F-BA4D-CCD56BD6AD5F}" name="ObjectiveDisplayName" dataDxfId="230">
      <calculatedColumnFormula>_xlfn.XLOOKUP(
tblQuestObjectives[[#This Row],[ObjectiveID]],
tblTargetStatus[TargetID],
tblTargetStatus[DisplayName],
""
)</calculatedColumnFormula>
    </tableColumn>
    <tableColumn id="4" xr3:uid="{8B1241A3-B255-4500-8F49-F079F9508C97}" name="ObjectiveType" dataDxfId="229">
      <calculatedColumnFormula>_xlfn.XLOOKUP(tblQuestObjectives[[#This Row],[ObjectiveID]],tblTargets[TargetID],tblTargets[TargetType],"")</calculatedColumnFormula>
    </tableColumn>
    <tableColumn id="5" xr3:uid="{E038ABF2-CE83-4B1A-91D3-9455EDA86FBD}" name="ObjectiveID" dataDxfId="228"/>
    <tableColumn id="6" xr3:uid="{DC1A052E-1301-4BAC-BF22-7769415188E8}" name="Outstanding" dataDxfId="227">
      <calculatedColumnFormula>NOT(
    _xlfn.XLOOKUP(
        tblQuestObjectives[[#This Row],[ObjectiveID]],
        tblTargetStatus[TargetID],
        tblTargetStatus[PlayerCompleted],
        FALSE
    )
)</calculatedColumnFormula>
    </tableColumn>
    <tableColumn id="7" xr3:uid="{87638993-C922-4DB8-8590-9D99EFFCC1D7}" name="activequest" dataDxfId="226">
      <calculatedColumnFormula>_xlfn.LET(
_xlpm.acceptedID,_xlfn.TEXTBEFORE(tblQuestObjectives[[#This Row],[QuestTargetID]],".finished")&amp;".accepted",
_xlfn.XLOOKUP(
_xlpm.acceptedID,
tblTargetStatus[TargetID],
tblTargetStatus[PlayerCompleted],
FALSE
)
)</calculatedColumnFormula>
    </tableColumn>
    <tableColumn id="8" xr3:uid="{16A6CEA2-7C25-4144-9442-209BDDA69274}" name="QuestDisplayName" dataDxfId="225">
      <calculatedColumnFormula>_xlfn.LET(
    _xlpm.name,
    _xlfn.XLOOKUP(
        tblQuestObjectives[[#This Row],[QuestTargetID]],
        tblTargetStatus[TargetID],
        tblTargetStatus[DisplayName],
        ""
    ),
    SUBSTITUTE(
        SUBSTITUTE(_xlpm.name," Accepted",""),
        " Finished",""
    )
)</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1AC51ED-BB4B-4FEC-A612-1C635D46D5AE}" name="tblCostTemp" displayName="tblCostTemp" ref="A1:D310" totalsRowShown="0">
  <autoFilter ref="A1:D310" xr:uid="{F1AC51ED-BB4B-4FEC-A612-1C635D46D5AE}"/>
  <tableColumns count="4">
    <tableColumn id="1" xr3:uid="{A8B5BF6D-CFDC-440F-AAE0-A6EEFC04E744}" name="TargetID" dataDxfId="224"/>
    <tableColumn id="2" xr3:uid="{C83BBEE5-F03F-4E20-AAC3-5BF7F9AE6122}" name="TargetType">
      <calculatedColumnFormula>_xlfn.XLOOKUP(tblCostTemp[[#This Row],[TargetID]],tblTargets[TargetID],tblTargets[TargetType],"")</calculatedColumnFormula>
    </tableColumn>
    <tableColumn id="3" xr3:uid="{C0F26CCB-B096-454F-B32F-7D458F67907D}" name="DisplayName" dataDxfId="223">
      <calculatedColumnFormula>_xlfn.XLOOKUP(tblCostTemp[[#This Row],[TargetID]],tblTargets[TargetID],tblTargets[DisplayName],"")</calculatedColumnFormula>
    </tableColumn>
    <tableColumn id="4" xr3:uid="{96A928E0-4C04-456C-917C-F002271DBCD2}" name="costtext" dataDxfId="22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DC9B70-3704-457B-B043-FCB59CDA8021}" name="tblBuildings" displayName="tblBuildings" ref="A1:CH109" totalsRowShown="0">
  <autoFilter ref="A1:CH109" xr:uid="{83DC9B70-3704-457B-B043-FCB59CDA8021}"/>
  <tableColumns count="86">
    <tableColumn id="1" xr3:uid="{C554A36A-B38E-4CC0-A978-D8657FF58645}" name="BuildingID" dataDxfId="221"/>
    <tableColumn id="2" xr3:uid="{204A00C4-123A-4160-AFC6-7956EBD0A683}" name="Key" dataDxfId="220"/>
    <tableColumn id="14" xr3:uid="{EA98B739-EC1F-48B2-A029-E4A221C5911E}" name="BuildingName" dataDxfId="219"/>
    <tableColumn id="4" xr3:uid="{8BB206AE-2D25-4D03-91FD-0BEC4BE54962}" name="DisplayName" dataDxfId="218">
      <calculatedColumnFormula>_xlfn.XLOOKUP(tblBuildings[[#This Row],[BuildingID]],tblTargets[TargetID],tblTargets[DisplayName],"")</calculatedColumnFormula>
    </tableColumn>
    <tableColumn id="6" xr3:uid="{7B2E59CB-28EB-4A2F-9400-A4E8BF53DC11}" name="Trackable" dataDxfId="217"/>
    <tableColumn id="3" xr3:uid="{9AC04729-CC04-4C89-921B-1730D8C8D589}" name="Level" dataDxfId="216"/>
    <tableColumn id="10" xr3:uid="{01BC8AF5-7301-46D6-BF4A-31F89AC096A3}" name="CharacterLevelReq"/>
    <tableColumn id="11" xr3:uid="{30D854BF-9E81-4E74-8837-F5849E0BBA60}" name="description"/>
    <tableColumn id="8" xr3:uid="{6489EFF8-E10E-4D9B-B017-25A147EEA528}" name="Notes"/>
    <tableColumn id="12" xr3:uid="{B7E19A26-BF9C-411B-960F-161B5D357CFC}" name="cost"/>
    <tableColumn id="15" xr3:uid="{7FCF39EB-F8BD-4B98-B4EB-44B57BFCE48D}" name="PrereqText"/>
    <tableColumn id="16" xr3:uid="{849FB38D-49C3-40BD-BC2E-525BA6FDA6E8}" name="prereq_tokens_auto"/>
    <tableColumn id="5" xr3:uid="{03E01970-9AD3-4172-8906-415E98C2B1CD}" name="WikiName"/>
    <tableColumn id="7" xr3:uid="{555EA2A9-7E17-4C22-9847-5BEDFEAB248D}" name="costtext"/>
    <tableColumn id="13" xr3:uid="{D360EF88-E4BF-4C13-9FBA-DFA05C623698}" name="coustcount" dataDxfId="215">
      <calculatedColumnFormula>IF(tblBuildings[[#This Row],[costtext]]="", 0, LEN(tblBuildings[[#This Row],[costtext]]) - LEN(SUBSTITUTE(tblBuildings[[#This Row],[costtext]], ",", "")) + 1)</calculatedColumnFormula>
    </tableColumn>
    <tableColumn id="9" xr3:uid="{5E878BBF-A388-47A1-A471-519A3544A7B5}" name="resourcecount" dataDxfId="214">
      <calculatedColumnFormula>COUNTIF(tblBuildings[[#This Row],[anchor]:[wood]],"&gt;0")</calculatedColumnFormula>
    </tableColumn>
    <tableColumn id="18" xr3:uid="{B930A654-7A1C-401F-8607-DF5444F313E0}" name="anchor"/>
    <tableColumn id="19" xr3:uid="{1D7623C5-6AAC-4120-ABD4-8889D21CC2DC}" name="apy"/>
    <tableColumn id="20" xr3:uid="{FABC8B7E-0DE7-4C68-A285-0617D6C8797A}" name="arrows"/>
    <tableColumn id="21" xr3:uid="{ADB7C829-0E3F-4B97-A9DE-FB24193C8942}" name="bamboo"/>
    <tableColumn id="22" xr3:uid="{B854B592-45A9-4238-9A35-6DF5E4994AD3}" name="beam"/>
    <tableColumn id="23" xr3:uid="{F89F98BC-70A8-4D8C-94A1-831CBC752E0D}" name="beans"/>
    <tableColumn id="24" xr3:uid="{C7CF4B33-2155-4C33-B4AF-4FC2BC4F77D1}" name="bento"/>
    <tableColumn id="25" xr3:uid="{5F5E4386-4C02-42EA-9C95-8891E5A8D198}" name="bluecrystal"/>
    <tableColumn id="26" xr3:uid="{2EF6A41E-6749-4DF6-A442-664FDC7A46A4}" name="blueprint"/>
    <tableColumn id="27" xr3:uid="{A238E74A-8BAD-4306-83F8-865356CCFA18}" name="charcoal"/>
    <tableColumn id="28" xr3:uid="{76B8238B-DFEC-4D0E-B288-E50A5D7BD6D2}" name="chemicals"/>
    <tableColumn id="29" xr3:uid="{15AEC82E-EB42-4BF7-9A54-4B3704A6B690}" name="clew"/>
    <tableColumn id="30" xr3:uid="{282CB411-5974-49AE-AAF7-6EE4FF2F2C2D}" name="coin"/>
    <tableColumn id="31" xr3:uid="{3EE7377A-83F5-43DD-B00C-B7464E31265B}" name="crypto"/>
    <tableColumn id="32" xr3:uid="{19DC2BBB-9BF4-4BEA-A6C3-BC0CEF5E2E8F}" name="drum"/>
    <tableColumn id="33" xr3:uid="{FF795FED-089E-439C-8011-328B977310E9}" name="egg"/>
    <tableColumn id="34" xr3:uid="{29718803-D553-47C5-B65A-27B71186194A}" name="enzyme"/>
    <tableColumn id="35" xr3:uid="{1565859E-7CA1-4436-B030-A82E9377F786}" name="fan"/>
    <tableColumn id="36" xr3:uid="{0D0E9325-E74C-44F6-BF05-A97F552219B0}" name="floppy"/>
    <tableColumn id="37" xr3:uid="{67979E36-2C10-40D2-83AE-D4A501A0E8F7}" name="gears"/>
    <tableColumn id="38" xr3:uid="{277753A8-F74E-4FE6-B6C0-C4C24C32D85E}" name="glass"/>
    <tableColumn id="39" xr3:uid="{E9A6B446-D38E-419E-B858-0858EB1ACAF1}" name="goat"/>
    <tableColumn id="40" xr3:uid="{2D8BA853-9D93-4B4B-989D-2954550BADDE}" name="greencrystal"/>
    <tableColumn id="41" xr3:uid="{BE8AEE11-2B6A-4D89-A533-41FDDEEC8A5C}" name="grimoire"/>
    <tableColumn id="42" xr3:uid="{C2C0AC9D-6896-433E-B0D0-95AAB939A37C}" name="gunpowder"/>
    <tableColumn id="43" xr3:uid="{8F73F57A-7F5B-4385-949E-2124EE88EABD}" name="herbs"/>
    <tableColumn id="44" xr3:uid="{E5D85E15-9701-4671-8976-474A3891F37B}" name="ingot"/>
    <tableColumn id="45" xr3:uid="{1B9A322F-2E67-40B6-B751-4895205B1E87}" name="katana"/>
    <tableColumn id="46" xr3:uid="{2454DFC2-4B13-4A91-8FFB-9E061CFA980C}" name="kimono"/>
    <tableColumn id="47" xr3:uid="{F16877A7-DF25-45FB-A2C4-4C84C18077D3}" name="koji"/>
    <tableColumn id="48" xr3:uid="{838BBCFA-44C3-4A5E-8F16-C2814A520224}" name="kunai"/>
    <tableColumn id="49" xr3:uid="{3C3BED4F-A76A-4071-8FD7-5C8ED05C1819}" name="malu"/>
    <tableColumn id="50" xr3:uid="{8A2444FF-3F94-4DA9-8BB9-52200AD44E4B}" name="mechanism"/>
    <tableColumn id="51" xr3:uid="{E11E89F1-8635-41AC-9F62-F26475F69F71}" name="mercury"/>
    <tableColumn id="52" xr3:uid="{68EA1481-6F06-4CF0-8E3A-34EE447DBAFB}" name="microchip"/>
    <tableColumn id="53" xr3:uid="{0C51927F-6E0E-4E36-AAC2-1C4A99232A1A}" name="milk"/>
    <tableColumn id="54" xr3:uid="{D652D3F2-9954-48C5-A2C6-DD8F2ED2AE65}" name="miron"/>
    <tableColumn id="55" xr3:uid="{4A56CA47-2C07-465C-9011-A6A58B2DFBC4}" name="mortar"/>
    <tableColumn id="56" xr3:uid="{D309075F-01CA-47BA-B8CD-F72BE91D918C}" name="mspider"/>
    <tableColumn id="57" xr3:uid="{5DF52E30-494E-4DB6-A1B0-8E1AAACE953C}" name="msteel"/>
    <tableColumn id="58" xr3:uid="{EC4D32ED-4655-406F-ADFA-621F76FD9269}" name="ninja"/>
    <tableColumn id="59" xr3:uid="{C9607DAC-39DC-4439-920D-EB8F07FA6273}" name="oil"/>
    <tableColumn id="60" xr3:uid="{9A2DA73D-F983-4B19-B42B-004E87255601}" name="page"/>
    <tableColumn id="61" xr3:uid="{75B4B5B9-65A5-44F4-837B-BB1DB66F550C}" name="paper"/>
    <tableColumn id="62" xr3:uid="{EFE15702-C692-484D-9C02-AA50D055352B}" name="pcard"/>
    <tableColumn id="63" xr3:uid="{BB9591AD-9E43-45B9-A8EB-9AD97E03FC9E}" name="pearl"/>
    <tableColumn id="64" xr3:uid="{4F27FCE5-D892-43CA-8D21-05FBD6EAA5B9}" name="petard"/>
    <tableColumn id="65" xr3:uid="{76377D98-BEF6-48E4-A2D7-4981C3C74338}" name="plank"/>
    <tableColumn id="66" xr3:uid="{8DFCE983-6CBB-4110-A570-50CBB5E37AC2}" name="poe"/>
    <tableColumn id="67" xr3:uid="{BC2F4E8B-2D6C-426B-AB67-F7FDBEE6D66B}" name="quartz"/>
    <tableColumn id="68" xr3:uid="{E6A2BF09-6089-4155-8109-F6BE510D12F1}" name="ramen"/>
    <tableColumn id="69" xr3:uid="{8F677A7E-CDF5-426A-8099-8B39994AA15E}" name="reagent"/>
    <tableColumn id="70" xr3:uid="{C5CD7702-4E3F-4AA9-B419-C11A5ED6E52D}" name="redcrystal"/>
    <tableColumn id="71" xr3:uid="{F12904E6-F9F0-4AFF-AD80-BA085F9B8A8A}" name="rice"/>
    <tableColumn id="72" xr3:uid="{D9985ED6-C24C-4EE0-95D3-C0C16CB27C76}" name="ruby"/>
    <tableColumn id="73" xr3:uid="{4FDD4215-DCAE-4824-8237-8B6EE08EF059}" name="samurai"/>
    <tableColumn id="74" xr3:uid="{552D1081-A995-4A5D-9394-9400D1F31E73}" name="scroll"/>
    <tableColumn id="75" xr3:uid="{7898D9A7-3969-4EF1-9C4D-2613F0E52EE5}" name="silk"/>
    <tableColumn id="76" xr3:uid="{E29F0D02-DA64-4D1B-8034-0A659265245F}" name="smoothie"/>
    <tableColumn id="77" xr3:uid="{F4581736-2857-4AAA-BB5B-EF3E87B61F20}" name="soy"/>
    <tableColumn id="78" xr3:uid="{FF4911AD-7352-493E-9E45-531EA40B5912}" name="soybean"/>
    <tableColumn id="79" xr3:uid="{96195BB0-FE14-4079-B995-483126260CCB}" name="spices"/>
    <tableColumn id="80" xr3:uid="{A6E91DE3-98DA-4A84-97B6-98FF59C31726}" name="steel"/>
    <tableColumn id="81" xr3:uid="{52363AC1-62F5-4945-9BFC-C942BA442E03}" name="stone"/>
    <tableColumn id="82" xr3:uid="{4549591E-244E-42BD-B9BC-D2698077FE13}" name="sushi"/>
    <tableColumn id="83" xr3:uid="{5656C290-D23E-41E7-BF5E-609B89B65986}" name="thread"/>
    <tableColumn id="84" xr3:uid="{9FC919C7-54EB-4165-9D60-7D60869CB046}" name="titanium"/>
    <tableColumn id="85" xr3:uid="{65D3E9D3-A606-40D9-B506-E74EEC54120F}" name="treasure"/>
    <tableColumn id="86" xr3:uid="{99F4579E-021D-4E86-91B0-8373D33FC5E9}" name="wheat"/>
    <tableColumn id="87" xr3:uid="{D5A8976C-9966-48E3-A9C0-EED8E683450B}" name="woo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863AAC-3DC7-48DA-B9B9-24853F5E19F2}" name="tblCitadel" displayName="tblCitadel" ref="A1:AA16" totalsRowShown="0">
  <autoFilter ref="A1:AA16" xr:uid="{61863AAC-3DC7-48DA-B9B9-24853F5E19F2}"/>
  <tableColumns count="27">
    <tableColumn id="1" xr3:uid="{B07386CE-29EE-441A-9519-24384594F51D}" name="CitadelID"/>
    <tableColumn id="2" xr3:uid="{54E6B4AF-4FB4-48E3-B623-45ED9128C709}" name="Key"/>
    <tableColumn id="3" xr3:uid="{135A98F4-1932-4875-98CD-CC74435ADD6C}" name="CitadelName"/>
    <tableColumn id="4" xr3:uid="{F9AB53EF-B665-4AB3-9946-B900B7BAEEC6}" name="DisplayName">
      <calculatedColumnFormula>_xlfn.XLOOKUP(tblCitadel[[#This Row],[CitadelID]],tblTargets[TargetID],tblTargets[DisplayName],"")</calculatedColumnFormula>
    </tableColumn>
    <tableColumn id="5" xr3:uid="{926CC5FB-334D-4181-91A6-A67351EF7F7A}" name="Trackable"/>
    <tableColumn id="6" xr3:uid="{3D3B4407-243A-4EB5-89A0-AA1F5BD15092}" name="Cost"/>
    <tableColumn id="7" xr3:uid="{7825524E-E39B-402C-8A45-F578D1E5D99D}" name="Note"/>
    <tableColumn id="10" xr3:uid="{5C1CAAD6-DAE0-4126-9B66-F5E1F48C0246}" name="all_prereqs"/>
    <tableColumn id="11" xr3:uid="{2AFAFF62-6C7B-449F-9287-B016F90B068B}" name="unlocks"/>
    <tableColumn id="12" xr3:uid="{2A6EB7DF-53CF-47A9-9974-97F9C42C9D49}" name="prereq_tokens_auto"/>
    <tableColumn id="17" xr3:uid="{078241CD-FE7B-44EC-BB75-EA2A676BDA3D}" name="costtext"/>
    <tableColumn id="8" xr3:uid="{D23E2A4D-85F9-4B05-A807-F4D1162F1141}" name="coustcount" dataDxfId="213">
      <calculatedColumnFormula>IF(tblCitadel[[#This Row],[costtext]]="", 0, LEN(tblCitadel[[#This Row],[costtext]]) - LEN(SUBSTITUTE(tblCitadel[[#This Row],[costtext]], ",", "")) + 1)</calculatedColumnFormula>
    </tableColumn>
    <tableColumn id="9" xr3:uid="{15CB0D28-E9E5-46DD-B0A4-54D841EA151C}" name="resourcecount" dataDxfId="212">
      <calculatedColumnFormula>COUNTA(tblCitadel[[#This Row],[beam]:[wood]])</calculatedColumnFormula>
    </tableColumn>
    <tableColumn id="18" xr3:uid="{41AB2172-E31E-4939-910C-C75BDD498AEA}" name="beam"/>
    <tableColumn id="19" xr3:uid="{C5C56DBB-4D8D-41FA-AE64-F7AF7DD604C9}" name="coin"/>
    <tableColumn id="20" xr3:uid="{31CE8E18-1B19-454B-85DD-7CDD0C17F7BF}" name="crypto"/>
    <tableColumn id="21" xr3:uid="{405B9CDF-ADF4-4A1D-AF61-9C20A690CC15}" name="enzyme"/>
    <tableColumn id="22" xr3:uid="{E6CA7012-F710-40F3-B9DA-C67DE509115C}" name="grimoire"/>
    <tableColumn id="23" xr3:uid="{42A76D7E-64C2-4012-8E3A-A8FC104C4A7F}" name="inarizushi"/>
    <tableColumn id="24" xr3:uid="{59A897FE-8045-423B-B3BC-165CBF713F68}" name="page"/>
    <tableColumn id="25" xr3:uid="{12E568DF-0829-41C1-A9CB-BC21A1C8EE06}" name="plank"/>
    <tableColumn id="26" xr3:uid="{2FC59125-0481-4B0E-B51C-26700C819CF5}" name="ruby"/>
    <tableColumn id="27" xr3:uid="{4F0EBEEC-6711-47A7-B8AA-3DA0A92BFFE8}" name="softcheese"/>
    <tableColumn id="28" xr3:uid="{4AEA1BA9-82A4-491F-AAE7-BF65F3F606C8}" name="steel"/>
    <tableColumn id="29" xr3:uid="{3033079F-E973-4634-ACC8-3012BB356672}" name="stone"/>
    <tableColumn id="30" xr3:uid="{F825A00C-B23B-4208-B8DD-AFA69367A44F}" name="treasure"/>
    <tableColumn id="31" xr3:uid="{E6AB1E00-9FB4-4D6D-A89F-8D743F7BD333}" name="wood"/>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2C0A35-392A-43AC-B826-E6DDFE5186EB}" name="tblCollections" displayName="tblCollections" ref="A1:EN89" totalsRowShown="0">
  <autoFilter ref="A1:EN89" xr:uid="{CF2C0A35-392A-43AC-B826-E6DDFE5186EB}"/>
  <tableColumns count="144">
    <tableColumn id="1" xr3:uid="{0B9C6424-0849-4682-9795-31BFCC8E0DDD}" name="CollectionID"/>
    <tableColumn id="2" xr3:uid="{673727C4-B7CE-4668-B22C-E40F3CA92182}" name="Key"/>
    <tableColumn id="4" xr3:uid="{9DEF215C-C7C1-475C-B2C7-3579CAE63944}" name="CollectionName"/>
    <tableColumn id="5" xr3:uid="{E4D488F0-BE29-44AD-9C6E-19C1271A2745}" name="DisplayName" dataDxfId="211">
      <calculatedColumnFormula>_xlfn.XLOOKUP(tblCollections[[#This Row],[CollectionID]],tblTargets[TargetID],tblTargets[DisplayName],"")</calculatedColumnFormula>
    </tableColumn>
    <tableColumn id="6" xr3:uid="{94F1B51B-2160-4AA3-A2D2-CD25783EC8C3}" name="Trackable"/>
    <tableColumn id="3" xr3:uid="{B76676AB-4301-41DD-850D-76BF34CACDBE}" name="Level"/>
    <tableColumn id="7" xr3:uid="{061802D7-50B5-45DA-9343-69AB39EBFEB7}" name="Cost"/>
    <tableColumn id="8" xr3:uid="{0B282004-2B1D-4552-A955-1335F510D005}" name="Note"/>
    <tableColumn id="9" xr3:uid="{C5C93A98-7AD8-4E08-8065-89D1F935B1AF}" name="all_prereqs"/>
    <tableColumn id="10" xr3:uid="{69088081-FEEE-4317-BAED-07140D937E8C}" name="prereq_tokens_auto"/>
    <tableColumn id="11" xr3:uid="{B12C2088-9EB9-4940-8D98-5CC0E7F48682}" name="costtext" dataDxfId="210"/>
    <tableColumn id="142" xr3:uid="{5E328AB1-5708-4EB2-9DC0-0E307671E25F}" name="coustcount" dataDxfId="209">
      <calculatedColumnFormula>IF(tblCollections[[#This Row],[costtext]]="", 0, LEN(tblCollections[[#This Row],[costtext]]) - LEN(SUBSTITUTE(tblCollections[[#This Row],[costtext]], ",", "")) + 1)</calculatedColumnFormula>
    </tableColumn>
    <tableColumn id="143" xr3:uid="{F6B54398-B10A-4ECE-8728-D9BC3D3C3137}" name="resourcecount" dataDxfId="208">
      <calculatedColumnFormula>COUNTA(tblCollections[[#This Row],[apy]:[wood]])</calculatedColumnFormula>
    </tableColumn>
    <tableColumn id="12" xr3:uid="{BA9CAA8E-1B06-49AB-A7E6-9217266B9AB9}" name="apy"/>
    <tableColumn id="13" xr3:uid="{BB1DE656-3E19-4325-A185-1EB0564B9130}" name="armor1"/>
    <tableColumn id="14" xr3:uid="{DB0C6C15-070F-4EA4-8410-543AA0AC9025}" name="armor2"/>
    <tableColumn id="15" xr3:uid="{0A0E0739-C007-4ED1-BB55-615DF351A04B}" name="armor3"/>
    <tableColumn id="16" xr3:uid="{F2EFCD23-62CF-476A-B2F7-474AECDA3986}" name="armor4"/>
    <tableColumn id="17" xr3:uid="{C44769DB-A87C-449F-952B-94A395FBDADC}" name="armor4p"/>
    <tableColumn id="18" xr3:uid="{90D26243-AD93-4543-8BAC-206B533D3CAC}" name="avocado"/>
    <tableColumn id="19" xr3:uid="{E5FCE8E5-CF59-458A-AD7B-CC68C1FCD36C}" name="bamboo"/>
    <tableColumn id="20" xr3:uid="{DA65326E-737E-49EE-AF9E-9E21FA48AE13}" name="bamboo.2"/>
    <tableColumn id="21" xr3:uid="{93AF122A-D524-4B69-8784-DE981D3E1BDD}" name="bamboo.3"/>
    <tableColumn id="22" xr3:uid="{29CA131A-241F-4C49-87E5-682698D4FBFC}" name="beans"/>
    <tableColumn id="23" xr3:uid="{9BC17E35-1190-44BA-AD74-4FE3426E7143}" name="bluecrystal"/>
    <tableColumn id="24" xr3:uid="{9859C8C7-F4C0-4B77-A918-415A7F9A37A9}" name="blueprint"/>
    <tableColumn id="25" xr3:uid="{23903631-DDFF-4BBB-896D-E04791B7BF33}" name="cake"/>
    <tableColumn id="26" xr3:uid="{CAF68CA3-F761-4C0E-8C99-2EA49615AD54}" name="charcoal"/>
    <tableColumn id="27" xr3:uid="{E315823D-7641-4A74-BFD6-444D6C03FC82}" name="chemicals"/>
    <tableColumn id="28" xr3:uid="{BB3A7D06-67A1-4559-9DCB-73D5BF2651B5}" name="cherry"/>
    <tableColumn id="29" xr3:uid="{B26ADF5A-1FAA-48F4-95C7-74318EF8E230}" name="cherry.2"/>
    <tableColumn id="30" xr3:uid="{EE39C29B-83FD-4A2F-B460-7B86378523A0}" name="cherry.3"/>
    <tableColumn id="31" xr3:uid="{E09FA84F-04AE-44FF-A145-7F9960FA9C6E}" name="cherry.4"/>
    <tableColumn id="32" xr3:uid="{03E49A6F-622F-48B6-B5F6-A1577D18DD27}" name="cherry.5"/>
    <tableColumn id="33" xr3:uid="{F33AB5E9-6266-4882-8E6D-9D98DB27FB71}" name="cherry.6"/>
    <tableColumn id="34" xr3:uid="{0F145FEC-B207-41A3-A751-7450988063A6}" name="cinnabar"/>
    <tableColumn id="35" xr3:uid="{2BBDF581-A1B3-4BAA-8248-0277C942026E}" name="coin"/>
    <tableColumn id="36" xr3:uid="{D561B176-A17F-4BC4-BFED-216613E487A8}" name="coin.2"/>
    <tableColumn id="37" xr3:uid="{F3CAC7DD-6C67-4CC5-86D1-75A0BF861ED3}" name="crypto"/>
    <tableColumn id="38" xr3:uid="{25F0F737-0F9C-426A-A0F9-CCCF69BFB8C2}" name="cup"/>
    <tableColumn id="39" xr3:uid="{DB4FE0AF-C5C5-4BF2-9CFE-348D92C382C0}" name="dates"/>
    <tableColumn id="40" xr3:uid="{A383BAEC-55A1-4D73-BF07-82AA5F6AB85A}" name="diamond"/>
    <tableColumn id="41" xr3:uid="{64806043-58F1-4D02-82CE-894F4B2DFEF6}" name="dinar"/>
    <tableColumn id="42" xr3:uid="{96C743F8-1CAA-423D-BEB7-B05FE7ADDE09}" name="drum"/>
    <tableColumn id="43" xr3:uid="{DC888F4C-F63E-4856-B1D5-4283795C0D41}" name="egg"/>
    <tableColumn id="44" xr3:uid="{F054D062-7FE6-459A-9760-B25597F23204}" name="fan"/>
    <tableColumn id="45" xr3:uid="{50BB5A1D-1593-4C25-9734-3136622F934E}" name="firework"/>
    <tableColumn id="46" xr3:uid="{DED31207-7CE8-49BE-91E7-B4854D4162FE}" name="flour"/>
    <tableColumn id="47" xr3:uid="{82E47A6D-8E55-4BE8-839E-4F1023C8BD4D}" name="fried"/>
    <tableColumn id="48" xr3:uid="{71F9D9BD-F167-43D5-8771-46A2C41DBDCD}" name="gegg"/>
    <tableColumn id="49" xr3:uid="{B7803F11-FAAF-45F9-8919-5E266CC1FEF9}" name="gegg.2"/>
    <tableColumn id="50" xr3:uid="{17EDBD64-35F2-4AF4-B98B-01132CBBAA37}" name="ginkgo"/>
    <tableColumn id="51" xr3:uid="{8C48BC6F-A21B-4842-893A-F4269B51D31B}" name="glass"/>
    <tableColumn id="52" xr3:uid="{CA5530A2-58C1-43DB-A719-1F381A61774C}" name="greencrystal"/>
    <tableColumn id="53" xr3:uid="{C3BA5C04-96E3-49DD-9A1A-DE9DECEAB517}" name="grimoire"/>
    <tableColumn id="54" xr3:uid="{BF0C86D4-F564-4280-8DB0-8FE01B48A711}" name="gunpowder"/>
    <tableColumn id="55" xr3:uid="{9679AF14-E63D-4ACC-B528-4A095BFB8C71}" name="herbs"/>
    <tableColumn id="56" xr3:uid="{668779B7-7E7C-4BF6-A481-678C95FD8BD9}" name="herbs.2"/>
    <tableColumn id="57" xr3:uid="{1A04D28F-047E-4DF2-B81B-03617938D15A}" name="herbs.3"/>
    <tableColumn id="58" xr3:uid="{0462D722-E2CC-4F93-BFCD-20049BCA8F74}" name="hide"/>
    <tableColumn id="59" xr3:uid="{EFB0887D-C724-41DD-BC39-50F8D842B477}" name="honey"/>
    <tableColumn id="60" xr3:uid="{4DD3EA57-9AE3-409A-8528-87B9D5505AD5}" name="horn"/>
    <tableColumn id="61" xr3:uid="{9BDFB2E2-C2A6-453C-A8C2-719BE6F06FFE}" name="ingot"/>
    <tableColumn id="62" xr3:uid="{0EA01B06-1485-436E-A72F-C860318FBED7}" name="isand"/>
    <tableColumn id="63" xr3:uid="{EF02EAEF-AC24-402C-BB30-DFCD48CCF641}" name="jam"/>
    <tableColumn id="64" xr3:uid="{483DD8D6-4E28-4A5A-A3BF-BD1F42779342}" name="katana"/>
    <tableColumn id="65" xr3:uid="{66CB7D19-5F5D-4A55-82F3-1F81B439072B}" name="kimono"/>
    <tableColumn id="66" xr3:uid="{BCE416D6-C243-488A-AE5E-89684419BE94}" name="mandrake"/>
    <tableColumn id="67" xr3:uid="{8C647511-F2DA-4470-BA81-005B53E589D3}" name="map1"/>
    <tableColumn id="68" xr3:uid="{C9F11ECC-D4C3-4FA6-AE6A-8A67FC39BA3B}" name="map2"/>
    <tableColumn id="69" xr3:uid="{375AEA27-3819-48A7-BA8E-4024CD96961C}" name="map3"/>
    <tableColumn id="70" xr3:uid="{030B97B1-B5B9-4BE7-8181-3C8858AE2669}" name="mcola"/>
    <tableColumn id="144" xr3:uid="{74C206AF-D2A0-44CA-86EA-727C56A1C75D}" name="mech"/>
    <tableColumn id="71" xr3:uid="{C5447BE3-D926-44D2-A5D7-630D9F1F0655}" name="milk"/>
    <tableColumn id="72" xr3:uid="{5755E173-3FD1-435D-A919-EDFFA0EFCF36}" name="miron"/>
    <tableColumn id="73" xr3:uid="{333968CA-7E77-4D4E-9990-8C8709DB58B3}" name="mushrooms"/>
    <tableColumn id="74" xr3:uid="{0BA6502F-AB0F-4629-8AA2-61ED4EBDD724}" name="mushrooms.2"/>
    <tableColumn id="75" xr3:uid="{D0BB06FA-0F2D-4973-81EB-95298CDA0102}" name="mushrooms.3"/>
    <tableColumn id="76" xr3:uid="{0CE53443-14E6-4428-8671-63CEA47AE53C}" name="mushrooms.4"/>
    <tableColumn id="77" xr3:uid="{4690E3F4-9B1B-4CEB-A681-F44E930C3AFF}" name="mushrooms.5"/>
    <tableColumn id="78" xr3:uid="{5E514F15-DF90-4DE1-9A3E-BB5E80FA7549}" name="mushrooms.6"/>
    <tableColumn id="79" xr3:uid="{D39322D2-4863-40B2-AB93-DB63B40C14BC}" name="ninja"/>
    <tableColumn id="80" xr3:uid="{E6DB113B-F02D-46BC-8538-C67174AF1E9B}" name="oil"/>
    <tableColumn id="81" xr3:uid="{22029C91-0A27-4FDE-BA45-5C2687A4B0B9}" name="page"/>
    <tableColumn id="82" xr3:uid="{1E9ACE35-96CE-4ACC-8705-3A313F2A0D21}" name="paper"/>
    <tableColumn id="83" xr3:uid="{F49A1C90-DF56-4A5B-9284-BAEEFDF36AE4}" name="pasta"/>
    <tableColumn id="84" xr3:uid="{4BAB4343-3935-493D-8631-7D27ADAA1F32}" name="pearl"/>
    <tableColumn id="85" xr3:uid="{7C5AA72F-22E3-4962-9E78-CC48CAEAB96E}" name="plank"/>
    <tableColumn id="86" xr3:uid="{9CE71E82-B3E9-43B9-AC70-BCA6B422A3D6}" name="plank.2"/>
    <tableColumn id="87" xr3:uid="{DA28A54B-4406-4B8C-8962-D01192182AD5}" name="plank.3"/>
    <tableColumn id="88" xr3:uid="{64984C97-19CE-4168-985D-BAC60AE3F21A}" name="plank.4"/>
    <tableColumn id="89" xr3:uid="{E0E024C0-C596-42DB-B5AB-926DCC8C027B}" name="plank.5"/>
    <tableColumn id="90" xr3:uid="{8B2569CF-E97D-45F7-A371-7CB0A1FFABF6}" name="plank.6"/>
    <tableColumn id="91" xr3:uid="{38AC0699-9A56-4816-A32D-045C3F3D450B}" name="plank.7"/>
    <tableColumn id="92" xr3:uid="{6F628815-2B42-4B99-B1B8-EF9DD40D283B}" name="plank.8"/>
    <tableColumn id="93" xr3:uid="{9233A0B4-78EF-4330-9C35-4E791B53548C}" name="pog"/>
    <tableColumn id="94" xr3:uid="{5C697F23-D535-4764-B421-D884B6534A2C}" name="porcini"/>
    <tableColumn id="95" xr3:uid="{C4ED20E9-A1C9-40AA-BECE-E80CCE6C6B46}" name="quartz"/>
    <tableColumn id="96" xr3:uid="{DFFD9BEF-3FC4-4C8D-8164-2D7B2A9B5D20}" name="ramen"/>
    <tableColumn id="97" xr3:uid="{3C4B51C5-E3B0-455A-8E58-E859B146CD97}" name="reagent"/>
    <tableColumn id="98" xr3:uid="{19D65E1F-99A9-493E-8413-D055C4473BB2}" name="redcrystal"/>
    <tableColumn id="99" xr3:uid="{755846E5-BE34-4B9D-A9AA-7561EAD173D2}" name="reddiamond"/>
    <tableColumn id="100" xr3:uid="{22495711-C927-41BE-9D50-E02FE3D2FC6E}" name="rice"/>
    <tableColumn id="101" xr3:uid="{9E838EEB-F139-4AAB-8178-EA4AD5E747DB}" name="ring1"/>
    <tableColumn id="102" xr3:uid="{3C462CDD-BBDB-45FD-9BC0-5257624E923E}" name="ring2"/>
    <tableColumn id="103" xr3:uid="{D1B346CD-C415-4650-A36B-8E0F539B7049}" name="ring3"/>
    <tableColumn id="104" xr3:uid="{675BFF26-5BD0-48FE-8434-637DC356E39E}" name="ring4"/>
    <tableColumn id="105" xr3:uid="{521B2F90-320B-40B8-8561-E0350249AC8C}" name="ring4p"/>
    <tableColumn id="106" xr3:uid="{475D25B8-84CE-4CB3-9351-E7B564864529}" name="ruby"/>
    <tableColumn id="107" xr3:uid="{FA8AADF8-FFE0-4B89-94C0-2072C95F60AB}" name="salmon"/>
    <tableColumn id="108" xr3:uid="{393DF93D-5771-4A98-BCCC-F947848E4F59}" name="samurai"/>
    <tableColumn id="109" xr3:uid="{D8940DEA-A24E-4C03-A184-0E17F21E8A45}" name="scroll"/>
    <tableColumn id="110" xr3:uid="{9A13F472-88C6-49D8-8C24-FBC988892DB7}" name="shield1"/>
    <tableColumn id="111" xr3:uid="{77499517-3464-46C9-B50C-96F62FE181FA}" name="shield2"/>
    <tableColumn id="112" xr3:uid="{69562615-B3A4-4879-838E-A62A4370516D}" name="shield3"/>
    <tableColumn id="113" xr3:uid="{2DE420FA-1EF5-4D81-A68A-3C08CFADB71B}" name="shield4"/>
    <tableColumn id="114" xr3:uid="{4D65BFFD-F4D6-42A0-8BD1-BC29D45F02B0}" name="shield4p"/>
    <tableColumn id="115" xr3:uid="{F9534FC5-4265-47D3-A74B-ED213FD9A17B}" name="shuriken"/>
    <tableColumn id="116" xr3:uid="{D0B09516-4E93-48FE-8667-D428D1433B2F}" name="silk"/>
    <tableColumn id="117" xr3:uid="{75ECB177-0854-493C-9076-06E8EEEE6ED9}" name="smoothie2"/>
    <tableColumn id="118" xr3:uid="{AE3670AE-7796-45D9-AF8E-AFE116A0B154}" name="soy"/>
    <tableColumn id="119" xr3:uid="{14DD143D-185B-40E4-B373-B458AEDBAEF1}" name="spices"/>
    <tableColumn id="120" xr3:uid="{DEDF137F-E466-458B-89E2-5EA87007408C}" name="spikes"/>
    <tableColumn id="121" xr3:uid="{D7AC4981-EF8F-44E8-BB1B-B252AEF4C86B}" name="steel"/>
    <tableColumn id="122" xr3:uid="{84D6D601-23C3-4018-8549-735C4E44C635}" name="stone"/>
    <tableColumn id="123" xr3:uid="{D53B504C-C9E4-44D9-9A38-6EA60769461E}" name="stone.2"/>
    <tableColumn id="124" xr3:uid="{792AB58B-5236-4A41-9ACB-9C9D10EFC245}" name="strawberry"/>
    <tableColumn id="125" xr3:uid="{F3134ACB-4D07-4C56-B675-2E0B2841AFE8}" name="strawberry.2"/>
    <tableColumn id="126" xr3:uid="{2990B545-0205-49C4-BE73-AA0D2CFA97BD}" name="strawberry.3"/>
    <tableColumn id="127" xr3:uid="{EAA0F756-5CD5-4EA6-82F5-E25FFD42DF74}" name="sushi"/>
    <tableColumn id="128" xr3:uid="{E0030AF5-6862-47A0-A40E-037AE3EBB498}" name="sword1"/>
    <tableColumn id="129" xr3:uid="{DE0E4833-7F6F-48D4-BC62-D3E1C688F097}" name="sword2"/>
    <tableColumn id="130" xr3:uid="{723F5D13-39E2-4AD9-A488-230D97779E4F}" name="sword3"/>
    <tableColumn id="131" xr3:uid="{FAE6EDD3-5356-4929-B74D-7FB4B8A98188}" name="sword4"/>
    <tableColumn id="132" xr3:uid="{C61EF943-B6C4-45A5-A94B-80928F2FE4A4}" name="sword4p"/>
    <tableColumn id="133" xr3:uid="{1402C2A0-12A3-48B7-8648-7EDBC7518FE4}" name="teeth"/>
    <tableColumn id="134" xr3:uid="{70F66CAF-2E60-4EB5-93AB-A6E4479C9874}" name="teriyaki"/>
    <tableColumn id="135" xr3:uid="{C46B4613-1D96-4A5A-A07D-297D9AECC16A}" name="thread"/>
    <tableColumn id="136" xr3:uid="{B3246F3A-1F86-439E-8043-BCBFC2675A50}" name="titanium"/>
    <tableColumn id="137" xr3:uid="{4B2ABEA2-EF41-4F38-A64F-9154F658D09D}" name="treasure"/>
    <tableColumn id="138" xr3:uid="{60847506-0F1D-47AC-8F25-D745C0EFAED4}" name="tuna"/>
    <tableColumn id="139" xr3:uid="{ECCC3FBC-A0BA-4925-BCDA-DBE95D1A3BAC}" name="vintcheese"/>
    <tableColumn id="140" xr3:uid="{F5EC3BF6-CD85-4388-BD94-3D2A489DF3FF}" name="violetcrystal"/>
    <tableColumn id="141" xr3:uid="{40B8E32F-75B5-44F9-890E-B20D6FEC398A}" name="wood"/>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B700AE-12DA-499D-8818-6EE206902250}" name="tblCraftifacts" displayName="tblCraftifacts" ref="A1:AX21" totalsRowShown="0" headerRowDxfId="207" dataDxfId="205" headerRowBorderDxfId="206" tableBorderDxfId="204">
  <autoFilter ref="A1:AX21" xr:uid="{26B700AE-12DA-499D-8818-6EE206902250}"/>
  <tableColumns count="50">
    <tableColumn id="1" xr3:uid="{5CE60755-F796-4EF5-AA10-F1DDDA28C116}" name="CraftifactID" dataDxfId="203"/>
    <tableColumn id="2" xr3:uid="{6105945F-86B9-471A-8287-BACF46821D3F}" name="Key" dataDxfId="202"/>
    <tableColumn id="4" xr3:uid="{71905EAC-A973-4BD0-82E5-2C81CA37C947}" name="CraftifactName" dataDxfId="201"/>
    <tableColumn id="5" xr3:uid="{5B619DD4-A4A4-4111-9398-B918B384D39A}" name="DisplayName" dataDxfId="200">
      <calculatedColumnFormula>_xlfn.XLOOKUP(tblCraftifacts[[#This Row],[CraftifactID]],tblTargets[TargetID],tblTargets[DisplayName],"")</calculatedColumnFormula>
    </tableColumn>
    <tableColumn id="6" xr3:uid="{C6AEFF5E-5594-406B-9F63-FA1CAF5F3137}" name="Trackable" dataDxfId="199"/>
    <tableColumn id="3" xr3:uid="{EAA31AA9-FFB8-4EDD-96D4-FAD9536C19CA}" name="Level" dataDxfId="198"/>
    <tableColumn id="7" xr3:uid="{317121F9-CDA0-4B84-B7FC-D84B10327AEB}" name="Cost" dataDxfId="197"/>
    <tableColumn id="8" xr3:uid="{CD97E988-4A24-4948-9503-023D83C10E82}" name="Note" dataDxfId="196"/>
    <tableColumn id="9" xr3:uid="{E887D72E-746A-4E44-B4BA-8E7F6A0A2D12}" name="all_prereqs" dataDxfId="195"/>
    <tableColumn id="10" xr3:uid="{8969579F-A894-46E0-BBB3-3A93E131083B}" name="prereq_tokens_auto" dataDxfId="194"/>
    <tableColumn id="11" xr3:uid="{B2124333-6DB9-40B5-BC27-F418C565070B}" name="costtext" dataDxfId="193"/>
    <tableColumn id="49" xr3:uid="{F847C157-A72C-4B64-9AD6-F31D08E71F90}" name="coustcount" dataDxfId="192">
      <calculatedColumnFormula>IF(tblCraftifacts[[#This Row],[costtext]]="", 0, LEN(tblCraftifacts[[#This Row],[costtext]]) - LEN(SUBSTITUTE(tblCraftifacts[[#This Row],[costtext]], ",", "")) + 1)</calculatedColumnFormula>
    </tableColumn>
    <tableColumn id="50" xr3:uid="{78C71721-A7A0-41E6-9A8C-F5DAD33D8E4A}" name="resourcecount" dataDxfId="191">
      <calculatedColumnFormula>COUNTA(tblCraftifacts[[#This Row],[apy]:[velour]])</calculatedColumnFormula>
    </tableColumn>
    <tableColumn id="12" xr3:uid="{2473F98A-7648-4950-B236-831C31B58210}" name="apy" dataDxfId="190"/>
    <tableColumn id="13" xr3:uid="{7786A8FC-25FA-4966-A807-166DD99B1DF7}" name="blueprint" dataDxfId="189"/>
    <tableColumn id="14" xr3:uid="{6A88DA66-E14F-4C58-AD1D-43C9AC92B2DE}" name="catalyst" dataDxfId="188"/>
    <tableColumn id="15" xr3:uid="{4B068506-A91B-4945-A090-86A826E85FB7}" name="charcoal" dataDxfId="187"/>
    <tableColumn id="16" xr3:uid="{39FB22B3-909D-4BB2-A12F-50359D252D02}" name="chemicals" dataDxfId="186"/>
    <tableColumn id="17" xr3:uid="{57FCB36C-5801-487C-A45C-76FAB0C820A9}" name="coin" dataDxfId="185"/>
    <tableColumn id="18" xr3:uid="{0A05E49F-4581-4547-A616-CA863275FFD2}" name="crypto" dataDxfId="184"/>
    <tableColumn id="19" xr3:uid="{EFC862DA-B169-43AF-A789-30752DCC52BE}" name="dates" dataDxfId="183"/>
    <tableColumn id="20" xr3:uid="{095A22C2-FC4E-45EF-B931-DD20DC0AD27D}" name="emeralds" dataDxfId="182"/>
    <tableColumn id="21" xr3:uid="{CBA2E388-1145-4B2A-BD7D-0EA5365B96C1}" name="flour" dataDxfId="181"/>
    <tableColumn id="22" xr3:uid="{A4832D1F-F4CE-409D-80DC-41FD28B2EF4A}" name="ginkgo" dataDxfId="180"/>
    <tableColumn id="23" xr3:uid="{FCE12486-BE5D-4FB0-81CA-17742A37B13C}" name="glass" dataDxfId="179"/>
    <tableColumn id="24" xr3:uid="{0D3AF3A8-9D96-4717-BC64-27C16C1800F4}" name="grimoire" dataDxfId="178"/>
    <tableColumn id="25" xr3:uid="{488F3953-CF23-4BA3-8EA0-BCFE5AA09E23}" name="herbs" dataDxfId="177"/>
    <tableColumn id="26" xr3:uid="{BAFFC00D-92F9-4B45-B4D7-88DC59CF8F36}" name="honey" dataDxfId="176"/>
    <tableColumn id="27" xr3:uid="{1B3D9980-B178-4844-8745-DF0DC4C5F38A}" name="ingot" dataDxfId="175"/>
    <tableColumn id="28" xr3:uid="{BFD3D646-B461-46C8-8B86-FAF23425A2F8}" name="malu" dataDxfId="174"/>
    <tableColumn id="29" xr3:uid="{77132023-D030-4D9B-B9C9-1A5C169B9993}" name="mechanism" dataDxfId="173"/>
    <tableColumn id="30" xr3:uid="{E943E99E-2438-4326-A5DA-967F4978292F}" name="mercury" dataDxfId="172"/>
    <tableColumn id="31" xr3:uid="{64C4A62B-318F-4E11-8348-DCF48A7F5614}" name="miron" dataDxfId="171"/>
    <tableColumn id="32" xr3:uid="{E53F16F8-9370-4C8C-A676-2AA8278BEA0D}" name="msteel" dataDxfId="170"/>
    <tableColumn id="33" xr3:uid="{193D8ABD-7419-486C-B8A8-A362ECA92450}" name="oil" dataDxfId="169"/>
    <tableColumn id="34" xr3:uid="{2A6EF5BD-E252-4AF5-9D1A-52034390EF19}" name="page" dataDxfId="168"/>
    <tableColumn id="35" xr3:uid="{65B07197-7511-4E7D-B8B4-AE047DECE49A}" name="paper" dataDxfId="167"/>
    <tableColumn id="36" xr3:uid="{50B67492-7862-4C6D-848B-4422F8ECE850}" name="pcard" dataDxfId="166"/>
    <tableColumn id="37" xr3:uid="{E8D829FB-3624-402D-BC4D-77B200DDFA51}" name="pearl" dataDxfId="165"/>
    <tableColumn id="38" xr3:uid="{3C753349-E03C-4B94-84EC-E586556FBBDE}" name="reagent" dataDxfId="164"/>
    <tableColumn id="39" xr3:uid="{EB79FAA5-EF4E-4BCD-9BAF-64A92AB76BE0}" name="rice" dataDxfId="163"/>
    <tableColumn id="40" xr3:uid="{69332EE1-9224-4B24-B656-B76102FF1886}" name="ruby" dataDxfId="162"/>
    <tableColumn id="41" xr3:uid="{27183FE6-4DD4-49B3-A9A2-54D7A5666A8B}" name="scroll" dataDxfId="161"/>
    <tableColumn id="42" xr3:uid="{F4BC9B9A-5604-4D4D-AAB1-106E6DEF430D}" name="silk" dataDxfId="160"/>
    <tableColumn id="43" xr3:uid="{79C416CA-E3DF-4A15-BB4B-56F50F8FDE39}" name="steel" dataDxfId="159"/>
    <tableColumn id="44" xr3:uid="{BA8347B2-3C0E-4E5B-9EAC-0AA5843C58DC}" name="teeth" dataDxfId="158"/>
    <tableColumn id="45" xr3:uid="{C2D5B100-2F90-49F6-97D3-9D2AA336535F}" name="thread" dataDxfId="157"/>
    <tableColumn id="46" xr3:uid="{84859468-7C35-4370-98AD-C10FED93303F}" name="tparts" dataDxfId="156"/>
    <tableColumn id="47" xr3:uid="{F2CDAFC4-0060-4402-9D84-98D53644FD90}" name="tuna" dataDxfId="155"/>
    <tableColumn id="48" xr3:uid="{AE1DA1D6-D084-452E-A396-25E268B01EB4}" name="velour" dataDxfId="15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DDF5C2-3A24-49A8-8962-EB2E214B3F71}" name="tblQuests" displayName="tblQuests" ref="A1:O61" totalsRowShown="0">
  <autoFilter ref="A1:O61" xr:uid="{2CDDF5C2-3A24-49A8-8962-EB2E214B3F71}"/>
  <sortState xmlns:xlrd2="http://schemas.microsoft.com/office/spreadsheetml/2017/richdata2" ref="A2:O61">
    <sortCondition ref="A1:A61"/>
  </sortState>
  <tableColumns count="15">
    <tableColumn id="1" xr3:uid="{09CE940D-7FB5-4D01-8E06-C520CE22D2E2}" name="QuestID"/>
    <tableColumn id="2" xr3:uid="{31AF3138-C9F8-431C-874E-CAA6DC5A0CF1}" name="Key" dataDxfId="153"/>
    <tableColumn id="3" xr3:uid="{96D049CF-31B0-459C-8E9A-781A63A52AD8}" name="QuestName" dataDxfId="152"/>
    <tableColumn id="5" xr3:uid="{8E9FA893-373B-4C83-BABA-89D7B171822E}" name="DisplayName" dataDxfId="151">
      <calculatedColumnFormula>_xlfn.LET(_xlpm.x,_xlfn.XLOOKUP(tblQuests[[#This Row],[QuestID]]&amp;".accepted",tblTargets[TargetID],tblTargets[DisplayName],""),LEFT(_xlpm.x,LEN(_xlpm.x)-9))</calculatedColumnFormula>
    </tableColumn>
    <tableColumn id="6" xr3:uid="{7623E955-C10C-414D-89F2-59BCEEFE5ED8}" name="Trackable"/>
    <tableColumn id="8" xr3:uid="{F9B7F783-194D-4AF6-A059-2E76ED799A4A}" name="QuestGroup" dataDxfId="150"/>
    <tableColumn id="4" xr3:uid="{22387B9D-A04E-41C7-8DA5-E809BE3C9665}" name="Chapter" dataDxfId="149"/>
    <tableColumn id="10" xr3:uid="{8DF19F9C-148B-4742-A46E-8AA5D169E18B}" name="Costtext" dataDxfId="148"/>
    <tableColumn id="7" xr3:uid="{AFD53D2E-9AAF-46D1-9047-0F967FD3F3DB}" name="Objective" dataDxfId="147"/>
    <tableColumn id="11" xr3:uid="{99839373-8E4B-4ADD-8F4F-008BAB923A0B}" name="Reward" dataDxfId="146"/>
    <tableColumn id="12" xr3:uid="{D454F6AE-C150-44BC-BA88-57A6A7E5C1DA}" name="Note" dataDxfId="145"/>
    <tableColumn id="13" xr3:uid="{B0D613A1-9073-49B3-8F3F-F9176136C07F}" name="all_prereqs" dataDxfId="144"/>
    <tableColumn id="14" xr3:uid="{64075186-1D3C-44FA-83F5-8805560B6ABC}" name="Canon_token" dataDxfId="143"/>
    <tableColumn id="15" xr3:uid="{B0F22C94-A7AD-48BE-A97A-38DD31B26C43}" name="State_token" dataDxfId="142"/>
    <tableColumn id="16" xr3:uid="{EC96DED0-3F3C-41FD-9BA1-F6C07AB5EADB}" name="prereq_tokens_auto" dataDxfId="14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4AFCF97-069C-4C62-8E22-1158AE0200C8}" name="tblStates" displayName="tblStates" ref="A1:G147" totalsRowShown="0">
  <autoFilter ref="A1:G147" xr:uid="{74AFCF97-069C-4C62-8E22-1158AE0200C8}"/>
  <sortState xmlns:xlrd2="http://schemas.microsoft.com/office/spreadsheetml/2017/richdata2" ref="A2:G147">
    <sortCondition ref="A1:A147"/>
  </sortState>
  <tableColumns count="7">
    <tableColumn id="1" xr3:uid="{207A510F-F0C4-4AEA-8A34-45EAB1DA2AB1}" name="StateID"/>
    <tableColumn id="2" xr3:uid="{4F9AA625-A054-4BF7-9216-879603D9938F}" name="DisplayName" dataDxfId="140">
      <calculatedColumnFormula>_xlfn.XLOOKUP(tblStates[[#This Row],[StateID]],tblTargets[TargetID],tblTargets[DisplayName],"")</calculatedColumnFormula>
    </tableColumn>
    <tableColumn id="6" xr3:uid="{D6DED7FF-05BE-4940-AA1C-D5550C03D80D}" name="Quest" dataDxfId="139">
      <calculatedColumnFormula>IFERROR(_xlfn.XLOOKUP(tblStates[[#This Row],[StateID]],tblQuestObjectives[ObjectiveID],tblQuestObjectives[QuestTargetID]),_xlfn.XLOOKUP(tblStates[[#This Row],[StateID]],tblDependencies[DependencyID],tblDependencies[TargetID]))</calculatedColumnFormula>
    </tableColumn>
    <tableColumn id="7" xr3:uid="{AB64269F-E381-40A4-AF92-4CC4450E62B6}" name="Objective" dataDxfId="138">
      <calculatedColumnFormula>IFERROR(_xlfn.XLOOKUP(tblStates[[#This Row],[StateID]],tblQuestObjectives[ObjectiveID],tblQuestObjectives[QuestTargetID]),"")</calculatedColumnFormula>
    </tableColumn>
    <tableColumn id="8" xr3:uid="{1B77BAFA-E69C-4B38-AAB2-FF0E52658DFD}" name="Dependency" dataDxfId="137">
      <calculatedColumnFormula>IFERROR(_xlfn.XLOOKUP(tblStates[[#This Row],[StateID]],tblDependencies[DependencyID],tblDependencies[TargetID]),"")</calculatedColumnFormula>
    </tableColumn>
    <tableColumn id="3" xr3:uid="{73624029-80DB-4E49-A51B-44341264C8EE}" name="StateType" dataDxfId="136">
      <calculatedColumnFormula>_xlfn.XLOOKUP(tblStates[[#This Row],[StateID]],tblTargets[TargetID],tblTargets[StateType],"")</calculatedColumnFormula>
    </tableColumn>
    <tableColumn id="4" xr3:uid="{1AC21DC4-255D-4EB5-AC5A-CC8B26ED3489}" name="Trackabl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062DA0-EB2C-45AB-BBA3-6643DB7A39E0}" name="tblTechnologies" displayName="tblTechnologies" ref="A1:CU96" totalsRowShown="0" headerRowDxfId="135" dataDxfId="134">
  <autoFilter ref="A1:CU96" xr:uid="{EC062DA0-EB2C-45AB-BBA3-6643DB7A39E0}">
    <filterColumn colId="0">
      <filters>
        <filter val="tech.smithy.sword_for_a_hero_lvl_4+"/>
        <filter val="tech.tailor.armor_for_a_hero_lvl_4+"/>
        <filter val="tech.workshop.shield_for_a_hero_lvl_4+"/>
      </filters>
    </filterColumn>
  </autoFilter>
  <tableColumns count="99">
    <tableColumn id="1" xr3:uid="{D3626B00-BDFD-4331-B1B3-552BD5ED87A8}" name="TechnologyID" dataDxfId="133"/>
    <tableColumn id="2" xr3:uid="{713BCA9E-EC06-435A-93C0-23FFDEFD7E1A}" name="Key" dataDxfId="132"/>
    <tableColumn id="4" xr3:uid="{D2926837-50DE-46D0-ABCE-67C10FFC547D}" name="TechnologyName" dataDxfId="131"/>
    <tableColumn id="5" xr3:uid="{1F9E01EA-A541-45BC-B0AC-F02B01C3F716}" name="DisplayName" dataDxfId="130">
      <calculatedColumnFormula>_xlfn.XLOOKUP(tblTechnologies[[#This Row],[TechnologyID]],tblTargets[TargetID],tblTargets[DisplayName],"")</calculatedColumnFormula>
    </tableColumn>
    <tableColumn id="6" xr3:uid="{0C3A1EE4-ED1B-4027-9346-ACDBB1B23946}" name="Trackable" dataDxfId="129"/>
    <tableColumn id="3" xr3:uid="{3B5DDCD3-DF7B-4F5E-A243-F10E40DE2246}" name="BuildingKey" dataDxfId="128"/>
    <tableColumn id="10" xr3:uid="{CDFE814F-D028-4298-ADD8-46175E038CFA}" name="OwnerID" dataDxfId="127"/>
    <tableColumn id="11" xr3:uid="{1E4E45CE-888E-4D5F-A1B2-DD8836A03530}" name="building" dataDxfId="126"/>
    <tableColumn id="12" xr3:uid="{248D2F6A-94DA-4C40-96D3-8AAAAFB97F8E}" name="all_prereqs" dataDxfId="125"/>
    <tableColumn id="13" xr3:uid="{64EBC0BA-38DF-4029-AABA-14DDB33A435C}" name="prereq_tokens_auto" dataDxfId="124"/>
    <tableColumn id="14" xr3:uid="{1FCE635E-8BA7-4453-BD61-CCFD30BC0F80}" name="unlocks" dataDxfId="123"/>
    <tableColumn id="15" xr3:uid="{58A70BEF-7CE7-44D8-941D-CBFDE0BDD12C}" name="notes" dataDxfId="122"/>
    <tableColumn id="16" xr3:uid="{6381FD6E-1D0D-4866-8F32-C13F241E72F2}" name="costtext" dataDxfId="121"/>
    <tableColumn id="101" xr3:uid="{D6D2E005-1279-478B-9EB1-72F5F02FB4A3}" name="coustcount" dataDxfId="120">
      <calculatedColumnFormula>IF(tblTechnologies[[#This Row],[costtext]]="", 0, LEN(tblTechnologies[[#This Row],[costtext]]) - LEN(SUBSTITUTE(tblTechnologies[[#This Row],[costtext]], ",", "")) + 1)</calculatedColumnFormula>
    </tableColumn>
    <tableColumn id="7" xr3:uid="{28155833-D82B-43A0-92B7-5CEC6FCA43F2}" name="resourcecount" dataDxfId="119">
      <calculatedColumnFormula>COUNTA(tblTechnologies[[#This Row],[amazake]:[wood]])</calculatedColumnFormula>
    </tableColumn>
    <tableColumn id="17" xr3:uid="{9FFC303B-6862-47B6-9747-A8AFE831E313}" name="amazake" dataDxfId="118"/>
    <tableColumn id="18" xr3:uid="{63AC7ED1-BBE5-4733-9E0D-F24BB9899F24}" name="apy" dataDxfId="117"/>
    <tableColumn id="19" xr3:uid="{20793856-48DE-4F19-8F8B-CDFA73C1443A}" name="armor4" dataDxfId="116"/>
    <tableColumn id="20" xr3:uid="{16FEB06C-57DC-483D-B958-4DADEACF0480}" name="bamboo" dataDxfId="115"/>
    <tableColumn id="21" xr3:uid="{30EB1A54-902D-44A8-9901-3008A1C6E707}" name="beam" dataDxfId="114"/>
    <tableColumn id="22" xr3:uid="{67D2C203-DD32-441D-9458-DE5234F1FAE9}" name="beans" dataDxfId="113"/>
    <tableColumn id="23" xr3:uid="{C7F8FBC5-A4CF-428F-BB14-02BF1B1A453C}" name="bluecrystal" dataDxfId="112"/>
    <tableColumn id="24" xr3:uid="{928DE68D-B82D-4190-BB74-14C1B1F13358}" name="blueprint" dataDxfId="111"/>
    <tableColumn id="100" xr3:uid="{90D1EFE9-C1A9-4958-9345-D8ECCC5D7245}" name="bone" dataDxfId="110"/>
    <tableColumn id="98" xr3:uid="{9A815485-BE8C-447C-A0B0-50FCA84AC839}" name="Bonemeal" dataDxfId="109"/>
    <tableColumn id="25" xr3:uid="{AA4F3D57-9A78-4E4F-B5E9-3E3A5D47FB57}" name="catalyst" dataDxfId="108"/>
    <tableColumn id="26" xr3:uid="{CC185B23-DA6B-4872-ACDA-ED43F47DC3DD}" name="charcoal" dataDxfId="107"/>
    <tableColumn id="27" xr3:uid="{79AC42E6-85B4-4888-B93C-6A9CDCA9C92F}" name="chemicals" dataDxfId="106"/>
    <tableColumn id="28" xr3:uid="{AB598734-351F-4C44-B238-9E8F7382CA52}" name="cinnabar" dataDxfId="105"/>
    <tableColumn id="29" xr3:uid="{00C334AF-1372-4537-AB98-1502D7B58C2F}" name="coin" dataDxfId="104"/>
    <tableColumn id="30" xr3:uid="{EE78BDC0-0259-4CF1-B2D5-C27990FD5D46}" name="crypto" dataDxfId="103"/>
    <tableColumn id="31" xr3:uid="{2318E5F0-0448-4536-970F-CD84DBB42A24}" name="diamond" dataDxfId="102"/>
    <tableColumn id="32" xr3:uid="{BF1681C0-4D1A-4937-89DE-BF41009C4B56}" name="egg" dataDxfId="101"/>
    <tableColumn id="33" xr3:uid="{65B5D334-FB05-4DC3-BC36-9E876DCEC78B}" name="elixir" dataDxfId="100"/>
    <tableColumn id="34" xr3:uid="{05FC5E4A-B666-4050-B78A-2216E694C3FC}" name="enzyme" dataDxfId="99"/>
    <tableColumn id="35" xr3:uid="{843E24FB-389B-4B93-8E75-1EC00F7645DD}" name="fan" dataDxfId="98"/>
    <tableColumn id="36" xr3:uid="{1F75E8A8-6C90-4015-AF9F-1572D06C9689}" name="fertilizer" dataDxfId="97"/>
    <tableColumn id="37" xr3:uid="{393FECD7-CB6A-4E13-A6ED-F732EE4B70F8}" name="flatbread" dataDxfId="96"/>
    <tableColumn id="38" xr3:uid="{99B74038-E8A6-42E1-9349-1FCBC8A58106}" name="floppy" dataDxfId="95"/>
    <tableColumn id="39" xr3:uid="{5E7C36DF-DCFB-4F3A-8A86-F8DF5A2309CA}" name="flour" dataDxfId="94"/>
    <tableColumn id="40" xr3:uid="{C4F108AB-A5D8-4859-B691-2539DEF898A9}" name="gears" dataDxfId="93"/>
    <tableColumn id="41" xr3:uid="{31BCD26D-0C22-46E1-BD67-A9F2642A4A8F}" name="ginkgo" dataDxfId="92"/>
    <tableColumn id="42" xr3:uid="{E0AA4F6C-329D-40EF-BAC2-32AA1475FA3A}" name="glass" dataDxfId="91"/>
    <tableColumn id="43" xr3:uid="{EEABDD3A-23E8-421F-B82E-B41F8F180EDD}" name="greek" dataDxfId="90"/>
    <tableColumn id="44" xr3:uid="{7DACEEA8-9F62-44D2-AF28-D3631548A5CB}" name="greencrystal" dataDxfId="89"/>
    <tableColumn id="45" xr3:uid="{AA3EFC74-7529-45E7-9BE0-EB218A46DAD8}" name="grimoire" dataDxfId="88"/>
    <tableColumn id="46" xr3:uid="{494BCE06-78CB-4E93-A403-941658215BD2}" name="gunpowder" dataDxfId="87"/>
    <tableColumn id="47" xr3:uid="{EB60B260-098C-4DD6-BC72-CE2CF388A0CD}" name="herbs" dataDxfId="86"/>
    <tableColumn id="48" xr3:uid="{04B1048E-57CC-4337-898D-F8AA6FE64CA7}" name="hide" dataDxfId="85"/>
    <tableColumn id="49" xr3:uid="{98815128-6D60-49D8-BF69-E4CD18922840}" name="honey" dataDxfId="84"/>
    <tableColumn id="50" xr3:uid="{B23E2749-5AFF-4C66-A9C0-FBD0E906F2C4}" name="horn" dataDxfId="83"/>
    <tableColumn id="51" xr3:uid="{243B6559-7A29-4019-802E-73E0C8F4F59B}" name="ingot" dataDxfId="82"/>
    <tableColumn id="52" xr3:uid="{A7FD3CA2-CA5C-4015-81FD-A5444795E5C1}" name="mandrake" dataDxfId="81"/>
    <tableColumn id="53" xr3:uid="{7864D88B-D40D-4E59-B0AA-93FFD4E606C2}" name="mechanism" dataDxfId="80"/>
    <tableColumn id="54" xr3:uid="{5C0EBDD0-3489-4F31-A173-13198B144109}" name="mercury" dataDxfId="79"/>
    <tableColumn id="55" xr3:uid="{46FB79AD-4998-42DD-9117-455FB990A71F}" name="microchip" dataDxfId="78"/>
    <tableColumn id="56" xr3:uid="{96C1AB7A-E738-47F3-B7C7-B2FB20D61D3A}" name="milk" dataDxfId="77"/>
    <tableColumn id="57" xr3:uid="{51CA6EAB-2908-439C-8D8F-736A89FB7329}" name="miron" dataDxfId="76"/>
    <tableColumn id="58" xr3:uid="{DC8AEF1A-8E15-443D-9E11-FC5D281B3F28}" name="misopaste" dataDxfId="75"/>
    <tableColumn id="59" xr3:uid="{DBD8D65E-2515-4FB8-97DC-AE03A1865AF8}" name="mspider" dataDxfId="74"/>
    <tableColumn id="60" xr3:uid="{A0B31455-A7C8-4686-94BD-C33AAD46A770}" name="msteel" dataDxfId="73"/>
    <tableColumn id="61" xr3:uid="{46797725-90C3-4FD9-91EF-E82C1E6E24E9}" name="net" dataDxfId="72"/>
    <tableColumn id="62" xr3:uid="{F9114B15-A068-4640-ABEB-CB20EE89114B}" name="oil" dataDxfId="71"/>
    <tableColumn id="63" xr3:uid="{D5E92F28-EA3B-449E-A22B-A6E8D80FF76F}" name="onigiri" dataDxfId="70"/>
    <tableColumn id="64" xr3:uid="{C6AB140C-F76D-480E-B0C2-C6450F8DFD87}" name="page" dataDxfId="69"/>
    <tableColumn id="65" xr3:uid="{E55D9D78-BE92-4A64-8996-6EB864FAA6ED}" name="paper" dataDxfId="68"/>
    <tableColumn id="99" xr3:uid="{5E821FAE-8C69-4A94-BACE-2354CF8EFDD0}" name="pcard" dataDxfId="67"/>
    <tableColumn id="66" xr3:uid="{3E390078-C622-4C20-83A7-5F6CC629CC52}" name="plank" dataDxfId="66"/>
    <tableColumn id="67" xr3:uid="{038DAE28-105A-4AD8-8500-DEB4A38D76B8}" name="poh" dataDxfId="65"/>
    <tableColumn id="68" xr3:uid="{799EB24E-3D8D-421E-BC95-B7A8E375698A}" name="poh2" dataDxfId="64"/>
    <tableColumn id="69" xr3:uid="{7757DCDC-F53E-4A81-A6E1-25D44BC0B781}" name="quartz" dataDxfId="63"/>
    <tableColumn id="70" xr3:uid="{57702304-5C60-4D1B-8A8D-38D3C49E0024}" name="reagent" dataDxfId="62"/>
    <tableColumn id="71" xr3:uid="{16FA29A3-3D58-4B09-8C38-413C9DA85BCA}" name="redcrystal" dataDxfId="61"/>
    <tableColumn id="72" xr3:uid="{346C4D29-2441-4A2A-B3CC-9E07F0A67AE2}" name="reddiamond" dataDxfId="60"/>
    <tableColumn id="73" xr3:uid="{7722692F-440A-4288-AC56-E270E1C05FE8}" name="rice" dataDxfId="59"/>
    <tableColumn id="74" xr3:uid="{90E27DD8-8C72-4087-9728-9B23CD23B739}" name="ring1" dataDxfId="58"/>
    <tableColumn id="75" xr3:uid="{169CD060-C332-4036-855C-BA2A59365BA7}" name="ruby" dataDxfId="57"/>
    <tableColumn id="76" xr3:uid="{7399956D-0445-4012-989F-C395D83EBC9C}" name="salmon" dataDxfId="56"/>
    <tableColumn id="77" xr3:uid="{1A74AF3C-CBF8-4EDA-B1FC-87AA26F17841}" name="shield3" dataDxfId="55"/>
    <tableColumn id="78" xr3:uid="{7A83C34A-FE7F-4BD7-A732-630A81C7B46C}" name="shield4" dataDxfId="54"/>
    <tableColumn id="79" xr3:uid="{B7136AFC-703E-4D4B-BA47-D8CB9CED0C83}" name="silk" dataDxfId="53"/>
    <tableColumn id="80" xr3:uid="{E8E52AF9-FB76-4F7B-B1FB-6B786FE78BD2}" name="soy" dataDxfId="52"/>
    <tableColumn id="81" xr3:uid="{935322F0-7F7A-4FC9-AC7C-F71628369E9F}" name="spices" dataDxfId="51"/>
    <tableColumn id="82" xr3:uid="{110A748D-AE6C-4206-B0B9-C6E102523DFA}" name="steamobile" dataDxfId="50"/>
    <tableColumn id="83" xr3:uid="{024D9EC2-1CEA-4EB8-9E6E-AAB099962F7E}" name="steel" dataDxfId="49"/>
    <tableColumn id="84" xr3:uid="{4C8AD117-79C7-4B0F-8AC1-0AF73CF9DFF9}" name="stone" dataDxfId="48"/>
    <tableColumn id="85" xr3:uid="{36FFB01F-486E-4D58-BE51-94B541C39254}" name="strawberry" dataDxfId="47"/>
    <tableColumn id="86" xr3:uid="{9A9F089C-E6B3-48D0-B41A-DA83AC6FC0B0}" name="sushi" dataDxfId="46"/>
    <tableColumn id="87" xr3:uid="{E4D3EC92-DEF0-46AA-A5B1-D7B7F6D91280}" name="sword3" dataDxfId="45"/>
    <tableColumn id="88" xr3:uid="{3F65381B-DF5F-4B5E-996C-26A585EFD41C}" name="sword4" dataDxfId="44"/>
    <tableColumn id="89" xr3:uid="{C6B4D9E8-35E6-4605-BEC9-F974FB6A9BAD}" name="thread" dataDxfId="43"/>
    <tableColumn id="90" xr3:uid="{55AA4E18-2176-48F0-A3E8-F392CD051460}" name="titanium" dataDxfId="42"/>
    <tableColumn id="91" xr3:uid="{2A6B5259-5CE5-488F-BE42-120D29D91659}" name="tofu" dataDxfId="41"/>
    <tableColumn id="92" xr3:uid="{F18AEDC0-A8BB-4AF1-90F1-4E6438461F25}" name="tparts" dataDxfId="40"/>
    <tableColumn id="93" xr3:uid="{A450651A-F56F-49A6-9807-05E87F79F2A8}" name="tuna" dataDxfId="39"/>
    <tableColumn id="94" xr3:uid="{080DB149-8F54-4C98-A4C3-714C0F778AEB}" name="velour" dataDxfId="38"/>
    <tableColumn id="95" xr3:uid="{64579B56-B12F-45F4-9601-5C3146CCD0DD}" name="violetcrystal" dataDxfId="37"/>
    <tableColumn id="96" xr3:uid="{D2A801D0-345B-43CE-BCFD-CC66395E38E0}" name="wheat" dataDxfId="36"/>
    <tableColumn id="97" xr3:uid="{C81E4DBF-50D8-49C3-9026-76349558349A}" name="wood" dataDxfId="3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24377F3-23FF-412A-B597-A05709905412}" name="tbldeptemp" displayName="tbldeptemp" ref="A1:L714" totalsRowShown="0">
  <autoFilter ref="A1:L714" xr:uid="{424377F3-23FF-412A-B597-A05709905412}"/>
  <tableColumns count="12">
    <tableColumn id="1" xr3:uid="{D7C0A8B5-89AF-42FB-B07B-133BF784BEDF}" name="OwnerType"/>
    <tableColumn id="2" xr3:uid="{3EB998D0-C40F-4C43-A154-90A21BC5CE30}" name="OwnerID"/>
    <tableColumn id="11" xr3:uid="{F7916C52-1E81-4484-B5C9-A2A6253C4FE0}" name="NormalizedOwnerID" dataDxfId="34"/>
    <tableColumn id="3" xr3:uid="{7B11047E-85BB-49F3-AE6D-8AE18E79ECB5}" name="Notes"/>
    <tableColumn id="12" xr3:uid="{AB350CDD-3825-4922-9F95-1BA7756DAE66}" name="NormalizedNotes" dataDxfId="33"/>
    <tableColumn id="4" xr3:uid="{EF075342-C71C-42C7-A6AB-57E90AF61D52}" name="Complete"/>
    <tableColumn id="5" xr3:uid="{572AC69C-97B9-4FBF-AFDC-1337A2B4324A}" name="Type"/>
    <tableColumn id="6" xr3:uid="{59EFE3F1-F8B8-4AF3-AA18-3256ABA34E49}" name="TargetID" dataDxfId="32"/>
    <tableColumn id="7" xr3:uid="{1A5696F3-0DFB-42DF-9F10-701CBFF3C454}" name="DependencyID" dataDxfId="31"/>
    <tableColumn id="8" xr3:uid="{58FE3DFA-B64B-4411-8C91-5A3F927319DC}" name="ValidTarget" dataDxfId="30"/>
    <tableColumn id="9" xr3:uid="{B72B33B8-F384-443D-BD1E-E8864572610C}" name="ValidDependency" dataDxfId="29">
      <calculatedColumnFormula>ISNUMBER(_xlfn.XMATCH(tbldeptemp[[#This Row],[DependencyID]],tblTargets[TargetID]))</calculatedColumnFormula>
    </tableColumn>
    <tableColumn id="10" xr3:uid="{597E8C9F-0B66-4ED9-AF07-AFC3A757AB00}" name="Exception" dataDxfId="2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26EBEAB-B8B7-4381-8B6E-F0BE6D191FE2}" name="tblBuildingAliases" displayName="tblBuildingAliases" ref="A1:F60">
  <tableColumns count="6">
    <tableColumn id="6" xr3:uid="{71BBB4E3-0A52-4C75-A1F3-CE7AE73416C8}" name="SourceType" dataCellStyle="Normal 3"/>
    <tableColumn id="1" xr3:uid="{5B8F3D7B-1383-4652-9092-7126BD229FBC}" name="Source ID"/>
    <tableColumn id="2" xr3:uid="{07F42930-0579-4C31-8EBA-24B9551F066D}" name="Tracker Key"/>
    <tableColumn id="3" xr3:uid="{8B2C3DC1-7795-4650-8CC8-87C7A917C6C0}" name="Tracker Target Pattern"/>
    <tableColumn id="4" xr3:uid="{CA45C4FD-76E0-49D6-BCC3-015009ABE504}" name="Confidence"/>
    <tableColumn id="5" xr3:uid="{EF8FDA62-1111-4A4E-8FF2-640761140300}" name="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8BF6E-1E93-48DF-A185-46ED7E9D8BDD}">
  <dimension ref="A1:B12"/>
  <sheetViews>
    <sheetView workbookViewId="0">
      <selection activeCell="AG4" sqref="AG4"/>
    </sheetView>
  </sheetViews>
  <sheetFormatPr defaultRowHeight="14.5"/>
  <cols>
    <col min="1" max="1" width="33.90625" customWidth="1"/>
    <col min="2" max="2" width="56.08984375" customWidth="1"/>
  </cols>
  <sheetData>
    <row r="1" spans="1:2">
      <c r="A1" s="1"/>
      <c r="B1" s="1"/>
    </row>
    <row r="6" spans="1:2">
      <c r="B6" s="2"/>
    </row>
    <row r="10" spans="1:2">
      <c r="B10" s="2"/>
    </row>
    <row r="11" spans="1:2">
      <c r="B11" s="2"/>
    </row>
    <row r="12" spans="1:2">
      <c r="B12"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DD692-54C1-4530-9531-58B390F26FC6}">
  <sheetPr>
    <tabColor rgb="FF00B0F0"/>
  </sheetPr>
  <dimension ref="A1:K4"/>
  <sheetViews>
    <sheetView workbookViewId="0">
      <selection activeCell="B5" sqref="B5"/>
    </sheetView>
  </sheetViews>
  <sheetFormatPr defaultRowHeight="14.5"/>
  <cols>
    <col min="1" max="1" width="13.7265625" bestFit="1" customWidth="1"/>
    <col min="2" max="2" width="5.81640625" bestFit="1" customWidth="1"/>
    <col min="3" max="3" width="26" bestFit="1" customWidth="1"/>
    <col min="4" max="4" width="23" bestFit="1" customWidth="1"/>
    <col min="5" max="5" width="33" bestFit="1" customWidth="1"/>
    <col min="7" max="7" width="10.7265625" bestFit="1" customWidth="1"/>
    <col min="11" max="11" width="0" hidden="1" customWidth="1"/>
  </cols>
  <sheetData>
    <row r="1" spans="1:11">
      <c r="A1" s="3" t="s">
        <v>1</v>
      </c>
      <c r="B1" s="4" t="s">
        <v>0</v>
      </c>
      <c r="C1" s="4" t="s">
        <v>6082</v>
      </c>
      <c r="D1" s="3" t="s">
        <v>2</v>
      </c>
      <c r="E1" t="s">
        <v>1455</v>
      </c>
      <c r="G1" s="95" t="s">
        <v>6426</v>
      </c>
      <c r="H1" s="102" t="s">
        <v>6269</v>
      </c>
      <c r="K1" t="s">
        <v>6269</v>
      </c>
    </row>
    <row r="2" spans="1:11">
      <c r="A2" s="5" t="s">
        <v>3</v>
      </c>
      <c r="B2" s="101">
        <v>1</v>
      </c>
      <c r="C2" s="60" t="s">
        <v>6094</v>
      </c>
      <c r="D2" s="5" t="s">
        <v>4</v>
      </c>
      <c r="E2" t="s">
        <v>6036</v>
      </c>
      <c r="K2" t="s">
        <v>6270</v>
      </c>
    </row>
    <row r="3" spans="1:11">
      <c r="A3" s="5" t="s">
        <v>6030</v>
      </c>
      <c r="B3" s="101">
        <v>0</v>
      </c>
      <c r="C3" s="59" t="s">
        <v>6083</v>
      </c>
      <c r="D3" s="5" t="s">
        <v>6033</v>
      </c>
      <c r="E3" t="s">
        <v>6034</v>
      </c>
    </row>
    <row r="4" spans="1:11">
      <c r="A4" s="5" t="s">
        <v>6031</v>
      </c>
      <c r="B4" s="101">
        <v>0</v>
      </c>
      <c r="C4" s="59" t="s">
        <v>6084</v>
      </c>
      <c r="D4" s="5" t="s">
        <v>6032</v>
      </c>
      <c r="E4" t="s">
        <v>6035</v>
      </c>
    </row>
  </sheetData>
  <phoneticPr fontId="4" type="noConversion"/>
  <dataValidations count="1">
    <dataValidation type="list" allowBlank="1" showInputMessage="1" showErrorMessage="1" sqref="H1" xr:uid="{2AC6814B-7230-4327-9016-E84893831A1D}">
      <formula1>$K$1:$K$2</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1A37-4855-4836-BAB5-3A205F6DA115}">
  <sheetPr>
    <tabColor rgb="FF00B0F0"/>
  </sheetPr>
  <dimension ref="A1:AC99"/>
  <sheetViews>
    <sheetView topLeftCell="L1" workbookViewId="0">
      <selection activeCell="AA1" sqref="AA1"/>
    </sheetView>
  </sheetViews>
  <sheetFormatPr defaultColWidth="8.7265625" defaultRowHeight="14.5"/>
  <cols>
    <col min="1" max="1" width="23" style="5" bestFit="1" customWidth="1"/>
    <col min="2" max="2" width="11.54296875" style="5" bestFit="1" customWidth="1"/>
    <col min="3" max="3" width="4.453125" style="104" bestFit="1" customWidth="1"/>
    <col min="4" max="4" width="7.453125" style="105" bestFit="1" customWidth="1"/>
    <col min="5" max="5" width="10.36328125" style="5" bestFit="1" customWidth="1"/>
    <col min="6" max="6" width="21.54296875" style="57" bestFit="1" customWidth="1"/>
    <col min="7" max="7" width="3.1796875" style="2" customWidth="1"/>
    <col min="8" max="8" width="4.81640625" style="2" customWidth="1"/>
    <col min="9" max="9" width="26.453125" style="2" bestFit="1" customWidth="1"/>
    <col min="10" max="10" width="11.54296875" style="2" bestFit="1" customWidth="1"/>
    <col min="11" max="11" width="25.54296875" style="2" bestFit="1" customWidth="1"/>
    <col min="12" max="12" width="101.54296875" style="2" bestFit="1" customWidth="1"/>
    <col min="13" max="13" width="5.54296875" style="2" customWidth="1"/>
    <col min="14" max="14" width="13.26953125" style="2" customWidth="1"/>
    <col min="15" max="15" width="27.81640625" style="2" bestFit="1" customWidth="1"/>
    <col min="16" max="16" width="26.453125" style="2" bestFit="1" customWidth="1"/>
    <col min="17" max="17" width="1.7265625" style="2" customWidth="1"/>
    <col min="18" max="18" width="6.81640625" style="2" customWidth="1"/>
    <col min="19" max="19" width="17.54296875" style="2" bestFit="1" customWidth="1"/>
    <col min="20" max="20" width="7.7265625" style="2" bestFit="1" customWidth="1"/>
    <col min="21" max="21" width="8.7265625" style="2"/>
    <col min="22" max="22" width="35.81640625" style="2" bestFit="1" customWidth="1"/>
    <col min="23" max="23" width="10.90625" style="2" customWidth="1"/>
    <col min="24" max="25" width="8.7265625" style="2"/>
    <col min="26" max="26" width="18.1796875" style="2" customWidth="1"/>
    <col min="27" max="27" width="33.453125" style="2" bestFit="1" customWidth="1"/>
    <col min="28" max="28" width="4.81640625" style="2" bestFit="1" customWidth="1"/>
    <col min="29" max="29" width="12.1796875" style="2" customWidth="1"/>
    <col min="30" max="16384" width="8.7265625" style="2"/>
  </cols>
  <sheetData>
    <row r="1" spans="1:29" s="45" customFormat="1" ht="31.5" thickBot="1">
      <c r="A1" s="118" t="s">
        <v>3648</v>
      </c>
      <c r="B1" s="118"/>
      <c r="C1" s="118"/>
      <c r="D1" s="118"/>
      <c r="E1" s="118"/>
      <c r="F1" s="63"/>
      <c r="G1" s="63"/>
      <c r="H1" s="63"/>
      <c r="I1" s="119" t="s">
        <v>5497</v>
      </c>
      <c r="J1" s="120"/>
      <c r="K1" s="120"/>
      <c r="L1" s="121"/>
      <c r="N1" s="63"/>
      <c r="O1" s="118" t="s">
        <v>5568</v>
      </c>
      <c r="P1" s="118"/>
      <c r="Q1" s="63"/>
      <c r="R1" s="63"/>
      <c r="S1" s="119" t="s">
        <v>6118</v>
      </c>
      <c r="T1" s="121"/>
      <c r="V1" s="118" t="s">
        <v>6250</v>
      </c>
      <c r="W1" s="118"/>
      <c r="Y1" s="100" t="s">
        <v>6470</v>
      </c>
      <c r="Z1" s="99" t="s">
        <v>708</v>
      </c>
      <c r="AA1" s="2" t="str" cm="1">
        <f t="array" ref="AA1:AC1">_xlfn._xlws.FILTER(
 _xlfn.HSTACK(
  tblCostChecklist[DisplayName],
  tblCostChecklist[QuantityRequired],
  tblCostChecklist[TargetType]
 ),
 (tblCostChecklist[ResourceID]=$Z$1)*
 (tblCostChecklist[PlayerPaid]=FALSE)*
 (tblCostChecklist[TargetCompleted]="READY"),
 "No ready unpaid targets require this resource"
)</f>
        <v>Guild Lv 2</v>
      </c>
      <c r="AB1" s="2">
        <v>1</v>
      </c>
      <c r="AC1" s="2" t="str">
        <v>BUILDING</v>
      </c>
    </row>
    <row r="2" spans="1:29" ht="47">
      <c r="A2" s="64" t="s">
        <v>5492</v>
      </c>
      <c r="B2" s="64" t="s">
        <v>2703</v>
      </c>
      <c r="C2" s="65" t="s">
        <v>6107</v>
      </c>
      <c r="D2" s="66" t="s">
        <v>5493</v>
      </c>
      <c r="E2" s="64" t="s">
        <v>5494</v>
      </c>
      <c r="F2" s="64" t="s">
        <v>5495</v>
      </c>
      <c r="G2" s="57"/>
      <c r="H2" s="57"/>
      <c r="I2" s="68" t="s">
        <v>5492</v>
      </c>
      <c r="J2" s="68" t="s">
        <v>2703</v>
      </c>
      <c r="K2" s="68" t="s">
        <v>5496</v>
      </c>
      <c r="L2" s="68" t="s">
        <v>5495</v>
      </c>
      <c r="O2" s="67" t="s">
        <v>6241</v>
      </c>
      <c r="P2" s="67" t="s">
        <v>6242</v>
      </c>
      <c r="Q2" s="63"/>
      <c r="S2" s="68" t="s">
        <v>6117</v>
      </c>
      <c r="T2" s="68" t="s">
        <v>6240</v>
      </c>
      <c r="V2" s="47" t="str" cm="1">
        <f t="array" ref="V2">_xlfn._xlws.FILTER(
    _xlfn.HSTACK(
        tblTargetStatus[DisplayName],
        tblTargetStatus[TargetType]
    ),
    (tblTargetStatus[Status]="READY")*
    (tblTargetStatus[TargetFunded]=TRUE),
    "No funded targets waiting for completion"
)</f>
        <v>No funded targets waiting for completion</v>
      </c>
      <c r="W2" s="47"/>
    </row>
    <row r="3" spans="1:29" ht="29">
      <c r="A3" s="5" t="str" cm="1">
        <f t="array" ref="A3:F3">_xlfn.LET(
_xlpm.data,
_xlfn._xlws.FILTER(
_xlfn.HSTACK(
tblTargetStatus[DisplayName],
tblTargetStatus[TargetType],
tblTargetStatus[PlayerSort],
tblTargetStatus[FundingPercent],
tblTargetStatus[RemainingRequirements],
tblTargetStatus[OutstandingResources]
),
(tblTargetStatus[Status]="READY")*
(tblTargetStatus[PlayerCompleted]=FALSE)*
(tblTargetStatus[HasCost]=TRUE)*
(tblTargetStatus[TargetFunded]=FALSE),
""
),
IF(
AND(ROWS(_xlpm.data)=1,INDEX(_xlpm.data,1,1)=""),
"Nothing currently waiting for payment",
_xlfn.SORTBY(
_xlpm.data,
_xlfn.CHOOSECOLS(_xlpm.data,3)="",1,
_xlfn.CHOOSECOLS(_xlpm.data,3),1
)
)
)</f>
        <v>Guild Lv 2</v>
      </c>
      <c r="B3" s="5" t="str">
        <v>BUILDING</v>
      </c>
      <c r="C3" s="104">
        <v>1</v>
      </c>
      <c r="D3" s="105">
        <v>0</v>
      </c>
      <c r="E3" s="5">
        <v>4</v>
      </c>
      <c r="F3" s="57" t="str">
        <v>ruby: 1, coin: 50, wood: 50, stone: 50</v>
      </c>
      <c r="I3" s="2" t="str" cm="1">
        <f t="array" ref="I3:L22">_xlfn._xlws.FILTER(
 _xlfn.HSTACK(
  tblTargetStatus[DisplayName],
  tblTargetStatus[TargetType],
  tblTargetStatus[FirstMissingDependency],
    IFERROR(tblTargetStatus[Cost],"")
 ),
 (tblTargetStatus[ChainAwareStatus]="ONE AWAY")*
 (tblTargetStatus[PlayerCompleted]=FALSE)*
 (tblTargetStatus[completionmethod]="PLAYER"),
 "Nothing one step away"
)</f>
        <v>Alchemist's Hut Lv 1</v>
      </c>
      <c r="J3" s="2" t="str">
        <v>BUILDING</v>
      </c>
      <c r="K3" s="2" t="str">
        <v>Character Level@6</v>
      </c>
      <c r="L3" s="2" t="str">
        <v>1 ruby,140 coin,70 wood,70 stone</v>
      </c>
      <c r="O3" s="2" t="str" cm="1">
        <f t="array" ref="O3">_xlfn._xlws.FILTER(
_xlfn.HSTACK(
tblQuestObjectives[QuestDisplayName],
tblQuestObjectives[ObjectiveDisplayName]
),
(tblQuestObjectives[Outstanding])*
(tblQuestObjectives[activequest]),
"No active quests"
)</f>
        <v>No active quests</v>
      </c>
      <c r="S3" s="2" t="str" cm="1">
        <f t="array" ref="S3">_xlfn._xlws.FILTER(
_xlfn.HSTACK(
tblTargetStatus[DisplayName],
tblTargetStatus[PendingQuestAcceptances]
),
(tblTargetStatus[Status]="READY")*
(tblTargetStatus[TargetType]="STATE")*
(tblTargetStatus[PlayerCompleted]=FALSE)*
(tblTargetStatus[PendingQuestAcceptances]&lt;&gt;""),
"No pending quest acceptance actions"
)</f>
        <v>No pending quest acceptance actions</v>
      </c>
    </row>
    <row r="4" spans="1:29">
      <c r="I4" s="2" t="str">
        <v>Bonsai Lv 1</v>
      </c>
      <c r="J4" s="2" t="str">
        <v>BUILDING</v>
      </c>
      <c r="K4" s="2" t="str">
        <v>Character Level@21</v>
      </c>
      <c r="L4" s="2" t="str">
        <v>3 ruby,500 coin,500 plank,120 beans</v>
      </c>
    </row>
    <row r="5" spans="1:29">
      <c r="I5" s="2" t="str">
        <v>Bridge Lv 1</v>
      </c>
      <c r="J5" s="2" t="str">
        <v>BUILDING</v>
      </c>
      <c r="K5" s="2" t="str">
        <v>Character Level@30</v>
      </c>
      <c r="L5" s="2" t="str">
        <v>4 ruby,1000 coin,400 beam,1000 plank,400 stone,100 steel</v>
      </c>
    </row>
    <row r="6" spans="1:29">
      <c r="I6" s="2" t="str">
        <v>Chicken Lv 1</v>
      </c>
      <c r="J6" s="2" t="str">
        <v>BUILDING</v>
      </c>
      <c r="K6" s="2" t="str">
        <v>Character Level@15</v>
      </c>
      <c r="L6" s="2" t="str">
        <v>2 ruby,400 coin,400 beam,200 stone,20 wheat,10 thread,1 egg</v>
      </c>
    </row>
    <row r="7" spans="1:29">
      <c r="I7" s="2" t="str">
        <v>Dungeon Lv 1</v>
      </c>
      <c r="J7" s="2" t="str">
        <v>BUILDING</v>
      </c>
      <c r="K7" s="2" t="str">
        <v>Character Level@10</v>
      </c>
      <c r="L7" s="2" t="str">
        <v>1 ruby,300 coin,200 wood,50 stone,100 steel,30 fan</v>
      </c>
    </row>
    <row r="8" spans="1:29">
      <c r="I8" s="2" t="str">
        <v>Field Lv 1</v>
      </c>
      <c r="J8" s="2" t="str">
        <v>BUILDING</v>
      </c>
      <c r="K8" s="2" t="str">
        <v>Character Level@7</v>
      </c>
      <c r="L8" s="2" t="str">
        <v>1 ruby,200 coin,100 wood,20 chemicals</v>
      </c>
    </row>
    <row r="9" spans="1:29">
      <c r="I9" s="2" t="str">
        <v>Food Stall Lv 1</v>
      </c>
      <c r="J9" s="2" t="str">
        <v>BUILDING</v>
      </c>
      <c r="K9" s="2" t="str">
        <v>Character Level@8</v>
      </c>
      <c r="L9" s="2" t="str">
        <v>1 ruby,300 coin,150 wood,150 stone,20 rice</v>
      </c>
    </row>
    <row r="10" spans="1:29">
      <c r="I10" s="2" t="str">
        <v>Furnace Lv 1</v>
      </c>
      <c r="J10" s="2" t="str">
        <v>BUILDING</v>
      </c>
      <c r="K10" s="2" t="str">
        <v>Character Level@8</v>
      </c>
      <c r="L10" s="2" t="str">
        <v>1 ruby,200 coin,100 wood,100 stone</v>
      </c>
    </row>
    <row r="11" spans="1:29">
      <c r="I11" s="2" t="str">
        <v>Garden Lv 1</v>
      </c>
      <c r="J11" s="2" t="str">
        <v>BUILDING</v>
      </c>
      <c r="K11" s="2" t="str">
        <v>Character Level@12</v>
      </c>
      <c r="L11" s="2" t="str">
        <v>1 ruby,400 coin,200 wood,100 stone</v>
      </c>
    </row>
    <row r="12" spans="1:29">
      <c r="I12" s="2" t="str">
        <v>Gong Lv 1</v>
      </c>
      <c r="J12" s="2" t="str">
        <v>BUILDING</v>
      </c>
      <c r="K12" s="2" t="str">
        <v>Character Level@10</v>
      </c>
      <c r="L12" s="2" t="str">
        <v>3 ruby,200 coin,100 wood,50 stone,50 steel</v>
      </c>
    </row>
    <row r="13" spans="1:29">
      <c r="I13" s="2" t="str">
        <v>Guild Lv 3</v>
      </c>
      <c r="J13" s="2" t="str">
        <v>BUILDING</v>
      </c>
      <c r="K13" s="2" t="str">
        <v>Guild Lv 2</v>
      </c>
      <c r="L13" s="2" t="str">
        <v>2 ruby,150 coin,300 beam,150 stone</v>
      </c>
    </row>
    <row r="14" spans="1:29">
      <c r="I14" s="2" t="str">
        <v>Lumber Lv 1</v>
      </c>
      <c r="J14" s="2" t="str">
        <v>BUILDING</v>
      </c>
      <c r="K14" s="2" t="str">
        <v>Character Level@11</v>
      </c>
      <c r="L14" s="2" t="str">
        <v>1 ruby,300 coin,150 wood,150 stone</v>
      </c>
    </row>
    <row r="15" spans="1:29">
      <c r="I15" s="2" t="str">
        <v>Onsen Lv 1</v>
      </c>
      <c r="J15" s="2" t="str">
        <v>BUILDING</v>
      </c>
      <c r="K15" s="2" t="str">
        <v>Character Level@20</v>
      </c>
      <c r="L15" s="2" t="str">
        <v>3 ruby,500 coin,500 plank,400 stone</v>
      </c>
    </row>
    <row r="16" spans="1:29">
      <c r="C16" s="106"/>
      <c r="I16" s="2" t="str">
        <v>Pagoda Lv 1</v>
      </c>
      <c r="J16" s="2" t="str">
        <v>BUILDING</v>
      </c>
      <c r="K16" s="2" t="str">
        <v>Character Level@4</v>
      </c>
      <c r="L16" s="2" t="str">
        <v>1 ruby,50 coin,50 wood,50 stone,5 petard</v>
      </c>
    </row>
    <row r="17" spans="3:12">
      <c r="C17" s="106"/>
      <c r="I17" s="2" t="str">
        <v>Rock Garden Lv 1</v>
      </c>
      <c r="J17" s="2" t="str">
        <v>BUILDING</v>
      </c>
      <c r="K17" s="2" t="str">
        <v>Character Level@13</v>
      </c>
      <c r="L17" s="2" t="str">
        <v>1 ruby,400 coin,100 wood,200 stone</v>
      </c>
    </row>
    <row r="18" spans="3:12">
      <c r="C18" s="106"/>
      <c r="I18" s="2" t="str">
        <v>Shop Lv 1</v>
      </c>
      <c r="J18" s="2" t="str">
        <v>BUILDING</v>
      </c>
      <c r="K18" s="2" t="str">
        <v>Character Level@3</v>
      </c>
      <c r="L18" s="2" t="str">
        <v>1 ruby,100 coin,20 wood,20 stone</v>
      </c>
    </row>
    <row r="19" spans="3:12">
      <c r="C19" s="106"/>
      <c r="I19" s="2" t="str">
        <v>Smithy Lv 1</v>
      </c>
      <c r="J19" s="2" t="str">
        <v>BUILDING</v>
      </c>
      <c r="K19" s="2" t="str">
        <v>Character Level@9</v>
      </c>
      <c r="L19" s="2" t="str">
        <v>1 ruby,240 coin,120 wood,120 stone,20 steel</v>
      </c>
    </row>
    <row r="20" spans="3:12">
      <c r="C20" s="106"/>
      <c r="I20" s="2" t="str">
        <v>Warehouse Lv 1</v>
      </c>
      <c r="J20" s="2" t="str">
        <v>BUILDING</v>
      </c>
      <c r="K20" s="2" t="str">
        <v>Character Level@5</v>
      </c>
      <c r="L20" s="2" t="str">
        <v>1 ruby,100 coin,60 wood,60 stone</v>
      </c>
    </row>
    <row r="21" spans="3:12">
      <c r="C21" s="106"/>
      <c r="I21" s="2" t="str">
        <v>Windmill Lv 1</v>
      </c>
      <c r="J21" s="2" t="str">
        <v>BUILDING</v>
      </c>
      <c r="K21" s="2" t="str">
        <v>Character Level@9</v>
      </c>
      <c r="L21" s="2" t="str">
        <v>1 ruby,300 coin,150 wood,150 stone,40 steel</v>
      </c>
    </row>
    <row r="22" spans="3:12">
      <c r="C22" s="106"/>
      <c r="I22" s="2" t="str">
        <v>Workshop Lv 1</v>
      </c>
      <c r="J22" s="2" t="str">
        <v>BUILDING</v>
      </c>
      <c r="K22" s="2" t="str">
        <v>Character Level@2</v>
      </c>
      <c r="L22" s="2" t="str">
        <v>1 ruby,20 coin,10 wood,10 stone</v>
      </c>
    </row>
    <row r="23" spans="3:12">
      <c r="C23" s="106"/>
    </row>
    <row r="24" spans="3:12">
      <c r="C24" s="106"/>
    </row>
    <row r="25" spans="3:12">
      <c r="C25" s="106"/>
    </row>
    <row r="26" spans="3:12">
      <c r="C26" s="106"/>
    </row>
    <row r="27" spans="3:12">
      <c r="C27" s="106"/>
    </row>
    <row r="28" spans="3:12">
      <c r="C28" s="106"/>
    </row>
    <row r="29" spans="3:12">
      <c r="C29" s="106"/>
    </row>
    <row r="30" spans="3:12">
      <c r="C30" s="106"/>
    </row>
    <row r="31" spans="3:12">
      <c r="C31" s="106"/>
    </row>
    <row r="32" spans="3:12">
      <c r="C32" s="106"/>
    </row>
    <row r="33" spans="3:3">
      <c r="C33" s="106"/>
    </row>
    <row r="34" spans="3:3">
      <c r="C34" s="106"/>
    </row>
    <row r="35" spans="3:3">
      <c r="C35" s="106"/>
    </row>
    <row r="36" spans="3:3">
      <c r="C36" s="106"/>
    </row>
    <row r="37" spans="3:3">
      <c r="C37" s="106"/>
    </row>
    <row r="38" spans="3:3">
      <c r="C38" s="106"/>
    </row>
    <row r="39" spans="3:3">
      <c r="C39" s="106"/>
    </row>
    <row r="40" spans="3:3">
      <c r="C40" s="106"/>
    </row>
    <row r="41" spans="3:3">
      <c r="C41" s="106"/>
    </row>
    <row r="42" spans="3:3">
      <c r="C42" s="106"/>
    </row>
    <row r="43" spans="3:3">
      <c r="C43" s="106"/>
    </row>
    <row r="44" spans="3:3">
      <c r="C44" s="106"/>
    </row>
    <row r="45" spans="3:3">
      <c r="C45" s="106"/>
    </row>
    <row r="46" spans="3:3">
      <c r="C46" s="106"/>
    </row>
    <row r="47" spans="3:3">
      <c r="C47" s="106"/>
    </row>
    <row r="48" spans="3:3">
      <c r="C48" s="106"/>
    </row>
    <row r="49" spans="3:3">
      <c r="C49" s="106"/>
    </row>
    <row r="50" spans="3:3">
      <c r="C50" s="106"/>
    </row>
    <row r="51" spans="3:3">
      <c r="C51" s="106"/>
    </row>
    <row r="52" spans="3:3">
      <c r="C52" s="106"/>
    </row>
    <row r="53" spans="3:3">
      <c r="C53" s="106"/>
    </row>
    <row r="54" spans="3:3">
      <c r="C54" s="106"/>
    </row>
    <row r="55" spans="3:3">
      <c r="C55" s="106"/>
    </row>
    <row r="56" spans="3:3">
      <c r="C56" s="106"/>
    </row>
    <row r="57" spans="3:3">
      <c r="C57" s="106"/>
    </row>
    <row r="58" spans="3:3">
      <c r="C58" s="106"/>
    </row>
    <row r="59" spans="3:3">
      <c r="C59" s="106"/>
    </row>
    <row r="60" spans="3:3">
      <c r="C60" s="106"/>
    </row>
    <row r="61" spans="3:3">
      <c r="C61" s="106"/>
    </row>
    <row r="62" spans="3:3">
      <c r="C62" s="106"/>
    </row>
    <row r="63" spans="3:3">
      <c r="C63" s="106"/>
    </row>
    <row r="64" spans="3:3">
      <c r="C64" s="106"/>
    </row>
    <row r="65" spans="3:3">
      <c r="C65" s="106"/>
    </row>
    <row r="66" spans="3:3">
      <c r="C66" s="106"/>
    </row>
    <row r="67" spans="3:3">
      <c r="C67" s="106"/>
    </row>
    <row r="68" spans="3:3">
      <c r="C68" s="106"/>
    </row>
    <row r="69" spans="3:3">
      <c r="C69" s="106"/>
    </row>
    <row r="70" spans="3:3">
      <c r="C70" s="106"/>
    </row>
    <row r="71" spans="3:3">
      <c r="C71" s="106"/>
    </row>
    <row r="72" spans="3:3">
      <c r="C72" s="106"/>
    </row>
    <row r="73" spans="3:3">
      <c r="C73" s="106"/>
    </row>
    <row r="74" spans="3:3">
      <c r="C74" s="106"/>
    </row>
    <row r="75" spans="3:3">
      <c r="C75" s="106"/>
    </row>
    <row r="76" spans="3:3">
      <c r="C76" s="106"/>
    </row>
    <row r="77" spans="3:3">
      <c r="C77" s="106"/>
    </row>
    <row r="78" spans="3:3">
      <c r="C78" s="106"/>
    </row>
    <row r="79" spans="3:3">
      <c r="C79" s="106"/>
    </row>
    <row r="80" spans="3:3">
      <c r="C80" s="106"/>
    </row>
    <row r="81" spans="3:3">
      <c r="C81" s="106"/>
    </row>
    <row r="82" spans="3:3">
      <c r="C82" s="106"/>
    </row>
    <row r="83" spans="3:3">
      <c r="C83" s="106"/>
    </row>
    <row r="84" spans="3:3">
      <c r="C84" s="106"/>
    </row>
    <row r="85" spans="3:3">
      <c r="C85" s="106"/>
    </row>
    <row r="86" spans="3:3">
      <c r="C86" s="106"/>
    </row>
    <row r="87" spans="3:3">
      <c r="C87" s="106"/>
    </row>
    <row r="88" spans="3:3">
      <c r="C88" s="106"/>
    </row>
    <row r="89" spans="3:3">
      <c r="C89" s="106"/>
    </row>
    <row r="90" spans="3:3">
      <c r="C90" s="106"/>
    </row>
    <row r="91" spans="3:3">
      <c r="C91" s="106"/>
    </row>
    <row r="92" spans="3:3">
      <c r="C92" s="106"/>
    </row>
    <row r="93" spans="3:3">
      <c r="C93" s="106"/>
    </row>
    <row r="94" spans="3:3">
      <c r="C94" s="106"/>
    </row>
    <row r="95" spans="3:3">
      <c r="C95" s="106"/>
    </row>
    <row r="96" spans="3:3">
      <c r="C96" s="106"/>
    </row>
    <row r="97" spans="3:3">
      <c r="C97" s="106"/>
    </row>
    <row r="98" spans="3:3">
      <c r="C98" s="106"/>
    </row>
    <row r="99" spans="3:3">
      <c r="C99" s="106"/>
    </row>
  </sheetData>
  <mergeCells count="5">
    <mergeCell ref="V1:W1"/>
    <mergeCell ref="A1:E1"/>
    <mergeCell ref="I1:L1"/>
    <mergeCell ref="S1:T1"/>
    <mergeCell ref="O1:P1"/>
  </mergeCells>
  <conditionalFormatting sqref="A3:A99">
    <cfRule type="expression" dxfId="27" priority="28">
      <formula>A3&lt;&gt;""</formula>
    </cfRule>
  </conditionalFormatting>
  <conditionalFormatting sqref="A3:F40">
    <cfRule type="expression" dxfId="26" priority="13">
      <formula>$D3&gt;0</formula>
    </cfRule>
  </conditionalFormatting>
  <conditionalFormatting sqref="A3:F99">
    <cfRule type="expression" dxfId="25" priority="15">
      <formula>AND(A3&lt;&gt;"",A4="")</formula>
    </cfRule>
  </conditionalFormatting>
  <conditionalFormatting sqref="F3:F99">
    <cfRule type="expression" dxfId="24" priority="24">
      <formula>F3&lt;&gt;""</formula>
    </cfRule>
  </conditionalFormatting>
  <conditionalFormatting sqref="I3:I60">
    <cfRule type="expression" dxfId="23" priority="21">
      <formula>AND(I3&lt;&gt;"",I4="")</formula>
    </cfRule>
    <cfRule type="expression" dxfId="22" priority="22">
      <formula>I3&lt;&gt;""</formula>
    </cfRule>
  </conditionalFormatting>
  <conditionalFormatting sqref="I3:K69">
    <cfRule type="expression" dxfId="21" priority="14">
      <formula>AND($K3&lt;&gt;"",$K4="")</formula>
    </cfRule>
  </conditionalFormatting>
  <conditionalFormatting sqref="J3:K69">
    <cfRule type="expression" dxfId="20" priority="17">
      <formula>AND(J3&lt;&gt;"",J4="")</formula>
    </cfRule>
  </conditionalFormatting>
  <conditionalFormatting sqref="L3:L69">
    <cfRule type="expression" dxfId="19" priority="19">
      <formula>I3&lt;&gt;""</formula>
    </cfRule>
    <cfRule type="expression" dxfId="18" priority="20">
      <formula>AND(I3&lt;&gt;"",I4="")</formula>
    </cfRule>
  </conditionalFormatting>
  <conditionalFormatting sqref="O3:Q21">
    <cfRule type="expression" dxfId="17" priority="8">
      <formula>O3&lt;&gt;""</formula>
    </cfRule>
  </conditionalFormatting>
  <conditionalFormatting sqref="O3:Q30">
    <cfRule type="expression" dxfId="16" priority="10">
      <formula>AND(O3&lt;&gt;"",O4="")</formula>
    </cfRule>
  </conditionalFormatting>
  <conditionalFormatting sqref="S3:S21">
    <cfRule type="expression" dxfId="15" priority="5">
      <formula>S3&lt;&gt;""</formula>
    </cfRule>
  </conditionalFormatting>
  <conditionalFormatting sqref="S3:T21">
    <cfRule type="expression" dxfId="14" priority="4">
      <formula>AND($S3&lt;&gt;"",$S4="")</formula>
    </cfRule>
  </conditionalFormatting>
  <conditionalFormatting sqref="T3:T21">
    <cfRule type="expression" dxfId="13" priority="9">
      <formula>S3&lt;&gt;""</formula>
    </cfRule>
  </conditionalFormatting>
  <conditionalFormatting sqref="V3:W21">
    <cfRule type="expression" dxfId="12" priority="6">
      <formula>$V3&lt;&gt;""</formula>
    </cfRule>
    <cfRule type="expression" dxfId="11" priority="11">
      <formula>AND($V3&lt;&gt;"",$V4="")</formula>
    </cfRule>
  </conditionalFormatting>
  <conditionalFormatting sqref="AA1:AA99">
    <cfRule type="expression" dxfId="10" priority="1">
      <formula>AA1&lt;&gt;""</formula>
    </cfRule>
  </conditionalFormatting>
  <conditionalFormatting sqref="AA1:AC99">
    <cfRule type="expression" dxfId="9" priority="3">
      <formula>AND(AA1&lt;&gt;"",AA2="")</formula>
    </cfRule>
  </conditionalFormatting>
  <conditionalFormatting sqref="AC1:AC99">
    <cfRule type="expression" dxfId="8" priority="2">
      <formula>AA1&lt;&gt;""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00C9242-8A24-4C7C-80F0-26E66E4BF44A}">
          <x14:formula1>
            <xm:f>'cost checklist'!$R:$R</xm:f>
          </x14:formula1>
          <xm:sqref>Z1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0CAD4-A3FC-483E-BC2E-3FD2890AF1CE}">
  <sheetPr>
    <tabColor rgb="FF00B0F0"/>
  </sheetPr>
  <dimension ref="A1:I561"/>
  <sheetViews>
    <sheetView tabSelected="1" topLeftCell="A18" workbookViewId="0">
      <selection activeCell="G45" sqref="G45"/>
    </sheetView>
  </sheetViews>
  <sheetFormatPr defaultRowHeight="26.15" customHeight="1"/>
  <cols>
    <col min="1" max="1" width="40.36328125" customWidth="1"/>
    <col min="2" max="2" width="28.08984375" customWidth="1"/>
    <col min="3" max="3" width="46" style="2" customWidth="1"/>
    <col min="4" max="4" width="12.6328125" style="79" bestFit="1" customWidth="1"/>
    <col min="5" max="5" width="14.90625" style="79" bestFit="1" customWidth="1"/>
    <col min="6" max="6" width="12.6328125" style="79" customWidth="1"/>
    <col min="7" max="7" width="12.90625" style="79" bestFit="1" customWidth="1"/>
    <col min="8" max="8" width="8.7265625" style="79"/>
    <col min="9" max="9" width="16.36328125" bestFit="1" customWidth="1"/>
  </cols>
  <sheetData>
    <row r="1" spans="1:9" s="79" customFormat="1" ht="26.15" customHeight="1">
      <c r="A1" s="79" t="s">
        <v>2090</v>
      </c>
      <c r="B1" s="79" t="s">
        <v>8</v>
      </c>
      <c r="C1" s="57" t="s">
        <v>6108</v>
      </c>
      <c r="D1" s="79" t="s">
        <v>2091</v>
      </c>
      <c r="E1" s="57" t="s">
        <v>5499</v>
      </c>
      <c r="F1" s="79" t="s">
        <v>6106</v>
      </c>
      <c r="G1" s="79" t="s">
        <v>3594</v>
      </c>
      <c r="H1" s="57" t="s">
        <v>5490</v>
      </c>
      <c r="I1" s="79" t="s">
        <v>6471</v>
      </c>
    </row>
    <row r="2" spans="1:9" ht="39.65" customHeight="1">
      <c r="A2" t="s">
        <v>13</v>
      </c>
      <c r="B2" t="str">
        <f>_xlfn.XLOOKUP(tblChecklist[[#This Row],[TargetID]],tblTargets[TargetID],tblTargets[DisplayName])</f>
        <v>Airship Lv 1</v>
      </c>
      <c r="C2" s="2" t="str">
        <f>_xlfn.XLOOKUP(
 tblChecklist[[#This Row],[TargetID]],
 tblTargetStatus[TargetID],
 tblTargetStatus[successors],
 ""
)</f>
        <v>Airship Lv 2, Astrolabe, Cinema Projector, Dagger, Helmet, Safe, Telescope, Tetrachloroaurate, Festival Returns Accepted, Quest for Knowledge Chapter 5 Accepted</v>
      </c>
      <c r="D2" s="79" t="s">
        <v>2092</v>
      </c>
      <c r="E2" s="79" t="str">
        <f>_xlfn.XLOOKUP(tblChecklist[[#This Row],[TargetID]],tblTargetStatus[TargetID],tblTargetStatus[ChainAwareStatus],"")</f>
        <v>BLOCKED</v>
      </c>
      <c r="F2" s="79">
        <v>44</v>
      </c>
      <c r="G2" s="82" t="b">
        <v>0</v>
      </c>
      <c r="H2" s="79" t="b">
        <f>_xlfn.XLOOKUP(tblChecklist[[#This Row],[TargetID]],tblTargetStatus[TargetID],tblTargetStatus[TargetFunded],"")</f>
        <v>0</v>
      </c>
      <c r="I2" s="79">
        <f>IF(
    tblChecklist[[#This Row],[TargetType]]&lt;&gt;"BUILDING",
    "",
    IF(
        Player!$H$1="Active",
        _xlfn.XLOOKUP(
            tblChecklist[[#This Row],[TargetID]],
            tblrecommended[ActiveTargetID],
            tblrecommended[Order],
            ""
        ),
        _xlfn.XLOOKUP(
            tblChecklist[[#This Row],[TargetID]],
            tblrecommended[PassiveTargetID],
            tblrecommended[Order],
            ""
        )
    )
)</f>
        <v>44</v>
      </c>
    </row>
    <row r="3" spans="1:9" ht="26.15" customHeight="1">
      <c r="A3" t="s">
        <v>15</v>
      </c>
      <c r="B3" t="str">
        <f>_xlfn.XLOOKUP(tblChecklist[[#This Row],[TargetID]],tblTargets[TargetID],tblTargets[DisplayName])</f>
        <v>Airship Lv 2</v>
      </c>
      <c r="C3" s="2" t="str">
        <f>_xlfn.XLOOKUP(
 tblChecklist[[#This Row],[TargetID]],
 tblTargetStatus[TargetID],
 tblTargetStatus[successors],
 ""
)</f>
        <v>Airship maxed</v>
      </c>
      <c r="D3" s="79" t="s">
        <v>2092</v>
      </c>
      <c r="E3" s="79" t="str">
        <f>_xlfn.XLOOKUP(tblChecklist[[#This Row],[TargetID]],tblTargetStatus[TargetID],tblTargetStatus[ChainAwareStatus],"")</f>
        <v>BLOCKED</v>
      </c>
      <c r="F3" s="79">
        <v>45</v>
      </c>
      <c r="G3" s="82" t="b">
        <v>0</v>
      </c>
      <c r="H3" s="79" t="b">
        <f>_xlfn.XLOOKUP(tblChecklist[[#This Row],[TargetID]],tblTargetStatus[TargetID],tblTargetStatus[TargetFunded],"")</f>
        <v>0</v>
      </c>
      <c r="I3" s="79">
        <f>IF(
    tblChecklist[[#This Row],[TargetType]]&lt;&gt;"BUILDING",
    "",
    IF(
        Player!$H$1="Active",
        _xlfn.XLOOKUP(
            tblChecklist[[#This Row],[TargetID]],
            tblrecommended[ActiveTargetID],
            tblrecommended[Order],
            ""
        ),
        _xlfn.XLOOKUP(
            tblChecklist[[#This Row],[TargetID]],
            tblrecommended[PassiveTargetID],
            tblrecommended[Order],
            ""
        )
    )
)</f>
        <v>45</v>
      </c>
    </row>
    <row r="4" spans="1:9" ht="26.15" customHeight="1">
      <c r="A4" t="s">
        <v>16</v>
      </c>
      <c r="B4" t="str">
        <f>_xlfn.XLOOKUP(tblChecklist[[#This Row],[TargetID]],tblTargets[TargetID],tblTargets[DisplayName])</f>
        <v>Alchemist's Hut Lv 1</v>
      </c>
      <c r="C4" s="2" t="str">
        <f>_xlfn.XLOOKUP(
 tblChecklist[[#This Row],[TargetID]],
 tblTargetStatus[TargetID],
 tblTargetStatus[successors],
 ""
)</f>
        <v>Alchemist's Hut Lv 2</v>
      </c>
      <c r="D4" s="79" t="s">
        <v>2092</v>
      </c>
      <c r="E4" s="79" t="str">
        <f>_xlfn.XLOOKUP(tblChecklist[[#This Row],[TargetID]],tblTargetStatus[TargetID],tblTargetStatus[ChainAwareStatus],"")</f>
        <v>ONE AWAY</v>
      </c>
      <c r="F4" s="79">
        <v>4</v>
      </c>
      <c r="G4" s="82" t="b">
        <v>0</v>
      </c>
      <c r="H4" s="79" t="b">
        <f>_xlfn.XLOOKUP(tblChecklist[[#This Row],[TargetID]],tblTargetStatus[TargetID],tblTargetStatus[TargetFunded],"")</f>
        <v>0</v>
      </c>
      <c r="I4" s="79">
        <f>IF(
    tblChecklist[[#This Row],[TargetType]]&lt;&gt;"BUILDING",
    "",
    IF(
        Player!$H$1="Active",
        _xlfn.XLOOKUP(
            tblChecklist[[#This Row],[TargetID]],
            tblrecommended[ActiveTargetID],
            tblrecommended[Order],
            ""
        ),
        _xlfn.XLOOKUP(
            tblChecklist[[#This Row],[TargetID]],
            tblrecommended[PassiveTargetID],
            tblrecommended[Order],
            ""
        )
    )
)</f>
        <v>4</v>
      </c>
    </row>
    <row r="5" spans="1:9" ht="26.15" customHeight="1">
      <c r="A5" t="s">
        <v>19</v>
      </c>
      <c r="B5" t="str">
        <f>_xlfn.XLOOKUP(tblChecklist[[#This Row],[TargetID]],tblTargets[TargetID],tblTargets[DisplayName])</f>
        <v>Alchemist's Hut Lv 2</v>
      </c>
      <c r="C5" s="2" t="str">
        <f>_xlfn.XLOOKUP(
 tblChecklist[[#This Row],[TargetID]],
 tblTargetStatus[TargetID],
 tblTargetStatus[successors],
 ""
)</f>
        <v>Alchemist's Hut Lv 3</v>
      </c>
      <c r="D5" s="79" t="s">
        <v>2092</v>
      </c>
      <c r="E5" s="79" t="str">
        <f>_xlfn.XLOOKUP(tblChecklist[[#This Row],[TargetID]],tblTargetStatus[TargetID],tblTargetStatus[ChainAwareStatus],"")</f>
        <v>BLOCKED</v>
      </c>
      <c r="F5" s="79">
        <v>5</v>
      </c>
      <c r="G5" s="82" t="b">
        <v>0</v>
      </c>
      <c r="H5" s="79" t="b">
        <f>_xlfn.XLOOKUP(tblChecklist[[#This Row],[TargetID]],tblTargetStatus[TargetID],tblTargetStatus[TargetFunded],"")</f>
        <v>0</v>
      </c>
      <c r="I5" s="79">
        <f>IF(
    tblChecklist[[#This Row],[TargetType]]&lt;&gt;"BUILDING",
    "",
    IF(
        Player!$H$1="Active",
        _xlfn.XLOOKUP(
            tblChecklist[[#This Row],[TargetID]],
            tblrecommended[ActiveTargetID],
            tblrecommended[Order],
            ""
        ),
        _xlfn.XLOOKUP(
            tblChecklist[[#This Row],[TargetID]],
            tblrecommended[PassiveTargetID],
            tblrecommended[Order],
            ""
        )
    )
)</f>
        <v>5</v>
      </c>
    </row>
    <row r="6" spans="1:9" ht="26.15" customHeight="1">
      <c r="A6" t="s">
        <v>20</v>
      </c>
      <c r="B6" t="str">
        <f>_xlfn.XLOOKUP(tblChecklist[[#This Row],[TargetID]],tblTargets[TargetID],tblTargets[DisplayName])</f>
        <v>Alchemist's Hut Lv 3</v>
      </c>
      <c r="C6" s="2" t="str">
        <f>_xlfn.XLOOKUP(
 tblChecklist[[#This Row],[TargetID]],
 tblTargetStatus[TargetID],
 tblTargetStatus[successors],
 ""
)</f>
        <v>Alchemist's Hut Lv 4</v>
      </c>
      <c r="D6" s="79" t="s">
        <v>2092</v>
      </c>
      <c r="E6" s="79" t="str">
        <f>_xlfn.XLOOKUP(tblChecklist[[#This Row],[TargetID]],tblTargetStatus[TargetID],tblTargetStatus[ChainAwareStatus],"")</f>
        <v>BLOCKED</v>
      </c>
      <c r="F6" s="79">
        <v>51</v>
      </c>
      <c r="G6" s="82" t="b">
        <v>0</v>
      </c>
      <c r="H6" s="79" t="b">
        <f>_xlfn.XLOOKUP(tblChecklist[[#This Row],[TargetID]],tblTargetStatus[TargetID],tblTargetStatus[TargetFunded],"")</f>
        <v>0</v>
      </c>
      <c r="I6" s="79">
        <f>IF(
    tblChecklist[[#This Row],[TargetType]]&lt;&gt;"BUILDING",
    "",
    IF(
        Player!$H$1="Active",
        _xlfn.XLOOKUP(
            tblChecklist[[#This Row],[TargetID]],
            tblrecommended[ActiveTargetID],
            tblrecommended[Order],
            ""
        ),
        _xlfn.XLOOKUP(
            tblChecklist[[#This Row],[TargetID]],
            tblrecommended[PassiveTargetID],
            tblrecommended[Order],
            ""
        )
    )
)</f>
        <v>51</v>
      </c>
    </row>
    <row r="7" spans="1:9" ht="26.15" customHeight="1">
      <c r="A7" t="s">
        <v>21</v>
      </c>
      <c r="B7" t="str">
        <f>_xlfn.XLOOKUP(tblChecklist[[#This Row],[TargetID]],tblTargets[TargetID],tblTargets[DisplayName])</f>
        <v>Alchemist's Hut Lv 4</v>
      </c>
      <c r="C7" s="2" t="str">
        <f>_xlfn.XLOOKUP(
 tblChecklist[[#This Row],[TargetID]],
 tblTargetStatus[TargetID],
 tblTargetStatus[successors],
 ""
)</f>
        <v>Alchemist's Hut Lv 5</v>
      </c>
      <c r="D7" s="79" t="s">
        <v>2092</v>
      </c>
      <c r="E7" s="79" t="str">
        <f>_xlfn.XLOOKUP(tblChecklist[[#This Row],[TargetID]],tblTargetStatus[TargetID],tblTargetStatus[ChainAwareStatus],"")</f>
        <v>BLOCKED</v>
      </c>
      <c r="F7" s="79">
        <v>52</v>
      </c>
      <c r="G7" s="82" t="b">
        <v>0</v>
      </c>
      <c r="H7" s="79" t="b">
        <f>_xlfn.XLOOKUP(tblChecklist[[#This Row],[TargetID]],tblTargetStatus[TargetID],tblTargetStatus[TargetFunded],"")</f>
        <v>0</v>
      </c>
      <c r="I7" s="79">
        <f>IF(
    tblChecklist[[#This Row],[TargetType]]&lt;&gt;"BUILDING",
    "",
    IF(
        Player!$H$1="Active",
        _xlfn.XLOOKUP(
            tblChecklist[[#This Row],[TargetID]],
            tblrecommended[ActiveTargetID],
            tblrecommended[Order],
            ""
        ),
        _xlfn.XLOOKUP(
            tblChecklist[[#This Row],[TargetID]],
            tblrecommended[PassiveTargetID],
            tblrecommended[Order],
            ""
        )
    )
)</f>
        <v>52</v>
      </c>
    </row>
    <row r="8" spans="1:9" ht="26.15" customHeight="1">
      <c r="A8" t="s">
        <v>22</v>
      </c>
      <c r="B8" t="str">
        <f>_xlfn.XLOOKUP(tblChecklist[[#This Row],[TargetID]],tblTargets[TargetID],tblTargets[DisplayName])</f>
        <v>Alchemist's Hut Lv 5</v>
      </c>
      <c r="C8" s="2" t="str">
        <f>_xlfn.XLOOKUP(
 tblChecklist[[#This Row],[TargetID]],
 tblTargetStatus[TargetID],
 tblTargetStatus[successors],
 ""
)</f>
        <v>Alchemist's Hut Lv 6</v>
      </c>
      <c r="D8" s="79" t="s">
        <v>2092</v>
      </c>
      <c r="E8" s="79" t="str">
        <f>_xlfn.XLOOKUP(tblChecklist[[#This Row],[TargetID]],tblTargetStatus[TargetID],tblTargetStatus[ChainAwareStatus],"")</f>
        <v>BLOCKED</v>
      </c>
      <c r="F8" s="79">
        <v>53</v>
      </c>
      <c r="G8" s="82" t="b">
        <v>0</v>
      </c>
      <c r="H8" s="79" t="b">
        <f>_xlfn.XLOOKUP(tblChecklist[[#This Row],[TargetID]],tblTargetStatus[TargetID],tblTargetStatus[TargetFunded],"")</f>
        <v>0</v>
      </c>
      <c r="I8" s="79">
        <f>IF(
    tblChecklist[[#This Row],[TargetType]]&lt;&gt;"BUILDING",
    "",
    IF(
        Player!$H$1="Active",
        _xlfn.XLOOKUP(
            tblChecklist[[#This Row],[TargetID]],
            tblrecommended[ActiveTargetID],
            tblrecommended[Order],
            ""
        ),
        _xlfn.XLOOKUP(
            tblChecklist[[#This Row],[TargetID]],
            tblrecommended[PassiveTargetID],
            tblrecommended[Order],
            ""
        )
    )
)</f>
        <v>53</v>
      </c>
    </row>
    <row r="9" spans="1:9" ht="26.15" customHeight="1">
      <c r="A9" t="s">
        <v>23</v>
      </c>
      <c r="B9" t="str">
        <f>_xlfn.XLOOKUP(tblChecklist[[#This Row],[TargetID]],tblTargets[TargetID],tblTargets[DisplayName])</f>
        <v>Alchemist's Hut Lv 6</v>
      </c>
      <c r="C9" s="2" t="str">
        <f>_xlfn.XLOOKUP(
 tblChecklist[[#This Row],[TargetID]],
 tblTargetStatus[TargetID],
 tblTargetStatus[successors],
 ""
)</f>
        <v>Alchemists Hut maxed, Flamethrower, Tetrachloroaurate</v>
      </c>
      <c r="D9" s="79" t="s">
        <v>2092</v>
      </c>
      <c r="E9" s="79" t="str">
        <f>_xlfn.XLOOKUP(tblChecklist[[#This Row],[TargetID]],tblTargetStatus[TargetID],tblTargetStatus[ChainAwareStatus],"")</f>
        <v>BLOCKED</v>
      </c>
      <c r="F9" s="79">
        <v>54</v>
      </c>
      <c r="G9" s="82" t="b">
        <v>0</v>
      </c>
      <c r="H9" s="79" t="b">
        <f>_xlfn.XLOOKUP(tblChecklist[[#This Row],[TargetID]],tblTargetStatus[TargetID],tblTargetStatus[TargetFunded],"")</f>
        <v>0</v>
      </c>
      <c r="I9" s="79">
        <f>IF(
    tblChecklist[[#This Row],[TargetType]]&lt;&gt;"BUILDING",
    "",
    IF(
        Player!$H$1="Active",
        _xlfn.XLOOKUP(
            tblChecklist[[#This Row],[TargetID]],
            tblrecommended[ActiveTargetID],
            tblrecommended[Order],
            ""
        ),
        _xlfn.XLOOKUP(
            tblChecklist[[#This Row],[TargetID]],
            tblrecommended[PassiveTargetID],
            tblrecommended[Order],
            ""
        )
    )
)</f>
        <v>54</v>
      </c>
    </row>
    <row r="10" spans="1:9" ht="26.15" customHeight="1">
      <c r="A10" t="s">
        <v>24</v>
      </c>
      <c r="B10" t="str">
        <f>_xlfn.XLOOKUP(tblChecklist[[#This Row],[TargetID]],tblTargets[TargetID],tblTargets[DisplayName])</f>
        <v>Bonsai Lv 1</v>
      </c>
      <c r="C10" s="2" t="str">
        <f>_xlfn.XLOOKUP(
 tblChecklist[[#This Row],[TargetID]],
 tblTargetStatus[TargetID],
 tblTargetStatus[successors],
 ""
)</f>
        <v>Bonsai Lv 2</v>
      </c>
      <c r="D10" s="79" t="s">
        <v>2092</v>
      </c>
      <c r="E10" s="79" t="str">
        <f>_xlfn.XLOOKUP(tblChecklist[[#This Row],[TargetID]],tblTargetStatus[TargetID],tblTargetStatus[ChainAwareStatus],"")</f>
        <v>ONE AWAY</v>
      </c>
      <c r="F10" s="79">
        <v>89</v>
      </c>
      <c r="G10" s="82" t="b">
        <v>0</v>
      </c>
      <c r="H10" s="79" t="b">
        <f>_xlfn.XLOOKUP(tblChecklist[[#This Row],[TargetID]],tblTargetStatus[TargetID],tblTargetStatus[TargetFunded],"")</f>
        <v>0</v>
      </c>
      <c r="I10" s="79">
        <f>IF(
    tblChecklist[[#This Row],[TargetType]]&lt;&gt;"BUILDING",
    "",
    IF(
        Player!$H$1="Active",
        _xlfn.XLOOKUP(
            tblChecklist[[#This Row],[TargetID]],
            tblrecommended[ActiveTargetID],
            tblrecommended[Order],
            ""
        ),
        _xlfn.XLOOKUP(
            tblChecklist[[#This Row],[TargetID]],
            tblrecommended[PassiveTargetID],
            tblrecommended[Order],
            ""
        )
    )
)</f>
        <v>89</v>
      </c>
    </row>
    <row r="11" spans="1:9" ht="26.15" customHeight="1">
      <c r="A11" t="s">
        <v>26</v>
      </c>
      <c r="B11" t="str">
        <f>_xlfn.XLOOKUP(tblChecklist[[#This Row],[TargetID]],tblTargets[TargetID],tblTargets[DisplayName])</f>
        <v>Bonsai Lv 2</v>
      </c>
      <c r="C11" s="2" t="str">
        <f>_xlfn.XLOOKUP(
 tblChecklist[[#This Row],[TargetID]],
 tblTargetStatus[TargetID],
 tblTargetStatus[successors],
 ""
)</f>
        <v/>
      </c>
      <c r="D11" s="79" t="s">
        <v>2092</v>
      </c>
      <c r="E11" s="79" t="str">
        <f>_xlfn.XLOOKUP(tblChecklist[[#This Row],[TargetID]],tblTargetStatus[TargetID],tblTargetStatus[ChainAwareStatus],"")</f>
        <v>BLOCKED</v>
      </c>
      <c r="F11" s="79">
        <v>90</v>
      </c>
      <c r="G11" s="82" t="b">
        <v>0</v>
      </c>
      <c r="H11" s="79" t="b">
        <f>_xlfn.XLOOKUP(tblChecklist[[#This Row],[TargetID]],tblTargetStatus[TargetID],tblTargetStatus[TargetFunded],"")</f>
        <v>0</v>
      </c>
      <c r="I11" s="79">
        <f>IF(
    tblChecklist[[#This Row],[TargetType]]&lt;&gt;"BUILDING",
    "",
    IF(
        Player!$H$1="Active",
        _xlfn.XLOOKUP(
            tblChecklist[[#This Row],[TargetID]],
            tblrecommended[ActiveTargetID],
            tblrecommended[Order],
            ""
        ),
        _xlfn.XLOOKUP(
            tblChecklist[[#This Row],[TargetID]],
            tblrecommended[PassiveTargetID],
            tblrecommended[Order],
            ""
        )
    )
)</f>
        <v>90</v>
      </c>
    </row>
    <row r="12" spans="1:9" ht="26.15" customHeight="1">
      <c r="A12" t="s">
        <v>27</v>
      </c>
      <c r="B12" t="str">
        <f>_xlfn.XLOOKUP(tblChecklist[[#This Row],[TargetID]],tblTargets[TargetID],tblTargets[DisplayName])</f>
        <v>Bridge Lv 1</v>
      </c>
      <c r="C12" s="2" t="str">
        <f>_xlfn.XLOOKUP(
 tblChecklist[[#This Row],[TargetID]],
 tblTargetStatus[TargetID],
 tblTargetStatus[successors],
 ""
)</f>
        <v>Airship Lv 1, Bridge maxed, Caravan Lv 1, Outpost Lv 1, Station Lv 1, Tailor Lv 1, Guild Banner, Guild Codex, Guild Supplies, Festival Accepted, Honor, Glory, Sushi Accepted, Silk Road Accepted</v>
      </c>
      <c r="D12" s="79" t="s">
        <v>2092</v>
      </c>
      <c r="E12" s="79" t="str">
        <f>_xlfn.XLOOKUP(tblChecklist[[#This Row],[TargetID]],tblTargetStatus[TargetID],tblTargetStatus[ChainAwareStatus],"")</f>
        <v>ONE AWAY</v>
      </c>
      <c r="F12" s="79">
        <v>27</v>
      </c>
      <c r="G12" s="82" t="b">
        <v>0</v>
      </c>
      <c r="H12" s="79" t="b">
        <f>_xlfn.XLOOKUP(tblChecklist[[#This Row],[TargetID]],tblTargetStatus[TargetID],tblTargetStatus[TargetFunded],"")</f>
        <v>0</v>
      </c>
      <c r="I12" s="79">
        <f>IF(
    tblChecklist[[#This Row],[TargetType]]&lt;&gt;"BUILDING",
    "",
    IF(
        Player!$H$1="Active",
        _xlfn.XLOOKUP(
            tblChecklist[[#This Row],[TargetID]],
            tblrecommended[ActiveTargetID],
            tblrecommended[Order],
            ""
        ),
        _xlfn.XLOOKUP(
            tblChecklist[[#This Row],[TargetID]],
            tblrecommended[PassiveTargetID],
            tblrecommended[Order],
            ""
        )
    )
)</f>
        <v>27</v>
      </c>
    </row>
    <row r="13" spans="1:9" ht="26.15" customHeight="1">
      <c r="A13" t="s">
        <v>29</v>
      </c>
      <c r="B13" t="str">
        <f>_xlfn.XLOOKUP(tblChecklist[[#This Row],[TargetID]],tblTargets[TargetID],tblTargets[DisplayName])</f>
        <v>Caravan Lv 1</v>
      </c>
      <c r="C13" s="2" t="str">
        <f>_xlfn.XLOOKUP(
 tblChecklist[[#This Row],[TargetID]],
 tblTargetStatus[TargetID],
 tblTargetStatus[successors],
 ""
)</f>
        <v>Caravan Lv 2</v>
      </c>
      <c r="D13" s="79" t="s">
        <v>2092</v>
      </c>
      <c r="E13" s="79" t="str">
        <f>_xlfn.XLOOKUP(tblChecklist[[#This Row],[TargetID]],tblTargetStatus[TargetID],tblTargetStatus[ChainAwareStatus],"")</f>
        <v>BLOCKED</v>
      </c>
      <c r="F13" s="79">
        <v>36</v>
      </c>
      <c r="G13" s="82" t="b">
        <v>0</v>
      </c>
      <c r="H13" s="79" t="b">
        <f>_xlfn.XLOOKUP(tblChecklist[[#This Row],[TargetID]],tblTargetStatus[TargetID],tblTargetStatus[TargetFunded],"")</f>
        <v>0</v>
      </c>
      <c r="I13" s="79">
        <f>IF(
    tblChecklist[[#This Row],[TargetType]]&lt;&gt;"BUILDING",
    "",
    IF(
        Player!$H$1="Active",
        _xlfn.XLOOKUP(
            tblChecklist[[#This Row],[TargetID]],
            tblrecommended[ActiveTargetID],
            tblrecommended[Order],
            ""
        ),
        _xlfn.XLOOKUP(
            tblChecklist[[#This Row],[TargetID]],
            tblrecommended[PassiveTargetID],
            tblrecommended[Order],
            ""
        )
    )
)</f>
        <v>36</v>
      </c>
    </row>
    <row r="14" spans="1:9" ht="26.15" customHeight="1">
      <c r="A14" t="s">
        <v>31</v>
      </c>
      <c r="B14" t="str">
        <f>_xlfn.XLOOKUP(tblChecklist[[#This Row],[TargetID]],tblTargets[TargetID],tblTargets[DisplayName])</f>
        <v>Caravan Lv 2</v>
      </c>
      <c r="C14" s="2" t="str">
        <f>_xlfn.XLOOKUP(
 tblChecklist[[#This Row],[TargetID]],
 tblTargetStatus[TargetID],
 tblTargetStatus[successors],
 ""
)</f>
        <v>Caravan Lv 3</v>
      </c>
      <c r="D14" s="79" t="s">
        <v>2092</v>
      </c>
      <c r="E14" s="79" t="str">
        <f>_xlfn.XLOOKUP(tblChecklist[[#This Row],[TargetID]],tblTargetStatus[TargetID],tblTargetStatus[ChainAwareStatus],"")</f>
        <v>BLOCKED</v>
      </c>
      <c r="F14" s="79">
        <v>37</v>
      </c>
      <c r="G14" s="82" t="b">
        <v>0</v>
      </c>
      <c r="H14" s="79" t="b">
        <f>_xlfn.XLOOKUP(tblChecklist[[#This Row],[TargetID]],tblTargetStatus[TargetID],tblTargetStatus[TargetFunded],"")</f>
        <v>0</v>
      </c>
      <c r="I14" s="79">
        <f>IF(
    tblChecklist[[#This Row],[TargetType]]&lt;&gt;"BUILDING",
    "",
    IF(
        Player!$H$1="Active",
        _xlfn.XLOOKUP(
            tblChecklist[[#This Row],[TargetID]],
            tblrecommended[ActiveTargetID],
            tblrecommended[Order],
            ""
        ),
        _xlfn.XLOOKUP(
            tblChecklist[[#This Row],[TargetID]],
            tblrecommended[PassiveTargetID],
            tblrecommended[Order],
            ""
        )
    )
)</f>
        <v>37</v>
      </c>
    </row>
    <row r="15" spans="1:9" ht="26.15" customHeight="1">
      <c r="A15" t="s">
        <v>32</v>
      </c>
      <c r="B15" t="str">
        <f>_xlfn.XLOOKUP(tblChecklist[[#This Row],[TargetID]],tblTargets[TargetID],tblTargets[DisplayName])</f>
        <v>Caravan Lv 3</v>
      </c>
      <c r="C15" s="2" t="str">
        <f>_xlfn.XLOOKUP(
 tblChecklist[[#This Row],[TargetID]],
 tblTargetStatus[TargetID],
 tblTargetStatus[successors],
 ""
)</f>
        <v>Caravan Lv 4</v>
      </c>
      <c r="D15" s="79" t="s">
        <v>2092</v>
      </c>
      <c r="E15" s="79" t="str">
        <f>_xlfn.XLOOKUP(tblChecklist[[#This Row],[TargetID]],tblTargetStatus[TargetID],tblTargetStatus[ChainAwareStatus],"")</f>
        <v>BLOCKED</v>
      </c>
      <c r="F15" s="79">
        <v>38</v>
      </c>
      <c r="G15" s="82" t="b">
        <v>0</v>
      </c>
      <c r="H15" s="79" t="b">
        <f>_xlfn.XLOOKUP(tblChecklist[[#This Row],[TargetID]],tblTargetStatus[TargetID],tblTargetStatus[TargetFunded],"")</f>
        <v>0</v>
      </c>
      <c r="I15" s="79">
        <f>IF(
    tblChecklist[[#This Row],[TargetType]]&lt;&gt;"BUILDING",
    "",
    IF(
        Player!$H$1="Active",
        _xlfn.XLOOKUP(
            tblChecklist[[#This Row],[TargetID]],
            tblrecommended[ActiveTargetID],
            tblrecommended[Order],
            ""
        ),
        _xlfn.XLOOKUP(
            tblChecklist[[#This Row],[TargetID]],
            tblrecommended[PassiveTargetID],
            tblrecommended[Order],
            ""
        )
    )
)</f>
        <v>38</v>
      </c>
    </row>
    <row r="16" spans="1:9" ht="26.15" customHeight="1">
      <c r="A16" t="s">
        <v>33</v>
      </c>
      <c r="B16" t="str">
        <f>_xlfn.XLOOKUP(tblChecklist[[#This Row],[TargetID]],tblTargets[TargetID],tblTargets[DisplayName])</f>
        <v>Caravan Lv 4</v>
      </c>
      <c r="C16" s="2" t="str">
        <f>_xlfn.XLOOKUP(
 tblChecklist[[#This Row],[TargetID]],
 tblTargetStatus[TargetID],
 tblTargetStatus[successors],
 ""
)</f>
        <v/>
      </c>
      <c r="D16" s="79" t="s">
        <v>2092</v>
      </c>
      <c r="E16" s="79" t="str">
        <f>_xlfn.XLOOKUP(tblChecklist[[#This Row],[TargetID]],tblTargetStatus[TargetID],tblTargetStatus[ChainAwareStatus],"")</f>
        <v>BLOCKED</v>
      </c>
      <c r="F16" s="79">
        <v>39</v>
      </c>
      <c r="G16" s="82" t="b">
        <v>0</v>
      </c>
      <c r="H16" s="79" t="b">
        <f>_xlfn.XLOOKUP(tblChecklist[[#This Row],[TargetID]],tblTargetStatus[TargetID],tblTargetStatus[TargetFunded],"")</f>
        <v>0</v>
      </c>
      <c r="I16" s="79">
        <f>IF(
    tblChecklist[[#This Row],[TargetType]]&lt;&gt;"BUILDING",
    "",
    IF(
        Player!$H$1="Active",
        _xlfn.XLOOKUP(
            tblChecklist[[#This Row],[TargetID]],
            tblrecommended[ActiveTargetID],
            tblrecommended[Order],
            ""
        ),
        _xlfn.XLOOKUP(
            tblChecklist[[#This Row],[TargetID]],
            tblrecommended[PassiveTargetID],
            tblrecommended[Order],
            ""
        )
    )
)</f>
        <v>39</v>
      </c>
    </row>
    <row r="17" spans="1:9" ht="26.15" customHeight="1">
      <c r="A17" t="s">
        <v>34</v>
      </c>
      <c r="B17" t="str">
        <f>_xlfn.XLOOKUP(tblChecklist[[#This Row],[TargetID]],tblTargets[TargetID],tblTargets[DisplayName])</f>
        <v>Chicken Lv 1</v>
      </c>
      <c r="C17" s="2" t="str">
        <f>_xlfn.XLOOKUP(
 tblChecklist[[#This Row],[TargetID]],
 tblTargetStatus[TargetID],
 tblTargetStatus[successors],
 ""
)</f>
        <v>Chicken Lv 2</v>
      </c>
      <c r="D17" s="79" t="s">
        <v>2092</v>
      </c>
      <c r="E17" s="79" t="str">
        <f>_xlfn.XLOOKUP(tblChecklist[[#This Row],[TargetID]],tblTargetStatus[TargetID],tblTargetStatus[ChainAwareStatus],"")</f>
        <v>ONE AWAY</v>
      </c>
      <c r="F17" s="79">
        <v>55</v>
      </c>
      <c r="G17" s="82" t="b">
        <v>0</v>
      </c>
      <c r="H17" s="79" t="b">
        <f>_xlfn.XLOOKUP(tblChecklist[[#This Row],[TargetID]],tblTargetStatus[TargetID],tblTargetStatus[TargetFunded],"")</f>
        <v>0</v>
      </c>
      <c r="I17" s="79">
        <f>IF(
    tblChecklist[[#This Row],[TargetType]]&lt;&gt;"BUILDING",
    "",
    IF(
        Player!$H$1="Active",
        _xlfn.XLOOKUP(
            tblChecklist[[#This Row],[TargetID]],
            tblrecommended[ActiveTargetID],
            tblrecommended[Order],
            ""
        ),
        _xlfn.XLOOKUP(
            tblChecklist[[#This Row],[TargetID]],
            tblrecommended[PassiveTargetID],
            tblrecommended[Order],
            ""
        )
    )
)</f>
        <v>55</v>
      </c>
    </row>
    <row r="18" spans="1:9" ht="26.15" customHeight="1">
      <c r="A18" t="s">
        <v>36</v>
      </c>
      <c r="B18" t="str">
        <f>_xlfn.XLOOKUP(tblChecklist[[#This Row],[TargetID]],tblTargets[TargetID],tblTargets[DisplayName])</f>
        <v>Chicken Lv 2</v>
      </c>
      <c r="C18" s="2" t="str">
        <f>_xlfn.XLOOKUP(
 tblChecklist[[#This Row],[TargetID]],
 tblTargetStatus[TargetID],
 tblTargetStatus[successors],
 ""
)</f>
        <v/>
      </c>
      <c r="D18" s="79" t="s">
        <v>2092</v>
      </c>
      <c r="E18" s="79" t="str">
        <f>_xlfn.XLOOKUP(tblChecklist[[#This Row],[TargetID]],tblTargetStatus[TargetID],tblTargetStatus[ChainAwareStatus],"")</f>
        <v>BLOCKED</v>
      </c>
      <c r="F18" s="79">
        <v>56</v>
      </c>
      <c r="G18" s="82" t="b">
        <v>0</v>
      </c>
      <c r="H18" s="79" t="b">
        <f>_xlfn.XLOOKUP(tblChecklist[[#This Row],[TargetID]],tblTargetStatus[TargetID],tblTargetStatus[TargetFunded],"")</f>
        <v>0</v>
      </c>
      <c r="I18" s="79">
        <f>IF(
    tblChecklist[[#This Row],[TargetType]]&lt;&gt;"BUILDING",
    "",
    IF(
        Player!$H$1="Active",
        _xlfn.XLOOKUP(
            tblChecklist[[#This Row],[TargetID]],
            tblrecommended[ActiveTargetID],
            tblrecommended[Order],
            ""
        ),
        _xlfn.XLOOKUP(
            tblChecklist[[#This Row],[TargetID]],
            tblrecommended[PassiveTargetID],
            tblrecommended[Order],
            ""
        )
    )
)</f>
        <v>56</v>
      </c>
    </row>
    <row r="19" spans="1:9" ht="26.15" customHeight="1">
      <c r="A19" t="s">
        <v>37</v>
      </c>
      <c r="B19" t="str">
        <f>_xlfn.XLOOKUP(tblChecklist[[#This Row],[TargetID]],tblTargets[TargetID],tblTargets[DisplayName])</f>
        <v>Dairy Lv 1</v>
      </c>
      <c r="C19" s="2" t="str">
        <f>_xlfn.XLOOKUP(
 tblChecklist[[#This Row],[TargetID]],
 tblTargetStatus[TargetID],
 tblTargetStatus[successors],
 ""
)</f>
        <v>Dairy Lv 2</v>
      </c>
      <c r="D19" s="79" t="s">
        <v>2092</v>
      </c>
      <c r="E19" s="79" t="str">
        <f>_xlfn.XLOOKUP(tblChecklist[[#This Row],[TargetID]],tblTargetStatus[TargetID],tblTargetStatus[ChainAwareStatus],"")</f>
        <v>BLOCKED</v>
      </c>
      <c r="F19" s="79">
        <v>77</v>
      </c>
      <c r="G19" s="82" t="b">
        <v>0</v>
      </c>
      <c r="H19" s="79" t="b">
        <f>_xlfn.XLOOKUP(tblChecklist[[#This Row],[TargetID]],tblTargetStatus[TargetID],tblTargetStatus[TargetFunded],"")</f>
        <v>0</v>
      </c>
      <c r="I19" s="79">
        <f>IF(
    tblChecklist[[#This Row],[TargetType]]&lt;&gt;"BUILDING",
    "",
    IF(
        Player!$H$1="Active",
        _xlfn.XLOOKUP(
            tblChecklist[[#This Row],[TargetID]],
            tblrecommended[ActiveTargetID],
            tblrecommended[Order],
            ""
        ),
        _xlfn.XLOOKUP(
            tblChecklist[[#This Row],[TargetID]],
            tblrecommended[PassiveTargetID],
            tblrecommended[Order],
            ""
        )
    )
)</f>
        <v>77</v>
      </c>
    </row>
    <row r="20" spans="1:9" ht="26.15" customHeight="1">
      <c r="A20" t="s">
        <v>39</v>
      </c>
      <c r="B20" t="str">
        <f>_xlfn.XLOOKUP(tblChecklist[[#This Row],[TargetID]],tblTargets[TargetID],tblTargets[DisplayName])</f>
        <v>Dairy Lv 2</v>
      </c>
      <c r="C20" s="2" t="str">
        <f>_xlfn.XLOOKUP(
 tblChecklist[[#This Row],[TargetID]],
 tblTargetStatus[TargetID],
 tblTargetStatus[successors],
 ""
)</f>
        <v>dairy maxed, The Ordinary Days of an Adventurer Chapter 6 Accepted, Visit Dungeon@ 6B</v>
      </c>
      <c r="D20" s="79" t="s">
        <v>2092</v>
      </c>
      <c r="E20" s="79" t="str">
        <f>_xlfn.XLOOKUP(tblChecklist[[#This Row],[TargetID]],tblTargetStatus[TargetID],tblTargetStatus[ChainAwareStatus],"")</f>
        <v>BLOCKED</v>
      </c>
      <c r="F20" s="79">
        <v>78</v>
      </c>
      <c r="G20" s="82" t="b">
        <v>0</v>
      </c>
      <c r="H20" s="79" t="b">
        <f>_xlfn.XLOOKUP(tblChecklist[[#This Row],[TargetID]],tblTargetStatus[TargetID],tblTargetStatus[TargetFunded],"")</f>
        <v>0</v>
      </c>
      <c r="I20" s="79">
        <f>IF(
    tblChecklist[[#This Row],[TargetType]]&lt;&gt;"BUILDING",
    "",
    IF(
        Player!$H$1="Active",
        _xlfn.XLOOKUP(
            tblChecklist[[#This Row],[TargetID]],
            tblrecommended[ActiveTargetID],
            tblrecommended[Order],
            ""
        ),
        _xlfn.XLOOKUP(
            tblChecklist[[#This Row],[TargetID]],
            tblrecommended[PassiveTargetID],
            tblrecommended[Order],
            ""
        )
    )
)</f>
        <v>78</v>
      </c>
    </row>
    <row r="21" spans="1:9" ht="26.15" customHeight="1">
      <c r="A21" t="s">
        <v>40</v>
      </c>
      <c r="B21" t="str">
        <f>_xlfn.XLOOKUP(tblChecklist[[#This Row],[TargetID]],tblTargets[TargetID],tblTargets[DisplayName])</f>
        <v>Dungeon Lv 1</v>
      </c>
      <c r="C21" s="2" t="str">
        <f>_xlfn.XLOOKUP(
 tblChecklist[[#This Row],[TargetID]],
 tblTargetStatus[TargetID],
 tblTargetStatus[successors],
 ""
)</f>
        <v>Dungeon Lv 2, Emerald Tablet, Historical Library, Trigonometry, Quest for Knowledge Chapter 1 Accepted, Meet Traveling Merchant @1B, Complete Dungeon 1A</v>
      </c>
      <c r="D21" s="79" t="s">
        <v>2092</v>
      </c>
      <c r="E21" s="79" t="str">
        <f>_xlfn.XLOOKUP(tblChecklist[[#This Row],[TargetID]],tblTargetStatus[TargetID],tblTargetStatus[ChainAwareStatus],"")</f>
        <v>ONE AWAY</v>
      </c>
      <c r="F21" s="79">
        <v>12</v>
      </c>
      <c r="G21" s="82" t="b">
        <v>0</v>
      </c>
      <c r="H21" s="79" t="b">
        <f>_xlfn.XLOOKUP(tblChecklist[[#This Row],[TargetID]],tblTargetStatus[TargetID],tblTargetStatus[TargetFunded],"")</f>
        <v>0</v>
      </c>
      <c r="I21" s="79">
        <f>IF(
    tblChecklist[[#This Row],[TargetType]]&lt;&gt;"BUILDING",
    "",
    IF(
        Player!$H$1="Active",
        _xlfn.XLOOKUP(
            tblChecklist[[#This Row],[TargetID]],
            tblrecommended[ActiveTargetID],
            tblrecommended[Order],
            ""
        ),
        _xlfn.XLOOKUP(
            tblChecklist[[#This Row],[TargetID]],
            tblrecommended[PassiveTargetID],
            tblrecommended[Order],
            ""
        )
    )
)</f>
        <v>12</v>
      </c>
    </row>
    <row r="22" spans="1:9" ht="26.15" customHeight="1">
      <c r="A22" t="s">
        <v>42</v>
      </c>
      <c r="B22" t="str">
        <f>_xlfn.XLOOKUP(tblChecklist[[#This Row],[TargetID]],tblTargets[TargetID],tblTargets[DisplayName])</f>
        <v>Dungeon Lv 2</v>
      </c>
      <c r="C22" s="2" t="str">
        <f>_xlfn.XLOOKUP(
 tblChecklist[[#This Row],[TargetID]],
 tblTargetStatus[TargetID],
 tblTargetStatus[successors],
 ""
)</f>
        <v>Dungeon Lv 3, Meet Mech Adventurer@2B</v>
      </c>
      <c r="D22" s="79" t="s">
        <v>2092</v>
      </c>
      <c r="E22" s="79" t="str">
        <f>_xlfn.XLOOKUP(tblChecklist[[#This Row],[TargetID]],tblTargetStatus[TargetID],tblTargetStatus[ChainAwareStatus],"")</f>
        <v>BLOCKED</v>
      </c>
      <c r="F22" s="79">
        <v>16</v>
      </c>
      <c r="G22" s="82" t="b">
        <v>0</v>
      </c>
      <c r="H22" s="79" t="b">
        <f>_xlfn.XLOOKUP(tblChecklist[[#This Row],[TargetID]],tblTargetStatus[TargetID],tblTargetStatus[TargetFunded],"")</f>
        <v>0</v>
      </c>
      <c r="I22" s="79">
        <f>IF(
    tblChecklist[[#This Row],[TargetType]]&lt;&gt;"BUILDING",
    "",
    IF(
        Player!$H$1="Active",
        _xlfn.XLOOKUP(
            tblChecklist[[#This Row],[TargetID]],
            tblrecommended[ActiveTargetID],
            tblrecommended[Order],
            ""
        ),
        _xlfn.XLOOKUP(
            tblChecklist[[#This Row],[TargetID]],
            tblrecommended[PassiveTargetID],
            tblrecommended[Order],
            ""
        )
    )
)</f>
        <v>16</v>
      </c>
    </row>
    <row r="23" spans="1:9" ht="26.15" customHeight="1">
      <c r="A23" t="s">
        <v>43</v>
      </c>
      <c r="B23" t="str">
        <f>_xlfn.XLOOKUP(tblChecklist[[#This Row],[TargetID]],tblTargets[TargetID],tblTargets[DisplayName])</f>
        <v>Dungeon Lv 3</v>
      </c>
      <c r="C23" s="2" t="str">
        <f>_xlfn.XLOOKUP(
 tblChecklist[[#This Row],[TargetID]],
 tblTargetStatus[TargetID],
 tblTargetStatus[successors],
 ""
)</f>
        <v>Dungeon Lv 4, Great Hall, Dungeon - Great Hall, Green Potion Finished</v>
      </c>
      <c r="D23" s="79" t="s">
        <v>2092</v>
      </c>
      <c r="E23" s="79" t="str">
        <f>_xlfn.XLOOKUP(tblChecklist[[#This Row],[TargetID]],tblTargetStatus[TargetID],tblTargetStatus[ChainAwareStatus],"")</f>
        <v>BLOCKED</v>
      </c>
      <c r="F23" s="79">
        <v>43</v>
      </c>
      <c r="G23" s="82" t="b">
        <v>0</v>
      </c>
      <c r="H23" s="79" t="b">
        <f>_xlfn.XLOOKUP(tblChecklist[[#This Row],[TargetID]],tblTargetStatus[TargetID],tblTargetStatus[TargetFunded],"")</f>
        <v>0</v>
      </c>
      <c r="I23" s="79">
        <f>IF(
    tblChecklist[[#This Row],[TargetType]]&lt;&gt;"BUILDING",
    "",
    IF(
        Player!$H$1="Active",
        _xlfn.XLOOKUP(
            tblChecklist[[#This Row],[TargetID]],
            tblrecommended[ActiveTargetID],
            tblrecommended[Order],
            ""
        ),
        _xlfn.XLOOKUP(
            tblChecklist[[#This Row],[TargetID]],
            tblrecommended[PassiveTargetID],
            tblrecommended[Order],
            ""
        )
    )
)</f>
        <v>43</v>
      </c>
    </row>
    <row r="24" spans="1:9" ht="26.15" customHeight="1">
      <c r="A24" t="s">
        <v>44</v>
      </c>
      <c r="B24" t="str">
        <f>_xlfn.XLOOKUP(tblChecklist[[#This Row],[TargetID]],tblTargets[TargetID],tblTargets[DisplayName])</f>
        <v>Dungeon Lv 4</v>
      </c>
      <c r="C24" s="2" t="str">
        <f>_xlfn.XLOOKUP(
 tblChecklist[[#This Row],[TargetID]],
 tblTargetStatus[TargetID],
 tblTargetStatus[successors],
 ""
)</f>
        <v>Dungeon Lv 5, Kitchen and Buttery, Pantry, Culinary Battle Accepted, Dragon teeth Accepted, Meet Fat Demon@4A, Meet Old Man@4C</v>
      </c>
      <c r="D24" s="79" t="s">
        <v>2092</v>
      </c>
      <c r="E24" s="79" t="str">
        <f>_xlfn.XLOOKUP(tblChecklist[[#This Row],[TargetID]],tblTargetStatus[TargetID],tblTargetStatus[ChainAwareStatus],"")</f>
        <v>BLOCKED</v>
      </c>
      <c r="F24" s="79">
        <v>64</v>
      </c>
      <c r="G24" s="82" t="b">
        <v>0</v>
      </c>
      <c r="H24" s="79" t="b">
        <f>_xlfn.XLOOKUP(tblChecklist[[#This Row],[TargetID]],tblTargetStatus[TargetID],tblTargetStatus[TargetFunded],"")</f>
        <v>0</v>
      </c>
      <c r="I24" s="79">
        <f>IF(
    tblChecklist[[#This Row],[TargetType]]&lt;&gt;"BUILDING",
    "",
    IF(
        Player!$H$1="Active",
        _xlfn.XLOOKUP(
            tblChecklist[[#This Row],[TargetID]],
            tblrecommended[ActiveTargetID],
            tblrecommended[Order],
            ""
        ),
        _xlfn.XLOOKUP(
            tblChecklist[[#This Row],[TargetID]],
            tblrecommended[PassiveTargetID],
            tblrecommended[Order],
            ""
        )
    )
)</f>
        <v>64</v>
      </c>
    </row>
    <row r="25" spans="1:9" ht="26.15" customHeight="1">
      <c r="A25" t="s">
        <v>45</v>
      </c>
      <c r="B25" t="str">
        <f>_xlfn.XLOOKUP(tblChecklist[[#This Row],[TargetID]],tblTargets[TargetID],tblTargets[DisplayName])</f>
        <v>Dungeon Lv 5</v>
      </c>
      <c r="C25" s="2" t="str">
        <f>_xlfn.XLOOKUP(
 tblChecklist[[#This Row],[TargetID]],
 tblTargetStatus[TargetID],
 tblTargetStatus[successors],
 ""
)</f>
        <v>dungeon maxed, Dungeon Lv 6, Attic, Courtyard, Lair lvl. 1, Tavern, Metal Detector, Magic Beans Accepted, Tame A Critter, Complete Dungeon 5C</v>
      </c>
      <c r="D25" s="79" t="s">
        <v>2092</v>
      </c>
      <c r="E25" s="79" t="str">
        <f>_xlfn.XLOOKUP(tblChecklist[[#This Row],[TargetID]],tblTargetStatus[TargetID],tblTargetStatus[ChainAwareStatus],"")</f>
        <v>BLOCKED</v>
      </c>
      <c r="F25" s="79">
        <v>65</v>
      </c>
      <c r="G25" s="82" t="b">
        <v>0</v>
      </c>
      <c r="H25" s="79" t="b">
        <f>_xlfn.XLOOKUP(tblChecklist[[#This Row],[TargetID]],tblTargetStatus[TargetID],tblTargetStatus[TargetFunded],"")</f>
        <v>0</v>
      </c>
      <c r="I25" s="79">
        <f>IF(
    tblChecklist[[#This Row],[TargetType]]&lt;&gt;"BUILDING",
    "",
    IF(
        Player!$H$1="Active",
        _xlfn.XLOOKUP(
            tblChecklist[[#This Row],[TargetID]],
            tblrecommended[ActiveTargetID],
            tblrecommended[Order],
            ""
        ),
        _xlfn.XLOOKUP(
            tblChecklist[[#This Row],[TargetID]],
            tblrecommended[PassiveTargetID],
            tblrecommended[Order],
            ""
        )
    )
)</f>
        <v>65</v>
      </c>
    </row>
    <row r="26" spans="1:9" ht="26.15" customHeight="1">
      <c r="A26" t="s">
        <v>6037</v>
      </c>
      <c r="B26" t="str">
        <f>_xlfn.XLOOKUP(tblChecklist[[#This Row],[TargetID]],tblTargets[TargetID],tblTargets[DisplayName])</f>
        <v>Dungeon Lv 6</v>
      </c>
      <c r="C26" s="2" t="str">
        <f>_xlfn.XLOOKUP(
 tblChecklist[[#This Row],[TargetID]],
 tblTargetStatus[TargetID],
 tblTargetStatus[successors],
 ""
)</f>
        <v>Complete Dungeon 6C</v>
      </c>
      <c r="D26" s="79" t="s">
        <v>2092</v>
      </c>
      <c r="E26" s="79" t="str">
        <f>_xlfn.XLOOKUP(tblChecklist[[#This Row],[TargetID]],tblTargetStatus[TargetID],tblTargetStatus[ChainAwareStatus],"")</f>
        <v>BLOCKED</v>
      </c>
      <c r="F26" s="79" t="s">
        <v>328</v>
      </c>
      <c r="G26" s="82" t="b">
        <v>0</v>
      </c>
      <c r="H26" s="79" t="str">
        <f>_xlfn.XLOOKUP(tblChecklist[[#This Row],[TargetID]],tblTargetStatus[TargetID],tblTargetStatus[TargetFunded],"")</f>
        <v>N/A</v>
      </c>
      <c r="I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 spans="1:9" ht="26.15" customHeight="1">
      <c r="A27" t="s">
        <v>46</v>
      </c>
      <c r="B27" t="str">
        <f>_xlfn.XLOOKUP(tblChecklist[[#This Row],[TargetID]],tblTargets[TargetID],tblTargets[DisplayName])</f>
        <v>Fermentory Lv 1</v>
      </c>
      <c r="C27" s="2" t="str">
        <f>_xlfn.XLOOKUP(
 tblChecklist[[#This Row],[TargetID]],
 tblTargetStatus[TargetID],
 tblTargetStatus[successors],
 ""
)</f>
        <v>Fermentory Lv 2</v>
      </c>
      <c r="D27" s="79" t="str">
        <f>_xlfn.XLOOKUP(tblChecklist[[#This Row],[TargetID]],tblTargets[TargetID],tblTargets[TargetType],"")</f>
        <v>BUILDING</v>
      </c>
      <c r="E27" s="79" t="str">
        <f>_xlfn.XLOOKUP(tblChecklist[[#This Row],[TargetID]],tblTargetStatus[TargetID],tblTargetStatus[ChainAwareStatus],"")</f>
        <v>BLOCKED</v>
      </c>
      <c r="F27" s="79">
        <v>72</v>
      </c>
      <c r="G27" s="82" t="b">
        <v>0</v>
      </c>
      <c r="H27" s="79" t="b">
        <f>_xlfn.XLOOKUP(tblChecklist[[#This Row],[TargetID]],tblTargetStatus[TargetID],tblTargetStatus[TargetFunded],"")</f>
        <v>0</v>
      </c>
      <c r="I27" s="79">
        <f>IF(
    tblChecklist[[#This Row],[TargetType]]&lt;&gt;"BUILDING",
    "",
    IF(
        Player!$H$1="Active",
        _xlfn.XLOOKUP(
            tblChecklist[[#This Row],[TargetID]],
            tblrecommended[ActiveTargetID],
            tblrecommended[Order],
            ""
        ),
        _xlfn.XLOOKUP(
            tblChecklist[[#This Row],[TargetID]],
            tblrecommended[PassiveTargetID],
            tblrecommended[Order],
            ""
        )
    )
)</f>
        <v>72</v>
      </c>
    </row>
    <row r="28" spans="1:9" ht="26.15" customHeight="1">
      <c r="A28" t="s">
        <v>48</v>
      </c>
      <c r="B28" t="str">
        <f>_xlfn.XLOOKUP(tblChecklist[[#This Row],[TargetID]],tblTargets[TargetID],tblTargets[DisplayName])</f>
        <v>Fermentory Lv 2</v>
      </c>
      <c r="C28" s="2" t="str">
        <f>_xlfn.XLOOKUP(
 tblChecklist[[#This Row],[TargetID]],
 tblTargetStatus[TargetID],
 tblTargetStatus[successors],
 ""
)</f>
        <v>Fermentory Lv 3</v>
      </c>
      <c r="D28" s="79" t="str">
        <f>_xlfn.XLOOKUP(tblChecklist[[#This Row],[TargetID]],tblTargets[TargetID],tblTargets[TargetType],"")</f>
        <v>BUILDING</v>
      </c>
      <c r="E28" s="79" t="str">
        <f>_xlfn.XLOOKUP(tblChecklist[[#This Row],[TargetID]],tblTargetStatus[TargetID],tblTargetStatus[ChainAwareStatus],"")</f>
        <v>BLOCKED</v>
      </c>
      <c r="F28" s="79">
        <v>73</v>
      </c>
      <c r="G28" s="82" t="b">
        <v>0</v>
      </c>
      <c r="H28" s="79" t="b">
        <f>_xlfn.XLOOKUP(tblChecklist[[#This Row],[TargetID]],tblTargetStatus[TargetID],tblTargetStatus[TargetFunded],"")</f>
        <v>0</v>
      </c>
      <c r="I28" s="79">
        <f>IF(
    tblChecklist[[#This Row],[TargetType]]&lt;&gt;"BUILDING",
    "",
    IF(
        Player!$H$1="Active",
        _xlfn.XLOOKUP(
            tblChecklist[[#This Row],[TargetID]],
            tblrecommended[ActiveTargetID],
            tblrecommended[Order],
            ""
        ),
        _xlfn.XLOOKUP(
            tblChecklist[[#This Row],[TargetID]],
            tblrecommended[PassiveTargetID],
            tblrecommended[Order],
            ""
        )
    )
)</f>
        <v>73</v>
      </c>
    </row>
    <row r="29" spans="1:9" ht="26.15" customHeight="1">
      <c r="A29" t="s">
        <v>49</v>
      </c>
      <c r="B29" t="str">
        <f>_xlfn.XLOOKUP(tblChecklist[[#This Row],[TargetID]],tblTargets[TargetID],tblTargets[DisplayName])</f>
        <v>Fermentory Lv 3</v>
      </c>
      <c r="C29" s="2" t="str">
        <f>_xlfn.XLOOKUP(
 tblChecklist[[#This Row],[TargetID]],
 tblTargetStatus[TargetID],
 tblTargetStatus[successors],
 ""
)</f>
        <v>Fermentory Lv 4</v>
      </c>
      <c r="D29" s="79" t="str">
        <f>_xlfn.XLOOKUP(tblChecklist[[#This Row],[TargetID]],tblTargets[TargetID],tblTargets[TargetType],"")</f>
        <v>BUILDING</v>
      </c>
      <c r="E29" s="79" t="str">
        <f>_xlfn.XLOOKUP(tblChecklist[[#This Row],[TargetID]],tblTargetStatus[TargetID],tblTargetStatus[ChainAwareStatus],"")</f>
        <v>BLOCKED</v>
      </c>
      <c r="F29" s="79">
        <v>74</v>
      </c>
      <c r="G29" s="82" t="b">
        <v>0</v>
      </c>
      <c r="H29" s="79" t="b">
        <f>_xlfn.XLOOKUP(tblChecklist[[#This Row],[TargetID]],tblTargetStatus[TargetID],tblTargetStatus[TargetFunded],"")</f>
        <v>0</v>
      </c>
      <c r="I29" s="79">
        <f>IF(
    tblChecklist[[#This Row],[TargetType]]&lt;&gt;"BUILDING",
    "",
    IF(
        Player!$H$1="Active",
        _xlfn.XLOOKUP(
            tblChecklist[[#This Row],[TargetID]],
            tblrecommended[ActiveTargetID],
            tblrecommended[Order],
            ""
        ),
        _xlfn.XLOOKUP(
            tblChecklist[[#This Row],[TargetID]],
            tblrecommended[PassiveTargetID],
            tblrecommended[Order],
            ""
        )
    )
)</f>
        <v>74</v>
      </c>
    </row>
    <row r="30" spans="1:9" ht="26.15" customHeight="1">
      <c r="A30" t="s">
        <v>50</v>
      </c>
      <c r="B30" t="str">
        <f>_xlfn.XLOOKUP(tblChecklist[[#This Row],[TargetID]],tblTargets[TargetID],tblTargets[DisplayName])</f>
        <v>Fermentory Lv 4</v>
      </c>
      <c r="C30" s="2" t="str">
        <f>_xlfn.XLOOKUP(
 tblChecklist[[#This Row],[TargetID]],
 tblTargetStatus[TargetID],
 tblTargetStatus[successors],
 ""
)</f>
        <v>Fermentory Lv 5</v>
      </c>
      <c r="D30" s="79" t="str">
        <f>_xlfn.XLOOKUP(tblChecklist[[#This Row],[TargetID]],tblTargets[TargetID],tblTargets[TargetType],"")</f>
        <v>BUILDING</v>
      </c>
      <c r="E30" s="79" t="str">
        <f>_xlfn.XLOOKUP(tblChecklist[[#This Row],[TargetID]],tblTargetStatus[TargetID],tblTargetStatus[ChainAwareStatus],"")</f>
        <v>BLOCKED</v>
      </c>
      <c r="F30" s="79">
        <v>79</v>
      </c>
      <c r="G30" s="82" t="b">
        <v>0</v>
      </c>
      <c r="H30" s="79" t="b">
        <f>_xlfn.XLOOKUP(tblChecklist[[#This Row],[TargetID]],tblTargetStatus[TargetID],tblTargetStatus[TargetFunded],"")</f>
        <v>0</v>
      </c>
      <c r="I30" s="79">
        <f>IF(
    tblChecklist[[#This Row],[TargetType]]&lt;&gt;"BUILDING",
    "",
    IF(
        Player!$H$1="Active",
        _xlfn.XLOOKUP(
            tblChecklist[[#This Row],[TargetID]],
            tblrecommended[ActiveTargetID],
            tblrecommended[Order],
            ""
        ),
        _xlfn.XLOOKUP(
            tblChecklist[[#This Row],[TargetID]],
            tblrecommended[PassiveTargetID],
            tblrecommended[Order],
            ""
        )
    )
)</f>
        <v>79</v>
      </c>
    </row>
    <row r="31" spans="1:9" ht="26.15" customHeight="1">
      <c r="A31" t="s">
        <v>51</v>
      </c>
      <c r="B31" t="str">
        <f>_xlfn.XLOOKUP(tblChecklist[[#This Row],[TargetID]],tblTargets[TargetID],tblTargets[DisplayName])</f>
        <v>Fermentory Lv 5</v>
      </c>
      <c r="C31" s="2" t="str">
        <f>_xlfn.XLOOKUP(
 tblChecklist[[#This Row],[TargetID]],
 tblTargetStatus[TargetID],
 tblTargetStatus[successors],
 ""
)</f>
        <v>Fermentory Lv 6</v>
      </c>
      <c r="D31" s="79" t="str">
        <f>_xlfn.XLOOKUP(tblChecklist[[#This Row],[TargetID]],tblTargets[TargetID],tblTargets[TargetType],"")</f>
        <v>BUILDING</v>
      </c>
      <c r="E31" s="79" t="str">
        <f>_xlfn.XLOOKUP(tblChecklist[[#This Row],[TargetID]],tblTargetStatus[TargetID],tblTargetStatus[ChainAwareStatus],"")</f>
        <v>BLOCKED</v>
      </c>
      <c r="F31" s="79">
        <v>80</v>
      </c>
      <c r="G31" s="82" t="b">
        <v>0</v>
      </c>
      <c r="H31" s="79" t="b">
        <f>_xlfn.XLOOKUP(tblChecklist[[#This Row],[TargetID]],tblTargetStatus[TargetID],tblTargetStatus[TargetFunded],"")</f>
        <v>0</v>
      </c>
      <c r="I31" s="79">
        <f>IF(
    tblChecklist[[#This Row],[TargetType]]&lt;&gt;"BUILDING",
    "",
    IF(
        Player!$H$1="Active",
        _xlfn.XLOOKUP(
            tblChecklist[[#This Row],[TargetID]],
            tblrecommended[ActiveTargetID],
            tblrecommended[Order],
            ""
        ),
        _xlfn.XLOOKUP(
            tblChecklist[[#This Row],[TargetID]],
            tblrecommended[PassiveTargetID],
            tblrecommended[Order],
            ""
        )
    )
)</f>
        <v>80</v>
      </c>
    </row>
    <row r="32" spans="1:9" ht="26.15" customHeight="1">
      <c r="A32" t="s">
        <v>52</v>
      </c>
      <c r="B32" t="str">
        <f>_xlfn.XLOOKUP(tblChecklist[[#This Row],[TargetID]],tblTargets[TargetID],tblTargets[DisplayName])</f>
        <v>Fermentory Lv 6</v>
      </c>
      <c r="C32" s="2" t="str">
        <f>_xlfn.XLOOKUP(
 tblChecklist[[#This Row],[TargetID]],
 tblTargetStatus[TargetID],
 tblTargetStatus[successors],
 ""
)</f>
        <v>Fermentory maxed, Festival of Beans Accepted</v>
      </c>
      <c r="D32" s="79" t="str">
        <f>_xlfn.XLOOKUP(tblChecklist[[#This Row],[TargetID]],tblTargets[TargetID],tblTargets[TargetType],"")</f>
        <v>BUILDING</v>
      </c>
      <c r="E32" s="79" t="str">
        <f>_xlfn.XLOOKUP(tblChecklist[[#This Row],[TargetID]],tblTargetStatus[TargetID],tblTargetStatus[ChainAwareStatus],"")</f>
        <v>BLOCKED</v>
      </c>
      <c r="F32" s="79">
        <v>81</v>
      </c>
      <c r="G32" s="82" t="b">
        <v>0</v>
      </c>
      <c r="H32" s="79" t="b">
        <f>_xlfn.XLOOKUP(tblChecklist[[#This Row],[TargetID]],tblTargetStatus[TargetID],tblTargetStatus[TargetFunded],"")</f>
        <v>0</v>
      </c>
      <c r="I32" s="79">
        <f>IF(
    tblChecklist[[#This Row],[TargetType]]&lt;&gt;"BUILDING",
    "",
    IF(
        Player!$H$1="Active",
        _xlfn.XLOOKUP(
            tblChecklist[[#This Row],[TargetID]],
            tblrecommended[ActiveTargetID],
            tblrecommended[Order],
            ""
        ),
        _xlfn.XLOOKUP(
            tblChecklist[[#This Row],[TargetID]],
            tblrecommended[PassiveTargetID],
            tblrecommended[Order],
            ""
        )
    )
)</f>
        <v>81</v>
      </c>
    </row>
    <row r="33" spans="1:9" ht="26.15" customHeight="1">
      <c r="A33" t="s">
        <v>53</v>
      </c>
      <c r="B33" t="str">
        <f>_xlfn.XLOOKUP(tblChecklist[[#This Row],[TargetID]],tblTargets[TargetID],tblTargets[DisplayName])</f>
        <v>Field Lv 1</v>
      </c>
      <c r="C33" s="2" t="str">
        <f>_xlfn.XLOOKUP(
 tblChecklist[[#This Row],[TargetID]],
 tblTargetStatus[TargetID],
 tblTargetStatus[successors],
 ""
)</f>
        <v>Field Lv 2, Quest for Knowledge Chapter 1 Finished</v>
      </c>
      <c r="D33" s="79" t="str">
        <f>_xlfn.XLOOKUP(tblChecklist[[#This Row],[TargetID]],tblTargets[TargetID],tblTargets[TargetType],"")</f>
        <v>BUILDING</v>
      </c>
      <c r="E33" s="79" t="str">
        <f>_xlfn.XLOOKUP(tblChecklist[[#This Row],[TargetID]],tblTargetStatus[TargetID],tblTargetStatus[ChainAwareStatus],"")</f>
        <v>ONE AWAY</v>
      </c>
      <c r="F33" s="79">
        <v>6</v>
      </c>
      <c r="G33" s="82" t="b">
        <v>0</v>
      </c>
      <c r="H33" s="79" t="b">
        <f>_xlfn.XLOOKUP(tblChecklist[[#This Row],[TargetID]],tblTargetStatus[TargetID],tblTargetStatus[TargetFunded],"")</f>
        <v>0</v>
      </c>
      <c r="I33" s="79">
        <f>IF(
    tblChecklist[[#This Row],[TargetType]]&lt;&gt;"BUILDING",
    "",
    IF(
        Player!$H$1="Active",
        _xlfn.XLOOKUP(
            tblChecklist[[#This Row],[TargetID]],
            tblrecommended[ActiveTargetID],
            tblrecommended[Order],
            ""
        ),
        _xlfn.XLOOKUP(
            tblChecklist[[#This Row],[TargetID]],
            tblrecommended[PassiveTargetID],
            tblrecommended[Order],
            ""
        )
    )
)</f>
        <v>6</v>
      </c>
    </row>
    <row r="34" spans="1:9" ht="26.15" customHeight="1">
      <c r="A34" t="s">
        <v>55</v>
      </c>
      <c r="B34" t="str">
        <f>_xlfn.XLOOKUP(tblChecklist[[#This Row],[TargetID]],tblTargets[TargetID],tblTargets[DisplayName])</f>
        <v>Field Lv 2</v>
      </c>
      <c r="C34" s="2" t="str">
        <f>_xlfn.XLOOKUP(
 tblChecklist[[#This Row],[TargetID]],
 tblTargetStatus[TargetID],
 tblTargetStatus[successors],
 ""
)</f>
        <v>Field maxed</v>
      </c>
      <c r="D34" s="79" t="str">
        <f>_xlfn.XLOOKUP(tblChecklist[[#This Row],[TargetID]],tblTargets[TargetID],tblTargets[TargetType],"")</f>
        <v>BUILDING</v>
      </c>
      <c r="E34" s="79" t="str">
        <f>_xlfn.XLOOKUP(tblChecklist[[#This Row],[TargetID]],tblTargetStatus[TargetID],tblTargetStatus[ChainAwareStatus],"")</f>
        <v>BLOCKED</v>
      </c>
      <c r="F34" s="79">
        <v>8</v>
      </c>
      <c r="G34" s="82" t="b">
        <v>0</v>
      </c>
      <c r="H34" s="79" t="b">
        <f>_xlfn.XLOOKUP(tblChecklist[[#This Row],[TargetID]],tblTargetStatus[TargetID],tblTargetStatus[TargetFunded],"")</f>
        <v>0</v>
      </c>
      <c r="I34" s="79">
        <f>IF(
    tblChecklist[[#This Row],[TargetType]]&lt;&gt;"BUILDING",
    "",
    IF(
        Player!$H$1="Active",
        _xlfn.XLOOKUP(
            tblChecklist[[#This Row],[TargetID]],
            tblrecommended[ActiveTargetID],
            tblrecommended[Order],
            ""
        ),
        _xlfn.XLOOKUP(
            tblChecklist[[#This Row],[TargetID]],
            tblrecommended[PassiveTargetID],
            tblrecommended[Order],
            ""
        )
    )
)</f>
        <v>8</v>
      </c>
    </row>
    <row r="35" spans="1:9" ht="26.15" customHeight="1">
      <c r="A35" t="s">
        <v>56</v>
      </c>
      <c r="B35" t="str">
        <f>_xlfn.XLOOKUP(tblChecklist[[#This Row],[TargetID]],tblTargets[TargetID],tblTargets[DisplayName])</f>
        <v>Food Stall Lv 1</v>
      </c>
      <c r="C35" s="2" t="str">
        <f>_xlfn.XLOOKUP(
 tblChecklist[[#This Row],[TargetID]],
 tblTargetStatus[TargetID],
 tblTargetStatus[successors],
 ""
)</f>
        <v>Food Stall Lv 2, Quest for Knowledge Chapter 1 Finished</v>
      </c>
      <c r="D35" s="79" t="str">
        <f>_xlfn.XLOOKUP(tblChecklist[[#This Row],[TargetID]],tblTargets[TargetID],tblTargets[TargetType],"")</f>
        <v>BUILDING</v>
      </c>
      <c r="E35" s="79" t="str">
        <f>_xlfn.XLOOKUP(tblChecklist[[#This Row],[TargetID]],tblTargetStatus[TargetID],tblTargetStatus[ChainAwareStatus],"")</f>
        <v>ONE AWAY</v>
      </c>
      <c r="F35" s="79">
        <v>7</v>
      </c>
      <c r="G35" s="82" t="b">
        <v>0</v>
      </c>
      <c r="H35" s="79" t="b">
        <f>_xlfn.XLOOKUP(tblChecklist[[#This Row],[TargetID]],tblTargetStatus[TargetID],tblTargetStatus[TargetFunded],"")</f>
        <v>0</v>
      </c>
      <c r="I35" s="79">
        <f>IF(
    tblChecklist[[#This Row],[TargetType]]&lt;&gt;"BUILDING",
    "",
    IF(
        Player!$H$1="Active",
        _xlfn.XLOOKUP(
            tblChecklist[[#This Row],[TargetID]],
            tblrecommended[ActiveTargetID],
            tblrecommended[Order],
            ""
        ),
        _xlfn.XLOOKUP(
            tblChecklist[[#This Row],[TargetID]],
            tblrecommended[PassiveTargetID],
            tblrecommended[Order],
            ""
        )
    )
)</f>
        <v>7</v>
      </c>
    </row>
    <row r="36" spans="1:9" ht="26.15" customHeight="1">
      <c r="A36" t="s">
        <v>59</v>
      </c>
      <c r="B36" t="str">
        <f>_xlfn.XLOOKUP(tblChecklist[[#This Row],[TargetID]],tblTargets[TargetID],tblTargets[DisplayName])</f>
        <v>Food Stall Lv 2</v>
      </c>
      <c r="C36" s="2" t="str">
        <f>_xlfn.XLOOKUP(
 tblChecklist[[#This Row],[TargetID]],
 tblTargetStatus[TargetID],
 tblTargetStatus[successors],
 ""
)</f>
        <v>Food Stall Lv 3, Shogun's Katana Chapter 3 Finished</v>
      </c>
      <c r="D36" s="79" t="str">
        <f>_xlfn.XLOOKUP(tblChecklist[[#This Row],[TargetID]],tblTargets[TargetID],tblTargets[TargetType],"")</f>
        <v>BUILDING</v>
      </c>
      <c r="E36" s="79" t="str">
        <f>_xlfn.XLOOKUP(tblChecklist[[#This Row],[TargetID]],tblTargetStatus[TargetID],tblTargetStatus[ChainAwareStatus],"")</f>
        <v>BLOCKED</v>
      </c>
      <c r="F36" s="79">
        <v>25</v>
      </c>
      <c r="G36" s="82" t="b">
        <v>0</v>
      </c>
      <c r="H36" s="79" t="b">
        <f>_xlfn.XLOOKUP(tblChecklist[[#This Row],[TargetID]],tblTargetStatus[TargetID],tblTargetStatus[TargetFunded],"")</f>
        <v>0</v>
      </c>
      <c r="I36" s="79">
        <f>IF(
    tblChecklist[[#This Row],[TargetType]]&lt;&gt;"BUILDING",
    "",
    IF(
        Player!$H$1="Active",
        _xlfn.XLOOKUP(
            tblChecklist[[#This Row],[TargetID]],
            tblrecommended[ActiveTargetID],
            tblrecommended[Order],
            ""
        ),
        _xlfn.XLOOKUP(
            tblChecklist[[#This Row],[TargetID]],
            tblrecommended[PassiveTargetID],
            tblrecommended[Order],
            ""
        )
    )
)</f>
        <v>25</v>
      </c>
    </row>
    <row r="37" spans="1:9" ht="26.15" customHeight="1">
      <c r="A37" t="s">
        <v>60</v>
      </c>
      <c r="B37" t="str">
        <f>_xlfn.XLOOKUP(tblChecklist[[#This Row],[TargetID]],tblTargets[TargetID],tblTargets[DisplayName])</f>
        <v>Food Stall Lv 3</v>
      </c>
      <c r="C37" s="2" t="str">
        <f>_xlfn.XLOOKUP(
 tblChecklist[[#This Row],[TargetID]],
 tblTargetStatus[TargetID],
 tblTargetStatus[successors],
 ""
)</f>
        <v>Food stall maxed, Guild Supplies, Shogun's Katana Chapter 6 Finished</v>
      </c>
      <c r="D37" s="79" t="str">
        <f>_xlfn.XLOOKUP(tblChecklist[[#This Row],[TargetID]],tblTargets[TargetID],tblTargets[TargetType],"")</f>
        <v>BUILDING</v>
      </c>
      <c r="E37" s="79" t="str">
        <f>_xlfn.XLOOKUP(tblChecklist[[#This Row],[TargetID]],tblTargetStatus[TargetID],tblTargetStatus[ChainAwareStatus],"")</f>
        <v>BLOCKED</v>
      </c>
      <c r="F37" s="79">
        <v>26</v>
      </c>
      <c r="G37" s="82" t="b">
        <v>0</v>
      </c>
      <c r="H37" s="79" t="b">
        <f>_xlfn.XLOOKUP(tblChecklist[[#This Row],[TargetID]],tblTargetStatus[TargetID],tblTargetStatus[TargetFunded],"")</f>
        <v>0</v>
      </c>
      <c r="I37" s="79">
        <f>IF(
    tblChecklist[[#This Row],[TargetType]]&lt;&gt;"BUILDING",
    "",
    IF(
        Player!$H$1="Active",
        _xlfn.XLOOKUP(
            tblChecklist[[#This Row],[TargetID]],
            tblrecommended[ActiveTargetID],
            tblrecommended[Order],
            ""
        ),
        _xlfn.XLOOKUP(
            tblChecklist[[#This Row],[TargetID]],
            tblrecommended[PassiveTargetID],
            tblrecommended[Order],
            ""
        )
    )
)</f>
        <v>26</v>
      </c>
    </row>
    <row r="38" spans="1:9" ht="26.15" customHeight="1">
      <c r="A38" t="s">
        <v>61</v>
      </c>
      <c r="B38" t="str">
        <f>_xlfn.XLOOKUP(tblChecklist[[#This Row],[TargetID]],tblTargets[TargetID],tblTargets[DisplayName])</f>
        <v>Furnace Lv 1</v>
      </c>
      <c r="C38" s="2" t="str">
        <f>_xlfn.XLOOKUP(
 tblChecklist[[#This Row],[TargetID]],
 tblTargetStatus[TargetID],
 tblTargetStatus[successors],
 ""
)</f>
        <v>Furnace Lv 2, Shogun's Katana Chapter 1 Finished</v>
      </c>
      <c r="D38" s="79" t="str">
        <f>_xlfn.XLOOKUP(tblChecklist[[#This Row],[TargetID]],tblTargets[TargetID],tblTargets[TargetType],"")</f>
        <v>BUILDING</v>
      </c>
      <c r="E38" s="79" t="str">
        <f>_xlfn.XLOOKUP(tblChecklist[[#This Row],[TargetID]],tblTargetStatus[TargetID],tblTargetStatus[ChainAwareStatus],"")</f>
        <v>ONE AWAY</v>
      </c>
      <c r="F38" s="79">
        <v>10</v>
      </c>
      <c r="G38" s="82" t="b">
        <v>0</v>
      </c>
      <c r="H38" s="79" t="b">
        <f>_xlfn.XLOOKUP(tblChecklist[[#This Row],[TargetID]],tblTargetStatus[TargetID],tblTargetStatus[TargetFunded],"")</f>
        <v>0</v>
      </c>
      <c r="I38" s="79">
        <f>IF(
    tblChecklist[[#This Row],[TargetType]]&lt;&gt;"BUILDING",
    "",
    IF(
        Player!$H$1="Active",
        _xlfn.XLOOKUP(
            tblChecklist[[#This Row],[TargetID]],
            tblrecommended[ActiveTargetID],
            tblrecommended[Order],
            ""
        ),
        _xlfn.XLOOKUP(
            tblChecklist[[#This Row],[TargetID]],
            tblrecommended[PassiveTargetID],
            tblrecommended[Order],
            ""
        )
    )
)</f>
        <v>10</v>
      </c>
    </row>
    <row r="39" spans="1:9" ht="26.15" customHeight="1">
      <c r="A39" t="s">
        <v>63</v>
      </c>
      <c r="B39" t="str">
        <f>_xlfn.XLOOKUP(tblChecklist[[#This Row],[TargetID]],tblTargets[TargetID],tblTargets[DisplayName])</f>
        <v>Furnace Lv 2</v>
      </c>
      <c r="C39" s="2" t="str">
        <f>_xlfn.XLOOKUP(
 tblChecklist[[#This Row],[TargetID]],
 tblTargetStatus[TargetID],
 tblTargetStatus[successors],
 ""
)</f>
        <v>Furnace Lv 3</v>
      </c>
      <c r="D39" s="79" t="str">
        <f>_xlfn.XLOOKUP(tblChecklist[[#This Row],[TargetID]],tblTargets[TargetID],tblTargets[TargetType],"")</f>
        <v>BUILDING</v>
      </c>
      <c r="E39" s="79" t="str">
        <f>_xlfn.XLOOKUP(tblChecklist[[#This Row],[TargetID]],tblTargetStatus[TargetID],tblTargetStatus[ChainAwareStatus],"")</f>
        <v>BLOCKED</v>
      </c>
      <c r="F39" s="79">
        <v>11</v>
      </c>
      <c r="G39" s="82" t="b">
        <v>0</v>
      </c>
      <c r="H39" s="79" t="b">
        <f>_xlfn.XLOOKUP(tblChecklist[[#This Row],[TargetID]],tblTargetStatus[TargetID],tblTargetStatus[TargetFunded],"")</f>
        <v>0</v>
      </c>
      <c r="I39" s="79">
        <f>IF(
    tblChecklist[[#This Row],[TargetType]]&lt;&gt;"BUILDING",
    "",
    IF(
        Player!$H$1="Active",
        _xlfn.XLOOKUP(
            tblChecklist[[#This Row],[TargetID]],
            tblrecommended[ActiveTargetID],
            tblrecommended[Order],
            ""
        ),
        _xlfn.XLOOKUP(
            tblChecklist[[#This Row],[TargetID]],
            tblrecommended[PassiveTargetID],
            tblrecommended[Order],
            ""
        )
    )
)</f>
        <v>11</v>
      </c>
    </row>
    <row r="40" spans="1:9" ht="26.15" customHeight="1">
      <c r="A40" t="s">
        <v>64</v>
      </c>
      <c r="B40" t="str">
        <f>_xlfn.XLOOKUP(tblChecklist[[#This Row],[TargetID]],tblTargets[TargetID],tblTargets[DisplayName])</f>
        <v>Furnace Lv 3</v>
      </c>
      <c r="C40" s="2" t="str">
        <f>_xlfn.XLOOKUP(
 tblChecklist[[#This Row],[TargetID]],
 tblTargetStatus[TargetID],
 tblTargetStatus[successors],
 ""
)</f>
        <v>Furnace maxed, Hotei Statuette</v>
      </c>
      <c r="D40" s="79" t="str">
        <f>_xlfn.XLOOKUP(tblChecklist[[#This Row],[TargetID]],tblTargets[TargetID],tblTargets[TargetType],"")</f>
        <v>BUILDING</v>
      </c>
      <c r="E40" s="79" t="str">
        <f>_xlfn.XLOOKUP(tblChecklist[[#This Row],[TargetID]],tblTargetStatus[TargetID],tblTargetStatus[ChainAwareStatus],"")</f>
        <v>BLOCKED</v>
      </c>
      <c r="F40" s="79">
        <v>46</v>
      </c>
      <c r="G40" s="82" t="b">
        <v>0</v>
      </c>
      <c r="H40" s="79" t="b">
        <f>_xlfn.XLOOKUP(tblChecklist[[#This Row],[TargetID]],tblTargetStatus[TargetID],tblTargetStatus[TargetFunded],"")</f>
        <v>0</v>
      </c>
      <c r="I40" s="79">
        <f>IF(
    tblChecklist[[#This Row],[TargetType]]&lt;&gt;"BUILDING",
    "",
    IF(
        Player!$H$1="Active",
        _xlfn.XLOOKUP(
            tblChecklist[[#This Row],[TargetID]],
            tblrecommended[ActiveTargetID],
            tblrecommended[Order],
            ""
        ),
        _xlfn.XLOOKUP(
            tblChecklist[[#This Row],[TargetID]],
            tblrecommended[PassiveTargetID],
            tblrecommended[Order],
            ""
        )
    )
)</f>
        <v>46</v>
      </c>
    </row>
    <row r="41" spans="1:9" ht="26.15" customHeight="1">
      <c r="A41" t="s">
        <v>65</v>
      </c>
      <c r="B41" t="str">
        <f>_xlfn.XLOOKUP(tblChecklist[[#This Row],[TargetID]],tblTargets[TargetID],tblTargets[DisplayName])</f>
        <v>Garden Lv 1</v>
      </c>
      <c r="C41" s="2" t="str">
        <f>_xlfn.XLOOKUP(
 tblChecklist[[#This Row],[TargetID]],
 tblTargetStatus[TargetID],
 tblTargetStatus[successors],
 ""
)</f>
        <v>Garden Lv 2</v>
      </c>
      <c r="D41" s="79" t="str">
        <f>_xlfn.XLOOKUP(tblChecklist[[#This Row],[TargetID]],tblTargets[TargetID],tblTargets[TargetType],"")</f>
        <v>BUILDING</v>
      </c>
      <c r="E41" s="79" t="str">
        <f>_xlfn.XLOOKUP(tblChecklist[[#This Row],[TargetID]],tblTargetStatus[TargetID],tblTargetStatus[ChainAwareStatus],"")</f>
        <v>ONE AWAY</v>
      </c>
      <c r="F41" s="79">
        <v>86</v>
      </c>
      <c r="G41" s="82" t="b">
        <v>0</v>
      </c>
      <c r="H41" s="79" t="b">
        <f>_xlfn.XLOOKUP(tblChecklist[[#This Row],[TargetID]],tblTargetStatus[TargetID],tblTargetStatus[TargetFunded],"")</f>
        <v>0</v>
      </c>
      <c r="I41" s="79">
        <f>IF(
    tblChecklist[[#This Row],[TargetType]]&lt;&gt;"BUILDING",
    "",
    IF(
        Player!$H$1="Active",
        _xlfn.XLOOKUP(
            tblChecklist[[#This Row],[TargetID]],
            tblrecommended[ActiveTargetID],
            tblrecommended[Order],
            ""
        ),
        _xlfn.XLOOKUP(
            tblChecklist[[#This Row],[TargetID]],
            tblrecommended[PassiveTargetID],
            tblrecommended[Order],
            ""
        )
    )
)</f>
        <v>86</v>
      </c>
    </row>
    <row r="42" spans="1:9" ht="26.15" customHeight="1">
      <c r="A42" t="s">
        <v>67</v>
      </c>
      <c r="B42" t="str">
        <f>_xlfn.XLOOKUP(tblChecklist[[#This Row],[TargetID]],tblTargets[TargetID],tblTargets[DisplayName])</f>
        <v>Garden Lv 2</v>
      </c>
      <c r="C42" s="2" t="str">
        <f>_xlfn.XLOOKUP(
 tblChecklist[[#This Row],[TargetID]],
 tblTargetStatus[TargetID],
 tblTargetStatus[successors],
 ""
)</f>
        <v>Garden Lv 3</v>
      </c>
      <c r="D42" s="79" t="str">
        <f>_xlfn.XLOOKUP(tblChecklist[[#This Row],[TargetID]],tblTargets[TargetID],tblTargets[TargetType],"")</f>
        <v>BUILDING</v>
      </c>
      <c r="E42" s="79" t="str">
        <f>_xlfn.XLOOKUP(tblChecklist[[#This Row],[TargetID]],tblTargetStatus[TargetID],tblTargetStatus[ChainAwareStatus],"")</f>
        <v>BLOCKED</v>
      </c>
      <c r="F42" s="79">
        <v>87</v>
      </c>
      <c r="G42" s="82" t="b">
        <v>0</v>
      </c>
      <c r="H42" s="79" t="b">
        <f>_xlfn.XLOOKUP(tblChecklist[[#This Row],[TargetID]],tblTargetStatus[TargetID],tblTargetStatus[TargetFunded],"")</f>
        <v>0</v>
      </c>
      <c r="I42" s="79">
        <f>IF(
    tblChecklist[[#This Row],[TargetType]]&lt;&gt;"BUILDING",
    "",
    IF(
        Player!$H$1="Active",
        _xlfn.XLOOKUP(
            tblChecklist[[#This Row],[TargetID]],
            tblrecommended[ActiveTargetID],
            tblrecommended[Order],
            ""
        ),
        _xlfn.XLOOKUP(
            tblChecklist[[#This Row],[TargetID]],
            tblrecommended[PassiveTargetID],
            tblrecommended[Order],
            ""
        )
    )
)</f>
        <v>87</v>
      </c>
    </row>
    <row r="43" spans="1:9" ht="26.15" customHeight="1">
      <c r="A43" t="s">
        <v>68</v>
      </c>
      <c r="B43" t="str">
        <f>_xlfn.XLOOKUP(tblChecklist[[#This Row],[TargetID]],tblTargets[TargetID],tblTargets[DisplayName])</f>
        <v>Garden Lv 3</v>
      </c>
      <c r="C43" s="2" t="str">
        <f>_xlfn.XLOOKUP(
 tblChecklist[[#This Row],[TargetID]],
 tblTargetStatus[TargetID],
 tblTargetStatus[successors],
 ""
)</f>
        <v>Garden maxed</v>
      </c>
      <c r="D43" s="79" t="str">
        <f>_xlfn.XLOOKUP(tblChecklist[[#This Row],[TargetID]],tblTargets[TargetID],tblTargets[TargetType],"")</f>
        <v>BUILDING</v>
      </c>
      <c r="E43" s="79" t="str">
        <f>_xlfn.XLOOKUP(tblChecklist[[#This Row],[TargetID]],tblTargetStatus[TargetID],tblTargetStatus[ChainAwareStatus],"")</f>
        <v>BLOCKED</v>
      </c>
      <c r="F43" s="79">
        <v>88</v>
      </c>
      <c r="G43" s="82" t="b">
        <v>0</v>
      </c>
      <c r="H43" s="79" t="b">
        <f>_xlfn.XLOOKUP(tblChecklist[[#This Row],[TargetID]],tblTargetStatus[TargetID],tblTargetStatus[TargetFunded],"")</f>
        <v>0</v>
      </c>
      <c r="I43" s="79">
        <f>IF(
    tblChecklist[[#This Row],[TargetType]]&lt;&gt;"BUILDING",
    "",
    IF(
        Player!$H$1="Active",
        _xlfn.XLOOKUP(
            tblChecklist[[#This Row],[TargetID]],
            tblrecommended[ActiveTargetID],
            tblrecommended[Order],
            ""
        ),
        _xlfn.XLOOKUP(
            tblChecklist[[#This Row],[TargetID]],
            tblrecommended[PassiveTargetID],
            tblrecommended[Order],
            ""
        )
    )
)</f>
        <v>88</v>
      </c>
    </row>
    <row r="44" spans="1:9" ht="26.15" customHeight="1">
      <c r="A44" t="s">
        <v>69</v>
      </c>
      <c r="B44" t="str">
        <f>_xlfn.XLOOKUP(tblChecklist[[#This Row],[TargetID]],tblTargets[TargetID],tblTargets[DisplayName])</f>
        <v>Gong Lv 1</v>
      </c>
      <c r="C44" s="2" t="str">
        <f>_xlfn.XLOOKUP(
 tblChecklist[[#This Row],[TargetID]],
 tblTargetStatus[TargetID],
 tblTargetStatus[successors],
 ""
)</f>
        <v/>
      </c>
      <c r="D44" s="79" t="str">
        <f>_xlfn.XLOOKUP(tblChecklist[[#This Row],[TargetID]],tblTargets[TargetID],tblTargets[TargetType],"")</f>
        <v>BUILDING</v>
      </c>
      <c r="E44" s="79" t="str">
        <f>_xlfn.XLOOKUP(tblChecklist[[#This Row],[TargetID]],tblTargetStatus[TargetID],tblTargetStatus[ChainAwareStatus],"")</f>
        <v>ONE AWAY</v>
      </c>
      <c r="F44" s="79">
        <v>102</v>
      </c>
      <c r="G44" s="82" t="b">
        <v>0</v>
      </c>
      <c r="H44" s="79" t="b">
        <f>_xlfn.XLOOKUP(tblChecklist[[#This Row],[TargetID]],tblTargetStatus[TargetID],tblTargetStatus[TargetFunded],"")</f>
        <v>0</v>
      </c>
      <c r="I44" s="79">
        <f>IF(
    tblChecklist[[#This Row],[TargetType]]&lt;&gt;"BUILDING",
    "",
    IF(
        Player!$H$1="Active",
        _xlfn.XLOOKUP(
            tblChecklist[[#This Row],[TargetID]],
            tblrecommended[ActiveTargetID],
            tblrecommended[Order],
            ""
        ),
        _xlfn.XLOOKUP(
            tblChecklist[[#This Row],[TargetID]],
            tblrecommended[PassiveTargetID],
            tblrecommended[Order],
            ""
        )
    )
)</f>
        <v>102</v>
      </c>
    </row>
    <row r="45" spans="1:9" ht="26.15" customHeight="1">
      <c r="A45" t="s">
        <v>71</v>
      </c>
      <c r="B45" t="str">
        <f>_xlfn.XLOOKUP(tblChecklist[[#This Row],[TargetID]],tblTargets[TargetID],tblTargets[DisplayName])</f>
        <v>Guild Lv 1</v>
      </c>
      <c r="C45" s="2" t="str">
        <f>_xlfn.XLOOKUP(
 tblChecklist[[#This Row],[TargetID]],
 tblTargetStatus[TargetID],
 tblTargetStatus[successors],
 ""
)</f>
        <v>Guild Lv 2</v>
      </c>
      <c r="D45" s="79" t="str">
        <f>_xlfn.XLOOKUP(tblChecklist[[#This Row],[TargetID]],tblTargets[TargetID],tblTargets[TargetType],"")</f>
        <v>BUILDING</v>
      </c>
      <c r="E45" s="79" t="str">
        <f>_xlfn.XLOOKUP(tblChecklist[[#This Row],[TargetID]],tblTargetStatus[TargetID],tblTargetStatus[ChainAwareStatus],"")</f>
        <v>COMPLETED</v>
      </c>
      <c r="F45" s="79" t="s">
        <v>328</v>
      </c>
      <c r="G45" s="82" t="b">
        <v>1</v>
      </c>
      <c r="H45" s="79" t="str">
        <f>_xlfn.XLOOKUP(tblChecklist[[#This Row],[TargetID]],tblTargetStatus[TargetID],tblTargetStatus[TargetFunded],"")</f>
        <v>N/A</v>
      </c>
      <c r="I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 spans="1:9" ht="26.15" customHeight="1">
      <c r="A46" t="s">
        <v>73</v>
      </c>
      <c r="B46" t="str">
        <f>_xlfn.XLOOKUP(tblChecklist[[#This Row],[TargetID]],tblTargets[TargetID],tblTargets[DisplayName])</f>
        <v>Guild Lv 2</v>
      </c>
      <c r="C46" s="2" t="str">
        <f>_xlfn.XLOOKUP(
 tblChecklist[[#This Row],[TargetID]],
 tblTargetStatus[TargetID],
 tblTargetStatus[successors],
 ""
)</f>
        <v>Alchemist's Hut Lv 2, Food Stall Lv 2, Guild Lv 3, Warehouse Lv 2</v>
      </c>
      <c r="D46" s="79" t="str">
        <f>_xlfn.XLOOKUP(tblChecklist[[#This Row],[TargetID]],tblTargets[TargetID],tblTargets[TargetType],"")</f>
        <v>BUILDING</v>
      </c>
      <c r="E46" s="79" t="str">
        <f>_xlfn.XLOOKUP(tblChecklist[[#This Row],[TargetID]],tblTargetStatus[TargetID],tblTargetStatus[ChainAwareStatus],"")</f>
        <v>READY</v>
      </c>
      <c r="F46" s="79">
        <v>1</v>
      </c>
      <c r="G46" s="82" t="b">
        <v>0</v>
      </c>
      <c r="H46" s="79" t="b">
        <f>_xlfn.XLOOKUP(tblChecklist[[#This Row],[TargetID]],tblTargetStatus[TargetID],tblTargetStatus[TargetFunded],"")</f>
        <v>0</v>
      </c>
      <c r="I46" s="79">
        <f>IF(
    tblChecklist[[#This Row],[TargetType]]&lt;&gt;"BUILDING",
    "",
    IF(
        Player!$H$1="Active",
        _xlfn.XLOOKUP(
            tblChecklist[[#This Row],[TargetID]],
            tblrecommended[ActiveTargetID],
            tblrecommended[Order],
            ""
        ),
        _xlfn.XLOOKUP(
            tblChecklist[[#This Row],[TargetID]],
            tblrecommended[PassiveTargetID],
            tblrecommended[Order],
            ""
        )
    )
)</f>
        <v>1</v>
      </c>
    </row>
    <row r="47" spans="1:9" ht="26.15" customHeight="1">
      <c r="A47" t="s">
        <v>74</v>
      </c>
      <c r="B47" t="str">
        <f>_xlfn.XLOOKUP(tblChecklist[[#This Row],[TargetID]],tblTargets[TargetID],tblTargets[DisplayName])</f>
        <v>Guild Lv 3</v>
      </c>
      <c r="C47" s="2" t="str">
        <f>_xlfn.XLOOKUP(
 tblChecklist[[#This Row],[TargetID]],
 tblTargetStatus[TargetID],
 tblTargetStatus[successors],
 ""
)</f>
        <v>Alchemist's Hut Lv 3, Alchemist's Hut Lv 4, Guild Lv 4, Warehouse Lv 3</v>
      </c>
      <c r="D47" s="79" t="str">
        <f>_xlfn.XLOOKUP(tblChecklist[[#This Row],[TargetID]],tblTargets[TargetID],tblTargets[TargetType],"")</f>
        <v>BUILDING</v>
      </c>
      <c r="E47" s="79" t="str">
        <f>_xlfn.XLOOKUP(tblChecklist[[#This Row],[TargetID]],tblTargetStatus[TargetID],tblTargetStatus[ChainAwareStatus],"")</f>
        <v>ONE AWAY</v>
      </c>
      <c r="F47" s="79">
        <v>17</v>
      </c>
      <c r="G47" s="82" t="b">
        <v>0</v>
      </c>
      <c r="H47" s="79" t="b">
        <f>_xlfn.XLOOKUP(tblChecklist[[#This Row],[TargetID]],tblTargetStatus[TargetID],tblTargetStatus[TargetFunded],"")</f>
        <v>0</v>
      </c>
      <c r="I47" s="79">
        <f>IF(
    tblChecklist[[#This Row],[TargetType]]&lt;&gt;"BUILDING",
    "",
    IF(
        Player!$H$1="Active",
        _xlfn.XLOOKUP(
            tblChecklist[[#This Row],[TargetID]],
            tblrecommended[ActiveTargetID],
            tblrecommended[Order],
            ""
        ),
        _xlfn.XLOOKUP(
            tblChecklist[[#This Row],[TargetID]],
            tblrecommended[PassiveTargetID],
            tblrecommended[Order],
            ""
        )
    )
)</f>
        <v>17</v>
      </c>
    </row>
    <row r="48" spans="1:9" ht="26.15" customHeight="1">
      <c r="A48" t="s">
        <v>75</v>
      </c>
      <c r="B48" t="str">
        <f>_xlfn.XLOOKUP(tblChecklist[[#This Row],[TargetID]],tblTargets[TargetID],tblTargets[DisplayName])</f>
        <v>Guild Lv 4</v>
      </c>
      <c r="C48" s="2" t="str">
        <f>_xlfn.XLOOKUP(
 tblChecklist[[#This Row],[TargetID]],
 tblTargetStatus[TargetID],
 tblTargetStatus[successors],
 ""
)</f>
        <v>Alchemist's Hut Lv 4, Guild Lv 5, Warehouse Lv 4</v>
      </c>
      <c r="D48" s="79" t="str">
        <f>_xlfn.XLOOKUP(tblChecklist[[#This Row],[TargetID]],tblTargets[TargetID],tblTargets[TargetType],"")</f>
        <v>BUILDING</v>
      </c>
      <c r="E48" s="79" t="str">
        <f>_xlfn.XLOOKUP(tblChecklist[[#This Row],[TargetID]],tblTargetStatus[TargetID],tblTargetStatus[ChainAwareStatus],"")</f>
        <v>BLOCKED</v>
      </c>
      <c r="F48" s="79">
        <v>23</v>
      </c>
      <c r="G48" s="82" t="b">
        <v>0</v>
      </c>
      <c r="H48" s="79" t="b">
        <f>_xlfn.XLOOKUP(tblChecklist[[#This Row],[TargetID]],tblTargetStatus[TargetID],tblTargetStatus[TargetFunded],"")</f>
        <v>0</v>
      </c>
      <c r="I48" s="79">
        <f>IF(
    tblChecklist[[#This Row],[TargetType]]&lt;&gt;"BUILDING",
    "",
    IF(
        Player!$H$1="Active",
        _xlfn.XLOOKUP(
            tblChecklist[[#This Row],[TargetID]],
            tblrecommended[ActiveTargetID],
            tblrecommended[Order],
            ""
        ),
        _xlfn.XLOOKUP(
            tblChecklist[[#This Row],[TargetID]],
            tblrecommended[PassiveTargetID],
            tblrecommended[Order],
            ""
        )
    )
)</f>
        <v>23</v>
      </c>
    </row>
    <row r="49" spans="1:9" ht="26.15" customHeight="1">
      <c r="A49" t="s">
        <v>76</v>
      </c>
      <c r="B49" t="str">
        <f>_xlfn.XLOOKUP(tblChecklist[[#This Row],[TargetID]],tblTargets[TargetID],tblTargets[DisplayName])</f>
        <v>Guild Lv 5</v>
      </c>
      <c r="C49" s="2" t="str">
        <f>_xlfn.XLOOKUP(
 tblChecklist[[#This Row],[TargetID]],
 tblTargetStatus[TargetID],
 tblTargetStatus[successors],
 ""
)</f>
        <v>Alchemist's Hut Lv 5, Warehouse Lv 5, Emerald Tablet, Guild Codex, Historical Library, Trigonometry, Build the Guild Finished</v>
      </c>
      <c r="D49" s="79" t="str">
        <f>_xlfn.XLOOKUP(tblChecklist[[#This Row],[TargetID]],tblTargets[TargetID],tblTargets[TargetType],"")</f>
        <v>BUILDING</v>
      </c>
      <c r="E49" s="79" t="str">
        <f>_xlfn.XLOOKUP(tblChecklist[[#This Row],[TargetID]],tblTargetStatus[TargetID],tblTargetStatus[ChainAwareStatus],"")</f>
        <v>BLOCKED</v>
      </c>
      <c r="F49" s="79">
        <v>29</v>
      </c>
      <c r="G49" s="82" t="b">
        <v>0</v>
      </c>
      <c r="H49" s="79" t="b">
        <f>_xlfn.XLOOKUP(tblChecklist[[#This Row],[TargetID]],tblTargetStatus[TargetID],tblTargetStatus[TargetFunded],"")</f>
        <v>0</v>
      </c>
      <c r="I49" s="79">
        <f>IF(
    tblChecklist[[#This Row],[TargetType]]&lt;&gt;"BUILDING",
    "",
    IF(
        Player!$H$1="Active",
        _xlfn.XLOOKUP(
            tblChecklist[[#This Row],[TargetID]],
            tblrecommended[ActiveTargetID],
            tblrecommended[Order],
            ""
        ),
        _xlfn.XLOOKUP(
            tblChecklist[[#This Row],[TargetID]],
            tblrecommended[PassiveTargetID],
            tblrecommended[Order],
            ""
        )
    )
)</f>
        <v>29</v>
      </c>
    </row>
    <row r="50" spans="1:9" ht="26.15" customHeight="1">
      <c r="A50" t="s">
        <v>77</v>
      </c>
      <c r="B50" t="str">
        <f>_xlfn.XLOOKUP(tblChecklist[[#This Row],[TargetID]],tblTargets[TargetID],tblTargets[DisplayName])</f>
        <v>Guild: Video Game Arcade Lv 1</v>
      </c>
      <c r="C50" s="2" t="str">
        <f>_xlfn.XLOOKUP(
 tblChecklist[[#This Row],[TargetID]],
 tblTargetStatus[TargetID],
 tblTargetStatus[successors],
 ""
)</f>
        <v/>
      </c>
      <c r="D50" s="79" t="str">
        <f>_xlfn.XLOOKUP(tblChecklist[[#This Row],[TargetID]],tblTargets[TargetID],tblTargets[TargetType],"")</f>
        <v>BUILDING</v>
      </c>
      <c r="E50" s="79" t="str">
        <f>_xlfn.XLOOKUP(tblChecklist[[#This Row],[TargetID]],tblTargetStatus[TargetID],tblTargetStatus[ChainAwareStatus],"")</f>
        <v>BLOCKED</v>
      </c>
      <c r="F50" s="79" t="s">
        <v>328</v>
      </c>
      <c r="G50" s="82" t="b">
        <v>0</v>
      </c>
      <c r="H50" s="79" t="b">
        <f>_xlfn.XLOOKUP(tblChecklist[[#This Row],[TargetID]],tblTargetStatus[TargetID],tblTargetStatus[TargetFunded],"")</f>
        <v>0</v>
      </c>
      <c r="I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 spans="1:9" ht="26.15" customHeight="1">
      <c r="A51" t="s">
        <v>80</v>
      </c>
      <c r="B51" t="str">
        <f>_xlfn.XLOOKUP(tblChecklist[[#This Row],[TargetID]],tblTargets[TargetID],tblTargets[DisplayName])</f>
        <v>Laboratory Lv 1</v>
      </c>
      <c r="C51" s="2" t="str">
        <f>_xlfn.XLOOKUP(
 tblChecklist[[#This Row],[TargetID]],
 tblTargetStatus[TargetID],
 tblTargetStatus[successors],
 ""
)</f>
        <v>Laboratory Lv 2</v>
      </c>
      <c r="D51" s="79" t="str">
        <f>_xlfn.XLOOKUP(tblChecklist[[#This Row],[TargetID]],tblTargets[TargetID],tblTargets[TargetType],"")</f>
        <v>BUILDING</v>
      </c>
      <c r="E51" s="79" t="str">
        <f>_xlfn.XLOOKUP(tblChecklist[[#This Row],[TargetID]],tblTargetStatus[TargetID],tblTargetStatus[ChainAwareStatus],"")</f>
        <v>BLOCKED</v>
      </c>
      <c r="F51" s="79">
        <v>66</v>
      </c>
      <c r="G51" s="82" t="b">
        <v>0</v>
      </c>
      <c r="H51" s="79" t="b">
        <f>_xlfn.XLOOKUP(tblChecklist[[#This Row],[TargetID]],tblTargetStatus[TargetID],tblTargetStatus[TargetFunded],"")</f>
        <v>0</v>
      </c>
      <c r="I51" s="79">
        <f>IF(
    tblChecklist[[#This Row],[TargetType]]&lt;&gt;"BUILDING",
    "",
    IF(
        Player!$H$1="Active",
        _xlfn.XLOOKUP(
            tblChecklist[[#This Row],[TargetID]],
            tblrecommended[ActiveTargetID],
            tblrecommended[Order],
            ""
        ),
        _xlfn.XLOOKUP(
            tblChecklist[[#This Row],[TargetID]],
            tblrecommended[PassiveTargetID],
            tblrecommended[Order],
            ""
        )
    )
)</f>
        <v>66</v>
      </c>
    </row>
    <row r="52" spans="1:9" ht="26.15" customHeight="1">
      <c r="A52" t="s">
        <v>83</v>
      </c>
      <c r="B52" t="str">
        <f>_xlfn.XLOOKUP(tblChecklist[[#This Row],[TargetID]],tblTargets[TargetID],tblTargets[DisplayName])</f>
        <v>Laboratory Lv 2</v>
      </c>
      <c r="C52" s="2" t="str">
        <f>_xlfn.XLOOKUP(
 tblChecklist[[#This Row],[TargetID]],
 tblTargetStatus[TargetID],
 tblTargetStatus[successors],
 ""
)</f>
        <v>Laboratory Lv 3</v>
      </c>
      <c r="D52" s="79" t="str">
        <f>_xlfn.XLOOKUP(tblChecklist[[#This Row],[TargetID]],tblTargets[TargetID],tblTargets[TargetType],"")</f>
        <v>BUILDING</v>
      </c>
      <c r="E52" s="79" t="str">
        <f>_xlfn.XLOOKUP(tblChecklist[[#This Row],[TargetID]],tblTargetStatus[TargetID],tblTargetStatus[ChainAwareStatus],"")</f>
        <v>BLOCKED</v>
      </c>
      <c r="F52" s="79">
        <v>67</v>
      </c>
      <c r="G52" s="82" t="b">
        <v>0</v>
      </c>
      <c r="H52" s="79" t="b">
        <f>_xlfn.XLOOKUP(tblChecklist[[#This Row],[TargetID]],tblTargetStatus[TargetID],tblTargetStatus[TargetFunded],"")</f>
        <v>0</v>
      </c>
      <c r="I52" s="79">
        <f>IF(
    tblChecklist[[#This Row],[TargetType]]&lt;&gt;"BUILDING",
    "",
    IF(
        Player!$H$1="Active",
        _xlfn.XLOOKUP(
            tblChecklist[[#This Row],[TargetID]],
            tblrecommended[ActiveTargetID],
            tblrecommended[Order],
            ""
        ),
        _xlfn.XLOOKUP(
            tblChecklist[[#This Row],[TargetID]],
            tblrecommended[PassiveTargetID],
            tblrecommended[Order],
            ""
        )
    )
)</f>
        <v>67</v>
      </c>
    </row>
    <row r="53" spans="1:9" ht="26.15" customHeight="1">
      <c r="A53" t="s">
        <v>84</v>
      </c>
      <c r="B53" t="str">
        <f>_xlfn.XLOOKUP(tblChecklist[[#This Row],[TargetID]],tblTargets[TargetID],tblTargets[DisplayName])</f>
        <v>Laboratory Lv 3</v>
      </c>
      <c r="C53" s="2" t="str">
        <f>_xlfn.XLOOKUP(
 tblChecklist[[#This Row],[TargetID]],
 tblTargetStatus[TargetID],
 tblTargetStatus[successors],
 ""
)</f>
        <v>Laboratory Lv 4</v>
      </c>
      <c r="D53" s="79" t="str">
        <f>_xlfn.XLOOKUP(tblChecklist[[#This Row],[TargetID]],tblTargets[TargetID],tblTargets[TargetType],"")</f>
        <v>BUILDING</v>
      </c>
      <c r="E53" s="79" t="str">
        <f>_xlfn.XLOOKUP(tblChecklist[[#This Row],[TargetID]],tblTargetStatus[TargetID],tblTargetStatus[ChainAwareStatus],"")</f>
        <v>BLOCKED</v>
      </c>
      <c r="F53" s="79">
        <v>68</v>
      </c>
      <c r="G53" s="82" t="b">
        <v>0</v>
      </c>
      <c r="H53" s="79" t="b">
        <f>_xlfn.XLOOKUP(tblChecklist[[#This Row],[TargetID]],tblTargetStatus[TargetID],tblTargetStatus[TargetFunded],"")</f>
        <v>0</v>
      </c>
      <c r="I53" s="79">
        <f>IF(
    tblChecklist[[#This Row],[TargetType]]&lt;&gt;"BUILDING",
    "",
    IF(
        Player!$H$1="Active",
        _xlfn.XLOOKUP(
            tblChecklist[[#This Row],[TargetID]],
            tblrecommended[ActiveTargetID],
            tblrecommended[Order],
            ""
        ),
        _xlfn.XLOOKUP(
            tblChecklist[[#This Row],[TargetID]],
            tblrecommended[PassiveTargetID],
            tblrecommended[Order],
            ""
        )
    )
)</f>
        <v>68</v>
      </c>
    </row>
    <row r="54" spans="1:9" ht="26.15" customHeight="1">
      <c r="A54" t="s">
        <v>85</v>
      </c>
      <c r="B54" t="str">
        <f>_xlfn.XLOOKUP(tblChecklist[[#This Row],[TargetID]],tblTargets[TargetID],tblTargets[DisplayName])</f>
        <v>Laboratory Lv 4</v>
      </c>
      <c r="C54" s="2" t="str">
        <f>_xlfn.XLOOKUP(
 tblChecklist[[#This Row],[TargetID]],
 tblTargetStatus[TargetID],
 tblTargetStatus[successors],
 ""
)</f>
        <v>Laboratory Lv 5</v>
      </c>
      <c r="D54" s="79" t="str">
        <f>_xlfn.XLOOKUP(tblChecklist[[#This Row],[TargetID]],tblTargets[TargetID],tblTargets[TargetType],"")</f>
        <v>BUILDING</v>
      </c>
      <c r="E54" s="79" t="str">
        <f>_xlfn.XLOOKUP(tblChecklist[[#This Row],[TargetID]],tblTargetStatus[TargetID],tblTargetStatus[ChainAwareStatus],"")</f>
        <v>BLOCKED</v>
      </c>
      <c r="F54" s="79">
        <v>75</v>
      </c>
      <c r="G54" s="82" t="b">
        <v>0</v>
      </c>
      <c r="H54" s="79" t="b">
        <f>_xlfn.XLOOKUP(tblChecklist[[#This Row],[TargetID]],tblTargetStatus[TargetID],tblTargetStatus[TargetFunded],"")</f>
        <v>0</v>
      </c>
      <c r="I54" s="79">
        <f>IF(
    tblChecklist[[#This Row],[TargetType]]&lt;&gt;"BUILDING",
    "",
    IF(
        Player!$H$1="Active",
        _xlfn.XLOOKUP(
            tblChecklist[[#This Row],[TargetID]],
            tblrecommended[ActiveTargetID],
            tblrecommended[Order],
            ""
        ),
        _xlfn.XLOOKUP(
            tblChecklist[[#This Row],[TargetID]],
            tblrecommended[PassiveTargetID],
            tblrecommended[Order],
            ""
        )
    )
)</f>
        <v>75</v>
      </c>
    </row>
    <row r="55" spans="1:9" ht="26.15" customHeight="1">
      <c r="A55" t="s">
        <v>86</v>
      </c>
      <c r="B55" t="str">
        <f>_xlfn.XLOOKUP(tblChecklist[[#This Row],[TargetID]],tblTargets[TargetID],tblTargets[DisplayName])</f>
        <v>Laboratory Lv 5</v>
      </c>
      <c r="C55" s="2" t="str">
        <f>_xlfn.XLOOKUP(
 tblChecklist[[#This Row],[TargetID]],
 tblTargetStatus[TargetID],
 tblTargetStatus[successors],
 ""
)</f>
        <v>Laboratory maxed, Ahead of Time Chapter 1 Finished</v>
      </c>
      <c r="D55" s="79" t="str">
        <f>_xlfn.XLOOKUP(tblChecklist[[#This Row],[TargetID]],tblTargets[TargetID],tblTargets[TargetType],"")</f>
        <v>BUILDING</v>
      </c>
      <c r="E55" s="79" t="str">
        <f>_xlfn.XLOOKUP(tblChecklist[[#This Row],[TargetID]],tblTargetStatus[TargetID],tblTargetStatus[ChainAwareStatus],"")</f>
        <v>BLOCKED</v>
      </c>
      <c r="F55" s="79">
        <v>76</v>
      </c>
      <c r="G55" s="82" t="b">
        <v>0</v>
      </c>
      <c r="H55" s="79" t="b">
        <f>_xlfn.XLOOKUP(tblChecklist[[#This Row],[TargetID]],tblTargetStatus[TargetID],tblTargetStatus[TargetFunded],"")</f>
        <v>0</v>
      </c>
      <c r="I55" s="79">
        <f>IF(
    tblChecklist[[#This Row],[TargetType]]&lt;&gt;"BUILDING",
    "",
    IF(
        Player!$H$1="Active",
        _xlfn.XLOOKUP(
            tblChecklist[[#This Row],[TargetID]],
            tblrecommended[ActiveTargetID],
            tblrecommended[Order],
            ""
        ),
        _xlfn.XLOOKUP(
            tblChecklist[[#This Row],[TargetID]],
            tblrecommended[PassiveTargetID],
            tblrecommended[Order],
            ""
        )
    )
)</f>
        <v>76</v>
      </c>
    </row>
    <row r="56" spans="1:9" ht="26.15" customHeight="1">
      <c r="A56" t="s">
        <v>87</v>
      </c>
      <c r="B56" t="str">
        <f>_xlfn.XLOOKUP(tblChecklist[[#This Row],[TargetID]],tblTargets[TargetID],tblTargets[DisplayName])</f>
        <v>Laboratory: Data Center Lv 1</v>
      </c>
      <c r="C56" s="2" t="str">
        <f>_xlfn.XLOOKUP(
 tblChecklist[[#This Row],[TargetID]],
 tblTargetStatus[TargetID],
 tblTargetStatus[successors],
 ""
)</f>
        <v>Laboratory: Data Center maxed, Ahead of Time Chapter 5 Finished</v>
      </c>
      <c r="D56" s="79" t="str">
        <f>_xlfn.XLOOKUP(tblChecklist[[#This Row],[TargetID]],tblTargets[TargetID],tblTargets[TargetType],"")</f>
        <v>BUILDING</v>
      </c>
      <c r="E56" s="79" t="str">
        <f>_xlfn.XLOOKUP(tblChecklist[[#This Row],[TargetID]],tblTargetStatus[TargetID],tblTargetStatus[ChainAwareStatus],"")</f>
        <v>BLOCKED</v>
      </c>
      <c r="F56" s="79" t="s">
        <v>328</v>
      </c>
      <c r="G56" s="82" t="b">
        <v>0</v>
      </c>
      <c r="H56" s="79" t="b">
        <f>_xlfn.XLOOKUP(tblChecklist[[#This Row],[TargetID]],tblTargetStatus[TargetID],tblTargetStatus[TargetFunded],"")</f>
        <v>0</v>
      </c>
      <c r="I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7" spans="1:9" ht="26.15" customHeight="1">
      <c r="A57" t="s">
        <v>90</v>
      </c>
      <c r="B57" t="str">
        <f>_xlfn.XLOOKUP(tblChecklist[[#This Row],[TargetID]],tblTargets[TargetID],tblTargets[DisplayName])</f>
        <v>Lumber Lv 1</v>
      </c>
      <c r="C57" s="2" t="str">
        <f>_xlfn.XLOOKUP(
 tblChecklist[[#This Row],[TargetID]],
 tblTargetStatus[TargetID],
 tblTargetStatus[successors],
 ""
)</f>
        <v>Lumber Lv 2</v>
      </c>
      <c r="D57" s="79" t="str">
        <f>_xlfn.XLOOKUP(tblChecklist[[#This Row],[TargetID]],tblTargets[TargetID],tblTargets[TargetType],"")</f>
        <v>BUILDING</v>
      </c>
      <c r="E57" s="79" t="str">
        <f>_xlfn.XLOOKUP(tblChecklist[[#This Row],[TargetID]],tblTargetStatus[TargetID],tblTargetStatus[ChainAwareStatus],"")</f>
        <v>ONE AWAY</v>
      </c>
      <c r="F57" s="79">
        <v>13</v>
      </c>
      <c r="G57" s="82" t="b">
        <v>0</v>
      </c>
      <c r="H57" s="79" t="b">
        <f>_xlfn.XLOOKUP(tblChecklist[[#This Row],[TargetID]],tblTargetStatus[TargetID],tblTargetStatus[TargetFunded],"")</f>
        <v>0</v>
      </c>
      <c r="I57" s="79">
        <f>IF(
    tblChecklist[[#This Row],[TargetType]]&lt;&gt;"BUILDING",
    "",
    IF(
        Player!$H$1="Active",
        _xlfn.XLOOKUP(
            tblChecklist[[#This Row],[TargetID]],
            tblrecommended[ActiveTargetID],
            tblrecommended[Order],
            ""
        ),
        _xlfn.XLOOKUP(
            tblChecklist[[#This Row],[TargetID]],
            tblrecommended[PassiveTargetID],
            tblrecommended[Order],
            ""
        )
    )
)</f>
        <v>13</v>
      </c>
    </row>
    <row r="58" spans="1:9" ht="26.15" customHeight="1">
      <c r="A58" t="s">
        <v>92</v>
      </c>
      <c r="B58" t="str">
        <f>_xlfn.XLOOKUP(tblChecklist[[#This Row],[TargetID]],tblTargets[TargetID],tblTargets[DisplayName])</f>
        <v>Lumber Lv 2</v>
      </c>
      <c r="C58" s="2" t="str">
        <f>_xlfn.XLOOKUP(
 tblChecklist[[#This Row],[TargetID]],
 tblTargetStatus[TargetID],
 tblTargetStatus[successors],
 ""
)</f>
        <v>Lumber Lv 3</v>
      </c>
      <c r="D58" s="79" t="str">
        <f>_xlfn.XLOOKUP(tblChecklist[[#This Row],[TargetID]],tblTargets[TargetID],tblTargets[TargetType],"")</f>
        <v>BUILDING</v>
      </c>
      <c r="E58" s="79" t="str">
        <f>_xlfn.XLOOKUP(tblChecklist[[#This Row],[TargetID]],tblTargetStatus[TargetID],tblTargetStatus[ChainAwareStatus],"")</f>
        <v>BLOCKED</v>
      </c>
      <c r="F58" s="79">
        <v>14</v>
      </c>
      <c r="G58" s="82" t="b">
        <v>0</v>
      </c>
      <c r="H58" s="79" t="b">
        <f>_xlfn.XLOOKUP(tblChecklist[[#This Row],[TargetID]],tblTargetStatus[TargetID],tblTargetStatus[TargetFunded],"")</f>
        <v>0</v>
      </c>
      <c r="I58" s="79">
        <f>IF(
    tblChecklist[[#This Row],[TargetType]]&lt;&gt;"BUILDING",
    "",
    IF(
        Player!$H$1="Active",
        _xlfn.XLOOKUP(
            tblChecklist[[#This Row],[TargetID]],
            tblrecommended[ActiveTargetID],
            tblrecommended[Order],
            ""
        ),
        _xlfn.XLOOKUP(
            tblChecklist[[#This Row],[TargetID]],
            tblrecommended[PassiveTargetID],
            tblrecommended[Order],
            ""
        )
    )
)</f>
        <v>14</v>
      </c>
    </row>
    <row r="59" spans="1:9" ht="26.15" customHeight="1">
      <c r="A59" t="s">
        <v>93</v>
      </c>
      <c r="B59" t="str">
        <f>_xlfn.XLOOKUP(tblChecklist[[#This Row],[TargetID]],tblTargets[TargetID],tblTargets[DisplayName])</f>
        <v>Lumber Lv 3</v>
      </c>
      <c r="C59" s="2" t="str">
        <f>_xlfn.XLOOKUP(
 tblChecklist[[#This Row],[TargetID]],
 tblTargetStatus[TargetID],
 tblTargetStatus[successors],
 ""
)</f>
        <v>Shogun's Katana Chapter 2 Finished</v>
      </c>
      <c r="D59" s="79" t="str">
        <f>_xlfn.XLOOKUP(tblChecklist[[#This Row],[TargetID]],tblTargets[TargetID],tblTargets[TargetType],"")</f>
        <v>BUILDING</v>
      </c>
      <c r="E59" s="79" t="str">
        <f>_xlfn.XLOOKUP(tblChecklist[[#This Row],[TargetID]],tblTargetStatus[TargetID],tblTargetStatus[ChainAwareStatus],"")</f>
        <v>BLOCKED</v>
      </c>
      <c r="F59" s="79">
        <v>18</v>
      </c>
      <c r="G59" s="82" t="b">
        <v>0</v>
      </c>
      <c r="H59" s="79" t="b">
        <f>_xlfn.XLOOKUP(tblChecklist[[#This Row],[TargetID]],tblTargetStatus[TargetID],tblTargetStatus[TargetFunded],"")</f>
        <v>0</v>
      </c>
      <c r="I59" s="79">
        <f>IF(
    tblChecklist[[#This Row],[TargetType]]&lt;&gt;"BUILDING",
    "",
    IF(
        Player!$H$1="Active",
        _xlfn.XLOOKUP(
            tblChecklist[[#This Row],[TargetID]],
            tblrecommended[ActiveTargetID],
            tblrecommended[Order],
            ""
        ),
        _xlfn.XLOOKUP(
            tblChecklist[[#This Row],[TargetID]],
            tblrecommended[PassiveTargetID],
            tblrecommended[Order],
            ""
        )
    )
)</f>
        <v>18</v>
      </c>
    </row>
    <row r="60" spans="1:9" ht="26.15" customHeight="1">
      <c r="A60" t="s">
        <v>94</v>
      </c>
      <c r="B60" t="str">
        <f>_xlfn.XLOOKUP(tblChecklist[[#This Row],[TargetID]],tblTargets[TargetID],tblTargets[DisplayName])</f>
        <v>Onsen Lv 1</v>
      </c>
      <c r="C60" s="2" t="str">
        <f>_xlfn.XLOOKUP(
 tblChecklist[[#This Row],[TargetID]],
 tblTargetStatus[TargetID],
 tblTargetStatus[successors],
 ""
)</f>
        <v>Onsen Lv 2</v>
      </c>
      <c r="D60" s="79" t="str">
        <f>_xlfn.XLOOKUP(tblChecklist[[#This Row],[TargetID]],tblTargets[TargetID],tblTargets[TargetType],"")</f>
        <v>BUILDING</v>
      </c>
      <c r="E60" s="79" t="str">
        <f>_xlfn.XLOOKUP(tblChecklist[[#This Row],[TargetID]],tblTargetStatus[TargetID],tblTargetStatus[ChainAwareStatus],"")</f>
        <v>ONE AWAY</v>
      </c>
      <c r="F60" s="79">
        <v>91</v>
      </c>
      <c r="G60" s="82" t="b">
        <v>0</v>
      </c>
      <c r="H60" s="79" t="b">
        <f>_xlfn.XLOOKUP(tblChecklist[[#This Row],[TargetID]],tblTargetStatus[TargetID],tblTargetStatus[TargetFunded],"")</f>
        <v>0</v>
      </c>
      <c r="I60" s="79">
        <f>IF(
    tblChecklist[[#This Row],[TargetType]]&lt;&gt;"BUILDING",
    "",
    IF(
        Player!$H$1="Active",
        _xlfn.XLOOKUP(
            tblChecklist[[#This Row],[TargetID]],
            tblrecommended[ActiveTargetID],
            tblrecommended[Order],
            ""
        ),
        _xlfn.XLOOKUP(
            tblChecklist[[#This Row],[TargetID]],
            tblrecommended[PassiveTargetID],
            tblrecommended[Order],
            ""
        )
    )
)</f>
        <v>91</v>
      </c>
    </row>
    <row r="61" spans="1:9" ht="26.15" customHeight="1">
      <c r="A61" t="s">
        <v>96</v>
      </c>
      <c r="B61" t="str">
        <f>_xlfn.XLOOKUP(tblChecklist[[#This Row],[TargetID]],tblTargets[TargetID],tblTargets[DisplayName])</f>
        <v>Onsen Lv 2</v>
      </c>
      <c r="C61" s="2" t="str">
        <f>_xlfn.XLOOKUP(
 tblChecklist[[#This Row],[TargetID]],
 tblTargetStatus[TargetID],
 tblTargetStatus[successors],
 ""
)</f>
        <v/>
      </c>
      <c r="D61" s="79" t="str">
        <f>_xlfn.XLOOKUP(tblChecklist[[#This Row],[TargetID]],tblTargets[TargetID],tblTargets[TargetType],"")</f>
        <v>BUILDING</v>
      </c>
      <c r="E61" s="79" t="str">
        <f>_xlfn.XLOOKUP(tblChecklist[[#This Row],[TargetID]],tblTargetStatus[TargetID],tblTargetStatus[ChainAwareStatus],"")</f>
        <v>BLOCKED</v>
      </c>
      <c r="F61" s="79">
        <v>92</v>
      </c>
      <c r="G61" s="82" t="b">
        <v>0</v>
      </c>
      <c r="H61" s="79" t="b">
        <f>_xlfn.XLOOKUP(tblChecklist[[#This Row],[TargetID]],tblTargetStatus[TargetID],tblTargetStatus[TargetFunded],"")</f>
        <v>0</v>
      </c>
      <c r="I61" s="79">
        <f>IF(
    tblChecklist[[#This Row],[TargetType]]&lt;&gt;"BUILDING",
    "",
    IF(
        Player!$H$1="Active",
        _xlfn.XLOOKUP(
            tblChecklist[[#This Row],[TargetID]],
            tblrecommended[ActiveTargetID],
            tblrecommended[Order],
            ""
        ),
        _xlfn.XLOOKUP(
            tblChecklist[[#This Row],[TargetID]],
            tblrecommended[PassiveTargetID],
            tblrecommended[Order],
            ""
        )
    )
)</f>
        <v>92</v>
      </c>
    </row>
    <row r="62" spans="1:9" ht="26.15" customHeight="1">
      <c r="A62" t="s">
        <v>97</v>
      </c>
      <c r="B62" t="str">
        <f>_xlfn.XLOOKUP(tblChecklist[[#This Row],[TargetID]],tblTargets[TargetID],tblTargets[DisplayName])</f>
        <v>Outpost Lv 1</v>
      </c>
      <c r="C62" s="2" t="str">
        <f>_xlfn.XLOOKUP(
 tblChecklist[[#This Row],[TargetID]],
 tblTargetStatus[TargetID],
 tblTargetStatus[successors],
 ""
)</f>
        <v>Outpost Lv 2</v>
      </c>
      <c r="D62" s="79" t="str">
        <f>_xlfn.XLOOKUP(tblChecklist[[#This Row],[TargetID]],tblTargets[TargetID],tblTargets[TargetType],"")</f>
        <v>BUILDING</v>
      </c>
      <c r="E62" s="79" t="str">
        <f>_xlfn.XLOOKUP(tblChecklist[[#This Row],[TargetID]],tblTargetStatus[TargetID],tblTargetStatus[ChainAwareStatus],"")</f>
        <v>BLOCKED</v>
      </c>
      <c r="F62" s="79">
        <v>28</v>
      </c>
      <c r="G62" s="82" t="b">
        <v>0</v>
      </c>
      <c r="H62" s="79" t="b">
        <f>_xlfn.XLOOKUP(tblChecklist[[#This Row],[TargetID]],tblTargetStatus[TargetID],tblTargetStatus[TargetFunded],"")</f>
        <v>0</v>
      </c>
      <c r="I62" s="79">
        <f>IF(
    tblChecklist[[#This Row],[TargetType]]&lt;&gt;"BUILDING",
    "",
    IF(
        Player!$H$1="Active",
        _xlfn.XLOOKUP(
            tblChecklist[[#This Row],[TargetID]],
            tblrecommended[ActiveTargetID],
            tblrecommended[Order],
            ""
        ),
        _xlfn.XLOOKUP(
            tblChecklist[[#This Row],[TargetID]],
            tblrecommended[PassiveTargetID],
            tblrecommended[Order],
            ""
        )
    )
)</f>
        <v>28</v>
      </c>
    </row>
    <row r="63" spans="1:9" ht="26.15" customHeight="1">
      <c r="A63" t="s">
        <v>99</v>
      </c>
      <c r="B63" t="str">
        <f>_xlfn.XLOOKUP(tblChecklist[[#This Row],[TargetID]],tblTargets[TargetID],tblTargets[DisplayName])</f>
        <v>Outpost Lv 2</v>
      </c>
      <c r="C63" s="2" t="str">
        <f>_xlfn.XLOOKUP(
 tblChecklist[[#This Row],[TargetID]],
 tblTargetStatus[TargetID],
 tblTargetStatus[successors],
 ""
)</f>
        <v>Outpost Lv 3</v>
      </c>
      <c r="D63" s="79" t="str">
        <f>_xlfn.XLOOKUP(tblChecklist[[#This Row],[TargetID]],tblTargets[TargetID],tblTargets[TargetType],"")</f>
        <v>BUILDING</v>
      </c>
      <c r="E63" s="79" t="str">
        <f>_xlfn.XLOOKUP(tblChecklist[[#This Row],[TargetID]],tblTargetStatus[TargetID],tblTargetStatus[ChainAwareStatus],"")</f>
        <v>BLOCKED</v>
      </c>
      <c r="F63" s="79">
        <v>35</v>
      </c>
      <c r="G63" s="82" t="b">
        <v>0</v>
      </c>
      <c r="H63" s="79" t="b">
        <f>_xlfn.XLOOKUP(tblChecklist[[#This Row],[TargetID]],tblTargetStatus[TargetID],tblTargetStatus[TargetFunded],"")</f>
        <v>0</v>
      </c>
      <c r="I63" s="79">
        <f>IF(
    tblChecklist[[#This Row],[TargetType]]&lt;&gt;"BUILDING",
    "",
    IF(
        Player!$H$1="Active",
        _xlfn.XLOOKUP(
            tblChecklist[[#This Row],[TargetID]],
            tblrecommended[ActiveTargetID],
            tblrecommended[Order],
            ""
        ),
        _xlfn.XLOOKUP(
            tblChecklist[[#This Row],[TargetID]],
            tblrecommended[PassiveTargetID],
            tblrecommended[Order],
            ""
        )
    )
)</f>
        <v>35</v>
      </c>
    </row>
    <row r="64" spans="1:9" ht="26.15" customHeight="1">
      <c r="A64" t="s">
        <v>100</v>
      </c>
      <c r="B64" t="str">
        <f>_xlfn.XLOOKUP(tblChecklist[[#This Row],[TargetID]],tblTargets[TargetID],tblTargets[DisplayName])</f>
        <v>Outpost Lv 3</v>
      </c>
      <c r="C64" s="2" t="str">
        <f>_xlfn.XLOOKUP(
 tblChecklist[[#This Row],[TargetID]],
 tblTargetStatus[TargetID],
 tblTargetStatus[successors],
 ""
)</f>
        <v>Outpost maxed, Honor, Glory, Sushi Finished</v>
      </c>
      <c r="D64" s="79" t="str">
        <f>_xlfn.XLOOKUP(tblChecklist[[#This Row],[TargetID]],tblTargets[TargetID],tblTargets[TargetType],"")</f>
        <v>BUILDING</v>
      </c>
      <c r="E64" s="79" t="str">
        <f>_xlfn.XLOOKUP(tblChecklist[[#This Row],[TargetID]],tblTargetStatus[TargetID],tblTargetStatus[ChainAwareStatus],"")</f>
        <v>BLOCKED</v>
      </c>
      <c r="F64" s="79">
        <v>50</v>
      </c>
      <c r="G64" s="82" t="b">
        <v>0</v>
      </c>
      <c r="H64" s="79" t="b">
        <f>_xlfn.XLOOKUP(tblChecklist[[#This Row],[TargetID]],tblTargetStatus[TargetID],tblTargetStatus[TargetFunded],"")</f>
        <v>0</v>
      </c>
      <c r="I64" s="79">
        <f>IF(
    tblChecklist[[#This Row],[TargetType]]&lt;&gt;"BUILDING",
    "",
    IF(
        Player!$H$1="Active",
        _xlfn.XLOOKUP(
            tblChecklist[[#This Row],[TargetID]],
            tblrecommended[ActiveTargetID],
            tblrecommended[Order],
            ""
        ),
        _xlfn.XLOOKUP(
            tblChecklist[[#This Row],[TargetID]],
            tblrecommended[PassiveTargetID],
            tblrecommended[Order],
            ""
        )
    )
)</f>
        <v>50</v>
      </c>
    </row>
    <row r="65" spans="1:9" ht="26.15" customHeight="1">
      <c r="A65" t="s">
        <v>101</v>
      </c>
      <c r="B65" t="str">
        <f>_xlfn.XLOOKUP(tblChecklist[[#This Row],[TargetID]],tblTargets[TargetID],tblTargets[DisplayName])</f>
        <v>Pagoda Lv 1</v>
      </c>
      <c r="C65" s="2" t="str">
        <f>_xlfn.XLOOKUP(
 tblChecklist[[#This Row],[TargetID]],
 tblTargetStatus[TargetID],
 tblTargetStatus[successors],
 ""
)</f>
        <v>Pagoda Lv 2</v>
      </c>
      <c r="D65" s="79" t="str">
        <f>_xlfn.XLOOKUP(tblChecklist[[#This Row],[TargetID]],tblTargets[TargetID],tblTargets[TargetType],"")</f>
        <v>BUILDING</v>
      </c>
      <c r="E65" s="79" t="str">
        <f>_xlfn.XLOOKUP(tblChecklist[[#This Row],[TargetID]],tblTargetStatus[TargetID],tblTargetStatus[ChainAwareStatus],"")</f>
        <v>ONE AWAY</v>
      </c>
      <c r="F65" s="79">
        <v>57</v>
      </c>
      <c r="G65" s="82" t="b">
        <v>0</v>
      </c>
      <c r="H65" s="79" t="b">
        <f>_xlfn.XLOOKUP(tblChecklist[[#This Row],[TargetID]],tblTargetStatus[TargetID],tblTargetStatus[TargetFunded],"")</f>
        <v>0</v>
      </c>
      <c r="I65" s="79">
        <f>IF(
    tblChecklist[[#This Row],[TargetType]]&lt;&gt;"BUILDING",
    "",
    IF(
        Player!$H$1="Active",
        _xlfn.XLOOKUP(
            tblChecklist[[#This Row],[TargetID]],
            tblrecommended[ActiveTargetID],
            tblrecommended[Order],
            ""
        ),
        _xlfn.XLOOKUP(
            tblChecklist[[#This Row],[TargetID]],
            tblrecommended[PassiveTargetID],
            tblrecommended[Order],
            ""
        )
    )
)</f>
        <v>57</v>
      </c>
    </row>
    <row r="66" spans="1:9" ht="26.15" customHeight="1">
      <c r="A66" t="s">
        <v>103</v>
      </c>
      <c r="B66" t="str">
        <f>_xlfn.XLOOKUP(tblChecklist[[#This Row],[TargetID]],tblTargets[TargetID],tblTargets[DisplayName])</f>
        <v>Pagoda Lv 2</v>
      </c>
      <c r="C66" s="2" t="str">
        <f>_xlfn.XLOOKUP(
 tblChecklist[[#This Row],[TargetID]],
 tblTargetStatus[TargetID],
 tblTargetStatus[successors],
 ""
)</f>
        <v>Pagoda Lv 3</v>
      </c>
      <c r="D66" s="79" t="str">
        <f>_xlfn.XLOOKUP(tblChecklist[[#This Row],[TargetID]],tblTargets[TargetID],tblTargets[TargetType],"")</f>
        <v>BUILDING</v>
      </c>
      <c r="E66" s="79" t="str">
        <f>_xlfn.XLOOKUP(tblChecklist[[#This Row],[TargetID]],tblTargetStatus[TargetID],tblTargetStatus[ChainAwareStatus],"")</f>
        <v>BLOCKED</v>
      </c>
      <c r="F66" s="79">
        <v>58</v>
      </c>
      <c r="G66" s="82" t="b">
        <v>0</v>
      </c>
      <c r="H66" s="79" t="b">
        <f>_xlfn.XLOOKUP(tblChecklist[[#This Row],[TargetID]],tblTargetStatus[TargetID],tblTargetStatus[TargetFunded],"")</f>
        <v>0</v>
      </c>
      <c r="I66" s="79">
        <f>IF(
    tblChecklist[[#This Row],[TargetType]]&lt;&gt;"BUILDING",
    "",
    IF(
        Player!$H$1="Active",
        _xlfn.XLOOKUP(
            tblChecklist[[#This Row],[TargetID]],
            tblrecommended[ActiveTargetID],
            tblrecommended[Order],
            ""
        ),
        _xlfn.XLOOKUP(
            tblChecklist[[#This Row],[TargetID]],
            tblrecommended[PassiveTargetID],
            tblrecommended[Order],
            ""
        )
    )
)</f>
        <v>58</v>
      </c>
    </row>
    <row r="67" spans="1:9" ht="26.15" customHeight="1">
      <c r="A67" t="s">
        <v>104</v>
      </c>
      <c r="B67" t="str">
        <f>_xlfn.XLOOKUP(tblChecklist[[#This Row],[TargetID]],tblTargets[TargetID],tblTargets[DisplayName])</f>
        <v>Pagoda Lv 3</v>
      </c>
      <c r="C67" s="2" t="str">
        <f>_xlfn.XLOOKUP(
 tblChecklist[[#This Row],[TargetID]],
 tblTargetStatus[TargetID],
 tblTargetStatus[successors],
 ""
)</f>
        <v>Pagoda Lv 4</v>
      </c>
      <c r="D67" s="79" t="str">
        <f>_xlfn.XLOOKUP(tblChecklist[[#This Row],[TargetID]],tblTargets[TargetID],tblTargets[TargetType],"")</f>
        <v>BUILDING</v>
      </c>
      <c r="E67" s="79" t="str">
        <f>_xlfn.XLOOKUP(tblChecklist[[#This Row],[TargetID]],tblTargetStatus[TargetID],tblTargetStatus[ChainAwareStatus],"")</f>
        <v>BLOCKED</v>
      </c>
      <c r="F67" s="79">
        <v>59</v>
      </c>
      <c r="G67" s="82" t="b">
        <v>0</v>
      </c>
      <c r="H67" s="79" t="b">
        <f>_xlfn.XLOOKUP(tblChecklist[[#This Row],[TargetID]],tblTargetStatus[TargetID],tblTargetStatus[TargetFunded],"")</f>
        <v>0</v>
      </c>
      <c r="I67" s="79">
        <f>IF(
    tblChecklist[[#This Row],[TargetType]]&lt;&gt;"BUILDING",
    "",
    IF(
        Player!$H$1="Active",
        _xlfn.XLOOKUP(
            tblChecklist[[#This Row],[TargetID]],
            tblrecommended[ActiveTargetID],
            tblrecommended[Order],
            ""
        ),
        _xlfn.XLOOKUP(
            tblChecklist[[#This Row],[TargetID]],
            tblrecommended[PassiveTargetID],
            tblrecommended[Order],
            ""
        )
    )
)</f>
        <v>59</v>
      </c>
    </row>
    <row r="68" spans="1:9" ht="26.15" customHeight="1">
      <c r="A68" t="s">
        <v>105</v>
      </c>
      <c r="B68" t="str">
        <f>_xlfn.XLOOKUP(tblChecklist[[#This Row],[TargetID]],tblTargets[TargetID],tblTargets[DisplayName])</f>
        <v>Pagoda Lv 4</v>
      </c>
      <c r="C68" s="2" t="str">
        <f>_xlfn.XLOOKUP(
 tblChecklist[[#This Row],[TargetID]],
 tblTargetStatus[TargetID],
 tblTargetStatus[successors],
 ""
)</f>
        <v>Pagoda Lv 5</v>
      </c>
      <c r="D68" s="79" t="str">
        <f>_xlfn.XLOOKUP(tblChecklist[[#This Row],[TargetID]],tblTargets[TargetID],tblTargets[TargetType],"")</f>
        <v>BUILDING</v>
      </c>
      <c r="E68" s="79" t="str">
        <f>_xlfn.XLOOKUP(tblChecklist[[#This Row],[TargetID]],tblTargetStatus[TargetID],tblTargetStatus[ChainAwareStatus],"")</f>
        <v>BLOCKED</v>
      </c>
      <c r="F68" s="79">
        <v>60</v>
      </c>
      <c r="G68" s="82" t="b">
        <v>0</v>
      </c>
      <c r="H68" s="79" t="b">
        <f>_xlfn.XLOOKUP(tblChecklist[[#This Row],[TargetID]],tblTargetStatus[TargetID],tblTargetStatus[TargetFunded],"")</f>
        <v>0</v>
      </c>
      <c r="I68" s="79">
        <f>IF(
    tblChecklist[[#This Row],[TargetType]]&lt;&gt;"BUILDING",
    "",
    IF(
        Player!$H$1="Active",
        _xlfn.XLOOKUP(
            tblChecklist[[#This Row],[TargetID]],
            tblrecommended[ActiveTargetID],
            tblrecommended[Order],
            ""
        ),
        _xlfn.XLOOKUP(
            tblChecklist[[#This Row],[TargetID]],
            tblrecommended[PassiveTargetID],
            tblrecommended[Order],
            ""
        )
    )
)</f>
        <v>60</v>
      </c>
    </row>
    <row r="69" spans="1:9" ht="26.15" customHeight="1">
      <c r="A69" t="s">
        <v>106</v>
      </c>
      <c r="B69" t="str">
        <f>_xlfn.XLOOKUP(tblChecklist[[#This Row],[TargetID]],tblTargets[TargetID],tblTargets[DisplayName])</f>
        <v>Pagoda Lv 5</v>
      </c>
      <c r="C69" s="2" t="str">
        <f>_xlfn.XLOOKUP(
 tblChecklist[[#This Row],[TargetID]],
 tblTargetStatus[TargetID],
 tblTargetStatus[successors],
 ""
)</f>
        <v>Pagoda Lv 6</v>
      </c>
      <c r="D69" s="79" t="str">
        <f>_xlfn.XLOOKUP(tblChecklist[[#This Row],[TargetID]],tblTargets[TargetID],tblTargets[TargetType],"")</f>
        <v>BUILDING</v>
      </c>
      <c r="E69" s="79" t="str">
        <f>_xlfn.XLOOKUP(tblChecklist[[#This Row],[TargetID]],tblTargetStatus[TargetID],tblTargetStatus[ChainAwareStatus],"")</f>
        <v>BLOCKED</v>
      </c>
      <c r="F69" s="79">
        <v>61</v>
      </c>
      <c r="G69" s="82" t="b">
        <v>0</v>
      </c>
      <c r="H69" s="79" t="b">
        <f>_xlfn.XLOOKUP(tblChecklist[[#This Row],[TargetID]],tblTargetStatus[TargetID],tblTargetStatus[TargetFunded],"")</f>
        <v>0</v>
      </c>
      <c r="I69" s="79">
        <f>IF(
    tblChecklist[[#This Row],[TargetType]]&lt;&gt;"BUILDING",
    "",
    IF(
        Player!$H$1="Active",
        _xlfn.XLOOKUP(
            tblChecklist[[#This Row],[TargetID]],
            tblrecommended[ActiveTargetID],
            tblrecommended[Order],
            ""
        ),
        _xlfn.XLOOKUP(
            tblChecklist[[#This Row],[TargetID]],
            tblrecommended[PassiveTargetID],
            tblrecommended[Order],
            ""
        )
    )
)</f>
        <v>61</v>
      </c>
    </row>
    <row r="70" spans="1:9" ht="26.15" customHeight="1">
      <c r="A70" t="s">
        <v>107</v>
      </c>
      <c r="B70" t="str">
        <f>_xlfn.XLOOKUP(tblChecklist[[#This Row],[TargetID]],tblTargets[TargetID],tblTargets[DisplayName])</f>
        <v>Pagoda Lv 6</v>
      </c>
      <c r="C70" s="2" t="str">
        <f>_xlfn.XLOOKUP(
 tblChecklist[[#This Row],[TargetID]],
 tblTargetStatus[TargetID],
 tblTargetStatus[successors],
 ""
)</f>
        <v>Pagoda Lv 7</v>
      </c>
      <c r="D70" s="79" t="str">
        <f>_xlfn.XLOOKUP(tblChecklist[[#This Row],[TargetID]],tblTargets[TargetID],tblTargets[TargetType],"")</f>
        <v>BUILDING</v>
      </c>
      <c r="E70" s="79" t="str">
        <f>_xlfn.XLOOKUP(tblChecklist[[#This Row],[TargetID]],tblTargetStatus[TargetID],tblTargetStatus[ChainAwareStatus],"")</f>
        <v>BLOCKED</v>
      </c>
      <c r="F70" s="79">
        <v>62</v>
      </c>
      <c r="G70" s="82" t="b">
        <v>0</v>
      </c>
      <c r="H70" s="79" t="b">
        <f>_xlfn.XLOOKUP(tblChecklist[[#This Row],[TargetID]],tblTargetStatus[TargetID],tblTargetStatus[TargetFunded],"")</f>
        <v>0</v>
      </c>
      <c r="I70" s="79">
        <f>IF(
    tblChecklist[[#This Row],[TargetType]]&lt;&gt;"BUILDING",
    "",
    IF(
        Player!$H$1="Active",
        _xlfn.XLOOKUP(
            tblChecklist[[#This Row],[TargetID]],
            tblrecommended[ActiveTargetID],
            tblrecommended[Order],
            ""
        ),
        _xlfn.XLOOKUP(
            tblChecklist[[#This Row],[TargetID]],
            tblrecommended[PassiveTargetID],
            tblrecommended[Order],
            ""
        )
    )
)</f>
        <v>62</v>
      </c>
    </row>
    <row r="71" spans="1:9" ht="26.15" customHeight="1">
      <c r="A71" t="s">
        <v>108</v>
      </c>
      <c r="B71" t="str">
        <f>_xlfn.XLOOKUP(tblChecklist[[#This Row],[TargetID]],tblTargets[TargetID],tblTargets[DisplayName])</f>
        <v>Pagoda Lv 7</v>
      </c>
      <c r="C71" s="2" t="str">
        <f>_xlfn.XLOOKUP(
 tblChecklist[[#This Row],[TargetID]],
 tblTargetStatus[TargetID],
 tblTargetStatus[successors],
 ""
)</f>
        <v>Build the Pagoda Finished</v>
      </c>
      <c r="D71" s="79" t="str">
        <f>_xlfn.XLOOKUP(tblChecklist[[#This Row],[TargetID]],tblTargets[TargetID],tblTargets[TargetType],"")</f>
        <v>BUILDING</v>
      </c>
      <c r="E71" s="79" t="str">
        <f>_xlfn.XLOOKUP(tblChecklist[[#This Row],[TargetID]],tblTargetStatus[TargetID],tblTargetStatus[ChainAwareStatus],"")</f>
        <v>BLOCKED</v>
      </c>
      <c r="F71" s="79">
        <v>63</v>
      </c>
      <c r="G71" s="82" t="b">
        <v>0</v>
      </c>
      <c r="H71" s="79" t="b">
        <f>_xlfn.XLOOKUP(tblChecklist[[#This Row],[TargetID]],tblTargetStatus[TargetID],tblTargetStatus[TargetFunded],"")</f>
        <v>0</v>
      </c>
      <c r="I71" s="79">
        <f>IF(
    tblChecklist[[#This Row],[TargetType]]&lt;&gt;"BUILDING",
    "",
    IF(
        Player!$H$1="Active",
        _xlfn.XLOOKUP(
            tblChecklist[[#This Row],[TargetID]],
            tblrecommended[ActiveTargetID],
            tblrecommended[Order],
            ""
        ),
        _xlfn.XLOOKUP(
            tblChecklist[[#This Row],[TargetID]],
            tblrecommended[PassiveTargetID],
            tblrecommended[Order],
            ""
        )
    )
)</f>
        <v>63</v>
      </c>
    </row>
    <row r="72" spans="1:9" ht="26.15" customHeight="1">
      <c r="A72" t="s">
        <v>109</v>
      </c>
      <c r="B72" t="str">
        <f>_xlfn.XLOOKUP(tblChecklist[[#This Row],[TargetID]],tblTargets[TargetID],tblTargets[DisplayName])</f>
        <v>Pier Lv 1</v>
      </c>
      <c r="C72" s="2" t="str">
        <f>_xlfn.XLOOKUP(
 tblChecklist[[#This Row],[TargetID]],
 tblTargetStatus[TargetID],
 tblTargetStatus[successors],
 ""
)</f>
        <v>Ship Lv 1, Shogun's Katana Chapter 2 Finished</v>
      </c>
      <c r="D72" s="79" t="str">
        <f>_xlfn.XLOOKUP(tblChecklist[[#This Row],[TargetID]],tblTargets[TargetID],tblTargets[TargetType],"")</f>
        <v>BUILDING</v>
      </c>
      <c r="E72" s="79" t="str">
        <f>_xlfn.XLOOKUP(tblChecklist[[#This Row],[TargetID]],tblTargetStatus[TargetID],tblTargetStatus[ChainAwareStatus],"")</f>
        <v>BLOCKED</v>
      </c>
      <c r="F72" s="79">
        <v>19</v>
      </c>
      <c r="G72" s="82" t="b">
        <v>0</v>
      </c>
      <c r="H72" s="79" t="b">
        <f>_xlfn.XLOOKUP(tblChecklist[[#This Row],[TargetID]],tblTargetStatus[TargetID],tblTargetStatus[TargetFunded],"")</f>
        <v>0</v>
      </c>
      <c r="I72" s="79">
        <f>IF(
    tblChecklist[[#This Row],[TargetType]]&lt;&gt;"BUILDING",
    "",
    IF(
        Player!$H$1="Active",
        _xlfn.XLOOKUP(
            tblChecklist[[#This Row],[TargetID]],
            tblrecommended[ActiveTargetID],
            tblrecommended[Order],
            ""
        ),
        _xlfn.XLOOKUP(
            tblChecklist[[#This Row],[TargetID]],
            tblrecommended[PassiveTargetID],
            tblrecommended[Order],
            ""
        )
    )
)</f>
        <v>19</v>
      </c>
    </row>
    <row r="73" spans="1:9" ht="26.15" customHeight="1">
      <c r="A73" t="s">
        <v>111</v>
      </c>
      <c r="B73" t="str">
        <f>_xlfn.XLOOKUP(tblChecklist[[#This Row],[TargetID]],tblTargets[TargetID],tblTargets[DisplayName])</f>
        <v>Rock Garden Lv 1</v>
      </c>
      <c r="C73" s="2" t="str">
        <f>_xlfn.XLOOKUP(
 tblChecklist[[#This Row],[TargetID]],
 tblTargetStatus[TargetID],
 tblTargetStatus[successors],
 ""
)</f>
        <v>Rock Garden Lv 2</v>
      </c>
      <c r="D73" s="79" t="str">
        <f>_xlfn.XLOOKUP(tblChecklist[[#This Row],[TargetID]],tblTargets[TargetID],tblTargets[TargetType],"")</f>
        <v>BUILDING</v>
      </c>
      <c r="E73" s="79" t="str">
        <f>_xlfn.XLOOKUP(tblChecklist[[#This Row],[TargetID]],tblTargetStatus[TargetID],tblTargetStatus[ChainAwareStatus],"")</f>
        <v>ONE AWAY</v>
      </c>
      <c r="F73" s="79">
        <v>83</v>
      </c>
      <c r="G73" s="82" t="b">
        <v>0</v>
      </c>
      <c r="H73" s="79" t="b">
        <f>_xlfn.XLOOKUP(tblChecklist[[#This Row],[TargetID]],tblTargetStatus[TargetID],tblTargetStatus[TargetFunded],"")</f>
        <v>0</v>
      </c>
      <c r="I73" s="79">
        <f>IF(
    tblChecklist[[#This Row],[TargetType]]&lt;&gt;"BUILDING",
    "",
    IF(
        Player!$H$1="Active",
        _xlfn.XLOOKUP(
            tblChecklist[[#This Row],[TargetID]],
            tblrecommended[ActiveTargetID],
            tblrecommended[Order],
            ""
        ),
        _xlfn.XLOOKUP(
            tblChecklist[[#This Row],[TargetID]],
            tblrecommended[PassiveTargetID],
            tblrecommended[Order],
            ""
        )
    )
)</f>
        <v>83</v>
      </c>
    </row>
    <row r="74" spans="1:9" ht="26.15" customHeight="1">
      <c r="A74" t="s">
        <v>114</v>
      </c>
      <c r="B74" t="str">
        <f>_xlfn.XLOOKUP(tblChecklist[[#This Row],[TargetID]],tblTargets[TargetID],tblTargets[DisplayName])</f>
        <v>Rock Garden Lv 2</v>
      </c>
      <c r="C74" s="2" t="str">
        <f>_xlfn.XLOOKUP(
 tblChecklist[[#This Row],[TargetID]],
 tblTargetStatus[TargetID],
 tblTargetStatus[successors],
 ""
)</f>
        <v>Rock Garden Lv 3</v>
      </c>
      <c r="D74" s="79" t="str">
        <f>_xlfn.XLOOKUP(tblChecklist[[#This Row],[TargetID]],tblTargets[TargetID],tblTargets[TargetType],"")</f>
        <v>BUILDING</v>
      </c>
      <c r="E74" s="79" t="str">
        <f>_xlfn.XLOOKUP(tblChecklist[[#This Row],[TargetID]],tblTargetStatus[TargetID],tblTargetStatus[ChainAwareStatus],"")</f>
        <v>BLOCKED</v>
      </c>
      <c r="F74" s="79">
        <v>84</v>
      </c>
      <c r="G74" s="82" t="b">
        <v>0</v>
      </c>
      <c r="H74" s="79" t="b">
        <f>_xlfn.XLOOKUP(tblChecklist[[#This Row],[TargetID]],tblTargetStatus[TargetID],tblTargetStatus[TargetFunded],"")</f>
        <v>0</v>
      </c>
      <c r="I74" s="79">
        <f>IF(
    tblChecklist[[#This Row],[TargetType]]&lt;&gt;"BUILDING",
    "",
    IF(
        Player!$H$1="Active",
        _xlfn.XLOOKUP(
            tblChecklist[[#This Row],[TargetID]],
            tblrecommended[ActiveTargetID],
            tblrecommended[Order],
            ""
        ),
        _xlfn.XLOOKUP(
            tblChecklist[[#This Row],[TargetID]],
            tblrecommended[PassiveTargetID],
            tblrecommended[Order],
            ""
        )
    )
)</f>
        <v>84</v>
      </c>
    </row>
    <row r="75" spans="1:9" ht="26.15" customHeight="1">
      <c r="A75" t="s">
        <v>115</v>
      </c>
      <c r="B75" t="str">
        <f>_xlfn.XLOOKUP(tblChecklist[[#This Row],[TargetID]],tblTargets[TargetID],tblTargets[DisplayName])</f>
        <v>Rock Garden Lv 3</v>
      </c>
      <c r="C75" s="2" t="str">
        <f>_xlfn.XLOOKUP(
 tblChecklist[[#This Row],[TargetID]],
 tblTargetStatus[TargetID],
 tblTargetStatus[successors],
 ""
)</f>
        <v>Rock Garden maxed</v>
      </c>
      <c r="D75" s="79" t="str">
        <f>_xlfn.XLOOKUP(tblChecklist[[#This Row],[TargetID]],tblTargets[TargetID],tblTargets[TargetType],"")</f>
        <v>BUILDING</v>
      </c>
      <c r="E75" s="79" t="str">
        <f>_xlfn.XLOOKUP(tblChecklist[[#This Row],[TargetID]],tblTargetStatus[TargetID],tblTargetStatus[ChainAwareStatus],"")</f>
        <v>BLOCKED</v>
      </c>
      <c r="F75" s="79">
        <v>85</v>
      </c>
      <c r="G75" s="82" t="b">
        <v>0</v>
      </c>
      <c r="H75" s="79" t="b">
        <f>_xlfn.XLOOKUP(tblChecklist[[#This Row],[TargetID]],tblTargetStatus[TargetID],tblTargetStatus[TargetFunded],"")</f>
        <v>0</v>
      </c>
      <c r="I75" s="79">
        <f>IF(
    tblChecklist[[#This Row],[TargetType]]&lt;&gt;"BUILDING",
    "",
    IF(
        Player!$H$1="Active",
        _xlfn.XLOOKUP(
            tblChecklist[[#This Row],[TargetID]],
            tblrecommended[ActiveTargetID],
            tblrecommended[Order],
            ""
        ),
        _xlfn.XLOOKUP(
            tblChecklist[[#This Row],[TargetID]],
            tblrecommended[PassiveTargetID],
            tblrecommended[Order],
            ""
        )
    )
)</f>
        <v>85</v>
      </c>
    </row>
    <row r="76" spans="1:9" ht="26.15" customHeight="1">
      <c r="A76" t="s">
        <v>116</v>
      </c>
      <c r="B76" t="str">
        <f>_xlfn.XLOOKUP(tblChecklist[[#This Row],[TargetID]],tblTargets[TargetID],tblTargets[DisplayName])</f>
        <v>Ship Lv 1</v>
      </c>
      <c r="C76" s="2" t="str">
        <f>_xlfn.XLOOKUP(
 tblChecklist[[#This Row],[TargetID]],
 tblTargetStatus[TargetID],
 tblTargetStatus[successors],
 ""
)</f>
        <v>Ship Lv 2, Necklace For Haruka, Spicy Odyssey Accepted, Obtain Any Artifact, Shogun's Katana Chapter 3 Finished</v>
      </c>
      <c r="D76" s="79" t="str">
        <f>_xlfn.XLOOKUP(tblChecklist[[#This Row],[TargetID]],tblTargets[TargetID],tblTargets[TargetType],"")</f>
        <v>BUILDING</v>
      </c>
      <c r="E76" s="79" t="str">
        <f>_xlfn.XLOOKUP(tblChecklist[[#This Row],[TargetID]],tblTargetStatus[TargetID],tblTargetStatus[ChainAwareStatus],"")</f>
        <v>BLOCKED</v>
      </c>
      <c r="F76" s="79">
        <v>20</v>
      </c>
      <c r="G76" s="82" t="b">
        <v>0</v>
      </c>
      <c r="H76" s="79" t="b">
        <f>_xlfn.XLOOKUP(tblChecklist[[#This Row],[TargetID]],tblTargetStatus[TargetID],tblTargetStatus[TargetFunded],"")</f>
        <v>0</v>
      </c>
      <c r="I76" s="79">
        <f>IF(
    tblChecklist[[#This Row],[TargetType]]&lt;&gt;"BUILDING",
    "",
    IF(
        Player!$H$1="Active",
        _xlfn.XLOOKUP(
            tblChecklist[[#This Row],[TargetID]],
            tblrecommended[ActiveTargetID],
            tblrecommended[Order],
            ""
        ),
        _xlfn.XLOOKUP(
            tblChecklist[[#This Row],[TargetID]],
            tblrecommended[PassiveTargetID],
            tblrecommended[Order],
            ""
        )
    )
)</f>
        <v>20</v>
      </c>
    </row>
    <row r="77" spans="1:9" ht="26.15" customHeight="1">
      <c r="A77" t="s">
        <v>118</v>
      </c>
      <c r="B77" t="str">
        <f>_xlfn.XLOOKUP(tblChecklist[[#This Row],[TargetID]],tblTargets[TargetID],tblTargets[DisplayName])</f>
        <v>Ship Lv 2</v>
      </c>
      <c r="C77" s="2" t="str">
        <f>_xlfn.XLOOKUP(
 tblChecklist[[#This Row],[TargetID]],
 tblTargetStatus[TargetID],
 tblTargetStatus[successors],
 ""
)</f>
        <v>Ship Lv 3, Shogun's Katana Chapter 4 Finished</v>
      </c>
      <c r="D77" s="79" t="str">
        <f>_xlfn.XLOOKUP(tblChecklist[[#This Row],[TargetID]],tblTargets[TargetID],tblTargets[TargetType],"")</f>
        <v>BUILDING</v>
      </c>
      <c r="E77" s="79" t="str">
        <f>_xlfn.XLOOKUP(tblChecklist[[#This Row],[TargetID]],tblTargetStatus[TargetID],tblTargetStatus[ChainAwareStatus],"")</f>
        <v>BLOCKED</v>
      </c>
      <c r="F77" s="79">
        <v>21</v>
      </c>
      <c r="G77" s="82" t="b">
        <v>0</v>
      </c>
      <c r="H77" s="79" t="b">
        <f>_xlfn.XLOOKUP(tblChecklist[[#This Row],[TargetID]],tblTargetStatus[TargetID],tblTargetStatus[TargetFunded],"")</f>
        <v>0</v>
      </c>
      <c r="I77" s="79">
        <f>IF(
    tblChecklist[[#This Row],[TargetType]]&lt;&gt;"BUILDING",
    "",
    IF(
        Player!$H$1="Active",
        _xlfn.XLOOKUP(
            tblChecklist[[#This Row],[TargetID]],
            tblrecommended[ActiveTargetID],
            tblrecommended[Order],
            ""
        ),
        _xlfn.XLOOKUP(
            tblChecklist[[#This Row],[TargetID]],
            tblrecommended[PassiveTargetID],
            tblrecommended[Order],
            ""
        )
    )
)</f>
        <v>21</v>
      </c>
    </row>
    <row r="78" spans="1:9" ht="26.15" customHeight="1">
      <c r="A78" t="s">
        <v>119</v>
      </c>
      <c r="B78" t="str">
        <f>_xlfn.XLOOKUP(tblChecklist[[#This Row],[TargetID]],tblTargets[TargetID],tblTargets[DisplayName])</f>
        <v>Ship Lv 3</v>
      </c>
      <c r="C78" s="2" t="str">
        <f>_xlfn.XLOOKUP(
 tblChecklist[[#This Row],[TargetID]],
 tblTargetStatus[TargetID],
 tblTargetStatus[successors],
 ""
)</f>
        <v>Ship Lv 4, Shogun's Katana Chapter 5 Finished, Shogun's Katana Chapter 6 Finished</v>
      </c>
      <c r="D78" s="79" t="str">
        <f>_xlfn.XLOOKUP(tblChecklist[[#This Row],[TargetID]],tblTargets[TargetID],tblTargets[TargetType],"")</f>
        <v>BUILDING</v>
      </c>
      <c r="E78" s="79" t="str">
        <f>_xlfn.XLOOKUP(tblChecklist[[#This Row],[TargetID]],tblTargetStatus[TargetID],tblTargetStatus[ChainAwareStatus],"")</f>
        <v>BLOCKED</v>
      </c>
      <c r="F78" s="79">
        <v>22</v>
      </c>
      <c r="G78" s="82" t="b">
        <v>0</v>
      </c>
      <c r="H78" s="79" t="b">
        <f>_xlfn.XLOOKUP(tblChecklist[[#This Row],[TargetID]],tblTargetStatus[TargetID],tblTargetStatus[TargetFunded],"")</f>
        <v>0</v>
      </c>
      <c r="I78" s="79">
        <f>IF(
    tblChecklist[[#This Row],[TargetType]]&lt;&gt;"BUILDING",
    "",
    IF(
        Player!$H$1="Active",
        _xlfn.XLOOKUP(
            tblChecklist[[#This Row],[TargetID]],
            tblrecommended[ActiveTargetID],
            tblrecommended[Order],
            ""
        ),
        _xlfn.XLOOKUP(
            tblChecklist[[#This Row],[TargetID]],
            tblrecommended[PassiveTargetID],
            tblrecommended[Order],
            ""
        )
    )
)</f>
        <v>22</v>
      </c>
    </row>
    <row r="79" spans="1:9" ht="26.15" customHeight="1">
      <c r="A79" t="s">
        <v>120</v>
      </c>
      <c r="B79" t="str">
        <f>_xlfn.XLOOKUP(tblChecklist[[#This Row],[TargetID]],tblTargets[TargetID],tblTargets[DisplayName])</f>
        <v>Ship Lv 4</v>
      </c>
      <c r="C79" s="2" t="str">
        <f>_xlfn.XLOOKUP(
 tblChecklist[[#This Row],[TargetID]],
 tblTargetStatus[TargetID],
 tblTargetStatus[successors],
 ""
)</f>
        <v>Astrolabe, Spicy Odyssey Finished</v>
      </c>
      <c r="D79" s="79" t="str">
        <f>_xlfn.XLOOKUP(tblChecklist[[#This Row],[TargetID]],tblTargets[TargetID],tblTargets[TargetType],"")</f>
        <v>BUILDING</v>
      </c>
      <c r="E79" s="79" t="str">
        <f>_xlfn.XLOOKUP(tblChecklist[[#This Row],[TargetID]],tblTargetStatus[TargetID],tblTargetStatus[ChainAwareStatus],"")</f>
        <v>BLOCKED</v>
      </c>
      <c r="F79" s="79">
        <v>24</v>
      </c>
      <c r="G79" s="82" t="b">
        <v>0</v>
      </c>
      <c r="H79" s="79" t="b">
        <f>_xlfn.XLOOKUP(tblChecklist[[#This Row],[TargetID]],tblTargetStatus[TargetID],tblTargetStatus[TargetFunded],"")</f>
        <v>0</v>
      </c>
      <c r="I79" s="79">
        <f>IF(
    tblChecklist[[#This Row],[TargetType]]&lt;&gt;"BUILDING",
    "",
    IF(
        Player!$H$1="Active",
        _xlfn.XLOOKUP(
            tblChecklist[[#This Row],[TargetID]],
            tblrecommended[ActiveTargetID],
            tblrecommended[Order],
            ""
        ),
        _xlfn.XLOOKUP(
            tblChecklist[[#This Row],[TargetID]],
            tblrecommended[PassiveTargetID],
            tblrecommended[Order],
            ""
        )
    )
)</f>
        <v>24</v>
      </c>
    </row>
    <row r="80" spans="1:9" ht="26.15" customHeight="1">
      <c r="A80" t="s">
        <v>121</v>
      </c>
      <c r="B80" t="str">
        <f>_xlfn.XLOOKUP(tblChecklist[[#This Row],[TargetID]],tblTargets[TargetID],tblTargets[DisplayName])</f>
        <v>Shop Lv 1</v>
      </c>
      <c r="C80" s="2" t="str">
        <f>_xlfn.XLOOKUP(
 tblChecklist[[#This Row],[TargetID]],
 tblTargetStatus[TargetID],
 tblTargetStatus[successors],
 ""
)</f>
        <v>Shop Lv 2</v>
      </c>
      <c r="D80" s="79" t="str">
        <f>_xlfn.XLOOKUP(tblChecklist[[#This Row],[TargetID]],tblTargets[TargetID],tblTargets[TargetType],"")</f>
        <v>BUILDING</v>
      </c>
      <c r="E80" s="79" t="str">
        <f>_xlfn.XLOOKUP(tblChecklist[[#This Row],[TargetID]],tblTargetStatus[TargetID],tblTargetStatus[ChainAwareStatus],"")</f>
        <v>ONE AWAY</v>
      </c>
      <c r="F80" s="79">
        <v>3</v>
      </c>
      <c r="G80" s="82" t="b">
        <v>0</v>
      </c>
      <c r="H80" s="79" t="b">
        <f>_xlfn.XLOOKUP(tblChecklist[[#This Row],[TargetID]],tblTargetStatus[TargetID],tblTargetStatus[TargetFunded],"")</f>
        <v>0</v>
      </c>
      <c r="I80" s="79">
        <f>IF(
    tblChecklist[[#This Row],[TargetType]]&lt;&gt;"BUILDING",
    "",
    IF(
        Player!$H$1="Active",
        _xlfn.XLOOKUP(
            tblChecklist[[#This Row],[TargetID]],
            tblrecommended[ActiveTargetID],
            tblrecommended[Order],
            ""
        ),
        _xlfn.XLOOKUP(
            tblChecklist[[#This Row],[TargetID]],
            tblrecommended[PassiveTargetID],
            tblrecommended[Order],
            ""
        )
    )
)</f>
        <v>3</v>
      </c>
    </row>
    <row r="81" spans="1:9" ht="26.15" customHeight="1">
      <c r="A81" t="s">
        <v>123</v>
      </c>
      <c r="B81" t="str">
        <f>_xlfn.XLOOKUP(tblChecklist[[#This Row],[TargetID]],tblTargets[TargetID],tblTargets[DisplayName])</f>
        <v>Shop Lv 2</v>
      </c>
      <c r="C81" s="2" t="str">
        <f>_xlfn.XLOOKUP(
 tblChecklist[[#This Row],[TargetID]],
 tblTargetStatus[TargetID],
 tblTargetStatus[successors],
 ""
)</f>
        <v>Shop Lv 3</v>
      </c>
      <c r="D81" s="79" t="str">
        <f>_xlfn.XLOOKUP(tblChecklist[[#This Row],[TargetID]],tblTargets[TargetID],tblTargets[TargetType],"")</f>
        <v>BUILDING</v>
      </c>
      <c r="E81" s="79" t="str">
        <f>_xlfn.XLOOKUP(tblChecklist[[#This Row],[TargetID]],tblTargetStatus[TargetID],tblTargetStatus[ChainAwareStatus],"")</f>
        <v>BLOCKED</v>
      </c>
      <c r="F81" s="79">
        <v>100</v>
      </c>
      <c r="G81" s="82" t="b">
        <v>0</v>
      </c>
      <c r="H81" s="79" t="b">
        <f>_xlfn.XLOOKUP(tblChecklist[[#This Row],[TargetID]],tblTargetStatus[TargetID],tblTargetStatus[TargetFunded],"")</f>
        <v>0</v>
      </c>
      <c r="I81" s="79">
        <f>IF(
    tblChecklist[[#This Row],[TargetType]]&lt;&gt;"BUILDING",
    "",
    IF(
        Player!$H$1="Active",
        _xlfn.XLOOKUP(
            tblChecklist[[#This Row],[TargetID]],
            tblrecommended[ActiveTargetID],
            tblrecommended[Order],
            ""
        ),
        _xlfn.XLOOKUP(
            tblChecklist[[#This Row],[TargetID]],
            tblrecommended[PassiveTargetID],
            tblrecommended[Order],
            ""
        )
    )
)</f>
        <v>100</v>
      </c>
    </row>
    <row r="82" spans="1:9" ht="26.15" customHeight="1">
      <c r="A82" t="s">
        <v>124</v>
      </c>
      <c r="B82" t="str">
        <f>_xlfn.XLOOKUP(tblChecklist[[#This Row],[TargetID]],tblTargets[TargetID],tblTargets[DisplayName])</f>
        <v>Shop Lv 3</v>
      </c>
      <c r="C82" s="2" t="str">
        <f>_xlfn.XLOOKUP(
 tblChecklist[[#This Row],[TargetID]],
 tblTargetStatus[TargetID],
 tblTargetStatus[successors],
 ""
)</f>
        <v>shop maxed</v>
      </c>
      <c r="D82" s="79" t="str">
        <f>_xlfn.XLOOKUP(tblChecklist[[#This Row],[TargetID]],tblTargets[TargetID],tblTargets[TargetType],"")</f>
        <v>BUILDING</v>
      </c>
      <c r="E82" s="79" t="str">
        <f>_xlfn.XLOOKUP(tblChecklist[[#This Row],[TargetID]],tblTargetStatus[TargetID],tblTargetStatus[ChainAwareStatus],"")</f>
        <v>BLOCKED</v>
      </c>
      <c r="F82" s="79">
        <v>101</v>
      </c>
      <c r="G82" s="82" t="b">
        <v>0</v>
      </c>
      <c r="H82" s="79" t="b">
        <f>_xlfn.XLOOKUP(tblChecklist[[#This Row],[TargetID]],tblTargetStatus[TargetID],tblTargetStatus[TargetFunded],"")</f>
        <v>0</v>
      </c>
      <c r="I82" s="79">
        <f>IF(
    tblChecklist[[#This Row],[TargetType]]&lt;&gt;"BUILDING",
    "",
    IF(
        Player!$H$1="Active",
        _xlfn.XLOOKUP(
            tblChecklist[[#This Row],[TargetID]],
            tblrecommended[ActiveTargetID],
            tblrecommended[Order],
            ""
        ),
        _xlfn.XLOOKUP(
            tblChecklist[[#This Row],[TargetID]],
            tblrecommended[PassiveTargetID],
            tblrecommended[Order],
            ""
        )
    )
)</f>
        <v>101</v>
      </c>
    </row>
    <row r="83" spans="1:9" ht="26.15" customHeight="1">
      <c r="A83" t="s">
        <v>125</v>
      </c>
      <c r="B83" t="str">
        <f>_xlfn.XLOOKUP(tblChecklist[[#This Row],[TargetID]],tblTargets[TargetID],tblTargets[DisplayName])</f>
        <v>Smithy Lv 1</v>
      </c>
      <c r="C83" s="2" t="str">
        <f>_xlfn.XLOOKUP(
 tblChecklist[[#This Row],[TargetID]],
 tblTargetStatus[TargetID],
 tblTargetStatus[successors],
 ""
)</f>
        <v>Smithy Lv 2</v>
      </c>
      <c r="D83" s="79" t="str">
        <f>_xlfn.XLOOKUP(tblChecklist[[#This Row],[TargetID]],tblTargets[TargetID],tblTargets[TargetType],"")</f>
        <v>BUILDING</v>
      </c>
      <c r="E83" s="79" t="str">
        <f>_xlfn.XLOOKUP(tblChecklist[[#This Row],[TargetID]],tblTargetStatus[TargetID],tblTargetStatus[ChainAwareStatus],"")</f>
        <v>ONE AWAY</v>
      </c>
      <c r="F83" s="79">
        <v>40</v>
      </c>
      <c r="G83" s="82" t="b">
        <v>0</v>
      </c>
      <c r="H83" s="79" t="b">
        <f>_xlfn.XLOOKUP(tblChecklist[[#This Row],[TargetID]],tblTargetStatus[TargetID],tblTargetStatus[TargetFunded],"")</f>
        <v>0</v>
      </c>
      <c r="I83" s="79">
        <f>IF(
    tblChecklist[[#This Row],[TargetType]]&lt;&gt;"BUILDING",
    "",
    IF(
        Player!$H$1="Active",
        _xlfn.XLOOKUP(
            tblChecklist[[#This Row],[TargetID]],
            tblrecommended[ActiveTargetID],
            tblrecommended[Order],
            ""
        ),
        _xlfn.XLOOKUP(
            tblChecklist[[#This Row],[TargetID]],
            tblrecommended[PassiveTargetID],
            tblrecommended[Order],
            ""
        )
    )
)</f>
        <v>40</v>
      </c>
    </row>
    <row r="84" spans="1:9" ht="26.15" customHeight="1">
      <c r="A84" t="s">
        <v>127</v>
      </c>
      <c r="B84" t="str">
        <f>_xlfn.XLOOKUP(tblChecklist[[#This Row],[TargetID]],tblTargets[TargetID],tblTargets[DisplayName])</f>
        <v>Smithy Lv 2</v>
      </c>
      <c r="C84" s="2" t="str">
        <f>_xlfn.XLOOKUP(
 tblChecklist[[#This Row],[TargetID]],
 tblTargetStatus[TargetID],
 tblTargetStatus[successors],
 ""
)</f>
        <v>Smithy Lv 3</v>
      </c>
      <c r="D84" s="79" t="str">
        <f>_xlfn.XLOOKUP(tblChecklist[[#This Row],[TargetID]],tblTargets[TargetID],tblTargets[TargetType],"")</f>
        <v>BUILDING</v>
      </c>
      <c r="E84" s="79" t="str">
        <f>_xlfn.XLOOKUP(tblChecklist[[#This Row],[TargetID]],tblTargetStatus[TargetID],tblTargetStatus[ChainAwareStatus],"")</f>
        <v>BLOCKED</v>
      </c>
      <c r="F84" s="79">
        <v>41</v>
      </c>
      <c r="G84" s="82" t="b">
        <v>0</v>
      </c>
      <c r="H84" s="79" t="b">
        <f>_xlfn.XLOOKUP(tblChecklist[[#This Row],[TargetID]],tblTargetStatus[TargetID],tblTargetStatus[TargetFunded],"")</f>
        <v>0</v>
      </c>
      <c r="I84" s="79">
        <f>IF(
    tblChecklist[[#This Row],[TargetType]]&lt;&gt;"BUILDING",
    "",
    IF(
        Player!$H$1="Active",
        _xlfn.XLOOKUP(
            tblChecklist[[#This Row],[TargetID]],
            tblrecommended[ActiveTargetID],
            tblrecommended[Order],
            ""
        ),
        _xlfn.XLOOKUP(
            tblChecklist[[#This Row],[TargetID]],
            tblrecommended[PassiveTargetID],
            tblrecommended[Order],
            ""
        )
    )
)</f>
        <v>41</v>
      </c>
    </row>
    <row r="85" spans="1:9" ht="26.15" customHeight="1">
      <c r="A85" t="s">
        <v>128</v>
      </c>
      <c r="B85" t="str">
        <f>_xlfn.XLOOKUP(tblChecklist[[#This Row],[TargetID]],tblTargets[TargetID],tblTargets[DisplayName])</f>
        <v>Smithy Lv 3</v>
      </c>
      <c r="C85" s="2" t="str">
        <f>_xlfn.XLOOKUP(
 tblChecklist[[#This Row],[TargetID]],
 tblTargetStatus[TargetID],
 tblTargetStatus[successors],
 ""
)</f>
        <v>smithy maxed, Dagger</v>
      </c>
      <c r="D85" s="79" t="str">
        <f>_xlfn.XLOOKUP(tblChecklist[[#This Row],[TargetID]],tblTargets[TargetID],tblTargets[TargetType],"")</f>
        <v>BUILDING</v>
      </c>
      <c r="E85" s="79" t="str">
        <f>_xlfn.XLOOKUP(tblChecklist[[#This Row],[TargetID]],tblTargetStatus[TargetID],tblTargetStatus[ChainAwareStatus],"")</f>
        <v>BLOCKED</v>
      </c>
      <c r="F85" s="79">
        <v>42</v>
      </c>
      <c r="G85" s="82" t="b">
        <v>0</v>
      </c>
      <c r="H85" s="79" t="b">
        <f>_xlfn.XLOOKUP(tblChecklist[[#This Row],[TargetID]],tblTargetStatus[TargetID],tblTargetStatus[TargetFunded],"")</f>
        <v>0</v>
      </c>
      <c r="I85" s="79">
        <f>IF(
    tblChecklist[[#This Row],[TargetType]]&lt;&gt;"BUILDING",
    "",
    IF(
        Player!$H$1="Active",
        _xlfn.XLOOKUP(
            tblChecklist[[#This Row],[TargetID]],
            tblrecommended[ActiveTargetID],
            tblrecommended[Order],
            ""
        ),
        _xlfn.XLOOKUP(
            tblChecklist[[#This Row],[TargetID]],
            tblrecommended[PassiveTargetID],
            tblrecommended[Order],
            ""
        )
    )
)</f>
        <v>42</v>
      </c>
    </row>
    <row r="86" spans="1:9" ht="26.15" customHeight="1">
      <c r="A86" t="s">
        <v>129</v>
      </c>
      <c r="B86" t="str">
        <f>_xlfn.XLOOKUP(tblChecklist[[#This Row],[TargetID]],tblTargets[TargetID],tblTargets[DisplayName])</f>
        <v>Station Lv 1</v>
      </c>
      <c r="C86" s="2" t="str">
        <f>_xlfn.XLOOKUP(
 tblChecklist[[#This Row],[TargetID]],
 tblTargetStatus[TargetID],
 tblTargetStatus[successors],
 ""
)</f>
        <v>Train Lv 1, Journey Through Japan By Train Accepted, Journey Through Japan By Train Finished</v>
      </c>
      <c r="D86" s="79" t="str">
        <f>_xlfn.XLOOKUP(tblChecklist[[#This Row],[TargetID]],tblTargets[TargetID],tblTargets[TargetType],"")</f>
        <v>BUILDING</v>
      </c>
      <c r="E86" s="79" t="str">
        <f>_xlfn.XLOOKUP(tblChecklist[[#This Row],[TargetID]],tblTargetStatus[TargetID],tblTargetStatus[ChainAwareStatus],"")</f>
        <v>BLOCKED</v>
      </c>
      <c r="F86" s="79">
        <v>69</v>
      </c>
      <c r="G86" s="82" t="b">
        <v>0</v>
      </c>
      <c r="H86" s="79" t="b">
        <f>_xlfn.XLOOKUP(tblChecklist[[#This Row],[TargetID]],tblTargetStatus[TargetID],tblTargetStatus[TargetFunded],"")</f>
        <v>0</v>
      </c>
      <c r="I86" s="79">
        <f>IF(
    tblChecklist[[#This Row],[TargetType]]&lt;&gt;"BUILDING",
    "",
    IF(
        Player!$H$1="Active",
        _xlfn.XLOOKUP(
            tblChecklist[[#This Row],[TargetID]],
            tblrecommended[ActiveTargetID],
            tblrecommended[Order],
            ""
        ),
        _xlfn.XLOOKUP(
            tblChecklist[[#This Row],[TargetID]],
            tblrecommended[PassiveTargetID],
            tblrecommended[Order],
            ""
        )
    )
)</f>
        <v>69</v>
      </c>
    </row>
    <row r="87" spans="1:9" ht="26.15" customHeight="1">
      <c r="A87" t="s">
        <v>131</v>
      </c>
      <c r="B87" t="str">
        <f>_xlfn.XLOOKUP(tblChecklist[[#This Row],[TargetID]],tblTargets[TargetID],tblTargets[DisplayName])</f>
        <v>Tailor Lv 1</v>
      </c>
      <c r="C87" s="2" t="str">
        <f>_xlfn.XLOOKUP(
 tblChecklist[[#This Row],[TargetID]],
 tblTargetStatus[TargetID],
 tblTargetStatus[successors],
 ""
)</f>
        <v>Tailor Lv 2</v>
      </c>
      <c r="D87" s="79" t="str">
        <f>_xlfn.XLOOKUP(tblChecklist[[#This Row],[TargetID]],tblTargets[TargetID],tblTargets[TargetType],"")</f>
        <v>BUILDING</v>
      </c>
      <c r="E87" s="79" t="str">
        <f>_xlfn.XLOOKUP(tblChecklist[[#This Row],[TargetID]],tblTargetStatus[TargetID],tblTargetStatus[ChainAwareStatus],"")</f>
        <v>BLOCKED</v>
      </c>
      <c r="F87" s="79">
        <v>47</v>
      </c>
      <c r="G87" s="82" t="b">
        <v>0</v>
      </c>
      <c r="H87" s="79" t="b">
        <f>_xlfn.XLOOKUP(tblChecklist[[#This Row],[TargetID]],tblTargetStatus[TargetID],tblTargetStatus[TargetFunded],"")</f>
        <v>0</v>
      </c>
      <c r="I87" s="79">
        <f>IF(
    tblChecklist[[#This Row],[TargetType]]&lt;&gt;"BUILDING",
    "",
    IF(
        Player!$H$1="Active",
        _xlfn.XLOOKUP(
            tblChecklist[[#This Row],[TargetID]],
            tblrecommended[ActiveTargetID],
            tblrecommended[Order],
            ""
        ),
        _xlfn.XLOOKUP(
            tblChecklist[[#This Row],[TargetID]],
            tblrecommended[PassiveTargetID],
            tblrecommended[Order],
            ""
        )
    )
)</f>
        <v>47</v>
      </c>
    </row>
    <row r="88" spans="1:9" ht="26.15" customHeight="1">
      <c r="A88" t="s">
        <v>133</v>
      </c>
      <c r="B88" t="str">
        <f>_xlfn.XLOOKUP(tblChecklist[[#This Row],[TargetID]],tblTargets[TargetID],tblTargets[DisplayName])</f>
        <v>Tailor Lv 2</v>
      </c>
      <c r="C88" s="2" t="str">
        <f>_xlfn.XLOOKUP(
 tblChecklist[[#This Row],[TargetID]],
 tblTargetStatus[TargetID],
 tblTargetStatus[successors],
 ""
)</f>
        <v>Tailor Lv 3, Guild Banner, Tailor - Ariadnes Thread, Tailor - Armor For A Hero Lvl 1, Tailor - Colored Threads, Tailor - Strong Stitch</v>
      </c>
      <c r="D88" s="79" t="str">
        <f>_xlfn.XLOOKUP(tblChecklist[[#This Row],[TargetID]],tblTargets[TargetID],tblTargets[TargetType],"")</f>
        <v>BUILDING</v>
      </c>
      <c r="E88" s="79" t="str">
        <f>_xlfn.XLOOKUP(tblChecklist[[#This Row],[TargetID]],tblTargetStatus[TargetID],tblTargetStatus[ChainAwareStatus],"")</f>
        <v>BLOCKED</v>
      </c>
      <c r="F88" s="79">
        <v>48</v>
      </c>
      <c r="G88" s="82" t="b">
        <v>0</v>
      </c>
      <c r="H88" s="79" t="b">
        <f>_xlfn.XLOOKUP(tblChecklist[[#This Row],[TargetID]],tblTargetStatus[TargetID],tblTargetStatus[TargetFunded],"")</f>
        <v>0</v>
      </c>
      <c r="I88" s="79">
        <f>IF(
    tblChecklist[[#This Row],[TargetType]]&lt;&gt;"BUILDING",
    "",
    IF(
        Player!$H$1="Active",
        _xlfn.XLOOKUP(
            tblChecklist[[#This Row],[TargetID]],
            tblrecommended[ActiveTargetID],
            tblrecommended[Order],
            ""
        ),
        _xlfn.XLOOKUP(
            tblChecklist[[#This Row],[TargetID]],
            tblrecommended[PassiveTargetID],
            tblrecommended[Order],
            ""
        )
    )
)</f>
        <v>48</v>
      </c>
    </row>
    <row r="89" spans="1:9" ht="26.15" customHeight="1">
      <c r="A89" t="s">
        <v>134</v>
      </c>
      <c r="B89" t="str">
        <f>_xlfn.XLOOKUP(tblChecklist[[#This Row],[TargetID]],tblTargets[TargetID],tblTargets[DisplayName])</f>
        <v>Tailor Lv 3</v>
      </c>
      <c r="C89" s="2" t="str">
        <f>_xlfn.XLOOKUP(
 tblChecklist[[#This Row],[TargetID]],
 tblTargetStatus[TargetID],
 tblTargetStatus[successors],
 ""
)</f>
        <v>tailor maxed, Hat Of Concentration, Helmet</v>
      </c>
      <c r="D89" s="79" t="str">
        <f>_xlfn.XLOOKUP(tblChecklist[[#This Row],[TargetID]],tblTargets[TargetID],tblTargets[TargetType],"")</f>
        <v>BUILDING</v>
      </c>
      <c r="E89" s="79" t="str">
        <f>_xlfn.XLOOKUP(tblChecklist[[#This Row],[TargetID]],tblTargetStatus[TargetID],tblTargetStatus[ChainAwareStatus],"")</f>
        <v>BLOCKED</v>
      </c>
      <c r="F89" s="79">
        <v>49</v>
      </c>
      <c r="G89" s="82" t="b">
        <v>0</v>
      </c>
      <c r="H89" s="79" t="b">
        <f>_xlfn.XLOOKUP(tblChecklist[[#This Row],[TargetID]],tblTargetStatus[TargetID],tblTargetStatus[TargetFunded],"")</f>
        <v>0</v>
      </c>
      <c r="I89" s="79">
        <f>IF(
    tblChecklist[[#This Row],[TargetType]]&lt;&gt;"BUILDING",
    "",
    IF(
        Player!$H$1="Active",
        _xlfn.XLOOKUP(
            tblChecklist[[#This Row],[TargetID]],
            tblrecommended[ActiveTargetID],
            tblrecommended[Order],
            ""
        ),
        _xlfn.XLOOKUP(
            tblChecklist[[#This Row],[TargetID]],
            tblrecommended[PassiveTargetID],
            tblrecommended[Order],
            ""
        )
    )
)</f>
        <v>49</v>
      </c>
    </row>
    <row r="90" spans="1:9" ht="26.15" customHeight="1">
      <c r="A90" t="s">
        <v>135</v>
      </c>
      <c r="B90" t="str">
        <f>_xlfn.XLOOKUP(tblChecklist[[#This Row],[TargetID]],tblTargets[TargetID],tblTargets[DisplayName])</f>
        <v>Train Lv 1</v>
      </c>
      <c r="C90" s="2" t="str">
        <f>_xlfn.XLOOKUP(
 tblChecklist[[#This Row],[TargetID]],
 tblTargetStatus[TargetID],
 tblTargetStatus[successors],
 ""
)</f>
        <v>Train Lv 2, Train: Freight Carriage Lv 1, Train: Passenger Carriage Lv 1, Train - Automatic Lubricator, Train - Compound Engine, Train - Superheater, Visit Kyoto, Visit Nagasaki, Visit Osaka, Visit Wakayama, Journey Through Japan By Train Finished</v>
      </c>
      <c r="D90" s="79" t="str">
        <f>_xlfn.XLOOKUP(tblChecklist[[#This Row],[TargetID]],tblTargets[TargetID],tblTargets[TargetType],"")</f>
        <v>BUILDING</v>
      </c>
      <c r="E90" s="79" t="str">
        <f>_xlfn.XLOOKUP(tblChecklist[[#This Row],[TargetID]],tblTargetStatus[TargetID],tblTargetStatus[ChainAwareStatus],"")</f>
        <v>BLOCKED</v>
      </c>
      <c r="F90" s="79">
        <v>70</v>
      </c>
      <c r="G90" s="82" t="b">
        <v>0</v>
      </c>
      <c r="H90" s="79" t="b">
        <f>_xlfn.XLOOKUP(tblChecklist[[#This Row],[TargetID]],tblTargetStatus[TargetID],tblTargetStatus[TargetFunded],"")</f>
        <v>0</v>
      </c>
      <c r="I90" s="79">
        <f>IF(
    tblChecklist[[#This Row],[TargetType]]&lt;&gt;"BUILDING",
    "",
    IF(
        Player!$H$1="Active",
        _xlfn.XLOOKUP(
            tblChecklist[[#This Row],[TargetID]],
            tblrecommended[ActiveTargetID],
            tblrecommended[Order],
            ""
        ),
        _xlfn.XLOOKUP(
            tblChecklist[[#This Row],[TargetID]],
            tblrecommended[PassiveTargetID],
            tblrecommended[Order],
            ""
        )
    )
)</f>
        <v>70</v>
      </c>
    </row>
    <row r="91" spans="1:9" ht="26.15" customHeight="1">
      <c r="A91" t="s">
        <v>137</v>
      </c>
      <c r="B91" t="str">
        <f>_xlfn.XLOOKUP(tblChecklist[[#This Row],[TargetID]],tblTargets[TargetID],tblTargets[DisplayName])</f>
        <v>Train Lv 2</v>
      </c>
      <c r="C91" s="2" t="str">
        <f>_xlfn.XLOOKUP(
 tblChecklist[[#This Row],[TargetID]],
 tblTargetStatus[TargetID],
 tblTargetStatus[successors],
 ""
)</f>
        <v>train maxed, Visit Aomori, Visit Fukushima, Visit Tokyo, Journey Through Japan By Train Finished</v>
      </c>
      <c r="D91" s="79" t="str">
        <f>_xlfn.XLOOKUP(tblChecklist[[#This Row],[TargetID]],tblTargets[TargetID],tblTargets[TargetType],"")</f>
        <v>BUILDING</v>
      </c>
      <c r="E91" s="79" t="str">
        <f>_xlfn.XLOOKUP(tblChecklist[[#This Row],[TargetID]],tblTargetStatus[TargetID],tblTargetStatus[ChainAwareStatus],"")</f>
        <v>BLOCKED</v>
      </c>
      <c r="F91" s="79">
        <v>71</v>
      </c>
      <c r="G91" s="82" t="b">
        <v>0</v>
      </c>
      <c r="H91" s="79" t="b">
        <f>_xlfn.XLOOKUP(tblChecklist[[#This Row],[TargetID]],tblTargetStatus[TargetID],tblTargetStatus[TargetFunded],"")</f>
        <v>0</v>
      </c>
      <c r="I91" s="79">
        <f>IF(
    tblChecklist[[#This Row],[TargetType]]&lt;&gt;"BUILDING",
    "",
    IF(
        Player!$H$1="Active",
        _xlfn.XLOOKUP(
            tblChecklist[[#This Row],[TargetID]],
            tblrecommended[ActiveTargetID],
            tblrecommended[Order],
            ""
        ),
        _xlfn.XLOOKUP(
            tblChecklist[[#This Row],[TargetID]],
            tblrecommended[PassiveTargetID],
            tblrecommended[Order],
            ""
        )
    )
)</f>
        <v>71</v>
      </c>
    </row>
    <row r="92" spans="1:9" ht="26.15" customHeight="1">
      <c r="A92" t="s">
        <v>138</v>
      </c>
      <c r="B92" t="str">
        <f>_xlfn.XLOOKUP(tblChecklist[[#This Row],[TargetID]],tblTargets[TargetID],tblTargets[DisplayName])</f>
        <v>Train: Freight Carriage Lv 1</v>
      </c>
      <c r="C92" s="2" t="str">
        <f>_xlfn.XLOOKUP(
 tblChecklist[[#This Row],[TargetID]],
 tblTargetStatus[TargetID],
 tblTargetStatus[successors],
 ""
)</f>
        <v>Train: Freight Carriage Lv 2</v>
      </c>
      <c r="D92" s="79" t="str">
        <f>_xlfn.XLOOKUP(tblChecklist[[#This Row],[TargetID]],tblTargets[TargetID],tblTargets[TargetType],"")</f>
        <v>BUILDING</v>
      </c>
      <c r="E92" s="79" t="str">
        <f>_xlfn.XLOOKUP(tblChecklist[[#This Row],[TargetID]],tblTargetStatus[TargetID],tblTargetStatus[ChainAwareStatus],"")</f>
        <v>BLOCKED</v>
      </c>
      <c r="F92" s="79" t="s">
        <v>328</v>
      </c>
      <c r="G92" s="82" t="b">
        <v>0</v>
      </c>
      <c r="H92" s="79" t="b">
        <f>_xlfn.XLOOKUP(tblChecklist[[#This Row],[TargetID]],tblTargetStatus[TargetID],tblTargetStatus[TargetFunded],"")</f>
        <v>0</v>
      </c>
      <c r="I9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93" spans="1:9" ht="26.15" customHeight="1">
      <c r="A93" t="s">
        <v>141</v>
      </c>
      <c r="B93" t="str">
        <f>_xlfn.XLOOKUP(tblChecklist[[#This Row],[TargetID]],tblTargets[TargetID],tblTargets[DisplayName])</f>
        <v>Train: Freight Carriage Lv 2</v>
      </c>
      <c r="C93" s="2" t="str">
        <f>_xlfn.XLOOKUP(
 tblChecklist[[#This Row],[TargetID]],
 tblTargetStatus[TargetID],
 tblTargetStatus[successors],
 ""
)</f>
        <v/>
      </c>
      <c r="D93" s="79" t="str">
        <f>_xlfn.XLOOKUP(tblChecklist[[#This Row],[TargetID]],tblTargets[TargetID],tblTargets[TargetType],"")</f>
        <v>BUILDING</v>
      </c>
      <c r="E93" s="79" t="str">
        <f>_xlfn.XLOOKUP(tblChecklist[[#This Row],[TargetID]],tblTargetStatus[TargetID],tblTargetStatus[ChainAwareStatus],"")</f>
        <v>BLOCKED</v>
      </c>
      <c r="F93" s="79" t="s">
        <v>328</v>
      </c>
      <c r="G93" s="82" t="b">
        <v>0</v>
      </c>
      <c r="H93" s="79" t="b">
        <f>_xlfn.XLOOKUP(tblChecklist[[#This Row],[TargetID]],tblTargetStatus[TargetID],tblTargetStatus[TargetFunded],"")</f>
        <v>0</v>
      </c>
      <c r="I9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94" spans="1:9" ht="26.15" customHeight="1">
      <c r="A94" t="s">
        <v>142</v>
      </c>
      <c r="B94" t="str">
        <f>_xlfn.XLOOKUP(tblChecklist[[#This Row],[TargetID]],tblTargets[TargetID],tblTargets[DisplayName])</f>
        <v>Train: Passenger Carriage Lv 1</v>
      </c>
      <c r="C94" s="2" t="str">
        <f>_xlfn.XLOOKUP(
 tblChecklist[[#This Row],[TargetID]],
 tblTargetStatus[TargetID],
 tblTargetStatus[successors],
 ""
)</f>
        <v>Train: Passenger Carriage Lv 2, Journey Through Japan By Train Finished</v>
      </c>
      <c r="D94" s="79" t="str">
        <f>_xlfn.XLOOKUP(tblChecklist[[#This Row],[TargetID]],tblTargets[TargetID],tblTargets[TargetType],"")</f>
        <v>BUILDING</v>
      </c>
      <c r="E94" s="79" t="str">
        <f>_xlfn.XLOOKUP(tblChecklist[[#This Row],[TargetID]],tblTargetStatus[TargetID],tblTargetStatus[ChainAwareStatus],"")</f>
        <v>BLOCKED</v>
      </c>
      <c r="F94" s="79" t="s">
        <v>328</v>
      </c>
      <c r="G94" s="82" t="b">
        <v>0</v>
      </c>
      <c r="H94" s="79" t="b">
        <f>_xlfn.XLOOKUP(tblChecklist[[#This Row],[TargetID]],tblTargetStatus[TargetID],tblTargetStatus[TargetFunded],"")</f>
        <v>0</v>
      </c>
      <c r="I9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95" spans="1:9" ht="26.15" customHeight="1">
      <c r="A95" t="s">
        <v>145</v>
      </c>
      <c r="B95" t="str">
        <f>_xlfn.XLOOKUP(tblChecklist[[#This Row],[TargetID]],tblTargets[TargetID],tblTargets[DisplayName])</f>
        <v>Train: Passenger Carriage Lv 2</v>
      </c>
      <c r="C95" s="2" t="str">
        <f>_xlfn.XLOOKUP(
 tblChecklist[[#This Row],[TargetID]],
 tblTargetStatus[TargetID],
 tblTargetStatus[successors],
 ""
)</f>
        <v/>
      </c>
      <c r="D95" s="79" t="str">
        <f>_xlfn.XLOOKUP(tblChecklist[[#This Row],[TargetID]],tblTargets[TargetID],tblTargets[TargetType],"")</f>
        <v>BUILDING</v>
      </c>
      <c r="E95" s="79" t="str">
        <f>_xlfn.XLOOKUP(tblChecklist[[#This Row],[TargetID]],tblTargetStatus[TargetID],tblTargetStatus[ChainAwareStatus],"")</f>
        <v>BLOCKED</v>
      </c>
      <c r="F95" s="79" t="s">
        <v>328</v>
      </c>
      <c r="G95" s="82" t="b">
        <v>0</v>
      </c>
      <c r="H95" s="79" t="b">
        <f>_xlfn.XLOOKUP(tblChecklist[[#This Row],[TargetID]],tblTargetStatus[TargetID],tblTargetStatus[TargetFunded],"")</f>
        <v>0</v>
      </c>
      <c r="I9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96" spans="1:9" ht="26.15" customHeight="1">
      <c r="A96" t="s">
        <v>146</v>
      </c>
      <c r="B96" t="str">
        <f>_xlfn.XLOOKUP(tblChecklist[[#This Row],[TargetID]],tblTargets[TargetID],tblTargets[DisplayName])</f>
        <v>Warehouse Lv 1</v>
      </c>
      <c r="C96" s="2" t="str">
        <f>_xlfn.XLOOKUP(
 tblChecklist[[#This Row],[TargetID]],
 tblTargetStatus[TargetID],
 tblTargetStatus[successors],
 ""
)</f>
        <v>Pier Lv 1, Warehouse Lv 2, Shogun's Katana Chapter 2 Finished</v>
      </c>
      <c r="D96" s="79" t="str">
        <f>_xlfn.XLOOKUP(tblChecklist[[#This Row],[TargetID]],tblTargets[TargetID],tblTargets[TargetType],"")</f>
        <v>BUILDING</v>
      </c>
      <c r="E96" s="79" t="str">
        <f>_xlfn.XLOOKUP(tblChecklist[[#This Row],[TargetID]],tblTargetStatus[TargetID],tblTargetStatus[ChainAwareStatus],"")</f>
        <v>ONE AWAY</v>
      </c>
      <c r="F96" s="79">
        <v>2</v>
      </c>
      <c r="G96" s="82" t="b">
        <v>0</v>
      </c>
      <c r="H96" s="79" t="b">
        <f>_xlfn.XLOOKUP(tblChecklist[[#This Row],[TargetID]],tblTargetStatus[TargetID],tblTargetStatus[TargetFunded],"")</f>
        <v>0</v>
      </c>
      <c r="I96" s="79">
        <f>IF(
    tblChecklist[[#This Row],[TargetType]]&lt;&gt;"BUILDING",
    "",
    IF(
        Player!$H$1="Active",
        _xlfn.XLOOKUP(
            tblChecklist[[#This Row],[TargetID]],
            tblrecommended[ActiveTargetID],
            tblrecommended[Order],
            ""
        ),
        _xlfn.XLOOKUP(
            tblChecklist[[#This Row],[TargetID]],
            tblrecommended[PassiveTargetID],
            tblrecommended[Order],
            ""
        )
    )
)</f>
        <v>2</v>
      </c>
    </row>
    <row r="97" spans="1:9" ht="26.15" customHeight="1">
      <c r="A97" t="s">
        <v>148</v>
      </c>
      <c r="B97" t="str">
        <f>_xlfn.XLOOKUP(tblChecklist[[#This Row],[TargetID]],tblTargets[TargetID],tblTargets[DisplayName])</f>
        <v>Warehouse Lv 2</v>
      </c>
      <c r="C97" s="2" t="str">
        <f>_xlfn.XLOOKUP(
 tblChecklist[[#This Row],[TargetID]],
 tblTargetStatus[TargetID],
 tblTargetStatus[successors],
 ""
)</f>
        <v>Warehouse Lv 3</v>
      </c>
      <c r="D97" s="79" t="str">
        <f>_xlfn.XLOOKUP(tblChecklist[[#This Row],[TargetID]],tblTargets[TargetID],tblTargets[TargetType],"")</f>
        <v>BUILDING</v>
      </c>
      <c r="E97" s="79" t="str">
        <f>_xlfn.XLOOKUP(tblChecklist[[#This Row],[TargetID]],tblTargetStatus[TargetID],tblTargetStatus[ChainAwareStatus],"")</f>
        <v>BLOCKED</v>
      </c>
      <c r="F97" s="79">
        <v>94</v>
      </c>
      <c r="G97" s="82" t="b">
        <v>0</v>
      </c>
      <c r="H97" s="79" t="b">
        <f>_xlfn.XLOOKUP(tblChecklist[[#This Row],[TargetID]],tblTargetStatus[TargetID],tblTargetStatus[TargetFunded],"")</f>
        <v>0</v>
      </c>
      <c r="I97" s="79">
        <f>IF(
    tblChecklist[[#This Row],[TargetType]]&lt;&gt;"BUILDING",
    "",
    IF(
        Player!$H$1="Active",
        _xlfn.XLOOKUP(
            tblChecklist[[#This Row],[TargetID]],
            tblrecommended[ActiveTargetID],
            tblrecommended[Order],
            ""
        ),
        _xlfn.XLOOKUP(
            tblChecklist[[#This Row],[TargetID]],
            tblrecommended[PassiveTargetID],
            tblrecommended[Order],
            ""
        )
    )
)</f>
        <v>94</v>
      </c>
    </row>
    <row r="98" spans="1:9" ht="26.15" customHeight="1">
      <c r="A98" t="s">
        <v>149</v>
      </c>
      <c r="B98" t="str">
        <f>_xlfn.XLOOKUP(tblChecklist[[#This Row],[TargetID]],tblTargets[TargetID],tblTargets[DisplayName])</f>
        <v>Warehouse Lv 3</v>
      </c>
      <c r="C98" s="2" t="str">
        <f>_xlfn.XLOOKUP(
 tblChecklist[[#This Row],[TargetID]],
 tblTargetStatus[TargetID],
 tblTargetStatus[successors],
 ""
)</f>
        <v>Warehouse Lv 4</v>
      </c>
      <c r="D98" s="79" t="str">
        <f>_xlfn.XLOOKUP(tblChecklist[[#This Row],[TargetID]],tblTargets[TargetID],tblTargets[TargetType],"")</f>
        <v>BUILDING</v>
      </c>
      <c r="E98" s="79" t="str">
        <f>_xlfn.XLOOKUP(tblChecklist[[#This Row],[TargetID]],tblTargetStatus[TargetID],tblTargetStatus[ChainAwareStatus],"")</f>
        <v>BLOCKED</v>
      </c>
      <c r="F98" s="79">
        <v>95</v>
      </c>
      <c r="G98" s="82" t="b">
        <v>0</v>
      </c>
      <c r="H98" s="79" t="b">
        <f>_xlfn.XLOOKUP(tblChecklist[[#This Row],[TargetID]],tblTargetStatus[TargetID],tblTargetStatus[TargetFunded],"")</f>
        <v>0</v>
      </c>
      <c r="I98" s="79">
        <f>IF(
    tblChecklist[[#This Row],[TargetType]]&lt;&gt;"BUILDING",
    "",
    IF(
        Player!$H$1="Active",
        _xlfn.XLOOKUP(
            tblChecklist[[#This Row],[TargetID]],
            tblrecommended[ActiveTargetID],
            tblrecommended[Order],
            ""
        ),
        _xlfn.XLOOKUP(
            tblChecklist[[#This Row],[TargetID]],
            tblrecommended[PassiveTargetID],
            tblrecommended[Order],
            ""
        )
    )
)</f>
        <v>95</v>
      </c>
    </row>
    <row r="99" spans="1:9" ht="26.15" customHeight="1">
      <c r="A99" t="s">
        <v>150</v>
      </c>
      <c r="B99" t="str">
        <f>_xlfn.XLOOKUP(tblChecklist[[#This Row],[TargetID]],tblTargets[TargetID],tblTargets[DisplayName])</f>
        <v>Warehouse Lv 4</v>
      </c>
      <c r="C99" s="2" t="str">
        <f>_xlfn.XLOOKUP(
 tblChecklist[[#This Row],[TargetID]],
 tblTargetStatus[TargetID],
 tblTargetStatus[successors],
 ""
)</f>
        <v>Warehouse Lv 5</v>
      </c>
      <c r="D99" s="79" t="str">
        <f>_xlfn.XLOOKUP(tblChecklist[[#This Row],[TargetID]],tblTargets[TargetID],tblTargets[TargetType],"")</f>
        <v>BUILDING</v>
      </c>
      <c r="E99" s="79" t="str">
        <f>_xlfn.XLOOKUP(tblChecklist[[#This Row],[TargetID]],tblTargetStatus[TargetID],tblTargetStatus[ChainAwareStatus],"")</f>
        <v>BLOCKED</v>
      </c>
      <c r="F99" s="79">
        <v>96</v>
      </c>
      <c r="G99" s="82" t="b">
        <v>0</v>
      </c>
      <c r="H99" s="79" t="b">
        <f>_xlfn.XLOOKUP(tblChecklist[[#This Row],[TargetID]],tblTargetStatus[TargetID],tblTargetStatus[TargetFunded],"")</f>
        <v>0</v>
      </c>
      <c r="I99" s="79">
        <f>IF(
    tblChecklist[[#This Row],[TargetType]]&lt;&gt;"BUILDING",
    "",
    IF(
        Player!$H$1="Active",
        _xlfn.XLOOKUP(
            tblChecklist[[#This Row],[TargetID]],
            tblrecommended[ActiveTargetID],
            tblrecommended[Order],
            ""
        ),
        _xlfn.XLOOKUP(
            tblChecklist[[#This Row],[TargetID]],
            tblrecommended[PassiveTargetID],
            tblrecommended[Order],
            ""
        )
    )
)</f>
        <v>96</v>
      </c>
    </row>
    <row r="100" spans="1:9" ht="26.15" customHeight="1">
      <c r="A100" t="s">
        <v>151</v>
      </c>
      <c r="B100" t="str">
        <f>_xlfn.XLOOKUP(tblChecklist[[#This Row],[TargetID]],tblTargets[TargetID],tblTargets[DisplayName])</f>
        <v>Warehouse Lv 5</v>
      </c>
      <c r="C100" s="2" t="str">
        <f>_xlfn.XLOOKUP(
 tblChecklist[[#This Row],[TargetID]],
 tblTargetStatus[TargetID],
 tblTargetStatus[successors],
 ""
)</f>
        <v>Warehouse Lv 6</v>
      </c>
      <c r="D100" s="79" t="str">
        <f>_xlfn.XLOOKUP(tblChecklist[[#This Row],[TargetID]],tblTargets[TargetID],tblTargets[TargetType],"")</f>
        <v>BUILDING</v>
      </c>
      <c r="E100" s="79" t="str">
        <f>_xlfn.XLOOKUP(tblChecklist[[#This Row],[TargetID]],tblTargetStatus[TargetID],tblTargetStatus[ChainAwareStatus],"")</f>
        <v>BLOCKED</v>
      </c>
      <c r="F100" s="79">
        <v>97</v>
      </c>
      <c r="G100" s="82" t="b">
        <v>0</v>
      </c>
      <c r="H100" s="79" t="b">
        <f>_xlfn.XLOOKUP(tblChecklist[[#This Row],[TargetID]],tblTargetStatus[TargetID],tblTargetStatus[TargetFunded],"")</f>
        <v>0</v>
      </c>
      <c r="I100" s="79">
        <f>IF(
    tblChecklist[[#This Row],[TargetType]]&lt;&gt;"BUILDING",
    "",
    IF(
        Player!$H$1="Active",
        _xlfn.XLOOKUP(
            tblChecklist[[#This Row],[TargetID]],
            tblrecommended[ActiveTargetID],
            tblrecommended[Order],
            ""
        ),
        _xlfn.XLOOKUP(
            tblChecklist[[#This Row],[TargetID]],
            tblrecommended[PassiveTargetID],
            tblrecommended[Order],
            ""
        )
    )
)</f>
        <v>97</v>
      </c>
    </row>
    <row r="101" spans="1:9" ht="26.15" customHeight="1">
      <c r="A101" t="s">
        <v>152</v>
      </c>
      <c r="B101" t="str">
        <f>_xlfn.XLOOKUP(tblChecklist[[#This Row],[TargetID]],tblTargets[TargetID],tblTargets[DisplayName])</f>
        <v>Warehouse Lv 6</v>
      </c>
      <c r="C101" s="2" t="str">
        <f>_xlfn.XLOOKUP(
 tblChecklist[[#This Row],[TargetID]],
 tblTargetStatus[TargetID],
 tblTargetStatus[successors],
 ""
)</f>
        <v>Warehouse Lv 7</v>
      </c>
      <c r="D101" s="79" t="str">
        <f>_xlfn.XLOOKUP(tblChecklist[[#This Row],[TargetID]],tblTargets[TargetID],tblTargets[TargetType],"")</f>
        <v>BUILDING</v>
      </c>
      <c r="E101" s="79" t="str">
        <f>_xlfn.XLOOKUP(tblChecklist[[#This Row],[TargetID]],tblTargetStatus[TargetID],tblTargetStatus[ChainAwareStatus],"")</f>
        <v>BLOCKED</v>
      </c>
      <c r="F101" s="79">
        <v>98</v>
      </c>
      <c r="G101" s="82" t="b">
        <v>0</v>
      </c>
      <c r="H101" s="79" t="b">
        <f>_xlfn.XLOOKUP(tblChecklist[[#This Row],[TargetID]],tblTargetStatus[TargetID],tblTargetStatus[TargetFunded],"")</f>
        <v>0</v>
      </c>
      <c r="I101" s="79">
        <f>IF(
    tblChecklist[[#This Row],[TargetType]]&lt;&gt;"BUILDING",
    "",
    IF(
        Player!$H$1="Active",
        _xlfn.XLOOKUP(
            tblChecklist[[#This Row],[TargetID]],
            tblrecommended[ActiveTargetID],
            tblrecommended[Order],
            ""
        ),
        _xlfn.XLOOKUP(
            tblChecklist[[#This Row],[TargetID]],
            tblrecommended[PassiveTargetID],
            tblrecommended[Order],
            ""
        )
    )
)</f>
        <v>98</v>
      </c>
    </row>
    <row r="102" spans="1:9" ht="26.15" customHeight="1">
      <c r="A102" t="s">
        <v>153</v>
      </c>
      <c r="B102" t="str">
        <f>_xlfn.XLOOKUP(tblChecklist[[#This Row],[TargetID]],tblTargets[TargetID],tblTargets[DisplayName])</f>
        <v>Warehouse Lv 7</v>
      </c>
      <c r="C102" s="2" t="str">
        <f>_xlfn.XLOOKUP(
 tblChecklist[[#This Row],[TargetID]],
 tblTargetStatus[TargetID],
 tblTargetStatus[successors],
 ""
)</f>
        <v>warehouse maxed</v>
      </c>
      <c r="D102" s="79" t="str">
        <f>_xlfn.XLOOKUP(tblChecklist[[#This Row],[TargetID]],tblTargets[TargetID],tblTargets[TargetType],"")</f>
        <v>BUILDING</v>
      </c>
      <c r="E102" s="79" t="str">
        <f>_xlfn.XLOOKUP(tblChecklist[[#This Row],[TargetID]],tblTargetStatus[TargetID],tblTargetStatus[ChainAwareStatus],"")</f>
        <v>BLOCKED</v>
      </c>
      <c r="F102" s="79">
        <v>99</v>
      </c>
      <c r="G102" s="82" t="b">
        <v>0</v>
      </c>
      <c r="H102" s="79" t="b">
        <f>_xlfn.XLOOKUP(tblChecklist[[#This Row],[TargetID]],tblTargetStatus[TargetID],tblTargetStatus[TargetFunded],"")</f>
        <v>0</v>
      </c>
      <c r="I102" s="79">
        <f>IF(
    tblChecklist[[#This Row],[TargetType]]&lt;&gt;"BUILDING",
    "",
    IF(
        Player!$H$1="Active",
        _xlfn.XLOOKUP(
            tblChecklist[[#This Row],[TargetID]],
            tblrecommended[ActiveTargetID],
            tblrecommended[Order],
            ""
        ),
        _xlfn.XLOOKUP(
            tblChecklist[[#This Row],[TargetID]],
            tblrecommended[PassiveTargetID],
            tblrecommended[Order],
            ""
        )
    )
)</f>
        <v>99</v>
      </c>
    </row>
    <row r="103" spans="1:9" ht="26.15" customHeight="1">
      <c r="A103" t="s">
        <v>154</v>
      </c>
      <c r="B103" t="str">
        <f>_xlfn.XLOOKUP(tblChecklist[[#This Row],[TargetID]],tblTargets[TargetID],tblTargets[DisplayName])</f>
        <v>Windmill Lv 1</v>
      </c>
      <c r="C103" s="2" t="str">
        <f>_xlfn.XLOOKUP(
 tblChecklist[[#This Row],[TargetID]],
 tblTargetStatus[TargetID],
 tblTargetStatus[successors],
 ""
)</f>
        <v>Windmill Lv 2</v>
      </c>
      <c r="D103" s="79" t="str">
        <f>_xlfn.XLOOKUP(tblChecklist[[#This Row],[TargetID]],tblTargets[TargetID],tblTargets[TargetType],"")</f>
        <v>BUILDING</v>
      </c>
      <c r="E103" s="79" t="str">
        <f>_xlfn.XLOOKUP(tblChecklist[[#This Row],[TargetID]],tblTargetStatus[TargetID],tblTargetStatus[ChainAwareStatus],"")</f>
        <v>ONE AWAY</v>
      </c>
      <c r="F103" s="79">
        <v>9</v>
      </c>
      <c r="G103" s="82" t="b">
        <v>0</v>
      </c>
      <c r="H103" s="79" t="b">
        <f>_xlfn.XLOOKUP(tblChecklist[[#This Row],[TargetID]],tblTargetStatus[TargetID],tblTargetStatus[TargetFunded],"")</f>
        <v>0</v>
      </c>
      <c r="I103" s="79">
        <f>IF(
    tblChecklist[[#This Row],[TargetType]]&lt;&gt;"BUILDING",
    "",
    IF(
        Player!$H$1="Active",
        _xlfn.XLOOKUP(
            tblChecklist[[#This Row],[TargetID]],
            tblrecommended[ActiveTargetID],
            tblrecommended[Order],
            ""
        ),
        _xlfn.XLOOKUP(
            tblChecklist[[#This Row],[TargetID]],
            tblrecommended[PassiveTargetID],
            tblrecommended[Order],
            ""
        )
    )
)</f>
        <v>9</v>
      </c>
    </row>
    <row r="104" spans="1:9" ht="26.15" customHeight="1">
      <c r="A104" t="s">
        <v>156</v>
      </c>
      <c r="B104" t="str">
        <f>_xlfn.XLOOKUP(tblChecklist[[#This Row],[TargetID]],tblTargets[TargetID],tblTargets[DisplayName])</f>
        <v>Windmill Lv 2</v>
      </c>
      <c r="C104" s="2" t="str">
        <f>_xlfn.XLOOKUP(
 tblChecklist[[#This Row],[TargetID]],
 tblTargetStatus[TargetID],
 tblTargetStatus[successors],
 ""
)</f>
        <v>windmill maxed</v>
      </c>
      <c r="D104" s="79" t="str">
        <f>_xlfn.XLOOKUP(tblChecklist[[#This Row],[TargetID]],tblTargets[TargetID],tblTargets[TargetType],"")</f>
        <v>BUILDING</v>
      </c>
      <c r="E104" s="79" t="str">
        <f>_xlfn.XLOOKUP(tblChecklist[[#This Row],[TargetID]],tblTargetStatus[TargetID],tblTargetStatus[ChainAwareStatus],"")</f>
        <v>BLOCKED</v>
      </c>
      <c r="F104" s="79">
        <v>15</v>
      </c>
      <c r="G104" s="82" t="b">
        <v>0</v>
      </c>
      <c r="H104" s="79" t="b">
        <f>_xlfn.XLOOKUP(tblChecklist[[#This Row],[TargetID]],tblTargetStatus[TargetID],tblTargetStatus[TargetFunded],"")</f>
        <v>0</v>
      </c>
      <c r="I104" s="79">
        <f>IF(
    tblChecklist[[#This Row],[TargetType]]&lt;&gt;"BUILDING",
    "",
    IF(
        Player!$H$1="Active",
        _xlfn.XLOOKUP(
            tblChecklist[[#This Row],[TargetID]],
            tblrecommended[ActiveTargetID],
            tblrecommended[Order],
            ""
        ),
        _xlfn.XLOOKUP(
            tblChecklist[[#This Row],[TargetID]],
            tblrecommended[PassiveTargetID],
            tblrecommended[Order],
            ""
        )
    )
)</f>
        <v>15</v>
      </c>
    </row>
    <row r="105" spans="1:9" ht="26.15" customHeight="1">
      <c r="A105" t="s">
        <v>157</v>
      </c>
      <c r="B105" t="str">
        <f>_xlfn.XLOOKUP(tblChecklist[[#This Row],[TargetID]],tblTargets[TargetID],tblTargets[DisplayName])</f>
        <v>Workshop Lv 1</v>
      </c>
      <c r="C105" s="2" t="str">
        <f>_xlfn.XLOOKUP(
 tblChecklist[[#This Row],[TargetID]],
 tblTargetStatus[TargetID],
 tblTargetStatus[successors],
 ""
)</f>
        <v>Workshop Lv 2</v>
      </c>
      <c r="D105" s="79" t="str">
        <f>_xlfn.XLOOKUP(tblChecklist[[#This Row],[TargetID]],tblTargets[TargetID],tblTargets[TargetType],"")</f>
        <v>BUILDING</v>
      </c>
      <c r="E105" s="79" t="str">
        <f>_xlfn.XLOOKUP(tblChecklist[[#This Row],[TargetID]],tblTargetStatus[TargetID],tblTargetStatus[ChainAwareStatus],"")</f>
        <v>ONE AWAY</v>
      </c>
      <c r="F105" s="79">
        <v>30</v>
      </c>
      <c r="G105" s="82" t="b">
        <v>0</v>
      </c>
      <c r="H105" s="79" t="b">
        <f>_xlfn.XLOOKUP(tblChecklist[[#This Row],[TargetID]],tblTargetStatus[TargetID],tblTargetStatus[TargetFunded],"")</f>
        <v>0</v>
      </c>
      <c r="I105" s="79">
        <f>IF(
    tblChecklist[[#This Row],[TargetType]]&lt;&gt;"BUILDING",
    "",
    IF(
        Player!$H$1="Active",
        _xlfn.XLOOKUP(
            tblChecklist[[#This Row],[TargetID]],
            tblrecommended[ActiveTargetID],
            tblrecommended[Order],
            ""
        ),
        _xlfn.XLOOKUP(
            tblChecklist[[#This Row],[TargetID]],
            tblrecommended[PassiveTargetID],
            tblrecommended[Order],
            ""
        )
    )
)</f>
        <v>30</v>
      </c>
    </row>
    <row r="106" spans="1:9" ht="26.15" customHeight="1">
      <c r="A106" t="s">
        <v>159</v>
      </c>
      <c r="B106" t="str">
        <f>_xlfn.XLOOKUP(tblChecklist[[#This Row],[TargetID]],tblTargets[TargetID],tblTargets[DisplayName])</f>
        <v>Workshop Lv 2</v>
      </c>
      <c r="C106" s="2" t="str">
        <f>_xlfn.XLOOKUP(
 tblChecklist[[#This Row],[TargetID]],
 tblTargetStatus[TargetID],
 tblTargetStatus[successors],
 ""
)</f>
        <v>Workshop Lv 3</v>
      </c>
      <c r="D106" s="79" t="str">
        <f>_xlfn.XLOOKUP(tblChecklist[[#This Row],[TargetID]],tblTargets[TargetID],tblTargets[TargetType],"")</f>
        <v>BUILDING</v>
      </c>
      <c r="E106" s="79" t="str">
        <f>_xlfn.XLOOKUP(tblChecklist[[#This Row],[TargetID]],tblTargetStatus[TargetID],tblTargetStatus[ChainAwareStatus],"")</f>
        <v>BLOCKED</v>
      </c>
      <c r="F106" s="79">
        <v>31</v>
      </c>
      <c r="G106" s="82" t="b">
        <v>0</v>
      </c>
      <c r="H106" s="79" t="b">
        <f>_xlfn.XLOOKUP(tblChecklist[[#This Row],[TargetID]],tblTargetStatus[TargetID],tblTargetStatus[TargetFunded],"")</f>
        <v>0</v>
      </c>
      <c r="I106" s="79">
        <f>IF(
    tblChecklist[[#This Row],[TargetType]]&lt;&gt;"BUILDING",
    "",
    IF(
        Player!$H$1="Active",
        _xlfn.XLOOKUP(
            tblChecklist[[#This Row],[TargetID]],
            tblrecommended[ActiveTargetID],
            tblrecommended[Order],
            ""
        ),
        _xlfn.XLOOKUP(
            tblChecklist[[#This Row],[TargetID]],
            tblrecommended[PassiveTargetID],
            tblrecommended[Order],
            ""
        )
    )
)</f>
        <v>31</v>
      </c>
    </row>
    <row r="107" spans="1:9" ht="26.15" customHeight="1">
      <c r="A107" t="s">
        <v>160</v>
      </c>
      <c r="B107" t="str">
        <f>_xlfn.XLOOKUP(tblChecklist[[#This Row],[TargetID]],tblTargets[TargetID],tblTargets[DisplayName])</f>
        <v>Workshop Lv 3</v>
      </c>
      <c r="C107" s="2" t="str">
        <f>_xlfn.XLOOKUP(
 tblChecklist[[#This Row],[TargetID]],
 tblTargetStatus[TargetID],
 tblTargetStatus[successors],
 ""
)</f>
        <v>Workshop Lv 4</v>
      </c>
      <c r="D107" s="79" t="str">
        <f>_xlfn.XLOOKUP(tblChecklist[[#This Row],[TargetID]],tblTargets[TargetID],tblTargets[TargetType],"")</f>
        <v>BUILDING</v>
      </c>
      <c r="E107" s="79" t="str">
        <f>_xlfn.XLOOKUP(tblChecklist[[#This Row],[TargetID]],tblTargetStatus[TargetID],tblTargetStatus[ChainAwareStatus],"")</f>
        <v>BLOCKED</v>
      </c>
      <c r="F107" s="79">
        <v>32</v>
      </c>
      <c r="G107" s="82" t="b">
        <v>0</v>
      </c>
      <c r="H107" s="79" t="b">
        <f>_xlfn.XLOOKUP(tblChecklist[[#This Row],[TargetID]],tblTargetStatus[TargetID],tblTargetStatus[TargetFunded],"")</f>
        <v>0</v>
      </c>
      <c r="I107" s="79">
        <f>IF(
    tblChecklist[[#This Row],[TargetType]]&lt;&gt;"BUILDING",
    "",
    IF(
        Player!$H$1="Active",
        _xlfn.XLOOKUP(
            tblChecklist[[#This Row],[TargetID]],
            tblrecommended[ActiveTargetID],
            tblrecommended[Order],
            ""
        ),
        _xlfn.XLOOKUP(
            tblChecklist[[#This Row],[TargetID]],
            tblrecommended[PassiveTargetID],
            tblrecommended[Order],
            ""
        )
    )
)</f>
        <v>32</v>
      </c>
    </row>
    <row r="108" spans="1:9" ht="26.15" customHeight="1">
      <c r="A108" t="s">
        <v>161</v>
      </c>
      <c r="B108" t="str">
        <f>_xlfn.XLOOKUP(tblChecklist[[#This Row],[TargetID]],tblTargets[TargetID],tblTargets[DisplayName])</f>
        <v>Workshop Lv 4</v>
      </c>
      <c r="C108" s="2" t="str">
        <f>_xlfn.XLOOKUP(
 tblChecklist[[#This Row],[TargetID]],
 tblTargetStatus[TargetID],
 tblTargetStatus[successors],
 ""
)</f>
        <v>Workshop Lv 5</v>
      </c>
      <c r="D108" s="79" t="str">
        <f>_xlfn.XLOOKUP(tblChecklist[[#This Row],[TargetID]],tblTargets[TargetID],tblTargets[TargetType],"")</f>
        <v>BUILDING</v>
      </c>
      <c r="E108" s="79" t="str">
        <f>_xlfn.XLOOKUP(tblChecklist[[#This Row],[TargetID]],tblTargetStatus[TargetID],tblTargetStatus[ChainAwareStatus],"")</f>
        <v>BLOCKED</v>
      </c>
      <c r="F108" s="79">
        <v>33</v>
      </c>
      <c r="G108" s="82" t="b">
        <v>0</v>
      </c>
      <c r="H108" s="79" t="b">
        <f>_xlfn.XLOOKUP(tblChecklist[[#This Row],[TargetID]],tblTargetStatus[TargetID],tblTargetStatus[TargetFunded],"")</f>
        <v>0</v>
      </c>
      <c r="I108" s="79">
        <f>IF(
    tblChecklist[[#This Row],[TargetType]]&lt;&gt;"BUILDING",
    "",
    IF(
        Player!$H$1="Active",
        _xlfn.XLOOKUP(
            tblChecklist[[#This Row],[TargetID]],
            tblrecommended[ActiveTargetID],
            tblrecommended[Order],
            ""
        ),
        _xlfn.XLOOKUP(
            tblChecklist[[#This Row],[TargetID]],
            tblrecommended[PassiveTargetID],
            tblrecommended[Order],
            ""
        )
    )
)</f>
        <v>33</v>
      </c>
    </row>
    <row r="109" spans="1:9" ht="26.15" customHeight="1">
      <c r="A109" t="s">
        <v>162</v>
      </c>
      <c r="B109" t="str">
        <f>_xlfn.XLOOKUP(tblChecklist[[#This Row],[TargetID]],tblTargets[TargetID],tblTargets[DisplayName])</f>
        <v>Workshop Lv 5</v>
      </c>
      <c r="C109" s="2" t="str">
        <f>_xlfn.XLOOKUP(
 tblChecklist[[#This Row],[TargetID]],
 tblTargetStatus[TargetID],
 tblTargetStatus[successors],
 ""
)</f>
        <v>workshop maxed, Barometer, Cinema Projector, Necklace For Haruka, Safe, Solver 1 Prototype, Telescope</v>
      </c>
      <c r="D109" s="79" t="str">
        <f>_xlfn.XLOOKUP(tblChecklist[[#This Row],[TargetID]],tblTargets[TargetID],tblTargets[TargetType],"")</f>
        <v>BUILDING</v>
      </c>
      <c r="E109" s="79" t="str">
        <f>_xlfn.XLOOKUP(tblChecklist[[#This Row],[TargetID]],tblTargetStatus[TargetID],tblTargetStatus[ChainAwareStatus],"")</f>
        <v>BLOCKED</v>
      </c>
      <c r="F109" s="79">
        <v>34</v>
      </c>
      <c r="G109" s="82" t="b">
        <v>0</v>
      </c>
      <c r="H109" s="79" t="b">
        <f>_xlfn.XLOOKUP(tblChecklist[[#This Row],[TargetID]],tblTargetStatus[TargetID],tblTargetStatus[TargetFunded],"")</f>
        <v>0</v>
      </c>
      <c r="I109" s="79">
        <f>IF(
    tblChecklist[[#This Row],[TargetType]]&lt;&gt;"BUILDING",
    "",
    IF(
        Player!$H$1="Active",
        _xlfn.XLOOKUP(
            tblChecklist[[#This Row],[TargetID]],
            tblrecommended[ActiveTargetID],
            tblrecommended[Order],
            ""
        ),
        _xlfn.XLOOKUP(
            tblChecklist[[#This Row],[TargetID]],
            tblrecommended[PassiveTargetID],
            tblrecommended[Order],
            ""
        )
    )
)</f>
        <v>34</v>
      </c>
    </row>
    <row r="110" spans="1:9" ht="26.15" customHeight="1">
      <c r="A110" t="s">
        <v>2562</v>
      </c>
      <c r="B110" t="str">
        <f>_xlfn.XLOOKUP(tblChecklist[[#This Row],[TargetID]],tblTargets[TargetID],tblTargets[DisplayName])</f>
        <v>Armory</v>
      </c>
      <c r="C110" s="2" t="str">
        <f>_xlfn.XLOOKUP(
 tblChecklist[[#This Row],[TargetID]],
 tblTargetStatus[TargetID],
 tblTargetStatus[successors],
 ""
)</f>
        <v>Armory 1 Lv 1</v>
      </c>
      <c r="D110" s="79" t="str">
        <f>_xlfn.XLOOKUP(tblChecklist[[#This Row],[TargetID]],tblTargets[TargetID],tblTargets[TargetType],"")</f>
        <v>CITADEL</v>
      </c>
      <c r="E110" s="79" t="str">
        <f>_xlfn.XLOOKUP(tblChecklist[[#This Row],[TargetID]],tblTargetStatus[TargetID],tblTargetStatus[ChainAwareStatus],"")</f>
        <v>BLOCKED</v>
      </c>
      <c r="G110" s="82" t="b">
        <v>0</v>
      </c>
      <c r="H110" s="79" t="b">
        <f>_xlfn.XLOOKUP(tblChecklist[[#This Row],[TargetID]],tblTargetStatus[TargetID],tblTargetStatus[TargetFunded],"")</f>
        <v>0</v>
      </c>
      <c r="I11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1" spans="1:9" ht="26.15" customHeight="1">
      <c r="A111" t="s">
        <v>2564</v>
      </c>
      <c r="B111" t="str">
        <f>_xlfn.XLOOKUP(tblChecklist[[#This Row],[TargetID]],tblTargets[TargetID],tblTargets[DisplayName])</f>
        <v>Attic</v>
      </c>
      <c r="C111" s="2" t="str">
        <f>_xlfn.XLOOKUP(
 tblChecklist[[#This Row],[TargetID]],
 tblTargetStatus[TargetID],
 tblTargetStatus[successors],
 ""
)</f>
        <v>Attic Lv 1</v>
      </c>
      <c r="D111" s="79" t="str">
        <f>_xlfn.XLOOKUP(tblChecklist[[#This Row],[TargetID]],tblTargets[TargetID],tblTargets[TargetType],"")</f>
        <v>CITADEL</v>
      </c>
      <c r="E111" s="79" t="str">
        <f>_xlfn.XLOOKUP(tblChecklist[[#This Row],[TargetID]],tblTargetStatus[TargetID],tblTargetStatus[ChainAwareStatus],"")</f>
        <v>BLOCKED</v>
      </c>
      <c r="G111" s="82" t="b">
        <v>0</v>
      </c>
      <c r="H111" s="79" t="b">
        <f>_xlfn.XLOOKUP(tblChecklist[[#This Row],[TargetID]],tblTargetStatus[TargetID],tblTargetStatus[TargetFunded],"")</f>
        <v>0</v>
      </c>
      <c r="I11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2" spans="1:9" ht="26.15" customHeight="1">
      <c r="A112" t="s">
        <v>2565</v>
      </c>
      <c r="B112" t="str">
        <f>_xlfn.XLOOKUP(tblChecklist[[#This Row],[TargetID]],tblTargets[TargetID],tblTargets[DisplayName])</f>
        <v>Cheese Cave</v>
      </c>
      <c r="C112" s="2" t="str">
        <f>_xlfn.XLOOKUP(
 tblChecklist[[#This Row],[TargetID]],
 tblTargetStatus[TargetID],
 tblTargetStatus[successors],
 ""
)</f>
        <v/>
      </c>
      <c r="D112" s="79" t="str">
        <f>_xlfn.XLOOKUP(tblChecklist[[#This Row],[TargetID]],tblTargets[TargetID],tblTargets[TargetType],"")</f>
        <v>CITADEL</v>
      </c>
      <c r="E112" s="79" t="str">
        <f>_xlfn.XLOOKUP(tblChecklist[[#This Row],[TargetID]],tblTargetStatus[TargetID],tblTargetStatus[ChainAwareStatus],"")</f>
        <v>BLOCKED</v>
      </c>
      <c r="G112" s="82" t="b">
        <v>0</v>
      </c>
      <c r="H112" s="79" t="b">
        <f>_xlfn.XLOOKUP(tblChecklist[[#This Row],[TargetID]],tblTargetStatus[TargetID],tblTargetStatus[TargetFunded],"")</f>
        <v>0</v>
      </c>
      <c r="I11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3" spans="1:9" ht="26.15" customHeight="1">
      <c r="A113" t="s">
        <v>2566</v>
      </c>
      <c r="B113" t="str">
        <f>_xlfn.XLOOKUP(tblChecklist[[#This Row],[TargetID]],tblTargets[TargetID],tblTargets[DisplayName])</f>
        <v>Courtyard</v>
      </c>
      <c r="C113" s="2" t="str">
        <f>_xlfn.XLOOKUP(
 tblChecklist[[#This Row],[TargetID]],
 tblTargetStatus[TargetID],
 tblTargetStatus[successors],
 ""
)</f>
        <v>Courtyard 1 Lv 1, Courtyard 2 Lv 1</v>
      </c>
      <c r="D113" s="79" t="str">
        <f>_xlfn.XLOOKUP(tblChecklist[[#This Row],[TargetID]],tblTargets[TargetID],tblTargets[TargetType],"")</f>
        <v>CITADEL</v>
      </c>
      <c r="E113" s="79" t="str">
        <f>_xlfn.XLOOKUP(tblChecklist[[#This Row],[TargetID]],tblTargetStatus[TargetID],tblTargetStatus[ChainAwareStatus],"")</f>
        <v>BLOCKED</v>
      </c>
      <c r="G113" s="82" t="b">
        <v>0</v>
      </c>
      <c r="H113" s="79" t="b">
        <f>_xlfn.XLOOKUP(tblChecklist[[#This Row],[TargetID]],tblTargetStatus[TargetID],tblTargetStatus[TargetFunded],"")</f>
        <v>0</v>
      </c>
      <c r="I11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4" spans="1:9" ht="26.15" customHeight="1">
      <c r="A114" t="s">
        <v>2567</v>
      </c>
      <c r="B114" t="str">
        <f>_xlfn.XLOOKUP(tblChecklist[[#This Row],[TargetID]],tblTargets[TargetID],tblTargets[DisplayName])</f>
        <v>Gallery</v>
      </c>
      <c r="C114" s="2" t="str">
        <f>_xlfn.XLOOKUP(
 tblChecklist[[#This Row],[TargetID]],
 tblTargetStatus[TargetID],
 tblTargetStatus[successors],
 ""
)</f>
        <v>Gallery 1 Lv 1, Gallery 2 Lv 1, Gallery 3 Lv 1</v>
      </c>
      <c r="D114" s="79" t="str">
        <f>_xlfn.XLOOKUP(tblChecklist[[#This Row],[TargetID]],tblTargets[TargetID],tblTargets[TargetType],"")</f>
        <v>CITADEL</v>
      </c>
      <c r="E114" s="79" t="str">
        <f>_xlfn.XLOOKUP(tblChecklist[[#This Row],[TargetID]],tblTargetStatus[TargetID],tblTargetStatus[ChainAwareStatus],"")</f>
        <v>BLOCKED</v>
      </c>
      <c r="G114" s="82" t="b">
        <v>0</v>
      </c>
      <c r="H114" s="79" t="b">
        <f>_xlfn.XLOOKUP(tblChecklist[[#This Row],[TargetID]],tblTargetStatus[TargetID],tblTargetStatus[TargetFunded],"")</f>
        <v>0</v>
      </c>
      <c r="I11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5" spans="1:9" ht="26.15" customHeight="1">
      <c r="A115" t="s">
        <v>2568</v>
      </c>
      <c r="B115" t="str">
        <f>_xlfn.XLOOKUP(tblChecklist[[#This Row],[TargetID]],tblTargets[TargetID],tblTargets[DisplayName])</f>
        <v>Great Hall</v>
      </c>
      <c r="C115" s="2" t="str">
        <f>_xlfn.XLOOKUP(
 tblChecklist[[#This Row],[TargetID]],
 tblTargetStatus[TargetID],
 tblTargetStatus[successors],
 ""
)</f>
        <v>Cheese Cave, Courtyard, Historical Library 1 Lv 1, Historical Library 2 Lv 1, Horse Lv 1, Statue Lv 1, Tame A Critter</v>
      </c>
      <c r="D115" s="79" t="str">
        <f>_xlfn.XLOOKUP(tblChecklist[[#This Row],[TargetID]],tblTargets[TargetID],tblTargets[TargetType],"")</f>
        <v>CITADEL</v>
      </c>
      <c r="E115" s="79" t="str">
        <f>_xlfn.XLOOKUP(tblChecklist[[#This Row],[TargetID]],tblTargetStatus[TargetID],tblTargetStatus[ChainAwareStatus],"")</f>
        <v>BLOCKED</v>
      </c>
      <c r="G115" s="82" t="b">
        <v>0</v>
      </c>
      <c r="H115" s="79" t="b">
        <f>_xlfn.XLOOKUP(tblChecklist[[#This Row],[TargetID]],tblTargetStatus[TargetID],tblTargetStatus[TargetFunded],"")</f>
        <v>0</v>
      </c>
      <c r="I11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6" spans="1:9" ht="26.15" customHeight="1">
      <c r="A116" t="s">
        <v>2569</v>
      </c>
      <c r="B116" t="str">
        <f>_xlfn.XLOOKUP(tblChecklist[[#This Row],[TargetID]],tblTargets[TargetID],tblTargets[DisplayName])</f>
        <v>Kitchen and Buttery</v>
      </c>
      <c r="C116" s="2" t="str">
        <f>_xlfn.XLOOKUP(
 tblChecklist[[#This Row],[TargetID]],
 tblTargetStatus[TargetID],
 tblTargetStatus[successors],
 ""
)</f>
        <v>Kitchen And Buttery 1 Lv 1, Kitchen And Buttery 2 Lv 1</v>
      </c>
      <c r="D116" s="79" t="str">
        <f>_xlfn.XLOOKUP(tblChecklist[[#This Row],[TargetID]],tblTargets[TargetID],tblTargets[TargetType],"")</f>
        <v>CITADEL</v>
      </c>
      <c r="E116" s="79" t="str">
        <f>_xlfn.XLOOKUP(tblChecklist[[#This Row],[TargetID]],tblTargetStatus[TargetID],tblTargetStatus[ChainAwareStatus],"")</f>
        <v>BLOCKED</v>
      </c>
      <c r="G116" s="82" t="b">
        <v>0</v>
      </c>
      <c r="H116" s="79" t="b">
        <f>_xlfn.XLOOKUP(tblChecklist[[#This Row],[TargetID]],tblTargetStatus[TargetID],tblTargetStatus[TargetFunded],"")</f>
        <v>0</v>
      </c>
      <c r="I11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7" spans="1:9" ht="26.15" customHeight="1">
      <c r="A117" t="s">
        <v>2570</v>
      </c>
      <c r="B117" t="str">
        <f>_xlfn.XLOOKUP(tblChecklist[[#This Row],[TargetID]],tblTargets[TargetID],tblTargets[DisplayName])</f>
        <v>Lair lvl. 1</v>
      </c>
      <c r="C117" s="2" t="str">
        <f>_xlfn.XLOOKUP(
 tblChecklist[[#This Row],[TargetID]],
 tblTargetStatus[TargetID],
 tblTargetStatus[successors],
 ""
)</f>
        <v>Lair lvl. 2</v>
      </c>
      <c r="D117" s="79" t="str">
        <f>_xlfn.XLOOKUP(tblChecklist[[#This Row],[TargetID]],tblTargets[TargetID],tblTargets[TargetType],"")</f>
        <v>CITADEL</v>
      </c>
      <c r="E117" s="79" t="str">
        <f>_xlfn.XLOOKUP(tblChecklist[[#This Row],[TargetID]],tblTargetStatus[TargetID],tblTargetStatus[ChainAwareStatus],"")</f>
        <v>BLOCKED</v>
      </c>
      <c r="F117" s="79">
        <v>50</v>
      </c>
      <c r="G117" s="82" t="b">
        <v>0</v>
      </c>
      <c r="H117" s="79" t="b">
        <f>_xlfn.XLOOKUP(tblChecklist[[#This Row],[TargetID]],tblTargetStatus[TargetID],tblTargetStatus[TargetFunded],"")</f>
        <v>0</v>
      </c>
      <c r="I11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8" spans="1:9" ht="26.15" customHeight="1">
      <c r="A118" t="s">
        <v>2571</v>
      </c>
      <c r="B118" t="str">
        <f>_xlfn.XLOOKUP(tblChecklist[[#This Row],[TargetID]],tblTargets[TargetID],tblTargets[DisplayName])</f>
        <v>Lair lvl. 2</v>
      </c>
      <c r="C118" s="2" t="str">
        <f>_xlfn.XLOOKUP(
 tblChecklist[[#This Row],[TargetID]],
 tblTargetStatus[TargetID],
 tblTargetStatus[successors],
 ""
)</f>
        <v/>
      </c>
      <c r="D118" s="79" t="str">
        <f>_xlfn.XLOOKUP(tblChecklist[[#This Row],[TargetID]],tblTargets[TargetID],tblTargets[TargetType],"")</f>
        <v>CITADEL</v>
      </c>
      <c r="E118" s="79" t="str">
        <f>_xlfn.XLOOKUP(tblChecklist[[#This Row],[TargetID]],tblTargetStatus[TargetID],tblTargetStatus[ChainAwareStatus],"")</f>
        <v>BLOCKED</v>
      </c>
      <c r="G118" s="82" t="b">
        <v>0</v>
      </c>
      <c r="H118" s="79" t="b">
        <f>_xlfn.XLOOKUP(tblChecklist[[#This Row],[TargetID]],tblTargetStatus[TargetID],tblTargetStatus[TargetFunded],"")</f>
        <v>0</v>
      </c>
      <c r="I11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9" spans="1:9" ht="26.15" customHeight="1">
      <c r="A119" t="s">
        <v>2572</v>
      </c>
      <c r="B119" t="str">
        <f>_xlfn.XLOOKUP(tblChecklist[[#This Row],[TargetID]],tblTargets[TargetID],tblTargets[DisplayName])</f>
        <v>Mushroom Farm</v>
      </c>
      <c r="C119" s="2" t="str">
        <f>_xlfn.XLOOKUP(
 tblChecklist[[#This Row],[TargetID]],
 tblTargetStatus[TargetID],
 tblTargetStatus[successors],
 ""
)</f>
        <v>Mushroom Farm Lv 1</v>
      </c>
      <c r="D119" s="79" t="str">
        <f>_xlfn.XLOOKUP(tblChecklist[[#This Row],[TargetID]],tblTargets[TargetID],tblTargets[TargetType],"")</f>
        <v>CITADEL</v>
      </c>
      <c r="E119" s="79" t="str">
        <f>_xlfn.XLOOKUP(tblChecklist[[#This Row],[TargetID]],tblTargetStatus[TargetID],tblTargetStatus[ChainAwareStatus],"")</f>
        <v>BLOCKED</v>
      </c>
      <c r="G119" s="82" t="b">
        <v>0</v>
      </c>
      <c r="H119" s="79" t="b">
        <f>_xlfn.XLOOKUP(tblChecklist[[#This Row],[TargetID]],tblTargetStatus[TargetID],tblTargetStatus[TargetFunded],"")</f>
        <v>0</v>
      </c>
      <c r="I11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0" spans="1:9" ht="26.15" customHeight="1">
      <c r="A120" t="s">
        <v>2573</v>
      </c>
      <c r="B120" t="str">
        <f>_xlfn.XLOOKUP(tblChecklist[[#This Row],[TargetID]],tblTargets[TargetID],tblTargets[DisplayName])</f>
        <v>Orangery</v>
      </c>
      <c r="C120" s="2" t="str">
        <f>_xlfn.XLOOKUP(
 tblChecklist[[#This Row],[TargetID]],
 tblTargetStatus[TargetID],
 tblTargetStatus[successors],
 ""
)</f>
        <v>Orangery Lv 1</v>
      </c>
      <c r="D120" s="79" t="str">
        <f>_xlfn.XLOOKUP(tblChecklist[[#This Row],[TargetID]],tblTargets[TargetID],tblTargets[TargetType],"")</f>
        <v>CITADEL</v>
      </c>
      <c r="E120" s="79" t="str">
        <f>_xlfn.XLOOKUP(tblChecklist[[#This Row],[TargetID]],tblTargetStatus[TargetID],tblTargetStatus[ChainAwareStatus],"")</f>
        <v>BLOCKED</v>
      </c>
      <c r="G120" s="82" t="b">
        <v>0</v>
      </c>
      <c r="H120" s="79" t="b">
        <f>_xlfn.XLOOKUP(tblChecklist[[#This Row],[TargetID]],tblTargetStatus[TargetID],tblTargetStatus[TargetFunded],"")</f>
        <v>0</v>
      </c>
      <c r="I12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1" spans="1:9" ht="26.15" customHeight="1">
      <c r="A121" t="s">
        <v>2574</v>
      </c>
      <c r="B121" t="str">
        <f>_xlfn.XLOOKUP(tblChecklist[[#This Row],[TargetID]],tblTargets[TargetID],tblTargets[DisplayName])</f>
        <v>Pantry</v>
      </c>
      <c r="C121" s="2" t="str">
        <f>_xlfn.XLOOKUP(
 tblChecklist[[#This Row],[TargetID]],
 tblTargetStatus[TargetID],
 tblTargetStatus[successors],
 ""
)</f>
        <v>Pantry 1 Lv 1, Pantry 2 Lv 1, Pantry 3 Lv 1, Pantry 4 Lv 1</v>
      </c>
      <c r="D121" s="79" t="str">
        <f>_xlfn.XLOOKUP(tblChecklist[[#This Row],[TargetID]],tblTargets[TargetID],tblTargets[TargetType],"")</f>
        <v>CITADEL</v>
      </c>
      <c r="E121" s="79" t="str">
        <f>_xlfn.XLOOKUP(tblChecklist[[#This Row],[TargetID]],tblTargetStatus[TargetID],tblTargetStatus[ChainAwareStatus],"")</f>
        <v>BLOCKED</v>
      </c>
      <c r="G121" s="82" t="b">
        <v>0</v>
      </c>
      <c r="H121" s="79" t="b">
        <f>_xlfn.XLOOKUP(tblChecklist[[#This Row],[TargetID]],tblTargetStatus[TargetID],tblTargetStatus[TargetFunded],"")</f>
        <v>0</v>
      </c>
      <c r="I12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2" spans="1:9" ht="26.15" customHeight="1">
      <c r="A122" t="s">
        <v>2575</v>
      </c>
      <c r="B122" t="str">
        <f>_xlfn.XLOOKUP(tblChecklist[[#This Row],[TargetID]],tblTargets[TargetID],tblTargets[DisplayName])</f>
        <v>Tavern</v>
      </c>
      <c r="C122" s="2" t="str">
        <f>_xlfn.XLOOKUP(
 tblChecklist[[#This Row],[TargetID]],
 tblTargetStatus[TargetID],
 tblTargetStatus[successors],
 ""
)</f>
        <v>Tavern Lv 1</v>
      </c>
      <c r="D122" s="79" t="str">
        <f>_xlfn.XLOOKUP(tblChecklist[[#This Row],[TargetID]],tblTargets[TargetID],tblTargets[TargetType],"")</f>
        <v>CITADEL</v>
      </c>
      <c r="E122" s="79" t="str">
        <f>_xlfn.XLOOKUP(tblChecklist[[#This Row],[TargetID]],tblTargetStatus[TargetID],tblTargetStatus[ChainAwareStatus],"")</f>
        <v>BLOCKED</v>
      </c>
      <c r="G122" s="82" t="b">
        <v>0</v>
      </c>
      <c r="H122" s="79" t="b">
        <f>_xlfn.XLOOKUP(tblChecklist[[#This Row],[TargetID]],tblTargetStatus[TargetID],tblTargetStatus[TargetFunded],"")</f>
        <v>0</v>
      </c>
      <c r="I12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3" spans="1:9" ht="26.15" customHeight="1">
      <c r="A123" t="s">
        <v>2576</v>
      </c>
      <c r="B123" t="str">
        <f>_xlfn.XLOOKUP(tblChecklist[[#This Row],[TargetID]],tblTargets[TargetID],tblTargets[DisplayName])</f>
        <v>Treasury</v>
      </c>
      <c r="C123" s="2" t="str">
        <f>_xlfn.XLOOKUP(
 tblChecklist[[#This Row],[TargetID]],
 tblTargetStatus[TargetID],
 tblTargetStatus[successors],
 ""
)</f>
        <v>Treasury 1 Lv 1, Treasury 2 Lv 1, Treasury 3 Lv 1</v>
      </c>
      <c r="D123" s="79" t="str">
        <f>_xlfn.XLOOKUP(tblChecklist[[#This Row],[TargetID]],tblTargets[TargetID],tblTargets[TargetType],"")</f>
        <v>CITADEL</v>
      </c>
      <c r="E123" s="79" t="str">
        <f>_xlfn.XLOOKUP(tblChecklist[[#This Row],[TargetID]],tblTargetStatus[TargetID],tblTargetStatus[ChainAwareStatus],"")</f>
        <v>BLOCKED</v>
      </c>
      <c r="G123" s="82" t="b">
        <v>0</v>
      </c>
      <c r="H123" s="79" t="b">
        <f>_xlfn.XLOOKUP(tblChecklist[[#This Row],[TargetID]],tblTargetStatus[TargetID],tblTargetStatus[TargetFunded],"")</f>
        <v>0</v>
      </c>
      <c r="I12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4" spans="1:9" ht="26.15" customHeight="1">
      <c r="A124" t="s">
        <v>6058</v>
      </c>
      <c r="B124" t="str">
        <f>_xlfn.XLOOKUP(tblChecklist[[#This Row],[TargetID]],tblTargets[TargetID],tblTargets[DisplayName])</f>
        <v>Tunnel</v>
      </c>
      <c r="C124" s="2" t="str">
        <f>_xlfn.XLOOKUP(
 tblChecklist[[#This Row],[TargetID]],
 tblTargetStatus[TargetID],
 tblTargetStatus[successors],
 ""
)</f>
        <v>Send Train to Sapporo, Ahead of Time Chapter 2 Finished</v>
      </c>
      <c r="D124" s="79" t="str">
        <f>_xlfn.XLOOKUP(tblChecklist[[#This Row],[TargetID]],tblTargets[TargetID],tblTargets[TargetType],"")</f>
        <v>CITADEL</v>
      </c>
      <c r="E124" s="79" t="str">
        <f>_xlfn.XLOOKUP(tblChecklist[[#This Row],[TargetID]],tblTargetStatus[TargetID],tblTargetStatus[ChainAwareStatus],"")</f>
        <v>BLOCKED</v>
      </c>
      <c r="G124" s="82" t="b">
        <v>0</v>
      </c>
      <c r="H124" s="79" t="b">
        <f>_xlfn.XLOOKUP(tblChecklist[[#This Row],[TargetID]],tblTargetStatus[TargetID],tblTargetStatus[TargetFunded],"")</f>
        <v>0</v>
      </c>
      <c r="I12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5" spans="1:9" ht="26.15" customHeight="1">
      <c r="A125" t="s">
        <v>5749</v>
      </c>
      <c r="B125" t="str">
        <f>_xlfn.XLOOKUP(tblChecklist[[#This Row],[TargetID]],tblTargets[TargetID],tblTargets[DisplayName])</f>
        <v>Alchemist Hall Lv 1</v>
      </c>
      <c r="C125" s="2" t="str">
        <f>_xlfn.XLOOKUP(
 tblChecklist[[#This Row],[TargetID]],
 tblTargetStatus[TargetID],
 tblTargetStatus[successors],
 ""
)</f>
        <v>Alchemist Hall Lv 2, Letter from the Dark Lady Finished</v>
      </c>
      <c r="D125" s="79" t="str">
        <f>_xlfn.XLOOKUP(tblChecklist[[#This Row],[TargetID]],tblTargets[TargetID],tblTargets[TargetType],"")</f>
        <v>COLLECTION</v>
      </c>
      <c r="E125" s="79" t="str">
        <f>_xlfn.XLOOKUP(tblChecklist[[#This Row],[TargetID]],tblTargetStatus[TargetID],tblTargetStatus[ChainAwareStatus],"")</f>
        <v>BLOCKED</v>
      </c>
      <c r="G125" s="82" t="b">
        <v>0</v>
      </c>
      <c r="H125" s="79" t="b">
        <f>_xlfn.XLOOKUP(tblChecklist[[#This Row],[TargetID]],tblTargetStatus[TargetID],tblTargetStatus[TargetFunded],"")</f>
        <v>0</v>
      </c>
      <c r="I12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6" spans="1:9" ht="26.15" customHeight="1">
      <c r="A126" t="s">
        <v>5750</v>
      </c>
      <c r="B126" t="str">
        <f>_xlfn.XLOOKUP(tblChecklist[[#This Row],[TargetID]],tblTargets[TargetID],tblTargets[DisplayName])</f>
        <v>Alchemist Hall Lv 2</v>
      </c>
      <c r="C126" s="2" t="str">
        <f>_xlfn.XLOOKUP(
 tblChecklist[[#This Row],[TargetID]],
 tblTargetStatus[TargetID],
 tblTargetStatus[successors],
 ""
)</f>
        <v/>
      </c>
      <c r="D126" s="79" t="str">
        <f>_xlfn.XLOOKUP(tblChecklist[[#This Row],[TargetID]],tblTargets[TargetID],tblTargets[TargetType],"")</f>
        <v>COLLECTION</v>
      </c>
      <c r="E126" s="79" t="str">
        <f>_xlfn.XLOOKUP(tblChecklist[[#This Row],[TargetID]],tblTargetStatus[TargetID],tblTargetStatus[ChainAwareStatus],"")</f>
        <v>BLOCKED</v>
      </c>
      <c r="G126" s="82" t="b">
        <v>0</v>
      </c>
      <c r="H126" s="79" t="b">
        <f>_xlfn.XLOOKUP(tblChecklist[[#This Row],[TargetID]],tblTargetStatus[TargetID],tblTargetStatus[TargetFunded],"")</f>
        <v>0</v>
      </c>
      <c r="I1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7" spans="1:9" ht="26.15" customHeight="1">
      <c r="A127" t="s">
        <v>5751</v>
      </c>
      <c r="B127" t="str">
        <f>_xlfn.XLOOKUP(tblChecklist[[#This Row],[TargetID]],tblTargets[TargetID],tblTargets[DisplayName])</f>
        <v>Alchemist Hall Lv 1</v>
      </c>
      <c r="C127" s="2" t="str">
        <f>_xlfn.XLOOKUP(
 tblChecklist[[#This Row],[TargetID]],
 tblTargetStatus[TargetID],
 tblTargetStatus[successors],
 ""
)</f>
        <v>Alchemist Hall Lv 2, Letter from the Dark Lady Finished</v>
      </c>
      <c r="D127" s="79" t="str">
        <f>_xlfn.XLOOKUP(tblChecklist[[#This Row],[TargetID]],tblTargets[TargetID],tblTargets[TargetType],"")</f>
        <v>COLLECTION</v>
      </c>
      <c r="E127" s="79" t="str">
        <f>_xlfn.XLOOKUP(tblChecklist[[#This Row],[TargetID]],tblTargetStatus[TargetID],tblTargetStatus[ChainAwareStatus],"")</f>
        <v>BLOCKED</v>
      </c>
      <c r="G127" s="82" t="b">
        <v>0</v>
      </c>
      <c r="H127" s="79" t="b">
        <f>_xlfn.XLOOKUP(tblChecklist[[#This Row],[TargetID]],tblTargetStatus[TargetID],tblTargetStatus[TargetFunded],"")</f>
        <v>0</v>
      </c>
      <c r="I12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8" spans="1:9" ht="26.15" customHeight="1">
      <c r="A128" t="s">
        <v>5752</v>
      </c>
      <c r="B128" t="str">
        <f>_xlfn.XLOOKUP(tblChecklist[[#This Row],[TargetID]],tblTargets[TargetID],tblTargets[DisplayName])</f>
        <v>Alchemist Hall Lv 2</v>
      </c>
      <c r="C128" s="2" t="str">
        <f>_xlfn.XLOOKUP(
 tblChecklist[[#This Row],[TargetID]],
 tblTargetStatus[TargetID],
 tblTargetStatus[successors],
 ""
)</f>
        <v/>
      </c>
      <c r="D128" s="79" t="str">
        <f>_xlfn.XLOOKUP(tblChecklist[[#This Row],[TargetID]],tblTargets[TargetID],tblTargets[TargetType],"")</f>
        <v>COLLECTION</v>
      </c>
      <c r="E128" s="79" t="str">
        <f>_xlfn.XLOOKUP(tblChecklist[[#This Row],[TargetID]],tblTargetStatus[TargetID],tblTargetStatus[ChainAwareStatus],"")</f>
        <v>BLOCKED</v>
      </c>
      <c r="G128" s="82" t="b">
        <v>0</v>
      </c>
      <c r="H128" s="79" t="b">
        <f>_xlfn.XLOOKUP(tblChecklist[[#This Row],[TargetID]],tblTargetStatus[TargetID],tblTargetStatus[TargetFunded],"")</f>
        <v>0</v>
      </c>
      <c r="I12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9" spans="1:9" ht="26.15" customHeight="1">
      <c r="A129" t="s">
        <v>5753</v>
      </c>
      <c r="B129" t="str">
        <f>_xlfn.XLOOKUP(tblChecklist[[#This Row],[TargetID]],tblTargets[TargetID],tblTargets[DisplayName])</f>
        <v>Alchemist Hall Lv 1</v>
      </c>
      <c r="C129" s="2" t="str">
        <f>_xlfn.XLOOKUP(
 tblChecklist[[#This Row],[TargetID]],
 tblTargetStatus[TargetID],
 tblTargetStatus[successors],
 ""
)</f>
        <v>Alchemist Hall Lv 2, Letter from the Dark Lady Finished</v>
      </c>
      <c r="D129" s="79" t="str">
        <f>_xlfn.XLOOKUP(tblChecklist[[#This Row],[TargetID]],tblTargets[TargetID],tblTargets[TargetType],"")</f>
        <v>COLLECTION</v>
      </c>
      <c r="E129" s="79" t="str">
        <f>_xlfn.XLOOKUP(tblChecklist[[#This Row],[TargetID]],tblTargetStatus[TargetID],tblTargetStatus[ChainAwareStatus],"")</f>
        <v>BLOCKED</v>
      </c>
      <c r="G129" s="82" t="b">
        <v>0</v>
      </c>
      <c r="H129" s="79" t="b">
        <f>_xlfn.XLOOKUP(tblChecklist[[#This Row],[TargetID]],tblTargetStatus[TargetID],tblTargetStatus[TargetFunded],"")</f>
        <v>0</v>
      </c>
      <c r="I12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0" spans="1:9" ht="26.15" customHeight="1">
      <c r="A130" t="s">
        <v>5754</v>
      </c>
      <c r="B130" t="str">
        <f>_xlfn.XLOOKUP(tblChecklist[[#This Row],[TargetID]],tblTargets[TargetID],tblTargets[DisplayName])</f>
        <v>Alchemist Hall Lv 2</v>
      </c>
      <c r="C130" s="2" t="str">
        <f>_xlfn.XLOOKUP(
 tblChecklist[[#This Row],[TargetID]],
 tblTargetStatus[TargetID],
 tblTargetStatus[successors],
 ""
)</f>
        <v/>
      </c>
      <c r="D130" s="79" t="str">
        <f>_xlfn.XLOOKUP(tblChecklist[[#This Row],[TargetID]],tblTargets[TargetID],tblTargets[TargetType],"")</f>
        <v>COLLECTION</v>
      </c>
      <c r="E130" s="79" t="str">
        <f>_xlfn.XLOOKUP(tblChecklist[[#This Row],[TargetID]],tblTargetStatus[TargetID],tblTargetStatus[ChainAwareStatus],"")</f>
        <v>BLOCKED</v>
      </c>
      <c r="G130" s="82" t="b">
        <v>0</v>
      </c>
      <c r="H130" s="79" t="b">
        <f>_xlfn.XLOOKUP(tblChecklist[[#This Row],[TargetID]],tblTargetStatus[TargetID],tblTargetStatus[TargetFunded],"")</f>
        <v>0</v>
      </c>
      <c r="I13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1" spans="1:9" ht="26.15" customHeight="1">
      <c r="A131" t="s">
        <v>2577</v>
      </c>
      <c r="B131" t="str">
        <f>_xlfn.XLOOKUP(tblChecklist[[#This Row],[TargetID]],tblTargets[TargetID],tblTargets[DisplayName])</f>
        <v>Armory 1 Lv 1</v>
      </c>
      <c r="C131" s="2" t="str">
        <f>_xlfn.XLOOKUP(
 tblChecklist[[#This Row],[TargetID]],
 tblTargetStatus[TargetID],
 tblTargetStatus[successors],
 ""
)</f>
        <v>Armory 1 Lv 2</v>
      </c>
      <c r="D131" s="79" t="str">
        <f>_xlfn.XLOOKUP(tblChecklist[[#This Row],[TargetID]],tblTargets[TargetID],tblTargets[TargetType],"")</f>
        <v>COLLECTION</v>
      </c>
      <c r="E131" s="79" t="str">
        <f>_xlfn.XLOOKUP(tblChecklist[[#This Row],[TargetID]],tblTargetStatus[TargetID],tblTargetStatus[ChainAwareStatus],"")</f>
        <v>BLOCKED</v>
      </c>
      <c r="G131" s="82" t="b">
        <v>0</v>
      </c>
      <c r="H131" s="79" t="b">
        <f>_xlfn.XLOOKUP(tblChecklist[[#This Row],[TargetID]],tblTargetStatus[TargetID],tblTargetStatus[TargetFunded],"")</f>
        <v>0</v>
      </c>
      <c r="I13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2" spans="1:9" ht="26.15" customHeight="1">
      <c r="A132" t="s">
        <v>2579</v>
      </c>
      <c r="B132" t="str">
        <f>_xlfn.XLOOKUP(tblChecklist[[#This Row],[TargetID]],tblTargets[TargetID],tblTargets[DisplayName])</f>
        <v>Armory 1 Lv 2</v>
      </c>
      <c r="C132" s="2" t="str">
        <f>_xlfn.XLOOKUP(
 tblChecklist[[#This Row],[TargetID]],
 tblTargetStatus[TargetID],
 tblTargetStatus[successors],
 ""
)</f>
        <v>Armory 1 Lv 3</v>
      </c>
      <c r="D132" s="79" t="str">
        <f>_xlfn.XLOOKUP(tblChecklist[[#This Row],[TargetID]],tblTargets[TargetID],tblTargets[TargetType],"")</f>
        <v>COLLECTION</v>
      </c>
      <c r="E132" s="79" t="str">
        <f>_xlfn.XLOOKUP(tblChecklist[[#This Row],[TargetID]],tblTargetStatus[TargetID],tblTargetStatus[ChainAwareStatus],"")</f>
        <v>BLOCKED</v>
      </c>
      <c r="G132" s="82" t="b">
        <v>0</v>
      </c>
      <c r="H132" s="79" t="b">
        <f>_xlfn.XLOOKUP(tblChecklist[[#This Row],[TargetID]],tblTargetStatus[TargetID],tblTargetStatus[TargetFunded],"")</f>
        <v>0</v>
      </c>
      <c r="I13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3" spans="1:9" ht="26.15" customHeight="1">
      <c r="A133" t="s">
        <v>2580</v>
      </c>
      <c r="B133" t="str">
        <f>_xlfn.XLOOKUP(tblChecklist[[#This Row],[TargetID]],tblTargets[TargetID],tblTargets[DisplayName])</f>
        <v>Armory 1 Lv 3</v>
      </c>
      <c r="C133" s="2" t="str">
        <f>_xlfn.XLOOKUP(
 tblChecklist[[#This Row],[TargetID]],
 tblTargetStatus[TargetID],
 tblTargetStatus[successors],
 ""
)</f>
        <v/>
      </c>
      <c r="D133" s="79" t="str">
        <f>_xlfn.XLOOKUP(tblChecklist[[#This Row],[TargetID]],tblTargets[TargetID],tblTargets[TargetType],"")</f>
        <v>COLLECTION</v>
      </c>
      <c r="E133" s="79" t="str">
        <f>_xlfn.XLOOKUP(tblChecklist[[#This Row],[TargetID]],tblTargetStatus[TargetID],tblTargetStatus[ChainAwareStatus],"")</f>
        <v>BLOCKED</v>
      </c>
      <c r="G133" s="82" t="b">
        <v>0</v>
      </c>
      <c r="H133" s="79" t="b">
        <f>_xlfn.XLOOKUP(tblChecklist[[#This Row],[TargetID]],tblTargetStatus[TargetID],tblTargetStatus[TargetFunded],"")</f>
        <v>0</v>
      </c>
      <c r="I13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4" spans="1:9" ht="26.15" customHeight="1">
      <c r="A134" t="s">
        <v>2581</v>
      </c>
      <c r="B134" t="str">
        <f>_xlfn.XLOOKUP(tblChecklist[[#This Row],[TargetID]],tblTargets[TargetID],tblTargets[DisplayName])</f>
        <v>Armory 2 Lv 1</v>
      </c>
      <c r="C134" s="2" t="str">
        <f>_xlfn.XLOOKUP(
 tblChecklist[[#This Row],[TargetID]],
 tblTargetStatus[TargetID],
 tblTargetStatus[successors],
 ""
)</f>
        <v/>
      </c>
      <c r="D134" s="79" t="str">
        <f>_xlfn.XLOOKUP(tblChecklist[[#This Row],[TargetID]],tblTargets[TargetID],tblTargets[TargetType],"")</f>
        <v>COLLECTION</v>
      </c>
      <c r="E134" s="79" t="str">
        <f>_xlfn.XLOOKUP(tblChecklist[[#This Row],[TargetID]],tblTargetStatus[TargetID],tblTargetStatus[ChainAwareStatus],"")</f>
        <v>BLOCKED</v>
      </c>
      <c r="G134" s="82" t="b">
        <v>0</v>
      </c>
      <c r="H134" s="79" t="b">
        <f>_xlfn.XLOOKUP(tblChecklist[[#This Row],[TargetID]],tblTargetStatus[TargetID],tblTargetStatus[TargetFunded],"")</f>
        <v>0</v>
      </c>
      <c r="I13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5" spans="1:9" ht="26.15" customHeight="1">
      <c r="A135" t="s">
        <v>2582</v>
      </c>
      <c r="B135" t="str">
        <f>_xlfn.XLOOKUP(tblChecklist[[#This Row],[TargetID]],tblTargets[TargetID],tblTargets[DisplayName])</f>
        <v>Attic Lv 1</v>
      </c>
      <c r="C135" s="2" t="str">
        <f>_xlfn.XLOOKUP(
 tblChecklist[[#This Row],[TargetID]],
 tblTargetStatus[TargetID],
 tblTargetStatus[successors],
 ""
)</f>
        <v>Attic Lv 2</v>
      </c>
      <c r="D135" s="79" t="str">
        <f>_xlfn.XLOOKUP(tblChecklist[[#This Row],[TargetID]],tblTargets[TargetID],tblTargets[TargetType],"")</f>
        <v>COLLECTION</v>
      </c>
      <c r="E135" s="79" t="str">
        <f>_xlfn.XLOOKUP(tblChecklist[[#This Row],[TargetID]],tblTargetStatus[TargetID],tblTargetStatus[ChainAwareStatus],"")</f>
        <v>BLOCKED</v>
      </c>
      <c r="G135" s="82" t="b">
        <v>0</v>
      </c>
      <c r="H135" s="79" t="b">
        <f>_xlfn.XLOOKUP(tblChecklist[[#This Row],[TargetID]],tblTargetStatus[TargetID],tblTargetStatus[TargetFunded],"")</f>
        <v>0</v>
      </c>
      <c r="I13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6" spans="1:9" ht="26.15" customHeight="1">
      <c r="A136" t="s">
        <v>2583</v>
      </c>
      <c r="B136" t="str">
        <f>_xlfn.XLOOKUP(tblChecklist[[#This Row],[TargetID]],tblTargets[TargetID],tblTargets[DisplayName])</f>
        <v>Attic Lv 2</v>
      </c>
      <c r="C136" s="2" t="str">
        <f>_xlfn.XLOOKUP(
 tblChecklist[[#This Row],[TargetID]],
 tblTargetStatus[TargetID],
 tblTargetStatus[successors],
 ""
)</f>
        <v>Attic Lv 3</v>
      </c>
      <c r="D136" s="79" t="str">
        <f>_xlfn.XLOOKUP(tblChecklist[[#This Row],[TargetID]],tblTargets[TargetID],tblTargets[TargetType],"")</f>
        <v>COLLECTION</v>
      </c>
      <c r="E136" s="79" t="str">
        <f>_xlfn.XLOOKUP(tblChecklist[[#This Row],[TargetID]],tblTargetStatus[TargetID],tblTargetStatus[ChainAwareStatus],"")</f>
        <v>BLOCKED</v>
      </c>
      <c r="G136" s="82" t="b">
        <v>0</v>
      </c>
      <c r="H136" s="79" t="b">
        <f>_xlfn.XLOOKUP(tblChecklist[[#This Row],[TargetID]],tblTargetStatus[TargetID],tblTargetStatus[TargetFunded],"")</f>
        <v>0</v>
      </c>
      <c r="I13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7" spans="1:9" ht="26.15" customHeight="1">
      <c r="A137" t="s">
        <v>2584</v>
      </c>
      <c r="B137" t="str">
        <f>_xlfn.XLOOKUP(tblChecklist[[#This Row],[TargetID]],tblTargets[TargetID],tblTargets[DisplayName])</f>
        <v>Attic Lv 3</v>
      </c>
      <c r="C137" s="2" t="str">
        <f>_xlfn.XLOOKUP(
 tblChecklist[[#This Row],[TargetID]],
 tblTargetStatus[TargetID],
 tblTargetStatus[successors],
 ""
)</f>
        <v>Attic Lv 4</v>
      </c>
      <c r="D137" s="79" t="str">
        <f>_xlfn.XLOOKUP(tblChecklist[[#This Row],[TargetID]],tblTargets[TargetID],tblTargets[TargetType],"")</f>
        <v>COLLECTION</v>
      </c>
      <c r="E137" s="79" t="str">
        <f>_xlfn.XLOOKUP(tblChecklist[[#This Row],[TargetID]],tblTargetStatus[TargetID],tblTargetStatus[ChainAwareStatus],"")</f>
        <v>BLOCKED</v>
      </c>
      <c r="G137" s="82" t="b">
        <v>0</v>
      </c>
      <c r="H137" s="79" t="b">
        <f>_xlfn.XLOOKUP(tblChecklist[[#This Row],[TargetID]],tblTargetStatus[TargetID],tblTargetStatus[TargetFunded],"")</f>
        <v>0</v>
      </c>
      <c r="I13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8" spans="1:9" ht="26.15" customHeight="1">
      <c r="A138" t="s">
        <v>2585</v>
      </c>
      <c r="B138" t="str">
        <f>_xlfn.XLOOKUP(tblChecklist[[#This Row],[TargetID]],tblTargets[TargetID],tblTargets[DisplayName])</f>
        <v>Attic Lv 4</v>
      </c>
      <c r="C138" s="2" t="str">
        <f>_xlfn.XLOOKUP(
 tblChecklist[[#This Row],[TargetID]],
 tblTargetStatus[TargetID],
 tblTargetStatus[successors],
 ""
)</f>
        <v>Attic Lv 5</v>
      </c>
      <c r="D138" s="79" t="str">
        <f>_xlfn.XLOOKUP(tblChecklist[[#This Row],[TargetID]],tblTargets[TargetID],tblTargets[TargetType],"")</f>
        <v>COLLECTION</v>
      </c>
      <c r="E138" s="79" t="str">
        <f>_xlfn.XLOOKUP(tblChecklist[[#This Row],[TargetID]],tblTargetStatus[TargetID],tblTargetStatus[ChainAwareStatus],"")</f>
        <v>BLOCKED</v>
      </c>
      <c r="G138" s="82" t="b">
        <v>0</v>
      </c>
      <c r="H138" s="79" t="b">
        <f>_xlfn.XLOOKUP(tblChecklist[[#This Row],[TargetID]],tblTargetStatus[TargetID],tblTargetStatus[TargetFunded],"")</f>
        <v>0</v>
      </c>
      <c r="I13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9" spans="1:9" ht="26.15" customHeight="1">
      <c r="A139" t="s">
        <v>2586</v>
      </c>
      <c r="B139" t="str">
        <f>_xlfn.XLOOKUP(tblChecklist[[#This Row],[TargetID]],tblTargets[TargetID],tblTargets[DisplayName])</f>
        <v>Attic Lv 5</v>
      </c>
      <c r="C139" s="2" t="str">
        <f>_xlfn.XLOOKUP(
 tblChecklist[[#This Row],[TargetID]],
 tblTargetStatus[TargetID],
 tblTargetStatus[successors],
 ""
)</f>
        <v/>
      </c>
      <c r="D139" s="79" t="str">
        <f>_xlfn.XLOOKUP(tblChecklist[[#This Row],[TargetID]],tblTargets[TargetID],tblTargets[TargetType],"")</f>
        <v>COLLECTION</v>
      </c>
      <c r="E139" s="79" t="str">
        <f>_xlfn.XLOOKUP(tblChecklist[[#This Row],[TargetID]],tblTargetStatus[TargetID],tblTargetStatus[ChainAwareStatus],"")</f>
        <v>BLOCKED</v>
      </c>
      <c r="G139" s="82" t="b">
        <v>0</v>
      </c>
      <c r="H139" s="79" t="b">
        <f>_xlfn.XLOOKUP(tblChecklist[[#This Row],[TargetID]],tblTargetStatus[TargetID],tblTargetStatus[TargetFunded],"")</f>
        <v>0</v>
      </c>
      <c r="I13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0" spans="1:9" ht="26.15" customHeight="1">
      <c r="A140" t="s">
        <v>5631</v>
      </c>
      <c r="B140" t="str">
        <f>_xlfn.XLOOKUP(tblChecklist[[#This Row],[TargetID]],tblTargets[TargetID],tblTargets[DisplayName])</f>
        <v>Bone Dragon Lv 1</v>
      </c>
      <c r="C140" s="2" t="str">
        <f>_xlfn.XLOOKUP(
 tblChecklist[[#This Row],[TargetID]],
 tblTargetStatus[TargetID],
 tblTargetStatus[successors],
 ""
)</f>
        <v>Bone Dragon Lv 2, Letter from the Dark Lady Finished</v>
      </c>
      <c r="D140" s="79" t="str">
        <f>_xlfn.XLOOKUP(tblChecklist[[#This Row],[TargetID]],tblTargets[TargetID],tblTargets[TargetType],"")</f>
        <v>COLLECTION</v>
      </c>
      <c r="E140" s="79" t="str">
        <f>_xlfn.XLOOKUP(tblChecklist[[#This Row],[TargetID]],tblTargetStatus[TargetID],tblTargetStatus[ChainAwareStatus],"")</f>
        <v>BLOCKED</v>
      </c>
      <c r="G140" s="82" t="b">
        <v>0</v>
      </c>
      <c r="H140" s="79" t="b">
        <f>_xlfn.XLOOKUP(tblChecklist[[#This Row],[TargetID]],tblTargetStatus[TargetID],tblTargetStatus[TargetFunded],"")</f>
        <v>0</v>
      </c>
      <c r="I14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1" spans="1:9" ht="26.15" customHeight="1">
      <c r="A141" t="s">
        <v>5632</v>
      </c>
      <c r="B141" t="str">
        <f>_xlfn.XLOOKUP(tblChecklist[[#This Row],[TargetID]],tblTargets[TargetID],tblTargets[DisplayName])</f>
        <v>Bone Dragon Lv 2</v>
      </c>
      <c r="C141" s="2" t="str">
        <f>_xlfn.XLOOKUP(
 tblChecklist[[#This Row],[TargetID]],
 tblTargetStatus[TargetID],
 tblTargetStatus[successors],
 ""
)</f>
        <v/>
      </c>
      <c r="D141" s="79" t="str">
        <f>_xlfn.XLOOKUP(tblChecklist[[#This Row],[TargetID]],tblTargets[TargetID],tblTargets[TargetType],"")</f>
        <v>COLLECTION</v>
      </c>
      <c r="E141" s="79" t="str">
        <f>_xlfn.XLOOKUP(tblChecklist[[#This Row],[TargetID]],tblTargetStatus[TargetID],tblTargetStatus[ChainAwareStatus],"")</f>
        <v>BLOCKED</v>
      </c>
      <c r="G141" s="82" t="b">
        <v>0</v>
      </c>
      <c r="H141" s="79" t="b">
        <f>_xlfn.XLOOKUP(tblChecklist[[#This Row],[TargetID]],tblTargetStatus[TargetID],tblTargetStatus[TargetFunded],"")</f>
        <v>0</v>
      </c>
      <c r="I14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2" spans="1:9" ht="26.15" customHeight="1">
      <c r="A142" t="s">
        <v>5573</v>
      </c>
      <c r="B142" t="str">
        <f>_xlfn.XLOOKUP(tblChecklist[[#This Row],[TargetID]],tblTargets[TargetID],tblTargets[DisplayName])</f>
        <v>Broken Lever</v>
      </c>
      <c r="C142" s="2" t="str">
        <f>_xlfn.XLOOKUP(
 tblChecklist[[#This Row],[TargetID]],
 tblTargetStatus[TargetID],
 tblTargetStatus[successors],
 ""
)</f>
        <v>Collapsed Staircase, Letter from the Dark Lady Finished</v>
      </c>
      <c r="D142" s="79" t="str">
        <f>_xlfn.XLOOKUP(tblChecklist[[#This Row],[TargetID]],tblTargets[TargetID],tblTargets[TargetType],"")</f>
        <v>COLLECTION</v>
      </c>
      <c r="E142" s="79" t="str">
        <f>_xlfn.XLOOKUP(tblChecklist[[#This Row],[TargetID]],tblTargetStatus[TargetID],tblTargetStatus[ChainAwareStatus],"")</f>
        <v>BLOCKED</v>
      </c>
      <c r="G142" s="82" t="b">
        <v>0</v>
      </c>
      <c r="H142" s="79" t="b">
        <f>_xlfn.XLOOKUP(tblChecklist[[#This Row],[TargetID]],tblTargetStatus[TargetID],tblTargetStatus[TargetFunded],"")</f>
        <v>0</v>
      </c>
      <c r="I14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3" spans="1:9" ht="26.15" customHeight="1">
      <c r="A143" t="s">
        <v>5655</v>
      </c>
      <c r="B143" t="str">
        <f>_xlfn.XLOOKUP(tblChecklist[[#This Row],[TargetID]],tblTargets[TargetID],tblTargets[DisplayName])</f>
        <v>Broken Minecart</v>
      </c>
      <c r="C143" s="2" t="str">
        <f>_xlfn.XLOOKUP(
 tblChecklist[[#This Row],[TargetID]],
 tblTargetStatus[TargetID],
 tblTargetStatus[successors],
 ""
)</f>
        <v>Crystal Cave, Letter from the Dark Lady Finished</v>
      </c>
      <c r="D143" s="79" t="str">
        <f>_xlfn.XLOOKUP(tblChecklist[[#This Row],[TargetID]],tblTargets[TargetID],tblTargets[TargetType],"")</f>
        <v>COLLECTION</v>
      </c>
      <c r="E143" s="79" t="str">
        <f>_xlfn.XLOOKUP(tblChecklist[[#This Row],[TargetID]],tblTargetStatus[TargetID],tblTargetStatus[ChainAwareStatus],"")</f>
        <v>BLOCKED</v>
      </c>
      <c r="G143" s="82" t="b">
        <v>0</v>
      </c>
      <c r="H143" s="79" t="b">
        <f>_xlfn.XLOOKUP(tblChecklist[[#This Row],[TargetID]],tblTargetStatus[TargetID],tblTargetStatus[TargetFunded],"")</f>
        <v>0</v>
      </c>
      <c r="I14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4" spans="1:9" ht="26.15" customHeight="1">
      <c r="A144" t="s">
        <v>5767</v>
      </c>
      <c r="B144" t="str">
        <f>_xlfn.XLOOKUP(tblChecklist[[#This Row],[TargetID]],tblTargets[TargetID],tblTargets[DisplayName])</f>
        <v>Cave-in Alchemist Hall</v>
      </c>
      <c r="C144" s="2" t="str">
        <f>_xlfn.XLOOKUP(
 tblChecklist[[#This Row],[TargetID]],
 tblTargetStatus[TargetID],
 tblTargetStatus[successors],
 ""
)</f>
        <v>Alchemist Hall Lv 1, Alchemist Hall Lv 1, Alchemist Hall Lv 1, Letter from the Dark Lady Finished</v>
      </c>
      <c r="D144" s="79" t="str">
        <f>_xlfn.XLOOKUP(tblChecklist[[#This Row],[TargetID]],tblTargets[TargetID],tblTargets[TargetType],"")</f>
        <v>COLLECTION</v>
      </c>
      <c r="E144" s="79" t="str">
        <f>_xlfn.XLOOKUP(tblChecklist[[#This Row],[TargetID]],tblTargetStatus[TargetID],tblTargetStatus[ChainAwareStatus],"")</f>
        <v>BLOCKED</v>
      </c>
      <c r="G144" s="82" t="b">
        <v>0</v>
      </c>
      <c r="H144" s="79" t="b">
        <f>_xlfn.XLOOKUP(tblChecklist[[#This Row],[TargetID]],tblTargetStatus[TargetID],tblTargetStatus[TargetFunded],"")</f>
        <v>0</v>
      </c>
      <c r="I14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5" spans="1:9" ht="26.15" customHeight="1">
      <c r="A145" t="s">
        <v>5654</v>
      </c>
      <c r="B145" t="str">
        <f>_xlfn.XLOOKUP(tblChecklist[[#This Row],[TargetID]],tblTargets[TargetID],tblTargets[DisplayName])</f>
        <v>Cave-in Bone Dragon</v>
      </c>
      <c r="C145" s="2" t="str">
        <f>_xlfn.XLOOKUP(
 tblChecklist[[#This Row],[TargetID]],
 tblTargetStatus[TargetID],
 tblTargetStatus[successors],
 ""
)</f>
        <v>Bone Dragon Lv 1, Letter from the Dark Lady Finished</v>
      </c>
      <c r="D145" s="79" t="str">
        <f>_xlfn.XLOOKUP(tblChecklist[[#This Row],[TargetID]],tblTargets[TargetID],tblTargets[TargetType],"")</f>
        <v>COLLECTION</v>
      </c>
      <c r="E145" s="79" t="str">
        <f>_xlfn.XLOOKUP(tblChecklist[[#This Row],[TargetID]],tblTargetStatus[TargetID],tblTargetStatus[ChainAwareStatus],"")</f>
        <v>BLOCKED</v>
      </c>
      <c r="G145" s="82" t="b">
        <v>0</v>
      </c>
      <c r="H145" s="79" t="b">
        <f>_xlfn.XLOOKUP(tblChecklist[[#This Row],[TargetID]],tblTargetStatus[TargetID],tblTargetStatus[TargetFunded],"")</f>
        <v>0</v>
      </c>
      <c r="I1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6" spans="1:9" ht="26.15" customHeight="1">
      <c r="A146" t="s">
        <v>5652</v>
      </c>
      <c r="B146" t="str">
        <f>_xlfn.XLOOKUP(tblChecklist[[#This Row],[TargetID]],tblTargets[TargetID],tblTargets[DisplayName])</f>
        <v>Collapsed Staircase</v>
      </c>
      <c r="C146" s="2" t="str">
        <f>_xlfn.XLOOKUP(
 tblChecklist[[#This Row],[TargetID]],
 tblTargetStatus[TargetID],
 tblTargetStatus[successors],
 ""
)</f>
        <v>Cave-in Alchemist Hall, Cave-in Bone Dragon, Rotten Ladder, Collection Staircase, Letter from the Dark Lady Finished</v>
      </c>
      <c r="D146" s="79" t="str">
        <f>_xlfn.XLOOKUP(tblChecklist[[#This Row],[TargetID]],tblTargets[TargetID],tblTargets[TargetType],"")</f>
        <v>COLLECTION</v>
      </c>
      <c r="E146" s="79" t="str">
        <f>_xlfn.XLOOKUP(tblChecklist[[#This Row],[TargetID]],tblTargetStatus[TargetID],tblTargetStatus[ChainAwareStatus],"")</f>
        <v>BLOCKED</v>
      </c>
      <c r="G146" s="82" t="b">
        <v>0</v>
      </c>
      <c r="H146" s="79" t="b">
        <f>_xlfn.XLOOKUP(tblChecklist[[#This Row],[TargetID]],tblTargetStatus[TargetID],tblTargetStatus[TargetFunded],"")</f>
        <v>0</v>
      </c>
      <c r="I14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7" spans="1:9" ht="26.15" customHeight="1">
      <c r="A147" t="s">
        <v>2587</v>
      </c>
      <c r="B147" t="str">
        <f>_xlfn.XLOOKUP(tblChecklist[[#This Row],[TargetID]],tblTargets[TargetID],tblTargets[DisplayName])</f>
        <v>Courtyard 1 Lv 1</v>
      </c>
      <c r="C147" s="2" t="str">
        <f>_xlfn.XLOOKUP(
 tblChecklist[[#This Row],[TargetID]],
 tblTargetStatus[TargetID],
 tblTargetStatus[successors],
 ""
)</f>
        <v>Courtyard 1 Lv 2</v>
      </c>
      <c r="D147" s="79" t="str">
        <f>_xlfn.XLOOKUP(tblChecklist[[#This Row],[TargetID]],tblTargets[TargetID],tblTargets[TargetType],"")</f>
        <v>COLLECTION</v>
      </c>
      <c r="E147" s="79" t="str">
        <f>_xlfn.XLOOKUP(tblChecklist[[#This Row],[TargetID]],tblTargetStatus[TargetID],tblTargetStatus[ChainAwareStatus],"")</f>
        <v>BLOCKED</v>
      </c>
      <c r="G147" s="82" t="b">
        <v>0</v>
      </c>
      <c r="H147" s="79" t="b">
        <f>_xlfn.XLOOKUP(tblChecklist[[#This Row],[TargetID]],tblTargetStatus[TargetID],tblTargetStatus[TargetFunded],"")</f>
        <v>0</v>
      </c>
      <c r="I14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8" spans="1:9" ht="26.15" customHeight="1">
      <c r="A148" t="s">
        <v>2588</v>
      </c>
      <c r="B148" t="str">
        <f>_xlfn.XLOOKUP(tblChecklist[[#This Row],[TargetID]],tblTargets[TargetID],tblTargets[DisplayName])</f>
        <v>Courtyard 1 Lv 2</v>
      </c>
      <c r="C148" s="2" t="str">
        <f>_xlfn.XLOOKUP(
 tblChecklist[[#This Row],[TargetID]],
 tblTargetStatus[TargetID],
 tblTargetStatus[successors],
 ""
)</f>
        <v/>
      </c>
      <c r="D148" s="79" t="str">
        <f>_xlfn.XLOOKUP(tblChecklist[[#This Row],[TargetID]],tblTargets[TargetID],tblTargets[TargetType],"")</f>
        <v>COLLECTION</v>
      </c>
      <c r="E148" s="79" t="str">
        <f>_xlfn.XLOOKUP(tblChecklist[[#This Row],[TargetID]],tblTargetStatus[TargetID],tblTargetStatus[ChainAwareStatus],"")</f>
        <v>BLOCKED</v>
      </c>
      <c r="G148" s="82" t="b">
        <v>0</v>
      </c>
      <c r="H148" s="79" t="b">
        <f>_xlfn.XLOOKUP(tblChecklist[[#This Row],[TargetID]],tblTargetStatus[TargetID],tblTargetStatus[TargetFunded],"")</f>
        <v>0</v>
      </c>
      <c r="I14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9" spans="1:9" ht="26.15" customHeight="1">
      <c r="A149" t="s">
        <v>2589</v>
      </c>
      <c r="B149" t="str">
        <f>_xlfn.XLOOKUP(tblChecklist[[#This Row],[TargetID]],tblTargets[TargetID],tblTargets[DisplayName])</f>
        <v>Courtyard 2 Lv 1</v>
      </c>
      <c r="C149" s="2" t="str">
        <f>_xlfn.XLOOKUP(
 tblChecklist[[#This Row],[TargetID]],
 tblTargetStatus[TargetID],
 tblTargetStatus[successors],
 ""
)</f>
        <v/>
      </c>
      <c r="D149" s="79" t="str">
        <f>_xlfn.XLOOKUP(tblChecklist[[#This Row],[TargetID]],tblTargets[TargetID],tblTargets[TargetType],"")</f>
        <v>COLLECTION</v>
      </c>
      <c r="E149" s="79" t="str">
        <f>_xlfn.XLOOKUP(tblChecklist[[#This Row],[TargetID]],tblTargetStatus[TargetID],tblTargetStatus[ChainAwareStatus],"")</f>
        <v>BLOCKED</v>
      </c>
      <c r="G149" s="82" t="b">
        <v>0</v>
      </c>
      <c r="H149" s="79" t="b">
        <f>_xlfn.XLOOKUP(tblChecklist[[#This Row],[TargetID]],tblTargetStatus[TargetID],tblTargetStatus[TargetFunded],"")</f>
        <v>0</v>
      </c>
      <c r="I14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0" spans="1:9" ht="26.15" customHeight="1">
      <c r="A150" t="s">
        <v>5926</v>
      </c>
      <c r="B150" t="str">
        <f>_xlfn.XLOOKUP(tblChecklist[[#This Row],[TargetID]],tblTargets[TargetID],tblTargets[DisplayName])</f>
        <v>Crystal Cave</v>
      </c>
      <c r="C150" s="2" t="str">
        <f>_xlfn.XLOOKUP(
 tblChecklist[[#This Row],[TargetID]],
 tblTargetStatus[TargetID],
 tblTargetStatus[successors],
 ""
)</f>
        <v/>
      </c>
      <c r="D150" s="79" t="str">
        <f>_xlfn.XLOOKUP(tblChecklist[[#This Row],[TargetID]],tblTargets[TargetID],tblTargets[TargetType],"")</f>
        <v>COLLECTION</v>
      </c>
      <c r="E150" s="79" t="str">
        <f>_xlfn.XLOOKUP(tblChecklist[[#This Row],[TargetID]],tblTargetStatus[TargetID],tblTargetStatus[ChainAwareStatus],"")</f>
        <v>BLOCKED</v>
      </c>
      <c r="G150" s="82" t="b">
        <v>0</v>
      </c>
      <c r="H150" s="79" t="b">
        <f>_xlfn.XLOOKUP(tblChecklist[[#This Row],[TargetID]],tblTargetStatus[TargetID],tblTargetStatus[TargetFunded],"")</f>
        <v>0</v>
      </c>
      <c r="I1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1" spans="1:9" ht="26.15" customHeight="1">
      <c r="A151" t="s">
        <v>2590</v>
      </c>
      <c r="B151" t="str">
        <f>_xlfn.XLOOKUP(tblChecklist[[#This Row],[TargetID]],tblTargets[TargetID],tblTargets[DisplayName])</f>
        <v>Gallery 1 Lv 1</v>
      </c>
      <c r="C151" s="2" t="str">
        <f>_xlfn.XLOOKUP(
 tblChecklist[[#This Row],[TargetID]],
 tblTargetStatus[TargetID],
 tblTargetStatus[successors],
 ""
)</f>
        <v>Gallery 1 Lv 2</v>
      </c>
      <c r="D151" s="79" t="str">
        <f>_xlfn.XLOOKUP(tblChecklist[[#This Row],[TargetID]],tblTargets[TargetID],tblTargets[TargetType],"")</f>
        <v>COLLECTION</v>
      </c>
      <c r="E151" s="79" t="str">
        <f>_xlfn.XLOOKUP(tblChecklist[[#This Row],[TargetID]],tblTargetStatus[TargetID],tblTargetStatus[ChainAwareStatus],"")</f>
        <v>BLOCKED</v>
      </c>
      <c r="G151" s="82" t="b">
        <v>0</v>
      </c>
      <c r="H151" s="79" t="b">
        <f>_xlfn.XLOOKUP(tblChecklist[[#This Row],[TargetID]],tblTargetStatus[TargetID],tblTargetStatus[TargetFunded],"")</f>
        <v>0</v>
      </c>
      <c r="I15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2" spans="1:9" ht="26.15" customHeight="1">
      <c r="A152" t="s">
        <v>2591</v>
      </c>
      <c r="B152" t="str">
        <f>_xlfn.XLOOKUP(tblChecklist[[#This Row],[TargetID]],tblTargets[TargetID],tblTargets[DisplayName])</f>
        <v>Gallery 1 Lv 2</v>
      </c>
      <c r="C152" s="2" t="str">
        <f>_xlfn.XLOOKUP(
 tblChecklist[[#This Row],[TargetID]],
 tblTargetStatus[TargetID],
 tblTargetStatus[successors],
 ""
)</f>
        <v>Gallery 1 Lv 3</v>
      </c>
      <c r="D152" s="79" t="str">
        <f>_xlfn.XLOOKUP(tblChecklist[[#This Row],[TargetID]],tblTargets[TargetID],tblTargets[TargetType],"")</f>
        <v>COLLECTION</v>
      </c>
      <c r="E152" s="79" t="str">
        <f>_xlfn.XLOOKUP(tblChecklist[[#This Row],[TargetID]],tblTargetStatus[TargetID],tblTargetStatus[ChainAwareStatus],"")</f>
        <v>BLOCKED</v>
      </c>
      <c r="G152" s="82" t="b">
        <v>0</v>
      </c>
      <c r="H152" s="79" t="b">
        <f>_xlfn.XLOOKUP(tblChecklist[[#This Row],[TargetID]],tblTargetStatus[TargetID],tblTargetStatus[TargetFunded],"")</f>
        <v>0</v>
      </c>
      <c r="I15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3" spans="1:9" ht="26.15" customHeight="1">
      <c r="A153" t="s">
        <v>2592</v>
      </c>
      <c r="B153" t="str">
        <f>_xlfn.XLOOKUP(tblChecklist[[#This Row],[TargetID]],tblTargets[TargetID],tblTargets[DisplayName])</f>
        <v>Gallery 1 Lv 3</v>
      </c>
      <c r="C153" s="2" t="str">
        <f>_xlfn.XLOOKUP(
 tblChecklist[[#This Row],[TargetID]],
 tblTargetStatus[TargetID],
 tblTargetStatus[successors],
 ""
)</f>
        <v>Gallery 1 Lv 4</v>
      </c>
      <c r="D153" s="79" t="str">
        <f>_xlfn.XLOOKUP(tblChecklist[[#This Row],[TargetID]],tblTargets[TargetID],tblTargets[TargetType],"")</f>
        <v>COLLECTION</v>
      </c>
      <c r="E153" s="79" t="str">
        <f>_xlfn.XLOOKUP(tblChecklist[[#This Row],[TargetID]],tblTargetStatus[TargetID],tblTargetStatus[ChainAwareStatus],"")</f>
        <v>BLOCKED</v>
      </c>
      <c r="G153" s="82" t="b">
        <v>0</v>
      </c>
      <c r="H153" s="79" t="b">
        <f>_xlfn.XLOOKUP(tblChecklist[[#This Row],[TargetID]],tblTargetStatus[TargetID],tblTargetStatus[TargetFunded],"")</f>
        <v>0</v>
      </c>
      <c r="I15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4" spans="1:9" ht="26.15" customHeight="1">
      <c r="A154" t="s">
        <v>2593</v>
      </c>
      <c r="B154" t="str">
        <f>_xlfn.XLOOKUP(tblChecklist[[#This Row],[TargetID]],tblTargets[TargetID],tblTargets[DisplayName])</f>
        <v>Gallery 1 Lv 4</v>
      </c>
      <c r="C154" s="2" t="str">
        <f>_xlfn.XLOOKUP(
 tblChecklist[[#This Row],[TargetID]],
 tblTargetStatus[TargetID],
 tblTargetStatus[successors],
 ""
)</f>
        <v>Gallery 1 Lv 5</v>
      </c>
      <c r="D154" s="79" t="str">
        <f>_xlfn.XLOOKUP(tblChecklist[[#This Row],[TargetID]],tblTargets[TargetID],tblTargets[TargetType],"")</f>
        <v>COLLECTION</v>
      </c>
      <c r="E154" s="79" t="str">
        <f>_xlfn.XLOOKUP(tblChecklist[[#This Row],[TargetID]],tblTargetStatus[TargetID],tblTargetStatus[ChainAwareStatus],"")</f>
        <v>BLOCKED</v>
      </c>
      <c r="G154" s="82" t="b">
        <v>0</v>
      </c>
      <c r="H154" s="79" t="b">
        <f>_xlfn.XLOOKUP(tblChecklist[[#This Row],[TargetID]],tblTargetStatus[TargetID],tblTargetStatus[TargetFunded],"")</f>
        <v>0</v>
      </c>
      <c r="I15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5" spans="1:9" ht="26.15" customHeight="1">
      <c r="A155" t="s">
        <v>2594</v>
      </c>
      <c r="B155" t="str">
        <f>_xlfn.XLOOKUP(tblChecklist[[#This Row],[TargetID]],tblTargets[TargetID],tblTargets[DisplayName])</f>
        <v>Gallery 1 Lv 5</v>
      </c>
      <c r="C155" s="2" t="str">
        <f>_xlfn.XLOOKUP(
 tblChecklist[[#This Row],[TargetID]],
 tblTargetStatus[TargetID],
 tblTargetStatus[successors],
 ""
)</f>
        <v/>
      </c>
      <c r="D155" s="79" t="str">
        <f>_xlfn.XLOOKUP(tblChecklist[[#This Row],[TargetID]],tblTargets[TargetID],tblTargets[TargetType],"")</f>
        <v>COLLECTION</v>
      </c>
      <c r="E155" s="79" t="str">
        <f>_xlfn.XLOOKUP(tblChecklist[[#This Row],[TargetID]],tblTargetStatus[TargetID],tblTargetStatus[ChainAwareStatus],"")</f>
        <v>BLOCKED</v>
      </c>
      <c r="G155" s="82" t="b">
        <v>0</v>
      </c>
      <c r="H155" s="79" t="b">
        <f>_xlfn.XLOOKUP(tblChecklist[[#This Row],[TargetID]],tblTargetStatus[TargetID],tblTargetStatus[TargetFunded],"")</f>
        <v>0</v>
      </c>
      <c r="I15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6" spans="1:9" ht="26.15" customHeight="1">
      <c r="A156" t="s">
        <v>2595</v>
      </c>
      <c r="B156" t="str">
        <f>_xlfn.XLOOKUP(tblChecklist[[#This Row],[TargetID]],tblTargets[TargetID],tblTargets[DisplayName])</f>
        <v>Gallery 2 Lv 1</v>
      </c>
      <c r="C156" s="2" t="str">
        <f>_xlfn.XLOOKUP(
 tblChecklist[[#This Row],[TargetID]],
 tblTargetStatus[TargetID],
 tblTargetStatus[successors],
 ""
)</f>
        <v>Gallery 2 Lv 2</v>
      </c>
      <c r="D156" s="79" t="str">
        <f>_xlfn.XLOOKUP(tblChecklist[[#This Row],[TargetID]],tblTargets[TargetID],tblTargets[TargetType],"")</f>
        <v>COLLECTION</v>
      </c>
      <c r="E156" s="79" t="str">
        <f>_xlfn.XLOOKUP(tblChecklist[[#This Row],[TargetID]],tblTargetStatus[TargetID],tblTargetStatus[ChainAwareStatus],"")</f>
        <v>BLOCKED</v>
      </c>
      <c r="G156" s="82" t="b">
        <v>0</v>
      </c>
      <c r="H156" s="79" t="b">
        <f>_xlfn.XLOOKUP(tblChecklist[[#This Row],[TargetID]],tblTargetStatus[TargetID],tblTargetStatus[TargetFunded],"")</f>
        <v>0</v>
      </c>
      <c r="I1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7" spans="1:9" ht="26.15" customHeight="1">
      <c r="A157" t="s">
        <v>2596</v>
      </c>
      <c r="B157" t="str">
        <f>_xlfn.XLOOKUP(tblChecklist[[#This Row],[TargetID]],tblTargets[TargetID],tblTargets[DisplayName])</f>
        <v>Gallery 2 Lv 2</v>
      </c>
      <c r="C157" s="2" t="str">
        <f>_xlfn.XLOOKUP(
 tblChecklist[[#This Row],[TargetID]],
 tblTargetStatus[TargetID],
 tblTargetStatus[successors],
 ""
)</f>
        <v>Gallery 2 Lv 3</v>
      </c>
      <c r="D157" s="79" t="str">
        <f>_xlfn.XLOOKUP(tblChecklist[[#This Row],[TargetID]],tblTargets[TargetID],tblTargets[TargetType],"")</f>
        <v>COLLECTION</v>
      </c>
      <c r="E157" s="79" t="str">
        <f>_xlfn.XLOOKUP(tblChecklist[[#This Row],[TargetID]],tblTargetStatus[TargetID],tblTargetStatus[ChainAwareStatus],"")</f>
        <v>BLOCKED</v>
      </c>
      <c r="G157" s="82" t="b">
        <v>0</v>
      </c>
      <c r="H157" s="79" t="b">
        <f>_xlfn.XLOOKUP(tblChecklist[[#This Row],[TargetID]],tblTargetStatus[TargetID],tblTargetStatus[TargetFunded],"")</f>
        <v>0</v>
      </c>
      <c r="I15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8" spans="1:9" ht="26.15" customHeight="1">
      <c r="A158" t="s">
        <v>2597</v>
      </c>
      <c r="B158" t="str">
        <f>_xlfn.XLOOKUP(tblChecklist[[#This Row],[TargetID]],tblTargets[TargetID],tblTargets[DisplayName])</f>
        <v>Gallery 2 Lv 3</v>
      </c>
      <c r="C158" s="2" t="str">
        <f>_xlfn.XLOOKUP(
 tblChecklist[[#This Row],[TargetID]],
 tblTargetStatus[TargetID],
 tblTargetStatus[successors],
 ""
)</f>
        <v>Gallery 2 Lv 4</v>
      </c>
      <c r="D158" s="79" t="str">
        <f>_xlfn.XLOOKUP(tblChecklist[[#This Row],[TargetID]],tblTargets[TargetID],tblTargets[TargetType],"")</f>
        <v>COLLECTION</v>
      </c>
      <c r="E158" s="79" t="str">
        <f>_xlfn.XLOOKUP(tblChecklist[[#This Row],[TargetID]],tblTargetStatus[TargetID],tblTargetStatus[ChainAwareStatus],"")</f>
        <v>BLOCKED</v>
      </c>
      <c r="G158" s="82" t="b">
        <v>0</v>
      </c>
      <c r="H158" s="79" t="b">
        <f>_xlfn.XLOOKUP(tblChecklist[[#This Row],[TargetID]],tblTargetStatus[TargetID],tblTargetStatus[TargetFunded],"")</f>
        <v>0</v>
      </c>
      <c r="I15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9" spans="1:9" ht="26.15" customHeight="1">
      <c r="A159" t="s">
        <v>2598</v>
      </c>
      <c r="B159" t="str">
        <f>_xlfn.XLOOKUP(tblChecklist[[#This Row],[TargetID]],tblTargets[TargetID],tblTargets[DisplayName])</f>
        <v>Gallery 2 Lv 4</v>
      </c>
      <c r="C159" s="2" t="str">
        <f>_xlfn.XLOOKUP(
 tblChecklist[[#This Row],[TargetID]],
 tblTargetStatus[TargetID],
 tblTargetStatus[successors],
 ""
)</f>
        <v>Gallery 2 Lv 5</v>
      </c>
      <c r="D159" s="79" t="str">
        <f>_xlfn.XLOOKUP(tblChecklist[[#This Row],[TargetID]],tblTargets[TargetID],tblTargets[TargetType],"")</f>
        <v>COLLECTION</v>
      </c>
      <c r="E159" s="79" t="str">
        <f>_xlfn.XLOOKUP(tblChecklist[[#This Row],[TargetID]],tblTargetStatus[TargetID],tblTargetStatus[ChainAwareStatus],"")</f>
        <v>BLOCKED</v>
      </c>
      <c r="G159" s="82" t="b">
        <v>0</v>
      </c>
      <c r="H159" s="79" t="b">
        <f>_xlfn.XLOOKUP(tblChecklist[[#This Row],[TargetID]],tblTargetStatus[TargetID],tblTargetStatus[TargetFunded],"")</f>
        <v>0</v>
      </c>
      <c r="I15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0" spans="1:9" ht="26.15" customHeight="1">
      <c r="A160" t="s">
        <v>2599</v>
      </c>
      <c r="B160" t="str">
        <f>_xlfn.XLOOKUP(tblChecklist[[#This Row],[TargetID]],tblTargets[TargetID],tblTargets[DisplayName])</f>
        <v>Gallery 2 Lv 5</v>
      </c>
      <c r="C160" s="2" t="str">
        <f>_xlfn.XLOOKUP(
 tblChecklist[[#This Row],[TargetID]],
 tblTargetStatus[TargetID],
 tblTargetStatus[successors],
 ""
)</f>
        <v/>
      </c>
      <c r="D160" s="79" t="str">
        <f>_xlfn.XLOOKUP(tblChecklist[[#This Row],[TargetID]],tblTargets[TargetID],tblTargets[TargetType],"")</f>
        <v>COLLECTION</v>
      </c>
      <c r="E160" s="79" t="str">
        <f>_xlfn.XLOOKUP(tblChecklist[[#This Row],[TargetID]],tblTargetStatus[TargetID],tblTargetStatus[ChainAwareStatus],"")</f>
        <v>BLOCKED</v>
      </c>
      <c r="G160" s="82" t="b">
        <v>0</v>
      </c>
      <c r="H160" s="79" t="b">
        <f>_xlfn.XLOOKUP(tblChecklist[[#This Row],[TargetID]],tblTargetStatus[TargetID],tblTargetStatus[TargetFunded],"")</f>
        <v>0</v>
      </c>
      <c r="I16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1" spans="1:9" ht="26.15" customHeight="1">
      <c r="A161" t="s">
        <v>2600</v>
      </c>
      <c r="B161" t="str">
        <f>_xlfn.XLOOKUP(tblChecklist[[#This Row],[TargetID]],tblTargets[TargetID],tblTargets[DisplayName])</f>
        <v>Gallery 3 Lv 1</v>
      </c>
      <c r="C161" s="2" t="str">
        <f>_xlfn.XLOOKUP(
 tblChecklist[[#This Row],[TargetID]],
 tblTargetStatus[TargetID],
 tblTargetStatus[successors],
 ""
)</f>
        <v>Gallery 3 Lv 2</v>
      </c>
      <c r="D161" s="79" t="str">
        <f>_xlfn.XLOOKUP(tblChecklist[[#This Row],[TargetID]],tblTargets[TargetID],tblTargets[TargetType],"")</f>
        <v>COLLECTION</v>
      </c>
      <c r="E161" s="79" t="str">
        <f>_xlfn.XLOOKUP(tblChecklist[[#This Row],[TargetID]],tblTargetStatus[TargetID],tblTargetStatus[ChainAwareStatus],"")</f>
        <v>BLOCKED</v>
      </c>
      <c r="G161" s="82" t="b">
        <v>0</v>
      </c>
      <c r="H161" s="79" t="b">
        <f>_xlfn.XLOOKUP(tblChecklist[[#This Row],[TargetID]],tblTargetStatus[TargetID],tblTargetStatus[TargetFunded],"")</f>
        <v>0</v>
      </c>
      <c r="I16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2" spans="1:9" ht="26.15" customHeight="1">
      <c r="A162" t="s">
        <v>2601</v>
      </c>
      <c r="B162" t="str">
        <f>_xlfn.XLOOKUP(tblChecklist[[#This Row],[TargetID]],tblTargets[TargetID],tblTargets[DisplayName])</f>
        <v>Gallery 3 Lv 2</v>
      </c>
      <c r="C162" s="2" t="str">
        <f>_xlfn.XLOOKUP(
 tblChecklist[[#This Row],[TargetID]],
 tblTargetStatus[TargetID],
 tblTargetStatus[successors],
 ""
)</f>
        <v>Gallery 3 Lv 3</v>
      </c>
      <c r="D162" s="79" t="str">
        <f>_xlfn.XLOOKUP(tblChecklist[[#This Row],[TargetID]],tblTargets[TargetID],tblTargets[TargetType],"")</f>
        <v>COLLECTION</v>
      </c>
      <c r="E162" s="79" t="str">
        <f>_xlfn.XLOOKUP(tblChecklist[[#This Row],[TargetID]],tblTargetStatus[TargetID],tblTargetStatus[ChainAwareStatus],"")</f>
        <v>BLOCKED</v>
      </c>
      <c r="G162" s="82" t="b">
        <v>0</v>
      </c>
      <c r="H162" s="79" t="b">
        <f>_xlfn.XLOOKUP(tblChecklist[[#This Row],[TargetID]],tblTargetStatus[TargetID],tblTargetStatus[TargetFunded],"")</f>
        <v>0</v>
      </c>
      <c r="I16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3" spans="1:9" ht="26.15" customHeight="1">
      <c r="A163" t="s">
        <v>2602</v>
      </c>
      <c r="B163" t="str">
        <f>_xlfn.XLOOKUP(tblChecklist[[#This Row],[TargetID]],tblTargets[TargetID],tblTargets[DisplayName])</f>
        <v>Gallery 3 Lv 3</v>
      </c>
      <c r="C163" s="2" t="str">
        <f>_xlfn.XLOOKUP(
 tblChecklist[[#This Row],[TargetID]],
 tblTargetStatus[TargetID],
 tblTargetStatus[successors],
 ""
)</f>
        <v>Gallery 3 Lv 4</v>
      </c>
      <c r="D163" s="79" t="str">
        <f>_xlfn.XLOOKUP(tblChecklist[[#This Row],[TargetID]],tblTargets[TargetID],tblTargets[TargetType],"")</f>
        <v>COLLECTION</v>
      </c>
      <c r="E163" s="79" t="str">
        <f>_xlfn.XLOOKUP(tblChecklist[[#This Row],[TargetID]],tblTargetStatus[TargetID],tblTargetStatus[ChainAwareStatus],"")</f>
        <v>BLOCKED</v>
      </c>
      <c r="G163" s="82" t="b">
        <v>0</v>
      </c>
      <c r="H163" s="79" t="b">
        <f>_xlfn.XLOOKUP(tblChecklist[[#This Row],[TargetID]],tblTargetStatus[TargetID],tblTargetStatus[TargetFunded],"")</f>
        <v>0</v>
      </c>
      <c r="I16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4" spans="1:9" ht="26.15" customHeight="1">
      <c r="A164" t="s">
        <v>2603</v>
      </c>
      <c r="B164" t="str">
        <f>_xlfn.XLOOKUP(tblChecklist[[#This Row],[TargetID]],tblTargets[TargetID],tblTargets[DisplayName])</f>
        <v>Gallery 3 Lv 4</v>
      </c>
      <c r="C164" s="2" t="str">
        <f>_xlfn.XLOOKUP(
 tblChecklist[[#This Row],[TargetID]],
 tblTargetStatus[TargetID],
 tblTargetStatus[successors],
 ""
)</f>
        <v>Gallery 3 Lv 5</v>
      </c>
      <c r="D164" s="79" t="str">
        <f>_xlfn.XLOOKUP(tblChecklist[[#This Row],[TargetID]],tblTargets[TargetID],tblTargets[TargetType],"")</f>
        <v>COLLECTION</v>
      </c>
      <c r="E164" s="79" t="str">
        <f>_xlfn.XLOOKUP(tblChecklist[[#This Row],[TargetID]],tblTargetStatus[TargetID],tblTargetStatus[ChainAwareStatus],"")</f>
        <v>BLOCKED</v>
      </c>
      <c r="G164" s="82" t="b">
        <v>0</v>
      </c>
      <c r="H164" s="79" t="b">
        <f>_xlfn.XLOOKUP(tblChecklist[[#This Row],[TargetID]],tblTargetStatus[TargetID],tblTargetStatus[TargetFunded],"")</f>
        <v>0</v>
      </c>
      <c r="I16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5" spans="1:9" ht="26.15" customHeight="1">
      <c r="A165" t="s">
        <v>2604</v>
      </c>
      <c r="B165" t="str">
        <f>_xlfn.XLOOKUP(tblChecklist[[#This Row],[TargetID]],tblTargets[TargetID],tblTargets[DisplayName])</f>
        <v>Gallery 3 Lv 5</v>
      </c>
      <c r="C165" s="2" t="str">
        <f>_xlfn.XLOOKUP(
 tblChecklist[[#This Row],[TargetID]],
 tblTargetStatus[TargetID],
 tblTargetStatus[successors],
 ""
)</f>
        <v/>
      </c>
      <c r="D165" s="79" t="str">
        <f>_xlfn.XLOOKUP(tblChecklist[[#This Row],[TargetID]],tblTargets[TargetID],tblTargets[TargetType],"")</f>
        <v>COLLECTION</v>
      </c>
      <c r="E165" s="79" t="str">
        <f>_xlfn.XLOOKUP(tblChecklist[[#This Row],[TargetID]],tblTargetStatus[TargetID],tblTargetStatus[ChainAwareStatus],"")</f>
        <v>BLOCKED</v>
      </c>
      <c r="G165" s="82" t="b">
        <v>0</v>
      </c>
      <c r="H165" s="79" t="b">
        <f>_xlfn.XLOOKUP(tblChecklist[[#This Row],[TargetID]],tblTargetStatus[TargetID],tblTargetStatus[TargetFunded],"")</f>
        <v>0</v>
      </c>
      <c r="I16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6" spans="1:9" ht="26.15" customHeight="1">
      <c r="A166" t="s">
        <v>2605</v>
      </c>
      <c r="B166" t="str">
        <f>_xlfn.XLOOKUP(tblChecklist[[#This Row],[TargetID]],tblTargets[TargetID],tblTargets[DisplayName])</f>
        <v>Historical Library 1 Lv 1</v>
      </c>
      <c r="C166" s="2" t="str">
        <f>_xlfn.XLOOKUP(
 tblChecklist[[#This Row],[TargetID]],
 tblTargetStatus[TargetID],
 tblTargetStatus[successors],
 ""
)</f>
        <v>Historical Library 1 Lv 2</v>
      </c>
      <c r="D166" s="79" t="str">
        <f>_xlfn.XLOOKUP(tblChecklist[[#This Row],[TargetID]],tblTargets[TargetID],tblTargets[TargetType],"")</f>
        <v>COLLECTION</v>
      </c>
      <c r="E166" s="79" t="str">
        <f>_xlfn.XLOOKUP(tblChecklist[[#This Row],[TargetID]],tblTargetStatus[TargetID],tblTargetStatus[ChainAwareStatus],"")</f>
        <v>BLOCKED</v>
      </c>
      <c r="G166" s="82" t="b">
        <v>0</v>
      </c>
      <c r="H166" s="79" t="b">
        <f>_xlfn.XLOOKUP(tblChecklist[[#This Row],[TargetID]],tblTargetStatus[TargetID],tblTargetStatus[TargetFunded],"")</f>
        <v>0</v>
      </c>
      <c r="I16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7" spans="1:9" ht="26.15" customHeight="1">
      <c r="A167" t="s">
        <v>2606</v>
      </c>
      <c r="B167" t="str">
        <f>_xlfn.XLOOKUP(tblChecklist[[#This Row],[TargetID]],tblTargets[TargetID],tblTargets[DisplayName])</f>
        <v>Historical Library 1 Lv 2</v>
      </c>
      <c r="C167" s="2" t="str">
        <f>_xlfn.XLOOKUP(
 tblChecklist[[#This Row],[TargetID]],
 tblTargetStatus[TargetID],
 tblTargetStatus[successors],
 ""
)</f>
        <v>Historical Library 1 Lv 3</v>
      </c>
      <c r="D167" s="79" t="str">
        <f>_xlfn.XLOOKUP(tblChecklist[[#This Row],[TargetID]],tblTargets[TargetID],tblTargets[TargetType],"")</f>
        <v>COLLECTION</v>
      </c>
      <c r="E167" s="79" t="str">
        <f>_xlfn.XLOOKUP(tblChecklist[[#This Row],[TargetID]],tblTargetStatus[TargetID],tblTargetStatus[ChainAwareStatus],"")</f>
        <v>BLOCKED</v>
      </c>
      <c r="F167" s="79">
        <v>20</v>
      </c>
      <c r="G167" s="82" t="b">
        <v>0</v>
      </c>
      <c r="H167" s="79" t="b">
        <f>_xlfn.XLOOKUP(tblChecklist[[#This Row],[TargetID]],tblTargetStatus[TargetID],tblTargetStatus[TargetFunded],"")</f>
        <v>0</v>
      </c>
      <c r="I16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8" spans="1:9" ht="26.15" customHeight="1">
      <c r="A168" t="s">
        <v>2607</v>
      </c>
      <c r="B168" t="str">
        <f>_xlfn.XLOOKUP(tblChecklist[[#This Row],[TargetID]],tblTargets[TargetID],tblTargets[DisplayName])</f>
        <v>Historical Library 1 Lv 3</v>
      </c>
      <c r="C168" s="2" t="str">
        <f>_xlfn.XLOOKUP(
 tblChecklist[[#This Row],[TargetID]],
 tblTargetStatus[TargetID],
 tblTargetStatus[successors],
 ""
)</f>
        <v/>
      </c>
      <c r="D168" s="79" t="str">
        <f>_xlfn.XLOOKUP(tblChecklist[[#This Row],[TargetID]],tblTargets[TargetID],tblTargets[TargetType],"")</f>
        <v>COLLECTION</v>
      </c>
      <c r="E168" s="79" t="str">
        <f>_xlfn.XLOOKUP(tblChecklist[[#This Row],[TargetID]],tblTargetStatus[TargetID],tblTargetStatus[ChainAwareStatus],"")</f>
        <v>BLOCKED</v>
      </c>
      <c r="G168" s="82" t="b">
        <v>0</v>
      </c>
      <c r="H168" s="79" t="b">
        <f>_xlfn.XLOOKUP(tblChecklist[[#This Row],[TargetID]],tblTargetStatus[TargetID],tblTargetStatus[TargetFunded],"")</f>
        <v>0</v>
      </c>
      <c r="I16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9" spans="1:9" ht="26.15" customHeight="1">
      <c r="A169" t="s">
        <v>2608</v>
      </c>
      <c r="B169" t="str">
        <f>_xlfn.XLOOKUP(tblChecklist[[#This Row],[TargetID]],tblTargets[TargetID],tblTargets[DisplayName])</f>
        <v>Historical Library 2 Lv 1</v>
      </c>
      <c r="C169" s="2" t="str">
        <f>_xlfn.XLOOKUP(
 tblChecklist[[#This Row],[TargetID]],
 tblTargetStatus[TargetID],
 tblTargetStatus[successors],
 ""
)</f>
        <v>Historical Library 2 Lv 2</v>
      </c>
      <c r="D169" s="79" t="str">
        <f>_xlfn.XLOOKUP(tblChecklist[[#This Row],[TargetID]],tblTargets[TargetID],tblTargets[TargetType],"")</f>
        <v>COLLECTION</v>
      </c>
      <c r="E169" s="79" t="str">
        <f>_xlfn.XLOOKUP(tblChecklist[[#This Row],[TargetID]],tblTargetStatus[TargetID],tblTargetStatus[ChainAwareStatus],"")</f>
        <v>BLOCKED</v>
      </c>
      <c r="G169" s="82" t="b">
        <v>0</v>
      </c>
      <c r="H169" s="79" t="b">
        <f>_xlfn.XLOOKUP(tblChecklist[[#This Row],[TargetID]],tblTargetStatus[TargetID],tblTargetStatus[TargetFunded],"")</f>
        <v>0</v>
      </c>
      <c r="I16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0" spans="1:9" ht="26.15" customHeight="1">
      <c r="A170" t="s">
        <v>2609</v>
      </c>
      <c r="B170" t="str">
        <f>_xlfn.XLOOKUP(tblChecklist[[#This Row],[TargetID]],tblTargets[TargetID],tblTargets[DisplayName])</f>
        <v>Historical Library 2 Lv 2</v>
      </c>
      <c r="C170" s="2" t="str">
        <f>_xlfn.XLOOKUP(
 tblChecklist[[#This Row],[TargetID]],
 tblTargetStatus[TargetID],
 tblTargetStatus[successors],
 ""
)</f>
        <v>Historical Library 2 Lv 3</v>
      </c>
      <c r="D170" s="79" t="str">
        <f>_xlfn.XLOOKUP(tblChecklist[[#This Row],[TargetID]],tblTargets[TargetID],tblTargets[TargetType],"")</f>
        <v>COLLECTION</v>
      </c>
      <c r="E170" s="79" t="str">
        <f>_xlfn.XLOOKUP(tblChecklist[[#This Row],[TargetID]],tblTargetStatus[TargetID],tblTargetStatus[ChainAwareStatus],"")</f>
        <v>BLOCKED</v>
      </c>
      <c r="G170" s="82" t="b">
        <v>0</v>
      </c>
      <c r="H170" s="79" t="b">
        <f>_xlfn.XLOOKUP(tblChecklist[[#This Row],[TargetID]],tblTargetStatus[TargetID],tblTargetStatus[TargetFunded],"")</f>
        <v>0</v>
      </c>
      <c r="I17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1" spans="1:9" ht="26.15" customHeight="1">
      <c r="A171" t="s">
        <v>2610</v>
      </c>
      <c r="B171" t="str">
        <f>_xlfn.XLOOKUP(tblChecklist[[#This Row],[TargetID]],tblTargets[TargetID],tblTargets[DisplayName])</f>
        <v>Historical Library 2 Lv 3</v>
      </c>
      <c r="C171" s="2" t="str">
        <f>_xlfn.XLOOKUP(
 tblChecklist[[#This Row],[TargetID]],
 tblTargetStatus[TargetID],
 tblTargetStatus[successors],
 ""
)</f>
        <v/>
      </c>
      <c r="D171" s="79" t="str">
        <f>_xlfn.XLOOKUP(tblChecklist[[#This Row],[TargetID]],tblTargets[TargetID],tblTargets[TargetType],"")</f>
        <v>COLLECTION</v>
      </c>
      <c r="E171" s="79" t="str">
        <f>_xlfn.XLOOKUP(tblChecklist[[#This Row],[TargetID]],tblTargetStatus[TargetID],tblTargetStatus[ChainAwareStatus],"")</f>
        <v>BLOCKED</v>
      </c>
      <c r="F171" s="79">
        <v>21</v>
      </c>
      <c r="G171" s="82" t="b">
        <v>0</v>
      </c>
      <c r="H171" s="79" t="b">
        <f>_xlfn.XLOOKUP(tblChecklist[[#This Row],[TargetID]],tblTargetStatus[TargetID],tblTargetStatus[TargetFunded],"")</f>
        <v>0</v>
      </c>
      <c r="I17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2" spans="1:9" ht="26.15" customHeight="1">
      <c r="A172" t="s">
        <v>2611</v>
      </c>
      <c r="B172" t="str">
        <f>_xlfn.XLOOKUP(tblChecklist[[#This Row],[TargetID]],tblTargets[TargetID],tblTargets[DisplayName])</f>
        <v>Horse Lv 1</v>
      </c>
      <c r="C172" s="2" t="str">
        <f>_xlfn.XLOOKUP(
 tblChecklist[[#This Row],[TargetID]],
 tblTargetStatus[TargetID],
 tblTargetStatus[successors],
 ""
)</f>
        <v/>
      </c>
      <c r="D172" s="79" t="str">
        <f>_xlfn.XLOOKUP(tblChecklist[[#This Row],[TargetID]],tblTargets[TargetID],tblTargets[TargetType],"")</f>
        <v>COLLECTION</v>
      </c>
      <c r="E172" s="79" t="str">
        <f>_xlfn.XLOOKUP(tblChecklist[[#This Row],[TargetID]],tblTargetStatus[TargetID],tblTargetStatus[ChainAwareStatus],"")</f>
        <v>BLOCKED</v>
      </c>
      <c r="F172" s="79">
        <v>800</v>
      </c>
      <c r="G172" s="82" t="b">
        <v>0</v>
      </c>
      <c r="H172" s="79" t="b">
        <f>_xlfn.XLOOKUP(tblChecklist[[#This Row],[TargetID]],tblTargetStatus[TargetID],tblTargetStatus[TargetFunded],"")</f>
        <v>0</v>
      </c>
      <c r="I17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3" spans="1:9" ht="26.15" customHeight="1">
      <c r="A173" t="s">
        <v>2612</v>
      </c>
      <c r="B173" t="str">
        <f>_xlfn.XLOOKUP(tblChecklist[[#This Row],[TargetID]],tblTargets[TargetID],tblTargets[DisplayName])</f>
        <v>Kitchen And Buttery 1 Lv 1</v>
      </c>
      <c r="C173" s="2" t="str">
        <f>_xlfn.XLOOKUP(
 tblChecklist[[#This Row],[TargetID]],
 tblTargetStatus[TargetID],
 tblTargetStatus[successors],
 ""
)</f>
        <v>Kitchen And Buttery 1 Lv 2</v>
      </c>
      <c r="D173" s="79" t="str">
        <f>_xlfn.XLOOKUP(tblChecklist[[#This Row],[TargetID]],tblTargets[TargetID],tblTargets[TargetType],"")</f>
        <v>COLLECTION</v>
      </c>
      <c r="E173" s="79" t="str">
        <f>_xlfn.XLOOKUP(tblChecklist[[#This Row],[TargetID]],tblTargetStatus[TargetID],tblTargetStatus[ChainAwareStatus],"")</f>
        <v>BLOCKED</v>
      </c>
      <c r="G173" s="82" t="b">
        <v>0</v>
      </c>
      <c r="H173" s="79" t="b">
        <f>_xlfn.XLOOKUP(tblChecklist[[#This Row],[TargetID]],tblTargetStatus[TargetID],tblTargetStatus[TargetFunded],"")</f>
        <v>0</v>
      </c>
      <c r="I17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4" spans="1:9" ht="26.15" customHeight="1">
      <c r="A174" t="s">
        <v>2613</v>
      </c>
      <c r="B174" t="str">
        <f>_xlfn.XLOOKUP(tblChecklist[[#This Row],[TargetID]],tblTargets[TargetID],tblTargets[DisplayName])</f>
        <v>Kitchen And Buttery 1 Lv 2</v>
      </c>
      <c r="C174" s="2" t="str">
        <f>_xlfn.XLOOKUP(
 tblChecklist[[#This Row],[TargetID]],
 tblTargetStatus[TargetID],
 tblTargetStatus[successors],
 ""
)</f>
        <v>Kitchen And Buttery 1 Lv 3</v>
      </c>
      <c r="D174" s="79" t="str">
        <f>_xlfn.XLOOKUP(tblChecklist[[#This Row],[TargetID]],tblTargets[TargetID],tblTargets[TargetType],"")</f>
        <v>COLLECTION</v>
      </c>
      <c r="E174" s="79" t="str">
        <f>_xlfn.XLOOKUP(tblChecklist[[#This Row],[TargetID]],tblTargetStatus[TargetID],tblTargetStatus[ChainAwareStatus],"")</f>
        <v>BLOCKED</v>
      </c>
      <c r="G174" s="82" t="b">
        <v>0</v>
      </c>
      <c r="H174" s="79" t="b">
        <f>_xlfn.XLOOKUP(tblChecklist[[#This Row],[TargetID]],tblTargetStatus[TargetID],tblTargetStatus[TargetFunded],"")</f>
        <v>0</v>
      </c>
      <c r="I17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5" spans="1:9" ht="26.15" customHeight="1">
      <c r="A175" t="s">
        <v>2614</v>
      </c>
      <c r="B175" t="str">
        <f>_xlfn.XLOOKUP(tblChecklist[[#This Row],[TargetID]],tblTargets[TargetID],tblTargets[DisplayName])</f>
        <v>Kitchen And Buttery 1 Lv 3</v>
      </c>
      <c r="C175" s="2" t="str">
        <f>_xlfn.XLOOKUP(
 tblChecklist[[#This Row],[TargetID]],
 tblTargetStatus[TargetID],
 tblTargetStatus[successors],
 ""
)</f>
        <v>Kitchen And Buttery 1 Lv 4</v>
      </c>
      <c r="D175" s="79" t="str">
        <f>_xlfn.XLOOKUP(tblChecklist[[#This Row],[TargetID]],tblTargets[TargetID],tblTargets[TargetType],"")</f>
        <v>COLLECTION</v>
      </c>
      <c r="E175" s="79" t="str">
        <f>_xlfn.XLOOKUP(tblChecklist[[#This Row],[TargetID]],tblTargetStatus[TargetID],tblTargetStatus[ChainAwareStatus],"")</f>
        <v>BLOCKED</v>
      </c>
      <c r="G175" s="82" t="b">
        <v>0</v>
      </c>
      <c r="H175" s="79" t="b">
        <f>_xlfn.XLOOKUP(tblChecklist[[#This Row],[TargetID]],tblTargetStatus[TargetID],tblTargetStatus[TargetFunded],"")</f>
        <v>0</v>
      </c>
      <c r="I17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6" spans="1:9" ht="26.15" customHeight="1">
      <c r="A176" t="s">
        <v>2615</v>
      </c>
      <c r="B176" t="str">
        <f>_xlfn.XLOOKUP(tblChecklist[[#This Row],[TargetID]],tblTargets[TargetID],tblTargets[DisplayName])</f>
        <v>Kitchen And Buttery 1 Lv 4</v>
      </c>
      <c r="C176" s="2" t="str">
        <f>_xlfn.XLOOKUP(
 tblChecklist[[#This Row],[TargetID]],
 tblTargetStatus[TargetID],
 tblTargetStatus[successors],
 ""
)</f>
        <v>Kitchen And Buttery 1 Lv 5</v>
      </c>
      <c r="D176" s="79" t="str">
        <f>_xlfn.XLOOKUP(tblChecklist[[#This Row],[TargetID]],tblTargets[TargetID],tblTargets[TargetType],"")</f>
        <v>COLLECTION</v>
      </c>
      <c r="E176" s="79" t="str">
        <f>_xlfn.XLOOKUP(tblChecklist[[#This Row],[TargetID]],tblTargetStatus[TargetID],tblTargetStatus[ChainAwareStatus],"")</f>
        <v>BLOCKED</v>
      </c>
      <c r="F176" s="79">
        <v>23</v>
      </c>
      <c r="G176" s="82" t="b">
        <v>0</v>
      </c>
      <c r="H176" s="79" t="b">
        <f>_xlfn.XLOOKUP(tblChecklist[[#This Row],[TargetID]],tblTargetStatus[TargetID],tblTargetStatus[TargetFunded],"")</f>
        <v>0</v>
      </c>
      <c r="I17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7" spans="1:9" ht="26.15" customHeight="1">
      <c r="A177" t="s">
        <v>2616</v>
      </c>
      <c r="B177" t="str">
        <f>_xlfn.XLOOKUP(tblChecklist[[#This Row],[TargetID]],tblTargets[TargetID],tblTargets[DisplayName])</f>
        <v>Kitchen And Buttery 1 Lv 5</v>
      </c>
      <c r="C177" s="2" t="str">
        <f>_xlfn.XLOOKUP(
 tblChecklist[[#This Row],[TargetID]],
 tblTargetStatus[TargetID],
 tblTargetStatus[successors],
 ""
)</f>
        <v/>
      </c>
      <c r="D177" s="79" t="str">
        <f>_xlfn.XLOOKUP(tblChecklist[[#This Row],[TargetID]],tblTargets[TargetID],tblTargets[TargetType],"")</f>
        <v>COLLECTION</v>
      </c>
      <c r="E177" s="79" t="str">
        <f>_xlfn.XLOOKUP(tblChecklist[[#This Row],[TargetID]],tblTargetStatus[TargetID],tblTargetStatus[ChainAwareStatus],"")</f>
        <v>BLOCKED</v>
      </c>
      <c r="G177" s="82" t="b">
        <v>0</v>
      </c>
      <c r="H177" s="79" t="b">
        <f>_xlfn.XLOOKUP(tblChecklist[[#This Row],[TargetID]],tblTargetStatus[TargetID],tblTargetStatus[TargetFunded],"")</f>
        <v>0</v>
      </c>
      <c r="I17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8" spans="1:9" ht="26.15" customHeight="1">
      <c r="A178" t="s">
        <v>2617</v>
      </c>
      <c r="B178" t="str">
        <f>_xlfn.XLOOKUP(tblChecklist[[#This Row],[TargetID]],tblTargets[TargetID],tblTargets[DisplayName])</f>
        <v>Kitchen And Buttery 2 Lv 1</v>
      </c>
      <c r="C178" s="2" t="str">
        <f>_xlfn.XLOOKUP(
 tblChecklist[[#This Row],[TargetID]],
 tblTargetStatus[TargetID],
 tblTargetStatus[successors],
 ""
)</f>
        <v/>
      </c>
      <c r="D178" s="79" t="str">
        <f>_xlfn.XLOOKUP(tblChecklist[[#This Row],[TargetID]],tblTargets[TargetID],tblTargets[TargetType],"")</f>
        <v>COLLECTION</v>
      </c>
      <c r="E178" s="79" t="str">
        <f>_xlfn.XLOOKUP(tblChecklist[[#This Row],[TargetID]],tblTargetStatus[TargetID],tblTargetStatus[ChainAwareStatus],"")</f>
        <v>BLOCKED</v>
      </c>
      <c r="G178" s="82" t="b">
        <v>0</v>
      </c>
      <c r="H178" s="79" t="b">
        <f>_xlfn.XLOOKUP(tblChecklist[[#This Row],[TargetID]],tblTargetStatus[TargetID],tblTargetStatus[TargetFunded],"")</f>
        <v>0</v>
      </c>
      <c r="I17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9" spans="1:9" ht="26.15" customHeight="1">
      <c r="A179" t="s">
        <v>2618</v>
      </c>
      <c r="B179" t="str">
        <f>_xlfn.XLOOKUP(tblChecklist[[#This Row],[TargetID]],tblTargets[TargetID],tblTargets[DisplayName])</f>
        <v>Mushroom Farm Lv 1</v>
      </c>
      <c r="C179" s="2" t="str">
        <f>_xlfn.XLOOKUP(
 tblChecklist[[#This Row],[TargetID]],
 tblTargetStatus[TargetID],
 tblTargetStatus[successors],
 ""
)</f>
        <v>Mushroom Farm Lv 2</v>
      </c>
      <c r="D179" s="79" t="str">
        <f>_xlfn.XLOOKUP(tblChecklist[[#This Row],[TargetID]],tblTargets[TargetID],tblTargets[TargetType],"")</f>
        <v>COLLECTION</v>
      </c>
      <c r="E179" s="79" t="str">
        <f>_xlfn.XLOOKUP(tblChecklist[[#This Row],[TargetID]],tblTargetStatus[TargetID],tblTargetStatus[ChainAwareStatus],"")</f>
        <v>BLOCKED</v>
      </c>
      <c r="G179" s="82" t="b">
        <v>0</v>
      </c>
      <c r="H179" s="79" t="b">
        <f>_xlfn.XLOOKUP(tblChecklist[[#This Row],[TargetID]],tblTargetStatus[TargetID],tblTargetStatus[TargetFunded],"")</f>
        <v>0</v>
      </c>
      <c r="I17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0" spans="1:9" ht="26.15" customHeight="1">
      <c r="A180" t="s">
        <v>2619</v>
      </c>
      <c r="B180" t="str">
        <f>_xlfn.XLOOKUP(tblChecklist[[#This Row],[TargetID]],tblTargets[TargetID],tblTargets[DisplayName])</f>
        <v>Mushroom Farm Lv 2</v>
      </c>
      <c r="C180" s="2" t="str">
        <f>_xlfn.XLOOKUP(
 tblChecklist[[#This Row],[TargetID]],
 tblTargetStatus[TargetID],
 tblTargetStatus[successors],
 ""
)</f>
        <v/>
      </c>
      <c r="D180" s="79" t="str">
        <f>_xlfn.XLOOKUP(tblChecklist[[#This Row],[TargetID]],tblTargets[TargetID],tblTargets[TargetType],"")</f>
        <v>COLLECTION</v>
      </c>
      <c r="E180" s="79" t="str">
        <f>_xlfn.XLOOKUP(tblChecklist[[#This Row],[TargetID]],tblTargetStatus[TargetID],tblTargetStatus[ChainAwareStatus],"")</f>
        <v>BLOCKED</v>
      </c>
      <c r="G180" s="82" t="b">
        <v>0</v>
      </c>
      <c r="H180" s="79" t="b">
        <f>_xlfn.XLOOKUP(tblChecklist[[#This Row],[TargetID]],tblTargetStatus[TargetID],tblTargetStatus[TargetFunded],"")</f>
        <v>0</v>
      </c>
      <c r="I18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1" spans="1:9" ht="26.15" customHeight="1">
      <c r="A181" t="s">
        <v>2620</v>
      </c>
      <c r="B181" t="str">
        <f>_xlfn.XLOOKUP(tblChecklist[[#This Row],[TargetID]],tblTargets[TargetID],tblTargets[DisplayName])</f>
        <v>Orangery Lv 1</v>
      </c>
      <c r="C181" s="2" t="str">
        <f>_xlfn.XLOOKUP(
 tblChecklist[[#This Row],[TargetID]],
 tblTargetStatus[TargetID],
 tblTargetStatus[successors],
 ""
)</f>
        <v>Orangery Lv 2</v>
      </c>
      <c r="D181" s="79" t="str">
        <f>_xlfn.XLOOKUP(tblChecklist[[#This Row],[TargetID]],tblTargets[TargetID],tblTargets[TargetType],"")</f>
        <v>COLLECTION</v>
      </c>
      <c r="E181" s="79" t="str">
        <f>_xlfn.XLOOKUP(tblChecklist[[#This Row],[TargetID]],tblTargetStatus[TargetID],tblTargetStatus[ChainAwareStatus],"")</f>
        <v>BLOCKED</v>
      </c>
      <c r="G181" s="82" t="b">
        <v>0</v>
      </c>
      <c r="H181" s="79" t="b">
        <f>_xlfn.XLOOKUP(tblChecklist[[#This Row],[TargetID]],tblTargetStatus[TargetID],tblTargetStatus[TargetFunded],"")</f>
        <v>0</v>
      </c>
      <c r="I18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2" spans="1:9" ht="26.15" customHeight="1">
      <c r="A182" t="s">
        <v>2621</v>
      </c>
      <c r="B182" t="str">
        <f>_xlfn.XLOOKUP(tblChecklist[[#This Row],[TargetID]],tblTargets[TargetID],tblTargets[DisplayName])</f>
        <v>Orangery Lv 2</v>
      </c>
      <c r="C182" s="2" t="str">
        <f>_xlfn.XLOOKUP(
 tblChecklist[[#This Row],[TargetID]],
 tblTargetStatus[TargetID],
 tblTargetStatus[successors],
 ""
)</f>
        <v/>
      </c>
      <c r="D182" s="79" t="str">
        <f>_xlfn.XLOOKUP(tblChecklist[[#This Row],[TargetID]],tblTargets[TargetID],tblTargets[TargetType],"")</f>
        <v>COLLECTION</v>
      </c>
      <c r="E182" s="79" t="str">
        <f>_xlfn.XLOOKUP(tblChecklist[[#This Row],[TargetID]],tblTargetStatus[TargetID],tblTargetStatus[ChainAwareStatus],"")</f>
        <v>BLOCKED</v>
      </c>
      <c r="G182" s="82" t="b">
        <v>0</v>
      </c>
      <c r="H182" s="79" t="b">
        <f>_xlfn.XLOOKUP(tblChecklist[[#This Row],[TargetID]],tblTargetStatus[TargetID],tblTargetStatus[TargetFunded],"")</f>
        <v>0</v>
      </c>
      <c r="I18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3" spans="1:9" ht="26.15" customHeight="1">
      <c r="A183" t="s">
        <v>2622</v>
      </c>
      <c r="B183" t="str">
        <f>_xlfn.XLOOKUP(tblChecklist[[#This Row],[TargetID]],tblTargets[TargetID],tblTargets[DisplayName])</f>
        <v>Pantry 1 Lv 1</v>
      </c>
      <c r="C183" s="2" t="str">
        <f>_xlfn.XLOOKUP(
 tblChecklist[[#This Row],[TargetID]],
 tblTargetStatus[TargetID],
 tblTargetStatus[successors],
 ""
)</f>
        <v>Pantry 1 Lv 2</v>
      </c>
      <c r="D183" s="79" t="str">
        <f>_xlfn.XLOOKUP(tblChecklist[[#This Row],[TargetID]],tblTargets[TargetID],tblTargets[TargetType],"")</f>
        <v>COLLECTION</v>
      </c>
      <c r="E183" s="79" t="str">
        <f>_xlfn.XLOOKUP(tblChecklist[[#This Row],[TargetID]],tblTargetStatus[TargetID],tblTargetStatus[ChainAwareStatus],"")</f>
        <v>BLOCKED</v>
      </c>
      <c r="G183" s="82" t="b">
        <v>0</v>
      </c>
      <c r="H183" s="79" t="b">
        <f>_xlfn.XLOOKUP(tblChecklist[[#This Row],[TargetID]],tblTargetStatus[TargetID],tblTargetStatus[TargetFunded],"")</f>
        <v>0</v>
      </c>
      <c r="I18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4" spans="1:9" ht="26.15" customHeight="1">
      <c r="A184" t="s">
        <v>2623</v>
      </c>
      <c r="B184" t="str">
        <f>_xlfn.XLOOKUP(tblChecklist[[#This Row],[TargetID]],tblTargets[TargetID],tblTargets[DisplayName])</f>
        <v>Pantry 1 Lv 2</v>
      </c>
      <c r="C184" s="2" t="str">
        <f>_xlfn.XLOOKUP(
 tblChecklist[[#This Row],[TargetID]],
 tblTargetStatus[TargetID],
 tblTargetStatus[successors],
 ""
)</f>
        <v>Pantry 1 Lv 3</v>
      </c>
      <c r="D184" s="79" t="str">
        <f>_xlfn.XLOOKUP(tblChecklist[[#This Row],[TargetID]],tblTargets[TargetID],tblTargets[TargetType],"")</f>
        <v>COLLECTION</v>
      </c>
      <c r="E184" s="79" t="str">
        <f>_xlfn.XLOOKUP(tblChecklist[[#This Row],[TargetID]],tblTargetStatus[TargetID],tblTargetStatus[ChainAwareStatus],"")</f>
        <v>BLOCKED</v>
      </c>
      <c r="G184" s="82" t="b">
        <v>0</v>
      </c>
      <c r="H184" s="79" t="b">
        <f>_xlfn.XLOOKUP(tblChecklist[[#This Row],[TargetID]],tblTargetStatus[TargetID],tblTargetStatus[TargetFunded],"")</f>
        <v>0</v>
      </c>
      <c r="I18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5" spans="1:9" ht="26.15" customHeight="1">
      <c r="A185" t="s">
        <v>2624</v>
      </c>
      <c r="B185" t="str">
        <f>_xlfn.XLOOKUP(tblChecklist[[#This Row],[TargetID]],tblTargets[TargetID],tblTargets[DisplayName])</f>
        <v>Pantry 1 Lv 3</v>
      </c>
      <c r="C185" s="2" t="str">
        <f>_xlfn.XLOOKUP(
 tblChecklist[[#This Row],[TargetID]],
 tblTargetStatus[TargetID],
 tblTargetStatus[successors],
 ""
)</f>
        <v>Pantry 1 Lv 4</v>
      </c>
      <c r="D185" s="79" t="str">
        <f>_xlfn.XLOOKUP(tblChecklist[[#This Row],[TargetID]],tblTargets[TargetID],tblTargets[TargetType],"")</f>
        <v>COLLECTION</v>
      </c>
      <c r="E185" s="79" t="str">
        <f>_xlfn.XLOOKUP(tblChecklist[[#This Row],[TargetID]],tblTargetStatus[TargetID],tblTargetStatus[ChainAwareStatus],"")</f>
        <v>BLOCKED</v>
      </c>
      <c r="G185" s="82" t="b">
        <v>0</v>
      </c>
      <c r="H185" s="79" t="b">
        <f>_xlfn.XLOOKUP(tblChecklist[[#This Row],[TargetID]],tblTargetStatus[TargetID],tblTargetStatus[TargetFunded],"")</f>
        <v>0</v>
      </c>
      <c r="I18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6" spans="1:9" ht="26.15" customHeight="1">
      <c r="A186" t="s">
        <v>2625</v>
      </c>
      <c r="B186" t="str">
        <f>_xlfn.XLOOKUP(tblChecklist[[#This Row],[TargetID]],tblTargets[TargetID],tblTargets[DisplayName])</f>
        <v>Pantry 1 Lv 4</v>
      </c>
      <c r="C186" s="2" t="str">
        <f>_xlfn.XLOOKUP(
 tblChecklist[[#This Row],[TargetID]],
 tblTargetStatus[TargetID],
 tblTargetStatus[successors],
 ""
)</f>
        <v>Pantry 1 Lv 5</v>
      </c>
      <c r="D186" s="79" t="str">
        <f>_xlfn.XLOOKUP(tblChecklist[[#This Row],[TargetID]],tblTargets[TargetID],tblTargets[TargetType],"")</f>
        <v>COLLECTION</v>
      </c>
      <c r="E186" s="79" t="str">
        <f>_xlfn.XLOOKUP(tblChecklist[[#This Row],[TargetID]],tblTargetStatus[TargetID],tblTargetStatus[ChainAwareStatus],"")</f>
        <v>BLOCKED</v>
      </c>
      <c r="G186" s="82" t="b">
        <v>0</v>
      </c>
      <c r="H186" s="79" t="b">
        <f>_xlfn.XLOOKUP(tblChecklist[[#This Row],[TargetID]],tblTargetStatus[TargetID],tblTargetStatus[TargetFunded],"")</f>
        <v>0</v>
      </c>
      <c r="I18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7" spans="1:9" ht="26.15" customHeight="1">
      <c r="A187" t="s">
        <v>2626</v>
      </c>
      <c r="B187" t="str">
        <f>_xlfn.XLOOKUP(tblChecklist[[#This Row],[TargetID]],tblTargets[TargetID],tblTargets[DisplayName])</f>
        <v>Pantry 1 Lv 5</v>
      </c>
      <c r="C187" s="2" t="str">
        <f>_xlfn.XLOOKUP(
 tblChecklist[[#This Row],[TargetID]],
 tblTargetStatus[TargetID],
 tblTargetStatus[successors],
 ""
)</f>
        <v/>
      </c>
      <c r="D187" s="79" t="str">
        <f>_xlfn.XLOOKUP(tblChecklist[[#This Row],[TargetID]],tblTargets[TargetID],tblTargets[TargetType],"")</f>
        <v>COLLECTION</v>
      </c>
      <c r="E187" s="79" t="str">
        <f>_xlfn.XLOOKUP(tblChecklist[[#This Row],[TargetID]],tblTargetStatus[TargetID],tblTargetStatus[ChainAwareStatus],"")</f>
        <v>BLOCKED</v>
      </c>
      <c r="F187" s="79">
        <v>24</v>
      </c>
      <c r="G187" s="82" t="b">
        <v>0</v>
      </c>
      <c r="H187" s="79" t="b">
        <f>_xlfn.XLOOKUP(tblChecklist[[#This Row],[TargetID]],tblTargetStatus[TargetID],tblTargetStatus[TargetFunded],"")</f>
        <v>0</v>
      </c>
      <c r="I18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8" spans="1:9" ht="26.15" customHeight="1">
      <c r="A188" t="s">
        <v>2627</v>
      </c>
      <c r="B188" t="str">
        <f>_xlfn.XLOOKUP(tblChecklist[[#This Row],[TargetID]],tblTargets[TargetID],tblTargets[DisplayName])</f>
        <v>Pantry 2 Lv 1</v>
      </c>
      <c r="C188" s="2" t="str">
        <f>_xlfn.XLOOKUP(
 tblChecklist[[#This Row],[TargetID]],
 tblTargetStatus[TargetID],
 tblTargetStatus[successors],
 ""
)</f>
        <v>Pantry 2 Lv 2</v>
      </c>
      <c r="D188" s="79" t="str">
        <f>_xlfn.XLOOKUP(tblChecklist[[#This Row],[TargetID]],tblTargets[TargetID],tblTargets[TargetType],"")</f>
        <v>COLLECTION</v>
      </c>
      <c r="E188" s="79" t="str">
        <f>_xlfn.XLOOKUP(tblChecklist[[#This Row],[TargetID]],tblTargetStatus[TargetID],tblTargetStatus[ChainAwareStatus],"")</f>
        <v>BLOCKED</v>
      </c>
      <c r="G188" s="82" t="b">
        <v>0</v>
      </c>
      <c r="H188" s="79" t="b">
        <f>_xlfn.XLOOKUP(tblChecklist[[#This Row],[TargetID]],tblTargetStatus[TargetID],tblTargetStatus[TargetFunded],"")</f>
        <v>0</v>
      </c>
      <c r="I18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9" spans="1:9" ht="26.15" customHeight="1">
      <c r="A189" t="s">
        <v>2628</v>
      </c>
      <c r="B189" t="str">
        <f>_xlfn.XLOOKUP(tblChecklist[[#This Row],[TargetID]],tblTargets[TargetID],tblTargets[DisplayName])</f>
        <v>Pantry 2 Lv 2</v>
      </c>
      <c r="C189" s="2" t="str">
        <f>_xlfn.XLOOKUP(
 tblChecklist[[#This Row],[TargetID]],
 tblTargetStatus[TargetID],
 tblTargetStatus[successors],
 ""
)</f>
        <v>Pantry 2 Lv 3</v>
      </c>
      <c r="D189" s="79" t="str">
        <f>_xlfn.XLOOKUP(tblChecklist[[#This Row],[TargetID]],tblTargets[TargetID],tblTargets[TargetType],"")</f>
        <v>COLLECTION</v>
      </c>
      <c r="E189" s="79" t="str">
        <f>_xlfn.XLOOKUP(tblChecklist[[#This Row],[TargetID]],tblTargetStatus[TargetID],tblTargetStatus[ChainAwareStatus],"")</f>
        <v>BLOCKED</v>
      </c>
      <c r="G189" s="82" t="b">
        <v>0</v>
      </c>
      <c r="H189" s="79" t="b">
        <f>_xlfn.XLOOKUP(tblChecklist[[#This Row],[TargetID]],tblTargetStatus[TargetID],tblTargetStatus[TargetFunded],"")</f>
        <v>0</v>
      </c>
      <c r="I18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0" spans="1:9" ht="26.15" customHeight="1">
      <c r="A190" t="s">
        <v>2629</v>
      </c>
      <c r="B190" t="str">
        <f>_xlfn.XLOOKUP(tblChecklist[[#This Row],[TargetID]],tblTargets[TargetID],tblTargets[DisplayName])</f>
        <v>Pantry 2 Lv 3</v>
      </c>
      <c r="C190" s="2" t="str">
        <f>_xlfn.XLOOKUP(
 tblChecklist[[#This Row],[TargetID]],
 tblTargetStatus[TargetID],
 tblTargetStatus[successors],
 ""
)</f>
        <v>Pantry 2 Lv 4</v>
      </c>
      <c r="D190" s="79" t="str">
        <f>_xlfn.XLOOKUP(tblChecklist[[#This Row],[TargetID]],tblTargets[TargetID],tblTargets[TargetType],"")</f>
        <v>COLLECTION</v>
      </c>
      <c r="E190" s="79" t="str">
        <f>_xlfn.XLOOKUP(tblChecklist[[#This Row],[TargetID]],tblTargetStatus[TargetID],tblTargetStatus[ChainAwareStatus],"")</f>
        <v>BLOCKED</v>
      </c>
      <c r="G190" s="82" t="b">
        <v>0</v>
      </c>
      <c r="H190" s="79" t="b">
        <f>_xlfn.XLOOKUP(tblChecklist[[#This Row],[TargetID]],tblTargetStatus[TargetID],tblTargetStatus[TargetFunded],"")</f>
        <v>0</v>
      </c>
      <c r="I19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1" spans="1:9" ht="26.15" customHeight="1">
      <c r="A191" t="s">
        <v>2630</v>
      </c>
      <c r="B191" t="str">
        <f>_xlfn.XLOOKUP(tblChecklist[[#This Row],[TargetID]],tblTargets[TargetID],tblTargets[DisplayName])</f>
        <v>Pantry 2 Lv 4</v>
      </c>
      <c r="C191" s="2" t="str">
        <f>_xlfn.XLOOKUP(
 tblChecklist[[#This Row],[TargetID]],
 tblTargetStatus[TargetID],
 tblTargetStatus[successors],
 ""
)</f>
        <v>Pantry 2 Lv 5</v>
      </c>
      <c r="D191" s="79" t="str">
        <f>_xlfn.XLOOKUP(tblChecklist[[#This Row],[TargetID]],tblTargets[TargetID],tblTargets[TargetType],"")</f>
        <v>COLLECTION</v>
      </c>
      <c r="E191" s="79" t="str">
        <f>_xlfn.XLOOKUP(tblChecklist[[#This Row],[TargetID]],tblTargetStatus[TargetID],tblTargetStatus[ChainAwareStatus],"")</f>
        <v>BLOCKED</v>
      </c>
      <c r="G191" s="82" t="b">
        <v>0</v>
      </c>
      <c r="H191" s="79" t="b">
        <f>_xlfn.XLOOKUP(tblChecklist[[#This Row],[TargetID]],tblTargetStatus[TargetID],tblTargetStatus[TargetFunded],"")</f>
        <v>0</v>
      </c>
      <c r="I19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2" spans="1:9" ht="26.15" customHeight="1">
      <c r="A192" t="s">
        <v>2631</v>
      </c>
      <c r="B192" t="str">
        <f>_xlfn.XLOOKUP(tblChecklist[[#This Row],[TargetID]],tblTargets[TargetID],tblTargets[DisplayName])</f>
        <v>Pantry 2 Lv 5</v>
      </c>
      <c r="C192" s="2" t="str">
        <f>_xlfn.XLOOKUP(
 tblChecklist[[#This Row],[TargetID]],
 tblTargetStatus[TargetID],
 tblTargetStatus[successors],
 ""
)</f>
        <v/>
      </c>
      <c r="D192" s="79" t="str">
        <f>_xlfn.XLOOKUP(tblChecklist[[#This Row],[TargetID]],tblTargets[TargetID],tblTargets[TargetType],"")</f>
        <v>COLLECTION</v>
      </c>
      <c r="E192" s="79" t="str">
        <f>_xlfn.XLOOKUP(tblChecklist[[#This Row],[TargetID]],tblTargetStatus[TargetID],tblTargetStatus[ChainAwareStatus],"")</f>
        <v>BLOCKED</v>
      </c>
      <c r="G192" s="82" t="b">
        <v>0</v>
      </c>
      <c r="H192" s="79" t="b">
        <f>_xlfn.XLOOKUP(tblChecklist[[#This Row],[TargetID]],tblTargetStatus[TargetID],tblTargetStatus[TargetFunded],"")</f>
        <v>0</v>
      </c>
      <c r="I19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3" spans="1:9" ht="26.15" customHeight="1">
      <c r="A193" t="s">
        <v>2632</v>
      </c>
      <c r="B193" t="str">
        <f>_xlfn.XLOOKUP(tblChecklist[[#This Row],[TargetID]],tblTargets[TargetID],tblTargets[DisplayName])</f>
        <v>Pantry 3 Lv 1</v>
      </c>
      <c r="C193" s="2" t="str">
        <f>_xlfn.XLOOKUP(
 tblChecklist[[#This Row],[TargetID]],
 tblTargetStatus[TargetID],
 tblTargetStatus[successors],
 ""
)</f>
        <v>Pantry 3 Lv 2</v>
      </c>
      <c r="D193" s="79" t="str">
        <f>_xlfn.XLOOKUP(tblChecklist[[#This Row],[TargetID]],tblTargets[TargetID],tblTargets[TargetType],"")</f>
        <v>COLLECTION</v>
      </c>
      <c r="E193" s="79" t="str">
        <f>_xlfn.XLOOKUP(tblChecklist[[#This Row],[TargetID]],tblTargetStatus[TargetID],tblTargetStatus[ChainAwareStatus],"")</f>
        <v>BLOCKED</v>
      </c>
      <c r="G193" s="82" t="b">
        <v>0</v>
      </c>
      <c r="H193" s="79" t="b">
        <f>_xlfn.XLOOKUP(tblChecklist[[#This Row],[TargetID]],tblTargetStatus[TargetID],tblTargetStatus[TargetFunded],"")</f>
        <v>0</v>
      </c>
      <c r="I19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4" spans="1:9" ht="26.15" customHeight="1">
      <c r="A194" t="s">
        <v>2633</v>
      </c>
      <c r="B194" t="str">
        <f>_xlfn.XLOOKUP(tblChecklist[[#This Row],[TargetID]],tblTargets[TargetID],tblTargets[DisplayName])</f>
        <v>Pantry 3 Lv 2</v>
      </c>
      <c r="C194" s="2" t="str">
        <f>_xlfn.XLOOKUP(
 tblChecklist[[#This Row],[TargetID]],
 tblTargetStatus[TargetID],
 tblTargetStatus[successors],
 ""
)</f>
        <v>Pantry 3 Lv 3</v>
      </c>
      <c r="D194" s="79" t="str">
        <f>_xlfn.XLOOKUP(tblChecklist[[#This Row],[TargetID]],tblTargets[TargetID],tblTargets[TargetType],"")</f>
        <v>COLLECTION</v>
      </c>
      <c r="E194" s="79" t="str">
        <f>_xlfn.XLOOKUP(tblChecklist[[#This Row],[TargetID]],tblTargetStatus[TargetID],tblTargetStatus[ChainAwareStatus],"")</f>
        <v>BLOCKED</v>
      </c>
      <c r="G194" s="82" t="b">
        <v>0</v>
      </c>
      <c r="H194" s="79" t="b">
        <f>_xlfn.XLOOKUP(tblChecklist[[#This Row],[TargetID]],tblTargetStatus[TargetID],tblTargetStatus[TargetFunded],"")</f>
        <v>0</v>
      </c>
      <c r="I19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5" spans="1:9" ht="26.15" customHeight="1">
      <c r="A195" t="s">
        <v>2634</v>
      </c>
      <c r="B195" t="str">
        <f>_xlfn.XLOOKUP(tblChecklist[[#This Row],[TargetID]],tblTargets[TargetID],tblTargets[DisplayName])</f>
        <v>Pantry 3 Lv 3</v>
      </c>
      <c r="C195" s="2" t="str">
        <f>_xlfn.XLOOKUP(
 tblChecklist[[#This Row],[TargetID]],
 tblTargetStatus[TargetID],
 tblTargetStatus[successors],
 ""
)</f>
        <v>Pantry 3 Lv 4</v>
      </c>
      <c r="D195" s="79" t="str">
        <f>_xlfn.XLOOKUP(tblChecklist[[#This Row],[TargetID]],tblTargets[TargetID],tblTargets[TargetType],"")</f>
        <v>COLLECTION</v>
      </c>
      <c r="E195" s="79" t="str">
        <f>_xlfn.XLOOKUP(tblChecklist[[#This Row],[TargetID]],tblTargetStatus[TargetID],tblTargetStatus[ChainAwareStatus],"")</f>
        <v>BLOCKED</v>
      </c>
      <c r="G195" s="82" t="b">
        <v>0</v>
      </c>
      <c r="H195" s="79" t="b">
        <f>_xlfn.XLOOKUP(tblChecklist[[#This Row],[TargetID]],tblTargetStatus[TargetID],tblTargetStatus[TargetFunded],"")</f>
        <v>0</v>
      </c>
      <c r="I19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6" spans="1:9" ht="26.15" customHeight="1">
      <c r="A196" t="s">
        <v>2635</v>
      </c>
      <c r="B196" t="str">
        <f>_xlfn.XLOOKUP(tblChecklist[[#This Row],[TargetID]],tblTargets[TargetID],tblTargets[DisplayName])</f>
        <v>Pantry 3 Lv 4</v>
      </c>
      <c r="C196" s="2" t="str">
        <f>_xlfn.XLOOKUP(
 tblChecklist[[#This Row],[TargetID]],
 tblTargetStatus[TargetID],
 tblTargetStatus[successors],
 ""
)</f>
        <v>Pantry 3 Lv 5</v>
      </c>
      <c r="D196" s="79" t="str">
        <f>_xlfn.XLOOKUP(tblChecklist[[#This Row],[TargetID]],tblTargets[TargetID],tblTargets[TargetType],"")</f>
        <v>COLLECTION</v>
      </c>
      <c r="E196" s="79" t="str">
        <f>_xlfn.XLOOKUP(tblChecklist[[#This Row],[TargetID]],tblTargetStatus[TargetID],tblTargetStatus[ChainAwareStatus],"")</f>
        <v>BLOCKED</v>
      </c>
      <c r="G196" s="82" t="b">
        <v>0</v>
      </c>
      <c r="H196" s="79" t="b">
        <f>_xlfn.XLOOKUP(tblChecklist[[#This Row],[TargetID]],tblTargetStatus[TargetID],tblTargetStatus[TargetFunded],"")</f>
        <v>0</v>
      </c>
      <c r="I19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7" spans="1:9" ht="26.15" customHeight="1">
      <c r="A197" t="s">
        <v>2636</v>
      </c>
      <c r="B197" t="str">
        <f>_xlfn.XLOOKUP(tblChecklist[[#This Row],[TargetID]],tblTargets[TargetID],tblTargets[DisplayName])</f>
        <v>Pantry 3 Lv 5</v>
      </c>
      <c r="C197" s="2" t="str">
        <f>_xlfn.XLOOKUP(
 tblChecklist[[#This Row],[TargetID]],
 tblTargetStatus[TargetID],
 tblTargetStatus[successors],
 ""
)</f>
        <v/>
      </c>
      <c r="D197" s="79" t="str">
        <f>_xlfn.XLOOKUP(tblChecklist[[#This Row],[TargetID]],tblTargets[TargetID],tblTargets[TargetType],"")</f>
        <v>COLLECTION</v>
      </c>
      <c r="E197" s="79" t="str">
        <f>_xlfn.XLOOKUP(tblChecklist[[#This Row],[TargetID]],tblTargetStatus[TargetID],tblTargetStatus[ChainAwareStatus],"")</f>
        <v>BLOCKED</v>
      </c>
      <c r="F197" s="79">
        <v>26</v>
      </c>
      <c r="G197" s="82" t="b">
        <v>0</v>
      </c>
      <c r="H197" s="79" t="b">
        <f>_xlfn.XLOOKUP(tblChecklist[[#This Row],[TargetID]],tblTargetStatus[TargetID],tblTargetStatus[TargetFunded],"")</f>
        <v>0</v>
      </c>
      <c r="I19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8" spans="1:9" ht="26.15" customHeight="1">
      <c r="A198" t="s">
        <v>2637</v>
      </c>
      <c r="B198" t="str">
        <f>_xlfn.XLOOKUP(tblChecklist[[#This Row],[TargetID]],tblTargets[TargetID],tblTargets[DisplayName])</f>
        <v>Pantry 4 Lv 1</v>
      </c>
      <c r="C198" s="2" t="str">
        <f>_xlfn.XLOOKUP(
 tblChecklist[[#This Row],[TargetID]],
 tblTargetStatus[TargetID],
 tblTargetStatus[successors],
 ""
)</f>
        <v/>
      </c>
      <c r="D198" s="79" t="str">
        <f>_xlfn.XLOOKUP(tblChecklist[[#This Row],[TargetID]],tblTargets[TargetID],tblTargets[TargetType],"")</f>
        <v>COLLECTION</v>
      </c>
      <c r="E198" s="79" t="str">
        <f>_xlfn.XLOOKUP(tblChecklist[[#This Row],[TargetID]],tblTargetStatus[TargetID],tblTargetStatus[ChainAwareStatus],"")</f>
        <v>BLOCKED</v>
      </c>
      <c r="G198" s="82" t="b">
        <v>0</v>
      </c>
      <c r="H198" s="79" t="b">
        <f>_xlfn.XLOOKUP(tblChecklist[[#This Row],[TargetID]],tblTargetStatus[TargetID],tblTargetStatus[TargetFunded],"")</f>
        <v>0</v>
      </c>
      <c r="I19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9" spans="1:9" ht="26.15" customHeight="1">
      <c r="A199" t="s">
        <v>5653</v>
      </c>
      <c r="B199" t="str">
        <f>_xlfn.XLOOKUP(tblChecklist[[#This Row],[TargetID]],tblTargets[TargetID],tblTargets[DisplayName])</f>
        <v>Rotten Ladder</v>
      </c>
      <c r="C199" s="2" t="str">
        <f>_xlfn.XLOOKUP(
 tblChecklist[[#This Row],[TargetID]],
 tblTargetStatus[TargetID],
 tblTargetStatus[successors],
 ""
)</f>
        <v>Broken Minecart, Letter from the Dark Lady Finished</v>
      </c>
      <c r="D199" s="79" t="str">
        <f>_xlfn.XLOOKUP(tblChecklist[[#This Row],[TargetID]],tblTargets[TargetID],tblTargets[TargetType],"")</f>
        <v>COLLECTION</v>
      </c>
      <c r="E199" s="79" t="str">
        <f>_xlfn.XLOOKUP(tblChecklist[[#This Row],[TargetID]],tblTargetStatus[TargetID],tblTargetStatus[ChainAwareStatus],"")</f>
        <v>BLOCKED</v>
      </c>
      <c r="G199" s="82" t="b">
        <v>0</v>
      </c>
      <c r="H199" s="79" t="b">
        <f>_xlfn.XLOOKUP(tblChecklist[[#This Row],[TargetID]],tblTargetStatus[TargetID],tblTargetStatus[TargetFunded],"")</f>
        <v>0</v>
      </c>
      <c r="I19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0" spans="1:9" ht="26.15" customHeight="1">
      <c r="A200" t="s">
        <v>5925</v>
      </c>
      <c r="B200" t="str">
        <f>_xlfn.XLOOKUP(tblChecklist[[#This Row],[TargetID]],tblTargets[TargetID],tblTargets[DisplayName])</f>
        <v>Collection Staircase</v>
      </c>
      <c r="C200" s="2" t="str">
        <f>_xlfn.XLOOKUP(
 tblChecklist[[#This Row],[TargetID]],
 tblTargetStatus[TargetID],
 tblTargetStatus[successors],
 ""
)</f>
        <v/>
      </c>
      <c r="D200" s="79" t="str">
        <f>_xlfn.XLOOKUP(tblChecklist[[#This Row],[TargetID]],tblTargets[TargetID],tblTargets[TargetType],"")</f>
        <v>COLLECTION</v>
      </c>
      <c r="E200" s="79" t="str">
        <f>_xlfn.XLOOKUP(tblChecklist[[#This Row],[TargetID]],tblTargetStatus[TargetID],tblTargetStatus[ChainAwareStatus],"")</f>
        <v>BLOCKED</v>
      </c>
      <c r="G200" s="82" t="b">
        <v>0</v>
      </c>
      <c r="H200" s="79" t="b">
        <f>_xlfn.XLOOKUP(tblChecklist[[#This Row],[TargetID]],tblTargetStatus[TargetID],tblTargetStatus[TargetFunded],"")</f>
        <v>0</v>
      </c>
      <c r="I20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1" spans="1:9" ht="26.15" customHeight="1">
      <c r="A201" t="s">
        <v>2638</v>
      </c>
      <c r="B201" t="str">
        <f>_xlfn.XLOOKUP(tblChecklist[[#This Row],[TargetID]],tblTargets[TargetID],tblTargets[DisplayName])</f>
        <v>Statue Lv 1</v>
      </c>
      <c r="C201" s="2" t="str">
        <f>_xlfn.XLOOKUP(
 tblChecklist[[#This Row],[TargetID]],
 tblTargetStatus[TargetID],
 tblTargetStatus[successors],
 ""
)</f>
        <v/>
      </c>
      <c r="D201" s="79" t="str">
        <f>_xlfn.XLOOKUP(tblChecklist[[#This Row],[TargetID]],tblTargets[TargetID],tblTargets[TargetType],"")</f>
        <v>COLLECTION</v>
      </c>
      <c r="E201" s="79" t="str">
        <f>_xlfn.XLOOKUP(tblChecklist[[#This Row],[TargetID]],tblTargetStatus[TargetID],tblTargetStatus[ChainAwareStatus],"")</f>
        <v>BLOCKED</v>
      </c>
      <c r="G201" s="82" t="b">
        <v>0</v>
      </c>
      <c r="H201" s="79" t="b">
        <f>_xlfn.XLOOKUP(tblChecklist[[#This Row],[TargetID]],tblTargetStatus[TargetID],tblTargetStatus[TargetFunded],"")</f>
        <v>0</v>
      </c>
      <c r="I20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2" spans="1:9" ht="26.15" customHeight="1">
      <c r="A202" t="s">
        <v>2639</v>
      </c>
      <c r="B202" t="str">
        <f>_xlfn.XLOOKUP(tblChecklist[[#This Row],[TargetID]],tblTargets[TargetID],tblTargets[DisplayName])</f>
        <v>Tavern Lv 1</v>
      </c>
      <c r="C202" s="2" t="str">
        <f>_xlfn.XLOOKUP(
 tblChecklist[[#This Row],[TargetID]],
 tblTargetStatus[TargetID],
 tblTargetStatus[successors],
 ""
)</f>
        <v>Tavern Lv 2</v>
      </c>
      <c r="D202" s="79" t="str">
        <f>_xlfn.XLOOKUP(tblChecklist[[#This Row],[TargetID]],tblTargets[TargetID],tblTargets[TargetType],"")</f>
        <v>COLLECTION</v>
      </c>
      <c r="E202" s="79" t="str">
        <f>_xlfn.XLOOKUP(tblChecklist[[#This Row],[TargetID]],tblTargetStatus[TargetID],tblTargetStatus[ChainAwareStatus],"")</f>
        <v>BLOCKED</v>
      </c>
      <c r="G202" s="82" t="b">
        <v>0</v>
      </c>
      <c r="H202" s="79" t="b">
        <f>_xlfn.XLOOKUP(tblChecklist[[#This Row],[TargetID]],tblTargetStatus[TargetID],tblTargetStatus[TargetFunded],"")</f>
        <v>0</v>
      </c>
      <c r="I20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3" spans="1:9" ht="26.15" customHeight="1">
      <c r="A203" t="s">
        <v>2640</v>
      </c>
      <c r="B203" t="str">
        <f>_xlfn.XLOOKUP(tblChecklist[[#This Row],[TargetID]],tblTargets[TargetID],tblTargets[DisplayName])</f>
        <v>Tavern Lv 2</v>
      </c>
      <c r="C203" s="2" t="str">
        <f>_xlfn.XLOOKUP(
 tblChecklist[[#This Row],[TargetID]],
 tblTargetStatus[TargetID],
 tblTargetStatus[successors],
 ""
)</f>
        <v/>
      </c>
      <c r="D203" s="79" t="str">
        <f>_xlfn.XLOOKUP(tblChecklist[[#This Row],[TargetID]],tblTargets[TargetID],tblTargets[TargetType],"")</f>
        <v>COLLECTION</v>
      </c>
      <c r="E203" s="79" t="str">
        <f>_xlfn.XLOOKUP(tblChecklist[[#This Row],[TargetID]],tblTargetStatus[TargetID],tblTargetStatus[ChainAwareStatus],"")</f>
        <v>BLOCKED</v>
      </c>
      <c r="G203" s="82" t="b">
        <v>0</v>
      </c>
      <c r="H203" s="79" t="b">
        <f>_xlfn.XLOOKUP(tblChecklist[[#This Row],[TargetID]],tblTargetStatus[TargetID],tblTargetStatus[TargetFunded],"")</f>
        <v>0</v>
      </c>
      <c r="I20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4" spans="1:9" ht="26.15" customHeight="1">
      <c r="A204" t="s">
        <v>2641</v>
      </c>
      <c r="B204" t="str">
        <f>_xlfn.XLOOKUP(tblChecklist[[#This Row],[TargetID]],tblTargets[TargetID],tblTargets[DisplayName])</f>
        <v>Treasury 1 Lv 1</v>
      </c>
      <c r="C204" s="2" t="str">
        <f>_xlfn.XLOOKUP(
 tblChecklist[[#This Row],[TargetID]],
 tblTargetStatus[TargetID],
 tblTargetStatus[successors],
 ""
)</f>
        <v>Treasury 1 Lv 2</v>
      </c>
      <c r="D204" s="79" t="str">
        <f>_xlfn.XLOOKUP(tblChecklist[[#This Row],[TargetID]],tblTargets[TargetID],tblTargets[TargetType],"")</f>
        <v>COLLECTION</v>
      </c>
      <c r="E204" s="79" t="str">
        <f>_xlfn.XLOOKUP(tblChecklist[[#This Row],[TargetID]],tblTargetStatus[TargetID],tblTargetStatus[ChainAwareStatus],"")</f>
        <v>BLOCKED</v>
      </c>
      <c r="G204" s="82" t="b">
        <v>0</v>
      </c>
      <c r="H204" s="79" t="b">
        <f>_xlfn.XLOOKUP(tblChecklist[[#This Row],[TargetID]],tblTargetStatus[TargetID],tblTargetStatus[TargetFunded],"")</f>
        <v>0</v>
      </c>
      <c r="I20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5" spans="1:9" ht="26.15" customHeight="1">
      <c r="A205" t="s">
        <v>2642</v>
      </c>
      <c r="B205" t="str">
        <f>_xlfn.XLOOKUP(tblChecklist[[#This Row],[TargetID]],tblTargets[TargetID],tblTargets[DisplayName])</f>
        <v>Treasury 1 Lv 2</v>
      </c>
      <c r="C205" s="2" t="str">
        <f>_xlfn.XLOOKUP(
 tblChecklist[[#This Row],[TargetID]],
 tblTargetStatus[TargetID],
 tblTargetStatus[successors],
 ""
)</f>
        <v>Treasury 1 Lv 3</v>
      </c>
      <c r="D205" s="79" t="str">
        <f>_xlfn.XLOOKUP(tblChecklist[[#This Row],[TargetID]],tblTargets[TargetID],tblTargets[TargetType],"")</f>
        <v>COLLECTION</v>
      </c>
      <c r="E205" s="79" t="str">
        <f>_xlfn.XLOOKUP(tblChecklist[[#This Row],[TargetID]],tblTargetStatus[TargetID],tblTargetStatus[ChainAwareStatus],"")</f>
        <v>BLOCKED</v>
      </c>
      <c r="G205" s="82" t="b">
        <v>0</v>
      </c>
      <c r="H205" s="79" t="b">
        <f>_xlfn.XLOOKUP(tblChecklist[[#This Row],[TargetID]],tblTargetStatus[TargetID],tblTargetStatus[TargetFunded],"")</f>
        <v>0</v>
      </c>
      <c r="I20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6" spans="1:9" ht="26.15" customHeight="1">
      <c r="A206" t="s">
        <v>2643</v>
      </c>
      <c r="B206" t="str">
        <f>_xlfn.XLOOKUP(tblChecklist[[#This Row],[TargetID]],tblTargets[TargetID],tblTargets[DisplayName])</f>
        <v>Treasury 1 Lv 3</v>
      </c>
      <c r="C206" s="2" t="str">
        <f>_xlfn.XLOOKUP(
 tblChecklist[[#This Row],[TargetID]],
 tblTargetStatus[TargetID],
 tblTargetStatus[successors],
 ""
)</f>
        <v>Treasury 1 Lv 4</v>
      </c>
      <c r="D206" s="79" t="str">
        <f>_xlfn.XLOOKUP(tblChecklist[[#This Row],[TargetID]],tblTargets[TargetID],tblTargets[TargetType],"")</f>
        <v>COLLECTION</v>
      </c>
      <c r="E206" s="79" t="str">
        <f>_xlfn.XLOOKUP(tblChecklist[[#This Row],[TargetID]],tblTargetStatus[TargetID],tblTargetStatus[ChainAwareStatus],"")</f>
        <v>BLOCKED</v>
      </c>
      <c r="G206" s="82" t="b">
        <v>0</v>
      </c>
      <c r="H206" s="79" t="b">
        <f>_xlfn.XLOOKUP(tblChecklist[[#This Row],[TargetID]],tblTargetStatus[TargetID],tblTargetStatus[TargetFunded],"")</f>
        <v>0</v>
      </c>
      <c r="I20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7" spans="1:9" ht="26.15" customHeight="1">
      <c r="A207" t="s">
        <v>2644</v>
      </c>
      <c r="B207" t="str">
        <f>_xlfn.XLOOKUP(tblChecklist[[#This Row],[TargetID]],tblTargets[TargetID],tblTargets[DisplayName])</f>
        <v>Treasury 1 Lv 4</v>
      </c>
      <c r="C207" s="2" t="str">
        <f>_xlfn.XLOOKUP(
 tblChecklist[[#This Row],[TargetID]],
 tblTargetStatus[TargetID],
 tblTargetStatus[successors],
 ""
)</f>
        <v>Treasury 1 Lv 5</v>
      </c>
      <c r="D207" s="79" t="str">
        <f>_xlfn.XLOOKUP(tblChecklist[[#This Row],[TargetID]],tblTargets[TargetID],tblTargets[TargetType],"")</f>
        <v>COLLECTION</v>
      </c>
      <c r="E207" s="79" t="str">
        <f>_xlfn.XLOOKUP(tblChecklist[[#This Row],[TargetID]],tblTargetStatus[TargetID],tblTargetStatus[ChainAwareStatus],"")</f>
        <v>BLOCKED</v>
      </c>
      <c r="G207" s="82" t="b">
        <v>0</v>
      </c>
      <c r="H207" s="79" t="b">
        <f>_xlfn.XLOOKUP(tblChecklist[[#This Row],[TargetID]],tblTargetStatus[TargetID],tblTargetStatus[TargetFunded],"")</f>
        <v>0</v>
      </c>
      <c r="I20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8" spans="1:9" ht="26.15" customHeight="1">
      <c r="A208" t="s">
        <v>2645</v>
      </c>
      <c r="B208" t="str">
        <f>_xlfn.XLOOKUP(tblChecklist[[#This Row],[TargetID]],tblTargets[TargetID],tblTargets[DisplayName])</f>
        <v>Treasury 1 Lv 5</v>
      </c>
      <c r="C208" s="2" t="str">
        <f>_xlfn.XLOOKUP(
 tblChecklist[[#This Row],[TargetID]],
 tblTargetStatus[TargetID],
 tblTargetStatus[successors],
 ""
)</f>
        <v/>
      </c>
      <c r="D208" s="79" t="str">
        <f>_xlfn.XLOOKUP(tblChecklist[[#This Row],[TargetID]],tblTargets[TargetID],tblTargets[TargetType],"")</f>
        <v>COLLECTION</v>
      </c>
      <c r="E208" s="79" t="str">
        <f>_xlfn.XLOOKUP(tblChecklist[[#This Row],[TargetID]],tblTargetStatus[TargetID],tblTargetStatus[ChainAwareStatus],"")</f>
        <v>BLOCKED</v>
      </c>
      <c r="G208" s="82" t="b">
        <v>0</v>
      </c>
      <c r="H208" s="79" t="b">
        <f>_xlfn.XLOOKUP(tblChecklist[[#This Row],[TargetID]],tblTargetStatus[TargetID],tblTargetStatus[TargetFunded],"")</f>
        <v>0</v>
      </c>
      <c r="I20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9" spans="1:9" ht="26.15" customHeight="1">
      <c r="A209" t="s">
        <v>2646</v>
      </c>
      <c r="B209" t="str">
        <f>_xlfn.XLOOKUP(tblChecklist[[#This Row],[TargetID]],tblTargets[TargetID],tblTargets[DisplayName])</f>
        <v>Treasury 2 Lv 1</v>
      </c>
      <c r="C209" s="2" t="str">
        <f>_xlfn.XLOOKUP(
 tblChecklist[[#This Row],[TargetID]],
 tblTargetStatus[TargetID],
 tblTargetStatus[successors],
 ""
)</f>
        <v>Treasury 2 Lv 2</v>
      </c>
      <c r="D209" s="79" t="str">
        <f>_xlfn.XLOOKUP(tblChecklist[[#This Row],[TargetID]],tblTargets[TargetID],tblTargets[TargetType],"")</f>
        <v>COLLECTION</v>
      </c>
      <c r="E209" s="79" t="str">
        <f>_xlfn.XLOOKUP(tblChecklist[[#This Row],[TargetID]],tblTargetStatus[TargetID],tblTargetStatus[ChainAwareStatus],"")</f>
        <v>BLOCKED</v>
      </c>
      <c r="G209" s="82" t="b">
        <v>0</v>
      </c>
      <c r="H209" s="79" t="b">
        <f>_xlfn.XLOOKUP(tblChecklist[[#This Row],[TargetID]],tblTargetStatus[TargetID],tblTargetStatus[TargetFunded],"")</f>
        <v>0</v>
      </c>
      <c r="I20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0" spans="1:9" ht="26.15" customHeight="1">
      <c r="A210" t="s">
        <v>2647</v>
      </c>
      <c r="B210" t="str">
        <f>_xlfn.XLOOKUP(tblChecklist[[#This Row],[TargetID]],tblTargets[TargetID],tblTargets[DisplayName])</f>
        <v>Treasury 2 Lv 2</v>
      </c>
      <c r="C210" s="2" t="str">
        <f>_xlfn.XLOOKUP(
 tblChecklist[[#This Row],[TargetID]],
 tblTargetStatus[TargetID],
 tblTargetStatus[successors],
 ""
)</f>
        <v>Treasury 2 Lv 3</v>
      </c>
      <c r="D210" s="79" t="str">
        <f>_xlfn.XLOOKUP(tblChecklist[[#This Row],[TargetID]],tblTargets[TargetID],tblTargets[TargetType],"")</f>
        <v>COLLECTION</v>
      </c>
      <c r="E210" s="79" t="str">
        <f>_xlfn.XLOOKUP(tblChecklist[[#This Row],[TargetID]],tblTargetStatus[TargetID],tblTargetStatus[ChainAwareStatus],"")</f>
        <v>BLOCKED</v>
      </c>
      <c r="G210" s="82" t="b">
        <v>0</v>
      </c>
      <c r="H210" s="79" t="b">
        <f>_xlfn.XLOOKUP(tblChecklist[[#This Row],[TargetID]],tblTargetStatus[TargetID],tblTargetStatus[TargetFunded],"")</f>
        <v>0</v>
      </c>
      <c r="I21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1" spans="1:9" ht="26.15" customHeight="1">
      <c r="A211" t="s">
        <v>2648</v>
      </c>
      <c r="B211" t="str">
        <f>_xlfn.XLOOKUP(tblChecklist[[#This Row],[TargetID]],tblTargets[TargetID],tblTargets[DisplayName])</f>
        <v>Treasury 2 Lv 3</v>
      </c>
      <c r="C211" s="2" t="str">
        <f>_xlfn.XLOOKUP(
 tblChecklist[[#This Row],[TargetID]],
 tblTargetStatus[TargetID],
 tblTargetStatus[successors],
 ""
)</f>
        <v/>
      </c>
      <c r="D211" s="79" t="str">
        <f>_xlfn.XLOOKUP(tblChecklist[[#This Row],[TargetID]],tblTargets[TargetID],tblTargets[TargetType],"")</f>
        <v>COLLECTION</v>
      </c>
      <c r="E211" s="79" t="str">
        <f>_xlfn.XLOOKUP(tblChecklist[[#This Row],[TargetID]],tblTargetStatus[TargetID],tblTargetStatus[ChainAwareStatus],"")</f>
        <v>BLOCKED</v>
      </c>
      <c r="G211" s="82" t="b">
        <v>0</v>
      </c>
      <c r="H211" s="79" t="b">
        <f>_xlfn.XLOOKUP(tblChecklist[[#This Row],[TargetID]],tblTargetStatus[TargetID],tblTargetStatus[TargetFunded],"")</f>
        <v>0</v>
      </c>
      <c r="I21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2" spans="1:9" ht="26.15" customHeight="1">
      <c r="A212" t="s">
        <v>2649</v>
      </c>
      <c r="B212" t="str">
        <f>_xlfn.XLOOKUP(tblChecklist[[#This Row],[TargetID]],tblTargets[TargetID],tblTargets[DisplayName])</f>
        <v>Treasury 3 Lv 1</v>
      </c>
      <c r="C212" s="2" t="str">
        <f>_xlfn.XLOOKUP(
 tblChecklist[[#This Row],[TargetID]],
 tblTargetStatus[TargetID],
 tblTargetStatus[successors],
 ""
)</f>
        <v/>
      </c>
      <c r="D212" s="79" t="str">
        <f>_xlfn.XLOOKUP(tblChecklist[[#This Row],[TargetID]],tblTargets[TargetID],tblTargets[TargetType],"")</f>
        <v>COLLECTION</v>
      </c>
      <c r="E212" s="79" t="str">
        <f>_xlfn.XLOOKUP(tblChecklist[[#This Row],[TargetID]],tblTargetStatus[TargetID],tblTargetStatus[ChainAwareStatus],"")</f>
        <v>BLOCKED</v>
      </c>
      <c r="G212" s="82" t="b">
        <v>0</v>
      </c>
      <c r="H212" s="79" t="b">
        <f>_xlfn.XLOOKUP(tblChecklist[[#This Row],[TargetID]],tblTargetStatus[TargetID],tblTargetStatus[TargetFunded],"")</f>
        <v>0</v>
      </c>
      <c r="I21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3" spans="1:9" ht="26.15" customHeight="1">
      <c r="A213" t="s">
        <v>2650</v>
      </c>
      <c r="B213" t="str">
        <f>_xlfn.XLOOKUP(tblChecklist[[#This Row],[TargetID]],tblTargets[TargetID],tblTargets[DisplayName])</f>
        <v>Astrolabe</v>
      </c>
      <c r="C213" s="2" t="str">
        <f>_xlfn.XLOOKUP(
 tblChecklist[[#This Row],[TargetID]],
 tblTargetStatus[TargetID],
 tblTargetStatus[successors],
 ""
)</f>
        <v/>
      </c>
      <c r="D213" s="79" t="str">
        <f>_xlfn.XLOOKUP(tblChecklist[[#This Row],[TargetID]],tblTargets[TargetID],tblTargets[TargetType],"")</f>
        <v>CRAFTIFACT</v>
      </c>
      <c r="E213" s="79" t="str">
        <f>_xlfn.XLOOKUP(tblChecklist[[#This Row],[TargetID]],tblTargetStatus[TargetID],tblTargetStatus[ChainAwareStatus],"")</f>
        <v>BLOCKED</v>
      </c>
      <c r="G213" s="82" t="b">
        <v>0</v>
      </c>
      <c r="H213" s="79" t="b">
        <f>_xlfn.XLOOKUP(tblChecklist[[#This Row],[TargetID]],tblTargetStatus[TargetID],tblTargetStatus[TargetFunded],"")</f>
        <v>0</v>
      </c>
      <c r="I21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4" spans="1:9" ht="26.15" customHeight="1">
      <c r="A214" t="s">
        <v>2652</v>
      </c>
      <c r="B214" t="str">
        <f>_xlfn.XLOOKUP(tblChecklist[[#This Row],[TargetID]],tblTargets[TargetID],tblTargets[DisplayName])</f>
        <v>Barometer</v>
      </c>
      <c r="C214" s="2" t="str">
        <f>_xlfn.XLOOKUP(
 tblChecklist[[#This Row],[TargetID]],
 tblTargetStatus[TargetID],
 tblTargetStatus[successors],
 ""
)</f>
        <v/>
      </c>
      <c r="D214" s="79" t="str">
        <f>_xlfn.XLOOKUP(tblChecklist[[#This Row],[TargetID]],tblTargets[TargetID],tblTargets[TargetType],"")</f>
        <v>CRAFTIFACT</v>
      </c>
      <c r="E214" s="79" t="str">
        <f>_xlfn.XLOOKUP(tblChecklist[[#This Row],[TargetID]],tblTargetStatus[TargetID],tblTargetStatus[ChainAwareStatus],"")</f>
        <v>BLOCKED</v>
      </c>
      <c r="G214" s="82" t="b">
        <v>0</v>
      </c>
      <c r="H214" s="79" t="b">
        <f>_xlfn.XLOOKUP(tblChecklist[[#This Row],[TargetID]],tblTargetStatus[TargetID],tblTargetStatus[TargetFunded],"")</f>
        <v>0</v>
      </c>
      <c r="I21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5" spans="1:9" ht="26.15" customHeight="1">
      <c r="A215" t="s">
        <v>2653</v>
      </c>
      <c r="B215" t="str">
        <f>_xlfn.XLOOKUP(tblChecklist[[#This Row],[TargetID]],tblTargets[TargetID],tblTargets[DisplayName])</f>
        <v>Cinema Projector</v>
      </c>
      <c r="C215" s="2" t="str">
        <f>_xlfn.XLOOKUP(
 tblChecklist[[#This Row],[TargetID]],
 tblTargetStatus[TargetID],
 tblTargetStatus[successors],
 ""
)</f>
        <v/>
      </c>
      <c r="D215" s="79" t="str">
        <f>_xlfn.XLOOKUP(tblChecklist[[#This Row],[TargetID]],tblTargets[TargetID],tblTargets[TargetType],"")</f>
        <v>CRAFTIFACT</v>
      </c>
      <c r="E215" s="79" t="str">
        <f>_xlfn.XLOOKUP(tblChecklist[[#This Row],[TargetID]],tblTargetStatus[TargetID],tblTargetStatus[ChainAwareStatus],"")</f>
        <v>BLOCKED</v>
      </c>
      <c r="G215" s="82" t="b">
        <v>0</v>
      </c>
      <c r="H215" s="79" t="b">
        <f>_xlfn.XLOOKUP(tblChecklist[[#This Row],[TargetID]],tblTargetStatus[TargetID],tblTargetStatus[TargetFunded],"")</f>
        <v>0</v>
      </c>
      <c r="I21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6" spans="1:9" ht="26.15" customHeight="1">
      <c r="A216" t="s">
        <v>2654</v>
      </c>
      <c r="B216" t="str">
        <f>_xlfn.XLOOKUP(tblChecklist[[#This Row],[TargetID]],tblTargets[TargetID],tblTargets[DisplayName])</f>
        <v>Dagger</v>
      </c>
      <c r="C216" s="2" t="str">
        <f>_xlfn.XLOOKUP(
 tblChecklist[[#This Row],[TargetID]],
 tblTargetStatus[TargetID],
 tblTargetStatus[successors],
 ""
)</f>
        <v/>
      </c>
      <c r="D216" s="79" t="str">
        <f>_xlfn.XLOOKUP(tblChecklist[[#This Row],[TargetID]],tblTargets[TargetID],tblTargets[TargetType],"")</f>
        <v>CRAFTIFACT</v>
      </c>
      <c r="E216" s="79" t="str">
        <f>_xlfn.XLOOKUP(tblChecklist[[#This Row],[TargetID]],tblTargetStatus[TargetID],tblTargetStatus[ChainAwareStatus],"")</f>
        <v>BLOCKED</v>
      </c>
      <c r="G216" s="82" t="b">
        <v>0</v>
      </c>
      <c r="H216" s="79" t="b">
        <f>_xlfn.XLOOKUP(tblChecklist[[#This Row],[TargetID]],tblTargetStatus[TargetID],tblTargetStatus[TargetFunded],"")</f>
        <v>0</v>
      </c>
      <c r="I21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7" spans="1:9" ht="26.15" customHeight="1">
      <c r="A217" t="s">
        <v>2655</v>
      </c>
      <c r="B217" t="str">
        <f>_xlfn.XLOOKUP(tblChecklist[[#This Row],[TargetID]],tblTargets[TargetID],tblTargets[DisplayName])</f>
        <v>Emerald Tablet</v>
      </c>
      <c r="C217" s="2" t="str">
        <f>_xlfn.XLOOKUP(
 tblChecklist[[#This Row],[TargetID]],
 tblTargetStatus[TargetID],
 tblTargetStatus[successors],
 ""
)</f>
        <v>Quest for Knowledge Chapter 3 Finished</v>
      </c>
      <c r="D217" s="79" t="str">
        <f>_xlfn.XLOOKUP(tblChecklist[[#This Row],[TargetID]],tblTargets[TargetID],tblTargets[TargetType],"")</f>
        <v>CRAFTIFACT</v>
      </c>
      <c r="E217" s="79" t="str">
        <f>_xlfn.XLOOKUP(tblChecklist[[#This Row],[TargetID]],tblTargetStatus[TargetID],tblTargetStatus[ChainAwareStatus],"")</f>
        <v>BLOCKED</v>
      </c>
      <c r="G217" s="82" t="b">
        <v>0</v>
      </c>
      <c r="H217" s="79" t="b">
        <f>_xlfn.XLOOKUP(tblChecklist[[#This Row],[TargetID]],tblTargetStatus[TargetID],tblTargetStatus[TargetFunded],"")</f>
        <v>0</v>
      </c>
      <c r="I21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8" spans="1:9" ht="26.15" customHeight="1">
      <c r="A218" t="s">
        <v>2656</v>
      </c>
      <c r="B218" t="str">
        <f>_xlfn.XLOOKUP(tblChecklist[[#This Row],[TargetID]],tblTargets[TargetID],tblTargets[DisplayName])</f>
        <v>Flamethrower</v>
      </c>
      <c r="C218" s="2" t="str">
        <f>_xlfn.XLOOKUP(
 tblChecklist[[#This Row],[TargetID]],
 tblTargetStatus[TargetID],
 tblTargetStatus[successors],
 ""
)</f>
        <v/>
      </c>
      <c r="D218" s="79" t="str">
        <f>_xlfn.XLOOKUP(tblChecklist[[#This Row],[TargetID]],tblTargets[TargetID],tblTargets[TargetType],"")</f>
        <v>CRAFTIFACT</v>
      </c>
      <c r="E218" s="79" t="str">
        <f>_xlfn.XLOOKUP(tblChecklist[[#This Row],[TargetID]],tblTargetStatus[TargetID],tblTargetStatus[ChainAwareStatus],"")</f>
        <v>BLOCKED</v>
      </c>
      <c r="F218" s="79">
        <v>25</v>
      </c>
      <c r="G218" s="82" t="b">
        <v>0</v>
      </c>
      <c r="H218" s="79" t="b">
        <f>_xlfn.XLOOKUP(tblChecklist[[#This Row],[TargetID]],tblTargetStatus[TargetID],tblTargetStatus[TargetFunded],"")</f>
        <v>0</v>
      </c>
      <c r="I21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9" spans="1:9" ht="26.15" customHeight="1">
      <c r="A219" t="s">
        <v>2657</v>
      </c>
      <c r="B219" t="str">
        <f>_xlfn.XLOOKUP(tblChecklist[[#This Row],[TargetID]],tblTargets[TargetID],tblTargets[DisplayName])</f>
        <v>Guild Banner</v>
      </c>
      <c r="C219" s="2" t="str">
        <f>_xlfn.XLOOKUP(
 tblChecklist[[#This Row],[TargetID]],
 tblTargetStatus[TargetID],
 tblTargetStatus[successors],
 ""
)</f>
        <v>Honor, Glory, Sushi Finished</v>
      </c>
      <c r="D219" s="79" t="str">
        <f>_xlfn.XLOOKUP(tblChecklist[[#This Row],[TargetID]],tblTargets[TargetID],tblTargets[TargetType],"")</f>
        <v>CRAFTIFACT</v>
      </c>
      <c r="E219" s="79" t="str">
        <f>_xlfn.XLOOKUP(tblChecklist[[#This Row],[TargetID]],tblTargetStatus[TargetID],tblTargetStatus[ChainAwareStatus],"")</f>
        <v>BLOCKED</v>
      </c>
      <c r="G219" s="82" t="b">
        <v>0</v>
      </c>
      <c r="H219" s="79" t="b">
        <f>_xlfn.XLOOKUP(tblChecklist[[#This Row],[TargetID]],tblTargetStatus[TargetID],tblTargetStatus[TargetFunded],"")</f>
        <v>0</v>
      </c>
      <c r="I21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0" spans="1:9" ht="26.15" customHeight="1">
      <c r="A220" t="s">
        <v>2658</v>
      </c>
      <c r="B220" t="str">
        <f>_xlfn.XLOOKUP(tblChecklist[[#This Row],[TargetID]],tblTargets[TargetID],tblTargets[DisplayName])</f>
        <v>Guild Codex</v>
      </c>
      <c r="C220" s="2" t="str">
        <f>_xlfn.XLOOKUP(
 tblChecklist[[#This Row],[TargetID]],
 tblTargetStatus[TargetID],
 tblTargetStatus[successors],
 ""
)</f>
        <v>Honor, Glory, Sushi Finished</v>
      </c>
      <c r="D220" s="79" t="str">
        <f>_xlfn.XLOOKUP(tblChecklist[[#This Row],[TargetID]],tblTargets[TargetID],tblTargets[TargetType],"")</f>
        <v>CRAFTIFACT</v>
      </c>
      <c r="E220" s="79" t="str">
        <f>_xlfn.XLOOKUP(tblChecklist[[#This Row],[TargetID]],tblTargetStatus[TargetID],tblTargetStatus[ChainAwareStatus],"")</f>
        <v>BLOCKED</v>
      </c>
      <c r="G220" s="82" t="b">
        <v>0</v>
      </c>
      <c r="H220" s="79" t="b">
        <f>_xlfn.XLOOKUP(tblChecklist[[#This Row],[TargetID]],tblTargetStatus[TargetID],tblTargetStatus[TargetFunded],"")</f>
        <v>0</v>
      </c>
      <c r="I22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1" spans="1:9" ht="26.15" customHeight="1">
      <c r="A221" t="s">
        <v>2659</v>
      </c>
      <c r="B221" t="str">
        <f>_xlfn.XLOOKUP(tblChecklist[[#This Row],[TargetID]],tblTargets[TargetID],tblTargets[DisplayName])</f>
        <v>Guild Supplies</v>
      </c>
      <c r="C221" s="2" t="str">
        <f>_xlfn.XLOOKUP(
 tblChecklist[[#This Row],[TargetID]],
 tblTargetStatus[TargetID],
 tblTargetStatus[successors],
 ""
)</f>
        <v>Honor, Glory, Sushi Finished</v>
      </c>
      <c r="D221" s="79" t="str">
        <f>_xlfn.XLOOKUP(tblChecklist[[#This Row],[TargetID]],tblTargets[TargetID],tblTargets[TargetType],"")</f>
        <v>CRAFTIFACT</v>
      </c>
      <c r="E221" s="79" t="str">
        <f>_xlfn.XLOOKUP(tblChecklist[[#This Row],[TargetID]],tblTargetStatus[TargetID],tblTargetStatus[ChainAwareStatus],"")</f>
        <v>BLOCKED</v>
      </c>
      <c r="G221" s="82" t="b">
        <v>0</v>
      </c>
      <c r="H221" s="79" t="b">
        <f>_xlfn.XLOOKUP(tblChecklist[[#This Row],[TargetID]],tblTargetStatus[TargetID],tblTargetStatus[TargetFunded],"")</f>
        <v>0</v>
      </c>
      <c r="I22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2" spans="1:9" ht="26.15" customHeight="1">
      <c r="A222" t="s">
        <v>2660</v>
      </c>
      <c r="B222" t="str">
        <f>_xlfn.XLOOKUP(tblChecklist[[#This Row],[TargetID]],tblTargets[TargetID],tblTargets[DisplayName])</f>
        <v>Hat Of Concentration</v>
      </c>
      <c r="C222" s="2" t="str">
        <f>_xlfn.XLOOKUP(
 tblChecklist[[#This Row],[TargetID]],
 tblTargetStatus[TargetID],
 tblTargetStatus[successors],
 ""
)</f>
        <v/>
      </c>
      <c r="D222" s="79" t="str">
        <f>_xlfn.XLOOKUP(tblChecklist[[#This Row],[TargetID]],tblTargets[TargetID],tblTargets[TargetType],"")</f>
        <v>CRAFTIFACT</v>
      </c>
      <c r="E222" s="79" t="str">
        <f>_xlfn.XLOOKUP(tblChecklist[[#This Row],[TargetID]],tblTargetStatus[TargetID],tblTargetStatus[ChainAwareStatus],"")</f>
        <v>BLOCKED</v>
      </c>
      <c r="F222" s="79">
        <v>29</v>
      </c>
      <c r="G222" s="82" t="b">
        <v>0</v>
      </c>
      <c r="H222" s="79" t="b">
        <f>_xlfn.XLOOKUP(tblChecklist[[#This Row],[TargetID]],tblTargetStatus[TargetID],tblTargetStatus[TargetFunded],"")</f>
        <v>0</v>
      </c>
      <c r="I22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3" spans="1:9" ht="26.15" customHeight="1">
      <c r="A223" t="s">
        <v>2661</v>
      </c>
      <c r="B223" t="str">
        <f>_xlfn.XLOOKUP(tblChecklist[[#This Row],[TargetID]],tblTargets[TargetID],tblTargets[DisplayName])</f>
        <v>Helmet</v>
      </c>
      <c r="C223" s="2" t="str">
        <f>_xlfn.XLOOKUP(
 tblChecklist[[#This Row],[TargetID]],
 tblTargetStatus[TargetID],
 tblTargetStatus[successors],
 ""
)</f>
        <v/>
      </c>
      <c r="D223" s="79" t="str">
        <f>_xlfn.XLOOKUP(tblChecklist[[#This Row],[TargetID]],tblTargets[TargetID],tblTargets[TargetType],"")</f>
        <v>CRAFTIFACT</v>
      </c>
      <c r="E223" s="79" t="str">
        <f>_xlfn.XLOOKUP(tblChecklist[[#This Row],[TargetID]],tblTargetStatus[TargetID],tblTargetStatus[ChainAwareStatus],"")</f>
        <v>BLOCKED</v>
      </c>
      <c r="G223" s="82" t="b">
        <v>0</v>
      </c>
      <c r="H223" s="79" t="b">
        <f>_xlfn.XLOOKUP(tblChecklist[[#This Row],[TargetID]],tblTargetStatus[TargetID],tblTargetStatus[TargetFunded],"")</f>
        <v>0</v>
      </c>
      <c r="I22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4" spans="1:9" ht="26.15" customHeight="1">
      <c r="A224" t="s">
        <v>2662</v>
      </c>
      <c r="B224" t="str">
        <f>_xlfn.XLOOKUP(tblChecklist[[#This Row],[TargetID]],tblTargets[TargetID],tblTargets[DisplayName])</f>
        <v>Historical Library</v>
      </c>
      <c r="C224" s="2" t="str">
        <f>_xlfn.XLOOKUP(
 tblChecklist[[#This Row],[TargetID]],
 tblTargetStatus[TargetID],
 tblTargetStatus[successors],
 ""
)</f>
        <v>Historical Library 1 Lv 1, Quest for Knowledge Chapter 4 Finished</v>
      </c>
      <c r="D224" s="79" t="str">
        <f>_xlfn.XLOOKUP(tblChecklist[[#This Row],[TargetID]],tblTargets[TargetID],tblTargets[TargetType],"")</f>
        <v>CRAFTIFACT</v>
      </c>
      <c r="E224" s="79" t="str">
        <f>_xlfn.XLOOKUP(tblChecklist[[#This Row],[TargetID]],tblTargetStatus[TargetID],tblTargetStatus[ChainAwareStatus],"")</f>
        <v>BLOCKED</v>
      </c>
      <c r="G224" s="82" t="b">
        <v>0</v>
      </c>
      <c r="H224" s="79" t="b">
        <f>_xlfn.XLOOKUP(tblChecklist[[#This Row],[TargetID]],tblTargetStatus[TargetID],tblTargetStatus[TargetFunded],"")</f>
        <v>0</v>
      </c>
      <c r="I22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5" spans="1:9" ht="26.15" customHeight="1">
      <c r="A225" t="s">
        <v>2663</v>
      </c>
      <c r="B225" t="str">
        <f>_xlfn.XLOOKUP(tblChecklist[[#This Row],[TargetID]],tblTargets[TargetID],tblTargets[DisplayName])</f>
        <v>Hotei Statuette</v>
      </c>
      <c r="C225" s="2" t="str">
        <f>_xlfn.XLOOKUP(
 tblChecklist[[#This Row],[TargetID]],
 tblTargetStatus[TargetID],
 tblTargetStatus[successors],
 ""
)</f>
        <v/>
      </c>
      <c r="D225" s="79" t="str">
        <f>_xlfn.XLOOKUP(tblChecklist[[#This Row],[TargetID]],tblTargets[TargetID],tblTargets[TargetType],"")</f>
        <v>CRAFTIFACT</v>
      </c>
      <c r="E225" s="79" t="str">
        <f>_xlfn.XLOOKUP(tblChecklist[[#This Row],[TargetID]],tblTargetStatus[TargetID],tblTargetStatus[ChainAwareStatus],"")</f>
        <v>BLOCKED</v>
      </c>
      <c r="G225" s="82" t="b">
        <v>0</v>
      </c>
      <c r="H225" s="79" t="b">
        <f>_xlfn.XLOOKUP(tblChecklist[[#This Row],[TargetID]],tblTargetStatus[TargetID],tblTargetStatus[TargetFunded],"")</f>
        <v>0</v>
      </c>
      <c r="I22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6" spans="1:9" ht="26.15" customHeight="1">
      <c r="A226" t="s">
        <v>2664</v>
      </c>
      <c r="B226" t="str">
        <f>_xlfn.XLOOKUP(tblChecklist[[#This Row],[TargetID]],tblTargets[TargetID],tblTargets[DisplayName])</f>
        <v>Metal Detector</v>
      </c>
      <c r="C226" s="2" t="str">
        <f>_xlfn.XLOOKUP(
 tblChecklist[[#This Row],[TargetID]],
 tblTargetStatus[TargetID],
 tblTargetStatus[successors],
 ""
)</f>
        <v/>
      </c>
      <c r="D226" s="79" t="str">
        <f>_xlfn.XLOOKUP(tblChecklist[[#This Row],[TargetID]],tblTargets[TargetID],tblTargets[TargetType],"")</f>
        <v>CRAFTIFACT</v>
      </c>
      <c r="E226" s="79" t="str">
        <f>_xlfn.XLOOKUP(tblChecklist[[#This Row],[TargetID]],tblTargetStatus[TargetID],tblTargetStatus[ChainAwareStatus],"")</f>
        <v>BLOCKED</v>
      </c>
      <c r="G226" s="82" t="b">
        <v>0</v>
      </c>
      <c r="H226" s="79" t="b">
        <f>_xlfn.XLOOKUP(tblChecklist[[#This Row],[TargetID]],tblTargetStatus[TargetID],tblTargetStatus[TargetFunded],"")</f>
        <v>0</v>
      </c>
      <c r="I2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7" spans="1:9" ht="26.15" customHeight="1">
      <c r="A227" t="s">
        <v>2665</v>
      </c>
      <c r="B227" t="str">
        <f>_xlfn.XLOOKUP(tblChecklist[[#This Row],[TargetID]],tblTargets[TargetID],tblTargets[DisplayName])</f>
        <v>Necklace For Haruka</v>
      </c>
      <c r="C227" s="2" t="str">
        <f>_xlfn.XLOOKUP(
 tblChecklist[[#This Row],[TargetID]],
 tblTargetStatus[TargetID],
 tblTargetStatus[successors],
 ""
)</f>
        <v/>
      </c>
      <c r="D227" s="79" t="str">
        <f>_xlfn.XLOOKUP(tblChecklist[[#This Row],[TargetID]],tblTargets[TargetID],tblTargets[TargetType],"")</f>
        <v>CRAFTIFACT</v>
      </c>
      <c r="E227" s="79" t="str">
        <f>_xlfn.XLOOKUP(tblChecklist[[#This Row],[TargetID]],tblTargetStatus[TargetID],tblTargetStatus[ChainAwareStatus],"")</f>
        <v>BLOCKED</v>
      </c>
      <c r="G227" s="82" t="b">
        <v>0</v>
      </c>
      <c r="H227" s="79" t="b">
        <f>_xlfn.XLOOKUP(tblChecklist[[#This Row],[TargetID]],tblTargetStatus[TargetID],tblTargetStatus[TargetFunded],"")</f>
        <v>0</v>
      </c>
      <c r="I22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8" spans="1:9" ht="26.15" customHeight="1">
      <c r="A228" t="s">
        <v>2666</v>
      </c>
      <c r="B228" t="str">
        <f>_xlfn.XLOOKUP(tblChecklist[[#This Row],[TargetID]],tblTargets[TargetID],tblTargets[DisplayName])</f>
        <v>Safe</v>
      </c>
      <c r="C228" s="2" t="str">
        <f>_xlfn.XLOOKUP(
 tblChecklist[[#This Row],[TargetID]],
 tblTargetStatus[TargetID],
 tblTargetStatus[successors],
 ""
)</f>
        <v/>
      </c>
      <c r="D228" s="79" t="str">
        <f>_xlfn.XLOOKUP(tblChecklist[[#This Row],[TargetID]],tblTargets[TargetID],tblTargets[TargetType],"")</f>
        <v>CRAFTIFACT</v>
      </c>
      <c r="E228" s="79" t="str">
        <f>_xlfn.XLOOKUP(tblChecklist[[#This Row],[TargetID]],tblTargetStatus[TargetID],tblTargetStatus[ChainAwareStatus],"")</f>
        <v>BLOCKED</v>
      </c>
      <c r="F228" s="79">
        <v>500</v>
      </c>
      <c r="G228" s="82" t="b">
        <v>0</v>
      </c>
      <c r="H228" s="79" t="b">
        <f>_xlfn.XLOOKUP(tblChecklist[[#This Row],[TargetID]],tblTargetStatus[TargetID],tblTargetStatus[TargetFunded],"")</f>
        <v>0</v>
      </c>
      <c r="I22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9" spans="1:9" ht="26.15" customHeight="1">
      <c r="A229" t="s">
        <v>2667</v>
      </c>
      <c r="B229" t="str">
        <f>_xlfn.XLOOKUP(tblChecklist[[#This Row],[TargetID]],tblTargets[TargetID],tblTargets[DisplayName])</f>
        <v>Solver 1 Prototype</v>
      </c>
      <c r="C229" s="2" t="str">
        <f>_xlfn.XLOOKUP(
 tblChecklist[[#This Row],[TargetID]],
 tblTargetStatus[TargetID],
 tblTargetStatus[successors],
 ""
)</f>
        <v>Laboratory Lv 1, Ahead of Time Chapter 1 Accepted, Meet mechanical adventurer in Dungeon 3A, Once Upon a Forest Chapter 14 Finished</v>
      </c>
      <c r="D229" s="79" t="str">
        <f>_xlfn.XLOOKUP(tblChecklist[[#This Row],[TargetID]],tblTargets[TargetID],tblTargets[TargetType],"")</f>
        <v>CRAFTIFACT</v>
      </c>
      <c r="E229" s="79" t="str">
        <f>_xlfn.XLOOKUP(tblChecklist[[#This Row],[TargetID]],tblTargetStatus[TargetID],tblTargetStatus[ChainAwareStatus],"")</f>
        <v>BLOCKED</v>
      </c>
      <c r="G229" s="82" t="b">
        <v>0</v>
      </c>
      <c r="H229" s="79" t="b">
        <f>_xlfn.XLOOKUP(tblChecklist[[#This Row],[TargetID]],tblTargetStatus[TargetID],tblTargetStatus[TargetFunded],"")</f>
        <v>0</v>
      </c>
      <c r="I22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0" spans="1:9" ht="26.15" customHeight="1">
      <c r="A230" t="s">
        <v>2668</v>
      </c>
      <c r="B230" t="str">
        <f>_xlfn.XLOOKUP(tblChecklist[[#This Row],[TargetID]],tblTargets[TargetID],tblTargets[DisplayName])</f>
        <v>Telescope</v>
      </c>
      <c r="C230" s="2" t="str">
        <f>_xlfn.XLOOKUP(
 tblChecklist[[#This Row],[TargetID]],
 tblTargetStatus[TargetID],
 tblTargetStatus[successors],
 ""
)</f>
        <v>Laboratory Lv 1, Quest for Knowledge Chapter 5 Finished</v>
      </c>
      <c r="D230" s="79" t="str">
        <f>_xlfn.XLOOKUP(tblChecklist[[#This Row],[TargetID]],tblTargets[TargetID],tblTargets[TargetType],"")</f>
        <v>CRAFTIFACT</v>
      </c>
      <c r="E230" s="79" t="str">
        <f>_xlfn.XLOOKUP(tblChecklist[[#This Row],[TargetID]],tblTargetStatus[TargetID],tblTargetStatus[ChainAwareStatus],"")</f>
        <v>BLOCKED</v>
      </c>
      <c r="G230" s="82" t="b">
        <v>0</v>
      </c>
      <c r="H230" s="79" t="b">
        <f>_xlfn.XLOOKUP(tblChecklist[[#This Row],[TargetID]],tblTargetStatus[TargetID],tblTargetStatus[TargetFunded],"")</f>
        <v>0</v>
      </c>
      <c r="I23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1" spans="1:9" ht="26.15" customHeight="1">
      <c r="A231" t="s">
        <v>2669</v>
      </c>
      <c r="B231" t="str">
        <f>_xlfn.XLOOKUP(tblChecklist[[#This Row],[TargetID]],tblTargets[TargetID],tblTargets[DisplayName])</f>
        <v>Tetrachloroaurate</v>
      </c>
      <c r="C231" s="2" t="str">
        <f>_xlfn.XLOOKUP(
 tblChecklist[[#This Row],[TargetID]],
 tblTargetStatus[TargetID],
 tblTargetStatus[successors],
 ""
)</f>
        <v/>
      </c>
      <c r="D231" s="79" t="str">
        <f>_xlfn.XLOOKUP(tblChecklist[[#This Row],[TargetID]],tblTargets[TargetID],tblTargets[TargetType],"")</f>
        <v>CRAFTIFACT</v>
      </c>
      <c r="E231" s="79" t="str">
        <f>_xlfn.XLOOKUP(tblChecklist[[#This Row],[TargetID]],tblTargetStatus[TargetID],tblTargetStatus[ChainAwareStatus],"")</f>
        <v>BLOCKED</v>
      </c>
      <c r="G231" s="82" t="b">
        <v>0</v>
      </c>
      <c r="H231" s="79" t="b">
        <f>_xlfn.XLOOKUP(tblChecklist[[#This Row],[TargetID]],tblTargetStatus[TargetID],tblTargetStatus[TargetFunded],"")</f>
        <v>0</v>
      </c>
      <c r="I23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2" spans="1:9" ht="26.15" customHeight="1">
      <c r="A232" t="s">
        <v>2670</v>
      </c>
      <c r="B232" t="str">
        <f>_xlfn.XLOOKUP(tblChecklist[[#This Row],[TargetID]],tblTargets[TargetID],tblTargets[DisplayName])</f>
        <v>Trigonometry</v>
      </c>
      <c r="C232" s="2" t="str">
        <f>_xlfn.XLOOKUP(
 tblChecklist[[#This Row],[TargetID]],
 tblTargetStatus[TargetID],
 tblTargetStatus[successors],
 ""
)</f>
        <v>Quest for Knowledge Chapter 2 Finished</v>
      </c>
      <c r="D232" s="79" t="str">
        <f>_xlfn.XLOOKUP(tblChecklist[[#This Row],[TargetID]],tblTargets[TargetID],tblTargets[TargetType],"")</f>
        <v>CRAFTIFACT</v>
      </c>
      <c r="E232" s="79" t="str">
        <f>_xlfn.XLOOKUP(tblChecklist[[#This Row],[TargetID]],tblTargetStatus[TargetID],tblTargetStatus[ChainAwareStatus],"")</f>
        <v>BLOCKED</v>
      </c>
      <c r="G232" s="82" t="b">
        <v>0</v>
      </c>
      <c r="H232" s="79" t="b">
        <f>_xlfn.XLOOKUP(tblChecklist[[#This Row],[TargetID]],tblTargetStatus[TargetID],tblTargetStatus[TargetFunded],"")</f>
        <v>0</v>
      </c>
      <c r="I23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3" spans="1:9" ht="26.15" customHeight="1">
      <c r="A233" t="s">
        <v>2281</v>
      </c>
      <c r="B233" t="str">
        <f>_xlfn.XLOOKUP(tblChecklist[[#This Row],[TargetID]],tblTargets[TargetID],tblTargets[DisplayName])</f>
        <v>Ahead of Time Chapter 1 Accepted</v>
      </c>
      <c r="C233" s="2" t="str">
        <f>_xlfn.XLOOKUP(
 tblChecklist[[#This Row],[TargetID]],
 tblTargetStatus[TargetID],
 tblTargetStatus[successors],
 ""
)</f>
        <v>Laboratory Lv 1, Ahead of Time Chapter 1 Finished, Deliver Bedroll to  4B , Deliver Horn to  2C , Deliver Pizza Diavola to  5B , Deliver Pizza Diavola to  5C , Deliver Porcini pasta to  3C , Deliver Potion Ambrosia to  3B , Deliver Potion Berserker rage to  1C , Deliver Yuba to  4C , Alchemist's Hut - Perfect Fertilizer</v>
      </c>
      <c r="D233" s="79" t="str">
        <f>_xlfn.XLOOKUP(tblChecklist[[#This Row],[TargetID]],tblTargets[TargetID],tblTargets[TargetType],"")</f>
        <v>QUEST</v>
      </c>
      <c r="E233" s="79" t="str">
        <f>_xlfn.XLOOKUP(tblChecklist[[#This Row],[TargetID]],tblTargetStatus[TargetID],tblTargetStatus[ChainAwareStatus],"")</f>
        <v>BLOCKED</v>
      </c>
      <c r="G233" s="82" t="b">
        <v>0</v>
      </c>
      <c r="H233" s="79" t="str">
        <f>_xlfn.XLOOKUP(tblChecklist[[#This Row],[TargetID]],tblTargetStatus[TargetID],tblTargetStatus[TargetFunded],"")</f>
        <v>N/A</v>
      </c>
      <c r="I23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4" spans="1:9" ht="26.15" customHeight="1">
      <c r="A234" t="s">
        <v>2450</v>
      </c>
      <c r="B234" t="str">
        <f>_xlfn.XLOOKUP(tblChecklist[[#This Row],[TargetID]],tblTargets[TargetID],tblTargets[DisplayName])</f>
        <v>Ahead of Time Chapter 1 Finished</v>
      </c>
      <c r="C234" s="2" t="str">
        <f>_xlfn.XLOOKUP(
 tblChecklist[[#This Row],[TargetID]],
 tblTargetStatus[TargetID],
 tblTargetStatus[successors],
 ""
)</f>
        <v>Ahead of Time Chapter 2 Accepted, Visit Dungeon@6A</v>
      </c>
      <c r="D234" s="79" t="str">
        <f>_xlfn.XLOOKUP(tblChecklist[[#This Row],[TargetID]],tblTargets[TargetID],tblTargets[TargetType],"")</f>
        <v>QUEST</v>
      </c>
      <c r="E234" s="79" t="str">
        <f>_xlfn.XLOOKUP(tblChecklist[[#This Row],[TargetID]],tblTargetStatus[TargetID],tblTargetStatus[ChainAwareStatus],"")</f>
        <v>BLOCKED</v>
      </c>
      <c r="G234" s="82" t="b">
        <v>0</v>
      </c>
      <c r="H234" s="79" t="b">
        <f>_xlfn.XLOOKUP(tblChecklist[[#This Row],[TargetID]],tblTargetStatus[TargetID],tblTargetStatus[TargetFunded],"")</f>
        <v>0</v>
      </c>
      <c r="I23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5" spans="1:9" ht="26.15" customHeight="1">
      <c r="A235" t="s">
        <v>2285</v>
      </c>
      <c r="B235" t="str">
        <f>_xlfn.XLOOKUP(tblChecklist[[#This Row],[TargetID]],tblTargets[TargetID],tblTargets[DisplayName])</f>
        <v>Ahead of Time Chapter 2 Accepted</v>
      </c>
      <c r="C235" s="2" t="str">
        <f>_xlfn.XLOOKUP(
 tblChecklist[[#This Row],[TargetID]],
 tblTargetStatus[TargetID],
 tblTargetStatus[successors],
 ""
)</f>
        <v>Tunnel, Ahead of Time Chapter 2 Finished</v>
      </c>
      <c r="D235" s="79" t="str">
        <f>_xlfn.XLOOKUP(tblChecklist[[#This Row],[TargetID]],tblTargets[TargetID],tblTargets[TargetType],"")</f>
        <v>QUEST</v>
      </c>
      <c r="E235" s="79" t="str">
        <f>_xlfn.XLOOKUP(tblChecklist[[#This Row],[TargetID]],tblTargetStatus[TargetID],tblTargetStatus[ChainAwareStatus],"")</f>
        <v>BLOCKED</v>
      </c>
      <c r="G235" s="82" t="b">
        <v>0</v>
      </c>
      <c r="H235" s="79" t="str">
        <f>_xlfn.XLOOKUP(tblChecklist[[#This Row],[TargetID]],tblTargetStatus[TargetID],tblTargetStatus[TargetFunded],"")</f>
        <v>N/A</v>
      </c>
      <c r="I23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6" spans="1:9" ht="26.15" customHeight="1">
      <c r="A236" t="s">
        <v>2452</v>
      </c>
      <c r="B236" t="str">
        <f>_xlfn.XLOOKUP(tblChecklist[[#This Row],[TargetID]],tblTargets[TargetID],tblTargets[DisplayName])</f>
        <v>Ahead of Time Chapter 2 Finished</v>
      </c>
      <c r="C236" s="2" t="str">
        <f>_xlfn.XLOOKUP(
 tblChecklist[[#This Row],[TargetID]],
 tblTargetStatus[TargetID],
 tblTargetStatus[successors],
 ""
)</f>
        <v>Ahead of Time Chapter 3 Accepted</v>
      </c>
      <c r="D236" s="79" t="str">
        <f>_xlfn.XLOOKUP(tblChecklist[[#This Row],[TargetID]],tblTargets[TargetID],tblTargets[TargetType],"")</f>
        <v>QUEST</v>
      </c>
      <c r="E236" s="79" t="str">
        <f>_xlfn.XLOOKUP(tblChecklist[[#This Row],[TargetID]],tblTargetStatus[TargetID],tblTargetStatus[ChainAwareStatus],"")</f>
        <v>BLOCKED</v>
      </c>
      <c r="G236" s="82" t="b">
        <v>0</v>
      </c>
      <c r="H236" s="79" t="str">
        <f>_xlfn.XLOOKUP(tblChecklist[[#This Row],[TargetID]],tblTargetStatus[TargetID],tblTargetStatus[TargetFunded],"")</f>
        <v>N/A</v>
      </c>
      <c r="I23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7" spans="1:9" ht="26.15" customHeight="1">
      <c r="A237" t="s">
        <v>2288</v>
      </c>
      <c r="B237" t="str">
        <f>_xlfn.XLOOKUP(tblChecklist[[#This Row],[TargetID]],tblTargets[TargetID],tblTargets[DisplayName])</f>
        <v>Ahead of Time Chapter 3 Accepted</v>
      </c>
      <c r="C237" s="2" t="str">
        <f>_xlfn.XLOOKUP(
 tblChecklist[[#This Row],[TargetID]],
 tblTargetStatus[TargetID],
 tblTargetStatus[successors],
 ""
)</f>
        <v>Complete Dungeon 6D, Ahead of Time Chapter 3 Finished, Meet Alchemist in 6D, Meet Dark Lady in 6D</v>
      </c>
      <c r="D237" s="79" t="str">
        <f>_xlfn.XLOOKUP(tblChecklist[[#This Row],[TargetID]],tblTargets[TargetID],tblTargets[TargetType],"")</f>
        <v>QUEST</v>
      </c>
      <c r="E237" s="79" t="str">
        <f>_xlfn.XLOOKUP(tblChecklist[[#This Row],[TargetID]],tblTargetStatus[TargetID],tblTargetStatus[ChainAwareStatus],"")</f>
        <v>BLOCKED</v>
      </c>
      <c r="G237" s="82" t="b">
        <v>0</v>
      </c>
      <c r="H237" s="79" t="str">
        <f>_xlfn.XLOOKUP(tblChecklist[[#This Row],[TargetID]],tblTargetStatus[TargetID],tblTargetStatus[TargetFunded],"")</f>
        <v>N/A</v>
      </c>
      <c r="I23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8" spans="1:9" ht="26.15" customHeight="1">
      <c r="A238" t="s">
        <v>2454</v>
      </c>
      <c r="B238" t="str">
        <f>_xlfn.XLOOKUP(tblChecklist[[#This Row],[TargetID]],tblTargets[TargetID],tblTargets[DisplayName])</f>
        <v>Ahead of Time Chapter 3 Finished</v>
      </c>
      <c r="C238" s="2" t="str">
        <f>_xlfn.XLOOKUP(
 tblChecklist[[#This Row],[TargetID]],
 tblTargetStatus[TargetID],
 tblTargetStatus[successors],
 ""
)</f>
        <v>Ahead of Time Chapter 4 Accepted</v>
      </c>
      <c r="D238" s="79" t="str">
        <f>_xlfn.XLOOKUP(tblChecklist[[#This Row],[TargetID]],tblTargets[TargetID],tblTargets[TargetType],"")</f>
        <v>QUEST</v>
      </c>
      <c r="E238" s="79" t="str">
        <f>_xlfn.XLOOKUP(tblChecklist[[#This Row],[TargetID]],tblTargetStatus[TargetID],tblTargetStatus[ChainAwareStatus],"")</f>
        <v>BLOCKED</v>
      </c>
      <c r="G238" s="82" t="b">
        <v>0</v>
      </c>
      <c r="H238" s="79" t="str">
        <f>_xlfn.XLOOKUP(tblChecklist[[#This Row],[TargetID]],tblTargetStatus[TargetID],tblTargetStatus[TargetFunded],"")</f>
        <v>N/A</v>
      </c>
      <c r="I23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9" spans="1:9" ht="26.15" customHeight="1">
      <c r="A239" t="s">
        <v>2291</v>
      </c>
      <c r="B239" t="str">
        <f>_xlfn.XLOOKUP(tblChecklist[[#This Row],[TargetID]],tblTargets[TargetID],tblTargets[DisplayName])</f>
        <v>Ahead of Time Chapter 4 Accepted</v>
      </c>
      <c r="C239" s="2" t="str">
        <f>_xlfn.XLOOKUP(
 tblChecklist[[#This Row],[TargetID]],
 tblTargetStatus[TargetID],
 tblTargetStatus[successors],
 ""
)</f>
        <v>Ahead of Time Chapter 4 Finished, Send Train to Sapporo</v>
      </c>
      <c r="D239" s="79" t="str">
        <f>_xlfn.XLOOKUP(tblChecklist[[#This Row],[TargetID]],tblTargets[TargetID],tblTargets[TargetType],"")</f>
        <v>QUEST</v>
      </c>
      <c r="E239" s="79" t="str">
        <f>_xlfn.XLOOKUP(tblChecklist[[#This Row],[TargetID]],tblTargetStatus[TargetID],tblTargetStatus[ChainAwareStatus],"")</f>
        <v>BLOCKED</v>
      </c>
      <c r="G239" s="82" t="b">
        <v>0</v>
      </c>
      <c r="H239" s="79" t="str">
        <f>_xlfn.XLOOKUP(tblChecklist[[#This Row],[TargetID]],tblTargetStatus[TargetID],tblTargetStatus[TargetFunded],"")</f>
        <v>N/A</v>
      </c>
      <c r="I23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0" spans="1:9" ht="26.15" customHeight="1">
      <c r="A240" t="s">
        <v>2456</v>
      </c>
      <c r="B240" t="str">
        <f>_xlfn.XLOOKUP(tblChecklist[[#This Row],[TargetID]],tblTargets[TargetID],tblTargets[DisplayName])</f>
        <v>Ahead of Time Chapter 4 Finished</v>
      </c>
      <c r="C240" s="2" t="str">
        <f>_xlfn.XLOOKUP(
 tblChecklist[[#This Row],[TargetID]],
 tblTargetStatus[TargetID],
 tblTargetStatus[successors],
 ""
)</f>
        <v>Guild: Video Game Arcade Lv 1, Ahead of Time Chapter 5 Accepted, Outpost - Tax Return On Floppy Disk</v>
      </c>
      <c r="D240" s="79" t="str">
        <f>_xlfn.XLOOKUP(tblChecklist[[#This Row],[TargetID]],tblTargets[TargetID],tblTargets[TargetType],"")</f>
        <v>QUEST</v>
      </c>
      <c r="E240" s="79" t="str">
        <f>_xlfn.XLOOKUP(tblChecklist[[#This Row],[TargetID]],tblTargetStatus[TargetID],tblTargetStatus[ChainAwareStatus],"")</f>
        <v>BLOCKED</v>
      </c>
      <c r="G240" s="82" t="b">
        <v>0</v>
      </c>
      <c r="H240" s="79" t="str">
        <f>_xlfn.XLOOKUP(tblChecklist[[#This Row],[TargetID]],tblTargetStatus[TargetID],tblTargetStatus[TargetFunded],"")</f>
        <v>N/A</v>
      </c>
      <c r="I24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1" spans="1:9" ht="26.15" customHeight="1">
      <c r="A241" t="s">
        <v>2294</v>
      </c>
      <c r="B241" t="str">
        <f>_xlfn.XLOOKUP(tblChecklist[[#This Row],[TargetID]],tblTargets[TargetID],tblTargets[DisplayName])</f>
        <v>Ahead of Time Chapter 5 Accepted</v>
      </c>
      <c r="C241" s="2" t="str">
        <f>_xlfn.XLOOKUP(
 tblChecklist[[#This Row],[TargetID]],
 tblTargetStatus[TargetID],
 tblTargetStatus[successors],
 ""
)</f>
        <v>Laboratory: Data Center Lv 1, Ahead of Time Chapter 5 Finished, Laboratory - Digitization, Laboratory - Experiments, Laboratory - Research And Development</v>
      </c>
      <c r="D241" s="79" t="str">
        <f>_xlfn.XLOOKUP(tblChecklist[[#This Row],[TargetID]],tblTargets[TargetID],tblTargets[TargetType],"")</f>
        <v>QUEST</v>
      </c>
      <c r="E241" s="79" t="str">
        <f>_xlfn.XLOOKUP(tblChecklist[[#This Row],[TargetID]],tblTargetStatus[TargetID],tblTargetStatus[ChainAwareStatus],"")</f>
        <v>BLOCKED</v>
      </c>
      <c r="G241" s="82" t="b">
        <v>0</v>
      </c>
      <c r="H241" s="79" t="str">
        <f>_xlfn.XLOOKUP(tblChecklist[[#This Row],[TargetID]],tblTargetStatus[TargetID],tblTargetStatus[TargetFunded],"")</f>
        <v>N/A</v>
      </c>
      <c r="I24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2" spans="1:9" ht="26.15" customHeight="1">
      <c r="A242" t="s">
        <v>2458</v>
      </c>
      <c r="B242" t="str">
        <f>_xlfn.XLOOKUP(tblChecklist[[#This Row],[TargetID]],tblTargets[TargetID],tblTargets[DisplayName])</f>
        <v>Ahead of Time Chapter 5 Finished</v>
      </c>
      <c r="C242" s="2" t="str">
        <f>_xlfn.XLOOKUP(
 tblChecklist[[#This Row],[TargetID]],
 tblTargetStatus[TargetID],
 tblTargetStatus[successors],
 ""
)</f>
        <v>Guild: Video Game Arcade Lv 1, Outpost - Tax Return On Floppy Disk, Train - Onboard Computer</v>
      </c>
      <c r="D242" s="79" t="str">
        <f>_xlfn.XLOOKUP(tblChecklist[[#This Row],[TargetID]],tblTargets[TargetID],tblTargets[TargetType],"")</f>
        <v>QUEST</v>
      </c>
      <c r="E242" s="79" t="str">
        <f>_xlfn.XLOOKUP(tblChecklist[[#This Row],[TargetID]],tblTargetStatus[TargetID],tblTargetStatus[ChainAwareStatus],"")</f>
        <v>BLOCKED</v>
      </c>
      <c r="G242" s="82" t="b">
        <v>0</v>
      </c>
      <c r="H242" s="79" t="str">
        <f>_xlfn.XLOOKUP(tblChecklist[[#This Row],[TargetID]],tblTargetStatus[TargetID],tblTargetStatus[TargetFunded],"")</f>
        <v>N/A</v>
      </c>
      <c r="I24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3" spans="1:9" ht="26.15" customHeight="1">
      <c r="A243" t="s">
        <v>2297</v>
      </c>
      <c r="B243" t="str">
        <f>_xlfn.XLOOKUP(tblChecklist[[#This Row],[TargetID]],tblTargets[TargetID],tblTargets[DisplayName])</f>
        <v>Build the Guild Accepted</v>
      </c>
      <c r="C243" s="2" t="str">
        <f>_xlfn.XLOOKUP(
 tblChecklist[[#This Row],[TargetID]],
 tblTargetStatus[TargetID],
 tblTargetStatus[successors],
 ""
)</f>
        <v>Build the Guild Finished</v>
      </c>
      <c r="D243" s="79" t="str">
        <f>_xlfn.XLOOKUP(tblChecklist[[#This Row],[TargetID]],tblTargets[TargetID],tblTargets[TargetType],"")</f>
        <v>QUEST</v>
      </c>
      <c r="E243" s="79" t="str">
        <f>_xlfn.XLOOKUP(tblChecklist[[#This Row],[TargetID]],tblTargetStatus[TargetID],tblTargetStatus[ChainAwareStatus],"")</f>
        <v>READY</v>
      </c>
      <c r="G243" s="82" t="b">
        <v>0</v>
      </c>
      <c r="H243" s="79" t="str">
        <f>_xlfn.XLOOKUP(tblChecklist[[#This Row],[TargetID]],tblTargetStatus[TargetID],tblTargetStatus[TargetFunded],"")</f>
        <v>N/A</v>
      </c>
      <c r="I24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4" spans="1:9" ht="26.15" customHeight="1">
      <c r="A244" t="s">
        <v>2460</v>
      </c>
      <c r="B244" t="str">
        <f>_xlfn.XLOOKUP(tblChecklist[[#This Row],[TargetID]],tblTargets[TargetID],tblTargets[DisplayName])</f>
        <v>Build the Guild Finished</v>
      </c>
      <c r="C244" s="2" t="str">
        <f>_xlfn.XLOOKUP(
 tblChecklist[[#This Row],[TargetID]],
 tblTargetStatus[TargetID],
 tblTargetStatus[successors],
 ""
)</f>
        <v/>
      </c>
      <c r="D244" s="79" t="str">
        <f>_xlfn.XLOOKUP(tblChecklist[[#This Row],[TargetID]],tblTargets[TargetID],tblTargets[TargetType],"")</f>
        <v>QUEST</v>
      </c>
      <c r="E244" s="79" t="str">
        <f>_xlfn.XLOOKUP(tblChecklist[[#This Row],[TargetID]],tblTargetStatus[TargetID],tblTargetStatus[ChainAwareStatus],"")</f>
        <v>BLOCKED</v>
      </c>
      <c r="G244" s="82" t="b">
        <v>0</v>
      </c>
      <c r="H244" s="79" t="str">
        <f>_xlfn.XLOOKUP(tblChecklist[[#This Row],[TargetID]],tblTargetStatus[TargetID],tblTargetStatus[TargetFunded],"")</f>
        <v>N/A</v>
      </c>
      <c r="I24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5" spans="1:9" ht="26.15" customHeight="1">
      <c r="A245" t="s">
        <v>2300</v>
      </c>
      <c r="B245" t="str">
        <f>_xlfn.XLOOKUP(tblChecklist[[#This Row],[TargetID]],tblTargets[TargetID],tblTargets[DisplayName])</f>
        <v>Build the Pagoda Accepted</v>
      </c>
      <c r="C245" s="2" t="str">
        <f>_xlfn.XLOOKUP(
 tblChecklist[[#This Row],[TargetID]],
 tblTargetStatus[TargetID],
 tblTargetStatus[successors],
 ""
)</f>
        <v>Build the Pagoda Finished</v>
      </c>
      <c r="D245" s="79" t="str">
        <f>_xlfn.XLOOKUP(tblChecklist[[#This Row],[TargetID]],tblTargets[TargetID],tblTargets[TargetType],"")</f>
        <v>QUEST</v>
      </c>
      <c r="E245" s="79" t="str">
        <f>_xlfn.XLOOKUP(tblChecklist[[#This Row],[TargetID]],tblTargetStatus[TargetID],tblTargetStatus[ChainAwareStatus],"")</f>
        <v>READY</v>
      </c>
      <c r="G245" s="82" t="b">
        <v>0</v>
      </c>
      <c r="H245" s="79" t="str">
        <f>_xlfn.XLOOKUP(tblChecklist[[#This Row],[TargetID]],tblTargetStatus[TargetID],tblTargetStatus[TargetFunded],"")</f>
        <v>N/A</v>
      </c>
      <c r="I2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6" spans="1:9" ht="26.15" customHeight="1">
      <c r="A246" t="s">
        <v>2462</v>
      </c>
      <c r="B246" t="str">
        <f>_xlfn.XLOOKUP(tblChecklist[[#This Row],[TargetID]],tblTargets[TargetID],tblTargets[DisplayName])</f>
        <v>Build the Pagoda Finished</v>
      </c>
      <c r="C246" s="2" t="str">
        <f>_xlfn.XLOOKUP(
 tblChecklist[[#This Row],[TargetID]],
 tblTargetStatus[TargetID],
 tblTargetStatus[successors],
 ""
)</f>
        <v/>
      </c>
      <c r="D246" s="79" t="str">
        <f>_xlfn.XLOOKUP(tblChecklist[[#This Row],[TargetID]],tblTargets[TargetID],tblTargets[TargetType],"")</f>
        <v>QUEST</v>
      </c>
      <c r="E246" s="79" t="str">
        <f>_xlfn.XLOOKUP(tblChecklist[[#This Row],[TargetID]],tblTargetStatus[TargetID],tblTargetStatus[ChainAwareStatus],"")</f>
        <v>BLOCKED</v>
      </c>
      <c r="G246" s="82" t="b">
        <v>0</v>
      </c>
      <c r="H246" s="79" t="str">
        <f>_xlfn.XLOOKUP(tblChecklist[[#This Row],[TargetID]],tblTargetStatus[TargetID],tblTargetStatus[TargetFunded],"")</f>
        <v>N/A</v>
      </c>
      <c r="I24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7" spans="1:9" ht="26.15" customHeight="1">
      <c r="A247" t="s">
        <v>2303</v>
      </c>
      <c r="B247" t="str">
        <f>_xlfn.XLOOKUP(tblChecklist[[#This Row],[TargetID]],tblTargets[TargetID],tblTargets[DisplayName])</f>
        <v>Culinary Battle Accepted</v>
      </c>
      <c r="C247" s="2" t="str">
        <f>_xlfn.XLOOKUP(
 tblChecklist[[#This Row],[TargetID]],
 tblTargetStatus[TargetID],
 tblTargetStatus[successors],
 ""
)</f>
        <v>Culinary Battle Finished</v>
      </c>
      <c r="D247" s="79" t="str">
        <f>_xlfn.XLOOKUP(tblChecklist[[#This Row],[TargetID]],tblTargets[TargetID],tblTargets[TargetType],"")</f>
        <v>QUEST</v>
      </c>
      <c r="E247" s="79" t="str">
        <f>_xlfn.XLOOKUP(tblChecklist[[#This Row],[TargetID]],tblTargetStatus[TargetID],tblTargetStatus[ChainAwareStatus],"")</f>
        <v>BLOCKED</v>
      </c>
      <c r="G247" s="82" t="b">
        <v>0</v>
      </c>
      <c r="H247" s="79" t="str">
        <f>_xlfn.XLOOKUP(tblChecklist[[#This Row],[TargetID]],tblTargetStatus[TargetID],tblTargetStatus[TargetFunded],"")</f>
        <v>N/A</v>
      </c>
      <c r="I24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8" spans="1:9" ht="26.15" customHeight="1">
      <c r="A248" t="s">
        <v>2464</v>
      </c>
      <c r="B248" t="str">
        <f>_xlfn.XLOOKUP(tblChecklist[[#This Row],[TargetID]],tblTargets[TargetID],tblTargets[DisplayName])</f>
        <v>Culinary Battle Finished</v>
      </c>
      <c r="C248" s="2" t="str">
        <f>_xlfn.XLOOKUP(
 tblChecklist[[#This Row],[TargetID]],
 tblTargetStatus[TargetID],
 tblTargetStatus[successors],
 ""
)</f>
        <v/>
      </c>
      <c r="D248" s="79" t="str">
        <f>_xlfn.XLOOKUP(tblChecklist[[#This Row],[TargetID]],tblTargets[TargetID],tblTargets[TargetType],"")</f>
        <v>QUEST</v>
      </c>
      <c r="E248" s="79" t="str">
        <f>_xlfn.XLOOKUP(tblChecklist[[#This Row],[TargetID]],tblTargetStatus[TargetID],tblTargetStatus[ChainAwareStatus],"")</f>
        <v>BLOCKED</v>
      </c>
      <c r="G248" s="82" t="b">
        <v>0</v>
      </c>
      <c r="H248" s="79" t="b">
        <f>_xlfn.XLOOKUP(tblChecklist[[#This Row],[TargetID]],tblTargetStatus[TargetID],tblTargetStatus[TargetFunded],"")</f>
        <v>0</v>
      </c>
      <c r="I24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9" spans="1:9" ht="26.15" customHeight="1">
      <c r="A249" t="s">
        <v>2306</v>
      </c>
      <c r="B249" t="str">
        <f>_xlfn.XLOOKUP(tblChecklist[[#This Row],[TargetID]],tblTargets[TargetID],tblTargets[DisplayName])</f>
        <v>Dragon teeth Accepted</v>
      </c>
      <c r="C249" s="2" t="str">
        <f>_xlfn.XLOOKUP(
 tblChecklist[[#This Row],[TargetID]],
 tblTargetStatus[TargetID],
 tblTargetStatus[successors],
 ""
)</f>
        <v>Dragon teeth Finished, Defeat Bone Dragon in 4C</v>
      </c>
      <c r="D249" s="79" t="str">
        <f>_xlfn.XLOOKUP(tblChecklist[[#This Row],[TargetID]],tblTargets[TargetID],tblTargets[TargetType],"")</f>
        <v>QUEST</v>
      </c>
      <c r="E249" s="79" t="str">
        <f>_xlfn.XLOOKUP(tblChecklist[[#This Row],[TargetID]],tblTargetStatus[TargetID],tblTargetStatus[ChainAwareStatus],"")</f>
        <v>BLOCKED</v>
      </c>
      <c r="G249" s="82" t="b">
        <v>0</v>
      </c>
      <c r="H249" s="79" t="str">
        <f>_xlfn.XLOOKUP(tblChecklist[[#This Row],[TargetID]],tblTargetStatus[TargetID],tblTargetStatus[TargetFunded],"")</f>
        <v>N/A</v>
      </c>
      <c r="I24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0" spans="1:9" ht="26.15" customHeight="1">
      <c r="A250" t="s">
        <v>2466</v>
      </c>
      <c r="B250" t="str">
        <f>_xlfn.XLOOKUP(tblChecklist[[#This Row],[TargetID]],tblTargets[TargetID],tblTargets[DisplayName])</f>
        <v>Dragon teeth Finished</v>
      </c>
      <c r="C250" s="2" t="str">
        <f>_xlfn.XLOOKUP(
 tblChecklist[[#This Row],[TargetID]],
 tblTargetStatus[TargetID],
 tblTargetStatus[successors],
 ""
)</f>
        <v xml:space="preserve">The Ring of the Dark Lady Accepted, Undead Revenge Accepted, Complete Dungeon 5C, Meet Dark Lady@4A, Visit Dungeon@5A </v>
      </c>
      <c r="D250" s="79" t="str">
        <f>_xlfn.XLOOKUP(tblChecklist[[#This Row],[TargetID]],tblTargets[TargetID],tblTargets[TargetType],"")</f>
        <v>QUEST</v>
      </c>
      <c r="E250" s="79" t="str">
        <f>_xlfn.XLOOKUP(tblChecklist[[#This Row],[TargetID]],tblTargetStatus[TargetID],tblTargetStatus[ChainAwareStatus],"")</f>
        <v>BLOCKED</v>
      </c>
      <c r="G250" s="82" t="b">
        <v>0</v>
      </c>
      <c r="H250" s="79" t="str">
        <f>_xlfn.XLOOKUP(tblChecklist[[#This Row],[TargetID]],tblTargetStatus[TargetID],tblTargetStatus[TargetFunded],"")</f>
        <v>N/A</v>
      </c>
      <c r="I2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1" spans="1:9" ht="26.15" customHeight="1">
      <c r="A251" t="s">
        <v>2309</v>
      </c>
      <c r="B251" t="str">
        <f>_xlfn.XLOOKUP(tblChecklist[[#This Row],[TargetID]],tblTargets[TargetID],tblTargets[DisplayName])</f>
        <v>Festival Accepted</v>
      </c>
      <c r="C251" s="2" t="str">
        <f>_xlfn.XLOOKUP(
 tblChecklist[[#This Row],[TargetID]],
 tblTargetStatus[TargetID],
 tblTargetStatus[successors],
 ""
)</f>
        <v>Festival Finished</v>
      </c>
      <c r="D251" s="79" t="str">
        <f>_xlfn.XLOOKUP(tblChecklist[[#This Row],[TargetID]],tblTargets[TargetID],tblTargets[TargetType],"")</f>
        <v>QUEST</v>
      </c>
      <c r="E251" s="79" t="str">
        <f>_xlfn.XLOOKUP(tblChecklist[[#This Row],[TargetID]],tblTargetStatus[TargetID],tblTargetStatus[ChainAwareStatus],"")</f>
        <v>BLOCKED</v>
      </c>
      <c r="G251" s="82" t="b">
        <v>0</v>
      </c>
      <c r="H251" s="79" t="str">
        <f>_xlfn.XLOOKUP(tblChecklist[[#This Row],[TargetID]],tblTargetStatus[TargetID],tblTargetStatus[TargetFunded],"")</f>
        <v>N/A</v>
      </c>
      <c r="I25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2" spans="1:9" ht="26.15" customHeight="1">
      <c r="A252" t="s">
        <v>2468</v>
      </c>
      <c r="B252" t="str">
        <f>_xlfn.XLOOKUP(tblChecklist[[#This Row],[TargetID]],tblTargets[TargetID],tblTargets[DisplayName])</f>
        <v>Festival Finished</v>
      </c>
      <c r="C252" s="2" t="str">
        <f>_xlfn.XLOOKUP(
 tblChecklist[[#This Row],[TargetID]],
 tblTargetStatus[TargetID],
 tblTargetStatus[successors],
 ""
)</f>
        <v>Festival Returns Accepted</v>
      </c>
      <c r="D252" s="79" t="str">
        <f>_xlfn.XLOOKUP(tblChecklist[[#This Row],[TargetID]],tblTargets[TargetID],tblTargets[TargetType],"")</f>
        <v>QUEST</v>
      </c>
      <c r="E252" s="79" t="str">
        <f>_xlfn.XLOOKUP(tblChecklist[[#This Row],[TargetID]],tblTargetStatus[TargetID],tblTargetStatus[ChainAwareStatus],"")</f>
        <v>BLOCKED</v>
      </c>
      <c r="G252" s="82" t="b">
        <v>0</v>
      </c>
      <c r="H252" s="79" t="b">
        <f>_xlfn.XLOOKUP(tblChecklist[[#This Row],[TargetID]],tblTargetStatus[TargetID],tblTargetStatus[TargetFunded],"")</f>
        <v>0</v>
      </c>
      <c r="I25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3" spans="1:9" ht="26.15" customHeight="1">
      <c r="A253" t="s">
        <v>2315</v>
      </c>
      <c r="B253" t="str">
        <f>_xlfn.XLOOKUP(tblChecklist[[#This Row],[TargetID]],tblTargets[TargetID],tblTargets[DisplayName])</f>
        <v>Festival of Beans Accepted</v>
      </c>
      <c r="C253" s="2" t="str">
        <f>_xlfn.XLOOKUP(
 tblChecklist[[#This Row],[TargetID]],
 tblTargetStatus[TargetID],
 tblTargetStatus[successors],
 ""
)</f>
        <v>Festival of Beans Finished</v>
      </c>
      <c r="D253" s="79" t="str">
        <f>_xlfn.XLOOKUP(tblChecklist[[#This Row],[TargetID]],tblTargets[TargetID],tblTargets[TargetType],"")</f>
        <v>QUEST</v>
      </c>
      <c r="E253" s="79" t="str">
        <f>_xlfn.XLOOKUP(tblChecklist[[#This Row],[TargetID]],tblTargetStatus[TargetID],tblTargetStatus[ChainAwareStatus],"")</f>
        <v>BLOCKED</v>
      </c>
      <c r="G253" s="82" t="b">
        <v>0</v>
      </c>
      <c r="H253" s="79" t="str">
        <f>_xlfn.XLOOKUP(tblChecklist[[#This Row],[TargetID]],tblTargetStatus[TargetID],tblTargetStatus[TargetFunded],"")</f>
        <v>N/A</v>
      </c>
      <c r="I25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4" spans="1:9" ht="26.15" customHeight="1">
      <c r="A254" t="s">
        <v>2472</v>
      </c>
      <c r="B254" t="str">
        <f>_xlfn.XLOOKUP(tblChecklist[[#This Row],[TargetID]],tblTargets[TargetID],tblTargets[DisplayName])</f>
        <v>Festival of Beans Finished</v>
      </c>
      <c r="C254" s="2" t="str">
        <f>_xlfn.XLOOKUP(
 tblChecklist[[#This Row],[TargetID]],
 tblTargetStatus[TargetID],
 tblTargetStatus[successors],
 ""
)</f>
        <v/>
      </c>
      <c r="D254" s="79" t="str">
        <f>_xlfn.XLOOKUP(tblChecklist[[#This Row],[TargetID]],tblTargets[TargetID],tblTargets[TargetType],"")</f>
        <v>QUEST</v>
      </c>
      <c r="E254" s="79" t="str">
        <f>_xlfn.XLOOKUP(tblChecklist[[#This Row],[TargetID]],tblTargetStatus[TargetID],tblTargetStatus[ChainAwareStatus],"")</f>
        <v>BLOCKED</v>
      </c>
      <c r="G254" s="82" t="b">
        <v>0</v>
      </c>
      <c r="H254" s="79" t="b">
        <f>_xlfn.XLOOKUP(tblChecklist[[#This Row],[TargetID]],tblTargetStatus[TargetID],tblTargetStatus[TargetFunded],"")</f>
        <v>0</v>
      </c>
      <c r="I25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5" spans="1:9" ht="26.15" customHeight="1">
      <c r="A255" t="s">
        <v>2312</v>
      </c>
      <c r="B255" t="str">
        <f>_xlfn.XLOOKUP(tblChecklist[[#This Row],[TargetID]],tblTargets[TargetID],tblTargets[DisplayName])</f>
        <v>Festival Returns Accepted</v>
      </c>
      <c r="C255" s="2" t="str">
        <f>_xlfn.XLOOKUP(
 tblChecklist[[#This Row],[TargetID]],
 tblTargetStatus[TargetID],
 tblTargetStatus[successors],
 ""
)</f>
        <v>Festival Returns Finished</v>
      </c>
      <c r="D255" s="79" t="str">
        <f>_xlfn.XLOOKUP(tblChecklist[[#This Row],[TargetID]],tblTargets[TargetID],tblTargets[TargetType],"")</f>
        <v>QUEST</v>
      </c>
      <c r="E255" s="79" t="str">
        <f>_xlfn.XLOOKUP(tblChecklist[[#This Row],[TargetID]],tblTargetStatus[TargetID],tblTargetStatus[ChainAwareStatus],"")</f>
        <v>BLOCKED</v>
      </c>
      <c r="G255" s="82" t="b">
        <v>0</v>
      </c>
      <c r="H255" s="79" t="str">
        <f>_xlfn.XLOOKUP(tblChecklist[[#This Row],[TargetID]],tblTargetStatus[TargetID],tblTargetStatus[TargetFunded],"")</f>
        <v>N/A</v>
      </c>
      <c r="I25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6" spans="1:9" ht="26.15" customHeight="1">
      <c r="A256" t="s">
        <v>2470</v>
      </c>
      <c r="B256" t="str">
        <f>_xlfn.XLOOKUP(tblChecklist[[#This Row],[TargetID]],tblTargets[TargetID],tblTargets[DisplayName])</f>
        <v>Festival Returns Finished</v>
      </c>
      <c r="C256" s="2" t="str">
        <f>_xlfn.XLOOKUP(
 tblChecklist[[#This Row],[TargetID]],
 tblTargetStatus[TargetID],
 tblTargetStatus[successors],
 ""
)</f>
        <v>Festival of Beans Accepted</v>
      </c>
      <c r="D256" s="79" t="str">
        <f>_xlfn.XLOOKUP(tblChecklist[[#This Row],[TargetID]],tblTargets[TargetID],tblTargets[TargetType],"")</f>
        <v>QUEST</v>
      </c>
      <c r="E256" s="79" t="str">
        <f>_xlfn.XLOOKUP(tblChecklist[[#This Row],[TargetID]],tblTargetStatus[TargetID],tblTargetStatus[ChainAwareStatus],"")</f>
        <v>BLOCKED</v>
      </c>
      <c r="G256" s="82" t="b">
        <v>0</v>
      </c>
      <c r="H256" s="79" t="b">
        <f>_xlfn.XLOOKUP(tblChecklist[[#This Row],[TargetID]],tblTargetStatus[TargetID],tblTargetStatus[TargetFunded],"")</f>
        <v>0</v>
      </c>
      <c r="I2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7" spans="1:9" ht="26.15" customHeight="1">
      <c r="A257" t="s">
        <v>2318</v>
      </c>
      <c r="B257" t="str">
        <f>_xlfn.XLOOKUP(tblChecklist[[#This Row],[TargetID]],tblTargets[TargetID],tblTargets[DisplayName])</f>
        <v>Green Potion Accepted</v>
      </c>
      <c r="C257" s="2" t="str">
        <f>_xlfn.XLOOKUP(
 tblChecklist[[#This Row],[TargetID]],
 tblTargetStatus[TargetID],
 tblTargetStatus[successors],
 ""
)</f>
        <v>Green Potion Finished, Obtain Reagent from 3A</v>
      </c>
      <c r="D257" s="79" t="str">
        <f>_xlfn.XLOOKUP(tblChecklist[[#This Row],[TargetID]],tblTargets[TargetID],tblTargets[TargetType],"")</f>
        <v>QUEST</v>
      </c>
      <c r="E257" s="79" t="str">
        <f>_xlfn.XLOOKUP(tblChecklist[[#This Row],[TargetID]],tblTargetStatus[TargetID],tblTargetStatus[ChainAwareStatus],"")</f>
        <v>BLOCKED</v>
      </c>
      <c r="G257" s="82" t="b">
        <v>0</v>
      </c>
      <c r="H257" s="79" t="str">
        <f>_xlfn.XLOOKUP(tblChecklist[[#This Row],[TargetID]],tblTargetStatus[TargetID],tblTargetStatus[TargetFunded],"")</f>
        <v>N/A</v>
      </c>
      <c r="I25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8" spans="1:9" ht="26.15" customHeight="1">
      <c r="A258" t="s">
        <v>2474</v>
      </c>
      <c r="B258" t="str">
        <f>_xlfn.XLOOKUP(tblChecklist[[#This Row],[TargetID]],tblTargets[TargetID],tblTargets[DisplayName])</f>
        <v>Green Potion Finished</v>
      </c>
      <c r="C258" s="2" t="str">
        <f>_xlfn.XLOOKUP(
 tblChecklist[[#This Row],[TargetID]],
 tblTargetStatus[TargetID],
 tblTargetStatus[successors],
 ""
)</f>
        <v/>
      </c>
      <c r="D258" s="79" t="str">
        <f>_xlfn.XLOOKUP(tblChecklist[[#This Row],[TargetID]],tblTargets[TargetID],tblTargets[TargetType],"")</f>
        <v>QUEST</v>
      </c>
      <c r="E258" s="79" t="str">
        <f>_xlfn.XLOOKUP(tblChecklist[[#This Row],[TargetID]],tblTargetStatus[TargetID],tblTargetStatus[ChainAwareStatus],"")</f>
        <v>BLOCKED</v>
      </c>
      <c r="G258" s="82" t="b">
        <v>0</v>
      </c>
      <c r="H258" s="79" t="b">
        <f>_xlfn.XLOOKUP(tblChecklist[[#This Row],[TargetID]],tblTargetStatus[TargetID],tblTargetStatus[TargetFunded],"")</f>
        <v>0</v>
      </c>
      <c r="I25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9" spans="1:9" ht="26.15" customHeight="1">
      <c r="A259" t="s">
        <v>2321</v>
      </c>
      <c r="B259" t="str">
        <f>_xlfn.XLOOKUP(tblChecklist[[#This Row],[TargetID]],tblTargets[TargetID],tblTargets[DisplayName])</f>
        <v>Honor, Glory, Sushi Accepted</v>
      </c>
      <c r="C259" s="2" t="str">
        <f>_xlfn.XLOOKUP(
 tblChecklist[[#This Row],[TargetID]],
 tblTargetStatus[TargetID],
 tblTargetStatus[successors],
 ""
)</f>
        <v>Honor, Glory, Sushi Finished</v>
      </c>
      <c r="D259" s="79" t="str">
        <f>_xlfn.XLOOKUP(tblChecklist[[#This Row],[TargetID]],tblTargets[TargetID],tblTargets[TargetType],"")</f>
        <v>QUEST</v>
      </c>
      <c r="E259" s="79" t="str">
        <f>_xlfn.XLOOKUP(tblChecklist[[#This Row],[TargetID]],tblTargetStatus[TargetID],tblTargetStatus[ChainAwareStatus],"")</f>
        <v>BLOCKED</v>
      </c>
      <c r="G259" s="82" t="b">
        <v>0</v>
      </c>
      <c r="H259" s="79" t="str">
        <f>_xlfn.XLOOKUP(tblChecklist[[#This Row],[TargetID]],tblTargetStatus[TargetID],tblTargetStatus[TargetFunded],"")</f>
        <v>N/A</v>
      </c>
      <c r="I25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0" spans="1:9" ht="26.15" customHeight="1">
      <c r="A260" t="s">
        <v>2476</v>
      </c>
      <c r="B260" t="str">
        <f>_xlfn.XLOOKUP(tblChecklist[[#This Row],[TargetID]],tblTargets[TargetID],tblTargets[DisplayName])</f>
        <v>Honor, Glory, Sushi Finished</v>
      </c>
      <c r="C260" s="2" t="str">
        <f>_xlfn.XLOOKUP(
 tblChecklist[[#This Row],[TargetID]],
 tblTargetStatus[TargetID],
 tblTargetStatus[successors],
 ""
)</f>
        <v/>
      </c>
      <c r="D260" s="79" t="str">
        <f>_xlfn.XLOOKUP(tblChecklist[[#This Row],[TargetID]],tblTargets[TargetID],tblTargets[TargetType],"")</f>
        <v>QUEST</v>
      </c>
      <c r="E260" s="79" t="str">
        <f>_xlfn.XLOOKUP(tblChecklist[[#This Row],[TargetID]],tblTargetStatus[TargetID],tblTargetStatus[ChainAwareStatus],"")</f>
        <v>BLOCKED</v>
      </c>
      <c r="G260" s="82" t="b">
        <v>0</v>
      </c>
      <c r="H260" s="79" t="str">
        <f>_xlfn.XLOOKUP(tblChecklist[[#This Row],[TargetID]],tblTargetStatus[TargetID],tblTargetStatus[TargetFunded],"")</f>
        <v>N/A</v>
      </c>
      <c r="I26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1" spans="1:9" ht="26.15" customHeight="1">
      <c r="A261" t="s">
        <v>2324</v>
      </c>
      <c r="B261" t="str">
        <f>_xlfn.XLOOKUP(tblChecklist[[#This Row],[TargetID]],tblTargets[TargetID],tblTargets[DisplayName])</f>
        <v>Journey Through Japan By Train Accepted</v>
      </c>
      <c r="C261" s="2" t="str">
        <f>_xlfn.XLOOKUP(
 tblChecklist[[#This Row],[TargetID]],
 tblTargetStatus[TargetID],
 tblTargetStatus[successors],
 ""
)</f>
        <v>Journey Through Japan By Train Finished, Obtain Blueprint, Visit Aomori, Visit Fukushima, Visit Kyoto, Visit Nagasaki, Visit Osaka, Visit Tokyo, Visit Wakayama</v>
      </c>
      <c r="D261" s="79" t="str">
        <f>_xlfn.XLOOKUP(tblChecklist[[#This Row],[TargetID]],tblTargets[TargetID],tblTargets[TargetType],"")</f>
        <v>QUEST</v>
      </c>
      <c r="E261" s="79" t="str">
        <f>_xlfn.XLOOKUP(tblChecklist[[#This Row],[TargetID]],tblTargetStatus[TargetID],tblTargetStatus[ChainAwareStatus],"")</f>
        <v>BLOCKED</v>
      </c>
      <c r="G261" s="82" t="b">
        <v>0</v>
      </c>
      <c r="H261" s="79" t="str">
        <f>_xlfn.XLOOKUP(tblChecklist[[#This Row],[TargetID]],tblTargetStatus[TargetID],tblTargetStatus[TargetFunded],"")</f>
        <v>N/A</v>
      </c>
      <c r="I26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2" spans="1:9" ht="26.15" customHeight="1">
      <c r="A262" t="s">
        <v>2478</v>
      </c>
      <c r="B262" t="str">
        <f>_xlfn.XLOOKUP(tblChecklist[[#This Row],[TargetID]],tblTargets[TargetID],tblTargets[DisplayName])</f>
        <v>Journey Through Japan By Train Finished</v>
      </c>
      <c r="C262" s="2" t="str">
        <f>_xlfn.XLOOKUP(
 tblChecklist[[#This Row],[TargetID]],
 tblTargetStatus[TargetID],
 tblTargetStatus[successors],
 ""
)</f>
        <v>Ahead of Time Chapter 2 Accepted</v>
      </c>
      <c r="D262" s="79" t="str">
        <f>_xlfn.XLOOKUP(tblChecklist[[#This Row],[TargetID]],tblTargets[TargetID],tblTargets[TargetType],"")</f>
        <v>QUEST</v>
      </c>
      <c r="E262" s="79" t="str">
        <f>_xlfn.XLOOKUP(tblChecklist[[#This Row],[TargetID]],tblTargetStatus[TargetID],tblTargetStatus[ChainAwareStatus],"")</f>
        <v>BLOCKED</v>
      </c>
      <c r="G262" s="82" t="b">
        <v>0</v>
      </c>
      <c r="H262" s="79" t="str">
        <f>_xlfn.XLOOKUP(tblChecklist[[#This Row],[TargetID]],tblTargetStatus[TargetID],tblTargetStatus[TargetFunded],"")</f>
        <v>N/A</v>
      </c>
      <c r="I26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3" spans="1:9" ht="26.15" customHeight="1">
      <c r="A263" t="s">
        <v>5588</v>
      </c>
      <c r="B263" t="str">
        <f>_xlfn.XLOOKUP(tblChecklist[[#This Row],[TargetID]],tblTargets[TargetID],tblTargets[DisplayName])</f>
        <v>Letter from the Dark Lady Accepted</v>
      </c>
      <c r="C263" s="2" t="str">
        <f>_xlfn.XLOOKUP(
 tblChecklist[[#This Row],[TargetID]],
 tblTargetStatus[TargetID],
 tblTargetStatus[successors],
 ""
)</f>
        <v>Broken Lever, Letter from the Dark Lady Finished</v>
      </c>
      <c r="D263" s="79" t="str">
        <f>_xlfn.XLOOKUP(tblChecklist[[#This Row],[TargetID]],tblTargets[TargetID],tblTargets[TargetType],"")</f>
        <v>QUEST</v>
      </c>
      <c r="E263" s="79" t="str">
        <f>_xlfn.XLOOKUP(tblChecklist[[#This Row],[TargetID]],tblTargetStatus[TargetID],tblTargetStatus[ChainAwareStatus],"")</f>
        <v>BLOCKED</v>
      </c>
      <c r="G263" s="82" t="b">
        <v>0</v>
      </c>
      <c r="H263" s="79" t="str">
        <f>_xlfn.XLOOKUP(tblChecklist[[#This Row],[TargetID]],tblTargetStatus[TargetID],tblTargetStatus[TargetFunded],"")</f>
        <v>N/A</v>
      </c>
      <c r="I26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4" spans="1:9" ht="26.15" customHeight="1">
      <c r="A264" t="s">
        <v>5587</v>
      </c>
      <c r="B264" t="str">
        <f>_xlfn.XLOOKUP(tblChecklist[[#This Row],[TargetID]],tblTargets[TargetID],tblTargets[DisplayName])</f>
        <v>Letter from the Dark Lady Finished</v>
      </c>
      <c r="C264" s="2" t="str">
        <f>_xlfn.XLOOKUP(
 tblChecklist[[#This Row],[TargetID]],
 tblTargetStatus[TargetID],
 tblTargetStatus[successors],
 ""
)</f>
        <v/>
      </c>
      <c r="D264" s="79" t="str">
        <f>_xlfn.XLOOKUP(tblChecklist[[#This Row],[TargetID]],tblTargets[TargetID],tblTargets[TargetType],"")</f>
        <v>QUEST</v>
      </c>
      <c r="E264" s="79" t="str">
        <f>_xlfn.XLOOKUP(tblChecklist[[#This Row],[TargetID]],tblTargetStatus[TargetID],tblTargetStatus[ChainAwareStatus],"")</f>
        <v>BLOCKED</v>
      </c>
      <c r="G264" s="82" t="b">
        <v>0</v>
      </c>
      <c r="H264" s="79" t="str">
        <f>_xlfn.XLOOKUP(tblChecklist[[#This Row],[TargetID]],tblTargetStatus[TargetID],tblTargetStatus[TargetFunded],"")</f>
        <v>N/A</v>
      </c>
      <c r="I26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5" spans="1:9" ht="26.15" customHeight="1">
      <c r="A265" t="s">
        <v>2327</v>
      </c>
      <c r="B265" t="str">
        <f>_xlfn.XLOOKUP(tblChecklist[[#This Row],[TargetID]],tblTargets[TargetID],tblTargets[DisplayName])</f>
        <v>Magic Beans Accepted</v>
      </c>
      <c r="C265" s="2" t="str">
        <f>_xlfn.XLOOKUP(
 tblChecklist[[#This Row],[TargetID]],
 tblTargetStatus[TargetID],
 tblTargetStatus[successors],
 ""
)</f>
        <v>Magic Beans Finished, Deliver Inarizushi to 4B, Deliver Teriyaki Salmon to 4C, Deliver Tofu to 4A</v>
      </c>
      <c r="D265" s="79" t="str">
        <f>_xlfn.XLOOKUP(tblChecklist[[#This Row],[TargetID]],tblTargets[TargetID],tblTargets[TargetType],"")</f>
        <v>QUEST</v>
      </c>
      <c r="E265" s="79" t="str">
        <f>_xlfn.XLOOKUP(tblChecklist[[#This Row],[TargetID]],tblTargetStatus[TargetID],tblTargetStatus[ChainAwareStatus],"")</f>
        <v>BLOCKED</v>
      </c>
      <c r="G265" s="82" t="b">
        <v>0</v>
      </c>
      <c r="H265" s="79" t="str">
        <f>_xlfn.XLOOKUP(tblChecklist[[#This Row],[TargetID]],tblTargetStatus[TargetID],tblTargetStatus[TargetFunded],"")</f>
        <v>N/A</v>
      </c>
      <c r="I26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6" spans="1:9" ht="26.15" customHeight="1">
      <c r="A266" t="s">
        <v>2480</v>
      </c>
      <c r="B266" t="str">
        <f>_xlfn.XLOOKUP(tblChecklist[[#This Row],[TargetID]],tblTargets[TargetID],tblTargets[DisplayName])</f>
        <v>Magic Beans Finished</v>
      </c>
      <c r="C266" s="2" t="str">
        <f>_xlfn.XLOOKUP(
 tblChecklist[[#This Row],[TargetID]],
 tblTargetStatus[TargetID],
 tblTargetStatus[successors],
 ""
)</f>
        <v>Fermentory Lv 1, Ahead of Time Chapter 1 Accepted, Meet mechanical adventurer in Dungeon 3A, Alchemists Hut - Advanced Fertilizer, Field - Soybean, Food Stall - Miso Soup</v>
      </c>
      <c r="D266" s="79" t="str">
        <f>_xlfn.XLOOKUP(tblChecklist[[#This Row],[TargetID]],tblTargets[TargetID],tblTargets[TargetType],"")</f>
        <v>QUEST</v>
      </c>
      <c r="E266" s="79" t="str">
        <f>_xlfn.XLOOKUP(tblChecklist[[#This Row],[TargetID]],tblTargetStatus[TargetID],tblTargetStatus[ChainAwareStatus],"")</f>
        <v>BLOCKED</v>
      </c>
      <c r="G266" s="82" t="b">
        <v>0</v>
      </c>
      <c r="H266" s="79" t="b">
        <f>_xlfn.XLOOKUP(tblChecklist[[#This Row],[TargetID]],tblTargetStatus[TargetID],tblTargetStatus[TargetFunded],"")</f>
        <v>0</v>
      </c>
      <c r="I26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7" spans="1:9" ht="26.15" customHeight="1">
      <c r="A267" t="s">
        <v>2330</v>
      </c>
      <c r="B267" t="str">
        <f>_xlfn.XLOOKUP(tblChecklist[[#This Row],[TargetID]],tblTargets[TargetID],tblTargets[DisplayName])</f>
        <v>Once Upon a Forest Chapter 1 Accepted</v>
      </c>
      <c r="C267" s="2" t="str">
        <f>_xlfn.XLOOKUP(
 tblChecklist[[#This Row],[TargetID]],
 tblTargetStatus[TargetID],
 tblTargetStatus[successors],
 ""
)</f>
        <v>Once Upon a Forest Chapter 1 Finished, Find Jade Gate in 2C</v>
      </c>
      <c r="D267" s="79" t="str">
        <f>_xlfn.XLOOKUP(tblChecklist[[#This Row],[TargetID]],tblTargets[TargetID],tblTargets[TargetType],"")</f>
        <v>QUEST</v>
      </c>
      <c r="E267" s="79" t="str">
        <f>_xlfn.XLOOKUP(tblChecklist[[#This Row],[TargetID]],tblTargetStatus[TargetID],tblTargetStatus[ChainAwareStatus],"")</f>
        <v>BLOCKED</v>
      </c>
      <c r="G267" s="82" t="b">
        <v>0</v>
      </c>
      <c r="H267" s="79" t="str">
        <f>_xlfn.XLOOKUP(tblChecklist[[#This Row],[TargetID]],tblTargetStatus[TargetID],tblTargetStatus[TargetFunded],"")</f>
        <v>N/A</v>
      </c>
      <c r="I26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8" spans="1:9" ht="26.15" customHeight="1">
      <c r="A268" t="s">
        <v>2482</v>
      </c>
      <c r="B268" t="str">
        <f>_xlfn.XLOOKUP(tblChecklist[[#This Row],[TargetID]],tblTargets[TargetID],tblTargets[DisplayName])</f>
        <v>Once Upon a Forest Chapter 1 Finished</v>
      </c>
      <c r="C268" s="2" t="str">
        <f>_xlfn.XLOOKUP(
 tblChecklist[[#This Row],[TargetID]],
 tblTargetStatus[TargetID],
 tblTargetStatus[successors],
 ""
)</f>
        <v>Once Upon a Forest Chapter 2 Accepted, Meet Raven @F1 on first entrance</v>
      </c>
      <c r="D268" s="79" t="str">
        <f>_xlfn.XLOOKUP(tblChecklist[[#This Row],[TargetID]],tblTargets[TargetID],tblTargets[TargetType],"")</f>
        <v>QUEST</v>
      </c>
      <c r="E268" s="79" t="str">
        <f>_xlfn.XLOOKUP(tblChecklist[[#This Row],[TargetID]],tblTargetStatus[TargetID],tblTargetStatus[ChainAwareStatus],"")</f>
        <v>BLOCKED</v>
      </c>
      <c r="G268" s="82" t="b">
        <v>0</v>
      </c>
      <c r="H268" s="79" t="str">
        <f>_xlfn.XLOOKUP(tblChecklist[[#This Row],[TargetID]],tblTargetStatus[TargetID],tblTargetStatus[TargetFunded],"")</f>
        <v>N/A</v>
      </c>
      <c r="I26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9" spans="1:9" ht="26.15" customHeight="1">
      <c r="A269" t="s">
        <v>2357</v>
      </c>
      <c r="B269" t="str">
        <f>_xlfn.XLOOKUP(tblChecklist[[#This Row],[TargetID]],tblTargets[TargetID],tblTargets[DisplayName])</f>
        <v>Once Upon a Forest Chapter 10 Accepted</v>
      </c>
      <c r="C269" s="2" t="str">
        <f>_xlfn.XLOOKUP(
 tblChecklist[[#This Row],[TargetID]],
 tblTargetStatus[TargetID],
 tblTargetStatus[successors],
 ""
)</f>
        <v>Once Upon a Forest Chapter 10 Finished, Once Upon a Forest Chapter 11 Accepted, Deliver Balm To Hunter @F2, Meet Pilot@F3</v>
      </c>
      <c r="D269" s="79" t="str">
        <f>_xlfn.XLOOKUP(tblChecklist[[#This Row],[TargetID]],tblTargets[TargetID],tblTargets[TargetType],"")</f>
        <v>QUEST</v>
      </c>
      <c r="E269" s="79" t="str">
        <f>_xlfn.XLOOKUP(tblChecklist[[#This Row],[TargetID]],tblTargetStatus[TargetID],tblTargetStatus[ChainAwareStatus],"")</f>
        <v>BLOCKED</v>
      </c>
      <c r="G269" s="82" t="b">
        <v>0</v>
      </c>
      <c r="H269" s="79" t="str">
        <f>_xlfn.XLOOKUP(tblChecklist[[#This Row],[TargetID]],tblTargetStatus[TargetID],tblTargetStatus[TargetFunded],"")</f>
        <v>N/A</v>
      </c>
      <c r="I26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0" spans="1:9" ht="26.15" customHeight="1">
      <c r="A270" t="s">
        <v>2500</v>
      </c>
      <c r="B270" t="str">
        <f>_xlfn.XLOOKUP(tblChecklist[[#This Row],[TargetID]],tblTargets[TargetID],tblTargets[DisplayName])</f>
        <v>Once Upon a Forest Chapter 10 Finished</v>
      </c>
      <c r="C270" s="2" t="str">
        <f>_xlfn.XLOOKUP(
 tblChecklist[[#This Row],[TargetID]],
 tblTargetStatus[TargetID],
 tblTargetStatus[successors],
 ""
)</f>
        <v>Hat Of Concentration, Tailor - Salamander Velour</v>
      </c>
      <c r="D270" s="79" t="str">
        <f>_xlfn.XLOOKUP(tblChecklist[[#This Row],[TargetID]],tblTargets[TargetID],tblTargets[TargetType],"")</f>
        <v>QUEST</v>
      </c>
      <c r="E270" s="79" t="str">
        <f>_xlfn.XLOOKUP(tblChecklist[[#This Row],[TargetID]],tblTargetStatus[TargetID],tblTargetStatus[ChainAwareStatus],"")</f>
        <v>BLOCKED</v>
      </c>
      <c r="G270" s="82" t="b">
        <v>0</v>
      </c>
      <c r="H270" s="79" t="str">
        <f>_xlfn.XLOOKUP(tblChecklist[[#This Row],[TargetID]],tblTargetStatus[TargetID],tblTargetStatus[TargetFunded],"")</f>
        <v>N/A</v>
      </c>
      <c r="I27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1" spans="1:9" ht="26.15" customHeight="1">
      <c r="A271" t="s">
        <v>2360</v>
      </c>
      <c r="B271" t="str">
        <f>_xlfn.XLOOKUP(tblChecklist[[#This Row],[TargetID]],tblTargets[TargetID],tblTargets[DisplayName])</f>
        <v>Once Upon a Forest Chapter 11 Accepted</v>
      </c>
      <c r="C271" s="2" t="str">
        <f>_xlfn.XLOOKUP(
 tblChecklist[[#This Row],[TargetID]],
 tblTargetStatus[TargetID],
 tblTargetStatus[successors],
 ""
)</f>
        <v>Once Upon a Forest Chapter 11 Finished, Once Upon a Forest Chapter 12 Accepted, Meet Mr Diligence@F1, Visit Melbourne in Airship</v>
      </c>
      <c r="D271" s="79" t="str">
        <f>_xlfn.XLOOKUP(tblChecklist[[#This Row],[TargetID]],tblTargets[TargetID],tblTargets[TargetType],"")</f>
        <v>QUEST</v>
      </c>
      <c r="E271" s="79" t="str">
        <f>_xlfn.XLOOKUP(tblChecklist[[#This Row],[TargetID]],tblTargetStatus[TargetID],tblTargetStatus[ChainAwareStatus],"")</f>
        <v>BLOCKED</v>
      </c>
      <c r="G271" s="82" t="b">
        <v>0</v>
      </c>
      <c r="H271" s="79" t="str">
        <f>_xlfn.XLOOKUP(tblChecklist[[#This Row],[TargetID]],tblTargetStatus[TargetID],tblTargetStatus[TargetFunded],"")</f>
        <v>N/A</v>
      </c>
      <c r="I27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2" spans="1:9" ht="26.15" customHeight="1">
      <c r="A272" t="s">
        <v>2502</v>
      </c>
      <c r="B272" t="str">
        <f>_xlfn.XLOOKUP(tblChecklist[[#This Row],[TargetID]],tblTargets[TargetID],tblTargets[DisplayName])</f>
        <v>Once Upon a Forest Chapter 11 Finished</v>
      </c>
      <c r="C272" s="2" t="str">
        <f>_xlfn.XLOOKUP(
 tblChecklist[[#This Row],[TargetID]],
 tblTargetStatus[TargetID],
 tblTargetStatus[successors],
 ""
)</f>
        <v>Flamethrower, Metal Detector, Airship - Titanium Longerons, Furnace - Titanium Parts, Train - Titanium Components</v>
      </c>
      <c r="D272" s="79" t="str">
        <f>_xlfn.XLOOKUP(tblChecklist[[#This Row],[TargetID]],tblTargets[TargetID],tblTargets[TargetType],"")</f>
        <v>QUEST</v>
      </c>
      <c r="E272" s="79" t="str">
        <f>_xlfn.XLOOKUP(tblChecklist[[#This Row],[TargetID]],tblTargetStatus[TargetID],tblTargetStatus[ChainAwareStatus],"")</f>
        <v>BLOCKED</v>
      </c>
      <c r="G272" s="82" t="b">
        <v>0</v>
      </c>
      <c r="H272" s="79" t="str">
        <f>_xlfn.XLOOKUP(tblChecklist[[#This Row],[TargetID]],tblTargetStatus[TargetID],tblTargetStatus[TargetFunded],"")</f>
        <v>N/A</v>
      </c>
      <c r="I27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3" spans="1:9" ht="26.15" customHeight="1">
      <c r="A273" t="s">
        <v>2363</v>
      </c>
      <c r="B273" t="str">
        <f>_xlfn.XLOOKUP(tblChecklist[[#This Row],[TargetID]],tblTargets[TargetID],tblTargets[DisplayName])</f>
        <v>Once Upon a Forest Chapter 12 Accepted</v>
      </c>
      <c r="C273" s="2" t="str">
        <f>_xlfn.XLOOKUP(
 tblChecklist[[#This Row],[TargetID]],
 tblTargetStatus[TargetID],
 tblTargetStatus[successors],
 ""
)</f>
        <v>Once Upon a Forest Chapter 12 Finished, Once Upon a Forest Chapter 13 Accepted, Escort Mr and Mrs Diligance through F1, Escort Mr and Mrs Diligance through F2, Escort Mr and Mrs Diligance through F3, Escort Mr and Mrs Diligance through F4, Meet Foodie Demon@F2</v>
      </c>
      <c r="D273" s="79" t="str">
        <f>_xlfn.XLOOKUP(tblChecklist[[#This Row],[TargetID]],tblTargets[TargetID],tblTargets[TargetType],"")</f>
        <v>QUEST</v>
      </c>
      <c r="E273" s="79" t="str">
        <f>_xlfn.XLOOKUP(tblChecklist[[#This Row],[TargetID]],tblTargetStatus[TargetID],tblTargetStatus[ChainAwareStatus],"")</f>
        <v>BLOCKED</v>
      </c>
      <c r="G273" s="82" t="b">
        <v>0</v>
      </c>
      <c r="H273" s="79" t="str">
        <f>_xlfn.XLOOKUP(tblChecklist[[#This Row],[TargetID]],tblTargetStatus[TargetID],tblTargetStatus[TargetFunded],"")</f>
        <v>N/A</v>
      </c>
      <c r="I27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4" spans="1:9" ht="26.15" customHeight="1">
      <c r="A274" t="s">
        <v>2504</v>
      </c>
      <c r="B274" t="str">
        <f>_xlfn.XLOOKUP(tblChecklist[[#This Row],[TargetID]],tblTargets[TargetID],tblTargets[DisplayName])</f>
        <v>Once Upon a Forest Chapter 12 Finished</v>
      </c>
      <c r="C274" s="2" t="str">
        <f>_xlfn.XLOOKUP(
 tblChecklist[[#This Row],[TargetID]],
 tblTargetStatus[TargetID],
 tblTargetStatus[successors],
 ""
)</f>
        <v>Once Upon a Forest Chapter 14 Accepted, The Ordinary Days of an Adventurer Chapter 1 Accepted, The Ordinary Days of an Adventurer Chapter 2 Accepted, Meet Methusalem@F3, Meet Samurai Panda@6A, Smithy - Sword For A Hero Lvl 4+</v>
      </c>
      <c r="D274" s="79" t="str">
        <f>_xlfn.XLOOKUP(tblChecklist[[#This Row],[TargetID]],tblTargets[TargetID],tblTargets[TargetType],"")</f>
        <v>QUEST</v>
      </c>
      <c r="E274" s="79" t="str">
        <f>_xlfn.XLOOKUP(tblChecklist[[#This Row],[TargetID]],tblTargetStatus[TargetID],tblTargetStatus[ChainAwareStatus],"")</f>
        <v>BLOCKED</v>
      </c>
      <c r="G274" s="82" t="b">
        <v>0</v>
      </c>
      <c r="H274" s="79" t="str">
        <f>_xlfn.XLOOKUP(tblChecklist[[#This Row],[TargetID]],tblTargetStatus[TargetID],tblTargetStatus[TargetFunded],"")</f>
        <v>N/A</v>
      </c>
      <c r="I27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5" spans="1:9" ht="26.15" customHeight="1">
      <c r="A275" t="s">
        <v>2366</v>
      </c>
      <c r="B275" t="str">
        <f>_xlfn.XLOOKUP(tblChecklist[[#This Row],[TargetID]],tblTargets[TargetID],tblTargets[DisplayName])</f>
        <v>Once Upon a Forest Chapter 13 Accepted</v>
      </c>
      <c r="C275" s="2" t="str">
        <f>_xlfn.XLOOKUP(
 tblChecklist[[#This Row],[TargetID]],
 tblTargetStatus[TargetID],
 tblTargetStatus[successors],
 ""
)</f>
        <v>Once Upon a Forest Chapter 13 Finished, Escort Mr and Mrs Diligance through F1, Escort Mr and Mrs Diligance through F2, Escort Mr and Mrs Diligance through F3, Escort Mr and Mrs Diligance through F4</v>
      </c>
      <c r="D275" s="79" t="str">
        <f>_xlfn.XLOOKUP(tblChecklist[[#This Row],[TargetID]],tblTargets[TargetID],tblTargets[TargetType],"")</f>
        <v>QUEST</v>
      </c>
      <c r="E275" s="79" t="str">
        <f>_xlfn.XLOOKUP(tblChecklist[[#This Row],[TargetID]],tblTargetStatus[TargetID],tblTargetStatus[ChainAwareStatus],"")</f>
        <v>BLOCKED</v>
      </c>
      <c r="G275" s="82" t="b">
        <v>0</v>
      </c>
      <c r="H275" s="79" t="str">
        <f>_xlfn.XLOOKUP(tblChecklist[[#This Row],[TargetID]],tblTargetStatus[TargetID],tblTargetStatus[TargetFunded],"")</f>
        <v>N/A</v>
      </c>
      <c r="I27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6" spans="1:9" ht="26.15" customHeight="1">
      <c r="A276" t="s">
        <v>2506</v>
      </c>
      <c r="B276" t="str">
        <f>_xlfn.XLOOKUP(tblChecklist[[#This Row],[TargetID]],tblTargets[TargetID],tblTargets[DisplayName])</f>
        <v>Once Upon a Forest Chapter 13 Finished</v>
      </c>
      <c r="C276" s="2" t="str">
        <f>_xlfn.XLOOKUP(
 tblChecklist[[#This Row],[TargetID]],
 tblTargetStatus[TargetID],
 tblTargetStatus[successors],
 ""
)</f>
        <v>Once Upon a Forest Chapter 15 Accepted, Meet Raven@F1</v>
      </c>
      <c r="D276" s="79" t="str">
        <f>_xlfn.XLOOKUP(tblChecklist[[#This Row],[TargetID]],tblTargets[TargetID],tblTargets[TargetType],"")</f>
        <v>QUEST</v>
      </c>
      <c r="E276" s="79" t="str">
        <f>_xlfn.XLOOKUP(tblChecklist[[#This Row],[TargetID]],tblTargetStatus[TargetID],tblTargetStatus[ChainAwareStatus],"")</f>
        <v>BLOCKED</v>
      </c>
      <c r="G276" s="82" t="b">
        <v>0</v>
      </c>
      <c r="H276" s="79" t="b">
        <f>_xlfn.XLOOKUP(tblChecklist[[#This Row],[TargetID]],tblTargetStatus[TargetID],tblTargetStatus[TargetFunded],"")</f>
        <v>0</v>
      </c>
      <c r="I27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7" spans="1:9" ht="26.15" customHeight="1">
      <c r="A277" t="s">
        <v>2369</v>
      </c>
      <c r="B277" t="str">
        <f>_xlfn.XLOOKUP(tblChecklist[[#This Row],[TargetID]],tblTargets[TargetID],tblTargets[DisplayName])</f>
        <v>Once Upon a Forest Chapter 14 Accepted</v>
      </c>
      <c r="C277" s="2" t="str">
        <f>_xlfn.XLOOKUP(
 tblChecklist[[#This Row],[TargetID]],
 tblTargetStatus[TargetID],
 tblTargetStatus[successors],
 ""
)</f>
        <v>Once Upon a Forest Chapter 14 Finished</v>
      </c>
      <c r="D277" s="79" t="str">
        <f>_xlfn.XLOOKUP(tblChecklist[[#This Row],[TargetID]],tblTargets[TargetID],tblTargets[TargetType],"")</f>
        <v>QUEST</v>
      </c>
      <c r="E277" s="79" t="str">
        <f>_xlfn.XLOOKUP(tblChecklist[[#This Row],[TargetID]],tblTargetStatus[TargetID],tblTargetStatus[ChainAwareStatus],"")</f>
        <v>BLOCKED</v>
      </c>
      <c r="G277" s="82" t="b">
        <v>0</v>
      </c>
      <c r="H277" s="79" t="str">
        <f>_xlfn.XLOOKUP(tblChecklist[[#This Row],[TargetID]],tblTargetStatus[TargetID],tblTargetStatus[TargetFunded],"")</f>
        <v>N/A</v>
      </c>
      <c r="I27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8" spans="1:9" ht="26.15" customHeight="1">
      <c r="A278" t="s">
        <v>2508</v>
      </c>
      <c r="B278" t="str">
        <f>_xlfn.XLOOKUP(tblChecklist[[#This Row],[TargetID]],tblTargets[TargetID],tblTargets[DisplayName])</f>
        <v>Once Upon a Forest Chapter 14 Finished</v>
      </c>
      <c r="C278" s="2" t="str">
        <f>_xlfn.XLOOKUP(
 tblChecklist[[#This Row],[TargetID]],
 tblTargetStatus[TargetID],
 tblTargetStatus[successors],
 ""
)</f>
        <v>Once Upon a Forest Chapter 15 Accepted, Meet Raven@F1</v>
      </c>
      <c r="D278" s="79" t="str">
        <f>_xlfn.XLOOKUP(tblChecklist[[#This Row],[TargetID]],tblTargets[TargetID],tblTargets[TargetType],"")</f>
        <v>QUEST</v>
      </c>
      <c r="E278" s="79" t="str">
        <f>_xlfn.XLOOKUP(tblChecklist[[#This Row],[TargetID]],tblTargetStatus[TargetID],tblTargetStatus[ChainAwareStatus],"")</f>
        <v>BLOCKED</v>
      </c>
      <c r="G278" s="82" t="b">
        <v>0</v>
      </c>
      <c r="H278" s="79" t="str">
        <f>_xlfn.XLOOKUP(tblChecklist[[#This Row],[TargetID]],tblTargetStatus[TargetID],tblTargetStatus[TargetFunded],"")</f>
        <v>N/A</v>
      </c>
      <c r="I27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9" spans="1:9" ht="26.15" customHeight="1">
      <c r="A279" t="s">
        <v>2372</v>
      </c>
      <c r="B279" t="str">
        <f>_xlfn.XLOOKUP(tblChecklist[[#This Row],[TargetID]],tblTargets[TargetID],tblTargets[DisplayName])</f>
        <v>Once Upon a Forest Chapter 15 Accepted</v>
      </c>
      <c r="C279" s="2" t="str">
        <f>_xlfn.XLOOKUP(
 tblChecklist[[#This Row],[TargetID]],
 tblTargetStatus[TargetID],
 tblTargetStatus[successors],
 ""
)</f>
        <v>Once Upon a Forest Chapter 15 Finished, Meet the raven in F2</v>
      </c>
      <c r="D279" s="79" t="str">
        <f>_xlfn.XLOOKUP(tblChecklist[[#This Row],[TargetID]],tblTargets[TargetID],tblTargets[TargetType],"")</f>
        <v>QUEST</v>
      </c>
      <c r="E279" s="79" t="str">
        <f>_xlfn.XLOOKUP(tblChecklist[[#This Row],[TargetID]],tblTargetStatus[TargetID],tblTargetStatus[ChainAwareStatus],"")</f>
        <v>BLOCKED</v>
      </c>
      <c r="G279" s="82" t="b">
        <v>0</v>
      </c>
      <c r="H279" s="79" t="str">
        <f>_xlfn.XLOOKUP(tblChecklist[[#This Row],[TargetID]],tblTargetStatus[TargetID],tblTargetStatus[TargetFunded],"")</f>
        <v>N/A</v>
      </c>
      <c r="I27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0" spans="1:9" ht="26.15" customHeight="1">
      <c r="A280" t="s">
        <v>2510</v>
      </c>
      <c r="B280" t="str">
        <f>_xlfn.XLOOKUP(tblChecklist[[#This Row],[TargetID]],tblTargets[TargetID],tblTargets[DisplayName])</f>
        <v>Once Upon a Forest Chapter 15 Finished</v>
      </c>
      <c r="C280" s="2" t="str">
        <f>_xlfn.XLOOKUP(
 tblChecklist[[#This Row],[TargetID]],
 tblTargetStatus[TargetID],
 tblTargetStatus[successors],
 ""
)</f>
        <v>Armory, Gallery, Treasury, Meet mechanical adventurer in Dungeon 3A</v>
      </c>
      <c r="D280" s="79" t="str">
        <f>_xlfn.XLOOKUP(tblChecklist[[#This Row],[TargetID]],tblTargets[TargetID],tblTargets[TargetType],"")</f>
        <v>QUEST</v>
      </c>
      <c r="E280" s="79" t="str">
        <f>_xlfn.XLOOKUP(tblChecklist[[#This Row],[TargetID]],tblTargetStatus[TargetID],tblTargetStatus[ChainAwareStatus],"")</f>
        <v>BLOCKED</v>
      </c>
      <c r="G280" s="82" t="b">
        <v>0</v>
      </c>
      <c r="H280" s="79" t="str">
        <f>_xlfn.XLOOKUP(tblChecklist[[#This Row],[TargetID]],tblTargetStatus[TargetID],tblTargetStatus[TargetFunded],"")</f>
        <v>N/A</v>
      </c>
      <c r="I28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1" spans="1:9" ht="26.15" customHeight="1">
      <c r="A281" t="s">
        <v>2333</v>
      </c>
      <c r="B281" t="str">
        <f>_xlfn.XLOOKUP(tblChecklist[[#This Row],[TargetID]],tblTargets[TargetID],tblTargets[DisplayName])</f>
        <v>Once Upon a Forest Chapter 2 Accepted</v>
      </c>
      <c r="C281" s="2" t="str">
        <f>_xlfn.XLOOKUP(
 tblChecklist[[#This Row],[TargetID]],
 tblTargetStatus[TargetID],
 tblTargetStatus[successors],
 ""
)</f>
        <v>Once Upon a Forest Chapter 2 Finished, Complete F1 for the first time</v>
      </c>
      <c r="D281" s="79" t="str">
        <f>_xlfn.XLOOKUP(tblChecklist[[#This Row],[TargetID]],tblTargets[TargetID],tblTargets[TargetType],"")</f>
        <v>QUEST</v>
      </c>
      <c r="E281" s="79" t="str">
        <f>_xlfn.XLOOKUP(tblChecklist[[#This Row],[TargetID]],tblTargetStatus[TargetID],tblTargetStatus[ChainAwareStatus],"")</f>
        <v>BLOCKED</v>
      </c>
      <c r="G281" s="82" t="b">
        <v>0</v>
      </c>
      <c r="H281" s="79" t="str">
        <f>_xlfn.XLOOKUP(tblChecklist[[#This Row],[TargetID]],tblTargetStatus[TargetID],tblTargetStatus[TargetFunded],"")</f>
        <v>N/A</v>
      </c>
      <c r="I28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2" spans="1:9" ht="26.15" customHeight="1">
      <c r="A282" t="s">
        <v>2484</v>
      </c>
      <c r="B282" t="str">
        <f>_xlfn.XLOOKUP(tblChecklist[[#This Row],[TargetID]],tblTargets[TargetID],tblTargets[DisplayName])</f>
        <v>Once Upon a Forest Chapter 2 Finished</v>
      </c>
      <c r="C282" s="2" t="str">
        <f>_xlfn.XLOOKUP(
 tblChecklist[[#This Row],[TargetID]],
 tblTargetStatus[TargetID],
 tblTargetStatus[successors],
 ""
)</f>
        <v>Courtyard, Horse Lv 1, Once Upon a Forest Chapter 3 Accepted, Meet mechanical adventurer in Dungeon F1</v>
      </c>
      <c r="D282" s="79" t="str">
        <f>_xlfn.XLOOKUP(tblChecklist[[#This Row],[TargetID]],tblTargets[TargetID],tblTargets[TargetType],"")</f>
        <v>QUEST</v>
      </c>
      <c r="E282" s="79" t="str">
        <f>_xlfn.XLOOKUP(tblChecklist[[#This Row],[TargetID]],tblTargetStatus[TargetID],tblTargetStatus[ChainAwareStatus],"")</f>
        <v>BLOCKED</v>
      </c>
      <c r="G282" s="82" t="b">
        <v>0</v>
      </c>
      <c r="H282" s="79" t="str">
        <f>_xlfn.XLOOKUP(tblChecklist[[#This Row],[TargetID]],tblTargetStatus[TargetID],tblTargetStatus[TargetFunded],"")</f>
        <v>N/A</v>
      </c>
      <c r="I28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3" spans="1:9" ht="26.15" customHeight="1">
      <c r="A283" t="s">
        <v>2336</v>
      </c>
      <c r="B283" t="str">
        <f>_xlfn.XLOOKUP(tblChecklist[[#This Row],[TargetID]],tblTargets[TargetID],tblTargets[DisplayName])</f>
        <v>Once Upon a Forest Chapter 3 Accepted</v>
      </c>
      <c r="C283" s="2" t="str">
        <f>_xlfn.XLOOKUP(
 tblChecklist[[#This Row],[TargetID]],
 tblTargetStatus[TargetID],
 tblTargetStatus[successors],
 ""
)</f>
        <v>Once Upon a Forest Chapter 3 Finished, Obtain 8 MALU</v>
      </c>
      <c r="D283" s="79" t="str">
        <f>_xlfn.XLOOKUP(tblChecklist[[#This Row],[TargetID]],tblTargets[TargetID],tblTargets[TargetType],"")</f>
        <v>QUEST</v>
      </c>
      <c r="E283" s="79" t="str">
        <f>_xlfn.XLOOKUP(tblChecklist[[#This Row],[TargetID]],tblTargetStatus[TargetID],tblTargetStatus[ChainAwareStatus],"")</f>
        <v>BLOCKED</v>
      </c>
      <c r="G283" s="82" t="b">
        <v>0</v>
      </c>
      <c r="H283" s="79" t="str">
        <f>_xlfn.XLOOKUP(tblChecklist[[#This Row],[TargetID]],tblTargetStatus[TargetID],tblTargetStatus[TargetFunded],"")</f>
        <v>N/A</v>
      </c>
      <c r="I28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4" spans="1:9" ht="26.15" customHeight="1">
      <c r="A284" t="s">
        <v>2486</v>
      </c>
      <c r="B284" t="str">
        <f>_xlfn.XLOOKUP(tblChecklist[[#This Row],[TargetID]],tblTargets[TargetID],tblTargets[DisplayName])</f>
        <v>Once Upon a Forest Chapter 3 Finished</v>
      </c>
      <c r="C284" s="2" t="str">
        <f>_xlfn.XLOOKUP(
 tblChecklist[[#This Row],[TargetID]],
 tblTargetStatus[TargetID],
 tblTargetStatus[successors],
 ""
)</f>
        <v>Solver 1 Prototype, Once Upon a Forest Chapter 12 Accepted, Meet Mr Diligence@F1, Repeat Visit Dungeon@ F1</v>
      </c>
      <c r="D284" s="79" t="str">
        <f>_xlfn.XLOOKUP(tblChecklist[[#This Row],[TargetID]],tblTargets[TargetID],tblTargets[TargetType],"")</f>
        <v>QUEST</v>
      </c>
      <c r="E284" s="79" t="str">
        <f>_xlfn.XLOOKUP(tblChecklist[[#This Row],[TargetID]],tblTargetStatus[TargetID],tblTargetStatus[ChainAwareStatus],"")</f>
        <v>BLOCKED</v>
      </c>
      <c r="G284" s="82" t="b">
        <v>0</v>
      </c>
      <c r="H284" s="79" t="str">
        <f>_xlfn.XLOOKUP(tblChecklist[[#This Row],[TargetID]],tblTargetStatus[TargetID],tblTargetStatus[TargetFunded],"")</f>
        <v>N/A</v>
      </c>
      <c r="I28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5" spans="1:9" ht="26.15" customHeight="1">
      <c r="A285" t="s">
        <v>2339</v>
      </c>
      <c r="B285" t="str">
        <f>_xlfn.XLOOKUP(tblChecklist[[#This Row],[TargetID]],tblTargets[TargetID],tblTargets[DisplayName])</f>
        <v>Once Upon a Forest Chapter 4 Accepted</v>
      </c>
      <c r="C285" s="2" t="str">
        <f>_xlfn.XLOOKUP(
 tblChecklist[[#This Row],[TargetID]],
 tblTargetStatus[TargetID],
 tblTargetStatus[successors],
 ""
)</f>
        <v>Once Upon a Forest Chapter 4 Finished, Discover the gate in 3C to F2, Discover the gate in 4C to F3, Discover the gate in 5C to F4</v>
      </c>
      <c r="D285" s="79" t="str">
        <f>_xlfn.XLOOKUP(tblChecklist[[#This Row],[TargetID]],tblTargets[TargetID],tblTargets[TargetType],"")</f>
        <v>QUEST</v>
      </c>
      <c r="E285" s="79" t="str">
        <f>_xlfn.XLOOKUP(tblChecklist[[#This Row],[TargetID]],tblTargetStatus[TargetID],tblTargetStatus[ChainAwareStatus],"")</f>
        <v>BLOCKED</v>
      </c>
      <c r="G285" s="82" t="b">
        <v>0</v>
      </c>
      <c r="H285" s="79" t="str">
        <f>_xlfn.XLOOKUP(tblChecklist[[#This Row],[TargetID]],tblTargetStatus[TargetID],tblTargetStatus[TargetFunded],"")</f>
        <v>N/A</v>
      </c>
      <c r="I28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6" spans="1:9" ht="26.15" customHeight="1">
      <c r="A286" t="s">
        <v>2488</v>
      </c>
      <c r="B286" t="str">
        <f>_xlfn.XLOOKUP(tblChecklist[[#This Row],[TargetID]],tblTargets[TargetID],tblTargets[DisplayName])</f>
        <v>Once Upon a Forest Chapter 4 Finished</v>
      </c>
      <c r="C286" s="2" t="str">
        <f>_xlfn.XLOOKUP(
 tblChecklist[[#This Row],[TargetID]],
 tblTargetStatus[TargetID],
 tblTargetStatus[successors],
 ""
)</f>
        <v>Once Upon a Forest Chapter 5 Accepted, Meet Mrs Diligance@F2</v>
      </c>
      <c r="D286" s="79" t="str">
        <f>_xlfn.XLOOKUP(tblChecklist[[#This Row],[TargetID]],tblTargets[TargetID],tblTargets[TargetType],"")</f>
        <v>QUEST</v>
      </c>
      <c r="E286" s="79" t="str">
        <f>_xlfn.XLOOKUP(tblChecklist[[#This Row],[TargetID]],tblTargetStatus[TargetID],tblTargetStatus[ChainAwareStatus],"")</f>
        <v>BLOCKED</v>
      </c>
      <c r="G286" s="82" t="b">
        <v>0</v>
      </c>
      <c r="H286" s="79" t="str">
        <f>_xlfn.XLOOKUP(tblChecklist[[#This Row],[TargetID]],tblTargetStatus[TargetID],tblTargetStatus[TargetFunded],"")</f>
        <v>N/A</v>
      </c>
      <c r="I28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7" spans="1:9" ht="26.15" customHeight="1">
      <c r="A287" t="s">
        <v>2342</v>
      </c>
      <c r="B287" t="str">
        <f>_xlfn.XLOOKUP(tblChecklist[[#This Row],[TargetID]],tblTargets[TargetID],tblTargets[DisplayName])</f>
        <v>Once Upon a Forest Chapter 5 Accepted</v>
      </c>
      <c r="C287" s="2" t="str">
        <f>_xlfn.XLOOKUP(
 tblChecklist[[#This Row],[TargetID]],
 tblTargetStatus[TargetID],
 tblTargetStatus[successors],
 ""
)</f>
        <v>Once Upon a Forest Chapter 5 Finished, Once Upon a Forest Chapter 6 Accepted, Meet Forest Fairy@F2</v>
      </c>
      <c r="D287" s="79" t="str">
        <f>_xlfn.XLOOKUP(tblChecklist[[#This Row],[TargetID]],tblTargets[TargetID],tblTargets[TargetType],"")</f>
        <v>QUEST</v>
      </c>
      <c r="E287" s="79" t="str">
        <f>_xlfn.XLOOKUP(tblChecklist[[#This Row],[TargetID]],tblTargetStatus[TargetID],tblTargetStatus[ChainAwareStatus],"")</f>
        <v>BLOCKED</v>
      </c>
      <c r="G287" s="82" t="b">
        <v>0</v>
      </c>
      <c r="H287" s="79" t="str">
        <f>_xlfn.XLOOKUP(tblChecklist[[#This Row],[TargetID]],tblTargetStatus[TargetID],tblTargetStatus[TargetFunded],"")</f>
        <v>N/A</v>
      </c>
      <c r="I28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8" spans="1:9" ht="26.15" customHeight="1">
      <c r="A288" t="s">
        <v>2490</v>
      </c>
      <c r="B288" t="str">
        <f>_xlfn.XLOOKUP(tblChecklist[[#This Row],[TargetID]],tblTargets[TargetID],tblTargets[DisplayName])</f>
        <v>Once Upon a Forest Chapter 5 Finished</v>
      </c>
      <c r="C288" s="2" t="str">
        <f>_xlfn.XLOOKUP(
 tblChecklist[[#This Row],[TargetID]],
 tblTargetStatus[TargetID],
 tblTargetStatus[successors],
 ""
)</f>
        <v>Once Upon a Forest Chapter 15 Accepted, Tailor - Bedroll</v>
      </c>
      <c r="D288" s="79" t="str">
        <f>_xlfn.XLOOKUP(tblChecklist[[#This Row],[TargetID]],tblTargets[TargetID],tblTargets[TargetType],"")</f>
        <v>QUEST</v>
      </c>
      <c r="E288" s="79" t="str">
        <f>_xlfn.XLOOKUP(tblChecklist[[#This Row],[TargetID]],tblTargetStatus[TargetID],tblTargetStatus[ChainAwareStatus],"")</f>
        <v>BLOCKED</v>
      </c>
      <c r="G288" s="82" t="b">
        <v>0</v>
      </c>
      <c r="H288" s="79" t="b">
        <f>_xlfn.XLOOKUP(tblChecklist[[#This Row],[TargetID]],tblTargetStatus[TargetID],tblTargetStatus[TargetFunded],"")</f>
        <v>0</v>
      </c>
      <c r="I28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9" spans="1:9" ht="26.15" customHeight="1">
      <c r="A289" t="s">
        <v>2345</v>
      </c>
      <c r="B289" t="str">
        <f>_xlfn.XLOOKUP(tblChecklist[[#This Row],[TargetID]],tblTargets[TargetID],tblTargets[DisplayName])</f>
        <v>Once Upon a Forest Chapter 6 Accepted</v>
      </c>
      <c r="C289" s="2" t="str">
        <f>_xlfn.XLOOKUP(
 tblChecklist[[#This Row],[TargetID]],
 tblTargetStatus[TargetID],
 tblTargetStatus[successors],
 ""
)</f>
        <v>Once Upon a Forest Chapter 6 Finished, Deliver Potion of Mental Power to F2, Craft Potion of Mental Power, Alchemists Hut - Balm, Alchemists Hut - Potion Of Mental Power</v>
      </c>
      <c r="D289" s="79" t="str">
        <f>_xlfn.XLOOKUP(tblChecklist[[#This Row],[TargetID]],tblTargets[TargetID],tblTargets[TargetType],"")</f>
        <v>QUEST</v>
      </c>
      <c r="E289" s="79" t="str">
        <f>_xlfn.XLOOKUP(tblChecklist[[#This Row],[TargetID]],tblTargetStatus[TargetID],tblTargetStatus[ChainAwareStatus],"")</f>
        <v>BLOCKED</v>
      </c>
      <c r="G289" s="82" t="b">
        <v>0</v>
      </c>
      <c r="H289" s="79" t="str">
        <f>_xlfn.XLOOKUP(tblChecklist[[#This Row],[TargetID]],tblTargetStatus[TargetID],tblTargetStatus[TargetFunded],"")</f>
        <v>N/A</v>
      </c>
      <c r="I28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0" spans="1:9" ht="26.15" customHeight="1">
      <c r="A290" t="s">
        <v>2492</v>
      </c>
      <c r="B290" t="str">
        <f>_xlfn.XLOOKUP(tblChecklist[[#This Row],[TargetID]],tblTargets[TargetID],tblTargets[DisplayName])</f>
        <v>Once Upon a Forest Chapter 6 Finished</v>
      </c>
      <c r="C290" s="2" t="str">
        <f>_xlfn.XLOOKUP(
 tblChecklist[[#This Row],[TargetID]],
 tblTargetStatus[TargetID],
 tblTargetStatus[successors],
 ""
)</f>
        <v>Once Upon a Forest Chapter 7 Accepted, Meet Dark Lady@F2, Alchemists Hut - Mercury</v>
      </c>
      <c r="D290" s="79" t="str">
        <f>_xlfn.XLOOKUP(tblChecklist[[#This Row],[TargetID]],tblTargets[TargetID],tblTargets[TargetType],"")</f>
        <v>QUEST</v>
      </c>
      <c r="E290" s="79" t="str">
        <f>_xlfn.XLOOKUP(tblChecklist[[#This Row],[TargetID]],tblTargetStatus[TargetID],tblTargetStatus[ChainAwareStatus],"")</f>
        <v>BLOCKED</v>
      </c>
      <c r="G290" s="82" t="b">
        <v>0</v>
      </c>
      <c r="H290" s="79" t="str">
        <f>_xlfn.XLOOKUP(tblChecklist[[#This Row],[TargetID]],tblTargetStatus[TargetID],tblTargetStatus[TargetFunded],"")</f>
        <v>N/A</v>
      </c>
      <c r="I29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1" spans="1:9" ht="26.15" customHeight="1">
      <c r="A291" t="s">
        <v>2348</v>
      </c>
      <c r="B291" t="str">
        <f>_xlfn.XLOOKUP(tblChecklist[[#This Row],[TargetID]],tblTargets[TargetID],tblTargets[DisplayName])</f>
        <v>Once Upon a Forest Chapter 7 Accepted</v>
      </c>
      <c r="C291" s="2" t="str">
        <f>_xlfn.XLOOKUP(
 tblChecklist[[#This Row],[TargetID]],
 tblTargetStatus[TargetID],
 tblTargetStatus[successors],
 ""
)</f>
        <v>Once Upon a Forest Chapter 7 Finished, Deliver Ambrosia to Dark Lady in F3</v>
      </c>
      <c r="D291" s="79" t="str">
        <f>_xlfn.XLOOKUP(tblChecklist[[#This Row],[TargetID]],tblTargets[TargetID],tblTargets[TargetType],"")</f>
        <v>QUEST</v>
      </c>
      <c r="E291" s="79" t="str">
        <f>_xlfn.XLOOKUP(tblChecklist[[#This Row],[TargetID]],tblTargetStatus[TargetID],tblTargetStatus[ChainAwareStatus],"")</f>
        <v>BLOCKED</v>
      </c>
      <c r="G291" s="82" t="b">
        <v>0</v>
      </c>
      <c r="H291" s="79" t="str">
        <f>_xlfn.XLOOKUP(tblChecklist[[#This Row],[TargetID]],tblTargetStatus[TargetID],tblTargetStatus[TargetFunded],"")</f>
        <v>N/A</v>
      </c>
      <c r="I29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2" spans="1:9" ht="26.15" customHeight="1">
      <c r="A292" t="s">
        <v>2494</v>
      </c>
      <c r="B292" t="str">
        <f>_xlfn.XLOOKUP(tblChecklist[[#This Row],[TargetID]],tblTargets[TargetID],tblTargets[DisplayName])</f>
        <v>Once Upon a Forest Chapter 7 Finished</v>
      </c>
      <c r="C292" s="2" t="str">
        <f>_xlfn.XLOOKUP(
 tblChecklist[[#This Row],[TargetID]],
 tblTargetStatus[TargetID],
 tblTargetStatus[successors],
 ""
)</f>
        <v>Barometer, Once Upon a Forest Chapter 8 Accepted, Meet Raven@F3, Alchemists Hut - Gold Ingot, Alchemists Hut - Madness Grenade, Alchemists Hut - Mercury, Alchemists Hut - Metamorphosis</v>
      </c>
      <c r="D292" s="79" t="str">
        <f>_xlfn.XLOOKUP(tblChecklist[[#This Row],[TargetID]],tblTargets[TargetID],tblTargets[TargetType],"")</f>
        <v>QUEST</v>
      </c>
      <c r="E292" s="79" t="str">
        <f>_xlfn.XLOOKUP(tblChecklist[[#This Row],[TargetID]],tblTargetStatus[TargetID],tblTargetStatus[ChainAwareStatus],"")</f>
        <v>BLOCKED</v>
      </c>
      <c r="G292" s="82" t="b">
        <v>0</v>
      </c>
      <c r="H292" s="79" t="str">
        <f>_xlfn.XLOOKUP(tblChecklist[[#This Row],[TargetID]],tblTargetStatus[TargetID],tblTargetStatus[TargetFunded],"")</f>
        <v>N/A</v>
      </c>
      <c r="I29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3" spans="1:9" ht="26.15" customHeight="1">
      <c r="A293" t="s">
        <v>2351</v>
      </c>
      <c r="B293" t="str">
        <f>_xlfn.XLOOKUP(tblChecklist[[#This Row],[TargetID]],tblTargets[TargetID],tblTargets[DisplayName])</f>
        <v>Once Upon a Forest Chapter 8 Accepted</v>
      </c>
      <c r="C293" s="2" t="str">
        <f>_xlfn.XLOOKUP(
 tblChecklist[[#This Row],[TargetID]],
 tblTargetStatus[TargetID],
 tblTargetStatus[successors],
 ""
)</f>
        <v>Once Upon a Forest Chapter 8 Finished</v>
      </c>
      <c r="D293" s="79" t="str">
        <f>_xlfn.XLOOKUP(tblChecklist[[#This Row],[TargetID]],tblTargets[TargetID],tblTargets[TargetType],"")</f>
        <v>QUEST</v>
      </c>
      <c r="E293" s="79" t="str">
        <f>_xlfn.XLOOKUP(tblChecklist[[#This Row],[TargetID]],tblTargetStatus[TargetID],tblTargetStatus[ChainAwareStatus],"")</f>
        <v>BLOCKED</v>
      </c>
      <c r="G293" s="82" t="b">
        <v>0</v>
      </c>
      <c r="H293" s="79" t="str">
        <f>_xlfn.XLOOKUP(tblChecklist[[#This Row],[TargetID]],tblTargetStatus[TargetID],tblTargetStatus[TargetFunded],"")</f>
        <v>N/A</v>
      </c>
      <c r="I29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4" spans="1:9" ht="26.15" customHeight="1">
      <c r="A294" t="s">
        <v>2496</v>
      </c>
      <c r="B294" t="str">
        <f>_xlfn.XLOOKUP(tblChecklist[[#This Row],[TargetID]],tblTargets[TargetID],tblTargets[DisplayName])</f>
        <v>Once Upon a Forest Chapter 8 Finished</v>
      </c>
      <c r="C294" s="2" t="str">
        <f>_xlfn.XLOOKUP(
 tblChecklist[[#This Row],[TargetID]],
 tblTargetStatus[TargetID],
 tblTargetStatus[successors],
 ""
)</f>
        <v>Once Upon a Forest Chapter 9 Accepted, Meet Inventor@5B</v>
      </c>
      <c r="D294" s="79" t="str">
        <f>_xlfn.XLOOKUP(tblChecklist[[#This Row],[TargetID]],tblTargets[TargetID],tblTargets[TargetType],"")</f>
        <v>QUEST</v>
      </c>
      <c r="E294" s="79" t="str">
        <f>_xlfn.XLOOKUP(tblChecklist[[#This Row],[TargetID]],tblTargetStatus[TargetID],tblTargetStatus[ChainAwareStatus],"")</f>
        <v>BLOCKED</v>
      </c>
      <c r="G294" s="82" t="b">
        <v>0</v>
      </c>
      <c r="H294" s="79" t="b">
        <f>_xlfn.XLOOKUP(tblChecklist[[#This Row],[TargetID]],tblTargetStatus[TargetID],tblTargetStatus[TargetFunded],"")</f>
        <v>0</v>
      </c>
      <c r="I29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5" spans="1:9" ht="26.15" customHeight="1">
      <c r="A295" t="s">
        <v>2354</v>
      </c>
      <c r="B295" t="str">
        <f>_xlfn.XLOOKUP(tblChecklist[[#This Row],[TargetID]],tblTargets[TargetID],tblTargets[DisplayName])</f>
        <v>Once Upon a Forest Chapter 9 Accepted</v>
      </c>
      <c r="C295" s="2" t="str">
        <f>_xlfn.XLOOKUP(
 tblChecklist[[#This Row],[TargetID]],
 tblTargetStatus[TargetID],
 tblTargetStatus[successors],
 ""
)</f>
        <v>Once Upon a Forest Chapter 10 Accepted, Once Upon a Forest Chapter 9 Finished, Visit Dungeon@F1, Obtain Hide, Obtain Titanium, Tailor - Armor For A Hero Lvl 4</v>
      </c>
      <c r="D295" s="79" t="str">
        <f>_xlfn.XLOOKUP(tblChecklist[[#This Row],[TargetID]],tblTargets[TargetID],tblTargets[TargetType],"")</f>
        <v>QUEST</v>
      </c>
      <c r="E295" s="79" t="str">
        <f>_xlfn.XLOOKUP(tblChecklist[[#This Row],[TargetID]],tblTargetStatus[TargetID],tblTargetStatus[ChainAwareStatus],"")</f>
        <v>BLOCKED</v>
      </c>
      <c r="G295" s="82" t="b">
        <v>0</v>
      </c>
      <c r="H295" s="79" t="str">
        <f>_xlfn.XLOOKUP(tblChecklist[[#This Row],[TargetID]],tblTargetStatus[TargetID],tblTargetStatus[TargetFunded],"")</f>
        <v>N/A</v>
      </c>
      <c r="I29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6" spans="1:9" ht="26.15" customHeight="1">
      <c r="A296" t="s">
        <v>2498</v>
      </c>
      <c r="B296" t="str">
        <f>_xlfn.XLOOKUP(tblChecklist[[#This Row],[TargetID]],tblTargets[TargetID],tblTargets[DisplayName])</f>
        <v>Once Upon a Forest Chapter 9 Finished</v>
      </c>
      <c r="C296" s="2" t="str">
        <f>_xlfn.XLOOKUP(
 tblChecklist[[#This Row],[TargetID]],
 tblTargetStatus[TargetID],
 tblTargetStatus[successors],
 ""
)</f>
        <v>Ahead of Time Chapter 1 Accepted, Once Upon a Forest Chapter 15 Accepted, Complete Lvl1 Any Project</v>
      </c>
      <c r="D296" s="79" t="str">
        <f>_xlfn.XLOOKUP(tblChecklist[[#This Row],[TargetID]],tblTargets[TargetID],tblTargets[TargetType],"")</f>
        <v>QUEST</v>
      </c>
      <c r="E296" s="79" t="str">
        <f>_xlfn.XLOOKUP(tblChecklist[[#This Row],[TargetID]],tblTargetStatus[TargetID],tblTargetStatus[ChainAwareStatus],"")</f>
        <v>BLOCKED</v>
      </c>
      <c r="G296" s="82" t="b">
        <v>0</v>
      </c>
      <c r="H296" s="79" t="str">
        <f>_xlfn.XLOOKUP(tblChecklist[[#This Row],[TargetID]],tblTargetStatus[TargetID],tblTargetStatus[TargetFunded],"")</f>
        <v>N/A</v>
      </c>
      <c r="I29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7" spans="1:9" ht="26.15" customHeight="1">
      <c r="A297" t="s">
        <v>2375</v>
      </c>
      <c r="B297" t="str">
        <f>_xlfn.XLOOKUP(tblChecklist[[#This Row],[TargetID]],tblTargets[TargetID],tblTargets[DisplayName])</f>
        <v>Quest for Knowledge Chapter 1 Accepted</v>
      </c>
      <c r="C297" s="2" t="str">
        <f>_xlfn.XLOOKUP(
 tblChecklist[[#This Row],[TargetID]],
 tblTargetStatus[TargetID],
 tblTargetStatus[successors],
 ""
)</f>
        <v>Quest for Knowledge Chapter 1 Finished</v>
      </c>
      <c r="D297" s="79" t="str">
        <f>_xlfn.XLOOKUP(tblChecklist[[#This Row],[TargetID]],tblTargets[TargetID],tblTargets[TargetType],"")</f>
        <v>QUEST</v>
      </c>
      <c r="E297" s="79" t="str">
        <f>_xlfn.XLOOKUP(tblChecklist[[#This Row],[TargetID]],tblTargetStatus[TargetID],tblTargetStatus[ChainAwareStatus],"")</f>
        <v>BLOCKED</v>
      </c>
      <c r="G297" s="82" t="b">
        <v>0</v>
      </c>
      <c r="H297" s="79" t="str">
        <f>_xlfn.XLOOKUP(tblChecklist[[#This Row],[TargetID]],tblTargetStatus[TargetID],tblTargetStatus[TargetFunded],"")</f>
        <v>N/A</v>
      </c>
      <c r="I29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8" spans="1:9" ht="26.15" customHeight="1">
      <c r="A298" t="s">
        <v>2512</v>
      </c>
      <c r="B298" t="str">
        <f>_xlfn.XLOOKUP(tblChecklist[[#This Row],[TargetID]],tblTargets[TargetID],tblTargets[DisplayName])</f>
        <v>Quest for Knowledge Chapter 1 Finished</v>
      </c>
      <c r="C298" s="2" t="str">
        <f>_xlfn.XLOOKUP(
 tblChecklist[[#This Row],[TargetID]],
 tblTargetStatus[TargetID],
 tblTargetStatus[successors],
 ""
)</f>
        <v>Quest for Knowledge Chapter 2 Accepted, Quest for Knowledge Chapter 3 Accepted</v>
      </c>
      <c r="D298" s="79" t="str">
        <f>_xlfn.XLOOKUP(tblChecklist[[#This Row],[TargetID]],tblTargets[TargetID],tblTargets[TargetType],"")</f>
        <v>QUEST</v>
      </c>
      <c r="E298" s="79" t="str">
        <f>_xlfn.XLOOKUP(tblChecklist[[#This Row],[TargetID]],tblTargetStatus[TargetID],tblTargetStatus[ChainAwareStatus],"")</f>
        <v>BLOCKED</v>
      </c>
      <c r="G298" s="82" t="b">
        <v>0</v>
      </c>
      <c r="H298" s="79" t="str">
        <f>_xlfn.XLOOKUP(tblChecklist[[#This Row],[TargetID]],tblTargetStatus[TargetID],tblTargetStatus[TargetFunded],"")</f>
        <v>N/A</v>
      </c>
      <c r="I29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9" spans="1:9" ht="26.15" customHeight="1">
      <c r="A299" t="s">
        <v>2378</v>
      </c>
      <c r="B299" t="str">
        <f>_xlfn.XLOOKUP(tblChecklist[[#This Row],[TargetID]],tblTargets[TargetID],tblTargets[DisplayName])</f>
        <v>Quest for Knowledge Chapter 2 Accepted</v>
      </c>
      <c r="C299" s="2" t="str">
        <f>_xlfn.XLOOKUP(
 tblChecklist[[#This Row],[TargetID]],
 tblTargetStatus[TargetID],
 tblTargetStatus[successors],
 ""
)</f>
        <v>Quest for Knowledge Chapter 2 Finished</v>
      </c>
      <c r="D299" s="79" t="str">
        <f>_xlfn.XLOOKUP(tblChecklist[[#This Row],[TargetID]],tblTargets[TargetID],tblTargets[TargetType],"")</f>
        <v>QUEST</v>
      </c>
      <c r="E299" s="79" t="str">
        <f>_xlfn.XLOOKUP(tblChecklist[[#This Row],[TargetID]],tblTargetStatus[TargetID],tblTargetStatus[ChainAwareStatus],"")</f>
        <v>BLOCKED</v>
      </c>
      <c r="G299" s="82" t="b">
        <v>0</v>
      </c>
      <c r="H299" s="79" t="str">
        <f>_xlfn.XLOOKUP(tblChecklist[[#This Row],[TargetID]],tblTargetStatus[TargetID],tblTargetStatus[TargetFunded],"")</f>
        <v>N/A</v>
      </c>
      <c r="I29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0" spans="1:9" ht="26.15" customHeight="1">
      <c r="A300" t="s">
        <v>2514</v>
      </c>
      <c r="B300" t="str">
        <f>_xlfn.XLOOKUP(tblChecklist[[#This Row],[TargetID]],tblTargets[TargetID],tblTargets[DisplayName])</f>
        <v>Quest for Knowledge Chapter 2 Finished</v>
      </c>
      <c r="C300" s="2" t="str">
        <f>_xlfn.XLOOKUP(
 tblChecklist[[#This Row],[TargetID]],
 tblTargetStatus[TargetID],
 tblTargetStatus[successors],
 ""
)</f>
        <v/>
      </c>
      <c r="D300" s="79" t="str">
        <f>_xlfn.XLOOKUP(tblChecklist[[#This Row],[TargetID]],tblTargets[TargetID],tblTargets[TargetType],"")</f>
        <v>QUEST</v>
      </c>
      <c r="E300" s="79" t="str">
        <f>_xlfn.XLOOKUP(tblChecklist[[#This Row],[TargetID]],tblTargetStatus[TargetID],tblTargetStatus[ChainAwareStatus],"")</f>
        <v>BLOCKED</v>
      </c>
      <c r="G300" s="82" t="b">
        <v>0</v>
      </c>
      <c r="H300" s="79" t="str">
        <f>_xlfn.XLOOKUP(tblChecklist[[#This Row],[TargetID]],tblTargetStatus[TargetID],tblTargetStatus[TargetFunded],"")</f>
        <v>N/A</v>
      </c>
      <c r="I30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1" spans="1:9" ht="26.15" customHeight="1">
      <c r="A301" t="s">
        <v>2381</v>
      </c>
      <c r="B301" t="str">
        <f>_xlfn.XLOOKUP(tblChecklist[[#This Row],[TargetID]],tblTargets[TargetID],tblTargets[DisplayName])</f>
        <v>Quest for Knowledge Chapter 3 Accepted</v>
      </c>
      <c r="C301" s="2" t="str">
        <f>_xlfn.XLOOKUP(
 tblChecklist[[#This Row],[TargetID]],
 tblTargetStatus[TargetID],
 tblTargetStatus[successors],
 ""
)</f>
        <v>Quest for Knowledge Chapter 3 Finished, Obtain all emerald shards</v>
      </c>
      <c r="D301" s="79" t="str">
        <f>_xlfn.XLOOKUP(tblChecklist[[#This Row],[TargetID]],tblTargets[TargetID],tblTargets[TargetType],"")</f>
        <v>QUEST</v>
      </c>
      <c r="E301" s="79" t="str">
        <f>_xlfn.XLOOKUP(tblChecklist[[#This Row],[TargetID]],tblTargetStatus[TargetID],tblTargetStatus[ChainAwareStatus],"")</f>
        <v>BLOCKED</v>
      </c>
      <c r="G301" s="82" t="b">
        <v>0</v>
      </c>
      <c r="H301" s="79" t="str">
        <f>_xlfn.XLOOKUP(tblChecklist[[#This Row],[TargetID]],tblTargetStatus[TargetID],tblTargetStatus[TargetFunded],"")</f>
        <v>N/A</v>
      </c>
      <c r="I30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2" spans="1:9" ht="26.15" customHeight="1">
      <c r="A302" t="s">
        <v>2516</v>
      </c>
      <c r="B302" t="str">
        <f>_xlfn.XLOOKUP(tblChecklist[[#This Row],[TargetID]],tblTargets[TargetID],tblTargets[DisplayName])</f>
        <v>Quest for Knowledge Chapter 3 Finished</v>
      </c>
      <c r="C302" s="2" t="str">
        <f>_xlfn.XLOOKUP(
 tblChecklist[[#This Row],[TargetID]],
 tblTargetStatus[TargetID],
 tblTargetStatus[successors],
 ""
)</f>
        <v>Map Catacombs</v>
      </c>
      <c r="D302" s="79" t="str">
        <f>_xlfn.XLOOKUP(tblChecklist[[#This Row],[TargetID]],tblTargets[TargetID],tblTargets[TargetType],"")</f>
        <v>QUEST</v>
      </c>
      <c r="E302" s="79" t="str">
        <f>_xlfn.XLOOKUP(tblChecklist[[#This Row],[TargetID]],tblTargetStatus[TargetID],tblTargetStatus[ChainAwareStatus],"")</f>
        <v>BLOCKED</v>
      </c>
      <c r="G302" s="82" t="b">
        <v>0</v>
      </c>
      <c r="H302" s="79" t="str">
        <f>_xlfn.XLOOKUP(tblChecklist[[#This Row],[TargetID]],tblTargetStatus[TargetID],tblTargetStatus[TargetFunded],"")</f>
        <v>N/A</v>
      </c>
      <c r="I30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3" spans="1:9" ht="26.15" customHeight="1">
      <c r="A303" t="s">
        <v>2384</v>
      </c>
      <c r="B303" t="str">
        <f>_xlfn.XLOOKUP(tblChecklist[[#This Row],[TargetID]],tblTargets[TargetID],tblTargets[DisplayName])</f>
        <v>Quest for Knowledge Chapter 4 Accepted</v>
      </c>
      <c r="C303" s="2" t="str">
        <f>_xlfn.XLOOKUP(
 tblChecklist[[#This Row],[TargetID]],
 tblTargetStatus[TargetID],
 tblTargetStatus[successors],
 ""
)</f>
        <v>Quest for Knowledge Chapter 4 Finished</v>
      </c>
      <c r="D303" s="79" t="str">
        <f>_xlfn.XLOOKUP(tblChecklist[[#This Row],[TargetID]],tblTargets[TargetID],tblTargets[TargetType],"")</f>
        <v>QUEST</v>
      </c>
      <c r="E303" s="79" t="str">
        <f>_xlfn.XLOOKUP(tblChecklist[[#This Row],[TargetID]],tblTargetStatus[TargetID],tblTargetStatus[ChainAwareStatus],"")</f>
        <v>BLOCKED</v>
      </c>
      <c r="G303" s="82" t="b">
        <v>0</v>
      </c>
      <c r="H303" s="79" t="str">
        <f>_xlfn.XLOOKUP(tblChecklist[[#This Row],[TargetID]],tblTargetStatus[TargetID],tblTargetStatus[TargetFunded],"")</f>
        <v>N/A</v>
      </c>
      <c r="I30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4" spans="1:9" ht="26.15" customHeight="1">
      <c r="A304" t="s">
        <v>2518</v>
      </c>
      <c r="B304" t="str">
        <f>_xlfn.XLOOKUP(tblChecklist[[#This Row],[TargetID]],tblTargets[TargetID],tblTargets[DisplayName])</f>
        <v>Quest for Knowledge Chapter 4 Finished</v>
      </c>
      <c r="C304" s="2" t="str">
        <f>_xlfn.XLOOKUP(
 tblChecklist[[#This Row],[TargetID]],
 tblTargetStatus[TargetID],
 tblTargetStatus[successors],
 ""
)</f>
        <v/>
      </c>
      <c r="D304" s="79" t="str">
        <f>_xlfn.XLOOKUP(tblChecklist[[#This Row],[TargetID]],tblTargets[TargetID],tblTargets[TargetType],"")</f>
        <v>QUEST</v>
      </c>
      <c r="E304" s="79" t="str">
        <f>_xlfn.XLOOKUP(tblChecklist[[#This Row],[TargetID]],tblTargetStatus[TargetID],tblTargetStatus[ChainAwareStatus],"")</f>
        <v>BLOCKED</v>
      </c>
      <c r="G304" s="82" t="b">
        <v>0</v>
      </c>
      <c r="H304" s="79" t="str">
        <f>_xlfn.XLOOKUP(tblChecklist[[#This Row],[TargetID]],tblTargetStatus[TargetID],tblTargetStatus[TargetFunded],"")</f>
        <v>N/A</v>
      </c>
      <c r="I30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5" spans="1:9" ht="26.15" customHeight="1">
      <c r="A305" t="s">
        <v>2387</v>
      </c>
      <c r="B305" t="str">
        <f>_xlfn.XLOOKUP(tblChecklist[[#This Row],[TargetID]],tblTargets[TargetID],tblTargets[DisplayName])</f>
        <v>Quest for Knowledge Chapter 5 Accepted</v>
      </c>
      <c r="C305" s="2" t="str">
        <f>_xlfn.XLOOKUP(
 tblChecklist[[#This Row],[TargetID]],
 tblTargetStatus[TargetID],
 tblTargetStatus[successors],
 ""
)</f>
        <v>Quest for Knowledge Chapter 5 Finished, Craft mechanism, Craft steamobile</v>
      </c>
      <c r="D305" s="79" t="str">
        <f>_xlfn.XLOOKUP(tblChecklist[[#This Row],[TargetID]],tblTargets[TargetID],tblTargets[TargetType],"")</f>
        <v>QUEST</v>
      </c>
      <c r="E305" s="79" t="str">
        <f>_xlfn.XLOOKUP(tblChecklist[[#This Row],[TargetID]],tblTargetStatus[TargetID],tblTargetStatus[ChainAwareStatus],"")</f>
        <v>BLOCKED</v>
      </c>
      <c r="G305" s="82" t="b">
        <v>0</v>
      </c>
      <c r="H305" s="79" t="str">
        <f>_xlfn.XLOOKUP(tblChecklist[[#This Row],[TargetID]],tblTargetStatus[TargetID],tblTargetStatus[TargetFunded],"")</f>
        <v>N/A</v>
      </c>
      <c r="I30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6" spans="1:9" ht="26.15" customHeight="1">
      <c r="A306" t="s">
        <v>2520</v>
      </c>
      <c r="B306" t="str">
        <f>_xlfn.XLOOKUP(tblChecklist[[#This Row],[TargetID]],tblTargets[TargetID],tblTargets[DisplayName])</f>
        <v>Quest for Knowledge Chapter 5 Finished</v>
      </c>
      <c r="C306" s="2" t="str">
        <f>_xlfn.XLOOKUP(
 tblChecklist[[#This Row],[TargetID]],
 tblTargetStatus[TargetID],
 tblTargetStatus[successors],
 ""
)</f>
        <v/>
      </c>
      <c r="D306" s="79" t="str">
        <f>_xlfn.XLOOKUP(tblChecklist[[#This Row],[TargetID]],tblTargets[TargetID],tblTargets[TargetType],"")</f>
        <v>QUEST</v>
      </c>
      <c r="E306" s="79" t="str">
        <f>_xlfn.XLOOKUP(tblChecklist[[#This Row],[TargetID]],tblTargetStatus[TargetID],tblTargetStatus[ChainAwareStatus],"")</f>
        <v>BLOCKED</v>
      </c>
      <c r="G306" s="82" t="b">
        <v>0</v>
      </c>
      <c r="H306" s="79" t="str">
        <f>_xlfn.XLOOKUP(tblChecklist[[#This Row],[TargetID]],tblTargetStatus[TargetID],tblTargetStatus[TargetFunded],"")</f>
        <v>N/A</v>
      </c>
      <c r="I30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7" spans="1:9" ht="26.15" customHeight="1">
      <c r="A307" t="s">
        <v>2390</v>
      </c>
      <c r="B307" t="str">
        <f>_xlfn.XLOOKUP(tblChecklist[[#This Row],[TargetID]],tblTargets[TargetID],tblTargets[DisplayName])</f>
        <v>Shogun's Katana Chapter 1 Accepted</v>
      </c>
      <c r="C307" s="2" t="str">
        <f>_xlfn.XLOOKUP(
 tblChecklist[[#This Row],[TargetID]],
 tblTargetStatus[TargetID],
 tblTargetStatus[successors],
 ""
)</f>
        <v>Shogun's Katana Chapter 1 Finished, Obtain level 2 artifact, Craft level 2 map</v>
      </c>
      <c r="D307" s="79" t="str">
        <f>_xlfn.XLOOKUP(tblChecklist[[#This Row],[TargetID]],tblTargets[TargetID],tblTargets[TargetType],"")</f>
        <v>QUEST</v>
      </c>
      <c r="E307" s="79" t="str">
        <f>_xlfn.XLOOKUP(tblChecklist[[#This Row],[TargetID]],tblTargetStatus[TargetID],tblTargetStatus[ChainAwareStatus],"")</f>
        <v>BLOCKED</v>
      </c>
      <c r="G307" s="82" t="b">
        <v>0</v>
      </c>
      <c r="H307" s="79" t="str">
        <f>_xlfn.XLOOKUP(tblChecklist[[#This Row],[TargetID]],tblTargetStatus[TargetID],tblTargetStatus[TargetFunded],"")</f>
        <v>N/A</v>
      </c>
      <c r="I30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8" spans="1:9" ht="26.15" customHeight="1">
      <c r="A308" t="s">
        <v>2522</v>
      </c>
      <c r="B308" t="str">
        <f>_xlfn.XLOOKUP(tblChecklist[[#This Row],[TargetID]],tblTargets[TargetID],tblTargets[DisplayName])</f>
        <v>Shogun's Katana Chapter 1 Finished</v>
      </c>
      <c r="C308" s="2" t="str">
        <f>_xlfn.XLOOKUP(
 tblChecklist[[#This Row],[TargetID]],
 tblTargetStatus[TargetID],
 tblTargetStatus[successors],
 ""
)</f>
        <v>Shogun's Katana Chapter 2 Accepted</v>
      </c>
      <c r="D308" s="79" t="str">
        <f>_xlfn.XLOOKUP(tblChecklist[[#This Row],[TargetID]],tblTargets[TargetID],tblTargets[TargetType],"")</f>
        <v>QUEST</v>
      </c>
      <c r="E308" s="79" t="str">
        <f>_xlfn.XLOOKUP(tblChecklist[[#This Row],[TargetID]],tblTargetStatus[TargetID],tblTargetStatus[ChainAwareStatus],"")</f>
        <v>BLOCKED</v>
      </c>
      <c r="G308" s="82" t="b">
        <v>0</v>
      </c>
      <c r="H308" s="79" t="b">
        <f>_xlfn.XLOOKUP(tblChecklist[[#This Row],[TargetID]],tblTargetStatus[TargetID],tblTargetStatus[TargetFunded],"")</f>
        <v>0</v>
      </c>
      <c r="I30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9" spans="1:9" ht="26.15" customHeight="1">
      <c r="A309" t="s">
        <v>2393</v>
      </c>
      <c r="B309" t="str">
        <f>_xlfn.XLOOKUP(tblChecklist[[#This Row],[TargetID]],tblTargets[TargetID],tblTargets[DisplayName])</f>
        <v>Shogun's Katana Chapter 2 Accepted</v>
      </c>
      <c r="C309" s="2" t="str">
        <f>_xlfn.XLOOKUP(
 tblChecklist[[#This Row],[TargetID]],
 tblTargetStatus[TargetID],
 tblTargetStatus[successors],
 ""
)</f>
        <v>Shogun's Katana Chapter 2 Finished, Obtain level 3 artifact</v>
      </c>
      <c r="D309" s="79" t="str">
        <f>_xlfn.XLOOKUP(tblChecklist[[#This Row],[TargetID]],tblTargets[TargetID],tblTargets[TargetType],"")</f>
        <v>QUEST</v>
      </c>
      <c r="E309" s="79" t="str">
        <f>_xlfn.XLOOKUP(tblChecklist[[#This Row],[TargetID]],tblTargetStatus[TargetID],tblTargetStatus[ChainAwareStatus],"")</f>
        <v>BLOCKED</v>
      </c>
      <c r="G309" s="82" t="b">
        <v>0</v>
      </c>
      <c r="H309" s="79" t="str">
        <f>_xlfn.XLOOKUP(tblChecklist[[#This Row],[TargetID]],tblTargetStatus[TargetID],tblTargetStatus[TargetFunded],"")</f>
        <v>N/A</v>
      </c>
      <c r="I30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0" spans="1:9" ht="26.15" customHeight="1">
      <c r="A310" t="s">
        <v>2524</v>
      </c>
      <c r="B310" t="str">
        <f>_xlfn.XLOOKUP(tblChecklist[[#This Row],[TargetID]],tblTargets[TargetID],tblTargets[DisplayName])</f>
        <v>Shogun's Katana Chapter 2 Finished</v>
      </c>
      <c r="C310" s="2" t="str">
        <f>_xlfn.XLOOKUP(
 tblChecklist[[#This Row],[TargetID]],
 tblTargetStatus[TargetID],
 tblTargetStatus[successors],
 ""
)</f>
        <v>Shogun's Katana Chapter 3 Accepted</v>
      </c>
      <c r="D310" s="79" t="str">
        <f>_xlfn.XLOOKUP(tblChecklist[[#This Row],[TargetID]],tblTargets[TargetID],tblTargets[TargetType],"")</f>
        <v>QUEST</v>
      </c>
      <c r="E310" s="79" t="str">
        <f>_xlfn.XLOOKUP(tblChecklist[[#This Row],[TargetID]],tblTargetStatus[TargetID],tblTargetStatus[ChainAwareStatus],"")</f>
        <v>BLOCKED</v>
      </c>
      <c r="G310" s="82" t="b">
        <v>0</v>
      </c>
      <c r="H310" s="79" t="b">
        <f>_xlfn.XLOOKUP(tblChecklist[[#This Row],[TargetID]],tblTargetStatus[TargetID],tblTargetStatus[TargetFunded],"")</f>
        <v>0</v>
      </c>
      <c r="I31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1" spans="1:9" ht="26.15" customHeight="1">
      <c r="A311" t="s">
        <v>2396</v>
      </c>
      <c r="B311" t="str">
        <f>_xlfn.XLOOKUP(tblChecklist[[#This Row],[TargetID]],tblTargets[TargetID],tblTargets[DisplayName])</f>
        <v>Shogun's Katana Chapter 3 Accepted</v>
      </c>
      <c r="C311" s="2" t="str">
        <f>_xlfn.XLOOKUP(
 tblChecklist[[#This Row],[TargetID]],
 tblTargetStatus[TargetID],
 tblTargetStatus[successors],
 ""
)</f>
        <v>Shogun's Katana Chapter 3 Finished, Purchase Smuggler's map for 100 coffee beans</v>
      </c>
      <c r="D311" s="79" t="str">
        <f>_xlfn.XLOOKUP(tblChecklist[[#This Row],[TargetID]],tblTargets[TargetID],tblTargets[TargetType],"")</f>
        <v>QUEST</v>
      </c>
      <c r="E311" s="79" t="str">
        <f>_xlfn.XLOOKUP(tblChecklist[[#This Row],[TargetID]],tblTargetStatus[TargetID],tblTargetStatus[ChainAwareStatus],"")</f>
        <v>BLOCKED</v>
      </c>
      <c r="G311" s="82" t="b">
        <v>0</v>
      </c>
      <c r="H311" s="79" t="str">
        <f>_xlfn.XLOOKUP(tblChecklist[[#This Row],[TargetID]],tblTargetStatus[TargetID],tblTargetStatus[TargetFunded],"")</f>
        <v>N/A</v>
      </c>
      <c r="I31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2" spans="1:9" ht="26.15" customHeight="1">
      <c r="A312" t="s">
        <v>2526</v>
      </c>
      <c r="B312" t="str">
        <f>_xlfn.XLOOKUP(tblChecklist[[#This Row],[TargetID]],tblTargets[TargetID],tblTargets[DisplayName])</f>
        <v>Shogun's Katana Chapter 3 Finished</v>
      </c>
      <c r="C312" s="2" t="str">
        <f>_xlfn.XLOOKUP(
 tblChecklist[[#This Row],[TargetID]],
 tblTargetStatus[TargetID],
 tblTargetStatus[successors],
 ""
)</f>
        <v>Shogun's Katana Chapter 4 Accepted, Shogun's Katana Chapter 5 Accepted</v>
      </c>
      <c r="D312" s="79" t="str">
        <f>_xlfn.XLOOKUP(tblChecklist[[#This Row],[TargetID]],tblTargets[TargetID],tblTargets[TargetType],"")</f>
        <v>QUEST</v>
      </c>
      <c r="E312" s="79" t="str">
        <f>_xlfn.XLOOKUP(tblChecklist[[#This Row],[TargetID]],tblTargetStatus[TargetID],tblTargetStatus[ChainAwareStatus],"")</f>
        <v>BLOCKED</v>
      </c>
      <c r="G312" s="82" t="b">
        <v>0</v>
      </c>
      <c r="H312" s="79" t="b">
        <f>_xlfn.XLOOKUP(tblChecklist[[#This Row],[TargetID]],tblTargetStatus[TargetID],tblTargetStatus[TargetFunded],"")</f>
        <v>0</v>
      </c>
      <c r="I31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3" spans="1:9" ht="26.15" customHeight="1">
      <c r="A313" t="s">
        <v>2399</v>
      </c>
      <c r="B313" t="str">
        <f>_xlfn.XLOOKUP(tblChecklist[[#This Row],[TargetID]],tblTargets[TargetID],tblTargets[DisplayName])</f>
        <v>Shogun's Katana Chapter 4 Accepted</v>
      </c>
      <c r="C313" s="2" t="str">
        <f>_xlfn.XLOOKUP(
 tblChecklist[[#This Row],[TargetID]],
 tblTargetStatus[TargetID],
 tblTargetStatus[successors],
 ""
)</f>
        <v>Shogun's Katana Chapter 4 Finished, Obtain Ship in a bottle, Purchase Smuggler's map for 10 spices</v>
      </c>
      <c r="D313" s="79" t="str">
        <f>_xlfn.XLOOKUP(tblChecklist[[#This Row],[TargetID]],tblTargets[TargetID],tblTargets[TargetType],"")</f>
        <v>QUEST</v>
      </c>
      <c r="E313" s="79" t="str">
        <f>_xlfn.XLOOKUP(tblChecklist[[#This Row],[TargetID]],tblTargetStatus[TargetID],tblTargetStatus[ChainAwareStatus],"")</f>
        <v>BLOCKED</v>
      </c>
      <c r="G313" s="82" t="b">
        <v>0</v>
      </c>
      <c r="H313" s="79" t="str">
        <f>_xlfn.XLOOKUP(tblChecklist[[#This Row],[TargetID]],tblTargetStatus[TargetID],tblTargetStatus[TargetFunded],"")</f>
        <v>N/A</v>
      </c>
      <c r="I31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4" spans="1:9" ht="26.15" customHeight="1">
      <c r="A314" t="s">
        <v>2528</v>
      </c>
      <c r="B314" t="str">
        <f>_xlfn.XLOOKUP(tblChecklist[[#This Row],[TargetID]],tblTargets[TargetID],tblTargets[DisplayName])</f>
        <v>Shogun's Katana Chapter 4 Finished</v>
      </c>
      <c r="C314" s="2" t="str">
        <f>_xlfn.XLOOKUP(
 tblChecklist[[#This Row],[TargetID]],
 tblTargetStatus[TargetID],
 tblTargetStatus[successors],
 ""
)</f>
        <v>Shogun's Katana Chapter 6 Accepted, Treasure Island Accepted, Meet Pirate Skeleton@3A</v>
      </c>
      <c r="D314" s="79" t="str">
        <f>_xlfn.XLOOKUP(tblChecklist[[#This Row],[TargetID]],tblTargets[TargetID],tblTargets[TargetType],"")</f>
        <v>QUEST</v>
      </c>
      <c r="E314" s="79" t="str">
        <f>_xlfn.XLOOKUP(tblChecklist[[#This Row],[TargetID]],tblTargetStatus[TargetID],tblTargetStatus[ChainAwareStatus],"")</f>
        <v>BLOCKED</v>
      </c>
      <c r="G314" s="82" t="b">
        <v>0</v>
      </c>
      <c r="H314" s="79" t="b">
        <f>_xlfn.XLOOKUP(tblChecklist[[#This Row],[TargetID]],tblTargetStatus[TargetID],tblTargetStatus[TargetFunded],"")</f>
        <v>0</v>
      </c>
      <c r="I31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5" spans="1:9" ht="26.15" customHeight="1">
      <c r="A315" t="s">
        <v>2402</v>
      </c>
      <c r="B315" t="str">
        <f>_xlfn.XLOOKUP(tblChecklist[[#This Row],[TargetID]],tblTargets[TargetID],tblTargets[DisplayName])</f>
        <v>Shogun's Katana Chapter 5 Accepted</v>
      </c>
      <c r="C315" s="2" t="str">
        <f>_xlfn.XLOOKUP(
 tblChecklist[[#This Row],[TargetID]],
 tblTargetStatus[TargetID],
 tblTargetStatus[successors],
 ""
)</f>
        <v>Shogun's Katana Chapter 5 Finished, Purchase Smuggler's map for 15 pearl</v>
      </c>
      <c r="D315" s="79" t="str">
        <f>_xlfn.XLOOKUP(tblChecklist[[#This Row],[TargetID]],tblTargets[TargetID],tblTargets[TargetType],"")</f>
        <v>QUEST</v>
      </c>
      <c r="E315" s="79" t="str">
        <f>_xlfn.XLOOKUP(tblChecklist[[#This Row],[TargetID]],tblTargetStatus[TargetID],tblTargetStatus[ChainAwareStatus],"")</f>
        <v>BLOCKED</v>
      </c>
      <c r="G315" s="82" t="b">
        <v>0</v>
      </c>
      <c r="H315" s="79" t="str">
        <f>_xlfn.XLOOKUP(tblChecklist[[#This Row],[TargetID]],tblTargetStatus[TargetID],tblTargetStatus[TargetFunded],"")</f>
        <v>N/A</v>
      </c>
      <c r="I31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6" spans="1:9" ht="26.15" customHeight="1">
      <c r="A316" t="s">
        <v>2530</v>
      </c>
      <c r="B316" t="str">
        <f>_xlfn.XLOOKUP(tblChecklist[[#This Row],[TargetID]],tblTargets[TargetID],tblTargets[DisplayName])</f>
        <v>Shogun's Katana Chapter 5 Finished</v>
      </c>
      <c r="C316" s="2" t="str">
        <f>_xlfn.XLOOKUP(
 tblChecklist[[#This Row],[TargetID]],
 tblTargetStatus[TargetID],
 tblTargetStatus[successors],
 ""
)</f>
        <v>Shogun's Katana Chapter 7 Accepted</v>
      </c>
      <c r="D316" s="79" t="str">
        <f>_xlfn.XLOOKUP(tblChecklist[[#This Row],[TargetID]],tblTargets[TargetID],tblTargets[TargetType],"")</f>
        <v>QUEST</v>
      </c>
      <c r="E316" s="79" t="str">
        <f>_xlfn.XLOOKUP(tblChecklist[[#This Row],[TargetID]],tblTargetStatus[TargetID],tblTargetStatus[ChainAwareStatus],"")</f>
        <v>BLOCKED</v>
      </c>
      <c r="G316" s="82" t="b">
        <v>0</v>
      </c>
      <c r="H316" s="79" t="b">
        <f>_xlfn.XLOOKUP(tblChecklist[[#This Row],[TargetID]],tblTargetStatus[TargetID],tblTargetStatus[TargetFunded],"")</f>
        <v>0</v>
      </c>
      <c r="I31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7" spans="1:9" ht="26.15" customHeight="1">
      <c r="A317" t="s">
        <v>2405</v>
      </c>
      <c r="B317" t="str">
        <f>_xlfn.XLOOKUP(tblChecklist[[#This Row],[TargetID]],tblTargets[TargetID],tblTargets[DisplayName])</f>
        <v>Shogun's Katana Chapter 6 Accepted</v>
      </c>
      <c r="C317" s="2" t="str">
        <f>_xlfn.XLOOKUP(
 tblChecklist[[#This Row],[TargetID]],
 tblTargetStatus[TargetID],
 tblTargetStatus[successors],
 ""
)</f>
        <v>Shogun's Katana Chapter 6 Finished, Craft level 4 map</v>
      </c>
      <c r="D317" s="79" t="str">
        <f>_xlfn.XLOOKUP(tblChecklist[[#This Row],[TargetID]],tblTargets[TargetID],tblTargets[TargetType],"")</f>
        <v>QUEST</v>
      </c>
      <c r="E317" s="79" t="str">
        <f>_xlfn.XLOOKUP(tblChecklist[[#This Row],[TargetID]],tblTargetStatus[TargetID],tblTargetStatus[ChainAwareStatus],"")</f>
        <v>BLOCKED</v>
      </c>
      <c r="G317" s="82" t="b">
        <v>0</v>
      </c>
      <c r="H317" s="79" t="str">
        <f>_xlfn.XLOOKUP(tblChecklist[[#This Row],[TargetID]],tblTargetStatus[TargetID],tblTargetStatus[TargetFunded],"")</f>
        <v>N/A</v>
      </c>
      <c r="I31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8" spans="1:9" ht="26.15" customHeight="1">
      <c r="A318" t="s">
        <v>2532</v>
      </c>
      <c r="B318" t="str">
        <f>_xlfn.XLOOKUP(tblChecklist[[#This Row],[TargetID]],tblTargets[TargetID],tblTargets[DisplayName])</f>
        <v>Shogun's Katana Chapter 6 Finished</v>
      </c>
      <c r="C318" s="2" t="str">
        <f>_xlfn.XLOOKUP(
 tblChecklist[[#This Row],[TargetID]],
 tblTargetStatus[TargetID],
 tblTargetStatus[successors],
 ""
)</f>
        <v>Shogun's Katana Chapter 7 Accepted</v>
      </c>
      <c r="D318" s="79" t="str">
        <f>_xlfn.XLOOKUP(tblChecklist[[#This Row],[TargetID]],tblTargets[TargetID],tblTargets[TargetType],"")</f>
        <v>QUEST</v>
      </c>
      <c r="E318" s="79" t="str">
        <f>_xlfn.XLOOKUP(tblChecklist[[#This Row],[TargetID]],tblTargetStatus[TargetID],tblTargetStatus[ChainAwareStatus],"")</f>
        <v>BLOCKED</v>
      </c>
      <c r="G318" s="82" t="b">
        <v>0</v>
      </c>
      <c r="H318" s="79" t="b">
        <f>_xlfn.XLOOKUP(tblChecklist[[#This Row],[TargetID]],tblTargetStatus[TargetID],tblTargetStatus[TargetFunded],"")</f>
        <v>0</v>
      </c>
      <c r="I31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9" spans="1:9" ht="26.15" customHeight="1">
      <c r="A319" t="s">
        <v>2408</v>
      </c>
      <c r="B319" t="str">
        <f>_xlfn.XLOOKUP(tblChecklist[[#This Row],[TargetID]],tblTargets[TargetID],tblTargets[DisplayName])</f>
        <v>Shogun's Katana Chapter 7 Accepted</v>
      </c>
      <c r="C319" s="2" t="str">
        <f>_xlfn.XLOOKUP(
 tblChecklist[[#This Row],[TargetID]],
 tblTargetStatus[TargetID],
 tblTargetStatus[successors],
 ""
)</f>
        <v>Shogun's Katana Chapter 7 Finished, Craft level 4 map again</v>
      </c>
      <c r="D319" s="79" t="str">
        <f>_xlfn.XLOOKUP(tblChecklist[[#This Row],[TargetID]],tblTargets[TargetID],tblTargets[TargetType],"")</f>
        <v>QUEST</v>
      </c>
      <c r="E319" s="79" t="str">
        <f>_xlfn.XLOOKUP(tblChecklist[[#This Row],[TargetID]],tblTargetStatus[TargetID],tblTargetStatus[ChainAwareStatus],"")</f>
        <v>BLOCKED</v>
      </c>
      <c r="G319" s="82" t="b">
        <v>0</v>
      </c>
      <c r="H319" s="79" t="str">
        <f>_xlfn.XLOOKUP(tblChecklist[[#This Row],[TargetID]],tblTargetStatus[TargetID],tblTargetStatus[TargetFunded],"")</f>
        <v>N/A</v>
      </c>
      <c r="I31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0" spans="1:9" ht="26.15" customHeight="1">
      <c r="A320" t="s">
        <v>2534</v>
      </c>
      <c r="B320" t="str">
        <f>_xlfn.XLOOKUP(tblChecklist[[#This Row],[TargetID]],tblTargets[TargetID],tblTargets[DisplayName])</f>
        <v>Shogun's Katana Chapter 7 Finished</v>
      </c>
      <c r="C320" s="2" t="str">
        <f>_xlfn.XLOOKUP(
 tblChecklist[[#This Row],[TargetID]],
 tblTargetStatus[TargetID],
 tblTargetStatus[successors],
 ""
)</f>
        <v>Obtain Shogun's Katana</v>
      </c>
      <c r="D320" s="79" t="str">
        <f>_xlfn.XLOOKUP(tblChecklist[[#This Row],[TargetID]],tblTargets[TargetID],tblTargets[TargetType],"")</f>
        <v>QUEST</v>
      </c>
      <c r="E320" s="79" t="str">
        <f>_xlfn.XLOOKUP(tblChecklist[[#This Row],[TargetID]],tblTargetStatus[TargetID],tblTargetStatus[ChainAwareStatus],"")</f>
        <v>BLOCKED</v>
      </c>
      <c r="G320" s="82" t="b">
        <v>0</v>
      </c>
      <c r="H320" s="79" t="b">
        <f>_xlfn.XLOOKUP(tblChecklist[[#This Row],[TargetID]],tblTargetStatus[TargetID],tblTargetStatus[TargetFunded],"")</f>
        <v>0</v>
      </c>
      <c r="I32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1" spans="1:9" ht="26.15" customHeight="1">
      <c r="A321" t="s">
        <v>2411</v>
      </c>
      <c r="B321" t="str">
        <f>_xlfn.XLOOKUP(tblChecklist[[#This Row],[TargetID]],tblTargets[TargetID],tblTargets[DisplayName])</f>
        <v>Silk Road Accepted</v>
      </c>
      <c r="C321" s="2" t="str">
        <f>_xlfn.XLOOKUP(
 tblChecklist[[#This Row],[TargetID]],
 tblTargetStatus[TargetID],
 tblTargetStatus[successors],
 ""
)</f>
        <v>Silk Road Finished, Visit Athens, Visit Baghdad, Visit Beijing, Visit Cairo, Visit Delhi, Visit Kyiv, Visit Rome, Visit Xian</v>
      </c>
      <c r="D321" s="79" t="str">
        <f>_xlfn.XLOOKUP(tblChecklist[[#This Row],[TargetID]],tblTargets[TargetID],tblTargets[TargetType],"")</f>
        <v>QUEST</v>
      </c>
      <c r="E321" s="79" t="str">
        <f>_xlfn.XLOOKUP(tblChecklist[[#This Row],[TargetID]],tblTargetStatus[TargetID],tblTargetStatus[ChainAwareStatus],"")</f>
        <v>BLOCKED</v>
      </c>
      <c r="G321" s="82" t="b">
        <v>0</v>
      </c>
      <c r="H321" s="79" t="str">
        <f>_xlfn.XLOOKUP(tblChecklist[[#This Row],[TargetID]],tblTargetStatus[TargetID],tblTargetStatus[TargetFunded],"")</f>
        <v>N/A</v>
      </c>
      <c r="I32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2" spans="1:9" ht="26.15" customHeight="1">
      <c r="A322" t="s">
        <v>2536</v>
      </c>
      <c r="B322" t="str">
        <f>_xlfn.XLOOKUP(tblChecklist[[#This Row],[TargetID]],tblTargets[TargetID],tblTargets[DisplayName])</f>
        <v>Silk Road Finished</v>
      </c>
      <c r="C322" s="2" t="str">
        <f>_xlfn.XLOOKUP(
 tblChecklist[[#This Row],[TargetID]],
 tblTargetStatus[TargetID],
 tblTargetStatus[successors],
 ""
)</f>
        <v/>
      </c>
      <c r="D322" s="79" t="str">
        <f>_xlfn.XLOOKUP(tblChecklist[[#This Row],[TargetID]],tblTargets[TargetID],tblTargets[TargetType],"")</f>
        <v>QUEST</v>
      </c>
      <c r="E322" s="79" t="str">
        <f>_xlfn.XLOOKUP(tblChecklist[[#This Row],[TargetID]],tblTargetStatus[TargetID],tblTargetStatus[ChainAwareStatus],"")</f>
        <v>BLOCKED</v>
      </c>
      <c r="G322" s="82" t="b">
        <v>0</v>
      </c>
      <c r="H322" s="79" t="str">
        <f>_xlfn.XLOOKUP(tblChecklist[[#This Row],[TargetID]],tblTargetStatus[TargetID],tblTargetStatus[TargetFunded],"")</f>
        <v>N/A</v>
      </c>
      <c r="I32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3" spans="1:9" ht="26.15" customHeight="1">
      <c r="A323" t="s">
        <v>2414</v>
      </c>
      <c r="B323" t="str">
        <f>_xlfn.XLOOKUP(tblChecklist[[#This Row],[TargetID]],tblTargets[TargetID],tblTargets[DisplayName])</f>
        <v>Spicy Odyssey Accepted</v>
      </c>
      <c r="C323" s="2" t="str">
        <f>_xlfn.XLOOKUP(
 tblChecklist[[#This Row],[TargetID]],
 tblTargetStatus[TargetID],
 tblTargetStatus[successors],
 ""
)</f>
        <v>Spicy Odyssey Finished, Obtain Spices from Spice Island</v>
      </c>
      <c r="D323" s="79" t="str">
        <f>_xlfn.XLOOKUP(tblChecklist[[#This Row],[TargetID]],tblTargets[TargetID],tblTargets[TargetType],"")</f>
        <v>QUEST</v>
      </c>
      <c r="E323" s="79" t="str">
        <f>_xlfn.XLOOKUP(tblChecklist[[#This Row],[TargetID]],tblTargetStatus[TargetID],tblTargetStatus[ChainAwareStatus],"")</f>
        <v>BLOCKED</v>
      </c>
      <c r="G323" s="82" t="b">
        <v>0</v>
      </c>
      <c r="H323" s="79" t="str">
        <f>_xlfn.XLOOKUP(tblChecklist[[#This Row],[TargetID]],tblTargetStatus[TargetID],tblTargetStatus[TargetFunded],"")</f>
        <v>N/A</v>
      </c>
      <c r="I32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4" spans="1:9" ht="26.15" customHeight="1">
      <c r="A324" t="s">
        <v>2538</v>
      </c>
      <c r="B324" t="str">
        <f>_xlfn.XLOOKUP(tblChecklist[[#This Row],[TargetID]],tblTargets[TargetID],tblTargets[DisplayName])</f>
        <v>Spicy Odyssey Finished</v>
      </c>
      <c r="C324" s="2" t="str">
        <f>_xlfn.XLOOKUP(
 tblChecklist[[#This Row],[TargetID]],
 tblTargetStatus[TargetID],
 tblTargetStatus[successors],
 ""
)</f>
        <v>Treasure Island Accepted, Meet Pirate Skeleton@3A</v>
      </c>
      <c r="D324" s="79" t="str">
        <f>_xlfn.XLOOKUP(tblChecklist[[#This Row],[TargetID]],tblTargets[TargetID],tblTargets[TargetType],"")</f>
        <v>QUEST</v>
      </c>
      <c r="E324" s="79" t="str">
        <f>_xlfn.XLOOKUP(tblChecklist[[#This Row],[TargetID]],tblTargetStatus[TargetID],tblTargetStatus[ChainAwareStatus],"")</f>
        <v>BLOCKED</v>
      </c>
      <c r="G324" s="82" t="b">
        <v>0</v>
      </c>
      <c r="H324" s="79" t="str">
        <f>_xlfn.XLOOKUP(tblChecklist[[#This Row],[TargetID]],tblTargetStatus[TargetID],tblTargetStatus[TargetFunded],"")</f>
        <v>N/A</v>
      </c>
      <c r="I32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5" spans="1:9" ht="26.15" customHeight="1">
      <c r="A325" t="s">
        <v>2417</v>
      </c>
      <c r="B325" t="str">
        <f>_xlfn.XLOOKUP(tblChecklist[[#This Row],[TargetID]],tblTargets[TargetID],tblTargets[DisplayName])</f>
        <v>The Ordinary Days of an Adventurer Chapter 1 Accepted</v>
      </c>
      <c r="C325" s="2" t="str">
        <f>_xlfn.XLOOKUP(
 tblChecklist[[#This Row],[TargetID]],
 tblTargetStatus[TargetID],
 tblTargetStatus[successors],
 ""
)</f>
        <v>Dungeon Lv 6, The Ordinary Days of an Adventurer Chapter 1 Finished, Find Goat in 6B</v>
      </c>
      <c r="D325" s="79" t="str">
        <f>_xlfn.XLOOKUP(tblChecklist[[#This Row],[TargetID]],tblTargets[TargetID],tblTargets[TargetType],"")</f>
        <v>QUEST</v>
      </c>
      <c r="E325" s="79" t="str">
        <f>_xlfn.XLOOKUP(tblChecklist[[#This Row],[TargetID]],tblTargetStatus[TargetID],tblTargetStatus[ChainAwareStatus],"")</f>
        <v>BLOCKED</v>
      </c>
      <c r="G325" s="82" t="b">
        <v>0</v>
      </c>
      <c r="H325" s="79" t="str">
        <f>_xlfn.XLOOKUP(tblChecklist[[#This Row],[TargetID]],tblTargetStatus[TargetID],tblTargetStatus[TargetFunded],"")</f>
        <v>N/A</v>
      </c>
      <c r="I32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6" spans="1:9" ht="26.15" customHeight="1">
      <c r="A326" t="s">
        <v>2540</v>
      </c>
      <c r="B326" t="str">
        <f>_xlfn.XLOOKUP(tblChecklist[[#This Row],[TargetID]],tblTargets[TargetID],tblTargets[DisplayName])</f>
        <v>The Ordinary Days of an Adventurer Chapter 1 Finished</v>
      </c>
      <c r="C326" s="2" t="str">
        <f>_xlfn.XLOOKUP(
 tblChecklist[[#This Row],[TargetID]],
 tblTargetStatus[TargetID],
 tblTargetStatus[successors],
 ""
)</f>
        <v/>
      </c>
      <c r="D326" s="79" t="str">
        <f>_xlfn.XLOOKUP(tblChecklist[[#This Row],[TargetID]],tblTargets[TargetID],tblTargets[TargetType],"")</f>
        <v>QUEST</v>
      </c>
      <c r="E326" s="79" t="str">
        <f>_xlfn.XLOOKUP(tblChecklist[[#This Row],[TargetID]],tblTargetStatus[TargetID],tblTargetStatus[ChainAwareStatus],"")</f>
        <v>BLOCKED</v>
      </c>
      <c r="G326" s="82" t="b">
        <v>0</v>
      </c>
      <c r="H326" s="79" t="str">
        <f>_xlfn.XLOOKUP(tblChecklist[[#This Row],[TargetID]],tblTargetStatus[TargetID],tblTargetStatus[TargetFunded],"")</f>
        <v>N/A</v>
      </c>
      <c r="I3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7" spans="1:9" ht="26.15" customHeight="1">
      <c r="A327" t="s">
        <v>2420</v>
      </c>
      <c r="B327" t="str">
        <f>_xlfn.XLOOKUP(tblChecklist[[#This Row],[TargetID]],tblTargets[TargetID],tblTargets[DisplayName])</f>
        <v>The Ordinary Days of an Adventurer Chapter 2 Accepted</v>
      </c>
      <c r="C327" s="2" t="str">
        <f>_xlfn.XLOOKUP(
 tblChecklist[[#This Row],[TargetID]],
 tblTargetStatus[TargetID],
 tblTargetStatus[successors],
 ""
)</f>
        <v>The Ordinary Days of an Adventurer Chapter 2 Finished</v>
      </c>
      <c r="D327" s="79" t="str">
        <f>_xlfn.XLOOKUP(tblChecklist[[#This Row],[TargetID]],tblTargets[TargetID],tblTargets[TargetType],"")</f>
        <v>QUEST</v>
      </c>
      <c r="E327" s="79" t="str">
        <f>_xlfn.XLOOKUP(tblChecklist[[#This Row],[TargetID]],tblTargetStatus[TargetID],tblTargetStatus[ChainAwareStatus],"")</f>
        <v>BLOCKED</v>
      </c>
      <c r="G327" s="82" t="b">
        <v>0</v>
      </c>
      <c r="H327" s="79" t="str">
        <f>_xlfn.XLOOKUP(tblChecklist[[#This Row],[TargetID]],tblTargetStatus[TargetID],tblTargetStatus[TargetFunded],"")</f>
        <v>N/A</v>
      </c>
      <c r="I32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8" spans="1:9" ht="26.15" customHeight="1">
      <c r="A328" t="s">
        <v>2542</v>
      </c>
      <c r="B328" t="str">
        <f>_xlfn.XLOOKUP(tblChecklist[[#This Row],[TargetID]],tblTargets[TargetID],tblTargets[DisplayName])</f>
        <v>The Ordinary Days of an Adventurer Chapter 2 Finished</v>
      </c>
      <c r="C328" s="2" t="str">
        <f>_xlfn.XLOOKUP(
 tblChecklist[[#This Row],[TargetID]],
 tblTargetStatus[TargetID],
 tblTargetStatus[successors],
 ""
)</f>
        <v>The Ordinary Days of an Adventurer Chapter 3 Accepted, Meet Dark Lady@6A, Smithy - Sword For A Hero Lvl 4+, Workshop - Zen Fountain</v>
      </c>
      <c r="D328" s="79" t="str">
        <f>_xlfn.XLOOKUP(tblChecklist[[#This Row],[TargetID]],tblTargets[TargetID],tblTargets[TargetType],"")</f>
        <v>QUEST</v>
      </c>
      <c r="E328" s="79" t="str">
        <f>_xlfn.XLOOKUP(tblChecklist[[#This Row],[TargetID]],tblTargetStatus[TargetID],tblTargetStatus[ChainAwareStatus],"")</f>
        <v>BLOCKED</v>
      </c>
      <c r="G328" s="82" t="b">
        <v>0</v>
      </c>
      <c r="H328" s="79" t="b">
        <f>_xlfn.XLOOKUP(tblChecklist[[#This Row],[TargetID]],tblTargetStatus[TargetID],tblTargetStatus[TargetFunded],"")</f>
        <v>0</v>
      </c>
      <c r="I32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9" spans="1:9" ht="26.15" customHeight="1">
      <c r="A329" t="s">
        <v>2423</v>
      </c>
      <c r="B329" t="str">
        <f>_xlfn.XLOOKUP(tblChecklist[[#This Row],[TargetID]],tblTargets[TargetID],tblTargets[DisplayName])</f>
        <v>The Ordinary Days of an Adventurer Chapter 3 Accepted</v>
      </c>
      <c r="C329" s="2" t="str">
        <f>_xlfn.XLOOKUP(
 tblChecklist[[#This Row],[TargetID]],
 tblTargetStatus[TargetID],
 tblTargetStatus[successors],
 ""
)</f>
        <v>The Ordinary Days of an Adventurer Chapter 3 Finished, Obtain the Red Diamond in 6A, Obtain the Red Diamond in 6B, Obtain the Red Diamond in 6C, Workshop - Shield For A Hero Lvl 4+</v>
      </c>
      <c r="D329" s="79" t="str">
        <f>_xlfn.XLOOKUP(tblChecklist[[#This Row],[TargetID]],tblTargets[TargetID],tblTargets[TargetType],"")</f>
        <v>QUEST</v>
      </c>
      <c r="E329" s="79" t="str">
        <f>_xlfn.XLOOKUP(tblChecklist[[#This Row],[TargetID]],tblTargetStatus[TargetID],tblTargetStatus[ChainAwareStatus],"")</f>
        <v>BLOCKED</v>
      </c>
      <c r="G329" s="82" t="b">
        <v>0</v>
      </c>
      <c r="H329" s="79" t="str">
        <f>_xlfn.XLOOKUP(tblChecklist[[#This Row],[TargetID]],tblTargetStatus[TargetID],tblTargetStatus[TargetFunded],"")</f>
        <v>N/A</v>
      </c>
      <c r="I32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0" spans="1:9" ht="26.15" customHeight="1">
      <c r="A330" t="s">
        <v>2544</v>
      </c>
      <c r="B330" t="str">
        <f>_xlfn.XLOOKUP(tblChecklist[[#This Row],[TargetID]],tblTargets[TargetID],tblTargets[DisplayName])</f>
        <v>The Ordinary Days of an Adventurer Chapter 3 Finished</v>
      </c>
      <c r="C330" s="2" t="str">
        <f>_xlfn.XLOOKUP(
 tblChecklist[[#This Row],[TargetID]],
 tblTargetStatus[TargetID],
 tblTargetStatus[successors],
 ""
)</f>
        <v>The Ordinary Days of an Adventurer Chapter 4 Accepted, Meet Dark Lady@6B, Smithy - Treasure</v>
      </c>
      <c r="D330" s="79" t="str">
        <f>_xlfn.XLOOKUP(tblChecklist[[#This Row],[TargetID]],tblTargets[TargetID],tblTargets[TargetType],"")</f>
        <v>QUEST</v>
      </c>
      <c r="E330" s="79" t="str">
        <f>_xlfn.XLOOKUP(tblChecklist[[#This Row],[TargetID]],tblTargetStatus[TargetID],tblTargetStatus[ChainAwareStatus],"")</f>
        <v>BLOCKED</v>
      </c>
      <c r="G330" s="82" t="b">
        <v>0</v>
      </c>
      <c r="H330" s="79" t="str">
        <f>_xlfn.XLOOKUP(tblChecklist[[#This Row],[TargetID]],tblTargetStatus[TargetID],tblTargetStatus[TargetFunded],"")</f>
        <v>N/A</v>
      </c>
      <c r="I33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1" spans="1:9" ht="26.15" customHeight="1">
      <c r="A331" t="s">
        <v>2426</v>
      </c>
      <c r="B331" t="str">
        <f>_xlfn.XLOOKUP(tblChecklist[[#This Row],[TargetID]],tblTargets[TargetID],tblTargets[DisplayName])</f>
        <v>The Ordinary Days of an Adventurer Chapter 4 Accepted</v>
      </c>
      <c r="C331" s="2" t="str">
        <f>_xlfn.XLOOKUP(
 tblChecklist[[#This Row],[TargetID]],
 tblTargetStatus[TargetID],
 tblTargetStatus[successors],
 ""
)</f>
        <v>The Ordinary Days of an Adventurer Chapter 4 Finished, The Ordinary Days of an Adventurer Chapter 5 Accepted, Action Reenter Guild, Tailor - Armor For A Hero Lvl 4+</v>
      </c>
      <c r="D331" s="79" t="str">
        <f>_xlfn.XLOOKUP(tblChecklist[[#This Row],[TargetID]],tblTargets[TargetID],tblTargets[TargetType],"")</f>
        <v>QUEST</v>
      </c>
      <c r="E331" s="79" t="str">
        <f>_xlfn.XLOOKUP(tblChecklist[[#This Row],[TargetID]],tblTargetStatus[TargetID],tblTargetStatus[ChainAwareStatus],"")</f>
        <v>BLOCKED</v>
      </c>
      <c r="G331" s="82" t="b">
        <v>0</v>
      </c>
      <c r="H331" s="79" t="str">
        <f>_xlfn.XLOOKUP(tblChecklist[[#This Row],[TargetID]],tblTargetStatus[TargetID],tblTargetStatus[TargetFunded],"")</f>
        <v>N/A</v>
      </c>
      <c r="I33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2" spans="1:9" ht="26.15" customHeight="1">
      <c r="A332" t="s">
        <v>2546</v>
      </c>
      <c r="B332" t="str">
        <f>_xlfn.XLOOKUP(tblChecklist[[#This Row],[TargetID]],tblTargets[TargetID],tblTargets[DisplayName])</f>
        <v>The Ordinary Days of an Adventurer Chapter 4 Finished</v>
      </c>
      <c r="C332" s="2" t="str">
        <f>_xlfn.XLOOKUP(
 tblChecklist[[#This Row],[TargetID]],
 tblTargetStatus[TargetID],
 tblTargetStatus[successors],
 ""
)</f>
        <v>The Ordinary Days of an Adventurer Chapter 7 Accepted, Furnace - Glass</v>
      </c>
      <c r="D332" s="79" t="str">
        <f>_xlfn.XLOOKUP(tblChecklist[[#This Row],[TargetID]],tblTargets[TargetID],tblTargets[TargetType],"")</f>
        <v>QUEST</v>
      </c>
      <c r="E332" s="79" t="str">
        <f>_xlfn.XLOOKUP(tblChecklist[[#This Row],[TargetID]],tblTargetStatus[TargetID],tblTargetStatus[ChainAwareStatus],"")</f>
        <v>BLOCKED</v>
      </c>
      <c r="G332" s="82" t="b">
        <v>0</v>
      </c>
      <c r="H332" s="79" t="str">
        <f>_xlfn.XLOOKUP(tblChecklist[[#This Row],[TargetID]],tblTargetStatus[TargetID],tblTargetStatus[TargetFunded],"")</f>
        <v>N/A</v>
      </c>
      <c r="I33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3" spans="1:9" ht="26.15" customHeight="1">
      <c r="A333" t="s">
        <v>2429</v>
      </c>
      <c r="B333" t="str">
        <f>_xlfn.XLOOKUP(tblChecklist[[#This Row],[TargetID]],tblTargets[TargetID],tblTargets[DisplayName])</f>
        <v>The Ordinary Days of an Adventurer Chapter 5 Accepted</v>
      </c>
      <c r="C333" s="2" t="str">
        <f>_xlfn.XLOOKUP(
 tblChecklist[[#This Row],[TargetID]],
 tblTargetStatus[TargetID],
 tblTargetStatus[successors],
 ""
)</f>
        <v>The Ordinary Days of an Adventurer Chapter 5 Finished</v>
      </c>
      <c r="D333" s="79" t="str">
        <f>_xlfn.XLOOKUP(tblChecklist[[#This Row],[TargetID]],tblTargets[TargetID],tblTargets[TargetType],"")</f>
        <v>QUEST</v>
      </c>
      <c r="E333" s="79" t="str">
        <f>_xlfn.XLOOKUP(tblChecklist[[#This Row],[TargetID]],tblTargetStatus[TargetID],tblTargetStatus[ChainAwareStatus],"")</f>
        <v>BLOCKED</v>
      </c>
      <c r="G333" s="82" t="b">
        <v>0</v>
      </c>
      <c r="H333" s="79" t="str">
        <f>_xlfn.XLOOKUP(tblChecklist[[#This Row],[TargetID]],tblTargetStatus[TargetID],tblTargetStatus[TargetFunded],"")</f>
        <v>N/A</v>
      </c>
      <c r="I33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4" spans="1:9" ht="26.15" customHeight="1">
      <c r="A334" t="s">
        <v>2548</v>
      </c>
      <c r="B334" t="str">
        <f>_xlfn.XLOOKUP(tblChecklist[[#This Row],[TargetID]],tblTargets[TargetID],tblTargets[DisplayName])</f>
        <v>The Ordinary Days of an Adventurer Chapter 5 Finished</v>
      </c>
      <c r="C334" s="2" t="str">
        <f>_xlfn.XLOOKUP(
 tblChecklist[[#This Row],[TargetID]],
 tblTargetStatus[TargetID],
 tblTargetStatus[successors],
 ""
)</f>
        <v>Dairy Lv 1</v>
      </c>
      <c r="D334" s="79" t="str">
        <f>_xlfn.XLOOKUP(tblChecklist[[#This Row],[TargetID]],tblTargets[TargetID],tblTargets[TargetType],"")</f>
        <v>QUEST</v>
      </c>
      <c r="E334" s="79" t="str">
        <f>_xlfn.XLOOKUP(tblChecklist[[#This Row],[TargetID]],tblTargetStatus[TargetID],tblTargetStatus[ChainAwareStatus],"")</f>
        <v>BLOCKED</v>
      </c>
      <c r="G334" s="82" t="b">
        <v>0</v>
      </c>
      <c r="H334" s="79" t="b">
        <f>_xlfn.XLOOKUP(tblChecklist[[#This Row],[TargetID]],tblTargetStatus[TargetID],tblTargetStatus[TargetFunded],"")</f>
        <v>0</v>
      </c>
      <c r="I33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5" spans="1:9" ht="26.15" customHeight="1">
      <c r="A335" t="s">
        <v>2432</v>
      </c>
      <c r="B335" t="str">
        <f>_xlfn.XLOOKUP(tblChecklist[[#This Row],[TargetID]],tblTargets[TargetID],tblTargets[DisplayName])</f>
        <v>The Ordinary Days of an Adventurer Chapter 6 Accepted</v>
      </c>
      <c r="C335" s="2" t="str">
        <f>_xlfn.XLOOKUP(
 tblChecklist[[#This Row],[TargetID]],
 tblTargetStatus[TargetID],
 tblTargetStatus[successors],
 ""
)</f>
        <v>Cheese Cave, The Ordinary Days of an Adventurer Chapter 6 Finished, Deliver Cheese to Rat in 6B</v>
      </c>
      <c r="D335" s="79" t="str">
        <f>_xlfn.XLOOKUP(tblChecklist[[#This Row],[TargetID]],tblTargets[TargetID],tblTargets[TargetType],"")</f>
        <v>QUEST</v>
      </c>
      <c r="E335" s="79" t="str">
        <f>_xlfn.XLOOKUP(tblChecklist[[#This Row],[TargetID]],tblTargetStatus[TargetID],tblTargetStatus[ChainAwareStatus],"")</f>
        <v>BLOCKED</v>
      </c>
      <c r="G335" s="82" t="b">
        <v>0</v>
      </c>
      <c r="H335" s="79" t="str">
        <f>_xlfn.XLOOKUP(tblChecklist[[#This Row],[TargetID]],tblTargetStatus[TargetID],tblTargetStatus[TargetFunded],"")</f>
        <v>N/A</v>
      </c>
      <c r="I335"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36" spans="1:9" ht="26.15" customHeight="1">
      <c r="A336" t="s">
        <v>2550</v>
      </c>
      <c r="B336" t="str">
        <f>_xlfn.XLOOKUP(tblChecklist[[#This Row],[TargetID]],tblTargets[TargetID],tblTargets[DisplayName])</f>
        <v>The Ordinary Days of an Adventurer Chapter 6 Finished</v>
      </c>
      <c r="C336" s="2" t="str">
        <f>_xlfn.XLOOKUP(
 tblChecklist[[#This Row],[TargetID]],
 tblTargetStatus[TargetID],
 tblTargetStatus[successors],
 ""
)</f>
        <v>Letter from the Dark Lady Accepted</v>
      </c>
      <c r="D336" s="79" t="str">
        <f>_xlfn.XLOOKUP(tblChecklist[[#This Row],[TargetID]],tblTargets[TargetID],tblTargets[TargetType],"")</f>
        <v>QUEST</v>
      </c>
      <c r="E336" s="79" t="str">
        <f>_xlfn.XLOOKUP(tblChecklist[[#This Row],[TargetID]],tblTargetStatus[TargetID],tblTargetStatus[ChainAwareStatus],"")</f>
        <v>BLOCKED</v>
      </c>
      <c r="G336" s="82" t="b">
        <v>0</v>
      </c>
      <c r="H336" s="79" t="b">
        <f>_xlfn.XLOOKUP(tblChecklist[[#This Row],[TargetID]],tblTargetStatus[TargetID],tblTargetStatus[TargetFunded],"")</f>
        <v>0</v>
      </c>
      <c r="I336"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37" spans="1:9" ht="26.15" customHeight="1">
      <c r="A337" t="s">
        <v>2435</v>
      </c>
      <c r="B337" t="str">
        <f>_xlfn.XLOOKUP(tblChecklist[[#This Row],[TargetID]],tblTargets[TargetID],tblTargets[DisplayName])</f>
        <v>The Ordinary Days of an Adventurer Chapter 7 Accepted</v>
      </c>
      <c r="C337" s="2" t="str">
        <f>_xlfn.XLOOKUP(
 tblChecklist[[#This Row],[TargetID]],
 tblTargetStatus[TargetID],
 tblTargetStatus[successors],
 ""
)</f>
        <v>The Ordinary Days of an Adventurer Chapter 7 Finished, Complete Dungeon 6C</v>
      </c>
      <c r="D337" s="79" t="str">
        <f>_xlfn.XLOOKUP(tblChecklist[[#This Row],[TargetID]],tblTargets[TargetID],tblTargets[TargetType],"")</f>
        <v>QUEST</v>
      </c>
      <c r="E337" s="79" t="str">
        <f>_xlfn.XLOOKUP(tblChecklist[[#This Row],[TargetID]],tblTargetStatus[TargetID],tblTargetStatus[ChainAwareStatus],"")</f>
        <v>BLOCKED</v>
      </c>
      <c r="G337" s="82" t="b">
        <v>0</v>
      </c>
      <c r="H337" s="79" t="str">
        <f>_xlfn.XLOOKUP(tblChecklist[[#This Row],[TargetID]],tblTargetStatus[TargetID],tblTargetStatus[TargetFunded],"")</f>
        <v>N/A</v>
      </c>
      <c r="I337"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38" spans="1:9" ht="26.15" customHeight="1">
      <c r="A338" t="s">
        <v>2552</v>
      </c>
      <c r="B338" t="str">
        <f>_xlfn.XLOOKUP(tblChecklist[[#This Row],[TargetID]],tblTargets[TargetID],tblTargets[DisplayName])</f>
        <v>The Ordinary Days of an Adventurer Chapter 7 Finished</v>
      </c>
      <c r="C338" s="2" t="str">
        <f>_xlfn.XLOOKUP(
 tblChecklist[[#This Row],[TargetID]],
 tblTargetStatus[TargetID],
 tblTargetStatus[successors],
 ""
)</f>
        <v>Armory 2 Lv 1, Courtyard 1 Lv 1, Courtyard 2 Lv 1, Gallery 3 Lv 1, Pantry 4 Lv 1, Treasury 3 Lv 1, The Ordinary Days of an Adventurer Chapter 8 Accepted, Dairy - Classical Music For The Farm, Meet Dark Lady@6B second time</v>
      </c>
      <c r="D338" s="79" t="str">
        <f>_xlfn.XLOOKUP(tblChecklist[[#This Row],[TargetID]],tblTargets[TargetID],tblTargets[TargetType],"")</f>
        <v>QUEST</v>
      </c>
      <c r="E338" s="79" t="str">
        <f>_xlfn.XLOOKUP(tblChecklist[[#This Row],[TargetID]],tblTargetStatus[TargetID],tblTargetStatus[ChainAwareStatus],"")</f>
        <v>BLOCKED</v>
      </c>
      <c r="G338" s="82" t="b">
        <v>0</v>
      </c>
      <c r="H338" s="79" t="str">
        <f>_xlfn.XLOOKUP(tblChecklist[[#This Row],[TargetID]],tblTargetStatus[TargetID],tblTargetStatus[TargetFunded],"")</f>
        <v>N/A</v>
      </c>
      <c r="I338"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39" spans="1:9" ht="26.15" customHeight="1">
      <c r="A339" t="s">
        <v>2438</v>
      </c>
      <c r="B339" t="str">
        <f>_xlfn.XLOOKUP(tblChecklist[[#This Row],[TargetID]],tblTargets[TargetID],tblTargets[DisplayName])</f>
        <v>The Ordinary Days of an Adventurer Chapter 8 Accepted</v>
      </c>
      <c r="C339" s="2" t="str">
        <f>_xlfn.XLOOKUP(
 tblChecklist[[#This Row],[TargetID]],
 tblTargetStatus[TargetID],
 tblTargetStatus[successors],
 ""
)</f>
        <v>The Ordinary Days of an Adventurer Chapter 8 Finished, Visit Paris in the Airship</v>
      </c>
      <c r="D339" s="79" t="str">
        <f>_xlfn.XLOOKUP(tblChecklist[[#This Row],[TargetID]],tblTargets[TargetID],tblTargets[TargetType],"")</f>
        <v>QUEST</v>
      </c>
      <c r="E339" s="79" t="str">
        <f>_xlfn.XLOOKUP(tblChecklist[[#This Row],[TargetID]],tblTargetStatus[TargetID],tblTargetStatus[ChainAwareStatus],"")</f>
        <v>BLOCKED</v>
      </c>
      <c r="G339" s="82" t="b">
        <v>0</v>
      </c>
      <c r="H339" s="79" t="str">
        <f>_xlfn.XLOOKUP(tblChecklist[[#This Row],[TargetID]],tblTargetStatus[TargetID],tblTargetStatus[TargetFunded],"")</f>
        <v>N/A</v>
      </c>
      <c r="I339"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40" spans="1:9" ht="26.15" customHeight="1">
      <c r="A340" t="s">
        <v>2554</v>
      </c>
      <c r="B340" t="str">
        <f>_xlfn.XLOOKUP(tblChecklist[[#This Row],[TargetID]],tblTargets[TargetID],tblTargets[DisplayName])</f>
        <v>The Ordinary Days of an Adventurer Chapter 8 Finished</v>
      </c>
      <c r="C340" s="2" t="str">
        <f>_xlfn.XLOOKUP(
 tblChecklist[[#This Row],[TargetID]],
 tblTargetStatus[TargetID],
 tblTargetStatus[successors],
 ""
)</f>
        <v>Ahead of Time Chapter 2 Accepted</v>
      </c>
      <c r="D340" s="79" t="str">
        <f>_xlfn.XLOOKUP(tblChecklist[[#This Row],[TargetID]],tblTargets[TargetID],tblTargets[TargetType],"")</f>
        <v>QUEST</v>
      </c>
      <c r="E340" s="79" t="str">
        <f>_xlfn.XLOOKUP(tblChecklist[[#This Row],[TargetID]],tblTargetStatus[TargetID],tblTargetStatus[ChainAwareStatus],"")</f>
        <v>BLOCKED</v>
      </c>
      <c r="G340" s="82" t="b">
        <v>0</v>
      </c>
      <c r="H340" s="79" t="str">
        <f>_xlfn.XLOOKUP(tblChecklist[[#This Row],[TargetID]],tblTargetStatus[TargetID],tblTargetStatus[TargetFunded],"")</f>
        <v>N/A</v>
      </c>
      <c r="I340"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41" spans="1:9" ht="26.15" customHeight="1">
      <c r="A341" t="s">
        <v>2441</v>
      </c>
      <c r="B341" t="str">
        <f>_xlfn.XLOOKUP(tblChecklist[[#This Row],[TargetID]],tblTargets[TargetID],tblTargets[DisplayName])</f>
        <v>The Ring of the Dark Lady Accepted</v>
      </c>
      <c r="C341" s="2" t="str">
        <f>_xlfn.XLOOKUP(
 tblChecklist[[#This Row],[TargetID]],
 tblTargetStatus[TargetID],
 tblTargetStatus[successors],
 ""
)</f>
        <v>The Ring of the Dark Lady Finished, Return the ring</v>
      </c>
      <c r="D341" s="79" t="str">
        <f>_xlfn.XLOOKUP(tblChecklist[[#This Row],[TargetID]],tblTargets[TargetID],tblTargets[TargetType],"")</f>
        <v>QUEST</v>
      </c>
      <c r="E341" s="79" t="str">
        <f>_xlfn.XLOOKUP(tblChecklist[[#This Row],[TargetID]],tblTargetStatus[TargetID],tblTargetStatus[ChainAwareStatus],"")</f>
        <v>BLOCKED</v>
      </c>
      <c r="G341" s="82" t="b">
        <v>0</v>
      </c>
      <c r="H341" s="79" t="str">
        <f>_xlfn.XLOOKUP(tblChecklist[[#This Row],[TargetID]],tblTargetStatus[TargetID],tblTargetStatus[TargetFunded],"")</f>
        <v>N/A</v>
      </c>
      <c r="I341"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42" spans="1:9" ht="26.15" customHeight="1">
      <c r="A342" t="s">
        <v>2556</v>
      </c>
      <c r="B342" t="str">
        <f>_xlfn.XLOOKUP(tblChecklist[[#This Row],[TargetID]],tblTargets[TargetID],tblTargets[DisplayName])</f>
        <v>The Ring of the Dark Lady Finished</v>
      </c>
      <c r="C342" s="2" t="str">
        <f>_xlfn.XLOOKUP(
 tblChecklist[[#This Row],[TargetID]],
 tblTargetStatus[TargetID],
 tblTargetStatus[successors],
 ""
)</f>
        <v>Magic Beans Accepted, Visit Dungeon@4A, Workshop - Shield For A Hero Lvl 4</v>
      </c>
      <c r="D342" s="79" t="str">
        <f>_xlfn.XLOOKUP(tblChecklist[[#This Row],[TargetID]],tblTargets[TargetID],tblTargets[TargetType],"")</f>
        <v>QUEST</v>
      </c>
      <c r="E342" s="79" t="str">
        <f>_xlfn.XLOOKUP(tblChecklist[[#This Row],[TargetID]],tblTargetStatus[TargetID],tblTargetStatus[ChainAwareStatus],"")</f>
        <v>BLOCKED</v>
      </c>
      <c r="G342" s="82" t="b">
        <v>0</v>
      </c>
      <c r="H342" s="79" t="str">
        <f>_xlfn.XLOOKUP(tblChecklist[[#This Row],[TargetID]],tblTargetStatus[TargetID],tblTargetStatus[TargetFunded],"")</f>
        <v>N/A</v>
      </c>
      <c r="I342"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43" spans="1:9" ht="26.15" customHeight="1">
      <c r="A343" t="s">
        <v>2444</v>
      </c>
      <c r="B343" t="str">
        <f>_xlfn.XLOOKUP(tblChecklist[[#This Row],[TargetID]],tblTargets[TargetID],tblTargets[DisplayName])</f>
        <v>Treasure Island Accepted</v>
      </c>
      <c r="C343" s="2" t="str">
        <f>_xlfn.XLOOKUP(
 tblChecklist[[#This Row],[TargetID]],
 tblTargetStatus[TargetID],
 tblTargetStatus[successors],
 ""
)</f>
        <v>Treasure Island Finished, Obtain Treasure</v>
      </c>
      <c r="D343" s="79" t="str">
        <f>_xlfn.XLOOKUP(tblChecklist[[#This Row],[TargetID]],tblTargets[TargetID],tblTargets[TargetType],"")</f>
        <v>QUEST</v>
      </c>
      <c r="E343" s="79" t="str">
        <f>_xlfn.XLOOKUP(tblChecklist[[#This Row],[TargetID]],tblTargetStatus[TargetID],tblTargetStatus[ChainAwareStatus],"")</f>
        <v>BLOCKED</v>
      </c>
      <c r="G343" s="82" t="b">
        <v>0</v>
      </c>
      <c r="H343" s="79" t="str">
        <f>_xlfn.XLOOKUP(tblChecklist[[#This Row],[TargetID]],tblTargetStatus[TargetID],tblTargetStatus[TargetFunded],"")</f>
        <v>N/A</v>
      </c>
      <c r="I34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4" spans="1:9" ht="26.15" customHeight="1">
      <c r="A344" t="s">
        <v>2558</v>
      </c>
      <c r="B344" t="str">
        <f>_xlfn.XLOOKUP(tblChecklist[[#This Row],[TargetID]],tblTargets[TargetID],tblTargets[DisplayName])</f>
        <v>Treasure Island Finished</v>
      </c>
      <c r="C344" s="2" t="str">
        <f>_xlfn.XLOOKUP(
 tblChecklist[[#This Row],[TargetID]],
 tblTargetStatus[TargetID],
 tblTargetStatus[successors],
 ""
)</f>
        <v/>
      </c>
      <c r="D344" s="79" t="str">
        <f>_xlfn.XLOOKUP(tblChecklist[[#This Row],[TargetID]],tblTargets[TargetID],tblTargets[TargetType],"")</f>
        <v>QUEST</v>
      </c>
      <c r="E344" s="79" t="str">
        <f>_xlfn.XLOOKUP(tblChecklist[[#This Row],[TargetID]],tblTargetStatus[TargetID],tblTargetStatus[ChainAwareStatus],"")</f>
        <v>BLOCKED</v>
      </c>
      <c r="G344" s="82" t="b">
        <v>0</v>
      </c>
      <c r="H344" s="79" t="str">
        <f>_xlfn.XLOOKUP(tblChecklist[[#This Row],[TargetID]],tblTargetStatus[TargetID],tblTargetStatus[TargetFunded],"")</f>
        <v>N/A</v>
      </c>
      <c r="I34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5" spans="1:9" ht="26.15" customHeight="1">
      <c r="A345" t="s">
        <v>2447</v>
      </c>
      <c r="B345" t="str">
        <f>_xlfn.XLOOKUP(tblChecklist[[#This Row],[TargetID]],tblTargets[TargetID],tblTargets[DisplayName])</f>
        <v>Undead Revenge Accepted</v>
      </c>
      <c r="C345" s="2" t="str">
        <f>_xlfn.XLOOKUP(
 tblChecklist[[#This Row],[TargetID]],
 tblTargetStatus[TargetID],
 tblTargetStatus[successors],
 ""
)</f>
        <v xml:space="preserve">Undead Revenge Finished, Complete Dungeon 5C second </v>
      </c>
      <c r="D345" s="79" t="str">
        <f>_xlfn.XLOOKUP(tblChecklist[[#This Row],[TargetID]],tblTargets[TargetID],tblTargets[TargetType],"")</f>
        <v>QUEST</v>
      </c>
      <c r="E345" s="79" t="str">
        <f>_xlfn.XLOOKUP(tblChecklist[[#This Row],[TargetID]],tblTargetStatus[TargetID],tblTargetStatus[ChainAwareStatus],"")</f>
        <v>BLOCKED</v>
      </c>
      <c r="G345" s="82" t="b">
        <v>0</v>
      </c>
      <c r="H345" s="79" t="str">
        <f>_xlfn.XLOOKUP(tblChecklist[[#This Row],[TargetID]],tblTargetStatus[TargetID],tblTargetStatus[TargetFunded],"")</f>
        <v>N/A</v>
      </c>
      <c r="I3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6" spans="1:9" ht="26.15" customHeight="1">
      <c r="A346" t="s">
        <v>2560</v>
      </c>
      <c r="B346" t="str">
        <f>_xlfn.XLOOKUP(tblChecklist[[#This Row],[TargetID]],tblTargets[TargetID],tblTargets[DisplayName])</f>
        <v>Undead Revenge Finished</v>
      </c>
      <c r="C346" s="2" t="str">
        <f>_xlfn.XLOOKUP(
 tblChecklist[[#This Row],[TargetID]],
 tblTargetStatus[TargetID],
 tblTargetStatus[successors],
 ""
)</f>
        <v/>
      </c>
      <c r="D346" s="79" t="str">
        <f>_xlfn.XLOOKUP(tblChecklist[[#This Row],[TargetID]],tblTargets[TargetID],tblTargets[TargetType],"")</f>
        <v>QUEST</v>
      </c>
      <c r="E346" s="79" t="str">
        <f>_xlfn.XLOOKUP(tblChecklist[[#This Row],[TargetID]],tblTargetStatus[TargetID],tblTargetStatus[ChainAwareStatus],"")</f>
        <v>BLOCKED</v>
      </c>
      <c r="G346" s="82" t="b">
        <v>0</v>
      </c>
      <c r="H346" s="79" t="str">
        <f>_xlfn.XLOOKUP(tblChecklist[[#This Row],[TargetID]],tblTargetStatus[TargetID],tblTargetStatus[TargetFunded],"")</f>
        <v>N/A</v>
      </c>
      <c r="I34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7" spans="1:9" ht="26.15" customHeight="1">
      <c r="A347" t="s">
        <v>6098</v>
      </c>
      <c r="B347" t="str">
        <f>_xlfn.XLOOKUP(tblChecklist[[#This Row],[TargetID]],tblTargets[TargetID],tblTargets[DisplayName])</f>
        <v>Defeat Bone Dragon in 4C</v>
      </c>
      <c r="C347" s="2" t="str">
        <f>_xlfn.XLOOKUP(
 tblChecklist[[#This Row],[TargetID]],
 tblTargetStatus[TargetID],
 tblTargetStatus[successors],
 ""
)</f>
        <v>Dragon teeth Finished</v>
      </c>
      <c r="D347" s="79" t="str">
        <f>_xlfn.XLOOKUP(tblChecklist[[#This Row],[TargetID]],tblTargets[TargetID],tblTargets[TargetType],"")</f>
        <v>STATE</v>
      </c>
      <c r="E347" s="79" t="str">
        <f>_xlfn.XLOOKUP(tblChecklist[[#This Row],[TargetID]],tblTargetStatus[TargetID],tblTargetStatus[ChainAwareStatus],"")</f>
        <v>BLOCKED</v>
      </c>
      <c r="G347" s="82" t="b">
        <v>0</v>
      </c>
      <c r="H347" s="79" t="str">
        <f>_xlfn.XLOOKUP(tblChecklist[[#This Row],[TargetID]],tblTargetStatus[TargetID],tblTargetStatus[TargetFunded],"")</f>
        <v>N/A</v>
      </c>
      <c r="I34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8" spans="1:9" ht="26.15" customHeight="1">
      <c r="A348" t="s">
        <v>3500</v>
      </c>
      <c r="B348" t="str">
        <f>_xlfn.XLOOKUP(tblChecklist[[#This Row],[TargetID]],tblTargets[TargetID],tblTargets[DisplayName])</f>
        <v>Action Reenter Guild</v>
      </c>
      <c r="C348" s="2" t="str">
        <f>_xlfn.XLOOKUP(
 tblChecklist[[#This Row],[TargetID]],
 tblTargetStatus[TargetID],
 tblTargetStatus[successors],
 ""
)</f>
        <v>The Ordinary Days of an Adventurer Chapter 5 Accepted</v>
      </c>
      <c r="D348" s="79" t="str">
        <f>_xlfn.XLOOKUP(tblChecklist[[#This Row],[TargetID]],tblTargets[TargetID],tblTargets[TargetType],"")</f>
        <v>STATE</v>
      </c>
      <c r="E348" s="79" t="str">
        <f>_xlfn.XLOOKUP(tblChecklist[[#This Row],[TargetID]],tblTargetStatus[TargetID],tblTargetStatus[ChainAwareStatus],"")</f>
        <v>BLOCKED</v>
      </c>
      <c r="G348" s="82" t="b">
        <v>0</v>
      </c>
      <c r="H348" s="79" t="str">
        <f>_xlfn.XLOOKUP(tblChecklist[[#This Row],[TargetID]],tblTargetStatus[TargetID],tblTargetStatus[TargetFunded],"")</f>
        <v>N/A</v>
      </c>
      <c r="I34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9" spans="1:9" ht="26.15" customHeight="1">
      <c r="A349" t="s">
        <v>5668</v>
      </c>
      <c r="B349" t="str">
        <f>_xlfn.XLOOKUP(tblChecklist[[#This Row],[TargetID]],tblTargets[TargetID],tblTargets[DisplayName])</f>
        <v>Send Train to Sapporo</v>
      </c>
      <c r="C349" s="2" t="str">
        <f>_xlfn.XLOOKUP(
 tblChecklist[[#This Row],[TargetID]],
 tblTargetStatus[TargetID],
 tblTargetStatus[successors],
 ""
)</f>
        <v>Train Lv 2, Ahead of Time Chapter 4 Finished</v>
      </c>
      <c r="D349" s="79" t="str">
        <f>_xlfn.XLOOKUP(tblChecklist[[#This Row],[TargetID]],tblTargets[TargetID],tblTargets[TargetType],"")</f>
        <v>STATE</v>
      </c>
      <c r="E349" s="79" t="str">
        <f>_xlfn.XLOOKUP(tblChecklist[[#This Row],[TargetID]],tblTargetStatus[TargetID],tblTargetStatus[ChainAwareStatus],"")</f>
        <v>BLOCKED</v>
      </c>
      <c r="G349" s="82" t="b">
        <v>0</v>
      </c>
      <c r="H349" s="79" t="str">
        <f>_xlfn.XLOOKUP(tblChecklist[[#This Row],[TargetID]],tblTargetStatus[TargetID],tblTargetStatus[TargetFunded],"")</f>
        <v>N/A</v>
      </c>
      <c r="I34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0" spans="1:9" ht="26.15" customHeight="1">
      <c r="A350" t="s">
        <v>6099</v>
      </c>
      <c r="B350" t="str">
        <f>_xlfn.XLOOKUP(tblChecklist[[#This Row],[TargetID]],tblTargets[TargetID],tblTargets[DisplayName])</f>
        <v>Tame A Critter</v>
      </c>
      <c r="C350" s="2" t="str">
        <f>_xlfn.XLOOKUP(
 tblChecklist[[#This Row],[TargetID]],
 tblTargetStatus[TargetID],
 tblTargetStatus[successors],
 ""
)</f>
        <v>Lair lvl. 1</v>
      </c>
      <c r="D350" s="79" t="str">
        <f>_xlfn.XLOOKUP(tblChecklist[[#This Row],[TargetID]],tblTargets[TargetID],tblTargets[TargetType],"")</f>
        <v>STATE</v>
      </c>
      <c r="E350" s="79" t="str">
        <f>_xlfn.XLOOKUP(tblChecklist[[#This Row],[TargetID]],tblTargetStatus[TargetID],tblTargetStatus[ChainAwareStatus],"")</f>
        <v>BLOCKED</v>
      </c>
      <c r="G350" s="82" t="b">
        <v>0</v>
      </c>
      <c r="H350" s="79" t="str">
        <f>_xlfn.XLOOKUP(tblChecklist[[#This Row],[TargetID]],tblTargetStatus[TargetID],tblTargetStatus[TargetFunded],"")</f>
        <v>N/A</v>
      </c>
      <c r="I3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1" spans="1:9" ht="26.15" customHeight="1">
      <c r="A351" t="s">
        <v>6262</v>
      </c>
      <c r="B351" t="str">
        <f>_xlfn.XLOOKUP(tblChecklist[[#This Row],[TargetID]],tblTargets[TargetID],tblTargets[DisplayName])</f>
        <v>Complete Dungeon 1A</v>
      </c>
      <c r="C351" s="2" t="str">
        <f>_xlfn.XLOOKUP(
 tblChecklist[[#This Row],[TargetID]],
 tblTargetStatus[TargetID],
 tblTargetStatus[successors],
 ""
)</f>
        <v>Quest for Knowledge Chapter 1 Finished</v>
      </c>
      <c r="D351" s="79" t="s">
        <v>5565</v>
      </c>
      <c r="E351" s="79" t="str">
        <f>_xlfn.XLOOKUP(tblChecklist[[#This Row],[TargetID]],tblTargetStatus[TargetID],tblTargetStatus[ChainAwareStatus],"")</f>
        <v>BLOCKED</v>
      </c>
      <c r="G351" s="82" t="b">
        <v>0</v>
      </c>
      <c r="H351" s="79" t="str">
        <f>_xlfn.XLOOKUP(tblChecklist[[#This Row],[TargetID]],tblTargetStatus[TargetID],tblTargetStatus[TargetFunded],"")</f>
        <v>N/A</v>
      </c>
      <c r="I35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2" spans="1:9" ht="26.15" customHeight="1">
      <c r="A352" t="s">
        <v>6264</v>
      </c>
      <c r="B352" t="str">
        <f>_xlfn.XLOOKUP(tblChecklist[[#This Row],[TargetID]],tblTargets[TargetID],tblTargets[DisplayName])</f>
        <v>Complete Dungeon 6D</v>
      </c>
      <c r="C352" s="2" t="str">
        <f>_xlfn.XLOOKUP(
 tblChecklist[[#This Row],[TargetID]],
 tblTargetStatus[TargetID],
 tblTargetStatus[successors],
 ""
)</f>
        <v>Ahead of Time Chapter 3 Finished</v>
      </c>
      <c r="D352" s="79" t="s">
        <v>5565</v>
      </c>
      <c r="E352" s="79" t="str">
        <f>_xlfn.XLOOKUP(tblChecklist[[#This Row],[TargetID]],tblTargetStatus[TargetID],tblTargetStatus[ChainAwareStatus],"")</f>
        <v>BLOCKED</v>
      </c>
      <c r="G352" s="82" t="b">
        <v>0</v>
      </c>
      <c r="H352" s="79" t="str">
        <f>_xlfn.XLOOKUP(tblChecklist[[#This Row],[TargetID]],tblTargetStatus[TargetID],tblTargetStatus[TargetFunded],"")</f>
        <v>N/A</v>
      </c>
      <c r="I35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3" spans="1:9" ht="26.15" customHeight="1">
      <c r="A353" t="s">
        <v>3512</v>
      </c>
      <c r="B353" t="str">
        <f>_xlfn.XLOOKUP(tblChecklist[[#This Row],[TargetID]],tblTargets[TargetID],tblTargets[DisplayName])</f>
        <v>Complete Dungeon 5C</v>
      </c>
      <c r="C353" s="2" t="str">
        <f>_xlfn.XLOOKUP(
 tblChecklist[[#This Row],[TargetID]],
 tblTargetStatus[TargetID],
 tblTargetStatus[successors],
 ""
)</f>
        <v>Undead Revenge Accepted, Visit Dungeon@5A , Undead Revenge Finished</v>
      </c>
      <c r="D353" s="79" t="str">
        <f>_xlfn.XLOOKUP(tblChecklist[[#This Row],[TargetID]],tblTargets[TargetID],tblTargets[TargetType],"")</f>
        <v>STATE</v>
      </c>
      <c r="E353" s="79" t="str">
        <f>_xlfn.XLOOKUP(tblChecklist[[#This Row],[TargetID]],tblTargetStatus[TargetID],tblTargetStatus[ChainAwareStatus],"")</f>
        <v>BLOCKED</v>
      </c>
      <c r="G353" s="82" t="b">
        <v>0</v>
      </c>
      <c r="H353" s="79" t="str">
        <f>_xlfn.XLOOKUP(tblChecklist[[#This Row],[TargetID]],tblTargetStatus[TargetID],tblTargetStatus[TargetFunded],"")</f>
        <v>N/A</v>
      </c>
      <c r="I35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4" spans="1:9" ht="26.15" customHeight="1">
      <c r="A354" t="s">
        <v>6251</v>
      </c>
      <c r="B354" t="str">
        <f>_xlfn.XLOOKUP(tblChecklist[[#This Row],[TargetID]],tblTargets[TargetID],tblTargets[DisplayName])</f>
        <v xml:space="preserve">Complete Dungeon 5C second </v>
      </c>
      <c r="C354" s="2" t="str">
        <f>_xlfn.XLOOKUP(
 tblChecklist[[#This Row],[TargetID]],
 tblTargetStatus[TargetID],
 tblTargetStatus[successors],
 ""
)</f>
        <v>Undead Revenge Finished</v>
      </c>
      <c r="D354" s="79" t="s">
        <v>5565</v>
      </c>
      <c r="E354" s="79" t="str">
        <f>_xlfn.XLOOKUP(tblChecklist[[#This Row],[TargetID]],tblTargetStatus[TargetID],tblTargetStatus[ChainAwareStatus],"")</f>
        <v>BLOCKED</v>
      </c>
      <c r="G354" s="82" t="b">
        <v>0</v>
      </c>
      <c r="H354" s="79" t="str">
        <f>_xlfn.XLOOKUP(tblChecklist[[#This Row],[TargetID]],tblTargetStatus[TargetID],tblTargetStatus[TargetFunded],"")</f>
        <v>N/A</v>
      </c>
      <c r="I35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5" spans="1:9" ht="26.15" customHeight="1">
      <c r="A355" t="s">
        <v>5685</v>
      </c>
      <c r="B355" t="str">
        <f>_xlfn.XLOOKUP(tblChecklist[[#This Row],[TargetID]],tblTargets[TargetID],tblTargets[DisplayName])</f>
        <v>Complete Dungeon 6C</v>
      </c>
      <c r="C355" s="2" t="str">
        <f>_xlfn.XLOOKUP(
 tblChecklist[[#This Row],[TargetID]],
 tblTargetStatus[TargetID],
 tblTargetStatus[successors],
 ""
)</f>
        <v>The Ordinary Days of an Adventurer Chapter 7 Finished</v>
      </c>
      <c r="D355" s="79" t="str">
        <f>_xlfn.XLOOKUP(tblChecklist[[#This Row],[TargetID]],tblTargets[TargetID],tblTargets[TargetType],"")</f>
        <v>STATE</v>
      </c>
      <c r="E355" s="79" t="str">
        <f>_xlfn.XLOOKUP(tblChecklist[[#This Row],[TargetID]],tblTargetStatus[TargetID],tblTargetStatus[ChainAwareStatus],"")</f>
        <v>BLOCKED</v>
      </c>
      <c r="G355" s="82" t="b">
        <v>0</v>
      </c>
      <c r="H355" s="79" t="str">
        <f>_xlfn.XLOOKUP(tblChecklist[[#This Row],[TargetID]],tblTargetStatus[TargetID],tblTargetStatus[TargetFunded],"")</f>
        <v>N/A</v>
      </c>
      <c r="I35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6" spans="1:9" ht="26.15" customHeight="1">
      <c r="A356" t="s">
        <v>5774</v>
      </c>
      <c r="B356" t="str">
        <f>_xlfn.XLOOKUP(tblChecklist[[#This Row],[TargetID]],tblTargets[TargetID],tblTargets[DisplayName])</f>
        <v>Complete F1 for the first time</v>
      </c>
      <c r="C356" s="2" t="str">
        <f>_xlfn.XLOOKUP(
 tblChecklist[[#This Row],[TargetID]],
 tblTargetStatus[TargetID],
 tblTargetStatus[successors],
 ""
)</f>
        <v>Once Upon a Forest Chapter 2 Finished</v>
      </c>
      <c r="D356" s="79" t="str">
        <f>_xlfn.XLOOKUP(tblChecklist[[#This Row],[TargetID]],tblTargets[TargetID],tblTargets[TargetType],"")</f>
        <v>STATE</v>
      </c>
      <c r="E356" s="79" t="str">
        <f>_xlfn.XLOOKUP(tblChecklist[[#This Row],[TargetID]],tblTargetStatus[TargetID],tblTargetStatus[ChainAwareStatus],"")</f>
        <v>BLOCKED</v>
      </c>
      <c r="G356" s="82" t="b">
        <v>0</v>
      </c>
      <c r="H356" s="79" t="str">
        <f>_xlfn.XLOOKUP(tblChecklist[[#This Row],[TargetID]],tblTargetStatus[TargetID],tblTargetStatus[TargetFunded],"")</f>
        <v>N/A</v>
      </c>
      <c r="I3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7" spans="1:9" ht="26.15" customHeight="1">
      <c r="A357" t="s">
        <v>5775</v>
      </c>
      <c r="B357" t="str">
        <f>_xlfn.XLOOKUP(tblChecklist[[#This Row],[TargetID]],tblTargets[TargetID],tblTargets[DisplayName])</f>
        <v>Escort Mr and Mrs Diligance through F1</v>
      </c>
      <c r="C357" s="2" t="str">
        <f>_xlfn.XLOOKUP(
 tblChecklist[[#This Row],[TargetID]],
 tblTargetStatus[TargetID],
 tblTargetStatus[successors],
 ""
)</f>
        <v>Once Upon a Forest Chapter 12 Finished</v>
      </c>
      <c r="D357" s="79" t="str">
        <f>_xlfn.XLOOKUP(tblChecklist[[#This Row],[TargetID]],tblTargets[TargetID],tblTargets[TargetType],"")</f>
        <v>STATE</v>
      </c>
      <c r="E357" s="79" t="str">
        <f>_xlfn.XLOOKUP(tblChecklist[[#This Row],[TargetID]],tblTargetStatus[TargetID],tblTargetStatus[ChainAwareStatus],"")</f>
        <v>BLOCKED</v>
      </c>
      <c r="G357" s="82" t="b">
        <v>0</v>
      </c>
      <c r="H357" s="79" t="str">
        <f>_xlfn.XLOOKUP(tblChecklist[[#This Row],[TargetID]],tblTargetStatus[TargetID],tblTargetStatus[TargetFunded],"")</f>
        <v>N/A</v>
      </c>
      <c r="I35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8" spans="1:9" ht="26.15" customHeight="1">
      <c r="A358" t="s">
        <v>5776</v>
      </c>
      <c r="B358" t="str">
        <f>_xlfn.XLOOKUP(tblChecklist[[#This Row],[TargetID]],tblTargets[TargetID],tblTargets[DisplayName])</f>
        <v>Escort Mr and Mrs Diligance through F2</v>
      </c>
      <c r="C358" s="2" t="str">
        <f>_xlfn.XLOOKUP(
 tblChecklist[[#This Row],[TargetID]],
 tblTargetStatus[TargetID],
 tblTargetStatus[successors],
 ""
)</f>
        <v>Once Upon a Forest Chapter 12 Finished</v>
      </c>
      <c r="D358" s="79" t="str">
        <f>_xlfn.XLOOKUP(tblChecklist[[#This Row],[TargetID]],tblTargets[TargetID],tblTargets[TargetType],"")</f>
        <v>STATE</v>
      </c>
      <c r="E358" s="79" t="str">
        <f>_xlfn.XLOOKUP(tblChecklist[[#This Row],[TargetID]],tblTargetStatus[TargetID],tblTargetStatus[ChainAwareStatus],"")</f>
        <v>BLOCKED</v>
      </c>
      <c r="G358" s="82" t="b">
        <v>0</v>
      </c>
      <c r="H358" s="79" t="str">
        <f>_xlfn.XLOOKUP(tblChecklist[[#This Row],[TargetID]],tblTargetStatus[TargetID],tblTargetStatus[TargetFunded],"")</f>
        <v>N/A</v>
      </c>
      <c r="I35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9" spans="1:9" ht="26.15" customHeight="1">
      <c r="A359" t="s">
        <v>5777</v>
      </c>
      <c r="B359" t="str">
        <f>_xlfn.XLOOKUP(tblChecklist[[#This Row],[TargetID]],tblTargets[TargetID],tblTargets[DisplayName])</f>
        <v>Escort Mr and Mrs Diligance through F3</v>
      </c>
      <c r="C359" s="2" t="str">
        <f>_xlfn.XLOOKUP(
 tblChecklist[[#This Row],[TargetID]],
 tblTargetStatus[TargetID],
 tblTargetStatus[successors],
 ""
)</f>
        <v>Once Upon a Forest Chapter 12 Finished</v>
      </c>
      <c r="D359" s="79" t="str">
        <f>_xlfn.XLOOKUP(tblChecklist[[#This Row],[TargetID]],tblTargets[TargetID],tblTargets[TargetType],"")</f>
        <v>STATE</v>
      </c>
      <c r="E359" s="79" t="str">
        <f>_xlfn.XLOOKUP(tblChecklist[[#This Row],[TargetID]],tblTargetStatus[TargetID],tblTargetStatus[ChainAwareStatus],"")</f>
        <v>BLOCKED</v>
      </c>
      <c r="G359" s="82" t="b">
        <v>0</v>
      </c>
      <c r="H359" s="79" t="str">
        <f>_xlfn.XLOOKUP(tblChecklist[[#This Row],[TargetID]],tblTargetStatus[TargetID],tblTargetStatus[TargetFunded],"")</f>
        <v>N/A</v>
      </c>
      <c r="I35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0" spans="1:9" ht="26.15" customHeight="1">
      <c r="A360" t="s">
        <v>5778</v>
      </c>
      <c r="B360" t="str">
        <f>_xlfn.XLOOKUP(tblChecklist[[#This Row],[TargetID]],tblTargets[TargetID],tblTargets[DisplayName])</f>
        <v>Escort Mr and Mrs Diligance through F4</v>
      </c>
      <c r="C360" s="2" t="str">
        <f>_xlfn.XLOOKUP(
 tblChecklist[[#This Row],[TargetID]],
 tblTargetStatus[TargetID],
 tblTargetStatus[successors],
 ""
)</f>
        <v>Once Upon a Forest Chapter 12 Finished</v>
      </c>
      <c r="D360" s="79" t="str">
        <f>_xlfn.XLOOKUP(tblChecklist[[#This Row],[TargetID]],tblTargets[TargetID],tblTargets[TargetType],"")</f>
        <v>STATE</v>
      </c>
      <c r="E360" s="79" t="str">
        <f>_xlfn.XLOOKUP(tblChecklist[[#This Row],[TargetID]],tblTargetStatus[TargetID],tblTargetStatus[ChainAwareStatus],"")</f>
        <v>BLOCKED</v>
      </c>
      <c r="G360" s="82" t="b">
        <v>0</v>
      </c>
      <c r="H360" s="79" t="str">
        <f>_xlfn.XLOOKUP(tblChecklist[[#This Row],[TargetID]],tblTargetStatus[TargetID],tblTargetStatus[TargetFunded],"")</f>
        <v>N/A</v>
      </c>
      <c r="I36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1" spans="1:9" ht="26.15" customHeight="1">
      <c r="A361" t="s">
        <v>5798</v>
      </c>
      <c r="B361" t="str">
        <f>_xlfn.XLOOKUP(tblChecklist[[#This Row],[TargetID]],tblTargets[TargetID],tblTargets[DisplayName])</f>
        <v>Complete Lvl1 Any Project</v>
      </c>
      <c r="C361" s="2" t="str">
        <f>_xlfn.XLOOKUP(
 tblChecklist[[#This Row],[TargetID]],
 tblTargetStatus[TargetID],
 tblTargetStatus[successors],
 ""
)</f>
        <v>Ahead of Time Chapter 1 Accepted, Meet mechanical adventurer in Dungeon 3A</v>
      </c>
      <c r="D361" s="79" t="str">
        <f>_xlfn.XLOOKUP(tblChecklist[[#This Row],[TargetID]],tblTargets[TargetID],tblTargets[TargetType],"")</f>
        <v>STATE</v>
      </c>
      <c r="E361" s="79" t="str">
        <f>_xlfn.XLOOKUP(tblChecklist[[#This Row],[TargetID]],tblTargetStatus[TargetID],tblTargetStatus[ChainAwareStatus],"")</f>
        <v>BLOCKED</v>
      </c>
      <c r="G361" s="82" t="b">
        <v>0</v>
      </c>
      <c r="H361" s="79" t="str">
        <f>_xlfn.XLOOKUP(tblChecklist[[#This Row],[TargetID]],tblTargetStatus[TargetID],tblTargetStatus[TargetFunded],"")</f>
        <v>N/A</v>
      </c>
      <c r="I36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2" spans="1:9" ht="26.15" customHeight="1">
      <c r="A362" t="s">
        <v>5805</v>
      </c>
      <c r="B362" t="str">
        <f>_xlfn.XLOOKUP(tblChecklist[[#This Row],[TargetID]],tblTargets[TargetID],tblTargets[DisplayName])</f>
        <v>Deliver Ambrosia to Dark Lady in F3</v>
      </c>
      <c r="C362" s="2" t="str">
        <f>_xlfn.XLOOKUP(
 tblChecklist[[#This Row],[TargetID]],
 tblTargetStatus[TargetID],
 tblTargetStatus[successors],
 ""
)</f>
        <v>Once Upon a Forest Chapter 7 Finished</v>
      </c>
      <c r="D362" s="79" t="str">
        <f>_xlfn.XLOOKUP(tblChecklist[[#This Row],[TargetID]],tblTargets[TargetID],tblTargets[TargetType],"")</f>
        <v>STATE</v>
      </c>
      <c r="E362" s="79" t="str">
        <f>_xlfn.XLOOKUP(tblChecklist[[#This Row],[TargetID]],tblTargetStatus[TargetID],tblTargetStatus[ChainAwareStatus],"")</f>
        <v>BLOCKED</v>
      </c>
      <c r="G362" s="82" t="b">
        <v>0</v>
      </c>
      <c r="H362" s="79" t="str">
        <f>_xlfn.XLOOKUP(tblChecklist[[#This Row],[TargetID]],tblTargetStatus[TargetID],tblTargetStatus[TargetFunded],"")</f>
        <v>N/A</v>
      </c>
      <c r="I36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3" spans="1:9" ht="26.15" customHeight="1">
      <c r="A363" t="s">
        <v>5771</v>
      </c>
      <c r="B363" t="str">
        <f>_xlfn.XLOOKUP(tblChecklist[[#This Row],[TargetID]],tblTargets[TargetID],tblTargets[DisplayName])</f>
        <v>Deliver Balm To Hunter @F2</v>
      </c>
      <c r="C363" s="2" t="str">
        <f>_xlfn.XLOOKUP(
 tblChecklist[[#This Row],[TargetID]],
 tblTargetStatus[TargetID],
 tblTargetStatus[successors],
 ""
)</f>
        <v>Once Upon a Forest Chapter 10 Finished</v>
      </c>
      <c r="D363" s="79" t="str">
        <f>_xlfn.XLOOKUP(tblChecklist[[#This Row],[TargetID]],tblTargets[TargetID],tblTargets[TargetType],"")</f>
        <v>STATE</v>
      </c>
      <c r="E363" s="79" t="str">
        <f>_xlfn.XLOOKUP(tblChecklist[[#This Row],[TargetID]],tblTargetStatus[TargetID],tblTargetStatus[ChainAwareStatus],"")</f>
        <v>BLOCKED</v>
      </c>
      <c r="G363" s="82" t="b">
        <v>0</v>
      </c>
      <c r="H363" s="79" t="str">
        <f>_xlfn.XLOOKUP(tblChecklist[[#This Row],[TargetID]],tblTargetStatus[TargetID],tblTargetStatus[TargetFunded],"")</f>
        <v>N/A</v>
      </c>
      <c r="I36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4" spans="1:9" ht="26.15" customHeight="1">
      <c r="A364" t="s">
        <v>5923</v>
      </c>
      <c r="B364" t="str">
        <f>_xlfn.XLOOKUP(tblChecklist[[#This Row],[TargetID]],tblTargets[TargetID],tblTargets[DisplayName])</f>
        <v>Deliver Bedroll to  4B </v>
      </c>
      <c r="C364" s="2" t="str">
        <f>_xlfn.XLOOKUP(
 tblChecklist[[#This Row],[TargetID]],
 tblTargetStatus[TargetID],
 tblTargetStatus[successors],
 ""
)</f>
        <v>Ahead of Time Chapter 1 Finished</v>
      </c>
      <c r="D364" s="79" t="str">
        <f>_xlfn.XLOOKUP(tblChecklist[[#This Row],[TargetID]],tblTargets[TargetID],tblTargets[TargetType],"")</f>
        <v>STATE</v>
      </c>
      <c r="E364" s="79" t="str">
        <f>_xlfn.XLOOKUP(tblChecklist[[#This Row],[TargetID]],tblTargetStatus[TargetID],tblTargetStatus[ChainAwareStatus],"")</f>
        <v>BLOCKED</v>
      </c>
      <c r="G364" s="82" t="b">
        <v>0</v>
      </c>
      <c r="H364" s="79" t="str">
        <f>_xlfn.XLOOKUP(tblChecklist[[#This Row],[TargetID]],tblTargetStatus[TargetID],tblTargetStatus[TargetFunded],"")</f>
        <v>N/A</v>
      </c>
      <c r="I36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5" spans="1:9" ht="26.15" customHeight="1">
      <c r="A365" t="s">
        <v>5680</v>
      </c>
      <c r="B365" t="str">
        <f>_xlfn.XLOOKUP(tblChecklist[[#This Row],[TargetID]],tblTargets[TargetID],tblTargets[DisplayName])</f>
        <v>Deliver Cheese to Rat in 6B</v>
      </c>
      <c r="C365" s="2" t="str">
        <f>_xlfn.XLOOKUP(
 tblChecklist[[#This Row],[TargetID]],
 tblTargetStatus[TargetID],
 tblTargetStatus[successors],
 ""
)</f>
        <v>The Ordinary Days of an Adventurer Chapter 6 Finished</v>
      </c>
      <c r="D365" s="79" t="str">
        <f>_xlfn.XLOOKUP(tblChecklist[[#This Row],[TargetID]],tblTargets[TargetID],tblTargets[TargetType],"")</f>
        <v>STATE</v>
      </c>
      <c r="E365" s="79" t="str">
        <f>_xlfn.XLOOKUP(tblChecklist[[#This Row],[TargetID]],tblTargetStatus[TargetID],tblTargetStatus[ChainAwareStatus],"")</f>
        <v>BLOCKED</v>
      </c>
      <c r="G365" s="82" t="b">
        <v>0</v>
      </c>
      <c r="H365" s="79" t="str">
        <f>_xlfn.XLOOKUP(tblChecklist[[#This Row],[TargetID]],tblTargetStatus[TargetID],tblTargetStatus[TargetFunded],"")</f>
        <v>N/A</v>
      </c>
      <c r="I36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6" spans="1:9" ht="26.15" customHeight="1">
      <c r="A366" t="s">
        <v>5800</v>
      </c>
      <c r="B366" t="str">
        <f>_xlfn.XLOOKUP(tblChecklist[[#This Row],[TargetID]],tblTargets[TargetID],tblTargets[DisplayName])</f>
        <v>Deliver Horn to  2C </v>
      </c>
      <c r="C366" s="2" t="str">
        <f>_xlfn.XLOOKUP(
 tblChecklist[[#This Row],[TargetID]],
 tblTargetStatus[TargetID],
 tblTargetStatus[successors],
 ""
)</f>
        <v>Ahead of Time Chapter 1 Finished</v>
      </c>
      <c r="D366" s="79" t="str">
        <f>_xlfn.XLOOKUP(tblChecklist[[#This Row],[TargetID]],tblTargets[TargetID],tblTargets[TargetType],"")</f>
        <v>STATE</v>
      </c>
      <c r="E366" s="79" t="str">
        <f>_xlfn.XLOOKUP(tblChecklist[[#This Row],[TargetID]],tblTargetStatus[TargetID],tblTargetStatus[ChainAwareStatus],"")</f>
        <v>BLOCKED</v>
      </c>
      <c r="G366" s="82" t="b">
        <v>0</v>
      </c>
      <c r="H366" s="79" t="str">
        <f>_xlfn.XLOOKUP(tblChecklist[[#This Row],[TargetID]],tblTargetStatus[TargetID],tblTargetStatus[TargetFunded],"")</f>
        <v>N/A</v>
      </c>
      <c r="I36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7" spans="1:9" ht="26.15" customHeight="1">
      <c r="A367" t="s">
        <v>5768</v>
      </c>
      <c r="B367" t="str">
        <f>_xlfn.XLOOKUP(tblChecklist[[#This Row],[TargetID]],tblTargets[TargetID],tblTargets[DisplayName])</f>
        <v>Deliver Inarizushi to 4B</v>
      </c>
      <c r="C367" s="2" t="str">
        <f>_xlfn.XLOOKUP(
 tblChecklist[[#This Row],[TargetID]],
 tblTargetStatus[TargetID],
 tblTargetStatus[successors],
 ""
)</f>
        <v>Magic Beans Finished</v>
      </c>
      <c r="D367" s="79" t="str">
        <f>_xlfn.XLOOKUP(tblChecklist[[#This Row],[TargetID]],tblTargets[TargetID],tblTargets[TargetType],"")</f>
        <v>STATE</v>
      </c>
      <c r="E367" s="79" t="str">
        <f>_xlfn.XLOOKUP(tblChecklist[[#This Row],[TargetID]],tblTargetStatus[TargetID],tblTargetStatus[ChainAwareStatus],"")</f>
        <v>BLOCKED</v>
      </c>
      <c r="G367" s="82" t="b">
        <v>0</v>
      </c>
      <c r="H367" s="79" t="str">
        <f>_xlfn.XLOOKUP(tblChecklist[[#This Row],[TargetID]],tblTargetStatus[TargetID],tblTargetStatus[TargetFunded],"")</f>
        <v>N/A</v>
      </c>
      <c r="I36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8" spans="1:9" ht="26.15" customHeight="1">
      <c r="A368" t="s">
        <v>5801</v>
      </c>
      <c r="B368" t="str">
        <f>_xlfn.XLOOKUP(tblChecklist[[#This Row],[TargetID]],tblTargets[TargetID],tblTargets[DisplayName])</f>
        <v>Deliver Pizza Diavola to  5B </v>
      </c>
      <c r="C368" s="2" t="str">
        <f>_xlfn.XLOOKUP(
 tblChecklist[[#This Row],[TargetID]],
 tblTargetStatus[TargetID],
 tblTargetStatus[successors],
 ""
)</f>
        <v>Ahead of Time Chapter 1 Finished</v>
      </c>
      <c r="D368" s="79" t="str">
        <f>_xlfn.XLOOKUP(tblChecklist[[#This Row],[TargetID]],tblTargets[TargetID],tblTargets[TargetType],"")</f>
        <v>STATE</v>
      </c>
      <c r="E368" s="79" t="str">
        <f>_xlfn.XLOOKUP(tblChecklist[[#This Row],[TargetID]],tblTargetStatus[TargetID],tblTargetStatus[ChainAwareStatus],"")</f>
        <v>BLOCKED</v>
      </c>
      <c r="G368" s="82" t="b">
        <v>0</v>
      </c>
      <c r="H368" s="79" t="str">
        <f>_xlfn.XLOOKUP(tblChecklist[[#This Row],[TargetID]],tblTargetStatus[TargetID],tblTargetStatus[TargetFunded],"")</f>
        <v>N/A</v>
      </c>
      <c r="I36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9" spans="1:9" ht="26.15" customHeight="1">
      <c r="A369" t="s">
        <v>5802</v>
      </c>
      <c r="B369" t="str">
        <f>_xlfn.XLOOKUP(tblChecklist[[#This Row],[TargetID]],tblTargets[TargetID],tblTargets[DisplayName])</f>
        <v>Deliver Pizza Diavola to  5C </v>
      </c>
      <c r="C369" s="2" t="str">
        <f>_xlfn.XLOOKUP(
 tblChecklist[[#This Row],[TargetID]],
 tblTargetStatus[TargetID],
 tblTargetStatus[successors],
 ""
)</f>
        <v>Ahead of Time Chapter 1 Finished</v>
      </c>
      <c r="D369" s="79" t="str">
        <f>_xlfn.XLOOKUP(tblChecklist[[#This Row],[TargetID]],tblTargets[TargetID],tblTargets[TargetType],"")</f>
        <v>STATE</v>
      </c>
      <c r="E369" s="79" t="str">
        <f>_xlfn.XLOOKUP(tblChecklist[[#This Row],[TargetID]],tblTargetStatus[TargetID],tblTargetStatus[ChainAwareStatus],"")</f>
        <v>BLOCKED</v>
      </c>
      <c r="G369" s="82" t="b">
        <v>0</v>
      </c>
      <c r="H369" s="79" t="str">
        <f>_xlfn.XLOOKUP(tblChecklist[[#This Row],[TargetID]],tblTargetStatus[TargetID],tblTargetStatus[TargetFunded],"")</f>
        <v>N/A</v>
      </c>
      <c r="I36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0" spans="1:9" ht="26.15" customHeight="1">
      <c r="A370" t="s">
        <v>5803</v>
      </c>
      <c r="B370" t="str">
        <f>_xlfn.XLOOKUP(tblChecklist[[#This Row],[TargetID]],tblTargets[TargetID],tblTargets[DisplayName])</f>
        <v>Deliver Porcini pasta to  3C </v>
      </c>
      <c r="C370" s="2" t="str">
        <f>_xlfn.XLOOKUP(
 tblChecklist[[#This Row],[TargetID]],
 tblTargetStatus[TargetID],
 tblTargetStatus[successors],
 ""
)</f>
        <v>Ahead of Time Chapter 1 Finished</v>
      </c>
      <c r="D370" s="79" t="str">
        <f>_xlfn.XLOOKUP(tblChecklist[[#This Row],[TargetID]],tblTargets[TargetID],tblTargets[TargetType],"")</f>
        <v>STATE</v>
      </c>
      <c r="E370" s="79" t="str">
        <f>_xlfn.XLOOKUP(tblChecklist[[#This Row],[TargetID]],tblTargetStatus[TargetID],tblTargetStatus[ChainAwareStatus],"")</f>
        <v>BLOCKED</v>
      </c>
      <c r="G370" s="82" t="b">
        <v>0</v>
      </c>
      <c r="H370" s="79" t="str">
        <f>_xlfn.XLOOKUP(tblChecklist[[#This Row],[TargetID]],tblTargetStatus[TargetID],tblTargetStatus[TargetFunded],"")</f>
        <v>N/A</v>
      </c>
      <c r="I37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1" spans="1:9" ht="26.15" customHeight="1">
      <c r="A371" t="s">
        <v>5804</v>
      </c>
      <c r="B371" t="str">
        <f>_xlfn.XLOOKUP(tblChecklist[[#This Row],[TargetID]],tblTargets[TargetID],tblTargets[DisplayName])</f>
        <v>Deliver Potion Ambrosia to  3B </v>
      </c>
      <c r="C371" s="2" t="str">
        <f>_xlfn.XLOOKUP(
 tblChecklist[[#This Row],[TargetID]],
 tblTargetStatus[TargetID],
 tblTargetStatus[successors],
 ""
)</f>
        <v>Ahead of Time Chapter 1 Finished</v>
      </c>
      <c r="D371" s="79" t="str">
        <f>_xlfn.XLOOKUP(tblChecklist[[#This Row],[TargetID]],tblTargets[TargetID],tblTargets[TargetType],"")</f>
        <v>STATE</v>
      </c>
      <c r="E371" s="79" t="str">
        <f>_xlfn.XLOOKUP(tblChecklist[[#This Row],[TargetID]],tblTargetStatus[TargetID],tblTargetStatus[ChainAwareStatus],"")</f>
        <v>BLOCKED</v>
      </c>
      <c r="G371" s="82" t="b">
        <v>0</v>
      </c>
      <c r="H371" s="79" t="str">
        <f>_xlfn.XLOOKUP(tblChecklist[[#This Row],[TargetID]],tblTargetStatus[TargetID],tblTargetStatus[TargetFunded],"")</f>
        <v>N/A</v>
      </c>
      <c r="I37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2" spans="1:9" ht="26.15" customHeight="1">
      <c r="A372" t="s">
        <v>5782</v>
      </c>
      <c r="B372" t="str">
        <f>_xlfn.XLOOKUP(tblChecklist[[#This Row],[TargetID]],tblTargets[TargetID],tblTargets[DisplayName])</f>
        <v>Deliver Potion Berserker rage to  1C </v>
      </c>
      <c r="C372" s="2" t="str">
        <f>_xlfn.XLOOKUP(
 tblChecklist[[#This Row],[TargetID]],
 tblTargetStatus[TargetID],
 tblTargetStatus[successors],
 ""
)</f>
        <v>Ahead of Time Chapter 1 Finished</v>
      </c>
      <c r="D372" s="79" t="str">
        <f>_xlfn.XLOOKUP(tblChecklist[[#This Row],[TargetID]],tblTargets[TargetID],tblTargets[TargetType],"")</f>
        <v>STATE</v>
      </c>
      <c r="E372" s="79" t="str">
        <f>_xlfn.XLOOKUP(tblChecklist[[#This Row],[TargetID]],tblTargetStatus[TargetID],tblTargetStatus[ChainAwareStatus],"")</f>
        <v>BLOCKED</v>
      </c>
      <c r="G372" s="82" t="b">
        <v>0</v>
      </c>
      <c r="H372" s="79" t="str">
        <f>_xlfn.XLOOKUP(tblChecklist[[#This Row],[TargetID]],tblTargetStatus[TargetID],tblTargetStatus[TargetFunded],"")</f>
        <v>N/A</v>
      </c>
      <c r="I37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3" spans="1:9" ht="26.15" customHeight="1">
      <c r="A373" t="s">
        <v>5921</v>
      </c>
      <c r="B373" t="str">
        <f>_xlfn.XLOOKUP(tblChecklist[[#This Row],[TargetID]],tblTargets[TargetID],tblTargets[DisplayName])</f>
        <v>Deliver Potion of Mental Power to F2</v>
      </c>
      <c r="C373" s="2" t="str">
        <f>_xlfn.XLOOKUP(
 tblChecklist[[#This Row],[TargetID]],
 tblTargetStatus[TargetID],
 tblTargetStatus[successors],
 ""
)</f>
        <v>Once Upon a Forest Chapter 6 Finished</v>
      </c>
      <c r="D373" s="79" t="str">
        <f>_xlfn.XLOOKUP(tblChecklist[[#This Row],[TargetID]],tblTargets[TargetID],tblTargets[TargetType],"")</f>
        <v>STATE</v>
      </c>
      <c r="E373" s="79" t="str">
        <f>_xlfn.XLOOKUP(tblChecklist[[#This Row],[TargetID]],tblTargetStatus[TargetID],tblTargetStatus[ChainAwareStatus],"")</f>
        <v>BLOCKED</v>
      </c>
      <c r="G373" s="82" t="b">
        <v>0</v>
      </c>
      <c r="H373" s="79" t="str">
        <f>_xlfn.XLOOKUP(tblChecklist[[#This Row],[TargetID]],tblTargetStatus[TargetID],tblTargetStatus[TargetFunded],"")</f>
        <v>N/A</v>
      </c>
      <c r="I37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4" spans="1:9" ht="26.15" customHeight="1">
      <c r="A374" t="s">
        <v>6097</v>
      </c>
      <c r="B374" t="str">
        <f>_xlfn.XLOOKUP(tblChecklist[[#This Row],[TargetID]],tblTargets[TargetID],tblTargets[DisplayName])</f>
        <v>Return the ring</v>
      </c>
      <c r="C374" s="2" t="str">
        <f>_xlfn.XLOOKUP(
 tblChecklist[[#This Row],[TargetID]],
 tblTargetStatus[TargetID],
 tblTargetStatus[successors],
 ""
)</f>
        <v>The Ring of the Dark Lady Finished</v>
      </c>
      <c r="D374" s="79" t="str">
        <f>_xlfn.XLOOKUP(tblChecklist[[#This Row],[TargetID]],tblTargets[TargetID],tblTargets[TargetType],"")</f>
        <v>STATE</v>
      </c>
      <c r="E374" s="79" t="str">
        <f>_xlfn.XLOOKUP(tblChecklist[[#This Row],[TargetID]],tblTargetStatus[TargetID],tblTargetStatus[ChainAwareStatus],"")</f>
        <v>BLOCKED</v>
      </c>
      <c r="G374" s="82" t="b">
        <v>0</v>
      </c>
      <c r="H374" s="79" t="str">
        <f>_xlfn.XLOOKUP(tblChecklist[[#This Row],[TargetID]],tblTargetStatus[TargetID],tblTargetStatus[TargetFunded],"")</f>
        <v>N/A</v>
      </c>
      <c r="I37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5" spans="1:9" ht="26.15" customHeight="1">
      <c r="A375" t="s">
        <v>5769</v>
      </c>
      <c r="B375" t="str">
        <f>_xlfn.XLOOKUP(tblChecklist[[#This Row],[TargetID]],tblTargets[TargetID],tblTargets[DisplayName])</f>
        <v>Deliver Teriyaki Salmon to 4C</v>
      </c>
      <c r="C375" s="2" t="str">
        <f>_xlfn.XLOOKUP(
 tblChecklist[[#This Row],[TargetID]],
 tblTargetStatus[TargetID],
 tblTargetStatus[successors],
 ""
)</f>
        <v>Magic Beans Finished</v>
      </c>
      <c r="D375" s="79" t="str">
        <f>_xlfn.XLOOKUP(tblChecklist[[#This Row],[TargetID]],tblTargets[TargetID],tblTargets[TargetType],"")</f>
        <v>STATE</v>
      </c>
      <c r="E375" s="79" t="str">
        <f>_xlfn.XLOOKUP(tblChecklist[[#This Row],[TargetID]],tblTargetStatus[TargetID],tblTargetStatus[ChainAwareStatus],"")</f>
        <v>BLOCKED</v>
      </c>
      <c r="G375" s="82" t="b">
        <v>0</v>
      </c>
      <c r="H375" s="79" t="str">
        <f>_xlfn.XLOOKUP(tblChecklist[[#This Row],[TargetID]],tblTargetStatus[TargetID],tblTargetStatus[TargetFunded],"")</f>
        <v>N/A</v>
      </c>
      <c r="I37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6" spans="1:9" ht="26.15" customHeight="1">
      <c r="A376" t="s">
        <v>5770</v>
      </c>
      <c r="B376" t="str">
        <f>_xlfn.XLOOKUP(tblChecklist[[#This Row],[TargetID]],tblTargets[TargetID],tblTargets[DisplayName])</f>
        <v>Deliver Tofu to 4A</v>
      </c>
      <c r="C376" s="2" t="str">
        <f>_xlfn.XLOOKUP(
 tblChecklist[[#This Row],[TargetID]],
 tblTargetStatus[TargetID],
 tblTargetStatus[successors],
 ""
)</f>
        <v>Magic Beans Finished</v>
      </c>
      <c r="D376" s="79" t="str">
        <f>_xlfn.XLOOKUP(tblChecklist[[#This Row],[TargetID]],tblTargets[TargetID],tblTargets[TargetType],"")</f>
        <v>STATE</v>
      </c>
      <c r="E376" s="79" t="str">
        <f>_xlfn.XLOOKUP(tblChecklist[[#This Row],[TargetID]],tblTargetStatus[TargetID],tblTargetStatus[ChainAwareStatus],"")</f>
        <v>BLOCKED</v>
      </c>
      <c r="G376" s="82" t="b">
        <v>0</v>
      </c>
      <c r="H376" s="79" t="str">
        <f>_xlfn.XLOOKUP(tblChecklist[[#This Row],[TargetID]],tblTargetStatus[TargetID],tblTargetStatus[TargetFunded],"")</f>
        <v>N/A</v>
      </c>
      <c r="I37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7" spans="1:9" ht="26.15" customHeight="1">
      <c r="A377" t="s">
        <v>5757</v>
      </c>
      <c r="B377" t="str">
        <f>_xlfn.XLOOKUP(tblChecklist[[#This Row],[TargetID]],tblTargets[TargetID],tblTargets[DisplayName])</f>
        <v>Deliver Yuba to  4C </v>
      </c>
      <c r="C377" s="2" t="str">
        <f>_xlfn.XLOOKUP(
 tblChecklist[[#This Row],[TargetID]],
 tblTargetStatus[TargetID],
 tblTargetStatus[successors],
 ""
)</f>
        <v>Ahead of Time Chapter 1 Finished</v>
      </c>
      <c r="D377" s="79" t="str">
        <f>_xlfn.XLOOKUP(tblChecklist[[#This Row],[TargetID]],tblTargets[TargetID],tblTargets[TargetType],"")</f>
        <v>STATE</v>
      </c>
      <c r="E377" s="79" t="str">
        <f>_xlfn.XLOOKUP(tblChecklist[[#This Row],[TargetID]],tblTargetStatus[TargetID],tblTargetStatus[ChainAwareStatus],"")</f>
        <v>BLOCKED</v>
      </c>
      <c r="G377" s="82" t="b">
        <v>0</v>
      </c>
      <c r="H377" s="79" t="str">
        <f>_xlfn.XLOOKUP(tblChecklist[[#This Row],[TargetID]],tblTargetStatus[TargetID],tblTargetStatus[TargetFunded],"")</f>
        <v>N/A</v>
      </c>
      <c r="I37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8" spans="1:9" ht="26.15" customHeight="1">
      <c r="A378" t="s">
        <v>6100</v>
      </c>
      <c r="B378" t="str">
        <f>_xlfn.XLOOKUP(tblChecklist[[#This Row],[TargetID]],tblTargets[TargetID],tblTargets[DisplayName])</f>
        <v>Discover the gate in 3C to F2</v>
      </c>
      <c r="C378" s="2" t="str">
        <f>_xlfn.XLOOKUP(
 tblChecklist[[#This Row],[TargetID]],
 tblTargetStatus[TargetID],
 tblTargetStatus[successors],
 ""
)</f>
        <v>Once Upon a Forest Chapter 4 Finished</v>
      </c>
      <c r="D378" s="79" t="str">
        <f>_xlfn.XLOOKUP(tblChecklist[[#This Row],[TargetID]],tblTargets[TargetID],tblTargets[TargetType],"")</f>
        <v>STATE</v>
      </c>
      <c r="E378" s="79" t="str">
        <f>_xlfn.XLOOKUP(tblChecklist[[#This Row],[TargetID]],tblTargetStatus[TargetID],tblTargetStatus[ChainAwareStatus],"")</f>
        <v>BLOCKED</v>
      </c>
      <c r="G378" s="82" t="b">
        <v>0</v>
      </c>
      <c r="H378" s="79" t="str">
        <f>_xlfn.XLOOKUP(tblChecklist[[#This Row],[TargetID]],tblTargetStatus[TargetID],tblTargetStatus[TargetFunded],"")</f>
        <v>N/A</v>
      </c>
      <c r="I37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9" spans="1:9" ht="26.15" customHeight="1">
      <c r="A379" t="s">
        <v>6101</v>
      </c>
      <c r="B379" t="str">
        <f>_xlfn.XLOOKUP(tblChecklist[[#This Row],[TargetID]],tblTargets[TargetID],tblTargets[DisplayName])</f>
        <v>Discover the gate in 4C to F3</v>
      </c>
      <c r="C379" s="2" t="str">
        <f>_xlfn.XLOOKUP(
 tblChecklist[[#This Row],[TargetID]],
 tblTargetStatus[TargetID],
 tblTargetStatus[successors],
 ""
)</f>
        <v>Once Upon a Forest Chapter 4 Finished</v>
      </c>
      <c r="D379" s="79" t="str">
        <f>_xlfn.XLOOKUP(tblChecklist[[#This Row],[TargetID]],tblTargets[TargetID],tblTargets[TargetType],"")</f>
        <v>STATE</v>
      </c>
      <c r="E379" s="79" t="str">
        <f>_xlfn.XLOOKUP(tblChecklist[[#This Row],[TargetID]],tblTargetStatus[TargetID],tblTargetStatus[ChainAwareStatus],"")</f>
        <v>BLOCKED</v>
      </c>
      <c r="G379" s="82" t="b">
        <v>0</v>
      </c>
      <c r="H379" s="79" t="str">
        <f>_xlfn.XLOOKUP(tblChecklist[[#This Row],[TargetID]],tblTargetStatus[TargetID],tblTargetStatus[TargetFunded],"")</f>
        <v>N/A</v>
      </c>
      <c r="I37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0" spans="1:9" ht="26.15" customHeight="1">
      <c r="A380" t="s">
        <v>6102</v>
      </c>
      <c r="B380" t="str">
        <f>_xlfn.XLOOKUP(tblChecklist[[#This Row],[TargetID]],tblTargets[TargetID],tblTargets[DisplayName])</f>
        <v>Discover the gate in 5C to F4</v>
      </c>
      <c r="C380" s="2" t="str">
        <f>_xlfn.XLOOKUP(
 tblChecklist[[#This Row],[TargetID]],
 tblTargetStatus[TargetID],
 tblTargetStatus[successors],
 ""
)</f>
        <v>Once Upon a Forest Chapter 4 Finished</v>
      </c>
      <c r="D380" s="79" t="str">
        <f>_xlfn.XLOOKUP(tblChecklist[[#This Row],[TargetID]],tblTargets[TargetID],tblTargets[TargetType],"")</f>
        <v>STATE</v>
      </c>
      <c r="E380" s="79" t="str">
        <f>_xlfn.XLOOKUP(tblChecklist[[#This Row],[TargetID]],tblTargetStatus[TargetID],tblTargetStatus[ChainAwareStatus],"")</f>
        <v>BLOCKED</v>
      </c>
      <c r="G380" s="82" t="b">
        <v>0</v>
      </c>
      <c r="H380" s="79" t="str">
        <f>_xlfn.XLOOKUP(tblChecklist[[#This Row],[TargetID]],tblTargetStatus[TargetID],tblTargetStatus[TargetFunded],"")</f>
        <v>N/A</v>
      </c>
      <c r="I38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1" spans="1:9" ht="26.15" customHeight="1">
      <c r="A381" t="s">
        <v>5772</v>
      </c>
      <c r="B381" t="str">
        <f>_xlfn.XLOOKUP(tblChecklist[[#This Row],[TargetID]],tblTargets[TargetID],tblTargets[DisplayName])</f>
        <v>Find Goat in 6B</v>
      </c>
      <c r="C381" s="2" t="str">
        <f>_xlfn.XLOOKUP(
 tblChecklist[[#This Row],[TargetID]],
 tblTargetStatus[TargetID],
 tblTargetStatus[successors],
 ""
)</f>
        <v>The Ordinary Days of an Adventurer Chapter 1 Finished</v>
      </c>
      <c r="D381" s="79" t="str">
        <f>_xlfn.XLOOKUP(tblChecklist[[#This Row],[TargetID]],tblTargets[TargetID],tblTargets[TargetType],"")</f>
        <v>STATE</v>
      </c>
      <c r="E381" s="79" t="str">
        <f>_xlfn.XLOOKUP(tblChecklist[[#This Row],[TargetID]],tblTargetStatus[TargetID],tblTargetStatus[ChainAwareStatus],"")</f>
        <v>BLOCKED</v>
      </c>
      <c r="G381" s="82" t="b">
        <v>0</v>
      </c>
      <c r="H381" s="79" t="str">
        <f>_xlfn.XLOOKUP(tblChecklist[[#This Row],[TargetID]],tblTargetStatus[TargetID],tblTargetStatus[TargetFunded],"")</f>
        <v>N/A</v>
      </c>
      <c r="I38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2" spans="1:9" ht="26.15" customHeight="1">
      <c r="A382" t="s">
        <v>5690</v>
      </c>
      <c r="B382" t="str">
        <f>_xlfn.XLOOKUP(tblChecklist[[#This Row],[TargetID]],tblTargets[TargetID],tblTargets[DisplayName])</f>
        <v>Find Jade Gate in 2C</v>
      </c>
      <c r="C382" s="2" t="str">
        <f>_xlfn.XLOOKUP(
 tblChecklist[[#This Row],[TargetID]],
 tblTargetStatus[TargetID],
 tblTargetStatus[successors],
 ""
)</f>
        <v>Obtain Strawberry@F1 , Once Upon a Forest Chapter 1 Finished</v>
      </c>
      <c r="D382" s="79" t="str">
        <f>_xlfn.XLOOKUP(tblChecklist[[#This Row],[TargetID]],tblTargets[TargetID],tblTargets[TargetType],"")</f>
        <v>STATE</v>
      </c>
      <c r="E382" s="79" t="str">
        <f>_xlfn.XLOOKUP(tblChecklist[[#This Row],[TargetID]],tblTargetStatus[TargetID],tblTargetStatus[ChainAwareStatus],"")</f>
        <v>BLOCKED</v>
      </c>
      <c r="G382" s="82" t="b">
        <v>0</v>
      </c>
      <c r="H382" s="79" t="str">
        <f>_xlfn.XLOOKUP(tblChecklist[[#This Row],[TargetID]],tblTargetStatus[TargetID],tblTargetStatus[TargetFunded],"")</f>
        <v>N/A</v>
      </c>
      <c r="I38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3" spans="1:9" ht="26.15" customHeight="1">
      <c r="A383" t="s">
        <v>5758</v>
      </c>
      <c r="B383" t="str">
        <f>_xlfn.XLOOKUP(tblChecklist[[#This Row],[TargetID]],tblTargets[TargetID],tblTargets[DisplayName])</f>
        <v>Meet Alchemist in 6D</v>
      </c>
      <c r="C383" s="2" t="str">
        <f>_xlfn.XLOOKUP(
 tblChecklist[[#This Row],[TargetID]],
 tblTargetStatus[TargetID],
 tblTargetStatus[successors],
 ""
)</f>
        <v>Ahead of Time Chapter 3 Finished</v>
      </c>
      <c r="D383" s="79" t="str">
        <f>_xlfn.XLOOKUP(tblChecklist[[#This Row],[TargetID]],tblTargets[TargetID],tblTargets[TargetType],"")</f>
        <v>STATE</v>
      </c>
      <c r="E383" s="79" t="str">
        <f>_xlfn.XLOOKUP(tblChecklist[[#This Row],[TargetID]],tblTargetStatus[TargetID],tblTargetStatus[ChainAwareStatus],"")</f>
        <v>BLOCKED</v>
      </c>
      <c r="G383" s="82" t="b">
        <v>0</v>
      </c>
      <c r="H383" s="79" t="str">
        <f>_xlfn.XLOOKUP(tblChecklist[[#This Row],[TargetID]],tblTargetStatus[TargetID],tblTargetStatus[TargetFunded],"")</f>
        <v>N/A</v>
      </c>
      <c r="I38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4" spans="1:9" ht="26.15" customHeight="1">
      <c r="A384" t="s">
        <v>3504</v>
      </c>
      <c r="B384" t="str">
        <f>_xlfn.XLOOKUP(tblChecklist[[#This Row],[TargetID]],tblTargets[TargetID],tblTargets[DisplayName])</f>
        <v>Meet Dark Lady@4A</v>
      </c>
      <c r="C384" s="2" t="str">
        <f>_xlfn.XLOOKUP(
 tblChecklist[[#This Row],[TargetID]],
 tblTargetStatus[TargetID],
 tblTargetStatus[successors],
 ""
)</f>
        <v>The Ring of the Dark Lady Accepted</v>
      </c>
      <c r="D384" s="79" t="str">
        <f>_xlfn.XLOOKUP(tblChecklist[[#This Row],[TargetID]],tblTargets[TargetID],tblTargets[TargetType],"")</f>
        <v>STATE</v>
      </c>
      <c r="E384" s="79" t="str">
        <f>_xlfn.XLOOKUP(tblChecklist[[#This Row],[TargetID]],tblTargetStatus[TargetID],tblTargetStatus[ChainAwareStatus],"")</f>
        <v>BLOCKED</v>
      </c>
      <c r="G384" s="82" t="b">
        <v>0</v>
      </c>
      <c r="H384" s="79" t="str">
        <f>_xlfn.XLOOKUP(tblChecklist[[#This Row],[TargetID]],tblTargetStatus[TargetID],tblTargetStatus[TargetFunded],"")</f>
        <v>N/A</v>
      </c>
      <c r="I38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5" spans="1:9" ht="26.15" customHeight="1">
      <c r="A385" t="s">
        <v>3494</v>
      </c>
      <c r="B385" t="str">
        <f>_xlfn.XLOOKUP(tblChecklist[[#This Row],[TargetID]],tblTargets[TargetID],tblTargets[DisplayName])</f>
        <v>Meet Dark Lady@6A</v>
      </c>
      <c r="C385" s="2" t="str">
        <f>_xlfn.XLOOKUP(
 tblChecklist[[#This Row],[TargetID]],
 tblTargetStatus[TargetID],
 tblTargetStatus[successors],
 ""
)</f>
        <v>The Ordinary Days of an Adventurer Chapter 3 Accepted</v>
      </c>
      <c r="D385" s="79" t="str">
        <f>_xlfn.XLOOKUP(tblChecklist[[#This Row],[TargetID]],tblTargets[TargetID],tblTargets[TargetType],"")</f>
        <v>STATE</v>
      </c>
      <c r="E385" s="79" t="str">
        <f>_xlfn.XLOOKUP(tblChecklist[[#This Row],[TargetID]],tblTargetStatus[TargetID],tblTargetStatus[ChainAwareStatus],"")</f>
        <v>BLOCKED</v>
      </c>
      <c r="G385" s="82" t="b">
        <v>0</v>
      </c>
      <c r="H385" s="79" t="str">
        <f>_xlfn.XLOOKUP(tblChecklist[[#This Row],[TargetID]],tblTargetStatus[TargetID],tblTargetStatus[TargetFunded],"")</f>
        <v>N/A</v>
      </c>
      <c r="I38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6" spans="1:9" ht="26.15" customHeight="1">
      <c r="A386" t="s">
        <v>3497</v>
      </c>
      <c r="B386" t="str">
        <f>_xlfn.XLOOKUP(tblChecklist[[#This Row],[TargetID]],tblTargets[TargetID],tblTargets[DisplayName])</f>
        <v>Meet Dark Lady@6B</v>
      </c>
      <c r="C386" s="2" t="str">
        <f>_xlfn.XLOOKUP(
 tblChecklist[[#This Row],[TargetID]],
 tblTargetStatus[TargetID],
 tblTargetStatus[successors],
 ""
)</f>
        <v>The Ordinary Days of an Adventurer Chapter 4 Accepted</v>
      </c>
      <c r="D386" s="79" t="str">
        <f>_xlfn.XLOOKUP(tblChecklist[[#This Row],[TargetID]],tblTargets[TargetID],tblTargets[TargetType],"")</f>
        <v>STATE</v>
      </c>
      <c r="E386" s="79" t="str">
        <f>_xlfn.XLOOKUP(tblChecklist[[#This Row],[TargetID]],tblTargetStatus[TargetID],tblTargetStatus[ChainAwareStatus],"")</f>
        <v>BLOCKED</v>
      </c>
      <c r="G386" s="82" t="b">
        <v>0</v>
      </c>
      <c r="H386" s="79" t="str">
        <f>_xlfn.XLOOKUP(tblChecklist[[#This Row],[TargetID]],tblTargetStatus[TargetID],tblTargetStatus[TargetFunded],"")</f>
        <v>N/A</v>
      </c>
      <c r="I38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7" spans="1:9" ht="26.15" customHeight="1">
      <c r="A387" t="s">
        <v>3460</v>
      </c>
      <c r="B387" t="str">
        <f>_xlfn.XLOOKUP(tblChecklist[[#This Row],[TargetID]],tblTargets[TargetID],tblTargets[DisplayName])</f>
        <v>Meet Dark Lady@F2</v>
      </c>
      <c r="C387" s="2" t="str">
        <f>_xlfn.XLOOKUP(
 tblChecklist[[#This Row],[TargetID]],
 tblTargetStatus[TargetID],
 tblTargetStatus[successors],
 ""
)</f>
        <v>Once Upon a Forest Chapter 7 Accepted</v>
      </c>
      <c r="D387" s="79" t="str">
        <f>_xlfn.XLOOKUP(tblChecklist[[#This Row],[TargetID]],tblTargets[TargetID],tblTargets[TargetType],"")</f>
        <v>STATE</v>
      </c>
      <c r="E387" s="79" t="str">
        <f>_xlfn.XLOOKUP(tblChecklist[[#This Row],[TargetID]],tblTargetStatus[TargetID],tblTargetStatus[ChainAwareStatus],"")</f>
        <v>BLOCKED</v>
      </c>
      <c r="G387" s="82" t="b">
        <v>0</v>
      </c>
      <c r="H387" s="79" t="str">
        <f>_xlfn.XLOOKUP(tblChecklist[[#This Row],[TargetID]],tblTargetStatus[TargetID],tblTargetStatus[TargetFunded],"")</f>
        <v>N/A</v>
      </c>
      <c r="I38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8" spans="1:9" ht="26.15" customHeight="1">
      <c r="A388" t="s">
        <v>5759</v>
      </c>
      <c r="B388" t="str">
        <f>_xlfn.XLOOKUP(tblChecklist[[#This Row],[TargetID]],tblTargets[TargetID],tblTargets[DisplayName])</f>
        <v>Meet Dark Lady in 6D</v>
      </c>
      <c r="C388" s="2" t="str">
        <f>_xlfn.XLOOKUP(
 tblChecklist[[#This Row],[TargetID]],
 tblTargetStatus[TargetID],
 tblTargetStatus[successors],
 ""
)</f>
        <v>Ahead of Time Chapter 3 Finished</v>
      </c>
      <c r="D388" s="79" t="str">
        <f>_xlfn.XLOOKUP(tblChecklist[[#This Row],[TargetID]],tblTargets[TargetID],tblTargets[TargetType],"")</f>
        <v>STATE</v>
      </c>
      <c r="E388" s="79" t="str">
        <f>_xlfn.XLOOKUP(tblChecklist[[#This Row],[TargetID]],tblTargetStatus[TargetID],tblTargetStatus[ChainAwareStatus],"")</f>
        <v>BLOCKED</v>
      </c>
      <c r="G388" s="82" t="b">
        <v>0</v>
      </c>
      <c r="H388" s="79" t="str">
        <f>_xlfn.XLOOKUP(tblChecklist[[#This Row],[TargetID]],tblTargetStatus[TargetID],tblTargetStatus[TargetFunded],"")</f>
        <v>N/A</v>
      </c>
      <c r="I38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9" spans="1:9" ht="26.15" customHeight="1">
      <c r="A389" t="s">
        <v>3438</v>
      </c>
      <c r="B389" t="str">
        <f>_xlfn.XLOOKUP(tblChecklist[[#This Row],[TargetID]],tblTargets[TargetID],tblTargets[DisplayName])</f>
        <v>Meet Fat Demon@4A</v>
      </c>
      <c r="C389" s="2" t="str">
        <f>_xlfn.XLOOKUP(
 tblChecklist[[#This Row],[TargetID]],
 tblTargetStatus[TargetID],
 tblTargetStatus[successors],
 ""
)</f>
        <v>Culinary Battle Accepted</v>
      </c>
      <c r="D389" s="79" t="str">
        <f>_xlfn.XLOOKUP(tblChecklist[[#This Row],[TargetID]],tblTargets[TargetID],tblTargets[TargetType],"")</f>
        <v>STATE</v>
      </c>
      <c r="E389" s="79" t="str">
        <f>_xlfn.XLOOKUP(tblChecklist[[#This Row],[TargetID]],tblTargetStatus[TargetID],tblTargetStatus[ChainAwareStatus],"")</f>
        <v>BLOCKED</v>
      </c>
      <c r="G389" s="82" t="b">
        <v>0</v>
      </c>
      <c r="H389" s="79" t="str">
        <f>_xlfn.XLOOKUP(tblChecklist[[#This Row],[TargetID]],tblTargetStatus[TargetID],tblTargetStatus[TargetFunded],"")</f>
        <v>N/A</v>
      </c>
      <c r="I38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0" spans="1:9" ht="26.15" customHeight="1">
      <c r="A390" t="s">
        <v>3474</v>
      </c>
      <c r="B390" t="str">
        <f>_xlfn.XLOOKUP(tblChecklist[[#This Row],[TargetID]],tblTargets[TargetID],tblTargets[DisplayName])</f>
        <v>Meet Foodie Demon@F2</v>
      </c>
      <c r="C390" s="2" t="str">
        <f>_xlfn.XLOOKUP(
 tblChecklist[[#This Row],[TargetID]],
 tblTargetStatus[TargetID],
 tblTargetStatus[successors],
 ""
)</f>
        <v>Once Upon a Forest Chapter 13 Accepted, Once Upon a Forest Chapter 12 Finished</v>
      </c>
      <c r="D390" s="79" t="str">
        <f>_xlfn.XLOOKUP(tblChecklist[[#This Row],[TargetID]],tblTargets[TargetID],tblTargets[TargetType],"")</f>
        <v>STATE</v>
      </c>
      <c r="E390" s="79" t="str">
        <f>_xlfn.XLOOKUP(tblChecklist[[#This Row],[TargetID]],tblTargetStatus[TargetID],tblTargetStatus[ChainAwareStatus],"")</f>
        <v>BLOCKED</v>
      </c>
      <c r="G390" s="82" t="b">
        <v>0</v>
      </c>
      <c r="H390" s="79" t="str">
        <f>_xlfn.XLOOKUP(tblChecklist[[#This Row],[TargetID]],tblTargetStatus[TargetID],tblTargetStatus[TargetFunded],"")</f>
        <v>N/A</v>
      </c>
      <c r="I39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1" spans="1:9" ht="26.15" customHeight="1">
      <c r="A391" t="s">
        <v>6039</v>
      </c>
      <c r="B391" t="str">
        <f>_xlfn.XLOOKUP(tblChecklist[[#This Row],[TargetID]],tblTargets[TargetID],tblTargets[DisplayName])</f>
        <v>Meet Forest Fairy@F2</v>
      </c>
      <c r="C391" s="2" t="str">
        <f>_xlfn.XLOOKUP(
 tblChecklist[[#This Row],[TargetID]],
 tblTargetStatus[TargetID],
 tblTargetStatus[successors],
 ""
)</f>
        <v>Once Upon a Forest Chapter 6 Accepted</v>
      </c>
      <c r="D391" s="79" t="str">
        <f>_xlfn.XLOOKUP(tblChecklist[[#This Row],[TargetID]],tblTargets[TargetID],tblTargets[TargetType],"")</f>
        <v>STATE</v>
      </c>
      <c r="E391" s="79" t="str">
        <f>_xlfn.XLOOKUP(tblChecklist[[#This Row],[TargetID]],tblTargetStatus[TargetID],tblTargetStatus[ChainAwareStatus],"")</f>
        <v>BLOCKED</v>
      </c>
      <c r="G391" s="82" t="b">
        <v>0</v>
      </c>
      <c r="H391" s="79" t="str">
        <f>_xlfn.XLOOKUP(tblChecklist[[#This Row],[TargetID]],tblTargetStatus[TargetID],tblTargetStatus[TargetFunded],"")</f>
        <v>N/A</v>
      </c>
      <c r="I39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2" spans="1:9" ht="26.15" customHeight="1">
      <c r="A392" t="s">
        <v>6105</v>
      </c>
      <c r="B392" t="str">
        <f>_xlfn.XLOOKUP(tblChecklist[[#This Row],[TargetID]],tblTargets[TargetID],tblTargets[DisplayName])</f>
        <v>Visit Dungeon@F1</v>
      </c>
      <c r="C392" s="2" t="str">
        <f>_xlfn.XLOOKUP(
 tblChecklist[[#This Row],[TargetID]],
 tblTargetStatus[TargetID],
 tblTargetStatus[successors],
 ""
)</f>
        <v>Once Upon a Forest Chapter 10 Accepted</v>
      </c>
      <c r="D392" s="79" t="str">
        <f>_xlfn.XLOOKUP(tblChecklist[[#This Row],[TargetID]],tblTargets[TargetID],tblTargets[TargetType],"")</f>
        <v>STATE</v>
      </c>
      <c r="E392" s="79" t="str">
        <f>_xlfn.XLOOKUP(tblChecklist[[#This Row],[TargetID]],tblTargetStatus[TargetID],tblTargetStatus[ChainAwareStatus],"")</f>
        <v>BLOCKED</v>
      </c>
      <c r="G392" s="82" t="b">
        <v>0</v>
      </c>
      <c r="H392" s="79" t="str">
        <f>_xlfn.XLOOKUP(tblChecklist[[#This Row],[TargetID]],tblTargetStatus[TargetID],tblTargetStatus[TargetFunded],"")</f>
        <v>N/A</v>
      </c>
      <c r="I39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3" spans="1:9" ht="26.15" customHeight="1">
      <c r="A393" t="s">
        <v>3453</v>
      </c>
      <c r="B393" t="str">
        <f>_xlfn.XLOOKUP(tblChecklist[[#This Row],[TargetID]],tblTargets[TargetID],tblTargets[DisplayName])</f>
        <v>Meet Inventor@5B</v>
      </c>
      <c r="C393" s="2" t="str">
        <f>_xlfn.XLOOKUP(
 tblChecklist[[#This Row],[TargetID]],
 tblTargetStatus[TargetID],
 tblTargetStatus[successors],
 ""
)</f>
        <v>Once Upon a Forest Chapter 9 Accepted</v>
      </c>
      <c r="D393" s="79" t="str">
        <f>_xlfn.XLOOKUP(tblChecklist[[#This Row],[TargetID]],tblTargets[TargetID],tblTargets[TargetType],"")</f>
        <v>STATE</v>
      </c>
      <c r="E393" s="79" t="str">
        <f>_xlfn.XLOOKUP(tblChecklist[[#This Row],[TargetID]],tblTargetStatus[TargetID],tblTargetStatus[ChainAwareStatus],"")</f>
        <v>BLOCKED</v>
      </c>
      <c r="G393" s="82" t="b">
        <v>0</v>
      </c>
      <c r="H393" s="79" t="str">
        <f>_xlfn.XLOOKUP(tblChecklist[[#This Row],[TargetID]],tblTargetStatus[TargetID],tblTargetStatus[TargetFunded],"")</f>
        <v>N/A</v>
      </c>
      <c r="I39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4" spans="1:9" ht="26.15" customHeight="1">
      <c r="A394" t="s">
        <v>3448</v>
      </c>
      <c r="B394" t="str">
        <f>_xlfn.XLOOKUP(tblChecklist[[#This Row],[TargetID]],tblTargets[TargetID],tblTargets[DisplayName])</f>
        <v>Meet Mech Adventurer@2B</v>
      </c>
      <c r="C394" s="2" t="str">
        <f>_xlfn.XLOOKUP(
 tblChecklist[[#This Row],[TargetID]],
 tblTargetStatus[TargetID],
 tblTargetStatus[successors],
 ""
)</f>
        <v>Once Upon a Forest Chapter 1 Accepted</v>
      </c>
      <c r="D394" s="79" t="str">
        <f>_xlfn.XLOOKUP(tblChecklist[[#This Row],[TargetID]],tblTargets[TargetID],tblTargets[TargetType],"")</f>
        <v>STATE</v>
      </c>
      <c r="E394" s="79" t="str">
        <f>_xlfn.XLOOKUP(tblChecklist[[#This Row],[TargetID]],tblTargetStatus[TargetID],tblTargetStatus[ChainAwareStatus],"")</f>
        <v>BLOCKED</v>
      </c>
      <c r="G394" s="82" t="b">
        <v>0</v>
      </c>
      <c r="H394" s="79" t="str">
        <f>_xlfn.XLOOKUP(tblChecklist[[#This Row],[TargetID]],tblTargetStatus[TargetID],tblTargetStatus[TargetFunded],"")</f>
        <v>N/A</v>
      </c>
      <c r="I39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5" spans="1:9" ht="26.15" customHeight="1">
      <c r="A395" t="s">
        <v>5755</v>
      </c>
      <c r="B395" t="str">
        <f>_xlfn.XLOOKUP(tblChecklist[[#This Row],[TargetID]],tblTargets[TargetID],tblTargets[DisplayName])</f>
        <v>Meet mechanical adventurer in Dungeon 3A</v>
      </c>
      <c r="C395" s="2" t="str">
        <f>_xlfn.XLOOKUP(
 tblChecklist[[#This Row],[TargetID]],
 tblTargetStatus[TargetID],
 tblTargetStatus[successors],
 ""
)</f>
        <v>Ahead of Time Chapter 1 Accepted</v>
      </c>
      <c r="D395" s="79" t="str">
        <f>_xlfn.XLOOKUP(tblChecklist[[#This Row],[TargetID]],tblTargets[TargetID],tblTargets[TargetType],"")</f>
        <v>STATE</v>
      </c>
      <c r="E395" s="79" t="str">
        <f>_xlfn.XLOOKUP(tblChecklist[[#This Row],[TargetID]],tblTargetStatus[TargetID],tblTargetStatus[ChainAwareStatus],"")</f>
        <v>BLOCKED</v>
      </c>
      <c r="G395" s="82" t="b">
        <v>0</v>
      </c>
      <c r="H395" s="79" t="str">
        <f>_xlfn.XLOOKUP(tblChecklist[[#This Row],[TargetID]],tblTargetStatus[TargetID],tblTargetStatus[TargetFunded],"")</f>
        <v>N/A</v>
      </c>
      <c r="I39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6" spans="1:9" ht="26.15" customHeight="1">
      <c r="A396" t="s">
        <v>5692</v>
      </c>
      <c r="B396" t="str">
        <f>_xlfn.XLOOKUP(tblChecklist[[#This Row],[TargetID]],tblTargets[TargetID],tblTargets[DisplayName])</f>
        <v>Meet mechanical adventurer in Dungeon F1</v>
      </c>
      <c r="C396" s="2" t="str">
        <f>_xlfn.XLOOKUP(
 tblChecklist[[#This Row],[TargetID]],
 tblTargetStatus[TargetID],
 tblTargetStatus[successors],
 ""
)</f>
        <v>Once Upon a Forest Chapter 3 Accepted</v>
      </c>
      <c r="D396" s="79" t="str">
        <f>_xlfn.XLOOKUP(tblChecklist[[#This Row],[TargetID]],tblTargets[TargetID],tblTargets[TargetType],"")</f>
        <v>STATE</v>
      </c>
      <c r="E396" s="79" t="str">
        <f>_xlfn.XLOOKUP(tblChecklist[[#This Row],[TargetID]],tblTargetStatus[TargetID],tblTargetStatus[ChainAwareStatus],"")</f>
        <v>BLOCKED</v>
      </c>
      <c r="G396" s="82" t="b">
        <v>0</v>
      </c>
      <c r="H396" s="79" t="str">
        <f>_xlfn.XLOOKUP(tblChecklist[[#This Row],[TargetID]],tblTargetStatus[TargetID],tblTargetStatus[TargetFunded],"")</f>
        <v>N/A</v>
      </c>
      <c r="I39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7" spans="1:9" ht="26.15" customHeight="1">
      <c r="A397" t="s">
        <v>3489</v>
      </c>
      <c r="B397" t="str">
        <f>_xlfn.XLOOKUP(tblChecklist[[#This Row],[TargetID]],tblTargets[TargetID],tblTargets[DisplayName])</f>
        <v>Meet Methusalem@F3</v>
      </c>
      <c r="C397" s="2" t="str">
        <f>_xlfn.XLOOKUP(
 tblChecklist[[#This Row],[TargetID]],
 tblTargetStatus[TargetID],
 tblTargetStatus[successors],
 ""
)</f>
        <v>The Ordinary Days of an Adventurer Chapter 1 Accepted</v>
      </c>
      <c r="D397" s="79" t="str">
        <f>_xlfn.XLOOKUP(tblChecklist[[#This Row],[TargetID]],tblTargets[TargetID],tblTargets[TargetType],"")</f>
        <v>STATE</v>
      </c>
      <c r="E397" s="79" t="str">
        <f>_xlfn.XLOOKUP(tblChecklist[[#This Row],[TargetID]],tblTargetStatus[TargetID],tblTargetStatus[ChainAwareStatus],"")</f>
        <v>BLOCKED</v>
      </c>
      <c r="G397" s="82" t="b">
        <v>0</v>
      </c>
      <c r="H397" s="79" t="str">
        <f>_xlfn.XLOOKUP(tblChecklist[[#This Row],[TargetID]],tblTargetStatus[TargetID],tblTargetStatus[TargetFunded],"")</f>
        <v>N/A</v>
      </c>
      <c r="I39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8" spans="1:9" ht="26.15" customHeight="1">
      <c r="A398" t="s">
        <v>3471</v>
      </c>
      <c r="B398" t="str">
        <f>_xlfn.XLOOKUP(tblChecklist[[#This Row],[TargetID]],tblTargets[TargetID],tblTargets[DisplayName])</f>
        <v>Meet Mr Diligence@F1</v>
      </c>
      <c r="C398" s="2" t="str">
        <f>_xlfn.XLOOKUP(
 tblChecklist[[#This Row],[TargetID]],
 tblTargetStatus[TargetID],
 tblTargetStatus[successors],
 ""
)</f>
        <v>Once Upon a Forest Chapter 12 Accepted</v>
      </c>
      <c r="D398" s="79" t="str">
        <f>_xlfn.XLOOKUP(tblChecklist[[#This Row],[TargetID]],tblTargets[TargetID],tblTargets[TargetType],"")</f>
        <v>STATE</v>
      </c>
      <c r="E398" s="79" t="str">
        <f>_xlfn.XLOOKUP(tblChecklist[[#This Row],[TargetID]],tblTargetStatus[TargetID],tblTargetStatus[ChainAwareStatus],"")</f>
        <v>BLOCKED</v>
      </c>
      <c r="G398" s="82" t="b">
        <v>0</v>
      </c>
      <c r="H398" s="79" t="str">
        <f>_xlfn.XLOOKUP(tblChecklist[[#This Row],[TargetID]],tblTargetStatus[TargetID],tblTargetStatus[TargetFunded],"")</f>
        <v>N/A</v>
      </c>
      <c r="I39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9" spans="1:9" ht="26.15" customHeight="1">
      <c r="A399" t="s">
        <v>3456</v>
      </c>
      <c r="B399" t="str">
        <f>_xlfn.XLOOKUP(tblChecklist[[#This Row],[TargetID]],tblTargets[TargetID],tblTargets[DisplayName])</f>
        <v>Meet Mrs Diligance@F2</v>
      </c>
      <c r="C399" s="2" t="str">
        <f>_xlfn.XLOOKUP(
 tblChecklist[[#This Row],[TargetID]],
 tblTargetStatus[TargetID],
 tblTargetStatus[successors],
 ""
)</f>
        <v>Once Upon a Forest Chapter 5 Accepted</v>
      </c>
      <c r="D399" s="79" t="str">
        <f>_xlfn.XLOOKUP(tblChecklist[[#This Row],[TargetID]],tblTargets[TargetID],tblTargets[TargetType],"")</f>
        <v>STATE</v>
      </c>
      <c r="E399" s="79" t="str">
        <f>_xlfn.XLOOKUP(tblChecklist[[#This Row],[TargetID]],tblTargetStatus[TargetID],tblTargetStatus[ChainAwareStatus],"")</f>
        <v>BLOCKED</v>
      </c>
      <c r="G399" s="82" t="b">
        <v>0</v>
      </c>
      <c r="H399" s="79" t="str">
        <f>_xlfn.XLOOKUP(tblChecklist[[#This Row],[TargetID]],tblTargetStatus[TargetID],tblTargetStatus[TargetFunded],"")</f>
        <v>N/A</v>
      </c>
      <c r="I39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0" spans="1:9" ht="26.15" customHeight="1">
      <c r="A400" t="s">
        <v>3440</v>
      </c>
      <c r="B400" t="str">
        <f>_xlfn.XLOOKUP(tblChecklist[[#This Row],[TargetID]],tblTargets[TargetID],tblTargets[DisplayName])</f>
        <v>Meet Old Man@4C</v>
      </c>
      <c r="C400" s="2" t="str">
        <f>_xlfn.XLOOKUP(
 tblChecklist[[#This Row],[TargetID]],
 tblTargetStatus[TargetID],
 tblTargetStatus[successors],
 ""
)</f>
        <v>Dragon teeth Accepted</v>
      </c>
      <c r="D400" s="79" t="str">
        <f>_xlfn.XLOOKUP(tblChecklist[[#This Row],[TargetID]],tblTargets[TargetID],tblTargets[TargetType],"")</f>
        <v>STATE</v>
      </c>
      <c r="E400" s="79" t="str">
        <f>_xlfn.XLOOKUP(tblChecklist[[#This Row],[TargetID]],tblTargetStatus[TargetID],tblTargetStatus[ChainAwareStatus],"")</f>
        <v>BLOCKED</v>
      </c>
      <c r="G400" s="82" t="b">
        <v>0</v>
      </c>
      <c r="H400" s="79" t="str">
        <f>_xlfn.XLOOKUP(tblChecklist[[#This Row],[TargetID]],tblTargetStatus[TargetID],tblTargetStatus[TargetFunded],"")</f>
        <v>N/A</v>
      </c>
      <c r="I40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1" spans="1:9" ht="26.15" customHeight="1">
      <c r="A401" t="s">
        <v>3468</v>
      </c>
      <c r="B401" t="str">
        <f>_xlfn.XLOOKUP(tblChecklist[[#This Row],[TargetID]],tblTargets[TargetID],tblTargets[DisplayName])</f>
        <v>Meet Pilot@F3</v>
      </c>
      <c r="C401" s="2" t="str">
        <f>_xlfn.XLOOKUP(
 tblChecklist[[#This Row],[TargetID]],
 tblTargetStatus[TargetID],
 tblTargetStatus[successors],
 ""
)</f>
        <v>Once Upon a Forest Chapter 11 Accepted</v>
      </c>
      <c r="D401" s="79" t="str">
        <f>_xlfn.XLOOKUP(tblChecklist[[#This Row],[TargetID]],tblTargets[TargetID],tblTargets[TargetType],"")</f>
        <v>STATE</v>
      </c>
      <c r="E401" s="79" t="str">
        <f>_xlfn.XLOOKUP(tblChecklist[[#This Row],[TargetID]],tblTargetStatus[TargetID],tblTargetStatus[ChainAwareStatus],"")</f>
        <v>BLOCKED</v>
      </c>
      <c r="G401" s="82" t="b">
        <v>0</v>
      </c>
      <c r="H401" s="79" t="str">
        <f>_xlfn.XLOOKUP(tblChecklist[[#This Row],[TargetID]],tblTargetStatus[TargetID],tblTargetStatus[TargetFunded],"")</f>
        <v>N/A</v>
      </c>
      <c r="I40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2" spans="1:9" ht="26.15" customHeight="1">
      <c r="A402" t="s">
        <v>3508</v>
      </c>
      <c r="B402" t="str">
        <f>_xlfn.XLOOKUP(tblChecklist[[#This Row],[TargetID]],tblTargets[TargetID],tblTargets[DisplayName])</f>
        <v>Meet Pirate Skeleton@3A</v>
      </c>
      <c r="C402" s="2" t="str">
        <f>_xlfn.XLOOKUP(
 tblChecklist[[#This Row],[TargetID]],
 tblTargetStatus[TargetID],
 tblTargetStatus[successors],
 ""
)</f>
        <v>Treasure Island Accepted</v>
      </c>
      <c r="D402" s="79" t="str">
        <f>_xlfn.XLOOKUP(tblChecklist[[#This Row],[TargetID]],tblTargets[TargetID],tblTargets[TargetType],"")</f>
        <v>STATE</v>
      </c>
      <c r="E402" s="79" t="str">
        <f>_xlfn.XLOOKUP(tblChecklist[[#This Row],[TargetID]],tblTargetStatus[TargetID],tblTargetStatus[ChainAwareStatus],"")</f>
        <v>BLOCKED</v>
      </c>
      <c r="G402" s="82" t="b">
        <v>0</v>
      </c>
      <c r="H402" s="79" t="str">
        <f>_xlfn.XLOOKUP(tblChecklist[[#This Row],[TargetID]],tblTargetStatus[TargetID],tblTargetStatus[TargetFunded],"")</f>
        <v>N/A</v>
      </c>
      <c r="I40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3" spans="1:9" ht="26.15" customHeight="1">
      <c r="A403" t="s">
        <v>6040</v>
      </c>
      <c r="B403" t="str">
        <f>_xlfn.XLOOKUP(tblChecklist[[#This Row],[TargetID]],tblTargets[TargetID],tblTargets[DisplayName])</f>
        <v>Meet Raven @F1 on first entrance</v>
      </c>
      <c r="C403" s="2" t="str">
        <f>_xlfn.XLOOKUP(
 tblChecklist[[#This Row],[TargetID]],
 tblTargetStatus[TargetID],
 tblTargetStatus[successors],
 ""
)</f>
        <v>Once Upon a Forest Chapter 2 Accepted</v>
      </c>
      <c r="D403" s="79" t="str">
        <f>_xlfn.XLOOKUP(tblChecklist[[#This Row],[TargetID]],tblTargets[TargetID],tblTargets[TargetType],"")</f>
        <v>STATE</v>
      </c>
      <c r="E403" s="79" t="str">
        <f>_xlfn.XLOOKUP(tblChecklist[[#This Row],[TargetID]],tblTargetStatus[TargetID],tblTargetStatus[ChainAwareStatus],"")</f>
        <v>BLOCKED</v>
      </c>
      <c r="G403" s="82" t="b">
        <v>0</v>
      </c>
      <c r="H403" s="79" t="str">
        <f>_xlfn.XLOOKUP(tblChecklist[[#This Row],[TargetID]],tblTargetStatus[TargetID],tblTargetStatus[TargetFunded],"")</f>
        <v>N/A</v>
      </c>
      <c r="I40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4" spans="1:9" ht="26.15" customHeight="1">
      <c r="A404" t="s">
        <v>6103</v>
      </c>
      <c r="B404" t="str">
        <f>_xlfn.XLOOKUP(tblChecklist[[#This Row],[TargetID]],tblTargets[TargetID],tblTargets[DisplayName])</f>
        <v>Repeat Visit Dungeon@ F1</v>
      </c>
      <c r="C404" s="2" t="str">
        <f>_xlfn.XLOOKUP(
 tblChecklist[[#This Row],[TargetID]],
 tblTargetStatus[TargetID],
 tblTargetStatus[successors],
 ""
)</f>
        <v>Once Upon a Forest Chapter 4 Accepted</v>
      </c>
      <c r="D404" s="79" t="str">
        <f>_xlfn.XLOOKUP(tblChecklist[[#This Row],[TargetID]],tblTargets[TargetID],tblTargets[TargetType],"")</f>
        <v>STATE</v>
      </c>
      <c r="E404" s="79" t="str">
        <f>_xlfn.XLOOKUP(tblChecklist[[#This Row],[TargetID]],tblTargetStatus[TargetID],tblTargetStatus[ChainAwareStatus],"")</f>
        <v>BLOCKED</v>
      </c>
      <c r="G404" s="82" t="b">
        <v>0</v>
      </c>
      <c r="H404" s="79" t="str">
        <f>_xlfn.XLOOKUP(tblChecklist[[#This Row],[TargetID]],tblTargetStatus[TargetID],tblTargetStatus[TargetFunded],"")</f>
        <v>N/A</v>
      </c>
      <c r="I40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5" spans="1:9" ht="26.15" customHeight="1">
      <c r="A405" t="s">
        <v>6104</v>
      </c>
      <c r="B405" t="str">
        <f>_xlfn.XLOOKUP(tblChecklist[[#This Row],[TargetID]],tblTargets[TargetID],tblTargets[DisplayName])</f>
        <v>Meet Raven@F1</v>
      </c>
      <c r="C405" s="2" t="str">
        <f>_xlfn.XLOOKUP(
 tblChecklist[[#This Row],[TargetID]],
 tblTargetStatus[TargetID],
 tblTargetStatus[successors],
 ""
)</f>
        <v>Once Upon a Forest Chapter 15 Accepted</v>
      </c>
      <c r="D405" s="79" t="str">
        <f>_xlfn.XLOOKUP(tblChecklist[[#This Row],[TargetID]],tblTargets[TargetID],tblTargets[TargetType],"")</f>
        <v>STATE</v>
      </c>
      <c r="E405" s="79" t="str">
        <f>_xlfn.XLOOKUP(tblChecklist[[#This Row],[TargetID]],tblTargetStatus[TargetID],tblTargetStatus[ChainAwareStatus],"")</f>
        <v>BLOCKED</v>
      </c>
      <c r="G405" s="82" t="b">
        <v>0</v>
      </c>
      <c r="H405" s="79" t="str">
        <f>_xlfn.XLOOKUP(tblChecklist[[#This Row],[TargetID]],tblTargetStatus[TargetID],tblTargetStatus[TargetFunded],"")</f>
        <v>N/A</v>
      </c>
      <c r="I40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6" spans="1:9" ht="26.15" customHeight="1">
      <c r="A406" t="s">
        <v>5920</v>
      </c>
      <c r="B406" t="str">
        <f>_xlfn.XLOOKUP(tblChecklist[[#This Row],[TargetID]],tblTargets[TargetID],tblTargets[DisplayName])</f>
        <v>Meet the raven in F2</v>
      </c>
      <c r="C406" s="2" t="str">
        <f>_xlfn.XLOOKUP(
 tblChecklist[[#This Row],[TargetID]],
 tblTargetStatus[TargetID],
 tblTargetStatus[successors],
 ""
)</f>
        <v>Once Upon a Forest Chapter 15 Finished</v>
      </c>
      <c r="D406" s="79" t="str">
        <f>_xlfn.XLOOKUP(tblChecklist[[#This Row],[TargetID]],tblTargets[TargetID],tblTargets[TargetType],"")</f>
        <v>STATE</v>
      </c>
      <c r="E406" s="79" t="str">
        <f>_xlfn.XLOOKUP(tblChecklist[[#This Row],[TargetID]],tblTargetStatus[TargetID],tblTargetStatus[ChainAwareStatus],"")</f>
        <v>BLOCKED</v>
      </c>
      <c r="G406" s="82" t="b">
        <v>0</v>
      </c>
      <c r="H406" s="79" t="str">
        <f>_xlfn.XLOOKUP(tblChecklist[[#This Row],[TargetID]],tblTargetStatus[TargetID],tblTargetStatus[TargetFunded],"")</f>
        <v>N/A</v>
      </c>
      <c r="I40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7" spans="1:9" ht="26.15" customHeight="1">
      <c r="A407" t="s">
        <v>3463</v>
      </c>
      <c r="B407" t="str">
        <f>_xlfn.XLOOKUP(tblChecklist[[#This Row],[TargetID]],tblTargets[TargetID],tblTargets[DisplayName])</f>
        <v>Meet Raven@F3</v>
      </c>
      <c r="C407" s="2" t="str">
        <f>_xlfn.XLOOKUP(
 tblChecklist[[#This Row],[TargetID]],
 tblTargetStatus[TargetID],
 tblTargetStatus[successors],
 ""
)</f>
        <v>Once Upon a Forest Chapter 8 Accepted</v>
      </c>
      <c r="D407" s="79" t="str">
        <f>_xlfn.XLOOKUP(tblChecklist[[#This Row],[TargetID]],tblTargets[TargetID],tblTargets[TargetType],"")</f>
        <v>STATE</v>
      </c>
      <c r="E407" s="79" t="str">
        <f>_xlfn.XLOOKUP(tblChecklist[[#This Row],[TargetID]],tblTargetStatus[TargetID],tblTargetStatus[ChainAwareStatus],"")</f>
        <v>BLOCKED</v>
      </c>
      <c r="G407" s="82" t="b">
        <v>0</v>
      </c>
      <c r="H407" s="79" t="str">
        <f>_xlfn.XLOOKUP(tblChecklist[[#This Row],[TargetID]],tblTargetStatus[TargetID],tblTargetStatus[TargetFunded],"")</f>
        <v>N/A</v>
      </c>
      <c r="I40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8" spans="1:9" ht="26.15" customHeight="1">
      <c r="A408" t="s">
        <v>6266</v>
      </c>
      <c r="B408" t="str">
        <f>_xlfn.XLOOKUP(tblChecklist[[#This Row],[TargetID]],tblTargets[TargetID],tblTargets[DisplayName])</f>
        <v>Visit Dungeon@ 6B</v>
      </c>
      <c r="C408" s="2" t="str">
        <f>_xlfn.XLOOKUP(
 tblChecklist[[#This Row],[TargetID]],
 tblTargetStatus[TargetID],
 tblTargetStatus[successors],
 ""
)</f>
        <v>The Ordinary Days of an Adventurer Chapter 6 Accepted</v>
      </c>
      <c r="D408" s="79" t="str">
        <f>_xlfn.XLOOKUP(tblChecklist[[#This Row],[TargetID]],tblTargets[TargetID],tblTargets[TargetType],"")</f>
        <v>STATE</v>
      </c>
      <c r="E408" s="79" t="str">
        <f>_xlfn.XLOOKUP(tblChecklist[[#This Row],[TargetID]],tblTargetStatus[TargetID],tblTargetStatus[ChainAwareStatus],"")</f>
        <v>BLOCKED</v>
      </c>
      <c r="G408" s="82" t="b">
        <v>0</v>
      </c>
      <c r="H408" s="79" t="str">
        <f>_xlfn.XLOOKUP(tblChecklist[[#This Row],[TargetID]],tblTargetStatus[TargetID],tblTargetStatus[TargetFunded],"")</f>
        <v>N/A</v>
      </c>
      <c r="I40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9" spans="1:9" ht="26.15" customHeight="1">
      <c r="A409" t="s">
        <v>3491</v>
      </c>
      <c r="B409" t="str">
        <f>_xlfn.XLOOKUP(tblChecklist[[#This Row],[TargetID]],tblTargets[TargetID],tblTargets[DisplayName])</f>
        <v>Meet Samurai Panda@6A</v>
      </c>
      <c r="C409" s="2" t="str">
        <f>_xlfn.XLOOKUP(
 tblChecklist[[#This Row],[TargetID]],
 tblTargetStatus[TargetID],
 tblTargetStatus[successors],
 ""
)</f>
        <v>The Ordinary Days of an Adventurer Chapter 2 Accepted</v>
      </c>
      <c r="D409" s="79" t="str">
        <f>_xlfn.XLOOKUP(tblChecklist[[#This Row],[TargetID]],tblTargets[TargetID],tblTargets[TargetType],"")</f>
        <v>STATE</v>
      </c>
      <c r="E409" s="79" t="str">
        <f>_xlfn.XLOOKUP(tblChecklist[[#This Row],[TargetID]],tblTargetStatus[TargetID],tblTargetStatus[ChainAwareStatus],"")</f>
        <v>BLOCKED</v>
      </c>
      <c r="G409" s="82" t="b">
        <v>0</v>
      </c>
      <c r="H409" s="79" t="str">
        <f>_xlfn.XLOOKUP(tblChecklist[[#This Row],[TargetID]],tblTargetStatus[TargetID],tblTargetStatus[TargetFunded],"")</f>
        <v>N/A</v>
      </c>
      <c r="I40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0" spans="1:9" ht="26.15" customHeight="1">
      <c r="A410" t="s">
        <v>5756</v>
      </c>
      <c r="B410" t="str">
        <f>_xlfn.XLOOKUP(tblChecklist[[#This Row],[TargetID]],tblTargets[TargetID],tblTargets[DisplayName])</f>
        <v>Meet Traveling Merchant @1B</v>
      </c>
      <c r="C410" s="2" t="str">
        <f>_xlfn.XLOOKUP(
 tblChecklist[[#This Row],[TargetID]],
 tblTargetStatus[TargetID],
 tblTargetStatus[successors],
 ""
)</f>
        <v>Green Potion Accepted</v>
      </c>
      <c r="D410" s="79" t="str">
        <f>_xlfn.XLOOKUP(tblChecklist[[#This Row],[TargetID]],tblTargets[TargetID],tblTargets[TargetType],"")</f>
        <v>STATE</v>
      </c>
      <c r="E410" s="79" t="str">
        <f>_xlfn.XLOOKUP(tblChecklist[[#This Row],[TargetID]],tblTargetStatus[TargetID],tblTargetStatus[ChainAwareStatus],"")</f>
        <v>BLOCKED</v>
      </c>
      <c r="G410" s="82" t="b">
        <v>0</v>
      </c>
      <c r="H410" s="79" t="str">
        <f>_xlfn.XLOOKUP(tblChecklist[[#This Row],[TargetID]],tblTargetStatus[TargetID],tblTargetStatus[TargetFunded],"")</f>
        <v>N/A</v>
      </c>
      <c r="I41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1" spans="1:9" ht="26.15" customHeight="1">
      <c r="A411" t="s">
        <v>5691</v>
      </c>
      <c r="B411" t="str">
        <f>_xlfn.XLOOKUP(tblChecklist[[#This Row],[TargetID]],tblTargets[TargetID],tblTargets[DisplayName])</f>
        <v>Obtain 8 MALU</v>
      </c>
      <c r="C411" s="2" t="str">
        <f>_xlfn.XLOOKUP(
 tblChecklist[[#This Row],[TargetID]],
 tblTargetStatus[TargetID],
 tblTargetStatus[successors],
 ""
)</f>
        <v>Once Upon a Forest Chapter 3 Finished</v>
      </c>
      <c r="D411" s="79" t="str">
        <f>_xlfn.XLOOKUP(tblChecklist[[#This Row],[TargetID]],tblTargets[TargetID],tblTargets[TargetType],"")</f>
        <v>STATE</v>
      </c>
      <c r="E411" s="79" t="str">
        <f>_xlfn.XLOOKUP(tblChecklist[[#This Row],[TargetID]],tblTargetStatus[TargetID],tblTargetStatus[ChainAwareStatus],"")</f>
        <v>BLOCKED</v>
      </c>
      <c r="G411" s="82" t="b">
        <v>0</v>
      </c>
      <c r="H411" s="79" t="str">
        <f>_xlfn.XLOOKUP(tblChecklist[[#This Row],[TargetID]],tblTargetStatus[TargetID],tblTargetStatus[TargetFunded],"")</f>
        <v>N/A</v>
      </c>
      <c r="I41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2" spans="1:9" ht="26.15" customHeight="1">
      <c r="A412" t="s">
        <v>5712</v>
      </c>
      <c r="B412" t="str">
        <f>_xlfn.XLOOKUP(tblChecklist[[#This Row],[TargetID]],tblTargets[TargetID],tblTargets[DisplayName])</f>
        <v>Obtain all emerald shards</v>
      </c>
      <c r="C412" s="2" t="str">
        <f>_xlfn.XLOOKUP(
 tblChecklist[[#This Row],[TargetID]],
 tblTargetStatus[TargetID],
 tblTargetStatus[successors],
 ""
)</f>
        <v>Quest for Knowledge Chapter 3 Finished</v>
      </c>
      <c r="D412" s="79" t="str">
        <f>_xlfn.XLOOKUP(tblChecklist[[#This Row],[TargetID]],tblTargets[TargetID],tblTargets[TargetType],"")</f>
        <v>STATE</v>
      </c>
      <c r="E412" s="79" t="str">
        <f>_xlfn.XLOOKUP(tblChecklist[[#This Row],[TargetID]],tblTargetStatus[TargetID],tblTargetStatus[ChainAwareStatus],"")</f>
        <v>BLOCKED</v>
      </c>
      <c r="G412" s="82" t="b">
        <v>0</v>
      </c>
      <c r="H412" s="79" t="str">
        <f>_xlfn.XLOOKUP(tblChecklist[[#This Row],[TargetID]],tblTargetStatus[TargetID],tblTargetStatus[TargetFunded],"")</f>
        <v>N/A</v>
      </c>
      <c r="I41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3" spans="1:9" ht="26.15" customHeight="1">
      <c r="A413" t="s">
        <v>3479</v>
      </c>
      <c r="B413" t="str">
        <f>_xlfn.XLOOKUP(tblChecklist[[#This Row],[TargetID]],tblTargets[TargetID],tblTargets[DisplayName])</f>
        <v>Obtain Any Artifact</v>
      </c>
      <c r="C413" s="2" t="str">
        <f>_xlfn.XLOOKUP(
 tblChecklist[[#This Row],[TargetID]],
 tblTargetStatus[TargetID],
 tblTargetStatus[successors],
 ""
)</f>
        <v>Shogun's Katana Chapter 1 Accepted</v>
      </c>
      <c r="D413" s="79" t="str">
        <f>_xlfn.XLOOKUP(tblChecklist[[#This Row],[TargetID]],tblTargets[TargetID],tblTargets[TargetType],"")</f>
        <v>STATE</v>
      </c>
      <c r="E413" s="79" t="str">
        <f>_xlfn.XLOOKUP(tblChecklist[[#This Row],[TargetID]],tblTargetStatus[TargetID],tblTargetStatus[ChainAwareStatus],"")</f>
        <v>BLOCKED</v>
      </c>
      <c r="G413" s="82" t="b">
        <v>0</v>
      </c>
      <c r="H413" s="79" t="str">
        <f>_xlfn.XLOOKUP(tblChecklist[[#This Row],[TargetID]],tblTargetStatus[TargetID],tblTargetStatus[TargetFunded],"")</f>
        <v>N/A</v>
      </c>
      <c r="I41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4" spans="1:9" ht="26.15" customHeight="1">
      <c r="A414" t="s">
        <v>5780</v>
      </c>
      <c r="B414" t="str">
        <f>_xlfn.XLOOKUP(tblChecklist[[#This Row],[TargetID]],tblTargets[TargetID],tblTargets[DisplayName])</f>
        <v>Craft Armor 4</v>
      </c>
      <c r="C414" s="2" t="str">
        <f>_xlfn.XLOOKUP(
 tblChecklist[[#This Row],[TargetID]],
 tblTargetStatus[TargetID],
 tblTargetStatus[successors],
 ""
)</f>
        <v>Once Upon a Forest Chapter 9 Finished</v>
      </c>
      <c r="D414" s="79" t="str">
        <f>_xlfn.XLOOKUP(tblChecklist[[#This Row],[TargetID]],tblTargets[TargetID],tblTargets[TargetType],"")</f>
        <v>STATE</v>
      </c>
      <c r="E414" s="79" t="str">
        <f>_xlfn.XLOOKUP(tblChecklist[[#This Row],[TargetID]],tblTargetStatus[TargetID],tblTargetStatus[ChainAwareStatus],"")</f>
        <v>BLOCKED</v>
      </c>
      <c r="G414" s="82" t="b">
        <v>0</v>
      </c>
      <c r="H414" s="79" t="str">
        <f>_xlfn.XLOOKUP(tblChecklist[[#This Row],[TargetID]],tblTargetStatus[TargetID],tblTargetStatus[TargetFunded],"")</f>
        <v>N/A</v>
      </c>
      <c r="I41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5" spans="1:9" ht="26.15" customHeight="1">
      <c r="A415" t="s">
        <v>5679</v>
      </c>
      <c r="B415" t="str">
        <f>_xlfn.XLOOKUP(tblChecklist[[#This Row],[TargetID]],tblTargets[TargetID],tblTargets[DisplayName])</f>
        <v>Craft Armor 4+</v>
      </c>
      <c r="C415" s="2" t="str">
        <f>_xlfn.XLOOKUP(
 tblChecklist[[#This Row],[TargetID]],
 tblTargetStatus[TargetID],
 tblTargetStatus[successors],
 ""
)</f>
        <v>The Ordinary Days of an Adventurer Chapter 4 Finished</v>
      </c>
      <c r="D415" s="79" t="str">
        <f>_xlfn.XLOOKUP(tblChecklist[[#This Row],[TargetID]],tblTargets[TargetID],tblTargets[TargetType],"")</f>
        <v>STATE</v>
      </c>
      <c r="E415" s="79" t="str">
        <f>_xlfn.XLOOKUP(tblChecklist[[#This Row],[TargetID]],tblTargetStatus[TargetID],tblTargetStatus[ChainAwareStatus],"")</f>
        <v>BLOCKED</v>
      </c>
      <c r="G415" s="82" t="b">
        <v>0</v>
      </c>
      <c r="H415" s="79" t="str">
        <f>_xlfn.XLOOKUP(tblChecklist[[#This Row],[TargetID]],tblTargetStatus[TargetID],tblTargetStatus[TargetFunded],"")</f>
        <v>N/A</v>
      </c>
      <c r="I41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6" spans="1:9" ht="26.15" customHeight="1">
      <c r="A416" t="s">
        <v>6255</v>
      </c>
      <c r="B416" t="str">
        <f>_xlfn.XLOOKUP(tblChecklist[[#This Row],[TargetID]],tblTargets[TargetID],tblTargets[DisplayName])</f>
        <v>Obtain Black Pearl</v>
      </c>
      <c r="C416" s="2" t="str">
        <f>_xlfn.XLOOKUP(
 tblChecklist[[#This Row],[TargetID]],
 tblTargetStatus[TargetID],
 tblTargetStatus[successors],
 ""
)</f>
        <v>Shogun's Katana Chapter 5 Finished</v>
      </c>
      <c r="D416" s="79" t="s">
        <v>5565</v>
      </c>
      <c r="E416" s="79" t="str">
        <f>_xlfn.XLOOKUP(tblChecklist[[#This Row],[TargetID]],tblTargetStatus[TargetID],tblTargetStatus[ChainAwareStatus],"")</f>
        <v>BLOCKED</v>
      </c>
      <c r="G416" s="82" t="b">
        <v>0</v>
      </c>
      <c r="H416" s="79" t="str">
        <f>_xlfn.XLOOKUP(tblChecklist[[#This Row],[TargetID]],tblTargetStatus[TargetID],tblTargetStatus[TargetFunded],"")</f>
        <v>N/A</v>
      </c>
      <c r="I41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7" spans="1:9" ht="26.15" customHeight="1">
      <c r="A417" t="s">
        <v>5641</v>
      </c>
      <c r="B417" t="str">
        <f>_xlfn.XLOOKUP(tblChecklist[[#This Row],[TargetID]],tblTargets[TargetID],tblTargets[DisplayName])</f>
        <v>Obtain Blueprint</v>
      </c>
      <c r="C417" s="2" t="str">
        <f>_xlfn.XLOOKUP(
 tblChecklist[[#This Row],[TargetID]],
 tblTargetStatus[TargetID],
 tblTargetStatus[successors],
 ""
)</f>
        <v>Journey Through Japan By Train Finished</v>
      </c>
      <c r="D417" s="79" t="str">
        <f>_xlfn.XLOOKUP(tblChecklist[[#This Row],[TargetID]],tblTargets[TargetID],tblTargets[TargetType],"")</f>
        <v>STATE</v>
      </c>
      <c r="E417" s="79" t="str">
        <f>_xlfn.XLOOKUP(tblChecklist[[#This Row],[TargetID]],tblTargetStatus[TargetID],tblTargetStatus[ChainAwareStatus],"")</f>
        <v>BLOCKED</v>
      </c>
      <c r="G417" s="82" t="b">
        <v>0</v>
      </c>
      <c r="H417" s="79" t="str">
        <f>_xlfn.XLOOKUP(tblChecklist[[#This Row],[TargetID]],tblTargetStatus[TargetID],tblTargetStatus[TargetFunded],"")</f>
        <v>N/A</v>
      </c>
      <c r="I41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8" spans="1:9" ht="26.15" customHeight="1">
      <c r="A418" t="s">
        <v>5700</v>
      </c>
      <c r="B418" t="str">
        <f>_xlfn.XLOOKUP(tblChecklist[[#This Row],[TargetID]],tblTargets[TargetID],tblTargets[DisplayName])</f>
        <v>Obtain Hide</v>
      </c>
      <c r="C418" s="2" t="str">
        <f>_xlfn.XLOOKUP(
 tblChecklist[[#This Row],[TargetID]],
 tblTargetStatus[TargetID],
 tblTargetStatus[successors],
 ""
)</f>
        <v>Once Upon a Forest Chapter 9 Finished</v>
      </c>
      <c r="D418" s="79" t="str">
        <f>_xlfn.XLOOKUP(tblChecklist[[#This Row],[TargetID]],tblTargets[TargetID],tblTargets[TargetType],"")</f>
        <v>STATE</v>
      </c>
      <c r="E418" s="79" t="str">
        <f>_xlfn.XLOOKUP(tblChecklist[[#This Row],[TargetID]],tblTargetStatus[TargetID],tblTargetStatus[ChainAwareStatus],"")</f>
        <v>BLOCKED</v>
      </c>
      <c r="G418" s="82" t="b">
        <v>0</v>
      </c>
      <c r="H418" s="79" t="str">
        <f>_xlfn.XLOOKUP(tblChecklist[[#This Row],[TargetID]],tblTargetStatus[TargetID],tblTargetStatus[TargetFunded],"")</f>
        <v>N/A</v>
      </c>
      <c r="I41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9" spans="1:9" ht="26.15" customHeight="1">
      <c r="A419" t="s">
        <v>5720</v>
      </c>
      <c r="B419" t="str">
        <f>_xlfn.XLOOKUP(tblChecklist[[#This Row],[TargetID]],tblTargets[TargetID],tblTargets[DisplayName])</f>
        <v>Obtain level 2 artifact</v>
      </c>
      <c r="C419" s="2" t="str">
        <f>_xlfn.XLOOKUP(
 tblChecklist[[#This Row],[TargetID]],
 tblTargetStatus[TargetID],
 tblTargetStatus[successors],
 ""
)</f>
        <v>Shogun's Katana Chapter 1 Finished</v>
      </c>
      <c r="D419" s="79" t="str">
        <f>_xlfn.XLOOKUP(tblChecklist[[#This Row],[TargetID]],tblTargets[TargetID],tblTargets[TargetType],"")</f>
        <v>STATE</v>
      </c>
      <c r="E419" s="79" t="str">
        <f>_xlfn.XLOOKUP(tblChecklist[[#This Row],[TargetID]],tblTargetStatus[TargetID],tblTargetStatus[ChainAwareStatus],"")</f>
        <v>BLOCKED</v>
      </c>
      <c r="G419" s="82" t="b">
        <v>0</v>
      </c>
      <c r="H419" s="79" t="str">
        <f>_xlfn.XLOOKUP(tblChecklist[[#This Row],[TargetID]],tblTargetStatus[TargetID],tblTargetStatus[TargetFunded],"")</f>
        <v>N/A</v>
      </c>
      <c r="I41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0" spans="1:9" ht="26.15" customHeight="1">
      <c r="A420" t="s">
        <v>5719</v>
      </c>
      <c r="B420" t="str">
        <f>_xlfn.XLOOKUP(tblChecklist[[#This Row],[TargetID]],tblTargets[TargetID],tblTargets[DisplayName])</f>
        <v>Craft level 2 map</v>
      </c>
      <c r="C420" s="2" t="str">
        <f>_xlfn.XLOOKUP(
 tblChecklist[[#This Row],[TargetID]],
 tblTargetStatus[TargetID],
 tblTargetStatus[successors],
 ""
)</f>
        <v>Shogun's Katana Chapter 1 Finished</v>
      </c>
      <c r="D420" s="79" t="str">
        <f>_xlfn.XLOOKUP(tblChecklist[[#This Row],[TargetID]],tblTargets[TargetID],tblTargets[TargetType],"")</f>
        <v>STATE</v>
      </c>
      <c r="E420" s="79" t="str">
        <f>_xlfn.XLOOKUP(tblChecklist[[#This Row],[TargetID]],tblTargetStatus[TargetID],tblTargetStatus[ChainAwareStatus],"")</f>
        <v>BLOCKED</v>
      </c>
      <c r="G420" s="82" t="b">
        <v>0</v>
      </c>
      <c r="H420" s="79" t="str">
        <f>_xlfn.XLOOKUP(tblChecklist[[#This Row],[TargetID]],tblTargetStatus[TargetID],tblTargetStatus[TargetFunded],"")</f>
        <v>N/A</v>
      </c>
      <c r="I42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1" spans="1:9" ht="26.15" customHeight="1">
      <c r="A421" t="s">
        <v>5721</v>
      </c>
      <c r="B421" t="str">
        <f>_xlfn.XLOOKUP(tblChecklist[[#This Row],[TargetID]],tblTargets[TargetID],tblTargets[DisplayName])</f>
        <v>Obtain level 3 artifact</v>
      </c>
      <c r="C421" s="2" t="str">
        <f>_xlfn.XLOOKUP(
 tblChecklist[[#This Row],[TargetID]],
 tblTargetStatus[TargetID],
 tblTargetStatus[successors],
 ""
)</f>
        <v>Shogun's Katana Chapter 2 Finished</v>
      </c>
      <c r="D421" s="79" t="str">
        <f>_xlfn.XLOOKUP(tblChecklist[[#This Row],[TargetID]],tblTargets[TargetID],tblTargets[TargetType],"")</f>
        <v>STATE</v>
      </c>
      <c r="E421" s="79" t="str">
        <f>_xlfn.XLOOKUP(tblChecklist[[#This Row],[TargetID]],tblTargetStatus[TargetID],tblTargetStatus[ChainAwareStatus],"")</f>
        <v>BLOCKED</v>
      </c>
      <c r="G421" s="82" t="b">
        <v>0</v>
      </c>
      <c r="H421" s="79" t="str">
        <f>_xlfn.XLOOKUP(tblChecklist[[#This Row],[TargetID]],tblTargetStatus[TargetID],tblTargetStatus[TargetFunded],"")</f>
        <v>N/A</v>
      </c>
      <c r="I42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2" spans="1:9" ht="26.15" customHeight="1">
      <c r="A422" t="s">
        <v>6038</v>
      </c>
      <c r="B422" t="str">
        <f>_xlfn.XLOOKUP(tblChecklist[[#This Row],[TargetID]],tblTargets[TargetID],tblTargets[DisplayName])</f>
        <v>Map Catacombs</v>
      </c>
      <c r="C422" s="2" t="str">
        <f>_xlfn.XLOOKUP(
 tblChecklist[[#This Row],[TargetID]],
 tblTargetStatus[TargetID],
 tblTargetStatus[successors],
 ""
)</f>
        <v>Quest for Knowledge Chapter 4 Accepted</v>
      </c>
      <c r="D422" s="79" t="str">
        <f>_xlfn.XLOOKUP(tblChecklist[[#This Row],[TargetID]],tblTargets[TargetID],tblTargets[TargetType],"")</f>
        <v>STATE</v>
      </c>
      <c r="E422" s="79" t="str">
        <f>_xlfn.XLOOKUP(tblChecklist[[#This Row],[TargetID]],tblTargetStatus[TargetID],tblTargetStatus[ChainAwareStatus],"")</f>
        <v>BLOCKED</v>
      </c>
      <c r="G422" s="82" t="b">
        <v>0</v>
      </c>
      <c r="H422" s="79" t="str">
        <f>_xlfn.XLOOKUP(tblChecklist[[#This Row],[TargetID]],tblTargetStatus[TargetID],tblTargetStatus[TargetFunded],"")</f>
        <v>N/A</v>
      </c>
      <c r="I42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3" spans="1:9" ht="26.15" customHeight="1">
      <c r="A423" t="s">
        <v>5727</v>
      </c>
      <c r="B423" t="str">
        <f>_xlfn.XLOOKUP(tblChecklist[[#This Row],[TargetID]],tblTargets[TargetID],tblTargets[DisplayName])</f>
        <v>Craft level 4 map</v>
      </c>
      <c r="C423" s="2" t="str">
        <f>_xlfn.XLOOKUP(
 tblChecklist[[#This Row],[TargetID]],
 tblTargetStatus[TargetID],
 tblTargetStatus[successors],
 ""
)</f>
        <v>Obtain Shogun's Mortar, Shogun's Katana Chapter 6 Finished</v>
      </c>
      <c r="D423" s="79" t="str">
        <f>_xlfn.XLOOKUP(tblChecklist[[#This Row],[TargetID]],tblTargets[TargetID],tblTargets[TargetType],"")</f>
        <v>STATE</v>
      </c>
      <c r="E423" s="79" t="str">
        <f>_xlfn.XLOOKUP(tblChecklist[[#This Row],[TargetID]],tblTargetStatus[TargetID],tblTargetStatus[ChainAwareStatus],"")</f>
        <v>BLOCKED</v>
      </c>
      <c r="G423" s="82" t="b">
        <v>0</v>
      </c>
      <c r="H423" s="79" t="str">
        <f>_xlfn.XLOOKUP(tblChecklist[[#This Row],[TargetID]],tblTargetStatus[TargetID],tblTargetStatus[TargetFunded],"")</f>
        <v>N/A</v>
      </c>
      <c r="I42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4" spans="1:9" ht="26.15" customHeight="1">
      <c r="A424" t="s">
        <v>5729</v>
      </c>
      <c r="B424" t="str">
        <f>_xlfn.XLOOKUP(tblChecklist[[#This Row],[TargetID]],tblTargets[TargetID],tblTargets[DisplayName])</f>
        <v>Craft level 4 map again</v>
      </c>
      <c r="C424" s="2" t="str">
        <f>_xlfn.XLOOKUP(
 tblChecklist[[#This Row],[TargetID]],
 tblTargetStatus[TargetID],
 tblTargetStatus[successors],
 ""
)</f>
        <v>Shogun's Katana Chapter 7 Finished</v>
      </c>
      <c r="D424" s="79" t="str">
        <f>_xlfn.XLOOKUP(tblChecklist[[#This Row],[TargetID]],tblTargets[TargetID],tblTargets[TargetType],"")</f>
        <v>STATE</v>
      </c>
      <c r="E424" s="79" t="str">
        <f>_xlfn.XLOOKUP(tblChecklist[[#This Row],[TargetID]],tblTargetStatus[TargetID],tblTargetStatus[ChainAwareStatus],"")</f>
        <v>BLOCKED</v>
      </c>
      <c r="G424" s="82" t="b">
        <v>0</v>
      </c>
      <c r="H424" s="79" t="str">
        <f>_xlfn.XLOOKUP(tblChecklist[[#This Row],[TargetID]],tblTargetStatus[TargetID],tblTargetStatus[TargetFunded],"")</f>
        <v>N/A</v>
      </c>
      <c r="I42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5" spans="1:9" ht="26.15" customHeight="1">
      <c r="A425" t="s">
        <v>5714</v>
      </c>
      <c r="B425" t="str">
        <f>_xlfn.XLOOKUP(tblChecklist[[#This Row],[TargetID]],tblTargets[TargetID],tblTargets[DisplayName])</f>
        <v>Craft mechanism</v>
      </c>
      <c r="C425" s="2" t="str">
        <f>_xlfn.XLOOKUP(
 tblChecklist[[#This Row],[TargetID]],
 tblTargetStatus[TargetID],
 tblTargetStatus[successors],
 ""
)</f>
        <v>Quest for Knowledge Chapter 5 Finished</v>
      </c>
      <c r="D425" s="79" t="str">
        <f>_xlfn.XLOOKUP(tblChecklist[[#This Row],[TargetID]],tblTargets[TargetID],tblTargets[TargetType],"")</f>
        <v>STATE</v>
      </c>
      <c r="E425" s="79" t="str">
        <f>_xlfn.XLOOKUP(tblChecklist[[#This Row],[TargetID]],tblTargetStatus[TargetID],tblTargetStatus[ChainAwareStatus],"")</f>
        <v>BLOCKED</v>
      </c>
      <c r="G425" s="82" t="b">
        <v>0</v>
      </c>
      <c r="H425" s="79" t="str">
        <f>_xlfn.XLOOKUP(tblChecklist[[#This Row],[TargetID]],tblTargetStatus[TargetID],tblTargetStatus[TargetFunded],"")</f>
        <v>N/A</v>
      </c>
      <c r="I42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6" spans="1:9" ht="26.15" customHeight="1">
      <c r="A426" t="s">
        <v>6253</v>
      </c>
      <c r="B426" t="str">
        <f>_xlfn.XLOOKUP(tblChecklist[[#This Row],[TargetID]],tblTargets[TargetID],tblTargets[DisplayName])</f>
        <v>Obtain Pirate hat</v>
      </c>
      <c r="C426" s="2" t="str">
        <f>_xlfn.XLOOKUP(
 tblChecklist[[#This Row],[TargetID]],
 tblTargetStatus[TargetID],
 tblTargetStatus[successors],
 ""
)</f>
        <v>Shogun's Katana Chapter 3 Finished</v>
      </c>
      <c r="D426" s="79" t="s">
        <v>5565</v>
      </c>
      <c r="E426" s="79" t="str">
        <f>_xlfn.XLOOKUP(tblChecklist[[#This Row],[TargetID]],tblTargetStatus[TargetID],tblTargetStatus[ChainAwareStatus],"")</f>
        <v>BLOCKED</v>
      </c>
      <c r="G426" s="82" t="b">
        <v>0</v>
      </c>
      <c r="H426" s="79" t="str">
        <f>_xlfn.XLOOKUP(tblChecklist[[#This Row],[TargetID]],tblTargetStatus[TargetID],tblTargetStatus[TargetFunded],"")</f>
        <v>N/A</v>
      </c>
      <c r="I4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7" spans="1:9" ht="26.15" customHeight="1">
      <c r="A427" t="s">
        <v>5697</v>
      </c>
      <c r="B427" t="str">
        <f>_xlfn.XLOOKUP(tblChecklist[[#This Row],[TargetID]],tblTargets[TargetID],tblTargets[DisplayName])</f>
        <v>Craft Potion of Mental Power</v>
      </c>
      <c r="C427" s="2" t="str">
        <f>_xlfn.XLOOKUP(
 tblChecklist[[#This Row],[TargetID]],
 tblTargetStatus[TargetID],
 tblTargetStatus[successors],
 ""
)</f>
        <v>Once Upon a Forest Chapter 6 Finished</v>
      </c>
      <c r="D427" s="79" t="str">
        <f>_xlfn.XLOOKUP(tblChecklist[[#This Row],[TargetID]],tblTargets[TargetID],tblTargets[TargetType],"")</f>
        <v>STATE</v>
      </c>
      <c r="E427" s="79" t="str">
        <f>_xlfn.XLOOKUP(tblChecklist[[#This Row],[TargetID]],tblTargetStatus[TargetID],tblTargetStatus[ChainAwareStatus],"")</f>
        <v>BLOCKED</v>
      </c>
      <c r="G427" s="82" t="b">
        <v>0</v>
      </c>
      <c r="H427" s="79" t="str">
        <f>_xlfn.XLOOKUP(tblChecklist[[#This Row],[TargetID]],tblTargetStatus[TargetID],tblTargetStatus[TargetFunded],"")</f>
        <v>N/A</v>
      </c>
      <c r="I42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8" spans="1:9" ht="26.15" customHeight="1">
      <c r="A428" t="s">
        <v>5722</v>
      </c>
      <c r="B428" t="str">
        <f>_xlfn.XLOOKUP(tblChecklist[[#This Row],[TargetID]],tblTargets[TargetID],tblTargets[DisplayName])</f>
        <v>Obtain Reagent from 3A</v>
      </c>
      <c r="C428" s="2" t="str">
        <f>_xlfn.XLOOKUP(
 tblChecklist[[#This Row],[TargetID]],
 tblTargetStatus[TargetID],
 tblTargetStatus[successors],
 ""
)</f>
        <v>Green Potion Finished</v>
      </c>
      <c r="D428" s="79" t="str">
        <f>_xlfn.XLOOKUP(tblChecklist[[#This Row],[TargetID]],tblTargets[TargetID],tblTargets[TargetType],"")</f>
        <v>STATE</v>
      </c>
      <c r="E428" s="79" t="str">
        <f>_xlfn.XLOOKUP(tblChecklist[[#This Row],[TargetID]],tblTargetStatus[TargetID],tblTargetStatus[ChainAwareStatus],"")</f>
        <v>BLOCKED</v>
      </c>
      <c r="G428" s="82" t="b">
        <v>0</v>
      </c>
      <c r="H428" s="79" t="str">
        <f>_xlfn.XLOOKUP(tblChecklist[[#This Row],[TargetID]],tblTargetStatus[TargetID],tblTargetStatus[TargetFunded],"")</f>
        <v>N/A</v>
      </c>
      <c r="I42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9" spans="1:9" ht="26.15" customHeight="1">
      <c r="A429" t="s">
        <v>5671</v>
      </c>
      <c r="B429" t="str">
        <f>_xlfn.XLOOKUP(tblChecklist[[#This Row],[TargetID]],tblTargets[TargetID],tblTargets[DisplayName])</f>
        <v>Obtain the Red Diamond in 6A</v>
      </c>
      <c r="C429" s="2" t="str">
        <f>_xlfn.XLOOKUP(
 tblChecklist[[#This Row],[TargetID]],
 tblTargetStatus[TargetID],
 tblTargetStatus[successors],
 ""
)</f>
        <v>The Ordinary Days of an Adventurer Chapter 3 Finished</v>
      </c>
      <c r="D429" s="79" t="str">
        <f>_xlfn.XLOOKUP(tblChecklist[[#This Row],[TargetID]],tblTargets[TargetID],tblTargets[TargetType],"")</f>
        <v>STATE</v>
      </c>
      <c r="E429" s="79" t="str">
        <f>_xlfn.XLOOKUP(tblChecklist[[#This Row],[TargetID]],tblTargetStatus[TargetID],tblTargetStatus[ChainAwareStatus],"")</f>
        <v>BLOCKED</v>
      </c>
      <c r="G429" s="82" t="b">
        <v>0</v>
      </c>
      <c r="H429" s="79" t="str">
        <f>_xlfn.XLOOKUP(tblChecklist[[#This Row],[TargetID]],tblTargetStatus[TargetID],tblTargetStatus[TargetFunded],"")</f>
        <v>N/A</v>
      </c>
      <c r="I42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0" spans="1:9" ht="26.15" customHeight="1">
      <c r="A430" t="s">
        <v>5672</v>
      </c>
      <c r="B430" t="str">
        <f>_xlfn.XLOOKUP(tblChecklist[[#This Row],[TargetID]],tblTargets[TargetID],tblTargets[DisplayName])</f>
        <v>Obtain the Red Diamond in 6B</v>
      </c>
      <c r="C430" s="2" t="str">
        <f>_xlfn.XLOOKUP(
 tblChecklist[[#This Row],[TargetID]],
 tblTargetStatus[TargetID],
 tblTargetStatus[successors],
 ""
)</f>
        <v>The Ordinary Days of an Adventurer Chapter 3 Finished</v>
      </c>
      <c r="D430" s="79" t="str">
        <f>_xlfn.XLOOKUP(tblChecklist[[#This Row],[TargetID]],tblTargets[TargetID],tblTargets[TargetType],"")</f>
        <v>STATE</v>
      </c>
      <c r="E430" s="79" t="str">
        <f>_xlfn.XLOOKUP(tblChecklist[[#This Row],[TargetID]],tblTargetStatus[TargetID],tblTargetStatus[ChainAwareStatus],"")</f>
        <v>BLOCKED</v>
      </c>
      <c r="G430" s="82" t="b">
        <v>0</v>
      </c>
      <c r="H430" s="79" t="str">
        <f>_xlfn.XLOOKUP(tblChecklist[[#This Row],[TargetID]],tblTargetStatus[TargetID],tblTargetStatus[TargetFunded],"")</f>
        <v>N/A</v>
      </c>
      <c r="I43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1" spans="1:9" ht="26.15" customHeight="1">
      <c r="A431" t="s">
        <v>5673</v>
      </c>
      <c r="B431" t="str">
        <f>_xlfn.XLOOKUP(tblChecklist[[#This Row],[TargetID]],tblTargets[TargetID],tblTargets[DisplayName])</f>
        <v>Obtain the Red Diamond in 6C</v>
      </c>
      <c r="C431" s="2" t="str">
        <f>_xlfn.XLOOKUP(
 tblChecklist[[#This Row],[TargetID]],
 tblTargetStatus[TargetID],
 tblTargetStatus[successors],
 ""
)</f>
        <v>The Ordinary Days of an Adventurer Chapter 3 Finished</v>
      </c>
      <c r="D431" s="79" t="str">
        <f>_xlfn.XLOOKUP(tblChecklist[[#This Row],[TargetID]],tblTargets[TargetID],tblTargets[TargetType],"")</f>
        <v>STATE</v>
      </c>
      <c r="E431" s="79" t="str">
        <f>_xlfn.XLOOKUP(tblChecklist[[#This Row],[TargetID]],tblTargetStatus[TargetID],tblTargetStatus[ChainAwareStatus],"")</f>
        <v>BLOCKED</v>
      </c>
      <c r="G431" s="82" t="b">
        <v>0</v>
      </c>
      <c r="H431" s="79" t="str">
        <f>_xlfn.XLOOKUP(tblChecklist[[#This Row],[TargetID]],tblTargetStatus[TargetID],tblTargetStatus[TargetFunded],"")</f>
        <v>N/A</v>
      </c>
      <c r="I43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2" spans="1:9" ht="26.15" customHeight="1">
      <c r="A432" t="s">
        <v>5678</v>
      </c>
      <c r="B432" t="str">
        <f>_xlfn.XLOOKUP(tblChecklist[[#This Row],[TargetID]],tblTargets[TargetID],tblTargets[DisplayName])</f>
        <v>Craft Shield 4+</v>
      </c>
      <c r="C432" s="2" t="str">
        <f>_xlfn.XLOOKUP(
 tblChecklist[[#This Row],[TargetID]],
 tblTargetStatus[TargetID],
 tblTargetStatus[successors],
 ""
)</f>
        <v>The Ordinary Days of an Adventurer Chapter 4 Finished</v>
      </c>
      <c r="D432" s="79" t="str">
        <f>_xlfn.XLOOKUP(tblChecklist[[#This Row],[TargetID]],tblTargets[TargetID],tblTargets[TargetType],"")</f>
        <v>STATE</v>
      </c>
      <c r="E432" s="79" t="str">
        <f>_xlfn.XLOOKUP(tblChecklist[[#This Row],[TargetID]],tblTargetStatus[TargetID],tblTargetStatus[ChainAwareStatus],"")</f>
        <v>BLOCKED</v>
      </c>
      <c r="G432" s="82" t="b">
        <v>0</v>
      </c>
      <c r="H432" s="79" t="str">
        <f>_xlfn.XLOOKUP(tblChecklist[[#This Row],[TargetID]],tblTargetStatus[TargetID],tblTargetStatus[TargetFunded],"")</f>
        <v>N/A</v>
      </c>
      <c r="I43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3" spans="1:9" ht="26.15" customHeight="1">
      <c r="A433" t="s">
        <v>5723</v>
      </c>
      <c r="B433" t="str">
        <f>_xlfn.XLOOKUP(tblChecklist[[#This Row],[TargetID]],tblTargets[TargetID],tblTargets[DisplayName])</f>
        <v>Obtain Ship in a bottle</v>
      </c>
      <c r="C433" s="2" t="str">
        <f>_xlfn.XLOOKUP(
 tblChecklist[[#This Row],[TargetID]],
 tblTargetStatus[TargetID],
 tblTargetStatus[successors],
 ""
)</f>
        <v>Shogun's Katana Chapter 4 Finished</v>
      </c>
      <c r="D433" s="79" t="str">
        <f>_xlfn.XLOOKUP(tblChecklist[[#This Row],[TargetID]],tblTargets[TargetID],tblTargets[TargetType],"")</f>
        <v>STATE</v>
      </c>
      <c r="E433" s="79" t="str">
        <f>_xlfn.XLOOKUP(tblChecklist[[#This Row],[TargetID]],tblTargetStatus[TargetID],tblTargetStatus[ChainAwareStatus],"")</f>
        <v>BLOCKED</v>
      </c>
      <c r="G433" s="82" t="b">
        <v>0</v>
      </c>
      <c r="H433" s="79" t="str">
        <f>_xlfn.XLOOKUP(tblChecklist[[#This Row],[TargetID]],tblTargetStatus[TargetID],tblTargetStatus[TargetFunded],"")</f>
        <v>N/A</v>
      </c>
      <c r="I43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4" spans="1:9" ht="26.15" customHeight="1">
      <c r="A434" t="s">
        <v>5731</v>
      </c>
      <c r="B434" t="str">
        <f>_xlfn.XLOOKUP(tblChecklist[[#This Row],[TargetID]],tblTargets[TargetID],tblTargets[DisplayName])</f>
        <v>Obtain Shogun's Katana</v>
      </c>
      <c r="C434" s="2" t="str">
        <f>_xlfn.XLOOKUP(
 tblChecklist[[#This Row],[TargetID]],
 tblTargetStatus[TargetID],
 tblTargetStatus[successors],
 ""
)</f>
        <v>Shogun's Katana Chapter 7 Finished</v>
      </c>
      <c r="D434" s="79" t="str">
        <f>_xlfn.XLOOKUP(tblChecklist[[#This Row],[TargetID]],tblTargets[TargetID],tblTargets[TargetType],"")</f>
        <v>STATE</v>
      </c>
      <c r="E434" s="79" t="str">
        <f>_xlfn.XLOOKUP(tblChecklist[[#This Row],[TargetID]],tblTargetStatus[TargetID],tblTargetStatus[ChainAwareStatus],"")</f>
        <v>BLOCKED</v>
      </c>
      <c r="G434" s="82" t="b">
        <v>0</v>
      </c>
      <c r="H434" s="79" t="str">
        <f>_xlfn.XLOOKUP(tblChecklist[[#This Row],[TargetID]],tblTargetStatus[TargetID],tblTargetStatus[TargetFunded],"")</f>
        <v>N/A</v>
      </c>
      <c r="I43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5" spans="1:9" ht="26.15" customHeight="1">
      <c r="A435" t="s">
        <v>6257</v>
      </c>
      <c r="B435" t="str">
        <f>_xlfn.XLOOKUP(tblChecklist[[#This Row],[TargetID]],tblTargets[TargetID],tblTargets[DisplayName])</f>
        <v>Obtain Shogun's Mortar</v>
      </c>
      <c r="C435" s="2" t="str">
        <f>_xlfn.XLOOKUP(
 tblChecklist[[#This Row],[TargetID]],
 tblTargetStatus[TargetID],
 tblTargetStatus[successors],
 ""
)</f>
        <v>Shogun's Katana Chapter 6 Finished</v>
      </c>
      <c r="D435" s="79" t="s">
        <v>5565</v>
      </c>
      <c r="E435" s="79" t="str">
        <f>_xlfn.XLOOKUP(tblChecklist[[#This Row],[TargetID]],tblTargetStatus[TargetID],tblTargetStatus[ChainAwareStatus],"")</f>
        <v>BLOCKED</v>
      </c>
      <c r="G435" s="82" t="b">
        <v>0</v>
      </c>
      <c r="H435" s="79" t="str">
        <f>_xlfn.XLOOKUP(tblChecklist[[#This Row],[TargetID]],tblTargetStatus[TargetID],tblTargetStatus[TargetFunded],"")</f>
        <v>N/A</v>
      </c>
      <c r="I43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6" spans="1:9" ht="26.15" customHeight="1">
      <c r="A436" t="s">
        <v>5725</v>
      </c>
      <c r="B436" t="str">
        <f>_xlfn.XLOOKUP(tblChecklist[[#This Row],[TargetID]],tblTargets[TargetID],tblTargets[DisplayName])</f>
        <v>Purchase Smuggler's map for 10 spices</v>
      </c>
      <c r="C436" s="2" t="str">
        <f>_xlfn.XLOOKUP(
 tblChecklist[[#This Row],[TargetID]],
 tblTargetStatus[TargetID],
 tblTargetStatus[successors],
 ""
)</f>
        <v>Shogun's Katana Chapter 4 Finished</v>
      </c>
      <c r="D436" s="79" t="str">
        <f>_xlfn.XLOOKUP(tblChecklist[[#This Row],[TargetID]],tblTargets[TargetID],tblTargets[TargetType],"")</f>
        <v>STATE</v>
      </c>
      <c r="E436" s="79" t="str">
        <f>_xlfn.XLOOKUP(tblChecklist[[#This Row],[TargetID]],tblTargetStatus[TargetID],tblTargetStatus[ChainAwareStatus],"")</f>
        <v>BLOCKED</v>
      </c>
      <c r="G436" s="82" t="b">
        <v>0</v>
      </c>
      <c r="H436" s="79" t="str">
        <f>_xlfn.XLOOKUP(tblChecklist[[#This Row],[TargetID]],tblTargetStatus[TargetID],tblTargetStatus[TargetFunded],"")</f>
        <v>N/A</v>
      </c>
      <c r="I43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7" spans="1:9" ht="26.15" customHeight="1">
      <c r="A437" t="s">
        <v>5724</v>
      </c>
      <c r="B437" t="str">
        <f>_xlfn.XLOOKUP(tblChecklist[[#This Row],[TargetID]],tblTargets[TargetID],tblTargets[DisplayName])</f>
        <v>Purchase Smuggler's map for 100 coffee beans</v>
      </c>
      <c r="C437" s="2" t="str">
        <f>_xlfn.XLOOKUP(
 tblChecklist[[#This Row],[TargetID]],
 tblTargetStatus[TargetID],
 tblTargetStatus[successors],
 ""
)</f>
        <v>Obtain Pirate hat, Shogun's Katana Chapter 3 Finished</v>
      </c>
      <c r="D437" s="79" t="str">
        <f>_xlfn.XLOOKUP(tblChecklist[[#This Row],[TargetID]],tblTargets[TargetID],tblTargets[TargetType],"")</f>
        <v>STATE</v>
      </c>
      <c r="E437" s="79" t="str">
        <f>_xlfn.XLOOKUP(tblChecklist[[#This Row],[TargetID]],tblTargetStatus[TargetID],tblTargetStatus[ChainAwareStatus],"")</f>
        <v>BLOCKED</v>
      </c>
      <c r="G437" s="82" t="b">
        <v>0</v>
      </c>
      <c r="H437" s="79" t="str">
        <f>_xlfn.XLOOKUP(tblChecklist[[#This Row],[TargetID]],tblTargetStatus[TargetID],tblTargetStatus[TargetFunded],"")</f>
        <v>N/A</v>
      </c>
      <c r="I43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8" spans="1:9" ht="26.15" customHeight="1">
      <c r="A438" t="s">
        <v>5726</v>
      </c>
      <c r="B438" t="str">
        <f>_xlfn.XLOOKUP(tblChecklist[[#This Row],[TargetID]],tblTargets[TargetID],tblTargets[DisplayName])</f>
        <v>Purchase Smuggler's map for 15 pearl</v>
      </c>
      <c r="C438" s="2" t="str">
        <f>_xlfn.XLOOKUP(
 tblChecklist[[#This Row],[TargetID]],
 tblTargetStatus[TargetID],
 tblTargetStatus[successors],
 ""
)</f>
        <v>Obtain Black Pearl, Shogun's Katana Chapter 5 Finished</v>
      </c>
      <c r="D438" s="79" t="str">
        <f>_xlfn.XLOOKUP(tblChecklist[[#This Row],[TargetID]],tblTargets[TargetID],tblTargets[TargetType],"")</f>
        <v>STATE</v>
      </c>
      <c r="E438" s="79" t="str">
        <f>_xlfn.XLOOKUP(tblChecklist[[#This Row],[TargetID]],tblTargetStatus[TargetID],tblTargetStatus[ChainAwareStatus],"")</f>
        <v>BLOCKED</v>
      </c>
      <c r="G438" s="82" t="b">
        <v>0</v>
      </c>
      <c r="H438" s="79" t="str">
        <f>_xlfn.XLOOKUP(tblChecklist[[#This Row],[TargetID]],tblTargetStatus[TargetID],tblTargetStatus[TargetFunded],"")</f>
        <v>N/A</v>
      </c>
      <c r="I43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9" spans="1:9" ht="26.15" customHeight="1">
      <c r="A439" t="s">
        <v>5630</v>
      </c>
      <c r="B439" t="str">
        <f>_xlfn.XLOOKUP(tblChecklist[[#This Row],[TargetID]],tblTargets[TargetID],tblTargets[DisplayName])</f>
        <v>Obtain Spices from Spice Island</v>
      </c>
      <c r="C439" s="2" t="str">
        <f>_xlfn.XLOOKUP(
 tblChecklist[[#This Row],[TargetID]],
 tblTargetStatus[TargetID],
 tblTargetStatus[successors],
 ""
)</f>
        <v>Spicy Odyssey Finished</v>
      </c>
      <c r="D439" s="79" t="str">
        <f>_xlfn.XLOOKUP(tblChecklist[[#This Row],[TargetID]],tblTargets[TargetID],tblTargets[TargetType],"")</f>
        <v>STATE</v>
      </c>
      <c r="E439" s="79" t="str">
        <f>_xlfn.XLOOKUP(tblChecklist[[#This Row],[TargetID]],tblTargetStatus[TargetID],tblTargetStatus[ChainAwareStatus],"")</f>
        <v>BLOCKED</v>
      </c>
      <c r="G439" s="82" t="b">
        <v>0</v>
      </c>
      <c r="H439" s="79" t="str">
        <f>_xlfn.XLOOKUP(tblChecklist[[#This Row],[TargetID]],tblTargetStatus[TargetID],tblTargetStatus[TargetFunded],"")</f>
        <v>N/A</v>
      </c>
      <c r="I43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0" spans="1:9" ht="26.15" customHeight="1">
      <c r="A440" t="s">
        <v>5715</v>
      </c>
      <c r="B440" t="str">
        <f>_xlfn.XLOOKUP(tblChecklist[[#This Row],[TargetID]],tblTargets[TargetID],tblTargets[DisplayName])</f>
        <v>Craft steamobile</v>
      </c>
      <c r="C440" s="2" t="str">
        <f>_xlfn.XLOOKUP(
 tblChecklist[[#This Row],[TargetID]],
 tblTargetStatus[TargetID],
 tblTargetStatus[successors],
 ""
)</f>
        <v>Quest for Knowledge Chapter 5 Finished</v>
      </c>
      <c r="D440" s="79" t="str">
        <f>_xlfn.XLOOKUP(tblChecklist[[#This Row],[TargetID]],tblTargets[TargetID],tblTargets[TargetType],"")</f>
        <v>STATE</v>
      </c>
      <c r="E440" s="79" t="str">
        <f>_xlfn.XLOOKUP(tblChecklist[[#This Row],[TargetID]],tblTargetStatus[TargetID],tblTargetStatus[ChainAwareStatus],"")</f>
        <v>BLOCKED</v>
      </c>
      <c r="G440" s="82" t="b">
        <v>0</v>
      </c>
      <c r="H440" s="79" t="str">
        <f>_xlfn.XLOOKUP(tblChecklist[[#This Row],[TargetID]],tblTargetStatus[TargetID],tblTargetStatus[TargetFunded],"")</f>
        <v>N/A</v>
      </c>
      <c r="I44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1" spans="1:9" ht="26.15" customHeight="1">
      <c r="A441" t="s">
        <v>5794</v>
      </c>
      <c r="B441" t="str">
        <f>_xlfn.XLOOKUP(tblChecklist[[#This Row],[TargetID]],tblTargets[TargetID],tblTargets[DisplayName])</f>
        <v xml:space="preserve">Obtain Strawberry@F1 </v>
      </c>
      <c r="C441" s="2" t="str">
        <f>_xlfn.XLOOKUP(
 tblChecklist[[#This Row],[TargetID]],
 tblTargetStatus[TargetID],
 tblTargetStatus[successors],
 ""
)</f>
        <v>Food Stall - Jam</v>
      </c>
      <c r="D441" s="79" t="str">
        <f>_xlfn.XLOOKUP(tblChecklist[[#This Row],[TargetID]],tblTargets[TargetID],tblTargets[TargetType],"")</f>
        <v>STATE</v>
      </c>
      <c r="E441" s="79" t="str">
        <f>_xlfn.XLOOKUP(tblChecklist[[#This Row],[TargetID]],tblTargetStatus[TargetID],tblTargetStatus[ChainAwareStatus],"")</f>
        <v>BLOCKED</v>
      </c>
      <c r="G441" s="82" t="b">
        <v>0</v>
      </c>
      <c r="H441" s="79" t="str">
        <f>_xlfn.XLOOKUP(tblChecklist[[#This Row],[TargetID]],tblTargetStatus[TargetID],tblTargetStatus[TargetFunded],"")</f>
        <v>N/A</v>
      </c>
      <c r="I44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2" spans="1:9" ht="26.15" customHeight="1">
      <c r="A442" t="s">
        <v>5638</v>
      </c>
      <c r="B442" t="str">
        <f>_xlfn.XLOOKUP(tblChecklist[[#This Row],[TargetID]],tblTargets[TargetID],tblTargets[DisplayName])</f>
        <v>Craft Sword for a Hero Lvl 4</v>
      </c>
      <c r="C442" s="2" t="str">
        <f>_xlfn.XLOOKUP(
 tblChecklist[[#This Row],[TargetID]],
 tblTargetStatus[TargetID],
 tblTargetStatus[successors],
 ""
)</f>
        <v>Dragon teeth Finished</v>
      </c>
      <c r="D442" s="79" t="str">
        <f>_xlfn.XLOOKUP(tblChecklist[[#This Row],[TargetID]],tblTargets[TargetID],tblTargets[TargetType],"")</f>
        <v>STATE</v>
      </c>
      <c r="E442" s="79" t="str">
        <f>_xlfn.XLOOKUP(tblChecklist[[#This Row],[TargetID]],tblTargetStatus[TargetID],tblTargetStatus[ChainAwareStatus],"")</f>
        <v>BLOCKED</v>
      </c>
      <c r="G442" s="82" t="b">
        <v>0</v>
      </c>
      <c r="H442" s="79" t="str">
        <f>_xlfn.XLOOKUP(tblChecklist[[#This Row],[TargetID]],tblTargetStatus[TargetID],tblTargetStatus[TargetFunded],"")</f>
        <v>N/A</v>
      </c>
      <c r="I44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3" spans="1:9" ht="26.15" customHeight="1">
      <c r="A443" t="s">
        <v>5677</v>
      </c>
      <c r="B443" t="str">
        <f>_xlfn.XLOOKUP(tblChecklist[[#This Row],[TargetID]],tblTargets[TargetID],tblTargets[DisplayName])</f>
        <v>Craft sword 4+</v>
      </c>
      <c r="C443" s="2" t="str">
        <f>_xlfn.XLOOKUP(
 tblChecklist[[#This Row],[TargetID]],
 tblTargetStatus[TargetID],
 tblTargetStatus[successors],
 ""
)</f>
        <v>The Ordinary Days of an Adventurer Chapter 4 Finished</v>
      </c>
      <c r="D443" s="79" t="str">
        <f>_xlfn.XLOOKUP(tblChecklist[[#This Row],[TargetID]],tblTargets[TargetID],tblTargets[TargetType],"")</f>
        <v>STATE</v>
      </c>
      <c r="E443" s="79" t="str">
        <f>_xlfn.XLOOKUP(tblChecklist[[#This Row],[TargetID]],tblTargetStatus[TargetID],tblTargetStatus[ChainAwareStatus],"")</f>
        <v>BLOCKED</v>
      </c>
      <c r="G443" s="82" t="b">
        <v>0</v>
      </c>
      <c r="H443" s="79" t="str">
        <f>_xlfn.XLOOKUP(tblChecklist[[#This Row],[TargetID]],tblTargetStatus[TargetID],tblTargetStatus[TargetFunded],"")</f>
        <v>N/A</v>
      </c>
      <c r="I44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4" spans="1:9" ht="26.15" customHeight="1">
      <c r="A444" t="s">
        <v>5701</v>
      </c>
      <c r="B444" t="str">
        <f>_xlfn.XLOOKUP(tblChecklist[[#This Row],[TargetID]],tblTargets[TargetID],tblTargets[DisplayName])</f>
        <v>Obtain Titanium</v>
      </c>
      <c r="C444" s="2" t="str">
        <f>_xlfn.XLOOKUP(
 tblChecklist[[#This Row],[TargetID]],
 tblTargetStatus[TargetID],
 tblTargetStatus[successors],
 ""
)</f>
        <v>Once Upon a Forest Chapter 9 Finished</v>
      </c>
      <c r="D444" s="79" t="str">
        <f>_xlfn.XLOOKUP(tblChecklist[[#This Row],[TargetID]],tblTargets[TargetID],tblTargets[TargetType],"")</f>
        <v>STATE</v>
      </c>
      <c r="E444" s="79" t="str">
        <f>_xlfn.XLOOKUP(tblChecklist[[#This Row],[TargetID]],tblTargetStatus[TargetID],tblTargetStatus[ChainAwareStatus],"")</f>
        <v>BLOCKED</v>
      </c>
      <c r="G444" s="82" t="b">
        <v>0</v>
      </c>
      <c r="H444" s="79" t="str">
        <f>_xlfn.XLOOKUP(tblChecklist[[#This Row],[TargetID]],tblTargetStatus[TargetID],tblTargetStatus[TargetFunded],"")</f>
        <v>N/A</v>
      </c>
      <c r="I44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5" spans="1:9" ht="26.15" customHeight="1">
      <c r="A445" t="s">
        <v>3510</v>
      </c>
      <c r="B445" t="str">
        <f>_xlfn.XLOOKUP(tblChecklist[[#This Row],[TargetID]],tblTargets[TargetID],tblTargets[DisplayName])</f>
        <v>Obtain Treasure</v>
      </c>
      <c r="C445" s="2" t="str">
        <f>_xlfn.XLOOKUP(
 tblChecklist[[#This Row],[TargetID]],
 tblTargetStatus[TargetID],
 tblTargetStatus[successors],
 ""
)</f>
        <v>Treasure Island Finished</v>
      </c>
      <c r="D445" s="79" t="str">
        <f>_xlfn.XLOOKUP(tblChecklist[[#This Row],[TargetID]],tblTargets[TargetID],tblTargets[TargetType],"")</f>
        <v>STATE</v>
      </c>
      <c r="E445" s="79" t="str">
        <f>_xlfn.XLOOKUP(tblChecklist[[#This Row],[TargetID]],tblTargetStatus[TargetID],tblTargetStatus[ChainAwareStatus],"")</f>
        <v>BLOCKED</v>
      </c>
      <c r="G445" s="82" t="b">
        <v>0</v>
      </c>
      <c r="H445" s="79" t="str">
        <f>_xlfn.XLOOKUP(tblChecklist[[#This Row],[TargetID]],tblTargetStatus[TargetID],tblTargetStatus[TargetFunded],"")</f>
        <v>N/A</v>
      </c>
      <c r="I4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6" spans="1:9" ht="26.15" customHeight="1">
      <c r="A446" t="s">
        <v>5760</v>
      </c>
      <c r="B446" t="str">
        <f>_xlfn.XLOOKUP(tblChecklist[[#This Row],[TargetID]],tblTargets[TargetID],tblTargets[DisplayName])</f>
        <v>Visit Aomori</v>
      </c>
      <c r="C446" s="2" t="str">
        <f>_xlfn.XLOOKUP(
 tblChecklist[[#This Row],[TargetID]],
 tblTargetStatus[TargetID],
 tblTargetStatus[successors],
 ""
)</f>
        <v>Journey Through Japan By Train Finished</v>
      </c>
      <c r="D446" s="79" t="str">
        <f>_xlfn.XLOOKUP(tblChecklist[[#This Row],[TargetID]],tblTargets[TargetID],tblTargets[TargetType],"")</f>
        <v>STATE</v>
      </c>
      <c r="E446" s="79" t="str">
        <f>_xlfn.XLOOKUP(tblChecklist[[#This Row],[TargetID]],tblTargetStatus[TargetID],tblTargetStatus[ChainAwareStatus],"")</f>
        <v>BLOCKED</v>
      </c>
      <c r="G446" s="82" t="b">
        <v>0</v>
      </c>
      <c r="H446" s="79" t="str">
        <f>_xlfn.XLOOKUP(tblChecklist[[#This Row],[TargetID]],tblTargetStatus[TargetID],tblTargetStatus[TargetFunded],"")</f>
        <v>N/A</v>
      </c>
      <c r="I44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7" spans="1:9" ht="26.15" customHeight="1">
      <c r="A447" t="s">
        <v>5741</v>
      </c>
      <c r="B447" t="str">
        <f>_xlfn.XLOOKUP(tblChecklist[[#This Row],[TargetID]],tblTargets[TargetID],tblTargets[DisplayName])</f>
        <v>Visit Athens</v>
      </c>
      <c r="C447" s="2" t="str">
        <f>_xlfn.XLOOKUP(
 tblChecklist[[#This Row],[TargetID]],
 tblTargetStatus[TargetID],
 tblTargetStatus[successors],
 ""
)</f>
        <v>Silk Road Finished</v>
      </c>
      <c r="D447" s="79" t="str">
        <f>_xlfn.XLOOKUP(tblChecklist[[#This Row],[TargetID]],tblTargets[TargetID],tblTargets[TargetType],"")</f>
        <v>STATE</v>
      </c>
      <c r="E447" s="79" t="str">
        <f>_xlfn.XLOOKUP(tblChecklist[[#This Row],[TargetID]],tblTargetStatus[TargetID],tblTargetStatus[ChainAwareStatus],"")</f>
        <v>BLOCKED</v>
      </c>
      <c r="G447" s="82" t="b">
        <v>0</v>
      </c>
      <c r="H447" s="79" t="str">
        <f>_xlfn.XLOOKUP(tblChecklist[[#This Row],[TargetID]],tblTargetStatus[TargetID],tblTargetStatus[TargetFunded],"")</f>
        <v>N/A</v>
      </c>
      <c r="I44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8" spans="1:9" ht="26.15" customHeight="1">
      <c r="A448" t="s">
        <v>5742</v>
      </c>
      <c r="B448" t="str">
        <f>_xlfn.XLOOKUP(tblChecklist[[#This Row],[TargetID]],tblTargets[TargetID],tblTargets[DisplayName])</f>
        <v>Visit Baghdad</v>
      </c>
      <c r="C448" s="2" t="str">
        <f>_xlfn.XLOOKUP(
 tblChecklist[[#This Row],[TargetID]],
 tblTargetStatus[TargetID],
 tblTargetStatus[successors],
 ""
)</f>
        <v>Silk Road Finished</v>
      </c>
      <c r="D448" s="79" t="str">
        <f>_xlfn.XLOOKUP(tblChecklist[[#This Row],[TargetID]],tblTargets[TargetID],tblTargets[TargetType],"")</f>
        <v>STATE</v>
      </c>
      <c r="E448" s="79" t="str">
        <f>_xlfn.XLOOKUP(tblChecklist[[#This Row],[TargetID]],tblTargetStatus[TargetID],tblTargetStatus[ChainAwareStatus],"")</f>
        <v>BLOCKED</v>
      </c>
      <c r="G448" s="82" t="b">
        <v>0</v>
      </c>
      <c r="H448" s="79" t="str">
        <f>_xlfn.XLOOKUP(tblChecklist[[#This Row],[TargetID]],tblTargetStatus[TargetID],tblTargetStatus[TargetFunded],"")</f>
        <v>N/A</v>
      </c>
      <c r="I44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9" spans="1:9" ht="26.15" customHeight="1">
      <c r="A449" t="s">
        <v>5743</v>
      </c>
      <c r="B449" t="str">
        <f>_xlfn.XLOOKUP(tblChecklist[[#This Row],[TargetID]],tblTargets[TargetID],tblTargets[DisplayName])</f>
        <v>Visit Beijing</v>
      </c>
      <c r="C449" s="2" t="str">
        <f>_xlfn.XLOOKUP(
 tblChecklist[[#This Row],[TargetID]],
 tblTargetStatus[TargetID],
 tblTargetStatus[successors],
 ""
)</f>
        <v>Silk Road Finished</v>
      </c>
      <c r="D449" s="79" t="str">
        <f>_xlfn.XLOOKUP(tblChecklist[[#This Row],[TargetID]],tblTargets[TargetID],tblTargets[TargetType],"")</f>
        <v>STATE</v>
      </c>
      <c r="E449" s="79" t="str">
        <f>_xlfn.XLOOKUP(tblChecklist[[#This Row],[TargetID]],tblTargetStatus[TargetID],tblTargetStatus[ChainAwareStatus],"")</f>
        <v>BLOCKED</v>
      </c>
      <c r="G449" s="82" t="b">
        <v>0</v>
      </c>
      <c r="H449" s="79" t="str">
        <f>_xlfn.XLOOKUP(tblChecklist[[#This Row],[TargetID]],tblTargetStatus[TargetID],tblTargetStatus[TargetFunded],"")</f>
        <v>N/A</v>
      </c>
      <c r="I44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0" spans="1:9" ht="26.15" customHeight="1">
      <c r="A450" t="s">
        <v>5744</v>
      </c>
      <c r="B450" t="str">
        <f>_xlfn.XLOOKUP(tblChecklist[[#This Row],[TargetID]],tblTargets[TargetID],tblTargets[DisplayName])</f>
        <v>Visit Cairo</v>
      </c>
      <c r="C450" s="2" t="str">
        <f>_xlfn.XLOOKUP(
 tblChecklist[[#This Row],[TargetID]],
 tblTargetStatus[TargetID],
 tblTargetStatus[successors],
 ""
)</f>
        <v>Silk Road Finished</v>
      </c>
      <c r="D450" s="79" t="str">
        <f>_xlfn.XLOOKUP(tblChecklist[[#This Row],[TargetID]],tblTargets[TargetID],tblTargets[TargetType],"")</f>
        <v>STATE</v>
      </c>
      <c r="E450" s="79" t="str">
        <f>_xlfn.XLOOKUP(tblChecklist[[#This Row],[TargetID]],tblTargetStatus[TargetID],tblTargetStatus[ChainAwareStatus],"")</f>
        <v>BLOCKED</v>
      </c>
      <c r="G450" s="82" t="b">
        <v>0</v>
      </c>
      <c r="H450" s="79" t="str">
        <f>_xlfn.XLOOKUP(tblChecklist[[#This Row],[TargetID]],tblTargetStatus[TargetID],tblTargetStatus[TargetFunded],"")</f>
        <v>N/A</v>
      </c>
      <c r="I4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1" spans="1:9" ht="26.15" customHeight="1">
      <c r="A451" t="s">
        <v>5745</v>
      </c>
      <c r="B451" t="str">
        <f>_xlfn.XLOOKUP(tblChecklist[[#This Row],[TargetID]],tblTargets[TargetID],tblTargets[DisplayName])</f>
        <v>Visit Delhi</v>
      </c>
      <c r="C451" s="2" t="str">
        <f>_xlfn.XLOOKUP(
 tblChecklist[[#This Row],[TargetID]],
 tblTargetStatus[TargetID],
 tblTargetStatus[successors],
 ""
)</f>
        <v>Silk Road Finished</v>
      </c>
      <c r="D451" s="79" t="str">
        <f>_xlfn.XLOOKUP(tblChecklist[[#This Row],[TargetID]],tblTargets[TargetID],tblTargets[TargetType],"")</f>
        <v>STATE</v>
      </c>
      <c r="E451" s="79" t="str">
        <f>_xlfn.XLOOKUP(tblChecklist[[#This Row],[TargetID]],tblTargetStatus[TargetID],tblTargetStatus[ChainAwareStatus],"")</f>
        <v>BLOCKED</v>
      </c>
      <c r="G451" s="82" t="b">
        <v>0</v>
      </c>
      <c r="H451" s="79" t="str">
        <f>_xlfn.XLOOKUP(tblChecklist[[#This Row],[TargetID]],tblTargetStatus[TargetID],tblTargetStatus[TargetFunded],"")</f>
        <v>N/A</v>
      </c>
      <c r="I45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2" spans="1:9" ht="26.15" customHeight="1">
      <c r="A452" t="s">
        <v>3446</v>
      </c>
      <c r="B452" t="str">
        <f>_xlfn.XLOOKUP(tblChecklist[[#This Row],[TargetID]],tblTargets[TargetID],tblTargets[DisplayName])</f>
        <v>Visit Dungeon@4A</v>
      </c>
      <c r="C452" s="2" t="str">
        <f>_xlfn.XLOOKUP(
 tblChecklist[[#This Row],[TargetID]],
 tblTargetStatus[TargetID],
 tblTargetStatus[successors],
 ""
)</f>
        <v>Magic Beans Accepted</v>
      </c>
      <c r="D452" s="79" t="str">
        <f>_xlfn.XLOOKUP(tblChecklist[[#This Row],[TargetID]],tblTargets[TargetID],tblTargets[TargetType],"")</f>
        <v>STATE</v>
      </c>
      <c r="E452" s="79" t="str">
        <f>_xlfn.XLOOKUP(tblChecklist[[#This Row],[TargetID]],tblTargetStatus[TargetID],tblTargetStatus[ChainAwareStatus],"")</f>
        <v>BLOCKED</v>
      </c>
      <c r="G452" s="82" t="b">
        <v>0</v>
      </c>
      <c r="H452" s="79" t="str">
        <f>_xlfn.XLOOKUP(tblChecklist[[#This Row],[TargetID]],tblTargetStatus[TargetID],tblTargetStatus[TargetFunded],"")</f>
        <v>N/A</v>
      </c>
      <c r="I45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3" spans="1:9" ht="26.15" customHeight="1">
      <c r="A453" t="s">
        <v>6042</v>
      </c>
      <c r="B453" t="str">
        <f>_xlfn.XLOOKUP(tblChecklist[[#This Row],[TargetID]],tblTargets[TargetID],tblTargets[DisplayName])</f>
        <v xml:space="preserve">Visit Dungeon@5A </v>
      </c>
      <c r="C453" s="2" t="str">
        <f>_xlfn.XLOOKUP(
 tblChecklist[[#This Row],[TargetID]],
 tblTargetStatus[TargetID],
 tblTargetStatus[successors],
 ""
)</f>
        <v>Undead Revenge Accepted</v>
      </c>
      <c r="D453" s="79" t="str">
        <f>_xlfn.XLOOKUP(tblChecklist[[#This Row],[TargetID]],tblTargets[TargetID],tblTargets[TargetType],"")</f>
        <v>STATE</v>
      </c>
      <c r="E453" s="79" t="str">
        <f>_xlfn.XLOOKUP(tblChecklist[[#This Row],[TargetID]],tblTargetStatus[TargetID],tblTargetStatus[ChainAwareStatus],"")</f>
        <v>BLOCKED</v>
      </c>
      <c r="G453" s="82" t="b">
        <v>0</v>
      </c>
      <c r="H453" s="79" t="str">
        <f>_xlfn.XLOOKUP(tblChecklist[[#This Row],[TargetID]],tblTargetStatus[TargetID],tblTargetStatus[TargetFunded],"")</f>
        <v>N/A</v>
      </c>
      <c r="I45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4" spans="1:9" ht="26.15" customHeight="1">
      <c r="A454" t="s">
        <v>3434</v>
      </c>
      <c r="B454" t="str">
        <f>_xlfn.XLOOKUP(tblChecklist[[#This Row],[TargetID]],tblTargets[TargetID],tblTargets[DisplayName])</f>
        <v>Visit Dungeon@6A</v>
      </c>
      <c r="C454" s="2" t="str">
        <f>_xlfn.XLOOKUP(
 tblChecklist[[#This Row],[TargetID]],
 tblTargetStatus[TargetID],
 tblTargetStatus[successors],
 ""
)</f>
        <v>Ahead of Time Chapter 2 Accepted</v>
      </c>
      <c r="D454" s="79" t="str">
        <f>_xlfn.XLOOKUP(tblChecklist[[#This Row],[TargetID]],tblTargets[TargetID],tblTargets[TargetType],"")</f>
        <v>STATE</v>
      </c>
      <c r="E454" s="79" t="str">
        <f>_xlfn.XLOOKUP(tblChecklist[[#This Row],[TargetID]],tblTargetStatus[TargetID],tblTargetStatus[ChainAwareStatus],"")</f>
        <v>BLOCKED</v>
      </c>
      <c r="G454" s="82" t="b">
        <v>0</v>
      </c>
      <c r="H454" s="79" t="str">
        <f>_xlfn.XLOOKUP(tblChecklist[[#This Row],[TargetID]],tblTargetStatus[TargetID],tblTargetStatus[TargetFunded],"")</f>
        <v>N/A</v>
      </c>
      <c r="I45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5" spans="1:9" ht="26.15" customHeight="1">
      <c r="A455" t="s">
        <v>5761</v>
      </c>
      <c r="B455" t="str">
        <f>_xlfn.XLOOKUP(tblChecklist[[#This Row],[TargetID]],tblTargets[TargetID],tblTargets[DisplayName])</f>
        <v>Visit Fukushima</v>
      </c>
      <c r="C455" s="2" t="str">
        <f>_xlfn.XLOOKUP(
 tblChecklist[[#This Row],[TargetID]],
 tblTargetStatus[TargetID],
 tblTargetStatus[successors],
 ""
)</f>
        <v>Journey Through Japan By Train Finished</v>
      </c>
      <c r="D455" s="79" t="str">
        <f>_xlfn.XLOOKUP(tblChecklist[[#This Row],[TargetID]],tblTargets[TargetID],tblTargets[TargetType],"")</f>
        <v>STATE</v>
      </c>
      <c r="E455" s="79" t="str">
        <f>_xlfn.XLOOKUP(tblChecklist[[#This Row],[TargetID]],tblTargetStatus[TargetID],tblTargetStatus[ChainAwareStatus],"")</f>
        <v>BLOCKED</v>
      </c>
      <c r="G455" s="82" t="b">
        <v>0</v>
      </c>
      <c r="H455" s="79" t="str">
        <f>_xlfn.XLOOKUP(tblChecklist[[#This Row],[TargetID]],tblTargetStatus[TargetID],tblTargetStatus[TargetFunded],"")</f>
        <v>N/A</v>
      </c>
      <c r="I45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6" spans="1:9" ht="26.15" customHeight="1">
      <c r="A456" t="s">
        <v>5746</v>
      </c>
      <c r="B456" t="str">
        <f>_xlfn.XLOOKUP(tblChecklist[[#This Row],[TargetID]],tblTargets[TargetID],tblTargets[DisplayName])</f>
        <v>Visit Kyiv</v>
      </c>
      <c r="C456" s="2" t="str">
        <f>_xlfn.XLOOKUP(
 tblChecklist[[#This Row],[TargetID]],
 tblTargetStatus[TargetID],
 tblTargetStatus[successors],
 ""
)</f>
        <v>Silk Road Finished</v>
      </c>
      <c r="D456" s="79" t="str">
        <f>_xlfn.XLOOKUP(tblChecklist[[#This Row],[TargetID]],tblTargets[TargetID],tblTargets[TargetType],"")</f>
        <v>STATE</v>
      </c>
      <c r="E456" s="79" t="str">
        <f>_xlfn.XLOOKUP(tblChecklist[[#This Row],[TargetID]],tblTargetStatus[TargetID],tblTargetStatus[ChainAwareStatus],"")</f>
        <v>BLOCKED</v>
      </c>
      <c r="G456" s="82" t="b">
        <v>0</v>
      </c>
      <c r="H456" s="79" t="str">
        <f>_xlfn.XLOOKUP(tblChecklist[[#This Row],[TargetID]],tblTargetStatus[TargetID],tblTargetStatus[TargetFunded],"")</f>
        <v>N/A</v>
      </c>
      <c r="I4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7" spans="1:9" ht="26.15" customHeight="1">
      <c r="A457" t="s">
        <v>5762</v>
      </c>
      <c r="B457" t="str">
        <f>_xlfn.XLOOKUP(tblChecklist[[#This Row],[TargetID]],tblTargets[TargetID],tblTargets[DisplayName])</f>
        <v>Visit Kyoto</v>
      </c>
      <c r="C457" s="2" t="str">
        <f>_xlfn.XLOOKUP(
 tblChecklist[[#This Row],[TargetID]],
 tblTargetStatus[TargetID],
 tblTargetStatus[successors],
 ""
)</f>
        <v>Journey Through Japan By Train Finished</v>
      </c>
      <c r="D457" s="79" t="str">
        <f>_xlfn.XLOOKUP(tblChecklist[[#This Row],[TargetID]],tblTargets[TargetID],tblTargets[TargetType],"")</f>
        <v>STATE</v>
      </c>
      <c r="E457" s="79" t="str">
        <f>_xlfn.XLOOKUP(tblChecklist[[#This Row],[TargetID]],tblTargetStatus[TargetID],tblTargetStatus[ChainAwareStatus],"")</f>
        <v>BLOCKED</v>
      </c>
      <c r="G457" s="82" t="b">
        <v>0</v>
      </c>
      <c r="H457" s="79" t="str">
        <f>_xlfn.XLOOKUP(tblChecklist[[#This Row],[TargetID]],tblTargetStatus[TargetID],tblTargetStatus[TargetFunded],"")</f>
        <v>N/A</v>
      </c>
      <c r="I45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8" spans="1:9" ht="26.15" customHeight="1">
      <c r="A458" t="s">
        <v>5705</v>
      </c>
      <c r="B458" t="str">
        <f>_xlfn.XLOOKUP(tblChecklist[[#This Row],[TargetID]],tblTargets[TargetID],tblTargets[DisplayName])</f>
        <v>Visit Melbourne in Airship</v>
      </c>
      <c r="C458" s="2" t="str">
        <f>_xlfn.XLOOKUP(
 tblChecklist[[#This Row],[TargetID]],
 tblTargetStatus[TargetID],
 tblTargetStatus[successors],
 ""
)</f>
        <v>Once Upon a Forest Chapter 11 Finished</v>
      </c>
      <c r="D458" s="79" t="str">
        <f>_xlfn.XLOOKUP(tblChecklist[[#This Row],[TargetID]],tblTargets[TargetID],tblTargets[TargetType],"")</f>
        <v>STATE</v>
      </c>
      <c r="E458" s="79" t="str">
        <f>_xlfn.XLOOKUP(tblChecklist[[#This Row],[TargetID]],tblTargetStatus[TargetID],tblTargetStatus[ChainAwareStatus],"")</f>
        <v>BLOCKED</v>
      </c>
      <c r="G458" s="82" t="b">
        <v>0</v>
      </c>
      <c r="H458" s="79" t="str">
        <f>_xlfn.XLOOKUP(tblChecklist[[#This Row],[TargetID]],tblTargetStatus[TargetID],tblTargetStatus[TargetFunded],"")</f>
        <v>N/A</v>
      </c>
      <c r="I45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9" spans="1:9" ht="26.15" customHeight="1">
      <c r="A459" t="s">
        <v>5763</v>
      </c>
      <c r="B459" t="str">
        <f>_xlfn.XLOOKUP(tblChecklist[[#This Row],[TargetID]],tblTargets[TargetID],tblTargets[DisplayName])</f>
        <v>Visit Nagasaki</v>
      </c>
      <c r="C459" s="2" t="str">
        <f>_xlfn.XLOOKUP(
 tblChecklist[[#This Row],[TargetID]],
 tblTargetStatus[TargetID],
 tblTargetStatus[successors],
 ""
)</f>
        <v>Journey Through Japan By Train Finished</v>
      </c>
      <c r="D459" s="79" t="str">
        <f>_xlfn.XLOOKUP(tblChecklist[[#This Row],[TargetID]],tblTargets[TargetID],tblTargets[TargetType],"")</f>
        <v>STATE</v>
      </c>
      <c r="E459" s="79" t="str">
        <f>_xlfn.XLOOKUP(tblChecklist[[#This Row],[TargetID]],tblTargetStatus[TargetID],tblTargetStatus[ChainAwareStatus],"")</f>
        <v>BLOCKED</v>
      </c>
      <c r="G459" s="82" t="b">
        <v>0</v>
      </c>
      <c r="H459" s="79" t="str">
        <f>_xlfn.XLOOKUP(tblChecklist[[#This Row],[TargetID]],tblTargetStatus[TargetID],tblTargetStatus[TargetFunded],"")</f>
        <v>N/A</v>
      </c>
      <c r="I45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0" spans="1:9" ht="26.15" customHeight="1">
      <c r="A460" t="s">
        <v>5764</v>
      </c>
      <c r="B460" t="str">
        <f>_xlfn.XLOOKUP(tblChecklist[[#This Row],[TargetID]],tblTargets[TargetID],tblTargets[DisplayName])</f>
        <v>Visit Osaka</v>
      </c>
      <c r="C460" s="2" t="str">
        <f>_xlfn.XLOOKUP(
 tblChecklist[[#This Row],[TargetID]],
 tblTargetStatus[TargetID],
 tblTargetStatus[successors],
 ""
)</f>
        <v>Journey Through Japan By Train Finished</v>
      </c>
      <c r="D460" s="79" t="str">
        <f>_xlfn.XLOOKUP(tblChecklist[[#This Row],[TargetID]],tblTargets[TargetID],tblTargets[TargetType],"")</f>
        <v>STATE</v>
      </c>
      <c r="E460" s="79" t="str">
        <f>_xlfn.XLOOKUP(tblChecklist[[#This Row],[TargetID]],tblTargetStatus[TargetID],tblTargetStatus[ChainAwareStatus],"")</f>
        <v>BLOCKED</v>
      </c>
      <c r="G460" s="82" t="b">
        <v>0</v>
      </c>
      <c r="H460" s="79" t="str">
        <f>_xlfn.XLOOKUP(tblChecklist[[#This Row],[TargetID]],tblTargetStatus[TargetID],tblTargetStatus[TargetFunded],"")</f>
        <v>N/A</v>
      </c>
      <c r="I46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1" spans="1:9" ht="26.15" customHeight="1">
      <c r="A461" t="s">
        <v>5688</v>
      </c>
      <c r="B461" t="str">
        <f>_xlfn.XLOOKUP(tblChecklist[[#This Row],[TargetID]],tblTargets[TargetID],tblTargets[DisplayName])</f>
        <v>Visit Paris in the Airship</v>
      </c>
      <c r="C461" s="2" t="str">
        <f>_xlfn.XLOOKUP(
 tblChecklist[[#This Row],[TargetID]],
 tblTargetStatus[TargetID],
 tblTargetStatus[successors],
 ""
)</f>
        <v>The Ordinary Days of an Adventurer Chapter 8 Finished</v>
      </c>
      <c r="D461" s="79" t="str">
        <f>_xlfn.XLOOKUP(tblChecklist[[#This Row],[TargetID]],tblTargets[TargetID],tblTargets[TargetType],"")</f>
        <v>STATE</v>
      </c>
      <c r="E461" s="79" t="str">
        <f>_xlfn.XLOOKUP(tblChecklist[[#This Row],[TargetID]],tblTargetStatus[TargetID],tblTargetStatus[ChainAwareStatus],"")</f>
        <v>BLOCKED</v>
      </c>
      <c r="G461" s="82" t="b">
        <v>0</v>
      </c>
      <c r="H461" s="79" t="str">
        <f>_xlfn.XLOOKUP(tblChecklist[[#This Row],[TargetID]],tblTargetStatus[TargetID],tblTargetStatus[TargetFunded],"")</f>
        <v>N/A</v>
      </c>
      <c r="I46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2" spans="1:9" ht="26.15" customHeight="1">
      <c r="A462" t="s">
        <v>5747</v>
      </c>
      <c r="B462" t="str">
        <f>_xlfn.XLOOKUP(tblChecklist[[#This Row],[TargetID]],tblTargets[TargetID],tblTargets[DisplayName])</f>
        <v>Visit Rome</v>
      </c>
      <c r="C462" s="2" t="str">
        <f>_xlfn.XLOOKUP(
 tblChecklist[[#This Row],[TargetID]],
 tblTargetStatus[TargetID],
 tblTargetStatus[successors],
 ""
)</f>
        <v>Silk Road Finished</v>
      </c>
      <c r="D462" s="79" t="str">
        <f>_xlfn.XLOOKUP(tblChecklist[[#This Row],[TargetID]],tblTargets[TargetID],tblTargets[TargetType],"")</f>
        <v>STATE</v>
      </c>
      <c r="E462" s="79" t="str">
        <f>_xlfn.XLOOKUP(tblChecklist[[#This Row],[TargetID]],tblTargetStatus[TargetID],tblTargetStatus[ChainAwareStatus],"")</f>
        <v>BLOCKED</v>
      </c>
      <c r="G462" s="82" t="b">
        <v>0</v>
      </c>
      <c r="H462" s="79" t="str">
        <f>_xlfn.XLOOKUP(tblChecklist[[#This Row],[TargetID]],tblTargetStatus[TargetID],tblTargetStatus[TargetFunded],"")</f>
        <v>N/A</v>
      </c>
      <c r="I46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3" spans="1:9" ht="26.15" customHeight="1">
      <c r="A463" t="s">
        <v>5765</v>
      </c>
      <c r="B463" t="str">
        <f>_xlfn.XLOOKUP(tblChecklist[[#This Row],[TargetID]],tblTargets[TargetID],tblTargets[DisplayName])</f>
        <v>Visit Tokyo</v>
      </c>
      <c r="C463" s="2" t="str">
        <f>_xlfn.XLOOKUP(
 tblChecklist[[#This Row],[TargetID]],
 tblTargetStatus[TargetID],
 tblTargetStatus[successors],
 ""
)</f>
        <v>Journey Through Japan By Train Finished</v>
      </c>
      <c r="D463" s="79" t="str">
        <f>_xlfn.XLOOKUP(tblChecklist[[#This Row],[TargetID]],tblTargets[TargetID],tblTargets[TargetType],"")</f>
        <v>STATE</v>
      </c>
      <c r="E463" s="79" t="str">
        <f>_xlfn.XLOOKUP(tblChecklist[[#This Row],[TargetID]],tblTargetStatus[TargetID],tblTargetStatus[ChainAwareStatus],"")</f>
        <v>BLOCKED</v>
      </c>
      <c r="G463" s="82" t="b">
        <v>0</v>
      </c>
      <c r="H463" s="79" t="str">
        <f>_xlfn.XLOOKUP(tblChecklist[[#This Row],[TargetID]],tblTargetStatus[TargetID],tblTargetStatus[TargetFunded],"")</f>
        <v>N/A</v>
      </c>
      <c r="I46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4" spans="1:9" ht="26.15" customHeight="1">
      <c r="A464" t="s">
        <v>5766</v>
      </c>
      <c r="B464" t="str">
        <f>_xlfn.XLOOKUP(tblChecklist[[#This Row],[TargetID]],tblTargets[TargetID],tblTargets[DisplayName])</f>
        <v>Visit Wakayama</v>
      </c>
      <c r="C464" s="2" t="str">
        <f>_xlfn.XLOOKUP(
 tblChecklist[[#This Row],[TargetID]],
 tblTargetStatus[TargetID],
 tblTargetStatus[successors],
 ""
)</f>
        <v>Journey Through Japan By Train Finished</v>
      </c>
      <c r="D464" s="79" t="str">
        <f>_xlfn.XLOOKUP(tblChecklist[[#This Row],[TargetID]],tblTargets[TargetID],tblTargets[TargetType],"")</f>
        <v>STATE</v>
      </c>
      <c r="E464" s="79" t="str">
        <f>_xlfn.XLOOKUP(tblChecklist[[#This Row],[TargetID]],tblTargetStatus[TargetID],tblTargetStatus[ChainAwareStatus],"")</f>
        <v>BLOCKED</v>
      </c>
      <c r="G464" s="82" t="b">
        <v>0</v>
      </c>
      <c r="H464" s="79" t="str">
        <f>_xlfn.XLOOKUP(tblChecklist[[#This Row],[TargetID]],tblTargetStatus[TargetID],tblTargetStatus[TargetFunded],"")</f>
        <v>N/A</v>
      </c>
      <c r="I46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5" spans="1:9" ht="26.15" customHeight="1">
      <c r="A465" t="s">
        <v>5748</v>
      </c>
      <c r="B465" t="str">
        <f>_xlfn.XLOOKUP(tblChecklist[[#This Row],[TargetID]],tblTargets[TargetID],tblTargets[DisplayName])</f>
        <v>Visit Xian</v>
      </c>
      <c r="C465" s="2" t="str">
        <f>_xlfn.XLOOKUP(
 tblChecklist[[#This Row],[TargetID]],
 tblTargetStatus[TargetID],
 tblTargetStatus[successors],
 ""
)</f>
        <v>Silk Road Finished</v>
      </c>
      <c r="D465" s="79" t="str">
        <f>_xlfn.XLOOKUP(tblChecklist[[#This Row],[TargetID]],tblTargets[TargetID],tblTargets[TargetType],"")</f>
        <v>STATE</v>
      </c>
      <c r="E465" s="79" t="str">
        <f>_xlfn.XLOOKUP(tblChecklist[[#This Row],[TargetID]],tblTargetStatus[TargetID],tblTargetStatus[ChainAwareStatus],"")</f>
        <v>BLOCKED</v>
      </c>
      <c r="G465" s="82" t="b">
        <v>0</v>
      </c>
      <c r="H465" s="79" t="str">
        <f>_xlfn.XLOOKUP(tblChecklist[[#This Row],[TargetID]],tblTargetStatus[TargetID],tblTargetStatus[TargetFunded],"")</f>
        <v>N/A</v>
      </c>
      <c r="I46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6" spans="1:9" ht="26.15" customHeight="1">
      <c r="A466" t="s">
        <v>2093</v>
      </c>
      <c r="B466" t="str">
        <f>_xlfn.XLOOKUP(tblChecklist[[#This Row],[TargetID]],tblTargets[TargetID],tblTargets[DisplayName])</f>
        <v>Airship - Titanium Longerons</v>
      </c>
      <c r="C466" s="2" t="str">
        <f>_xlfn.XLOOKUP(
 tblChecklist[[#This Row],[TargetID]],
 tblTargetStatus[TargetID],
 tblTargetStatus[successors],
 ""
)</f>
        <v/>
      </c>
      <c r="D466" s="79" t="str">
        <f>_xlfn.XLOOKUP(tblChecklist[[#This Row],[TargetID]],tblTargets[TargetID],tblTargets[TargetType],"")</f>
        <v>TECH</v>
      </c>
      <c r="E466" s="79" t="str">
        <f>_xlfn.XLOOKUP(tblChecklist[[#This Row],[TargetID]],tblTargetStatus[TargetID],tblTargetStatus[ChainAwareStatus],"")</f>
        <v>BLOCKED</v>
      </c>
      <c r="F466" s="79">
        <v>1</v>
      </c>
      <c r="G466" s="82" t="b">
        <v>0</v>
      </c>
      <c r="H466" s="79" t="b">
        <f>_xlfn.XLOOKUP(tblChecklist[[#This Row],[TargetID]],tblTargetStatus[TargetID],tblTargetStatus[TargetFunded],"")</f>
        <v>0</v>
      </c>
      <c r="I46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7" spans="1:9" ht="26.15" customHeight="1">
      <c r="A467" t="s">
        <v>2128</v>
      </c>
      <c r="B467" t="str">
        <f>_xlfn.XLOOKUP(tblChecklist[[#This Row],[TargetID]],tblTargets[TargetID],tblTargets[DisplayName])</f>
        <v>Alchemists Hut - Advanced Fertilizer</v>
      </c>
      <c r="C467" s="2" t="str">
        <f>_xlfn.XLOOKUP(
 tblChecklist[[#This Row],[TargetID]],
 tblTargetStatus[TargetID],
 tblTargetStatus[successors],
 ""
)</f>
        <v/>
      </c>
      <c r="D467" s="79" t="str">
        <f>_xlfn.XLOOKUP(tblChecklist[[#This Row],[TargetID]],tblTargets[TargetID],tblTargets[TargetType],"")</f>
        <v>TECH</v>
      </c>
      <c r="E467" s="79" t="str">
        <f>_xlfn.XLOOKUP(tblChecklist[[#This Row],[TargetID]],tblTargetStatus[TargetID],tblTargetStatus[ChainAwareStatus],"")</f>
        <v>BLOCKED</v>
      </c>
      <c r="G467" s="82" t="b">
        <v>0</v>
      </c>
      <c r="H467" s="79" t="b">
        <f>_xlfn.XLOOKUP(tblChecklist[[#This Row],[TargetID]],tblTargetStatus[TargetID],tblTargetStatus[TargetFunded],"")</f>
        <v>0</v>
      </c>
      <c r="I46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8" spans="1:9" ht="26.15" customHeight="1">
      <c r="A468" t="s">
        <v>2100</v>
      </c>
      <c r="B468" t="str">
        <f>_xlfn.XLOOKUP(tblChecklist[[#This Row],[TargetID]],tblTargets[TargetID],tblTargets[DisplayName])</f>
        <v>Alchemists Hut - Balm</v>
      </c>
      <c r="C468" s="2" t="str">
        <f>_xlfn.XLOOKUP(
 tblChecklist[[#This Row],[TargetID]],
 tblTargetStatus[TargetID],
 tblTargetStatus[successors],
 ""
)</f>
        <v/>
      </c>
      <c r="D468" s="79" t="str">
        <f>_xlfn.XLOOKUP(tblChecklist[[#This Row],[TargetID]],tblTargets[TargetID],tblTargets[TargetType],"")</f>
        <v>TECH</v>
      </c>
      <c r="E468" s="79" t="str">
        <f>_xlfn.XLOOKUP(tblChecklist[[#This Row],[TargetID]],tblTargetStatus[TargetID],tblTargetStatus[ChainAwareStatus],"")</f>
        <v>BLOCKED</v>
      </c>
      <c r="G468" s="82" t="b">
        <v>0</v>
      </c>
      <c r="H468" s="79" t="b">
        <f>_xlfn.XLOOKUP(tblChecklist[[#This Row],[TargetID]],tblTargetStatus[TargetID],tblTargetStatus[TargetFunded],"")</f>
        <v>0</v>
      </c>
      <c r="I46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9" spans="1:9" ht="26.15" customHeight="1">
      <c r="A469" t="s">
        <v>2120</v>
      </c>
      <c r="B469" t="str">
        <f>_xlfn.XLOOKUP(tblChecklist[[#This Row],[TargetID]],tblTargets[TargetID],tblTargets[DisplayName])</f>
        <v>Alchemists Hut - Conveyor Lvl 1</v>
      </c>
      <c r="C469" s="2" t="str">
        <f>_xlfn.XLOOKUP(
 tblChecklist[[#This Row],[TargetID]],
 tblTargetStatus[TargetID],
 tblTargetStatus[successors],
 ""
)</f>
        <v>Alchemists Hut - Conveyor Lvl 2</v>
      </c>
      <c r="D469" s="79" t="str">
        <f>_xlfn.XLOOKUP(tblChecklist[[#This Row],[TargetID]],tblTargets[TargetID],tblTargets[TargetType],"")</f>
        <v>TECH</v>
      </c>
      <c r="E469" s="79" t="str">
        <f>_xlfn.XLOOKUP(tblChecklist[[#This Row],[TargetID]],tblTargetStatus[TargetID],tblTargetStatus[ChainAwareStatus],"")</f>
        <v>BLOCKED</v>
      </c>
      <c r="G469" s="82" t="b">
        <v>0</v>
      </c>
      <c r="H469" s="79" t="b">
        <f>_xlfn.XLOOKUP(tblChecklist[[#This Row],[TargetID]],tblTargetStatus[TargetID],tblTargetStatus[TargetFunded],"")</f>
        <v>0</v>
      </c>
      <c r="I46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0" spans="1:9" ht="26.15" customHeight="1">
      <c r="A470" t="s">
        <v>2122</v>
      </c>
      <c r="B470" t="str">
        <f>_xlfn.XLOOKUP(tblChecklist[[#This Row],[TargetID]],tblTargets[TargetID],tblTargets[DisplayName])</f>
        <v>Alchemists Hut - Conveyor Lvl 2</v>
      </c>
      <c r="C470" s="2" t="str">
        <f>_xlfn.XLOOKUP(
 tblChecklist[[#This Row],[TargetID]],
 tblTargetStatus[TargetID],
 tblTargetStatus[successors],
 ""
)</f>
        <v/>
      </c>
      <c r="D470" s="79" t="str">
        <f>_xlfn.XLOOKUP(tblChecklist[[#This Row],[TargetID]],tblTargets[TargetID],tblTargets[TargetType],"")</f>
        <v>TECH</v>
      </c>
      <c r="E470" s="79" t="str">
        <f>_xlfn.XLOOKUP(tblChecklist[[#This Row],[TargetID]],tblTargetStatus[TargetID],tblTargetStatus[ChainAwareStatus],"")</f>
        <v>BLOCKED</v>
      </c>
      <c r="G470" s="82" t="b">
        <v>0</v>
      </c>
      <c r="H470" s="79" t="b">
        <f>_xlfn.XLOOKUP(tblChecklist[[#This Row],[TargetID]],tblTargetStatus[TargetID],tblTargetStatus[TargetFunded],"")</f>
        <v>0</v>
      </c>
      <c r="I47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1" spans="1:9" ht="26.15" customHeight="1">
      <c r="A471" t="s">
        <v>2124</v>
      </c>
      <c r="B471" t="str">
        <f>_xlfn.XLOOKUP(tblChecklist[[#This Row],[TargetID]],tblTargets[TargetID],tblTargets[DisplayName])</f>
        <v>Alchemists Hut - Galvanization</v>
      </c>
      <c r="C471" s="2" t="str">
        <f>_xlfn.XLOOKUP(
 tblChecklist[[#This Row],[TargetID]],
 tblTargetStatus[TargetID],
 tblTargetStatus[successors],
 ""
)</f>
        <v/>
      </c>
      <c r="D471" s="79" t="str">
        <f>_xlfn.XLOOKUP(tblChecklist[[#This Row],[TargetID]],tblTargets[TargetID],tblTargets[TargetType],"")</f>
        <v>TECH</v>
      </c>
      <c r="E471" s="79" t="str">
        <f>_xlfn.XLOOKUP(tblChecklist[[#This Row],[TargetID]],tblTargetStatus[TargetID],tblTargetStatus[ChainAwareStatus],"")</f>
        <v>BLOCKED</v>
      </c>
      <c r="G471" s="82" t="b">
        <v>0</v>
      </c>
      <c r="H471" s="79" t="b">
        <f>_xlfn.XLOOKUP(tblChecklist[[#This Row],[TargetID]],tblTargetStatus[TargetID],tblTargetStatus[TargetFunded],"")</f>
        <v>0</v>
      </c>
      <c r="I47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2" spans="1:9" ht="26.15" customHeight="1">
      <c r="A472" t="s">
        <v>2106</v>
      </c>
      <c r="B472" t="str">
        <f>_xlfn.XLOOKUP(tblChecklist[[#This Row],[TargetID]],tblTargets[TargetID],tblTargets[DisplayName])</f>
        <v>Alchemists Hut - Gold Ingot</v>
      </c>
      <c r="C472" s="2" t="str">
        <f>_xlfn.XLOOKUP(
 tblChecklist[[#This Row],[TargetID]],
 tblTargetStatus[TargetID],
 tblTargetStatus[successors],
 ""
)</f>
        <v/>
      </c>
      <c r="D472" s="79" t="str">
        <f>_xlfn.XLOOKUP(tblChecklist[[#This Row],[TargetID]],tblTargets[TargetID],tblTargets[TargetType],"")</f>
        <v>TECH</v>
      </c>
      <c r="E472" s="79" t="str">
        <f>_xlfn.XLOOKUP(tblChecklist[[#This Row],[TargetID]],tblTargetStatus[TargetID],tblTargetStatus[ChainAwareStatus],"")</f>
        <v>BLOCKED</v>
      </c>
      <c r="F472" s="79">
        <v>800</v>
      </c>
      <c r="G472" s="82" t="b">
        <v>0</v>
      </c>
      <c r="H472" s="79" t="b">
        <f>_xlfn.XLOOKUP(tblChecklist[[#This Row],[TargetID]],tblTargetStatus[TargetID],tblTargetStatus[TargetFunded],"")</f>
        <v>0</v>
      </c>
      <c r="I47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3" spans="1:9" ht="26.15" customHeight="1">
      <c r="A473" t="s">
        <v>2096</v>
      </c>
      <c r="B473" t="str">
        <f>_xlfn.XLOOKUP(tblChecklist[[#This Row],[TargetID]],tblTargets[TargetID],tblTargets[DisplayName])</f>
        <v>Alchemists Hut - Greek Grenade</v>
      </c>
      <c r="C473" s="2" t="str">
        <f>_xlfn.XLOOKUP(
 tblChecklist[[#This Row],[TargetID]],
 tblTargetStatus[TargetID],
 tblTargetStatus[successors],
 ""
)</f>
        <v/>
      </c>
      <c r="D473" s="79" t="str">
        <f>_xlfn.XLOOKUP(tblChecklist[[#This Row],[TargetID]],tblTargets[TargetID],tblTargets[TargetType],"")</f>
        <v>TECH</v>
      </c>
      <c r="E473" s="79" t="str">
        <f>_xlfn.XLOOKUP(tblChecklist[[#This Row],[TargetID]],tblTargetStatus[TargetID],tblTargetStatus[ChainAwareStatus],"")</f>
        <v>BLOCKED</v>
      </c>
      <c r="G473" s="82" t="b">
        <v>0</v>
      </c>
      <c r="H473" s="79" t="b">
        <f>_xlfn.XLOOKUP(tblChecklist[[#This Row],[TargetID]],tblTargetStatus[TargetID],tblTargetStatus[TargetFunded],"")</f>
        <v>0</v>
      </c>
      <c r="I47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4" spans="1:9" ht="26.15" customHeight="1">
      <c r="A474" t="s">
        <v>2108</v>
      </c>
      <c r="B474" t="str">
        <f>_xlfn.XLOOKUP(tblChecklist[[#This Row],[TargetID]],tblTargets[TargetID],tblTargets[DisplayName])</f>
        <v>Alchemists Hut - Madness Grenade</v>
      </c>
      <c r="C474" s="2" t="str">
        <f>_xlfn.XLOOKUP(
 tblChecklist[[#This Row],[TargetID]],
 tblTargetStatus[TargetID],
 tblTargetStatus[successors],
 ""
)</f>
        <v/>
      </c>
      <c r="D474" s="79" t="str">
        <f>_xlfn.XLOOKUP(tblChecklist[[#This Row],[TargetID]],tblTargets[TargetID],tblTargets[TargetType],"")</f>
        <v>TECH</v>
      </c>
      <c r="E474" s="79" t="str">
        <f>_xlfn.XLOOKUP(tblChecklist[[#This Row],[TargetID]],tblTargetStatus[TargetID],tblTargetStatus[ChainAwareStatus],"")</f>
        <v>BLOCKED</v>
      </c>
      <c r="G474" s="82" t="b">
        <v>0</v>
      </c>
      <c r="H474" s="79" t="b">
        <f>_xlfn.XLOOKUP(tblChecklist[[#This Row],[TargetID]],tblTargetStatus[TargetID],tblTargetStatus[TargetFunded],"")</f>
        <v>0</v>
      </c>
      <c r="I47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5" spans="1:9" ht="26.15" customHeight="1">
      <c r="A475" t="s">
        <v>2104</v>
      </c>
      <c r="B475" t="str">
        <f>_xlfn.XLOOKUP(tblChecklist[[#This Row],[TargetID]],tblTargets[TargetID],tblTargets[DisplayName])</f>
        <v>Alchemists Hut - Mercury</v>
      </c>
      <c r="C475" s="2" t="str">
        <f>_xlfn.XLOOKUP(
 tblChecklist[[#This Row],[TargetID]],
 tblTargetStatus[TargetID],
 tblTargetStatus[successors],
 ""
)</f>
        <v>Alchemists Hut - Gold Ingot, Alchemists Hut - Madness Grenade, Alchemists Hut - Metamorphosis</v>
      </c>
      <c r="D475" s="79" t="str">
        <f>_xlfn.XLOOKUP(tblChecklist[[#This Row],[TargetID]],tblTargets[TargetID],tblTargets[TargetType],"")</f>
        <v>TECH</v>
      </c>
      <c r="E475" s="79" t="str">
        <f>_xlfn.XLOOKUP(tblChecklist[[#This Row],[TargetID]],tblTargetStatus[TargetID],tblTargetStatus[ChainAwareStatus],"")</f>
        <v>BLOCKED</v>
      </c>
      <c r="G475" s="82" t="b">
        <v>0</v>
      </c>
      <c r="H475" s="79" t="b">
        <f>_xlfn.XLOOKUP(tblChecklist[[#This Row],[TargetID]],tblTargetStatus[TargetID],tblTargetStatus[TargetFunded],"")</f>
        <v>0</v>
      </c>
      <c r="I47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6" spans="1:9" ht="26.15" customHeight="1">
      <c r="A476" t="s">
        <v>2126</v>
      </c>
      <c r="B476" t="str">
        <f>_xlfn.XLOOKUP(tblChecklist[[#This Row],[TargetID]],tblTargets[TargetID],tblTargets[DisplayName])</f>
        <v>Alchemists Hut - Metamorphosis</v>
      </c>
      <c r="C476" s="2" t="str">
        <f>_xlfn.XLOOKUP(
 tblChecklist[[#This Row],[TargetID]],
 tblTargetStatus[TargetID],
 tblTargetStatus[successors],
 ""
)</f>
        <v/>
      </c>
      <c r="D476" s="79" t="str">
        <f>_xlfn.XLOOKUP(tblChecklist[[#This Row],[TargetID]],tblTargets[TargetID],tblTargets[TargetType],"")</f>
        <v>TECH</v>
      </c>
      <c r="E476" s="79" t="str">
        <f>_xlfn.XLOOKUP(tblChecklist[[#This Row],[TargetID]],tblTargetStatus[TargetID],tblTargetStatus[ChainAwareStatus],"")</f>
        <v>BLOCKED</v>
      </c>
      <c r="F476" s="79">
        <v>999</v>
      </c>
      <c r="G476" s="82" t="b">
        <v>0</v>
      </c>
      <c r="H476" s="79" t="b">
        <f>_xlfn.XLOOKUP(tblChecklist[[#This Row],[TargetID]],tblTargetStatus[TargetID],tblTargetStatus[TargetFunded],"")</f>
        <v>0</v>
      </c>
      <c r="I47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7" spans="1:9" ht="26.15" customHeight="1">
      <c r="A477" t="s">
        <v>3608</v>
      </c>
      <c r="B477" t="str">
        <f>_xlfn.XLOOKUP(tblChecklist[[#This Row],[TargetID]],tblTargets[TargetID],tblTargets[DisplayName])</f>
        <v>Alchemist's Hut - Perfect Fertilizer</v>
      </c>
      <c r="C477" s="2" t="str">
        <f>_xlfn.XLOOKUP(
 tblChecklist[[#This Row],[TargetID]],
 tblTargetStatus[TargetID],
 tblTargetStatus[successors],
 ""
)</f>
        <v/>
      </c>
      <c r="D477" s="79" t="str">
        <f>_xlfn.XLOOKUP(tblChecklist[[#This Row],[TargetID]],tblTargets[TargetID],tblTargets[TargetType],"")</f>
        <v>TECH</v>
      </c>
      <c r="E477" s="79" t="str">
        <f>_xlfn.XLOOKUP(tblChecklist[[#This Row],[TargetID]],tblTargetStatus[TargetID],tblTargetStatus[ChainAwareStatus],"")</f>
        <v>BLOCKED</v>
      </c>
      <c r="G477" s="82" t="b">
        <v>0</v>
      </c>
      <c r="H477" s="79" t="b">
        <f>_xlfn.XLOOKUP(tblChecklist[[#This Row],[TargetID]],tblTargetStatus[TargetID],tblTargetStatus[TargetFunded],"")</f>
        <v>0</v>
      </c>
      <c r="I47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8" spans="1:9" ht="26.15" customHeight="1">
      <c r="A478" t="s">
        <v>2118</v>
      </c>
      <c r="B478" t="str">
        <f>_xlfn.XLOOKUP(tblChecklist[[#This Row],[TargetID]],tblTargets[TargetID],tblTargets[DisplayName])</f>
        <v>Alchemists Hut - Potion Ambrosia</v>
      </c>
      <c r="C478" s="2" t="str">
        <f>_xlfn.XLOOKUP(
 tblChecklist[[#This Row],[TargetID]],
 tblTargetStatus[TargetID],
 tblTargetStatus[successors],
 ""
)</f>
        <v/>
      </c>
      <c r="D478" s="79" t="str">
        <f>_xlfn.XLOOKUP(tblChecklist[[#This Row],[TargetID]],tblTargets[TargetID],tblTargets[TargetType],"")</f>
        <v>TECH</v>
      </c>
      <c r="E478" s="79" t="str">
        <f>_xlfn.XLOOKUP(tblChecklist[[#This Row],[TargetID]],tblTargetStatus[TargetID],tblTargetStatus[ChainAwareStatus],"")</f>
        <v>BLOCKED</v>
      </c>
      <c r="G478" s="82" t="b">
        <v>0</v>
      </c>
      <c r="H478" s="79" t="b">
        <f>_xlfn.XLOOKUP(tblChecklist[[#This Row],[TargetID]],tblTargetStatus[TargetID],tblTargetStatus[TargetFunded],"")</f>
        <v>0</v>
      </c>
      <c r="I47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9" spans="1:9" ht="26.15" customHeight="1">
      <c r="A479" t="s">
        <v>2114</v>
      </c>
      <c r="B479" t="str">
        <f>_xlfn.XLOOKUP(tblChecklist[[#This Row],[TargetID]],tblTargets[TargetID],tblTargets[DisplayName])</f>
        <v>Alchemists Hut - Potion Berserker Rage</v>
      </c>
      <c r="C479" s="2" t="str">
        <f>_xlfn.XLOOKUP(
 tblChecklist[[#This Row],[TargetID]],
 tblTargetStatus[TargetID],
 tblTargetStatus[successors],
 ""
)</f>
        <v>Alchemists Hut - Potion Ambrosia</v>
      </c>
      <c r="D479" s="79" t="str">
        <f>_xlfn.XLOOKUP(tblChecklist[[#This Row],[TargetID]],tblTargets[TargetID],tblTargets[TargetType],"")</f>
        <v>TECH</v>
      </c>
      <c r="E479" s="79" t="str">
        <f>_xlfn.XLOOKUP(tblChecklist[[#This Row],[TargetID]],tblTargetStatus[TargetID],tblTargetStatus[ChainAwareStatus],"")</f>
        <v>BLOCKED</v>
      </c>
      <c r="G479" s="82" t="b">
        <v>0</v>
      </c>
      <c r="H479" s="79" t="b">
        <f>_xlfn.XLOOKUP(tblChecklist[[#This Row],[TargetID]],tblTargetStatus[TargetID],tblTargetStatus[TargetFunded],"")</f>
        <v>0</v>
      </c>
      <c r="I47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0" spans="1:9" ht="26.15" customHeight="1">
      <c r="A480" t="s">
        <v>2112</v>
      </c>
      <c r="B480" t="str">
        <f>_xlfn.XLOOKUP(tblChecklist[[#This Row],[TargetID]],tblTargets[TargetID],tblTargets[DisplayName])</f>
        <v>Alchemists Hut - Potion Of Energy</v>
      </c>
      <c r="C480" s="2" t="str">
        <f>_xlfn.XLOOKUP(
 tblChecklist[[#This Row],[TargetID]],
 tblTargetStatus[TargetID],
 tblTargetStatus[successors],
 ""
)</f>
        <v/>
      </c>
      <c r="D480" s="79" t="str">
        <f>_xlfn.XLOOKUP(tblChecklist[[#This Row],[TargetID]],tblTargets[TargetID],tblTargets[TargetType],"")</f>
        <v>TECH</v>
      </c>
      <c r="E480" s="79" t="str">
        <f>_xlfn.XLOOKUP(tblChecklist[[#This Row],[TargetID]],tblTargetStatus[TargetID],tblTargetStatus[ChainAwareStatus],"")</f>
        <v>BLOCKED</v>
      </c>
      <c r="G480" s="82" t="b">
        <v>0</v>
      </c>
      <c r="H480" s="79" t="b">
        <f>_xlfn.XLOOKUP(tblChecklist[[#This Row],[TargetID]],tblTargetStatus[TargetID],tblTargetStatus[TargetFunded],"")</f>
        <v>0</v>
      </c>
      <c r="I48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1" spans="1:9" ht="26.15" customHeight="1">
      <c r="A481" t="s">
        <v>2110</v>
      </c>
      <c r="B481" t="str">
        <f>_xlfn.XLOOKUP(tblChecklist[[#This Row],[TargetID]],tblTargets[TargetID],tblTargets[DisplayName])</f>
        <v>Alchemists Hut - Potion Of Healing</v>
      </c>
      <c r="C481" s="2" t="str">
        <f>_xlfn.XLOOKUP(
 tblChecklist[[#This Row],[TargetID]],
 tblTargetStatus[TargetID],
 tblTargetStatus[successors],
 ""
)</f>
        <v>Alchemists Hut - Potion Of Healing Lvl 2</v>
      </c>
      <c r="D481" s="79" t="str">
        <f>_xlfn.XLOOKUP(tblChecklist[[#This Row],[TargetID]],tblTargets[TargetID],tblTargets[TargetType],"")</f>
        <v>TECH</v>
      </c>
      <c r="E481" s="79" t="str">
        <f>_xlfn.XLOOKUP(tblChecklist[[#This Row],[TargetID]],tblTargetStatus[TargetID],tblTargetStatus[ChainAwareStatus],"")</f>
        <v>BLOCKED</v>
      </c>
      <c r="G481" s="82" t="b">
        <v>0</v>
      </c>
      <c r="H481" s="79" t="b">
        <f>_xlfn.XLOOKUP(tblChecklist[[#This Row],[TargetID]],tblTargetStatus[TargetID],tblTargetStatus[TargetFunded],"")</f>
        <v>0</v>
      </c>
      <c r="I48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2" spans="1:9" ht="26.15" customHeight="1">
      <c r="A482" t="s">
        <v>2116</v>
      </c>
      <c r="B482" t="str">
        <f>_xlfn.XLOOKUP(tblChecklist[[#This Row],[TargetID]],tblTargets[TargetID],tblTargets[DisplayName])</f>
        <v>Alchemists Hut - Potion Of Healing Lvl 2</v>
      </c>
      <c r="C482" s="2" t="str">
        <f>_xlfn.XLOOKUP(
 tblChecklist[[#This Row],[TargetID]],
 tblTargetStatus[TargetID],
 tblTargetStatus[successors],
 ""
)</f>
        <v>Alchemists Hut - Potion Ambrosia</v>
      </c>
      <c r="D482" s="79" t="str">
        <f>_xlfn.XLOOKUP(tblChecklist[[#This Row],[TargetID]],tblTargets[TargetID],tblTargets[TargetType],"")</f>
        <v>TECH</v>
      </c>
      <c r="E482" s="79" t="str">
        <f>_xlfn.XLOOKUP(tblChecklist[[#This Row],[TargetID]],tblTargetStatus[TargetID],tblTargetStatus[ChainAwareStatus],"")</f>
        <v>BLOCKED</v>
      </c>
      <c r="G482" s="82" t="b">
        <v>0</v>
      </c>
      <c r="H482" s="79" t="b">
        <f>_xlfn.XLOOKUP(tblChecklist[[#This Row],[TargetID]],tblTargetStatus[TargetID],tblTargetStatus[TargetFunded],"")</f>
        <v>0</v>
      </c>
      <c r="I48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3" spans="1:9" ht="26.15" customHeight="1">
      <c r="A483" t="s">
        <v>2102</v>
      </c>
      <c r="B483" t="str">
        <f>_xlfn.XLOOKUP(tblChecklist[[#This Row],[TargetID]],tblTargets[TargetID],tblTargets[DisplayName])</f>
        <v>Alchemists Hut - Potion Of Mental Power</v>
      </c>
      <c r="C483" s="2" t="str">
        <f>_xlfn.XLOOKUP(
 tblChecklist[[#This Row],[TargetID]],
 tblTargetStatus[TargetID],
 tblTargetStatus[successors],
 ""
)</f>
        <v>Craft Potion of Mental Power, Once Upon a Forest Chapter 6 Finished</v>
      </c>
      <c r="D483" s="79" t="str">
        <f>_xlfn.XLOOKUP(tblChecklist[[#This Row],[TargetID]],tblTargets[TargetID],tblTargets[TargetType],"")</f>
        <v>TECH</v>
      </c>
      <c r="E483" s="79" t="str">
        <f>_xlfn.XLOOKUP(tblChecklist[[#This Row],[TargetID]],tblTargetStatus[TargetID],tblTargetStatus[ChainAwareStatus],"")</f>
        <v>BLOCKED</v>
      </c>
      <c r="G483" s="82" t="b">
        <v>0</v>
      </c>
      <c r="H483" s="79" t="b">
        <f>_xlfn.XLOOKUP(tblChecklist[[#This Row],[TargetID]],tblTargetStatus[TargetID],tblTargetStatus[TargetFunded],"")</f>
        <v>0</v>
      </c>
      <c r="I48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4" spans="1:9" ht="26.15" customHeight="1">
      <c r="A484" t="s">
        <v>2098</v>
      </c>
      <c r="B484" t="str">
        <f>_xlfn.XLOOKUP(tblChecklist[[#This Row],[TargetID]],tblTargets[TargetID],tblTargets[DisplayName])</f>
        <v>Alchemists Hut - Synthetic Fertilizer</v>
      </c>
      <c r="C484" s="2" t="str">
        <f>_xlfn.XLOOKUP(
 tblChecklist[[#This Row],[TargetID]],
 tblTargetStatus[TargetID],
 tblTargetStatus[successors],
 ""
)</f>
        <v>Alchemists Hut - Advanced Fertilizer</v>
      </c>
      <c r="D484" s="79" t="str">
        <f>_xlfn.XLOOKUP(tblChecklist[[#This Row],[TargetID]],tblTargets[TargetID],tblTargets[TargetType],"")</f>
        <v>TECH</v>
      </c>
      <c r="E484" s="79" t="str">
        <f>_xlfn.XLOOKUP(tblChecklist[[#This Row],[TargetID]],tblTargetStatus[TargetID],tblTargetStatus[ChainAwareStatus],"")</f>
        <v>BLOCKED</v>
      </c>
      <c r="G484" s="82" t="b">
        <v>0</v>
      </c>
      <c r="H484" s="79" t="b">
        <f>_xlfn.XLOOKUP(tblChecklist[[#This Row],[TargetID]],tblTargetStatus[TargetID],tblTargetStatus[TargetFunded],"")</f>
        <v>0</v>
      </c>
      <c r="I48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5" spans="1:9" ht="26.15" customHeight="1">
      <c r="A485" t="s">
        <v>2130</v>
      </c>
      <c r="B485" t="str">
        <f>_xlfn.XLOOKUP(tblChecklist[[#This Row],[TargetID]],tblTargets[TargetID],tblTargets[DisplayName])</f>
        <v>Bridge - Koi Fish</v>
      </c>
      <c r="C485" s="2" t="str">
        <f>_xlfn.XLOOKUP(
 tblChecklist[[#This Row],[TargetID]],
 tblTargetStatus[TargetID],
 tblTargetStatus[successors],
 ""
)</f>
        <v/>
      </c>
      <c r="D485" s="79" t="str">
        <f>_xlfn.XLOOKUP(tblChecklist[[#This Row],[TargetID]],tblTargets[TargetID],tblTargets[TargetType],"")</f>
        <v>TECH</v>
      </c>
      <c r="E485" s="79" t="str">
        <f>_xlfn.XLOOKUP(tblChecklist[[#This Row],[TargetID]],tblTargetStatus[TargetID],tblTargetStatus[ChainAwareStatus],"")</f>
        <v>BLOCKED</v>
      </c>
      <c r="G485" s="82" t="b">
        <v>0</v>
      </c>
      <c r="H485" s="79" t="b">
        <f>_xlfn.XLOOKUP(tblChecklist[[#This Row],[TargetID]],tblTargetStatus[TargetID],tblTargetStatus[TargetFunded],"")</f>
        <v>0</v>
      </c>
      <c r="I48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6" spans="1:9" ht="26.15" customHeight="1">
      <c r="A486" t="s">
        <v>2132</v>
      </c>
      <c r="B486" t="str">
        <f>_xlfn.XLOOKUP(tblChecklist[[#This Row],[TargetID]],tblTargets[TargetID],tblTargets[DisplayName])</f>
        <v>Bridge - Salmon Farming</v>
      </c>
      <c r="C486" s="2" t="str">
        <f>_xlfn.XLOOKUP(
 tblChecklist[[#This Row],[TargetID]],
 tblTargetStatus[TargetID],
 tblTargetStatus[successors],
 ""
)</f>
        <v/>
      </c>
      <c r="D486" s="79" t="str">
        <f>_xlfn.XLOOKUP(tblChecklist[[#This Row],[TargetID]],tblTargets[TargetID],tblTargets[TargetType],"")</f>
        <v>TECH</v>
      </c>
      <c r="E486" s="79" t="str">
        <f>_xlfn.XLOOKUP(tblChecklist[[#This Row],[TargetID]],tblTargetStatus[TargetID],tblTargetStatus[ChainAwareStatus],"")</f>
        <v>BLOCKED</v>
      </c>
      <c r="G486" s="82" t="b">
        <v>0</v>
      </c>
      <c r="H486" s="79" t="b">
        <f>_xlfn.XLOOKUP(tblChecklist[[#This Row],[TargetID]],tblTargetStatus[TargetID],tblTargetStatus[TargetFunded],"")</f>
        <v>0</v>
      </c>
      <c r="I48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7" spans="1:9" ht="26.15" customHeight="1">
      <c r="A487" t="s">
        <v>2136</v>
      </c>
      <c r="B487" t="str">
        <f>_xlfn.XLOOKUP(tblChecklist[[#This Row],[TargetID]],tblTargets[TargetID],tblTargets[DisplayName])</f>
        <v>Dairy - Big Data Farming</v>
      </c>
      <c r="C487" s="2" t="str">
        <f>_xlfn.XLOOKUP(
 tblChecklist[[#This Row],[TargetID]],
 tblTargetStatus[TargetID],
 tblTargetStatus[successors],
 ""
)</f>
        <v/>
      </c>
      <c r="D487" s="79" t="str">
        <f>_xlfn.XLOOKUP(tblChecklist[[#This Row],[TargetID]],tblTargets[TargetID],tblTargets[TargetType],"")</f>
        <v>TECH</v>
      </c>
      <c r="E487" s="79" t="str">
        <f>_xlfn.XLOOKUP(tblChecklist[[#This Row],[TargetID]],tblTargetStatus[TargetID],tblTargetStatus[ChainAwareStatus],"")</f>
        <v>BLOCKED</v>
      </c>
      <c r="G487" s="82" t="b">
        <v>0</v>
      </c>
      <c r="H487" s="79" t="b">
        <f>_xlfn.XLOOKUP(tblChecklist[[#This Row],[TargetID]],tblTargetStatus[TargetID],tblTargetStatus[TargetFunded],"")</f>
        <v>0</v>
      </c>
      <c r="I48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8" spans="1:9" ht="26.15" customHeight="1">
      <c r="A488" t="s">
        <v>2134</v>
      </c>
      <c r="B488" t="str">
        <f>_xlfn.XLOOKUP(tblChecklist[[#This Row],[TargetID]],tblTargets[TargetID],tblTargets[DisplayName])</f>
        <v>Dairy - Classical Music For The Farm</v>
      </c>
      <c r="C488" s="2" t="str">
        <f>_xlfn.XLOOKUP(
 tblChecklist[[#This Row],[TargetID]],
 tblTargetStatus[TargetID],
 tblTargetStatus[successors],
 ""
)</f>
        <v>Dairy - Big Data Farming</v>
      </c>
      <c r="D488" s="79" t="str">
        <f>_xlfn.XLOOKUP(tblChecklist[[#This Row],[TargetID]],tblTargets[TargetID],tblTargets[TargetType],"")</f>
        <v>TECH</v>
      </c>
      <c r="E488" s="79" t="str">
        <f>_xlfn.XLOOKUP(tblChecklist[[#This Row],[TargetID]],tblTargetStatus[TargetID],tblTargetStatus[ChainAwareStatus],"")</f>
        <v>BLOCKED</v>
      </c>
      <c r="G488" s="82" t="b">
        <v>0</v>
      </c>
      <c r="H488" s="79" t="b">
        <f>_xlfn.XLOOKUP(tblChecklist[[#This Row],[TargetID]],tblTargetStatus[TargetID],tblTargetStatus[TargetFunded],"")</f>
        <v>0</v>
      </c>
      <c r="I48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9" spans="1:9" ht="26.15" customHeight="1">
      <c r="A489" t="s">
        <v>2138</v>
      </c>
      <c r="B489" t="str">
        <f>_xlfn.XLOOKUP(tblChecklist[[#This Row],[TargetID]],tblTargets[TargetID],tblTargets[DisplayName])</f>
        <v>Dungeon - Great Hall</v>
      </c>
      <c r="C489" s="2" t="str">
        <f>_xlfn.XLOOKUP(
 tblChecklist[[#This Row],[TargetID]],
 tblTargetStatus[TargetID],
 tblTargetStatus[successors],
 ""
)</f>
        <v>Armory, Attic, Gallery, Kitchen and Buttery, Lair lvl. 1, Mushroom Farm, Orangery, Pantry, Tavern, Treasury</v>
      </c>
      <c r="D489" s="79" t="str">
        <f>_xlfn.XLOOKUP(tblChecklist[[#This Row],[TargetID]],tblTargets[TargetID],tblTargets[TargetType],"")</f>
        <v>TECH</v>
      </c>
      <c r="E489" s="79" t="str">
        <f>_xlfn.XLOOKUP(tblChecklist[[#This Row],[TargetID]],tblTargetStatus[TargetID],tblTargetStatus[ChainAwareStatus],"")</f>
        <v>BLOCKED</v>
      </c>
      <c r="G489" s="82" t="b">
        <v>0</v>
      </c>
      <c r="H489" s="79" t="b">
        <f>_xlfn.XLOOKUP(tblChecklist[[#This Row],[TargetID]],tblTargetStatus[TargetID],tblTargetStatus[TargetFunded],"")</f>
        <v>0</v>
      </c>
      <c r="I48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0" spans="1:9" ht="26.15" customHeight="1">
      <c r="A490" t="s">
        <v>2140</v>
      </c>
      <c r="B490" t="str">
        <f>_xlfn.XLOOKUP(tblChecklist[[#This Row],[TargetID]],tblTargets[TargetID],tblTargets[DisplayName])</f>
        <v>Fermentory - Pasteurization</v>
      </c>
      <c r="C490" s="2" t="str">
        <f>_xlfn.XLOOKUP(
 tblChecklist[[#This Row],[TargetID]],
 tblTargetStatus[TargetID],
 tblTargetStatus[successors],
 ""
)</f>
        <v/>
      </c>
      <c r="D490" s="79" t="str">
        <f>_xlfn.XLOOKUP(tblChecklist[[#This Row],[TargetID]],tblTargets[TargetID],tblTargets[TargetType],"")</f>
        <v>TECH</v>
      </c>
      <c r="E490" s="79" t="str">
        <f>_xlfn.XLOOKUP(tblChecklist[[#This Row],[TargetID]],tblTargetStatus[TargetID],tblTargetStatus[ChainAwareStatus],"")</f>
        <v>BLOCKED</v>
      </c>
      <c r="G490" s="82" t="b">
        <v>0</v>
      </c>
      <c r="H490" s="79" t="b">
        <f>_xlfn.XLOOKUP(tblChecklist[[#This Row],[TargetID]],tblTargetStatus[TargetID],tblTargetStatus[TargetFunded],"")</f>
        <v>0</v>
      </c>
      <c r="I49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1" spans="1:9" ht="26.15" customHeight="1">
      <c r="A491" t="s">
        <v>2144</v>
      </c>
      <c r="B491" t="str">
        <f>_xlfn.XLOOKUP(tblChecklist[[#This Row],[TargetID]],tblTargets[TargetID],tblTargets[DisplayName])</f>
        <v>Field - Combine Harvester</v>
      </c>
      <c r="C491" s="2" t="str">
        <f>_xlfn.XLOOKUP(
 tblChecklist[[#This Row],[TargetID]],
 tblTargetStatus[TargetID],
 tblTargetStatus[successors],
 ""
)</f>
        <v/>
      </c>
      <c r="D491" s="79" t="str">
        <f>_xlfn.XLOOKUP(tblChecklist[[#This Row],[TargetID]],tblTargets[TargetID],tblTargets[TargetType],"")</f>
        <v>TECH</v>
      </c>
      <c r="E491" s="79" t="str">
        <f>_xlfn.XLOOKUP(tblChecklist[[#This Row],[TargetID]],tblTargetStatus[TargetID],tblTargetStatus[ChainAwareStatus],"")</f>
        <v>BLOCKED</v>
      </c>
      <c r="G491" s="82" t="b">
        <v>0</v>
      </c>
      <c r="H491" s="79" t="b">
        <f>_xlfn.XLOOKUP(tblChecklist[[#This Row],[TargetID]],tblTargetStatus[TargetID],tblTargetStatus[TargetFunded],"")</f>
        <v>0</v>
      </c>
      <c r="I49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2" spans="1:9" ht="26.15" customHeight="1">
      <c r="A492" t="s">
        <v>2142</v>
      </c>
      <c r="B492" t="str">
        <f>_xlfn.XLOOKUP(tblChecklist[[#This Row],[TargetID]],tblTargets[TargetID],tblTargets[DisplayName])</f>
        <v>Field - Seed Drill</v>
      </c>
      <c r="C492" s="2" t="str">
        <f>_xlfn.XLOOKUP(
 tblChecklist[[#This Row],[TargetID]],
 tblTargetStatus[TargetID],
 tblTargetStatus[successors],
 ""
)</f>
        <v>Field - Combine Harvester</v>
      </c>
      <c r="D492" s="79" t="str">
        <f>_xlfn.XLOOKUP(tblChecklist[[#This Row],[TargetID]],tblTargets[TargetID],tblTargets[TargetType],"")</f>
        <v>TECH</v>
      </c>
      <c r="E492" s="79" t="str">
        <f>_xlfn.XLOOKUP(tblChecklist[[#This Row],[TargetID]],tblTargetStatus[TargetID],tblTargetStatus[ChainAwareStatus],"")</f>
        <v>BLOCKED</v>
      </c>
      <c r="G492" s="82" t="b">
        <v>0</v>
      </c>
      <c r="H492" s="79" t="b">
        <f>_xlfn.XLOOKUP(tblChecklist[[#This Row],[TargetID]],tblTargetStatus[TargetID],tblTargetStatus[TargetFunded],"")</f>
        <v>0</v>
      </c>
      <c r="I49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3" spans="1:9" ht="26.15" customHeight="1">
      <c r="A493" t="s">
        <v>2146</v>
      </c>
      <c r="B493" t="str">
        <f>_xlfn.XLOOKUP(tblChecklist[[#This Row],[TargetID]],tblTargets[TargetID],tblTargets[DisplayName])</f>
        <v>Field - Soybean</v>
      </c>
      <c r="C493" s="2" t="str">
        <f>_xlfn.XLOOKUP(
 tblChecklist[[#This Row],[TargetID]],
 tblTargetStatus[TargetID],
 tblTargetStatus[successors],
 ""
)</f>
        <v/>
      </c>
      <c r="D493" s="79" t="str">
        <f>_xlfn.XLOOKUP(tblChecklist[[#This Row],[TargetID]],tblTargets[TargetID],tblTargets[TargetType],"")</f>
        <v>TECH</v>
      </c>
      <c r="E493" s="79" t="str">
        <f>_xlfn.XLOOKUP(tblChecklist[[#This Row],[TargetID]],tblTargetStatus[TargetID],tblTargetStatus[ChainAwareStatus],"")</f>
        <v>BLOCKED</v>
      </c>
      <c r="G493" s="82" t="b">
        <v>0</v>
      </c>
      <c r="H493" s="79" t="b">
        <f>_xlfn.XLOOKUP(tblChecklist[[#This Row],[TargetID]],tblTargetStatus[TargetID],tblTargetStatus[TargetFunded],"")</f>
        <v>0</v>
      </c>
      <c r="I49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4" spans="1:9" ht="26.15" customHeight="1">
      <c r="A494" t="s">
        <v>2158</v>
      </c>
      <c r="B494" t="str">
        <f>_xlfn.XLOOKUP(tblChecklist[[#This Row],[TargetID]],tblTargets[TargetID],tblTargets[DisplayName])</f>
        <v>Food Stall - Conveyor Belt Sushi</v>
      </c>
      <c r="C494" s="2" t="str">
        <f>_xlfn.XLOOKUP(
 tblChecklist[[#This Row],[TargetID]],
 tblTargetStatus[TargetID],
 tblTargetStatus[successors],
 ""
)</f>
        <v/>
      </c>
      <c r="D494" s="79" t="str">
        <f>_xlfn.XLOOKUP(tblChecklist[[#This Row],[TargetID]],tblTargets[TargetID],tblTargets[TargetType],"")</f>
        <v>TECH</v>
      </c>
      <c r="E494" s="79" t="str">
        <f>_xlfn.XLOOKUP(tblChecklist[[#This Row],[TargetID]],tblTargetStatus[TargetID],tblTargetStatus[ChainAwareStatus],"")</f>
        <v>BLOCKED</v>
      </c>
      <c r="G494" s="82" t="b">
        <v>0</v>
      </c>
      <c r="H494" s="79" t="b">
        <f>_xlfn.XLOOKUP(tblChecklist[[#This Row],[TargetID]],tblTargetStatus[TargetID],tblTargetStatus[TargetFunded],"")</f>
        <v>0</v>
      </c>
      <c r="I49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5" spans="1:9" ht="26.15" customHeight="1">
      <c r="A495" t="s">
        <v>2156</v>
      </c>
      <c r="B495" t="str">
        <f>_xlfn.XLOOKUP(tblChecklist[[#This Row],[TargetID]],tblTargets[TargetID],tblTargets[DisplayName])</f>
        <v>Food Stall - Inarizushi</v>
      </c>
      <c r="C495" s="2" t="str">
        <f>_xlfn.XLOOKUP(
 tblChecklist[[#This Row],[TargetID]],
 tblTargetStatus[TargetID],
 tblTargetStatus[successors],
 ""
)</f>
        <v/>
      </c>
      <c r="D495" s="79" t="str">
        <f>_xlfn.XLOOKUP(tblChecklist[[#This Row],[TargetID]],tblTargets[TargetID],tblTargets[TargetType],"")</f>
        <v>TECH</v>
      </c>
      <c r="E495" s="79" t="str">
        <f>_xlfn.XLOOKUP(tblChecklist[[#This Row],[TargetID]],tblTargetStatus[TargetID],tblTargetStatus[ChainAwareStatus],"")</f>
        <v>BLOCKED</v>
      </c>
      <c r="G495" s="82" t="b">
        <v>0</v>
      </c>
      <c r="H495" s="79" t="b">
        <f>_xlfn.XLOOKUP(tblChecklist[[#This Row],[TargetID]],tblTargetStatus[TargetID],tblTargetStatus[TargetFunded],"")</f>
        <v>0</v>
      </c>
      <c r="I49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6" spans="1:9" ht="26.15" customHeight="1">
      <c r="A496" t="s">
        <v>2150</v>
      </c>
      <c r="B496" t="str">
        <f>_xlfn.XLOOKUP(tblChecklist[[#This Row],[TargetID]],tblTargets[TargetID],tblTargets[DisplayName])</f>
        <v>Food Stall - Jam</v>
      </c>
      <c r="C496" s="2" t="str">
        <f>_xlfn.XLOOKUP(
 tblChecklist[[#This Row],[TargetID]],
 tblTargetStatus[TargetID],
 tblTargetStatus[successors],
 ""
)</f>
        <v>Once Upon a Forest Chapter 13 Finished</v>
      </c>
      <c r="D496" s="79" t="str">
        <f>_xlfn.XLOOKUP(tblChecklist[[#This Row],[TargetID]],tblTargets[TargetID],tblTargets[TargetType],"")</f>
        <v>TECH</v>
      </c>
      <c r="E496" s="79" t="str">
        <f>_xlfn.XLOOKUP(tblChecklist[[#This Row],[TargetID]],tblTargetStatus[TargetID],tblTargetStatus[ChainAwareStatus],"")</f>
        <v>BLOCKED</v>
      </c>
      <c r="G496" s="82" t="b">
        <v>0</v>
      </c>
      <c r="H496" s="79" t="b">
        <f>_xlfn.XLOOKUP(tblChecklist[[#This Row],[TargetID]],tblTargetStatus[TargetID],tblTargetStatus[TargetFunded],"")</f>
        <v>0</v>
      </c>
      <c r="I49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7" spans="1:9" ht="26.15" customHeight="1">
      <c r="A497" t="s">
        <v>2154</v>
      </c>
      <c r="B497" t="str">
        <f>_xlfn.XLOOKUP(tblChecklist[[#This Row],[TargetID]],tblTargets[TargetID],tblTargets[DisplayName])</f>
        <v>Food Stall - Mandra Cola</v>
      </c>
      <c r="C497" s="2" t="str">
        <f>_xlfn.XLOOKUP(
 tblChecklist[[#This Row],[TargetID]],
 tblTargetStatus[TargetID],
 tblTargetStatus[successors],
 ""
)</f>
        <v>Once Upon a Forest Chapter 13 Finished</v>
      </c>
      <c r="D497" s="79" t="str">
        <f>_xlfn.XLOOKUP(tblChecklist[[#This Row],[TargetID]],tblTargets[TargetID],tblTargets[TargetType],"")</f>
        <v>TECH</v>
      </c>
      <c r="E497" s="79" t="str">
        <f>_xlfn.XLOOKUP(tblChecklist[[#This Row],[TargetID]],tblTargetStatus[TargetID],tblTargetStatus[ChainAwareStatus],"")</f>
        <v>BLOCKED</v>
      </c>
      <c r="G497" s="82" t="b">
        <v>0</v>
      </c>
      <c r="H497" s="79" t="b">
        <f>_xlfn.XLOOKUP(tblChecklist[[#This Row],[TargetID]],tblTargetStatus[TargetID],tblTargetStatus[TargetFunded],"")</f>
        <v>0</v>
      </c>
      <c r="I49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8" spans="1:9" ht="26.15" customHeight="1">
      <c r="A498" t="s">
        <v>2152</v>
      </c>
      <c r="B498" t="str">
        <f>_xlfn.XLOOKUP(tblChecklist[[#This Row],[TargetID]],tblTargets[TargetID],tblTargets[DisplayName])</f>
        <v>Food Stall - Mayonnaise</v>
      </c>
      <c r="C498" s="2" t="str">
        <f>_xlfn.XLOOKUP(
 tblChecklist[[#This Row],[TargetID]],
 tblTargetStatus[TargetID],
 tblTargetStatus[successors],
 ""
)</f>
        <v>Culinary Battle Finished</v>
      </c>
      <c r="D498" s="79" t="str">
        <f>_xlfn.XLOOKUP(tblChecklist[[#This Row],[TargetID]],tblTargets[TargetID],tblTargets[TargetType],"")</f>
        <v>TECH</v>
      </c>
      <c r="E498" s="79" t="str">
        <f>_xlfn.XLOOKUP(tblChecklist[[#This Row],[TargetID]],tblTargetStatus[TargetID],tblTargetStatus[ChainAwareStatus],"")</f>
        <v>BLOCKED</v>
      </c>
      <c r="G498" s="82" t="b">
        <v>0</v>
      </c>
      <c r="H498" s="79" t="b">
        <f>_xlfn.XLOOKUP(tblChecklist[[#This Row],[TargetID]],tblTargetStatus[TargetID],tblTargetStatus[TargetFunded],"")</f>
        <v>0</v>
      </c>
      <c r="I49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9" spans="1:9" ht="26.15" customHeight="1">
      <c r="A499" t="s">
        <v>2160</v>
      </c>
      <c r="B499" t="str">
        <f>_xlfn.XLOOKUP(tblChecklist[[#This Row],[TargetID]],tblTargets[TargetID],tblTargets[DisplayName])</f>
        <v>Food Stall - Miso Soup</v>
      </c>
      <c r="C499" s="2" t="str">
        <f>_xlfn.XLOOKUP(
 tblChecklist[[#This Row],[TargetID]],
 tblTargetStatus[TargetID],
 tblTargetStatus[successors],
 ""
)</f>
        <v/>
      </c>
      <c r="D499" s="79" t="str">
        <f>_xlfn.XLOOKUP(tblChecklist[[#This Row],[TargetID]],tblTargets[TargetID],tblTargets[TargetType],"")</f>
        <v>TECH</v>
      </c>
      <c r="E499" s="79" t="str">
        <f>_xlfn.XLOOKUP(tblChecklist[[#This Row],[TargetID]],tblTargetStatus[TargetID],tblTargetStatus[ChainAwareStatus],"")</f>
        <v>BLOCKED</v>
      </c>
      <c r="G499" s="82" t="b">
        <v>0</v>
      </c>
      <c r="H499" s="79" t="b">
        <f>_xlfn.XLOOKUP(tblChecklist[[#This Row],[TargetID]],tblTargetStatus[TargetID],tblTargetStatus[TargetFunded],"")</f>
        <v>0</v>
      </c>
      <c r="I49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0" spans="1:9" ht="26.15" customHeight="1">
      <c r="A500" t="s">
        <v>2148</v>
      </c>
      <c r="B500" t="str">
        <f>_xlfn.XLOOKUP(tblChecklist[[#This Row],[TargetID]],tblTargets[TargetID],tblTargets[DisplayName])</f>
        <v>Food Stall - Quintessence Of Taste</v>
      </c>
      <c r="C500" s="2" t="str">
        <f>_xlfn.XLOOKUP(
 tblChecklist[[#This Row],[TargetID]],
 tblTargetStatus[TargetID],
 tblTargetStatus[successors],
 ""
)</f>
        <v>Culinary Battle Finished</v>
      </c>
      <c r="D500" s="79" t="str">
        <f>_xlfn.XLOOKUP(tblChecklist[[#This Row],[TargetID]],tblTargets[TargetID],tblTargets[TargetType],"")</f>
        <v>TECH</v>
      </c>
      <c r="E500" s="79" t="str">
        <f>_xlfn.XLOOKUP(tblChecklist[[#This Row],[TargetID]],tblTargetStatus[TargetID],tblTargetStatus[ChainAwareStatus],"")</f>
        <v>BLOCKED</v>
      </c>
      <c r="G500" s="82" t="b">
        <v>0</v>
      </c>
      <c r="H500" s="79" t="b">
        <f>_xlfn.XLOOKUP(tblChecklist[[#This Row],[TargetID]],tblTargetStatus[TargetID],tblTargetStatus[TargetFunded],"")</f>
        <v>0</v>
      </c>
      <c r="I50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1" spans="1:9" ht="26.15" customHeight="1">
      <c r="A501" t="s">
        <v>2168</v>
      </c>
      <c r="B501" t="str">
        <f>_xlfn.XLOOKUP(tblChecklist[[#This Row],[TargetID]],tblTargets[TargetID],tblTargets[DisplayName])</f>
        <v>Furnace - Conveyor</v>
      </c>
      <c r="C501" s="2" t="str">
        <f>_xlfn.XLOOKUP(
 tblChecklist[[#This Row],[TargetID]],
 tblTargetStatus[TargetID],
 tblTargetStatus[successors],
 ""
)</f>
        <v/>
      </c>
      <c r="D501" s="79" t="str">
        <f>_xlfn.XLOOKUP(tblChecklist[[#This Row],[TargetID]],tblTargets[TargetID],tblTargets[TargetType],"")</f>
        <v>TECH</v>
      </c>
      <c r="E501" s="79" t="str">
        <f>_xlfn.XLOOKUP(tblChecklist[[#This Row],[TargetID]],tblTargetStatus[TargetID],tblTargetStatus[ChainAwareStatus],"")</f>
        <v>BLOCKED</v>
      </c>
      <c r="G501" s="82" t="b">
        <v>0</v>
      </c>
      <c r="H501" s="79" t="b">
        <f>_xlfn.XLOOKUP(tblChecklist[[#This Row],[TargetID]],tblTargetStatus[TargetID],tblTargetStatus[TargetFunded],"")</f>
        <v>0</v>
      </c>
      <c r="I50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2" spans="1:9" ht="26.15" customHeight="1">
      <c r="A502" t="s">
        <v>2166</v>
      </c>
      <c r="B502" t="str">
        <f>_xlfn.XLOOKUP(tblChecklist[[#This Row],[TargetID]],tblTargets[TargetID],tblTargets[DisplayName])</f>
        <v>Furnace - Glass</v>
      </c>
      <c r="C502" s="2" t="str">
        <f>_xlfn.XLOOKUP(
 tblChecklist[[#This Row],[TargetID]],
 tblTargetStatus[TargetID],
 tblTargetStatus[successors],
 ""
)</f>
        <v/>
      </c>
      <c r="D502" s="79" t="str">
        <f>_xlfn.XLOOKUP(tblChecklist[[#This Row],[TargetID]],tblTargets[TargetID],tblTargets[TargetType],"")</f>
        <v>TECH</v>
      </c>
      <c r="E502" s="79" t="str">
        <f>_xlfn.XLOOKUP(tblChecklist[[#This Row],[TargetID]],tblTargetStatus[TargetID],tblTargetStatus[ChainAwareStatus],"")</f>
        <v>BLOCKED</v>
      </c>
      <c r="G502" s="82" t="b">
        <v>0</v>
      </c>
      <c r="H502" s="79" t="b">
        <f>_xlfn.XLOOKUP(tblChecklist[[#This Row],[TargetID]],tblTargetStatus[TargetID],tblTargetStatus[TargetFunded],"")</f>
        <v>0</v>
      </c>
      <c r="I50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3" spans="1:9" ht="26.15" customHeight="1">
      <c r="A503" t="s">
        <v>2162</v>
      </c>
      <c r="B503" t="str">
        <f>_xlfn.XLOOKUP(tblChecklist[[#This Row],[TargetID]],tblTargets[TargetID],tblTargets[DisplayName])</f>
        <v>Furnace - Meteoric Steel</v>
      </c>
      <c r="C503" s="2" t="str">
        <f>_xlfn.XLOOKUP(
 tblChecklist[[#This Row],[TargetID]],
 tblTargetStatus[TargetID],
 tblTargetStatus[successors],
 ""
)</f>
        <v/>
      </c>
      <c r="D503" s="79" t="str">
        <f>_xlfn.XLOOKUP(tblChecklist[[#This Row],[TargetID]],tblTargets[TargetID],tblTargets[TargetType],"")</f>
        <v>TECH</v>
      </c>
      <c r="E503" s="79" t="str">
        <f>_xlfn.XLOOKUP(tblChecklist[[#This Row],[TargetID]],tblTargetStatus[TargetID],tblTargetStatus[ChainAwareStatus],"")</f>
        <v>BLOCKED</v>
      </c>
      <c r="G503" s="82" t="b">
        <v>0</v>
      </c>
      <c r="H503" s="79" t="b">
        <f>_xlfn.XLOOKUP(tblChecklist[[#This Row],[TargetID]],tblTargetStatus[TargetID],tblTargetStatus[TargetFunded],"")</f>
        <v>0</v>
      </c>
      <c r="I50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4" spans="1:9" ht="26.15" customHeight="1">
      <c r="A504" t="s">
        <v>2164</v>
      </c>
      <c r="B504" t="str">
        <f>_xlfn.XLOOKUP(tblChecklist[[#This Row],[TargetID]],tblTargets[TargetID],tblTargets[DisplayName])</f>
        <v>Furnace - Titanium Parts</v>
      </c>
      <c r="C504" s="2" t="str">
        <f>_xlfn.XLOOKUP(
 tblChecklist[[#This Row],[TargetID]],
 tblTargetStatus[TargetID],
 tblTargetStatus[successors],
 ""
)</f>
        <v>Airship - Titanium Longerons, Tailor - Armor For A Hero Lvl 4</v>
      </c>
      <c r="D504" s="79" t="str">
        <f>_xlfn.XLOOKUP(tblChecklist[[#This Row],[TargetID]],tblTargets[TargetID],tblTargets[TargetType],"")</f>
        <v>TECH</v>
      </c>
      <c r="E504" s="79" t="str">
        <f>_xlfn.XLOOKUP(tblChecklist[[#This Row],[TargetID]],tblTargetStatus[TargetID],tblTargetStatus[ChainAwareStatus],"")</f>
        <v>BLOCKED</v>
      </c>
      <c r="G504" s="82" t="b">
        <v>0</v>
      </c>
      <c r="H504" s="79" t="b">
        <f>_xlfn.XLOOKUP(tblChecklist[[#This Row],[TargetID]],tblTargetStatus[TargetID],tblTargetStatus[TargetFunded],"")</f>
        <v>0</v>
      </c>
      <c r="I50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5" spans="1:9" ht="26.15" customHeight="1">
      <c r="A505" t="s">
        <v>2170</v>
      </c>
      <c r="B505" t="str">
        <f>_xlfn.XLOOKUP(tblChecklist[[#This Row],[TargetID]],tblTargets[TargetID],tblTargets[DisplayName])</f>
        <v>Garden - Sprinkler</v>
      </c>
      <c r="C505" s="2" t="str">
        <f>_xlfn.XLOOKUP(
 tblChecklist[[#This Row],[TargetID]],
 tblTargetStatus[TargetID],
 tblTargetStatus[successors],
 ""
)</f>
        <v/>
      </c>
      <c r="D505" s="79" t="str">
        <f>_xlfn.XLOOKUP(tblChecklist[[#This Row],[TargetID]],tblTargets[TargetID],tblTargets[TargetType],"")</f>
        <v>TECH</v>
      </c>
      <c r="E505" s="79" t="str">
        <f>_xlfn.XLOOKUP(tblChecklist[[#This Row],[TargetID]],tblTargetStatus[TargetID],tblTargetStatus[ChainAwareStatus],"")</f>
        <v>BLOCKED</v>
      </c>
      <c r="G505" s="82" t="b">
        <v>0</v>
      </c>
      <c r="H505" s="79" t="b">
        <f>_xlfn.XLOOKUP(tblChecklist[[#This Row],[TargetID]],tblTargetStatus[TargetID],tblTargetStatus[TargetFunded],"")</f>
        <v>0</v>
      </c>
      <c r="I50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6" spans="1:9" ht="26.15" customHeight="1">
      <c r="A506" t="s">
        <v>2174</v>
      </c>
      <c r="B506" t="str">
        <f>_xlfn.XLOOKUP(tblChecklist[[#This Row],[TargetID]],tblTargets[TargetID],tblTargets[DisplayName])</f>
        <v>Laboratory - Digitization</v>
      </c>
      <c r="C506" s="2" t="str">
        <f>_xlfn.XLOOKUP(
 tblChecklist[[#This Row],[TargetID]],
 tblTargetStatus[TargetID],
 tblTargetStatus[successors],
 ""
)</f>
        <v>Ahead of Time Chapter 5 Finished</v>
      </c>
      <c r="D506" s="79" t="str">
        <f>_xlfn.XLOOKUP(tblChecklist[[#This Row],[TargetID]],tblTargets[TargetID],tblTargets[TargetType],"")</f>
        <v>TECH</v>
      </c>
      <c r="E506" s="79" t="str">
        <f>_xlfn.XLOOKUP(tblChecklist[[#This Row],[TargetID]],tblTargetStatus[TargetID],tblTargetStatus[ChainAwareStatus],"")</f>
        <v>BLOCKED</v>
      </c>
      <c r="G506" s="82" t="b">
        <v>0</v>
      </c>
      <c r="H506" s="79" t="b">
        <f>_xlfn.XLOOKUP(tblChecklist[[#This Row],[TargetID]],tblTargetStatus[TargetID],tblTargetStatus[TargetFunded],"")</f>
        <v>0</v>
      </c>
      <c r="I50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7" spans="1:9" ht="26.15" customHeight="1">
      <c r="A507" t="s">
        <v>2176</v>
      </c>
      <c r="B507" t="str">
        <f>_xlfn.XLOOKUP(tblChecklist[[#This Row],[TargetID]],tblTargets[TargetID],tblTargets[DisplayName])</f>
        <v>Laboratory - Experiments</v>
      </c>
      <c r="C507" s="2" t="str">
        <f>_xlfn.XLOOKUP(
 tblChecklist[[#This Row],[TargetID]],
 tblTargetStatus[TargetID],
 tblTargetStatus[successors],
 ""
)</f>
        <v>Ahead of Time Chapter 5 Finished</v>
      </c>
      <c r="D507" s="79" t="str">
        <f>_xlfn.XLOOKUP(tblChecklist[[#This Row],[TargetID]],tblTargets[TargetID],tblTargets[TargetType],"")</f>
        <v>TECH</v>
      </c>
      <c r="E507" s="79" t="str">
        <f>_xlfn.XLOOKUP(tblChecklist[[#This Row],[TargetID]],tblTargetStatus[TargetID],tblTargetStatus[ChainAwareStatus],"")</f>
        <v>BLOCKED</v>
      </c>
      <c r="G507" s="82" t="b">
        <v>0</v>
      </c>
      <c r="H507" s="79" t="b">
        <f>_xlfn.XLOOKUP(tblChecklist[[#This Row],[TargetID]],tblTargetStatus[TargetID],tblTargetStatus[TargetFunded],"")</f>
        <v>0</v>
      </c>
      <c r="I50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8" spans="1:9" ht="26.15" customHeight="1">
      <c r="A508" t="s">
        <v>2172</v>
      </c>
      <c r="B508" t="str">
        <f>_xlfn.XLOOKUP(tblChecklist[[#This Row],[TargetID]],tblTargets[TargetID],tblTargets[DisplayName])</f>
        <v>Laboratory - Research And Development</v>
      </c>
      <c r="C508" s="2" t="str">
        <f>_xlfn.XLOOKUP(
 tblChecklist[[#This Row],[TargetID]],
 tblTargetStatus[TargetID],
 tblTargetStatus[successors],
 ""
)</f>
        <v>Laboratory - Experiments, Ahead of Time Chapter 5 Finished</v>
      </c>
      <c r="D508" s="79" t="str">
        <f>_xlfn.XLOOKUP(tblChecklist[[#This Row],[TargetID]],tblTargets[TargetID],tblTargets[TargetType],"")</f>
        <v>TECH</v>
      </c>
      <c r="E508" s="79" t="str">
        <f>_xlfn.XLOOKUP(tblChecklist[[#This Row],[TargetID]],tblTargetStatus[TargetID],tblTargetStatus[ChainAwareStatus],"")</f>
        <v>BLOCKED</v>
      </c>
      <c r="G508" s="82" t="b">
        <v>0</v>
      </c>
      <c r="H508" s="79" t="b">
        <f>_xlfn.XLOOKUP(tblChecklist[[#This Row],[TargetID]],tblTargetStatus[TargetID],tblTargetStatus[TargetFunded],"")</f>
        <v>0</v>
      </c>
      <c r="I50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9" spans="1:9" ht="26.15" customHeight="1">
      <c r="A509" t="s">
        <v>2180</v>
      </c>
      <c r="B509" t="str">
        <f>_xlfn.XLOOKUP(tblChecklist[[#This Row],[TargetID]],tblTargets[TargetID],tblTargets[DisplayName])</f>
        <v>Outpost - Arsenal Lvl 1</v>
      </c>
      <c r="C509" s="2" t="str">
        <f>_xlfn.XLOOKUP(
 tblChecklist[[#This Row],[TargetID]],
 tblTargetStatus[TargetID],
 tblTargetStatus[successors],
 ""
)</f>
        <v>Outpost - Arsenal Lvl 2</v>
      </c>
      <c r="D509" s="79" t="str">
        <f>_xlfn.XLOOKUP(tblChecklist[[#This Row],[TargetID]],tblTargets[TargetID],tblTargets[TargetType],"")</f>
        <v>TECH</v>
      </c>
      <c r="E509" s="79" t="str">
        <f>_xlfn.XLOOKUP(tblChecklist[[#This Row],[TargetID]],tblTargetStatus[TargetID],tblTargetStatus[ChainAwareStatus],"")</f>
        <v>BLOCKED</v>
      </c>
      <c r="G509" s="82" t="b">
        <v>0</v>
      </c>
      <c r="H509" s="79" t="b">
        <f>_xlfn.XLOOKUP(tblChecklist[[#This Row],[TargetID]],tblTargetStatus[TargetID],tblTargetStatus[TargetFunded],"")</f>
        <v>0</v>
      </c>
      <c r="I50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0" spans="1:9" ht="26.15" customHeight="1">
      <c r="A510" t="s">
        <v>2182</v>
      </c>
      <c r="B510" t="str">
        <f>_xlfn.XLOOKUP(tblChecklist[[#This Row],[TargetID]],tblTargets[TargetID],tblTargets[DisplayName])</f>
        <v>Outpost - Arsenal Lvl 2</v>
      </c>
      <c r="C510" s="2" t="str">
        <f>_xlfn.XLOOKUP(
 tblChecklist[[#This Row],[TargetID]],
 tblTargetStatus[TargetID],
 tblTargetStatus[successors],
 ""
)</f>
        <v/>
      </c>
      <c r="D510" s="79" t="str">
        <f>_xlfn.XLOOKUP(tblChecklist[[#This Row],[TargetID]],tblTargets[TargetID],tblTargets[TargetType],"")</f>
        <v>TECH</v>
      </c>
      <c r="E510" s="79" t="str">
        <f>_xlfn.XLOOKUP(tblChecklist[[#This Row],[TargetID]],tblTargetStatus[TargetID],tblTargetStatus[ChainAwareStatus],"")</f>
        <v>BLOCKED</v>
      </c>
      <c r="G510" s="82" t="b">
        <v>0</v>
      </c>
      <c r="H510" s="79" t="b">
        <f>_xlfn.XLOOKUP(tblChecklist[[#This Row],[TargetID]],tblTargetStatus[TargetID],tblTargetStatus[TargetFunded],"")</f>
        <v>0</v>
      </c>
      <c r="I51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1" spans="1:9" ht="26.15" customHeight="1">
      <c r="A511" t="s">
        <v>2186</v>
      </c>
      <c r="B511" t="str">
        <f>_xlfn.XLOOKUP(tblChecklist[[#This Row],[TargetID]],tblTargets[TargetID],tblTargets[DisplayName])</f>
        <v>Outpost - Futures Contracts</v>
      </c>
      <c r="C511" s="2" t="str">
        <f>_xlfn.XLOOKUP(
 tblChecklist[[#This Row],[TargetID]],
 tblTargetStatus[TargetID],
 tblTargetStatus[successors],
 ""
)</f>
        <v/>
      </c>
      <c r="D511" s="79" t="str">
        <f>_xlfn.XLOOKUP(tblChecklist[[#This Row],[TargetID]],tblTargets[TargetID],tblTargets[TargetType],"")</f>
        <v>TECH</v>
      </c>
      <c r="E511" s="79" t="str">
        <f>_xlfn.XLOOKUP(tblChecklist[[#This Row],[TargetID]],tblTargetStatus[TargetID],tblTargetStatus[ChainAwareStatus],"")</f>
        <v>BLOCKED</v>
      </c>
      <c r="G511" s="82" t="b">
        <v>0</v>
      </c>
      <c r="H511" s="79" t="b">
        <f>_xlfn.XLOOKUP(tblChecklist[[#This Row],[TargetID]],tblTargetStatus[TargetID],tblTargetStatus[TargetFunded],"")</f>
        <v>0</v>
      </c>
      <c r="I51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2" spans="1:9" ht="26.15" customHeight="1">
      <c r="A512" t="s">
        <v>2184</v>
      </c>
      <c r="B512" t="str">
        <f>_xlfn.XLOOKUP(tblChecklist[[#This Row],[TargetID]],tblTargets[TargetID],tblTargets[DisplayName])</f>
        <v>Outpost - Optional Contracts</v>
      </c>
      <c r="C512" s="2" t="str">
        <f>_xlfn.XLOOKUP(
 tblChecklist[[#This Row],[TargetID]],
 tblTargetStatus[TargetID],
 tblTargetStatus[successors],
 ""
)</f>
        <v>Outpost - Futures Contracts</v>
      </c>
      <c r="D512" s="79" t="str">
        <f>_xlfn.XLOOKUP(tblChecklist[[#This Row],[TargetID]],tblTargets[TargetID],tblTargets[TargetType],"")</f>
        <v>TECH</v>
      </c>
      <c r="E512" s="79" t="str">
        <f>_xlfn.XLOOKUP(tblChecklist[[#This Row],[TargetID]],tblTargetStatus[TargetID],tblTargetStatus[ChainAwareStatus],"")</f>
        <v>BLOCKED</v>
      </c>
      <c r="G512" s="82" t="b">
        <v>0</v>
      </c>
      <c r="H512" s="79" t="b">
        <f>_xlfn.XLOOKUP(tblChecklist[[#This Row],[TargetID]],tblTargetStatus[TargetID],tblTargetStatus[TargetFunded],"")</f>
        <v>0</v>
      </c>
      <c r="I51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3" spans="1:9" ht="26.15" customHeight="1">
      <c r="A513" t="s">
        <v>2178</v>
      </c>
      <c r="B513" t="str">
        <f>_xlfn.XLOOKUP(tblChecklist[[#This Row],[TargetID]],tblTargets[TargetID],tblTargets[DisplayName])</f>
        <v>Outpost - Sayonara Tax</v>
      </c>
      <c r="C513" s="2" t="str">
        <f>_xlfn.XLOOKUP(
 tblChecklist[[#This Row],[TargetID]],
 tblTargetStatus[TargetID],
 tblTargetStatus[successors],
 ""
)</f>
        <v/>
      </c>
      <c r="D513" s="79" t="str">
        <f>_xlfn.XLOOKUP(tblChecklist[[#This Row],[TargetID]],tblTargets[TargetID],tblTargets[TargetType],"")</f>
        <v>TECH</v>
      </c>
      <c r="E513" s="79" t="str">
        <f>_xlfn.XLOOKUP(tblChecklist[[#This Row],[TargetID]],tblTargetStatus[TargetID],tblTargetStatus[ChainAwareStatus],"")</f>
        <v>BLOCKED</v>
      </c>
      <c r="G513" s="82" t="b">
        <v>0</v>
      </c>
      <c r="H513" s="79" t="b">
        <f>_xlfn.XLOOKUP(tblChecklist[[#This Row],[TargetID]],tblTargetStatus[TargetID],tblTargetStatus[TargetFunded],"")</f>
        <v>0</v>
      </c>
      <c r="I51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4" spans="1:9" ht="26.15" customHeight="1">
      <c r="A514" t="s">
        <v>2188</v>
      </c>
      <c r="B514" t="str">
        <f>_xlfn.XLOOKUP(tblChecklist[[#This Row],[TargetID]],tblTargets[TargetID],tblTargets[DisplayName])</f>
        <v>Outpost - Tax Return On Floppy Disk</v>
      </c>
      <c r="C514" s="2" t="str">
        <f>_xlfn.XLOOKUP(
 tblChecklist[[#This Row],[TargetID]],
 tblTargetStatus[TargetID],
 tblTargetStatus[successors],
 ""
)</f>
        <v/>
      </c>
      <c r="D514" s="79" t="str">
        <f>_xlfn.XLOOKUP(tblChecklist[[#This Row],[TargetID]],tblTargets[TargetID],tblTargets[TargetType],"")</f>
        <v>TECH</v>
      </c>
      <c r="E514" s="79" t="str">
        <f>_xlfn.XLOOKUP(tblChecklist[[#This Row],[TargetID]],tblTargetStatus[TargetID],tblTargetStatus[ChainAwareStatus],"")</f>
        <v>BLOCKED</v>
      </c>
      <c r="G514" s="82" t="b">
        <v>0</v>
      </c>
      <c r="H514" s="79" t="b">
        <f>_xlfn.XLOOKUP(tblChecklist[[#This Row],[TargetID]],tblTargetStatus[TargetID],tblTargetStatus[TargetFunded],"")</f>
        <v>0</v>
      </c>
      <c r="I51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5" spans="1:9" ht="26.15" customHeight="1">
      <c r="A515" t="s">
        <v>2190</v>
      </c>
      <c r="B515" t="str">
        <f>_xlfn.XLOOKUP(tblChecklist[[#This Row],[TargetID]],tblTargets[TargetID],tblTargets[DisplayName])</f>
        <v>Rock Garden - Rake</v>
      </c>
      <c r="C515" s="2" t="str">
        <f>_xlfn.XLOOKUP(
 tblChecklist[[#This Row],[TargetID]],
 tblTargetStatus[TargetID],
 tblTargetStatus[successors],
 ""
)</f>
        <v/>
      </c>
      <c r="D515" s="79" t="str">
        <f>_xlfn.XLOOKUP(tblChecklist[[#This Row],[TargetID]],tblTargets[TargetID],tblTargets[TargetType],"")</f>
        <v>TECH</v>
      </c>
      <c r="E515" s="79" t="str">
        <f>_xlfn.XLOOKUP(tblChecklist[[#This Row],[TargetID]],tblTargetStatus[TargetID],tblTargetStatus[ChainAwareStatus],"")</f>
        <v>BLOCKED</v>
      </c>
      <c r="G515" s="82" t="b">
        <v>0</v>
      </c>
      <c r="H515" s="79" t="b">
        <f>_xlfn.XLOOKUP(tblChecklist[[#This Row],[TargetID]],tblTargetStatus[TargetID],tblTargetStatus[TargetFunded],"")</f>
        <v>0</v>
      </c>
      <c r="I51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6" spans="1:9" ht="26.15" customHeight="1">
      <c r="A516" t="s">
        <v>2194</v>
      </c>
      <c r="B516" t="str">
        <f>_xlfn.XLOOKUP(tblChecklist[[#This Row],[TargetID]],tblTargets[TargetID],tblTargets[DisplayName])</f>
        <v>Shop - Glass Recycling</v>
      </c>
      <c r="C516" s="2" t="str">
        <f>_xlfn.XLOOKUP(
 tblChecklist[[#This Row],[TargetID]],
 tblTargetStatus[TargetID],
 tblTargetStatus[successors],
 ""
)</f>
        <v/>
      </c>
      <c r="D516" s="79" t="str">
        <f>_xlfn.XLOOKUP(tblChecklist[[#This Row],[TargetID]],tblTargets[TargetID],tblTargets[TargetType],"")</f>
        <v>TECH</v>
      </c>
      <c r="E516" s="79" t="str">
        <f>_xlfn.XLOOKUP(tblChecklist[[#This Row],[TargetID]],tblTargetStatus[TargetID],tblTargetStatus[ChainAwareStatus],"")</f>
        <v>BLOCKED</v>
      </c>
      <c r="G516" s="82" t="b">
        <v>0</v>
      </c>
      <c r="H516" s="79" t="b">
        <f>_xlfn.XLOOKUP(tblChecklist[[#This Row],[TargetID]],tblTargetStatus[TargetID],tblTargetStatus[TargetFunded],"")</f>
        <v>0</v>
      </c>
      <c r="I51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7" spans="1:9" ht="26.15" customHeight="1">
      <c r="A517" t="s">
        <v>2192</v>
      </c>
      <c r="B517" t="str">
        <f>_xlfn.XLOOKUP(tblChecklist[[#This Row],[TargetID]],tblTargets[TargetID],tblTargets[DisplayName])</f>
        <v>Shop - Pre Orders</v>
      </c>
      <c r="C517" s="2" t="str">
        <f>_xlfn.XLOOKUP(
 tblChecklist[[#This Row],[TargetID]],
 tblTargetStatus[TargetID],
 tblTargetStatus[successors],
 ""
)</f>
        <v/>
      </c>
      <c r="D517" s="79" t="str">
        <f>_xlfn.XLOOKUP(tblChecklist[[#This Row],[TargetID]],tblTargets[TargetID],tblTargets[TargetType],"")</f>
        <v>TECH</v>
      </c>
      <c r="E517" s="79" t="str">
        <f>_xlfn.XLOOKUP(tblChecklist[[#This Row],[TargetID]],tblTargetStatus[TargetID],tblTargetStatus[ChainAwareStatus],"")</f>
        <v>BLOCKED</v>
      </c>
      <c r="F517" s="79">
        <v>800</v>
      </c>
      <c r="G517" s="82" t="b">
        <v>0</v>
      </c>
      <c r="H517" s="79" t="b">
        <f>_xlfn.XLOOKUP(tblChecklist[[#This Row],[TargetID]],tblTargetStatus[TargetID],tblTargetStatus[TargetFunded],"")</f>
        <v>0</v>
      </c>
      <c r="I51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8" spans="1:9" ht="26.15" customHeight="1">
      <c r="A518" t="s">
        <v>2210</v>
      </c>
      <c r="B518" t="str">
        <f>_xlfn.XLOOKUP(tblChecklist[[#This Row],[TargetID]],tblTargets[TargetID],tblTargets[DisplayName])</f>
        <v>Smithy - Gears</v>
      </c>
      <c r="C518" s="2" t="str">
        <f>_xlfn.XLOOKUP(
 tblChecklist[[#This Row],[TargetID]],
 tblTargetStatus[TargetID],
 tblTargetStatus[successors],
 ""
)</f>
        <v/>
      </c>
      <c r="D518" s="79" t="str">
        <f>_xlfn.XLOOKUP(tblChecklist[[#This Row],[TargetID]],tblTargets[TargetID],tblTargets[TargetType],"")</f>
        <v>TECH</v>
      </c>
      <c r="E518" s="79" t="str">
        <f>_xlfn.XLOOKUP(tblChecklist[[#This Row],[TargetID]],tblTargetStatus[TargetID],tblTargetStatus[ChainAwareStatus],"")</f>
        <v>BLOCKED</v>
      </c>
      <c r="G518" s="82" t="b">
        <v>0</v>
      </c>
      <c r="H518" s="79" t="b">
        <f>_xlfn.XLOOKUP(tblChecklist[[#This Row],[TargetID]],tblTargetStatus[TargetID],tblTargetStatus[TargetFunded],"")</f>
        <v>0</v>
      </c>
      <c r="I51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9" spans="1:9" ht="26.15" customHeight="1">
      <c r="A519" t="s">
        <v>2198</v>
      </c>
      <c r="B519" t="str">
        <f>_xlfn.XLOOKUP(tblChecklist[[#This Row],[TargetID]],tblTargets[TargetID],tblTargets[DisplayName])</f>
        <v>Smithy - Sword For A Hero Lvl 1</v>
      </c>
      <c r="C519" s="2" t="str">
        <f>_xlfn.XLOOKUP(
 tblChecklist[[#This Row],[TargetID]],
 tblTargetStatus[TargetID],
 tblTargetStatus[successors],
 ""
)</f>
        <v>Smithy - Sword For A Hero Lvl 2, Smithy - Weapon Grease</v>
      </c>
      <c r="D519" s="79" t="str">
        <f>_xlfn.XLOOKUP(tblChecklist[[#This Row],[TargetID]],tblTargets[TargetID],tblTargets[TargetType],"")</f>
        <v>TECH</v>
      </c>
      <c r="E519" s="79" t="str">
        <f>_xlfn.XLOOKUP(tblChecklist[[#This Row],[TargetID]],tblTargetStatus[TargetID],tblTargetStatus[ChainAwareStatus],"")</f>
        <v>BLOCKED</v>
      </c>
      <c r="G519" s="82" t="b">
        <v>0</v>
      </c>
      <c r="H519" s="79" t="b">
        <f>_xlfn.XLOOKUP(tblChecklist[[#This Row],[TargetID]],tblTargetStatus[TargetID],tblTargetStatus[TargetFunded],"")</f>
        <v>0</v>
      </c>
      <c r="I51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0" spans="1:9" ht="26.15" customHeight="1">
      <c r="A520" t="s">
        <v>2200</v>
      </c>
      <c r="B520" t="str">
        <f>_xlfn.XLOOKUP(tblChecklist[[#This Row],[TargetID]],tblTargets[TargetID],tblTargets[DisplayName])</f>
        <v>Smithy - Sword For A Hero Lvl 2</v>
      </c>
      <c r="C520" s="2" t="str">
        <f>_xlfn.XLOOKUP(
 tblChecklist[[#This Row],[TargetID]],
 tblTargetStatus[TargetID],
 tblTargetStatus[successors],
 ""
)</f>
        <v>Smithy - Sword For A Hero Lvl 3</v>
      </c>
      <c r="D520" s="79" t="str">
        <f>_xlfn.XLOOKUP(tblChecklist[[#This Row],[TargetID]],tblTargets[TargetID],tblTargets[TargetType],"")</f>
        <v>TECH</v>
      </c>
      <c r="E520" s="79" t="str">
        <f>_xlfn.XLOOKUP(tblChecklist[[#This Row],[TargetID]],tblTargetStatus[TargetID],tblTargetStatus[ChainAwareStatus],"")</f>
        <v>BLOCKED</v>
      </c>
      <c r="G520" s="82" t="b">
        <v>0</v>
      </c>
      <c r="H520" s="79" t="b">
        <f>_xlfn.XLOOKUP(tblChecklist[[#This Row],[TargetID]],tblTargetStatus[TargetID],tblTargetStatus[TargetFunded],"")</f>
        <v>0</v>
      </c>
      <c r="I52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1" spans="1:9" ht="26.15" customHeight="1">
      <c r="A521" t="s">
        <v>2202</v>
      </c>
      <c r="B521" t="str">
        <f>_xlfn.XLOOKUP(tblChecklist[[#This Row],[TargetID]],tblTargets[TargetID],tblTargets[DisplayName])</f>
        <v>Smithy - Sword For A Hero Lvl 3</v>
      </c>
      <c r="C521" s="2" t="str">
        <f>_xlfn.XLOOKUP(
 tblChecklist[[#This Row],[TargetID]],
 tblTargetStatus[TargetID],
 tblTargetStatus[successors],
 ""
)</f>
        <v>Smithy - Sword For A Hero Lvl 4</v>
      </c>
      <c r="D521" s="79" t="str">
        <f>_xlfn.XLOOKUP(tblChecklist[[#This Row],[TargetID]],tblTargets[TargetID],tblTargets[TargetType],"")</f>
        <v>TECH</v>
      </c>
      <c r="E521" s="79" t="str">
        <f>_xlfn.XLOOKUP(tblChecklist[[#This Row],[TargetID]],tblTargetStatus[TargetID],tblTargetStatus[ChainAwareStatus],"")</f>
        <v>BLOCKED</v>
      </c>
      <c r="G521" s="82" t="b">
        <v>0</v>
      </c>
      <c r="H521" s="79" t="b">
        <f>_xlfn.XLOOKUP(tblChecklist[[#This Row],[TargetID]],tblTargetStatus[TargetID],tblTargetStatus[TargetFunded],"")</f>
        <v>0</v>
      </c>
      <c r="I52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2" spans="1:9" ht="26.15" customHeight="1">
      <c r="A522" t="s">
        <v>2204</v>
      </c>
      <c r="B522" t="str">
        <f>_xlfn.XLOOKUP(tblChecklist[[#This Row],[TargetID]],tblTargets[TargetID],tblTargets[DisplayName])</f>
        <v>Smithy - Sword For A Hero Lvl 4</v>
      </c>
      <c r="C522" s="2" t="str">
        <f>_xlfn.XLOOKUP(
 tblChecklist[[#This Row],[TargetID]],
 tblTargetStatus[TargetID],
 tblTargetStatus[successors],
 ""
)</f>
        <v>The Ordinary Days of an Adventurer Chapter 1 Accepted, Craft Sword for a Hero Lvl 4, Smithy - Sword For A Hero Lvl 4+, Dragon teeth Finished</v>
      </c>
      <c r="D522" s="79" t="str">
        <f>_xlfn.XLOOKUP(tblChecklist[[#This Row],[TargetID]],tblTargets[TargetID],tblTargets[TargetType],"")</f>
        <v>TECH</v>
      </c>
      <c r="E522" s="79" t="str">
        <f>_xlfn.XLOOKUP(tblChecklist[[#This Row],[TargetID]],tblTargetStatus[TargetID],tblTargetStatus[ChainAwareStatus],"")</f>
        <v>BLOCKED</v>
      </c>
      <c r="G522" s="82" t="b">
        <v>0</v>
      </c>
      <c r="H522" s="79" t="b">
        <f>_xlfn.XLOOKUP(tblChecklist[[#This Row],[TargetID]],tblTargetStatus[TargetID],tblTargetStatus[TargetFunded],"")</f>
        <v>0</v>
      </c>
      <c r="I52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3" spans="1:9" ht="26.15" customHeight="1">
      <c r="A523" t="s">
        <v>2206</v>
      </c>
      <c r="B523" t="str">
        <f>_xlfn.XLOOKUP(tblChecklist[[#This Row],[TargetID]],tblTargets[TargetID],tblTargets[DisplayName])</f>
        <v>Smithy - Sword For A Hero Lvl 4+</v>
      </c>
      <c r="C523" s="2" t="str">
        <f>_xlfn.XLOOKUP(
 tblChecklist[[#This Row],[TargetID]],
 tblTargetStatus[TargetID],
 tblTargetStatus[successors],
 ""
)</f>
        <v>Craft sword 4+</v>
      </c>
      <c r="D523" s="79" t="str">
        <f>_xlfn.XLOOKUP(tblChecklist[[#This Row],[TargetID]],tblTargets[TargetID],tblTargets[TargetType],"")</f>
        <v>TECH</v>
      </c>
      <c r="E523" s="79" t="str">
        <f>_xlfn.XLOOKUP(tblChecklist[[#This Row],[TargetID]],tblTargetStatus[TargetID],tblTargetStatus[ChainAwareStatus],"")</f>
        <v>BLOCKED</v>
      </c>
      <c r="G523" s="82" t="b">
        <v>0</v>
      </c>
      <c r="H523" s="79" t="b">
        <f>_xlfn.XLOOKUP(tblChecklist[[#This Row],[TargetID]],tblTargetStatus[TargetID],tblTargetStatus[TargetFunded],"")</f>
        <v>0</v>
      </c>
      <c r="I52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4" spans="1:9" ht="26.15" customHeight="1">
      <c r="A524" t="s">
        <v>2196</v>
      </c>
      <c r="B524" t="str">
        <f>_xlfn.XLOOKUP(tblChecklist[[#This Row],[TargetID]],tblTargets[TargetID],tblTargets[DisplayName])</f>
        <v>Smithy - Throwing Knife</v>
      </c>
      <c r="C524" s="2" t="str">
        <f>_xlfn.XLOOKUP(
 tblChecklist[[#This Row],[TargetID]],
 tblTargetStatus[TargetID],
 tblTargetStatus[successors],
 ""
)</f>
        <v>Green Potion Finished</v>
      </c>
      <c r="D524" s="79" t="str">
        <f>_xlfn.XLOOKUP(tblChecklist[[#This Row],[TargetID]],tblTargets[TargetID],tblTargets[TargetType],"")</f>
        <v>TECH</v>
      </c>
      <c r="E524" s="79" t="str">
        <f>_xlfn.XLOOKUP(tblChecklist[[#This Row],[TargetID]],tblTargetStatus[TargetID],tblTargetStatus[ChainAwareStatus],"")</f>
        <v>BLOCKED</v>
      </c>
      <c r="G524" s="82" t="b">
        <v>0</v>
      </c>
      <c r="H524" s="79" t="b">
        <f>_xlfn.XLOOKUP(tblChecklist[[#This Row],[TargetID]],tblTargetStatus[TargetID],tblTargetStatus[TargetFunded],"")</f>
        <v>0</v>
      </c>
      <c r="I52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5" spans="1:9" ht="26.15" customHeight="1">
      <c r="A525" t="s">
        <v>2212</v>
      </c>
      <c r="B525" t="str">
        <f>_xlfn.XLOOKUP(tblChecklist[[#This Row],[TargetID]],tblTargets[TargetID],tblTargets[DisplayName])</f>
        <v>Smithy - Treasure</v>
      </c>
      <c r="C525" s="2" t="str">
        <f>_xlfn.XLOOKUP(
 tblChecklist[[#This Row],[TargetID]],
 tblTargetStatus[TargetID],
 tblTargetStatus[successors],
 ""
)</f>
        <v/>
      </c>
      <c r="D525" s="79" t="str">
        <f>_xlfn.XLOOKUP(tblChecklist[[#This Row],[TargetID]],tblTargets[TargetID],tblTargets[TargetType],"")</f>
        <v>TECH</v>
      </c>
      <c r="E525" s="79" t="str">
        <f>_xlfn.XLOOKUP(tblChecklist[[#This Row],[TargetID]],tblTargetStatus[TargetID],tblTargetStatus[ChainAwareStatus],"")</f>
        <v>BLOCKED</v>
      </c>
      <c r="G525" s="82" t="b">
        <v>0</v>
      </c>
      <c r="H525" s="79" t="b">
        <f>_xlfn.XLOOKUP(tblChecklist[[#This Row],[TargetID]],tblTargetStatus[TargetID],tblTargetStatus[TargetFunded],"")</f>
        <v>0</v>
      </c>
      <c r="I52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6" spans="1:9" ht="26.15" customHeight="1">
      <c r="A526" t="s">
        <v>2208</v>
      </c>
      <c r="B526" t="str">
        <f>_xlfn.XLOOKUP(tblChecklist[[#This Row],[TargetID]],tblTargets[TargetID],tblTargets[DisplayName])</f>
        <v>Smithy - Weapon Grease</v>
      </c>
      <c r="C526" s="2" t="str">
        <f>_xlfn.XLOOKUP(
 tblChecklist[[#This Row],[TargetID]],
 tblTargetStatus[TargetID],
 tblTargetStatus[successors],
 ""
)</f>
        <v/>
      </c>
      <c r="D526" s="79" t="str">
        <f>_xlfn.XLOOKUP(tblChecklist[[#This Row],[TargetID]],tblTargets[TargetID],tblTargets[TargetType],"")</f>
        <v>TECH</v>
      </c>
      <c r="E526" s="79" t="str">
        <f>_xlfn.XLOOKUP(tblChecklist[[#This Row],[TargetID]],tblTargetStatus[TargetID],tblTargetStatus[ChainAwareStatus],"")</f>
        <v>BLOCKED</v>
      </c>
      <c r="G526" s="82" t="b">
        <v>0</v>
      </c>
      <c r="H526" s="79" t="b">
        <f>_xlfn.XLOOKUP(tblChecklist[[#This Row],[TargetID]],tblTargetStatus[TargetID],tblTargetStatus[TargetFunded],"")</f>
        <v>0</v>
      </c>
      <c r="I5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7" spans="1:9" ht="26.15" customHeight="1">
      <c r="A527" t="s">
        <v>2214</v>
      </c>
      <c r="B527" t="str">
        <f>_xlfn.XLOOKUP(tblChecklist[[#This Row],[TargetID]],tblTargets[TargetID],tblTargets[DisplayName])</f>
        <v>Tailor - Ariadnes Thread</v>
      </c>
      <c r="C527" s="2" t="str">
        <f>_xlfn.XLOOKUP(
 tblChecklist[[#This Row],[TargetID]],
 tblTargetStatus[TargetID],
 tblTargetStatus[successors],
 ""
)</f>
        <v/>
      </c>
      <c r="D527" s="79" t="str">
        <f>_xlfn.XLOOKUP(tblChecklist[[#This Row],[TargetID]],tblTargets[TargetID],tblTargets[TargetType],"")</f>
        <v>TECH</v>
      </c>
      <c r="E527" s="79" t="str">
        <f>_xlfn.XLOOKUP(tblChecklist[[#This Row],[TargetID]],tblTargetStatus[TargetID],tblTargetStatus[ChainAwareStatus],"")</f>
        <v>BLOCKED</v>
      </c>
      <c r="G527" s="82" t="b">
        <v>0</v>
      </c>
      <c r="H527" s="79" t="b">
        <f>_xlfn.XLOOKUP(tblChecklist[[#This Row],[TargetID]],tblTargetStatus[TargetID],tblTargetStatus[TargetFunded],"")</f>
        <v>0</v>
      </c>
      <c r="I52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8" spans="1:9" ht="26.15" customHeight="1">
      <c r="A528" t="s">
        <v>2220</v>
      </c>
      <c r="B528" t="str">
        <f>_xlfn.XLOOKUP(tblChecklist[[#This Row],[TargetID]],tblTargets[TargetID],tblTargets[DisplayName])</f>
        <v>Tailor - Armor For A Hero Lvl 1</v>
      </c>
      <c r="C528" s="2" t="str">
        <f>_xlfn.XLOOKUP(
 tblChecklist[[#This Row],[TargetID]],
 tblTargetStatus[TargetID],
 tblTargetStatus[successors],
 ""
)</f>
        <v>Tailor - Armor For A Hero Lvl 2, Tailor - Strong Rivets</v>
      </c>
      <c r="D528" s="79" t="str">
        <f>_xlfn.XLOOKUP(tblChecklist[[#This Row],[TargetID]],tblTargets[TargetID],tblTargets[TargetType],"")</f>
        <v>TECH</v>
      </c>
      <c r="E528" s="79" t="str">
        <f>_xlfn.XLOOKUP(tblChecklist[[#This Row],[TargetID]],tblTargetStatus[TargetID],tblTargetStatus[ChainAwareStatus],"")</f>
        <v>BLOCKED</v>
      </c>
      <c r="G528" s="82" t="b">
        <v>0</v>
      </c>
      <c r="H528" s="79" t="b">
        <f>_xlfn.XLOOKUP(tblChecklist[[#This Row],[TargetID]],tblTargetStatus[TargetID],tblTargetStatus[TargetFunded],"")</f>
        <v>0</v>
      </c>
      <c r="I52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9" spans="1:9" ht="26.15" customHeight="1">
      <c r="A529" t="s">
        <v>2222</v>
      </c>
      <c r="B529" t="str">
        <f>_xlfn.XLOOKUP(tblChecklist[[#This Row],[TargetID]],tblTargets[TargetID],tblTargets[DisplayName])</f>
        <v>Tailor - Armor For A Hero Lvl 2</v>
      </c>
      <c r="C529" s="2" t="str">
        <f>_xlfn.XLOOKUP(
 tblChecklist[[#This Row],[TargetID]],
 tblTargetStatus[TargetID],
 tblTargetStatus[successors],
 ""
)</f>
        <v>Tailor - Armor For A Hero Lvl 3</v>
      </c>
      <c r="D529" s="79" t="str">
        <f>_xlfn.XLOOKUP(tblChecklist[[#This Row],[TargetID]],tblTargets[TargetID],tblTargets[TargetType],"")</f>
        <v>TECH</v>
      </c>
      <c r="E529" s="79" t="str">
        <f>_xlfn.XLOOKUP(tblChecklist[[#This Row],[TargetID]],tblTargetStatus[TargetID],tblTargetStatus[ChainAwareStatus],"")</f>
        <v>BLOCKED</v>
      </c>
      <c r="G529" s="82" t="b">
        <v>0</v>
      </c>
      <c r="H529" s="79" t="b">
        <f>_xlfn.XLOOKUP(tblChecklist[[#This Row],[TargetID]],tblTargetStatus[TargetID],tblTargetStatus[TargetFunded],"")</f>
        <v>0</v>
      </c>
      <c r="I52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0" spans="1:9" ht="26.15" customHeight="1">
      <c r="A530" t="s">
        <v>2224</v>
      </c>
      <c r="B530" t="str">
        <f>_xlfn.XLOOKUP(tblChecklist[[#This Row],[TargetID]],tblTargets[TargetID],tblTargets[DisplayName])</f>
        <v>Tailor - Armor For A Hero Lvl 3</v>
      </c>
      <c r="C530" s="2" t="str">
        <f>_xlfn.XLOOKUP(
 tblChecklist[[#This Row],[TargetID]],
 tblTargetStatus[TargetID],
 tblTargetStatus[successors],
 ""
)</f>
        <v/>
      </c>
      <c r="D530" s="79" t="str">
        <f>_xlfn.XLOOKUP(tblChecklist[[#This Row],[TargetID]],tblTargets[TargetID],tblTargets[TargetType],"")</f>
        <v>TECH</v>
      </c>
      <c r="E530" s="79" t="str">
        <f>_xlfn.XLOOKUP(tblChecklist[[#This Row],[TargetID]],tblTargetStatus[TargetID],tblTargetStatus[ChainAwareStatus],"")</f>
        <v>BLOCKED</v>
      </c>
      <c r="G530" s="82" t="b">
        <v>0</v>
      </c>
      <c r="H530" s="79" t="b">
        <f>_xlfn.XLOOKUP(tblChecklist[[#This Row],[TargetID]],tblTargetStatus[TargetID],tblTargetStatus[TargetFunded],"")</f>
        <v>0</v>
      </c>
      <c r="I53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1" spans="1:9" ht="26.15" customHeight="1">
      <c r="A531" t="s">
        <v>2226</v>
      </c>
      <c r="B531" t="str">
        <f>_xlfn.XLOOKUP(tblChecklist[[#This Row],[TargetID]],tblTargets[TargetID],tblTargets[DisplayName])</f>
        <v>Tailor - Armor For A Hero Lvl 4</v>
      </c>
      <c r="C531" s="2" t="str">
        <f>_xlfn.XLOOKUP(
 tblChecklist[[#This Row],[TargetID]],
 tblTargetStatus[TargetID],
 tblTargetStatus[successors],
 ""
)</f>
        <v>The Ordinary Days of an Adventurer Chapter 1 Accepted, Craft Armor 4, Tailor - Armor For A Hero Lvl 4+, Once Upon a Forest Chapter 9 Finished</v>
      </c>
      <c r="D531" s="79" t="str">
        <f>_xlfn.XLOOKUP(tblChecklist[[#This Row],[TargetID]],tblTargets[TargetID],tblTargets[TargetType],"")</f>
        <v>TECH</v>
      </c>
      <c r="E531" s="79" t="str">
        <f>_xlfn.XLOOKUP(tblChecklist[[#This Row],[TargetID]],tblTargetStatus[TargetID],tblTargetStatus[ChainAwareStatus],"")</f>
        <v>BLOCKED</v>
      </c>
      <c r="G531" s="82" t="b">
        <v>0</v>
      </c>
      <c r="H531" s="79" t="b">
        <f>_xlfn.XLOOKUP(tblChecklist[[#This Row],[TargetID]],tblTargetStatus[TargetID],tblTargetStatus[TargetFunded],"")</f>
        <v>0</v>
      </c>
      <c r="I53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2" spans="1:9" ht="26.15" customHeight="1">
      <c r="A532" t="s">
        <v>2228</v>
      </c>
      <c r="B532" t="str">
        <f>_xlfn.XLOOKUP(tblChecklist[[#This Row],[TargetID]],tblTargets[TargetID],tblTargets[DisplayName])</f>
        <v>Tailor - Armor For A Hero Lvl 4+</v>
      </c>
      <c r="C532" s="2" t="str">
        <f>_xlfn.XLOOKUP(
 tblChecklist[[#This Row],[TargetID]],
 tblTargetStatus[TargetID],
 tblTargetStatus[successors],
 ""
)</f>
        <v>Craft Armor 4+</v>
      </c>
      <c r="D532" s="79" t="str">
        <f>_xlfn.XLOOKUP(tblChecklist[[#This Row],[TargetID]],tblTargets[TargetID],tblTargets[TargetType],"")</f>
        <v>TECH</v>
      </c>
      <c r="E532" s="79" t="str">
        <f>_xlfn.XLOOKUP(tblChecklist[[#This Row],[TargetID]],tblTargetStatus[TargetID],tblTargetStatus[ChainAwareStatus],"")</f>
        <v>BLOCKED</v>
      </c>
      <c r="G532" s="82" t="b">
        <v>0</v>
      </c>
      <c r="H532" s="79" t="b">
        <f>_xlfn.XLOOKUP(tblChecklist[[#This Row],[TargetID]],tblTargetStatus[TargetID],tblTargetStatus[TargetFunded],"")</f>
        <v>0</v>
      </c>
      <c r="I53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3" spans="1:9" ht="26.15" customHeight="1">
      <c r="A533" t="s">
        <v>2216</v>
      </c>
      <c r="B533" t="str">
        <f>_xlfn.XLOOKUP(tblChecklist[[#This Row],[TargetID]],tblTargets[TargetID],tblTargets[DisplayName])</f>
        <v>Tailor - Bedroll</v>
      </c>
      <c r="C533" s="2" t="str">
        <f>_xlfn.XLOOKUP(
 tblChecklist[[#This Row],[TargetID]],
 tblTargetStatus[TargetID],
 tblTargetStatus[successors],
 ""
)</f>
        <v/>
      </c>
      <c r="D533" s="79" t="str">
        <f>_xlfn.XLOOKUP(tblChecklist[[#This Row],[TargetID]],tblTargets[TargetID],tblTargets[TargetType],"")</f>
        <v>TECH</v>
      </c>
      <c r="E533" s="79" t="str">
        <f>_xlfn.XLOOKUP(tblChecklist[[#This Row],[TargetID]],tblTargetStatus[TargetID],tblTargetStatus[ChainAwareStatus],"")</f>
        <v>BLOCKED</v>
      </c>
      <c r="G533" s="82" t="b">
        <v>0</v>
      </c>
      <c r="H533" s="79" t="b">
        <f>_xlfn.XLOOKUP(tblChecklist[[#This Row],[TargetID]],tblTargetStatus[TargetID],tblTargetStatus[TargetFunded],"")</f>
        <v>0</v>
      </c>
      <c r="I53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4" spans="1:9" ht="26.15" customHeight="1">
      <c r="A534" t="s">
        <v>2234</v>
      </c>
      <c r="B534" t="str">
        <f>_xlfn.XLOOKUP(tblChecklist[[#This Row],[TargetID]],tblTargets[TargetID],tblTargets[DisplayName])</f>
        <v>Tailor - Colored Threads</v>
      </c>
      <c r="C534" s="2" t="str">
        <f>_xlfn.XLOOKUP(
 tblChecklist[[#This Row],[TargetID]],
 tblTargetStatus[TargetID],
 tblTargetStatus[successors],
 ""
)</f>
        <v/>
      </c>
      <c r="D534" s="79" t="str">
        <f>_xlfn.XLOOKUP(tblChecklist[[#This Row],[TargetID]],tblTargets[TargetID],tblTargets[TargetType],"")</f>
        <v>TECH</v>
      </c>
      <c r="E534" s="79" t="str">
        <f>_xlfn.XLOOKUP(tblChecklist[[#This Row],[TargetID]],tblTargetStatus[TargetID],tblTargetStatus[ChainAwareStatus],"")</f>
        <v>BLOCKED</v>
      </c>
      <c r="G534" s="82" t="b">
        <v>0</v>
      </c>
      <c r="H534" s="79" t="b">
        <f>_xlfn.XLOOKUP(tblChecklist[[#This Row],[TargetID]],tblTargetStatus[TargetID],tblTargetStatus[TargetFunded],"")</f>
        <v>0</v>
      </c>
      <c r="I53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5" spans="1:9" ht="26.15" customHeight="1">
      <c r="A535" t="s">
        <v>2218</v>
      </c>
      <c r="B535" t="str">
        <f>_xlfn.XLOOKUP(tblChecklist[[#This Row],[TargetID]],tblTargets[TargetID],tblTargets[DisplayName])</f>
        <v>Tailor - Salamander Velour</v>
      </c>
      <c r="C535" s="2" t="str">
        <f>_xlfn.XLOOKUP(
 tblChecklist[[#This Row],[TargetID]],
 tblTargetStatus[TargetID],
 tblTargetStatus[successors],
 ""
)</f>
        <v>Tailor - Armor For A Hero Lvl 4</v>
      </c>
      <c r="D535" s="79" t="str">
        <f>_xlfn.XLOOKUP(tblChecklist[[#This Row],[TargetID]],tblTargets[TargetID],tblTargets[TargetType],"")</f>
        <v>TECH</v>
      </c>
      <c r="E535" s="79" t="str">
        <f>_xlfn.XLOOKUP(tblChecklist[[#This Row],[TargetID]],tblTargetStatus[TargetID],tblTargetStatus[ChainAwareStatus],"")</f>
        <v>BLOCKED</v>
      </c>
      <c r="G535" s="82" t="b">
        <v>0</v>
      </c>
      <c r="H535" s="79" t="b">
        <f>_xlfn.XLOOKUP(tblChecklist[[#This Row],[TargetID]],tblTargetStatus[TargetID],tblTargetStatus[TargetFunded],"")</f>
        <v>0</v>
      </c>
      <c r="I53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6" spans="1:9" ht="26.15" customHeight="1">
      <c r="A536" t="s">
        <v>2232</v>
      </c>
      <c r="B536" t="str">
        <f>_xlfn.XLOOKUP(tblChecklist[[#This Row],[TargetID]],tblTargets[TargetID],tblTargets[DisplayName])</f>
        <v>Tailor - Strong Rivets</v>
      </c>
      <c r="C536" s="2" t="str">
        <f>_xlfn.XLOOKUP(
 tblChecklist[[#This Row],[TargetID]],
 tblTargetStatus[TargetID],
 tblTargetStatus[successors],
 ""
)</f>
        <v/>
      </c>
      <c r="D536" s="79" t="str">
        <f>_xlfn.XLOOKUP(tblChecklist[[#This Row],[TargetID]],tblTargets[TargetID],tblTargets[TargetType],"")</f>
        <v>TECH</v>
      </c>
      <c r="E536" s="79" t="str">
        <f>_xlfn.XLOOKUP(tblChecklist[[#This Row],[TargetID]],tblTargetStatus[TargetID],tblTargetStatus[ChainAwareStatus],"")</f>
        <v>BLOCKED</v>
      </c>
      <c r="G536" s="82" t="b">
        <v>0</v>
      </c>
      <c r="H536" s="79" t="b">
        <f>_xlfn.XLOOKUP(tblChecklist[[#This Row],[TargetID]],tblTargetStatus[TargetID],tblTargetStatus[TargetFunded],"")</f>
        <v>0</v>
      </c>
      <c r="I53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7" spans="1:9" ht="26.15" customHeight="1">
      <c r="A537" t="s">
        <v>2230</v>
      </c>
      <c r="B537" t="str">
        <f>_xlfn.XLOOKUP(tblChecklist[[#This Row],[TargetID]],tblTargets[TargetID],tblTargets[DisplayName])</f>
        <v>Tailor - Strong Stitch</v>
      </c>
      <c r="C537" s="2" t="str">
        <f>_xlfn.XLOOKUP(
 tblChecklist[[#This Row],[TargetID]],
 tblTargetStatus[TargetID],
 tblTargetStatus[successors],
 ""
)</f>
        <v/>
      </c>
      <c r="D537" s="79" t="str">
        <f>_xlfn.XLOOKUP(tblChecklist[[#This Row],[TargetID]],tblTargets[TargetID],tblTargets[TargetType],"")</f>
        <v>TECH</v>
      </c>
      <c r="E537" s="79" t="str">
        <f>_xlfn.XLOOKUP(tblChecklist[[#This Row],[TargetID]],tblTargetStatus[TargetID],tblTargetStatus[ChainAwareStatus],"")</f>
        <v>BLOCKED</v>
      </c>
      <c r="F537" s="79">
        <v>999</v>
      </c>
      <c r="G537" s="82" t="b">
        <v>0</v>
      </c>
      <c r="H537" s="79" t="b">
        <f>_xlfn.XLOOKUP(tblChecklist[[#This Row],[TargetID]],tblTargetStatus[TargetID],tblTargetStatus[TargetFunded],"")</f>
        <v>0</v>
      </c>
      <c r="I53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8" spans="1:9" ht="26.15" customHeight="1">
      <c r="A538" t="s">
        <v>2240</v>
      </c>
      <c r="B538" t="str">
        <f>_xlfn.XLOOKUP(tblChecklist[[#This Row],[TargetID]],tblTargets[TargetID],tblTargets[DisplayName])</f>
        <v>Train - Automatic Lubricator</v>
      </c>
      <c r="C538" s="2" t="str">
        <f>_xlfn.XLOOKUP(
 tblChecklist[[#This Row],[TargetID]],
 tblTargetStatus[TargetID],
 tblTargetStatus[successors],
 ""
)</f>
        <v/>
      </c>
      <c r="D538" s="79" t="str">
        <f>_xlfn.XLOOKUP(tblChecklist[[#This Row],[TargetID]],tblTargets[TargetID],tblTargets[TargetType],"")</f>
        <v>TECH</v>
      </c>
      <c r="E538" s="79" t="str">
        <f>_xlfn.XLOOKUP(tblChecklist[[#This Row],[TargetID]],tblTargetStatus[TargetID],tblTargetStatus[ChainAwareStatus],"")</f>
        <v>BLOCKED</v>
      </c>
      <c r="G538" s="82" t="b">
        <v>0</v>
      </c>
      <c r="H538" s="79" t="b">
        <f>_xlfn.XLOOKUP(tblChecklist[[#This Row],[TargetID]],tblTargetStatus[TargetID],tblTargetStatus[TargetFunded],"")</f>
        <v>0</v>
      </c>
      <c r="I53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9" spans="1:9" ht="26.15" customHeight="1">
      <c r="A539" t="s">
        <v>2236</v>
      </c>
      <c r="B539" t="str">
        <f>_xlfn.XLOOKUP(tblChecklist[[#This Row],[TargetID]],tblTargets[TargetID],tblTargets[DisplayName])</f>
        <v>Train - Compound Engine</v>
      </c>
      <c r="C539" s="2" t="str">
        <f>_xlfn.XLOOKUP(
 tblChecklist[[#This Row],[TargetID]],
 tblTargetStatus[TargetID],
 tblTargetStatus[successors],
 ""
)</f>
        <v/>
      </c>
      <c r="D539" s="79" t="str">
        <f>_xlfn.XLOOKUP(tblChecklist[[#This Row],[TargetID]],tblTargets[TargetID],tblTargets[TargetType],"")</f>
        <v>TECH</v>
      </c>
      <c r="E539" s="79" t="str">
        <f>_xlfn.XLOOKUP(tblChecklist[[#This Row],[TargetID]],tblTargetStatus[TargetID],tblTargetStatus[ChainAwareStatus],"")</f>
        <v>BLOCKED</v>
      </c>
      <c r="G539" s="82" t="b">
        <v>0</v>
      </c>
      <c r="H539" s="79" t="b">
        <f>_xlfn.XLOOKUP(tblChecklist[[#This Row],[TargetID]],tblTargetStatus[TargetID],tblTargetStatus[TargetFunded],"")</f>
        <v>0</v>
      </c>
      <c r="I53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0" spans="1:9" ht="26.15" customHeight="1">
      <c r="A540" t="s">
        <v>2244</v>
      </c>
      <c r="B540" t="str">
        <f>_xlfn.XLOOKUP(tblChecklist[[#This Row],[TargetID]],tblTargets[TargetID],tblTargets[DisplayName])</f>
        <v>Train - Onboard Computer</v>
      </c>
      <c r="C540" s="2" t="str">
        <f>_xlfn.XLOOKUP(
 tblChecklist[[#This Row],[TargetID]],
 tblTargetStatus[TargetID],
 tblTargetStatus[successors],
 ""
)</f>
        <v/>
      </c>
      <c r="D540" s="79" t="str">
        <f>_xlfn.XLOOKUP(tblChecklist[[#This Row],[TargetID]],tblTargets[TargetID],tblTargets[TargetType],"")</f>
        <v>TECH</v>
      </c>
      <c r="E540" s="79" t="str">
        <f>_xlfn.XLOOKUP(tblChecklist[[#This Row],[TargetID]],tblTargetStatus[TargetID],tblTargetStatus[ChainAwareStatus],"")</f>
        <v>BLOCKED</v>
      </c>
      <c r="G540" s="82" t="b">
        <v>0</v>
      </c>
      <c r="H540" s="79" t="b">
        <f>_xlfn.XLOOKUP(tblChecklist[[#This Row],[TargetID]],tblTargetStatus[TargetID],tblTargetStatus[TargetFunded],"")</f>
        <v>0</v>
      </c>
      <c r="I54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1" spans="1:9" ht="26.15" customHeight="1">
      <c r="A541" t="s">
        <v>2238</v>
      </c>
      <c r="B541" t="str">
        <f>_xlfn.XLOOKUP(tblChecklist[[#This Row],[TargetID]],tblTargets[TargetID],tblTargets[DisplayName])</f>
        <v>Train - Superheater</v>
      </c>
      <c r="C541" s="2" t="str">
        <f>_xlfn.XLOOKUP(
 tblChecklist[[#This Row],[TargetID]],
 tblTargetStatus[TargetID],
 tblTargetStatus[successors],
 ""
)</f>
        <v/>
      </c>
      <c r="D541" s="79" t="str">
        <f>_xlfn.XLOOKUP(tblChecklist[[#This Row],[TargetID]],tblTargets[TargetID],tblTargets[TargetType],"")</f>
        <v>TECH</v>
      </c>
      <c r="E541" s="79" t="str">
        <f>_xlfn.XLOOKUP(tblChecklist[[#This Row],[TargetID]],tblTargetStatus[TargetID],tblTargetStatus[ChainAwareStatus],"")</f>
        <v>BLOCKED</v>
      </c>
      <c r="G541" s="82" t="b">
        <v>0</v>
      </c>
      <c r="H541" s="79" t="b">
        <f>_xlfn.XLOOKUP(tblChecklist[[#This Row],[TargetID]],tblTargetStatus[TargetID],tblTargetStatus[TargetFunded],"")</f>
        <v>0</v>
      </c>
      <c r="I54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2" spans="1:9" ht="26.15" customHeight="1">
      <c r="A542" t="s">
        <v>2242</v>
      </c>
      <c r="B542" t="str">
        <f>_xlfn.XLOOKUP(tblChecklist[[#This Row],[TargetID]],tblTargets[TargetID],tblTargets[DisplayName])</f>
        <v>Train - Titanium Components</v>
      </c>
      <c r="C542" s="2" t="str">
        <f>_xlfn.XLOOKUP(
 tblChecklist[[#This Row],[TargetID]],
 tblTargetStatus[TargetID],
 tblTargetStatus[successors],
 ""
)</f>
        <v/>
      </c>
      <c r="D542" s="79" t="str">
        <f>_xlfn.XLOOKUP(tblChecklist[[#This Row],[TargetID]],tblTargets[TargetID],tblTargets[TargetType],"")</f>
        <v>TECH</v>
      </c>
      <c r="E542" s="79" t="str">
        <f>_xlfn.XLOOKUP(tblChecklist[[#This Row],[TargetID]],tblTargetStatus[TargetID],tblTargetStatus[ChainAwareStatus],"")</f>
        <v>BLOCKED</v>
      </c>
      <c r="G542" s="82" t="b">
        <v>0</v>
      </c>
      <c r="H542" s="79" t="b">
        <f>_xlfn.XLOOKUP(tblChecklist[[#This Row],[TargetID]],tblTargetStatus[TargetID],tblTargetStatus[TargetFunded],"")</f>
        <v>0</v>
      </c>
      <c r="I54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3" spans="1:9" ht="26.15" customHeight="1">
      <c r="A543" t="s">
        <v>2246</v>
      </c>
      <c r="B543" t="str">
        <f>_xlfn.XLOOKUP(tblChecklist[[#This Row],[TargetID]],tblTargets[TargetID],tblTargets[DisplayName])</f>
        <v>Warehouse - Stackable Racks Lvl 1</v>
      </c>
      <c r="C543" s="2" t="str">
        <f>_xlfn.XLOOKUP(
 tblChecklist[[#This Row],[TargetID]],
 tblTargetStatus[TargetID],
 tblTargetStatus[successors],
 ""
)</f>
        <v>Warehouse - Stackable Racks Lvl 2</v>
      </c>
      <c r="D543" s="79" t="str">
        <f>_xlfn.XLOOKUP(tblChecklist[[#This Row],[TargetID]],tblTargets[TargetID],tblTargets[TargetType],"")</f>
        <v>TECH</v>
      </c>
      <c r="E543" s="79" t="str">
        <f>_xlfn.XLOOKUP(tblChecklist[[#This Row],[TargetID]],tblTargetStatus[TargetID],tblTargetStatus[ChainAwareStatus],"")</f>
        <v>BLOCKED</v>
      </c>
      <c r="G543" s="82" t="b">
        <v>0</v>
      </c>
      <c r="H543" s="79" t="b">
        <f>_xlfn.XLOOKUP(tblChecklist[[#This Row],[TargetID]],tblTargetStatus[TargetID],tblTargetStatus[TargetFunded],"")</f>
        <v>0</v>
      </c>
      <c r="I54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4" spans="1:9" ht="26.15" customHeight="1">
      <c r="A544" t="s">
        <v>2248</v>
      </c>
      <c r="B544" t="str">
        <f>_xlfn.XLOOKUP(tblChecklist[[#This Row],[TargetID]],tblTargets[TargetID],tblTargets[DisplayName])</f>
        <v>Warehouse - Stackable Racks Lvl 2</v>
      </c>
      <c r="C544" s="2" t="str">
        <f>_xlfn.XLOOKUP(
 tblChecklist[[#This Row],[TargetID]],
 tblTargetStatus[TargetID],
 tblTargetStatus[successors],
 ""
)</f>
        <v>Warehouse - Stackable Racks Lvl 3</v>
      </c>
      <c r="D544" s="79" t="str">
        <f>_xlfn.XLOOKUP(tblChecklist[[#This Row],[TargetID]],tblTargets[TargetID],tblTargets[TargetType],"")</f>
        <v>TECH</v>
      </c>
      <c r="E544" s="79" t="str">
        <f>_xlfn.XLOOKUP(tblChecklist[[#This Row],[TargetID]],tblTargetStatus[TargetID],tblTargetStatus[ChainAwareStatus],"")</f>
        <v>BLOCKED</v>
      </c>
      <c r="G544" s="82" t="b">
        <v>0</v>
      </c>
      <c r="H544" s="79" t="b">
        <f>_xlfn.XLOOKUP(tblChecklist[[#This Row],[TargetID]],tblTargetStatus[TargetID],tblTargetStatus[TargetFunded],"")</f>
        <v>0</v>
      </c>
      <c r="I54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5" spans="1:9" ht="26.15" customHeight="1">
      <c r="A545" t="s">
        <v>2250</v>
      </c>
      <c r="B545" t="str">
        <f>_xlfn.XLOOKUP(tblChecklist[[#This Row],[TargetID]],tblTargets[TargetID],tblTargets[DisplayName])</f>
        <v>Warehouse - Stackable Racks Lvl 3</v>
      </c>
      <c r="C545" s="2" t="str">
        <f>_xlfn.XLOOKUP(
 tblChecklist[[#This Row],[TargetID]],
 tblTargetStatus[TargetID],
 tblTargetStatus[successors],
 ""
)</f>
        <v/>
      </c>
      <c r="D545" s="79" t="str">
        <f>_xlfn.XLOOKUP(tblChecklist[[#This Row],[TargetID]],tblTargets[TargetID],tblTargets[TargetType],"")</f>
        <v>TECH</v>
      </c>
      <c r="E545" s="79" t="str">
        <f>_xlfn.XLOOKUP(tblChecklist[[#This Row],[TargetID]],tblTargetStatus[TargetID],tblTargetStatus[ChainAwareStatus],"")</f>
        <v>BLOCKED</v>
      </c>
      <c r="G545" s="82" t="b">
        <v>0</v>
      </c>
      <c r="H545" s="79" t="b">
        <f>_xlfn.XLOOKUP(tblChecklist[[#This Row],[TargetID]],tblTargetStatus[TargetID],tblTargetStatus[TargetFunded],"")</f>
        <v>0</v>
      </c>
      <c r="I5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6" spans="1:9" ht="26.15" customHeight="1">
      <c r="A546" t="s">
        <v>5773</v>
      </c>
      <c r="B546" t="str">
        <f>_xlfn.XLOOKUP(tblChecklist[[#This Row],[TargetID]],tblTargets[TargetID],tblTargets[DisplayName])</f>
        <v>Windmill -  Bone Meal</v>
      </c>
      <c r="C546" s="2" t="str">
        <f>_xlfn.XLOOKUP(
 tblChecklist[[#This Row],[TargetID]],
 tblTargetStatus[TargetID],
 tblTargetStatus[successors],
 ""
)</f>
        <v/>
      </c>
      <c r="D546" s="79" t="str">
        <f>_xlfn.XLOOKUP(tblChecklist[[#This Row],[TargetID]],tblTargets[TargetID],tblTargets[TargetType],"")</f>
        <v>TECH</v>
      </c>
      <c r="E546" s="79" t="str">
        <f>_xlfn.XLOOKUP(tblChecklist[[#This Row],[TargetID]],tblTargetStatus[TargetID],tblTargetStatus[ChainAwareStatus],"")</f>
        <v>BLOCKED</v>
      </c>
      <c r="G546" s="82" t="b">
        <v>0</v>
      </c>
      <c r="H546" s="79" t="b">
        <f>_xlfn.XLOOKUP(tblChecklist[[#This Row],[TargetID]],tblTargetStatus[TargetID],tblTargetStatus[TargetFunded],"")</f>
        <v>0</v>
      </c>
      <c r="I54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7" spans="1:9" ht="26.15" customHeight="1">
      <c r="A547" t="s">
        <v>2276</v>
      </c>
      <c r="B547" t="str">
        <f>_xlfn.XLOOKUP(tblChecklist[[#This Row],[TargetID]],tblTargets[TargetID],tblTargets[DisplayName])</f>
        <v>Workshop - Conveyor Lvl 1</v>
      </c>
      <c r="C547" s="2" t="str">
        <f>_xlfn.XLOOKUP(
 tblChecklist[[#This Row],[TargetID]],
 tblTargetStatus[TargetID],
 tblTargetStatus[successors],
 ""
)</f>
        <v>Workshop - Conveyor Lvl 2</v>
      </c>
      <c r="D547" s="79" t="str">
        <f>_xlfn.XLOOKUP(tblChecklist[[#This Row],[TargetID]],tblTargets[TargetID],tblTargets[TargetType],"")</f>
        <v>TECH</v>
      </c>
      <c r="E547" s="79" t="str">
        <f>_xlfn.XLOOKUP(tblChecklist[[#This Row],[TargetID]],tblTargetStatus[TargetID],tblTargetStatus[ChainAwareStatus],"")</f>
        <v>BLOCKED</v>
      </c>
      <c r="F547" s="79">
        <v>40</v>
      </c>
      <c r="G547" s="82" t="b">
        <v>0</v>
      </c>
      <c r="H547" s="79" t="b">
        <f>_xlfn.XLOOKUP(tblChecklist[[#This Row],[TargetID]],tblTargetStatus[TargetID],tblTargetStatus[TargetFunded],"")</f>
        <v>0</v>
      </c>
      <c r="I54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8" spans="1:9" ht="26.15" customHeight="1">
      <c r="A548" t="s">
        <v>2278</v>
      </c>
      <c r="B548" t="str">
        <f>_xlfn.XLOOKUP(tblChecklist[[#This Row],[TargetID]],tblTargets[TargetID],tblTargets[DisplayName])</f>
        <v>Workshop - Conveyor Lvl 2</v>
      </c>
      <c r="C548" s="2" t="str">
        <f>_xlfn.XLOOKUP(
 tblChecklist[[#This Row],[TargetID]],
 tblTargetStatus[TargetID],
 tblTargetStatus[successors],
 ""
)</f>
        <v/>
      </c>
      <c r="D548" s="79" t="str">
        <f>_xlfn.XLOOKUP(tblChecklist[[#This Row],[TargetID]],tblTargets[TargetID],tblTargets[TargetType],"")</f>
        <v>TECH</v>
      </c>
      <c r="E548" s="79" t="str">
        <f>_xlfn.XLOOKUP(tblChecklist[[#This Row],[TargetID]],tblTargetStatus[TargetID],tblTargetStatus[ChainAwareStatus],"")</f>
        <v>BLOCKED</v>
      </c>
      <c r="G548" s="82" t="b">
        <v>0</v>
      </c>
      <c r="H548" s="79" t="b">
        <f>_xlfn.XLOOKUP(tblChecklist[[#This Row],[TargetID]],tblTargetStatus[TargetID],tblTargetStatus[TargetFunded],"")</f>
        <v>0</v>
      </c>
      <c r="I54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9" spans="1:9" ht="26.15" customHeight="1">
      <c r="A549" t="s">
        <v>2270</v>
      </c>
      <c r="B549" t="str">
        <f>_xlfn.XLOOKUP(tblChecklist[[#This Row],[TargetID]],tblTargets[TargetID],tblTargets[DisplayName])</f>
        <v>Workshop - Explosive Mechanical Spider</v>
      </c>
      <c r="C549" s="2" t="str">
        <f>_xlfn.XLOOKUP(
 tblChecklist[[#This Row],[TargetID]],
 tblTargetStatus[TargetID],
 tblTargetStatus[successors],
 ""
)</f>
        <v/>
      </c>
      <c r="D549" s="79" t="str">
        <f>_xlfn.XLOOKUP(tblChecklist[[#This Row],[TargetID]],tblTargets[TargetID],tblTargets[TargetType],"")</f>
        <v>TECH</v>
      </c>
      <c r="E549" s="79" t="str">
        <f>_xlfn.XLOOKUP(tblChecklist[[#This Row],[TargetID]],tblTargetStatus[TargetID],tblTargetStatus[ChainAwareStatus],"")</f>
        <v>BLOCKED</v>
      </c>
      <c r="G549" s="82" t="b">
        <v>0</v>
      </c>
      <c r="H549" s="79" t="b">
        <f>_xlfn.XLOOKUP(tblChecklist[[#This Row],[TargetID]],tblTargetStatus[TargetID],tblTargetStatus[TargetFunded],"")</f>
        <v>0</v>
      </c>
      <c r="I54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0" spans="1:9" ht="26.15" customHeight="1">
      <c r="A550" t="s">
        <v>2268</v>
      </c>
      <c r="B550" t="str">
        <f>_xlfn.XLOOKUP(tblChecklist[[#This Row],[TargetID]],tblTargets[TargetID],tblTargets[DisplayName])</f>
        <v>Workshop - Mechanical Spider</v>
      </c>
      <c r="C550" s="2" t="str">
        <f>_xlfn.XLOOKUP(
 tblChecklist[[#This Row],[TargetID]],
 tblTargetStatus[TargetID],
 tblTargetStatus[successors],
 ""
)</f>
        <v>Workshop - Explosive Mechanical Spider</v>
      </c>
      <c r="D550" s="79" t="str">
        <f>_xlfn.XLOOKUP(tblChecklist[[#This Row],[TargetID]],tblTargets[TargetID],tblTargets[TargetType],"")</f>
        <v>TECH</v>
      </c>
      <c r="E550" s="79" t="str">
        <f>_xlfn.XLOOKUP(tblChecklist[[#This Row],[TargetID]],tblTargetStatus[TargetID],tblTargetStatus[ChainAwareStatus],"")</f>
        <v>BLOCKED</v>
      </c>
      <c r="G550" s="82" t="b">
        <v>0</v>
      </c>
      <c r="H550" s="79" t="b">
        <f>_xlfn.XLOOKUP(tblChecklist[[#This Row],[TargetID]],tblTargetStatus[TargetID],tblTargetStatus[TargetFunded],"")</f>
        <v>0</v>
      </c>
      <c r="I5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1" spans="1:9" ht="26.15" customHeight="1">
      <c r="A551" t="s">
        <v>2266</v>
      </c>
      <c r="B551" t="str">
        <f>_xlfn.XLOOKUP(tblChecklist[[#This Row],[TargetID]],tblTargets[TargetID],tblTargets[DisplayName])</f>
        <v>Workshop - Mechanism</v>
      </c>
      <c r="C551" s="2" t="str">
        <f>_xlfn.XLOOKUP(
 tblChecklist[[#This Row],[TargetID]],
 tblTargetStatus[TargetID],
 tblTargetStatus[successors],
 ""
)</f>
        <v>Field - Seed Drill, Workshop - Mechanical Spider, Workshop - Steamobile</v>
      </c>
      <c r="D551" s="79" t="str">
        <f>_xlfn.XLOOKUP(tblChecklist[[#This Row],[TargetID]],tblTargets[TargetID],tblTargets[TargetType],"")</f>
        <v>TECH</v>
      </c>
      <c r="E551" s="79" t="str">
        <f>_xlfn.XLOOKUP(tblChecklist[[#This Row],[TargetID]],tblTargetStatus[TargetID],tblTargetStatus[ChainAwareStatus],"")</f>
        <v>BLOCKED</v>
      </c>
      <c r="G551" s="82" t="b">
        <v>0</v>
      </c>
      <c r="H551" s="79" t="b">
        <f>_xlfn.XLOOKUP(tblChecklist[[#This Row],[TargetID]],tblTargetStatus[TargetID],tblTargetStatus[TargetFunded],"")</f>
        <v>0</v>
      </c>
      <c r="I55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2" spans="1:9" ht="26.15" customHeight="1">
      <c r="A552" t="s">
        <v>2254</v>
      </c>
      <c r="B552" t="str">
        <f>_xlfn.XLOOKUP(tblChecklist[[#This Row],[TargetID]],tblTargets[TargetID],tblTargets[DisplayName])</f>
        <v>Workshop - Shield For A Hero Lvl 1</v>
      </c>
      <c r="C552" s="2" t="str">
        <f>_xlfn.XLOOKUP(
 tblChecklist[[#This Row],[TargetID]],
 tblTargetStatus[TargetID],
 tblTargetStatus[successors],
 ""
)</f>
        <v>Workshop - Shield For A Hero Lvl 2, Workshop - Strong Glue</v>
      </c>
      <c r="D552" s="79" t="str">
        <f>_xlfn.XLOOKUP(tblChecklist[[#This Row],[TargetID]],tblTargets[TargetID],tblTargets[TargetType],"")</f>
        <v>TECH</v>
      </c>
      <c r="E552" s="79" t="str">
        <f>_xlfn.XLOOKUP(tblChecklist[[#This Row],[TargetID]],tblTargetStatus[TargetID],tblTargetStatus[ChainAwareStatus],"")</f>
        <v>BLOCKED</v>
      </c>
      <c r="G552" s="82" t="b">
        <v>0</v>
      </c>
      <c r="H552" s="79" t="b">
        <f>_xlfn.XLOOKUP(tblChecklist[[#This Row],[TargetID]],tblTargetStatus[TargetID],tblTargetStatus[TargetFunded],"")</f>
        <v>0</v>
      </c>
      <c r="I55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3" spans="1:9" ht="26.15" customHeight="1">
      <c r="A553" t="s">
        <v>2256</v>
      </c>
      <c r="B553" t="str">
        <f>_xlfn.XLOOKUP(tblChecklist[[#This Row],[TargetID]],tblTargets[TargetID],tblTargets[DisplayName])</f>
        <v>Workshop - Shield For A Hero Lvl 2</v>
      </c>
      <c r="C553" s="2" t="str">
        <f>_xlfn.XLOOKUP(
 tblChecklist[[#This Row],[TargetID]],
 tblTargetStatus[TargetID],
 tblTargetStatus[successors],
 ""
)</f>
        <v>Workshop - Shield For A Hero Lvl 3</v>
      </c>
      <c r="D553" s="79" t="str">
        <f>_xlfn.XLOOKUP(tblChecklist[[#This Row],[TargetID]],tblTargets[TargetID],tblTargets[TargetType],"")</f>
        <v>TECH</v>
      </c>
      <c r="E553" s="79" t="str">
        <f>_xlfn.XLOOKUP(tblChecklist[[#This Row],[TargetID]],tblTargetStatus[TargetID],tblTargetStatus[ChainAwareStatus],"")</f>
        <v>BLOCKED</v>
      </c>
      <c r="G553" s="82" t="b">
        <v>0</v>
      </c>
      <c r="H553" s="79" t="b">
        <f>_xlfn.XLOOKUP(tblChecklist[[#This Row],[TargetID]],tblTargetStatus[TargetID],tblTargetStatus[TargetFunded],"")</f>
        <v>0</v>
      </c>
      <c r="I55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4" spans="1:9" ht="26.15" customHeight="1">
      <c r="A554" t="s">
        <v>2258</v>
      </c>
      <c r="B554" t="str">
        <f>_xlfn.XLOOKUP(tblChecklist[[#This Row],[TargetID]],tblTargets[TargetID],tblTargets[DisplayName])</f>
        <v>Workshop - Shield For A Hero Lvl 3</v>
      </c>
      <c r="C554" s="2" t="str">
        <f>_xlfn.XLOOKUP(
 tblChecklist[[#This Row],[TargetID]],
 tblTargetStatus[TargetID],
 tblTargetStatus[successors],
 ""
)</f>
        <v>Workshop - Shield For A Hero Lvl 4</v>
      </c>
      <c r="D554" s="79" t="str">
        <f>_xlfn.XLOOKUP(tblChecklist[[#This Row],[TargetID]],tblTargets[TargetID],tblTargets[TargetType],"")</f>
        <v>TECH</v>
      </c>
      <c r="E554" s="79" t="str">
        <f>_xlfn.XLOOKUP(tblChecklist[[#This Row],[TargetID]],tblTargetStatus[TargetID],tblTargetStatus[ChainAwareStatus],"")</f>
        <v>BLOCKED</v>
      </c>
      <c r="G554" s="82" t="b">
        <v>0</v>
      </c>
      <c r="H554" s="79" t="b">
        <f>_xlfn.XLOOKUP(tblChecklist[[#This Row],[TargetID]],tblTargetStatus[TargetID],tblTargetStatus[TargetFunded],"")</f>
        <v>0</v>
      </c>
      <c r="I55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5" spans="1:9" ht="26.15" customHeight="1">
      <c r="A555" t="s">
        <v>2260</v>
      </c>
      <c r="B555" t="str">
        <f>_xlfn.XLOOKUP(tblChecklist[[#This Row],[TargetID]],tblTargets[TargetID],tblTargets[DisplayName])</f>
        <v>Workshop - Shield For A Hero Lvl 4</v>
      </c>
      <c r="C555" s="2" t="str">
        <f>_xlfn.XLOOKUP(
 tblChecklist[[#This Row],[TargetID]],
 tblTargetStatus[TargetID],
 tblTargetStatus[successors],
 ""
)</f>
        <v>The Ordinary Days of an Adventurer Chapter 1 Accepted, Workshop - Shield For A Hero Lvl 4+</v>
      </c>
      <c r="D555" s="79" t="str">
        <f>_xlfn.XLOOKUP(tblChecklist[[#This Row],[TargetID]],tblTargets[TargetID],tblTargets[TargetType],"")</f>
        <v>TECH</v>
      </c>
      <c r="E555" s="79" t="str">
        <f>_xlfn.XLOOKUP(tblChecklist[[#This Row],[TargetID]],tblTargetStatus[TargetID],tblTargetStatus[ChainAwareStatus],"")</f>
        <v>BLOCKED</v>
      </c>
      <c r="G555" s="82" t="b">
        <v>0</v>
      </c>
      <c r="H555" s="79" t="b">
        <f>_xlfn.XLOOKUP(tblChecklist[[#This Row],[TargetID]],tblTargetStatus[TargetID],tblTargetStatus[TargetFunded],"")</f>
        <v>0</v>
      </c>
      <c r="I55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6" spans="1:9" ht="26.15" customHeight="1">
      <c r="A556" t="s">
        <v>2262</v>
      </c>
      <c r="B556" t="str">
        <f>_xlfn.XLOOKUP(tblChecklist[[#This Row],[TargetID]],tblTargets[TargetID],tblTargets[DisplayName])</f>
        <v>Workshop - Shield For A Hero Lvl 4+</v>
      </c>
      <c r="C556" s="2" t="str">
        <f>_xlfn.XLOOKUP(
 tblChecklist[[#This Row],[TargetID]],
 tblTargetStatus[TargetID],
 tblTargetStatus[successors],
 ""
)</f>
        <v>Craft Shield 4+</v>
      </c>
      <c r="D556" s="79" t="str">
        <f>_xlfn.XLOOKUP(tblChecklist[[#This Row],[TargetID]],tblTargets[TargetID],tblTargets[TargetType],"")</f>
        <v>TECH</v>
      </c>
      <c r="E556" s="79" t="str">
        <f>_xlfn.XLOOKUP(tblChecklist[[#This Row],[TargetID]],tblTargetStatus[TargetID],tblTargetStatus[ChainAwareStatus],"")</f>
        <v>BLOCKED</v>
      </c>
      <c r="G556" s="82" t="b">
        <v>0</v>
      </c>
      <c r="H556" s="79" t="b">
        <f>_xlfn.XLOOKUP(tblChecklist[[#This Row],[TargetID]],tblTargetStatus[TargetID],tblTargetStatus[TargetFunded],"")</f>
        <v>0</v>
      </c>
      <c r="I5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7" spans="1:9" ht="26.15" customHeight="1">
      <c r="A557" t="s">
        <v>2272</v>
      </c>
      <c r="B557" t="str">
        <f>_xlfn.XLOOKUP(tblChecklist[[#This Row],[TargetID]],tblTargets[TargetID],tblTargets[DisplayName])</f>
        <v>Workshop - Steamobile</v>
      </c>
      <c r="C557" s="2" t="str">
        <f>_xlfn.XLOOKUP(
 tblChecklist[[#This Row],[TargetID]],
 tblTargetStatus[TargetID],
 tblTargetStatus[successors],
 ""
)</f>
        <v>Field - Combine Harvester</v>
      </c>
      <c r="D557" s="79" t="str">
        <f>_xlfn.XLOOKUP(tblChecklist[[#This Row],[TargetID]],tblTargets[TargetID],tblTargets[TargetType],"")</f>
        <v>TECH</v>
      </c>
      <c r="E557" s="79" t="str">
        <f>_xlfn.XLOOKUP(tblChecklist[[#This Row],[TargetID]],tblTargetStatus[TargetID],tblTargetStatus[ChainAwareStatus],"")</f>
        <v>BLOCKED</v>
      </c>
      <c r="G557" s="82" t="b">
        <v>0</v>
      </c>
      <c r="H557" s="79" t="b">
        <f>_xlfn.XLOOKUP(tblChecklist[[#This Row],[TargetID]],tblTargetStatus[TargetID],tblTargetStatus[TargetFunded],"")</f>
        <v>0</v>
      </c>
      <c r="I55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8" spans="1:9" ht="26.15" customHeight="1">
      <c r="A558" t="s">
        <v>2264</v>
      </c>
      <c r="B558" t="str">
        <f>_xlfn.XLOOKUP(tblChecklist[[#This Row],[TargetID]],tblTargets[TargetID],tblTargets[DisplayName])</f>
        <v>Workshop - Strong Glue</v>
      </c>
      <c r="C558" s="2" t="str">
        <f>_xlfn.XLOOKUP(
 tblChecklist[[#This Row],[TargetID]],
 tblTargetStatus[TargetID],
 tblTargetStatus[successors],
 ""
)</f>
        <v/>
      </c>
      <c r="D558" s="79" t="str">
        <f>_xlfn.XLOOKUP(tblChecklist[[#This Row],[TargetID]],tblTargets[TargetID],tblTargets[TargetType],"")</f>
        <v>TECH</v>
      </c>
      <c r="E558" s="79" t="str">
        <f>_xlfn.XLOOKUP(tblChecklist[[#This Row],[TargetID]],tblTargetStatus[TargetID],tblTargetStatus[ChainAwareStatus],"")</f>
        <v>BLOCKED</v>
      </c>
      <c r="G558" s="82" t="b">
        <v>0</v>
      </c>
      <c r="H558" s="79" t="b">
        <f>_xlfn.XLOOKUP(tblChecklist[[#This Row],[TargetID]],tblTargetStatus[TargetID],tblTargetStatus[TargetFunded],"")</f>
        <v>0</v>
      </c>
      <c r="I55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9" spans="1:9" ht="26.15" customHeight="1">
      <c r="A559" t="s">
        <v>2252</v>
      </c>
      <c r="B559" t="str">
        <f>_xlfn.XLOOKUP(tblChecklist[[#This Row],[TargetID]],tblTargets[TargetID],tblTargets[DisplayName])</f>
        <v>Workshop - Throwing Net</v>
      </c>
      <c r="C559" s="2" t="str">
        <f>_xlfn.XLOOKUP(
 tblChecklist[[#This Row],[TargetID]],
 tblTargetStatus[TargetID],
 tblTargetStatus[successors],
 ""
)</f>
        <v/>
      </c>
      <c r="D559" s="79" t="str">
        <f>_xlfn.XLOOKUP(tblChecklist[[#This Row],[TargetID]],tblTargets[TargetID],tblTargets[TargetType],"")</f>
        <v>TECH</v>
      </c>
      <c r="E559" s="79" t="str">
        <f>_xlfn.XLOOKUP(tblChecklist[[#This Row],[TargetID]],tblTargetStatus[TargetID],tblTargetStatus[ChainAwareStatus],"")</f>
        <v>BLOCKED</v>
      </c>
      <c r="G559" s="82" t="b">
        <v>0</v>
      </c>
      <c r="H559" s="79" t="b">
        <f>_xlfn.XLOOKUP(tblChecklist[[#This Row],[TargetID]],tblTargetStatus[TargetID],tblTargetStatus[TargetFunded],"")</f>
        <v>0</v>
      </c>
      <c r="I55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60" spans="1:9" ht="26.15" customHeight="1">
      <c r="A560" t="s">
        <v>2274</v>
      </c>
      <c r="B560" t="str">
        <f>_xlfn.XLOOKUP(tblChecklist[[#This Row],[TargetID]],tblTargets[TargetID],tblTargets[DisplayName])</f>
        <v>Workshop - Zen Fountain</v>
      </c>
      <c r="C560" s="2" t="str">
        <f>_xlfn.XLOOKUP(
 tblChecklist[[#This Row],[TargetID]],
 tblTargetStatus[TargetID],
 tblTargetStatus[successors],
 ""
)</f>
        <v/>
      </c>
      <c r="D560" s="79" t="str">
        <f>_xlfn.XLOOKUP(tblChecklist[[#This Row],[TargetID]],tblTargets[TargetID],tblTargets[TargetType],"")</f>
        <v>TECH</v>
      </c>
      <c r="E560" s="79" t="str">
        <f>_xlfn.XLOOKUP(tblChecklist[[#This Row],[TargetID]],tblTargetStatus[TargetID],tblTargetStatus[ChainAwareStatus],"")</f>
        <v>BLOCKED</v>
      </c>
      <c r="G560" s="82" t="b">
        <v>0</v>
      </c>
      <c r="H560" s="79" t="b">
        <f>_xlfn.XLOOKUP(tblChecklist[[#This Row],[TargetID]],tblTargetStatus[TargetID],tblTargetStatus[TargetFunded],"")</f>
        <v>0</v>
      </c>
      <c r="I56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61" spans="1:9" ht="26.15" customHeight="1">
      <c r="A561" t="s">
        <v>6267</v>
      </c>
      <c r="B561" t="str">
        <f>_xlfn.XLOOKUP(tblChecklist[[#This Row],[TargetID]],tblTargets[TargetID],tblTargets[DisplayName])</f>
        <v>Meet Dark Lady@6B second time</v>
      </c>
      <c r="C561" s="2" t="str">
        <f>_xlfn.XLOOKUP(
 tblChecklist[[#This Row],[TargetID]],
 tblTargetStatus[TargetID],
 tblTargetStatus[successors],
 ""
)</f>
        <v>The Ordinary Days of an Adventurer Chapter 8 Accepted</v>
      </c>
      <c r="D561" s="79" t="str">
        <f>_xlfn.XLOOKUP(tblChecklist[[#This Row],[TargetID]],tblTargets[TargetID],tblTargets[TargetType],"")</f>
        <v>STATE</v>
      </c>
      <c r="E561" s="79" t="str">
        <f>_xlfn.XLOOKUP(tblChecklist[[#This Row],[TargetID]],tblTargetStatus[TargetID],tblTargetStatus[ChainAwareStatus],"")</f>
        <v>BLOCKED</v>
      </c>
      <c r="G561" s="82" t="b">
        <v>0</v>
      </c>
      <c r="H561" s="79" t="str">
        <f>_xlfn.XLOOKUP(tblChecklist[[#This Row],[TargetID]],tblTargetStatus[TargetID],tblTargetStatus[TargetFunded],"")</f>
        <v>N/A</v>
      </c>
      <c r="I561" s="79" t="str">
        <f>IF(
    tblChecklist[[#This Row],[TargetType]]&lt;&gt;"BUILDING",
    "",
    IF(
        Player!$H$1="Active",
        _xlfn.XLOOKUP(
            tblChecklist[[#This Row],[TargetID]],
            tblrecommended[ActiveTargetID],
            tblrecommended[Order],
            ""
        ),
        _xlfn.XLOOKUP(
            tblChecklist[[#This Row],[TargetID]],
            tblrecommended[PassiveTargetID],
            tblrecommended[Order],
            ""
        )
    )
)</f>
        <v/>
      </c>
    </row>
  </sheetData>
  <conditionalFormatting sqref="A414:A419">
    <cfRule type="duplicateValues" dxfId="7" priority="14"/>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BC0AE-9DCA-4CB9-A58E-1B2F9655ADFB}">
  <sheetPr>
    <tabColor rgb="FF00B0F0"/>
  </sheetPr>
  <dimension ref="A1:R2010"/>
  <sheetViews>
    <sheetView workbookViewId="0">
      <selection activeCell="J2" sqref="J2"/>
    </sheetView>
  </sheetViews>
  <sheetFormatPr defaultRowHeight="14.5"/>
  <cols>
    <col min="1" max="1" width="47.08984375" customWidth="1"/>
    <col min="2" max="2" width="33.90625" customWidth="1"/>
    <col min="3" max="3" width="31" customWidth="1"/>
    <col min="4" max="4" width="17.7265625" customWidth="1"/>
    <col min="5" max="5" width="14.90625" bestFit="1" customWidth="1"/>
    <col min="6" max="6" width="14.08984375" bestFit="1" customWidth="1"/>
    <col min="7" max="7" width="14.08984375" customWidth="1"/>
    <col min="8" max="8" width="9.54296875" customWidth="1"/>
    <col min="9" max="9" width="14.08984375" customWidth="1"/>
    <col min="10" max="10" width="12.26953125" bestFit="1" customWidth="1"/>
    <col min="18" max="18" width="0" hidden="1" customWidth="1"/>
  </cols>
  <sheetData>
    <row r="1" spans="1:18">
      <c r="A1" t="s">
        <v>3651</v>
      </c>
      <c r="B1" t="s">
        <v>2090</v>
      </c>
      <c r="C1" t="s">
        <v>8</v>
      </c>
      <c r="D1" t="s">
        <v>2091</v>
      </c>
      <c r="E1" t="s">
        <v>3649</v>
      </c>
      <c r="F1" t="s">
        <v>3658</v>
      </c>
      <c r="G1" t="s">
        <v>3650</v>
      </c>
      <c r="H1" t="s">
        <v>6107</v>
      </c>
      <c r="I1" t="s">
        <v>6081</v>
      </c>
      <c r="J1" t="s">
        <v>5486</v>
      </c>
      <c r="R1" t="str" cm="1">
        <f t="array" ref="R1:R4">_xlfn._xlws.SORT(
 _xlfn.UNIQUE(
  _xlfn._xlws.FILTER(
   tblCostChecklist[ResourceID],
   (tblCostChecklist[PlayerPaid]=FALSE)*
   (tblCostChecklist[TargetCompleted]="READY")
  )
 )
)</f>
        <v>coin</v>
      </c>
    </row>
    <row r="2" spans="1:18">
      <c r="A2" s="41" t="s">
        <v>3659</v>
      </c>
      <c r="B2" s="41" t="str">
        <f>_xlfn.TEXTAFTER(
 _xlfn.TEXTBEFORE(tblCostChecklist[[#This Row],[RequirementID]],".",-2),
 "cost."
)</f>
        <v>building.airship@1</v>
      </c>
      <c r="C2" s="41" t="str">
        <f>_xlfn.XLOOKUP(tblCostChecklist[[#This Row],[TargetID]],tblTargets[TargetID],tblTargets[DisplayName],"")</f>
        <v>Airship Lv 1</v>
      </c>
      <c r="D2" s="41" t="str">
        <f>_xlfn.XLOOKUP(tblCostChecklist[[#This Row],[TargetID]],tblTargets[TargetID],tblTargets[TargetType],"")</f>
        <v>BUILDING</v>
      </c>
      <c r="E2" s="41" t="s">
        <v>708</v>
      </c>
      <c r="F2" s="41">
        <v>1</v>
      </c>
      <c r="G2" s="41">
        <f>_xlfn.XLOOKUP(
 tblCostChecklist[[#This Row],[RequirementID]],
 tblCost[RequirementID],
 tblCost[QuantityRequired],
 ""
)</f>
        <v>10</v>
      </c>
      <c r="H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2" s="41" t="str">
        <f>_xlfn.XLOOKUP(tblCostChecklist[[#This Row],[TargetID]],tblTargetStatus[TargetID],tblTargetStatus[Status])</f>
        <v>BLOCKED</v>
      </c>
      <c r="J2" s="25" t="b">
        <v>0</v>
      </c>
      <c r="R2" t="str">
        <v>ruby</v>
      </c>
    </row>
    <row r="3" spans="1:18">
      <c r="A3" s="41" t="s">
        <v>3660</v>
      </c>
      <c r="B3" s="41" t="str">
        <f>_xlfn.TEXTAFTER(
 _xlfn.TEXTBEFORE(tblCostChecklist[[#This Row],[RequirementID]],".",-2),
 "cost."
)</f>
        <v>building.airship@1</v>
      </c>
      <c r="C3" s="41" t="str">
        <f>_xlfn.XLOOKUP(tblCostChecklist[[#This Row],[TargetID]],tblTargets[TargetID],tblTargets[DisplayName],"")</f>
        <v>Airship Lv 1</v>
      </c>
      <c r="D3" s="41" t="str">
        <f>_xlfn.XLOOKUP(tblCostChecklist[[#This Row],[TargetID]],tblTargets[TargetID],tblTargets[TargetType],"")</f>
        <v>BUILDING</v>
      </c>
      <c r="E3" s="41" t="s">
        <v>666</v>
      </c>
      <c r="F3" s="41">
        <v>1</v>
      </c>
      <c r="G3" s="41">
        <f>_xlfn.XLOOKUP(
 tblCostChecklist[[#This Row],[RequirementID]],
 tblCost[RequirementID],
 tblCost[QuantityRequired],
 ""
)</f>
        <v>2000</v>
      </c>
      <c r="H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3" s="41" t="str">
        <f>_xlfn.XLOOKUP(tblCostChecklist[[#This Row],[TargetID]],tblTargetStatus[TargetID],tblTargetStatus[Status])</f>
        <v>BLOCKED</v>
      </c>
      <c r="J3" s="25" t="b">
        <v>0</v>
      </c>
      <c r="R3" t="str">
        <v>stone</v>
      </c>
    </row>
    <row r="4" spans="1:18">
      <c r="A4" s="41" t="s">
        <v>3661</v>
      </c>
      <c r="B4" s="41" t="str">
        <f>_xlfn.TEXTAFTER(
 _xlfn.TEXTBEFORE(tblCostChecklist[[#This Row],[RequirementID]],".",-2),
 "cost."
)</f>
        <v>building.airship@1</v>
      </c>
      <c r="C4" s="41" t="str">
        <f>_xlfn.XLOOKUP(tblCostChecklist[[#This Row],[TargetID]],tblTargets[TargetID],tblTargets[DisplayName],"")</f>
        <v>Airship Lv 1</v>
      </c>
      <c r="D4" s="41" t="str">
        <f>_xlfn.XLOOKUP(tblCostChecklist[[#This Row],[TargetID]],tblTargets[TargetID],tblTargets[TargetType],"")</f>
        <v>BUILDING</v>
      </c>
      <c r="E4" s="41" t="s">
        <v>711</v>
      </c>
      <c r="F4" s="41">
        <v>1</v>
      </c>
      <c r="G4" s="41">
        <f>_xlfn.XLOOKUP(
 tblCostChecklist[[#This Row],[RequirementID]],
 tblCost[RequirementID],
 tblCost[QuantityRequired],
 ""
)</f>
        <v>120</v>
      </c>
      <c r="H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4" s="41" t="str">
        <f>_xlfn.XLOOKUP(tblCostChecklist[[#This Row],[TargetID]],tblTargetStatus[TargetID],tblTargetStatus[Status])</f>
        <v>BLOCKED</v>
      </c>
      <c r="J4" s="25" t="b">
        <v>0</v>
      </c>
      <c r="R4" t="str">
        <v>wood</v>
      </c>
    </row>
    <row r="5" spans="1:18">
      <c r="A5" s="41" t="s">
        <v>3662</v>
      </c>
      <c r="B5" s="41" t="str">
        <f>_xlfn.TEXTAFTER(
 _xlfn.TEXTBEFORE(tblCostChecklist[[#This Row],[RequirementID]],".",-2),
 "cost."
)</f>
        <v>building.airship@1</v>
      </c>
      <c r="C5" s="41" t="str">
        <f>_xlfn.XLOOKUP(tblCostChecklist[[#This Row],[TargetID]],tblTargets[TargetID],tblTargets[DisplayName],"")</f>
        <v>Airship Lv 1</v>
      </c>
      <c r="D5" s="41" t="str">
        <f>_xlfn.XLOOKUP(tblCostChecklist[[#This Row],[TargetID]],tblTargets[TargetID],tblTargets[TargetType],"")</f>
        <v>BUILDING</v>
      </c>
      <c r="E5" s="41" t="s">
        <v>719</v>
      </c>
      <c r="F5" s="41">
        <v>1</v>
      </c>
      <c r="G5" s="41">
        <f>_xlfn.XLOOKUP(
 tblCostChecklist[[#This Row],[RequirementID]],
 tblCost[RequirementID],
 tblCost[QuantityRequired],
 ""
)</f>
        <v>20</v>
      </c>
      <c r="H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5" s="41" t="str">
        <f>_xlfn.XLOOKUP(tblCostChecklist[[#This Row],[TargetID]],tblTargetStatus[TargetID],tblTargetStatus[Status])</f>
        <v>BLOCKED</v>
      </c>
      <c r="J5" s="25" t="b">
        <v>0</v>
      </c>
    </row>
    <row r="6" spans="1:18">
      <c r="A6" s="41" t="s">
        <v>3663</v>
      </c>
      <c r="B6" s="41" t="str">
        <f>_xlfn.TEXTAFTER(
 _xlfn.TEXTBEFORE(tblCostChecklist[[#This Row],[RequirementID]],".",-2),
 "cost."
)</f>
        <v>building.airship@1</v>
      </c>
      <c r="C6" s="41" t="str">
        <f>_xlfn.XLOOKUP(tblCostChecklist[[#This Row],[TargetID]],tblTargets[TargetID],tblTargets[DisplayName],"")</f>
        <v>Airship Lv 1</v>
      </c>
      <c r="D6" s="41" t="str">
        <f>_xlfn.XLOOKUP(tblCostChecklist[[#This Row],[TargetID]],tblTargets[TargetID],tblTargets[TargetType],"")</f>
        <v>BUILDING</v>
      </c>
      <c r="E6" s="41" t="s">
        <v>664</v>
      </c>
      <c r="F6" s="41">
        <v>1</v>
      </c>
      <c r="G6" s="41">
        <f>_xlfn.XLOOKUP(
 tblCostChecklist[[#This Row],[RequirementID]],
 tblCost[RequirementID],
 tblCost[QuantityRequired],
 ""
)</f>
        <v>200</v>
      </c>
      <c r="H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6" s="41" t="str">
        <f>_xlfn.XLOOKUP(tblCostChecklist[[#This Row],[TargetID]],tblTargetStatus[TargetID],tblTargetStatus[Status])</f>
        <v>BLOCKED</v>
      </c>
      <c r="J6" s="25" t="b">
        <v>0</v>
      </c>
    </row>
    <row r="7" spans="1:18">
      <c r="A7" s="41" t="s">
        <v>3664</v>
      </c>
      <c r="B7" s="41" t="str">
        <f>_xlfn.TEXTAFTER(
 _xlfn.TEXTBEFORE(tblCostChecklist[[#This Row],[RequirementID]],".",-2),
 "cost."
)</f>
        <v>building.airship@1</v>
      </c>
      <c r="C7" s="41" t="str">
        <f>_xlfn.XLOOKUP(tblCostChecklist[[#This Row],[TargetID]],tblTargets[TargetID],tblTargets[DisplayName],"")</f>
        <v>Airship Lv 1</v>
      </c>
      <c r="D7" s="41" t="str">
        <f>_xlfn.XLOOKUP(tblCostChecklist[[#This Row],[TargetID]],tblTargets[TargetID],tblTargets[TargetType],"")</f>
        <v>BUILDING</v>
      </c>
      <c r="E7" s="41" t="s">
        <v>705</v>
      </c>
      <c r="F7" s="41">
        <v>1</v>
      </c>
      <c r="G7" s="41">
        <f>_xlfn.XLOOKUP(
 tblCostChecklist[[#This Row],[RequirementID]],
 tblCost[RequirementID],
 tblCost[QuantityRequired],
 ""
)</f>
        <v>20</v>
      </c>
      <c r="H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7" s="41" t="str">
        <f>_xlfn.XLOOKUP(tblCostChecklist[[#This Row],[TargetID]],tblTargetStatus[TargetID],tblTargetStatus[Status])</f>
        <v>BLOCKED</v>
      </c>
      <c r="J7" s="25" t="b">
        <v>0</v>
      </c>
    </row>
    <row r="8" spans="1:18">
      <c r="A8" s="41" t="s">
        <v>3665</v>
      </c>
      <c r="B8" s="41" t="str">
        <f>_xlfn.TEXTAFTER(
 _xlfn.TEXTBEFORE(tblCostChecklist[[#This Row],[RequirementID]],".",-2),
 "cost."
)</f>
        <v>building.airship@1</v>
      </c>
      <c r="C8" s="41" t="str">
        <f>_xlfn.XLOOKUP(tblCostChecklist[[#This Row],[TargetID]],tblTargets[TargetID],tblTargets[DisplayName],"")</f>
        <v>Airship Lv 1</v>
      </c>
      <c r="D8" s="41" t="str">
        <f>_xlfn.XLOOKUP(tblCostChecklist[[#This Row],[TargetID]],tblTargets[TargetID],tblTargets[TargetType],"")</f>
        <v>BUILDING</v>
      </c>
      <c r="E8" s="41" t="s">
        <v>690</v>
      </c>
      <c r="F8" s="41">
        <v>1</v>
      </c>
      <c r="G8" s="41">
        <f>_xlfn.XLOOKUP(
 tblCostChecklist[[#This Row],[RequirementID]],
 tblCost[RequirementID],
 tblCost[QuantityRequired],
 ""
)</f>
        <v>50</v>
      </c>
      <c r="H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8" s="41" t="str">
        <f>_xlfn.XLOOKUP(tblCostChecklist[[#This Row],[TargetID]],tblTargetStatus[TargetID],tblTargetStatus[Status])</f>
        <v>BLOCKED</v>
      </c>
      <c r="J8" s="25" t="b">
        <v>0</v>
      </c>
    </row>
    <row r="9" spans="1:18">
      <c r="A9" s="41" t="s">
        <v>3666</v>
      </c>
      <c r="B9" s="41" t="str">
        <f>_xlfn.TEXTAFTER(
 _xlfn.TEXTBEFORE(tblCostChecklist[[#This Row],[RequirementID]],".",-2),
 "cost."
)</f>
        <v>building.airship@1</v>
      </c>
      <c r="C9" s="41" t="str">
        <f>_xlfn.XLOOKUP(tblCostChecklist[[#This Row],[TargetID]],tblTargets[TargetID],tblTargets[DisplayName],"")</f>
        <v>Airship Lv 1</v>
      </c>
      <c r="D9" s="41" t="str">
        <f>_xlfn.XLOOKUP(tblCostChecklist[[#This Row],[TargetID]],tblTargets[TargetID],tblTargets[TargetType],"")</f>
        <v>BUILDING</v>
      </c>
      <c r="E9" s="41" t="s">
        <v>696</v>
      </c>
      <c r="F9" s="41">
        <v>1</v>
      </c>
      <c r="G9" s="41">
        <f>_xlfn.XLOOKUP(
 tblCostChecklist[[#This Row],[RequirementID]],
 tblCost[RequirementID],
 tblCost[QuantityRequired],
 ""
)</f>
        <v>40</v>
      </c>
      <c r="H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9" s="41" t="str">
        <f>_xlfn.XLOOKUP(tblCostChecklist[[#This Row],[TargetID]],tblTargetStatus[TargetID],tblTargetStatus[Status])</f>
        <v>BLOCKED</v>
      </c>
      <c r="J9" s="25" t="b">
        <v>0</v>
      </c>
    </row>
    <row r="10" spans="1:18">
      <c r="A10" s="41" t="s">
        <v>3667</v>
      </c>
      <c r="B10" s="41" t="str">
        <f>_xlfn.TEXTAFTER(
 _xlfn.TEXTBEFORE(tblCostChecklist[[#This Row],[RequirementID]],".",-2),
 "cost."
)</f>
        <v>building.airship@2</v>
      </c>
      <c r="C10" s="41" t="str">
        <f>_xlfn.XLOOKUP(tblCostChecklist[[#This Row],[TargetID]],tblTargets[TargetID],tblTargets[DisplayName],"")</f>
        <v>Airship Lv 2</v>
      </c>
      <c r="D10" s="41" t="str">
        <f>_xlfn.XLOOKUP(tblCostChecklist[[#This Row],[TargetID]],tblTargets[TargetID],tblTargets[TargetType],"")</f>
        <v>BUILDING</v>
      </c>
      <c r="E10" s="41" t="s">
        <v>708</v>
      </c>
      <c r="F10" s="41">
        <v>1</v>
      </c>
      <c r="G10" s="41">
        <f>_xlfn.XLOOKUP(
 tblCostChecklist[[#This Row],[RequirementID]],
 tblCost[RequirementID],
 tblCost[QuantityRequired],
 ""
)</f>
        <v>12</v>
      </c>
      <c r="H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0" s="41" t="str">
        <f>_xlfn.XLOOKUP(tblCostChecklist[[#This Row],[TargetID]],tblTargetStatus[TargetID],tblTargetStatus[Status])</f>
        <v>BLOCKED</v>
      </c>
      <c r="J10" s="25" t="b">
        <v>0</v>
      </c>
    </row>
    <row r="11" spans="1:18">
      <c r="A11" s="41" t="s">
        <v>3668</v>
      </c>
      <c r="B11" s="41" t="str">
        <f>_xlfn.TEXTAFTER(
 _xlfn.TEXTBEFORE(tblCostChecklist[[#This Row],[RequirementID]],".",-2),
 "cost."
)</f>
        <v>building.airship@2</v>
      </c>
      <c r="C11" s="41" t="str">
        <f>_xlfn.XLOOKUP(tblCostChecklist[[#This Row],[TargetID]],tblTargets[TargetID],tblTargets[DisplayName],"")</f>
        <v>Airship Lv 2</v>
      </c>
      <c r="D11" s="41" t="str">
        <f>_xlfn.XLOOKUP(tblCostChecklist[[#This Row],[TargetID]],tblTargets[TargetID],tblTargets[TargetType],"")</f>
        <v>BUILDING</v>
      </c>
      <c r="E11" s="41" t="s">
        <v>666</v>
      </c>
      <c r="F11" s="41">
        <v>1</v>
      </c>
      <c r="G11" s="41">
        <f>_xlfn.XLOOKUP(
 tblCostChecklist[[#This Row],[RequirementID]],
 tblCost[RequirementID],
 tblCost[QuantityRequired],
 ""
)</f>
        <v>3000</v>
      </c>
      <c r="H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1" s="41" t="str">
        <f>_xlfn.XLOOKUP(tblCostChecklist[[#This Row],[TargetID]],tblTargetStatus[TargetID],tblTargetStatus[Status])</f>
        <v>BLOCKED</v>
      </c>
      <c r="J11" s="25" t="b">
        <v>0</v>
      </c>
    </row>
    <row r="12" spans="1:18">
      <c r="A12" s="41" t="s">
        <v>3669</v>
      </c>
      <c r="B12" s="41" t="str">
        <f>_xlfn.TEXTAFTER(
 _xlfn.TEXTBEFORE(tblCostChecklist[[#This Row],[RequirementID]],".",-2),
 "cost."
)</f>
        <v>building.airship@2</v>
      </c>
      <c r="C12" s="41" t="str">
        <f>_xlfn.XLOOKUP(tblCostChecklist[[#This Row],[TargetID]],tblTargets[TargetID],tblTargets[DisplayName],"")</f>
        <v>Airship Lv 2</v>
      </c>
      <c r="D12" s="41" t="str">
        <f>_xlfn.XLOOKUP(tblCostChecklist[[#This Row],[TargetID]],tblTargets[TargetID],tblTargets[TargetType],"")</f>
        <v>BUILDING</v>
      </c>
      <c r="E12" s="41" t="s">
        <v>701</v>
      </c>
      <c r="F12" s="41">
        <v>1</v>
      </c>
      <c r="G12" s="41">
        <f>_xlfn.XLOOKUP(
 tblCostChecklist[[#This Row],[RequirementID]],
 tblCost[RequirementID],
 tblCost[QuantityRequired],
 ""
)</f>
        <v>60</v>
      </c>
      <c r="H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2" s="41" t="str">
        <f>_xlfn.XLOOKUP(tblCostChecklist[[#This Row],[TargetID]],tblTargetStatus[TargetID],tblTargetStatus[Status])</f>
        <v>BLOCKED</v>
      </c>
      <c r="J12" s="25" t="b">
        <v>0</v>
      </c>
    </row>
    <row r="13" spans="1:18">
      <c r="A13" s="41" t="s">
        <v>3670</v>
      </c>
      <c r="B13" s="41" t="str">
        <f>_xlfn.TEXTAFTER(
 _xlfn.TEXTBEFORE(tblCostChecklist[[#This Row],[RequirementID]],".",-2),
 "cost."
)</f>
        <v>building.airship@2</v>
      </c>
      <c r="C13" s="41" t="str">
        <f>_xlfn.XLOOKUP(tblCostChecklist[[#This Row],[TargetID]],tblTargets[TargetID],tblTargets[DisplayName],"")</f>
        <v>Airship Lv 2</v>
      </c>
      <c r="D13" s="41" t="str">
        <f>_xlfn.XLOOKUP(tblCostChecklist[[#This Row],[TargetID]],tblTargets[TargetID],tblTargets[TargetType],"")</f>
        <v>BUILDING</v>
      </c>
      <c r="E13" s="41" t="s">
        <v>711</v>
      </c>
      <c r="F13" s="41">
        <v>1</v>
      </c>
      <c r="G13" s="41">
        <f>_xlfn.XLOOKUP(
 tblCostChecklist[[#This Row],[RequirementID]],
 tblCost[RequirementID],
 tblCost[QuantityRequired],
 ""
)</f>
        <v>100</v>
      </c>
      <c r="H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3" s="41" t="str">
        <f>_xlfn.XLOOKUP(tblCostChecklist[[#This Row],[TargetID]],tblTargetStatus[TargetID],tblTargetStatus[Status])</f>
        <v>BLOCKED</v>
      </c>
      <c r="J13" s="25" t="b">
        <v>0</v>
      </c>
    </row>
    <row r="14" spans="1:18">
      <c r="A14" s="41" t="s">
        <v>3671</v>
      </c>
      <c r="B14" s="41" t="str">
        <f>_xlfn.TEXTAFTER(
 _xlfn.TEXTBEFORE(tblCostChecklist[[#This Row],[RequirementID]],".",-2),
 "cost."
)</f>
        <v>building.airship@2</v>
      </c>
      <c r="C14" s="41" t="str">
        <f>_xlfn.XLOOKUP(tblCostChecklist[[#This Row],[TargetID]],tblTargets[TargetID],tblTargets[DisplayName],"")</f>
        <v>Airship Lv 2</v>
      </c>
      <c r="D14" s="41" t="str">
        <f>_xlfn.XLOOKUP(tblCostChecklist[[#This Row],[TargetID]],tblTargets[TargetID],tblTargets[TargetType],"")</f>
        <v>BUILDING</v>
      </c>
      <c r="E14" s="41" t="s">
        <v>673</v>
      </c>
      <c r="F14" s="41">
        <v>1</v>
      </c>
      <c r="G14" s="41">
        <f>_xlfn.XLOOKUP(
 tblCostChecklist[[#This Row],[RequirementID]],
 tblCost[RequirementID],
 tblCost[QuantityRequired],
 ""
)</f>
        <v>20</v>
      </c>
      <c r="H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4" s="41" t="str">
        <f>_xlfn.XLOOKUP(tblCostChecklist[[#This Row],[TargetID]],tblTargetStatus[TargetID],tblTargetStatus[Status])</f>
        <v>BLOCKED</v>
      </c>
      <c r="J14" s="25" t="b">
        <v>0</v>
      </c>
    </row>
    <row r="15" spans="1:18">
      <c r="A15" s="41" t="s">
        <v>3672</v>
      </c>
      <c r="B15" s="41" t="str">
        <f>_xlfn.TEXTAFTER(
 _xlfn.TEXTBEFORE(tblCostChecklist[[#This Row],[RequirementID]],".",-2),
 "cost."
)</f>
        <v>building.airship@2</v>
      </c>
      <c r="C15" s="41" t="str">
        <f>_xlfn.XLOOKUP(tblCostChecklist[[#This Row],[TargetID]],tblTargets[TargetID],tblTargets[DisplayName],"")</f>
        <v>Airship Lv 2</v>
      </c>
      <c r="D15" s="41" t="str">
        <f>_xlfn.XLOOKUP(tblCostChecklist[[#This Row],[TargetID]],tblTargets[TargetID],tblTargets[TargetType],"")</f>
        <v>BUILDING</v>
      </c>
      <c r="E15" s="41" t="s">
        <v>671</v>
      </c>
      <c r="F15" s="41">
        <v>1</v>
      </c>
      <c r="G15" s="41">
        <f>_xlfn.XLOOKUP(
 tblCostChecklist[[#This Row],[RequirementID]],
 tblCost[RequirementID],
 tblCost[QuantityRequired],
 ""
)</f>
        <v>50</v>
      </c>
      <c r="H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5" s="41" t="str">
        <f>_xlfn.XLOOKUP(tblCostChecklist[[#This Row],[TargetID]],tblTargetStatus[TargetID],tblTargetStatus[Status])</f>
        <v>BLOCKED</v>
      </c>
      <c r="J15" s="25" t="b">
        <v>0</v>
      </c>
    </row>
    <row r="16" spans="1:18">
      <c r="A16" s="41" t="s">
        <v>3673</v>
      </c>
      <c r="B16" s="41" t="str">
        <f>_xlfn.TEXTAFTER(
 _xlfn.TEXTBEFORE(tblCostChecklist[[#This Row],[RequirementID]],".",-2),
 "cost."
)</f>
        <v>building.airship@2</v>
      </c>
      <c r="C16" s="41" t="str">
        <f>_xlfn.XLOOKUP(tblCostChecklist[[#This Row],[TargetID]],tblTargets[TargetID],tblTargets[DisplayName],"")</f>
        <v>Airship Lv 2</v>
      </c>
      <c r="D16" s="41" t="str">
        <f>_xlfn.XLOOKUP(tblCostChecklist[[#This Row],[TargetID]],tblTargets[TargetID],tblTargets[TargetType],"")</f>
        <v>BUILDING</v>
      </c>
      <c r="E16" s="41" t="s">
        <v>719</v>
      </c>
      <c r="F16" s="41">
        <v>1</v>
      </c>
      <c r="G16" s="41">
        <f>_xlfn.XLOOKUP(
 tblCostChecklist[[#This Row],[RequirementID]],
 tblCost[RequirementID],
 tblCost[QuantityRequired],
 ""
)</f>
        <v>10</v>
      </c>
      <c r="H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6" s="41" t="str">
        <f>_xlfn.XLOOKUP(tblCostChecklist[[#This Row],[TargetID]],tblTargetStatus[TargetID],tblTargetStatus[Status])</f>
        <v>BLOCKED</v>
      </c>
      <c r="J16" s="25" t="b">
        <v>0</v>
      </c>
    </row>
    <row r="17" spans="1:10">
      <c r="A17" s="41" t="s">
        <v>3674</v>
      </c>
      <c r="B17" s="41" t="str">
        <f>_xlfn.TEXTAFTER(
 _xlfn.TEXTBEFORE(tblCostChecklist[[#This Row],[RequirementID]],".",-2),
 "cost."
)</f>
        <v>building.alchemists_hut@1</v>
      </c>
      <c r="C17" s="41" t="str">
        <f>_xlfn.XLOOKUP(tblCostChecklist[[#This Row],[TargetID]],tblTargets[TargetID],tblTargets[DisplayName],"")</f>
        <v>Alchemist's Hut Lv 1</v>
      </c>
      <c r="D17" s="41" t="str">
        <f>_xlfn.XLOOKUP(tblCostChecklist[[#This Row],[TargetID]],tblTargets[TargetID],tblTargets[TargetType],"")</f>
        <v>BUILDING</v>
      </c>
      <c r="E17" s="41" t="s">
        <v>708</v>
      </c>
      <c r="F17" s="41">
        <v>1</v>
      </c>
      <c r="G17" s="41">
        <f>_xlfn.XLOOKUP(
 tblCostChecklist[[#This Row],[RequirementID]],
 tblCost[RequirementID],
 tblCost[QuantityRequired],
 ""
)</f>
        <v>1</v>
      </c>
      <c r="H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v>
      </c>
      <c r="I17" s="41" t="str">
        <f>_xlfn.XLOOKUP(tblCostChecklist[[#This Row],[TargetID]],tblTargetStatus[TargetID],tblTargetStatus[Status])</f>
        <v>BLOCKED</v>
      </c>
      <c r="J17" s="25" t="b">
        <v>0</v>
      </c>
    </row>
    <row r="18" spans="1:10">
      <c r="A18" s="41" t="s">
        <v>3675</v>
      </c>
      <c r="B18" s="41" t="str">
        <f>_xlfn.TEXTAFTER(
 _xlfn.TEXTBEFORE(tblCostChecklist[[#This Row],[RequirementID]],".",-2),
 "cost."
)</f>
        <v>building.alchemists_hut@1</v>
      </c>
      <c r="C18" s="41" t="str">
        <f>_xlfn.XLOOKUP(tblCostChecklist[[#This Row],[TargetID]],tblTargets[TargetID],tblTargets[DisplayName],"")</f>
        <v>Alchemist's Hut Lv 1</v>
      </c>
      <c r="D18" s="41" t="str">
        <f>_xlfn.XLOOKUP(tblCostChecklist[[#This Row],[TargetID]],tblTargets[TargetID],tblTargets[TargetType],"")</f>
        <v>BUILDING</v>
      </c>
      <c r="E18" s="41" t="s">
        <v>666</v>
      </c>
      <c r="F18" s="41">
        <v>1</v>
      </c>
      <c r="G18" s="41">
        <f>_xlfn.XLOOKUP(
 tblCostChecklist[[#This Row],[RequirementID]],
 tblCost[RequirementID],
 tblCost[QuantityRequired],
 ""
)</f>
        <v>140</v>
      </c>
      <c r="H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v>
      </c>
      <c r="I18" s="41" t="str">
        <f>_xlfn.XLOOKUP(tblCostChecklist[[#This Row],[TargetID]],tblTargetStatus[TargetID],tblTargetStatus[Status])</f>
        <v>BLOCKED</v>
      </c>
      <c r="J18" s="25" t="b">
        <v>0</v>
      </c>
    </row>
    <row r="19" spans="1:10">
      <c r="A19" s="41" t="s">
        <v>3676</v>
      </c>
      <c r="B19" s="41" t="str">
        <f>_xlfn.TEXTAFTER(
 _xlfn.TEXTBEFORE(tblCostChecklist[[#This Row],[RequirementID]],".",-2),
 "cost."
)</f>
        <v>building.alchemists_hut@1</v>
      </c>
      <c r="C19" s="41" t="str">
        <f>_xlfn.XLOOKUP(tblCostChecklist[[#This Row],[TargetID]],tblTargets[TargetID],tblTargets[DisplayName],"")</f>
        <v>Alchemist's Hut Lv 1</v>
      </c>
      <c r="D19" s="41" t="str">
        <f>_xlfn.XLOOKUP(tblCostChecklist[[#This Row],[TargetID]],tblTargets[TargetID],tblTargets[TargetType],"")</f>
        <v>BUILDING</v>
      </c>
      <c r="E19" s="41" t="s">
        <v>723</v>
      </c>
      <c r="F19" s="41">
        <v>1</v>
      </c>
      <c r="G19" s="41">
        <f>_xlfn.XLOOKUP(
 tblCostChecklist[[#This Row],[RequirementID]],
 tblCost[RequirementID],
 tblCost[QuantityRequired],
 ""
)</f>
        <v>70</v>
      </c>
      <c r="H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v>
      </c>
      <c r="I19" s="41" t="str">
        <f>_xlfn.XLOOKUP(tblCostChecklist[[#This Row],[TargetID]],tblTargetStatus[TargetID],tblTargetStatus[Status])</f>
        <v>BLOCKED</v>
      </c>
      <c r="J19" s="25" t="b">
        <v>0</v>
      </c>
    </row>
    <row r="20" spans="1:10">
      <c r="A20" s="41" t="s">
        <v>3677</v>
      </c>
      <c r="B20" s="41" t="str">
        <f>_xlfn.TEXTAFTER(
 _xlfn.TEXTBEFORE(tblCostChecklist[[#This Row],[RequirementID]],".",-2),
 "cost."
)</f>
        <v>building.alchemists_hut@1</v>
      </c>
      <c r="C20" s="41" t="str">
        <f>_xlfn.XLOOKUP(tblCostChecklist[[#This Row],[TargetID]],tblTargets[TargetID],tblTargets[DisplayName],"")</f>
        <v>Alchemist's Hut Lv 1</v>
      </c>
      <c r="D20" s="41" t="str">
        <f>_xlfn.XLOOKUP(tblCostChecklist[[#This Row],[TargetID]],tblTargets[TargetID],tblTargets[TargetType],"")</f>
        <v>BUILDING</v>
      </c>
      <c r="E20" s="41" t="s">
        <v>717</v>
      </c>
      <c r="F20" s="41">
        <v>1</v>
      </c>
      <c r="G20" s="41">
        <f>_xlfn.XLOOKUP(
 tblCostChecklist[[#This Row],[RequirementID]],
 tblCost[RequirementID],
 tblCost[QuantityRequired],
 ""
)</f>
        <v>70</v>
      </c>
      <c r="H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v>
      </c>
      <c r="I20" s="41" t="str">
        <f>_xlfn.XLOOKUP(tblCostChecklist[[#This Row],[TargetID]],tblTargetStatus[TargetID],tblTargetStatus[Status])</f>
        <v>BLOCKED</v>
      </c>
      <c r="J20" s="25" t="b">
        <v>0</v>
      </c>
    </row>
    <row r="21" spans="1:10">
      <c r="A21" s="41" t="s">
        <v>3678</v>
      </c>
      <c r="B21" s="41" t="str">
        <f>_xlfn.TEXTAFTER(
 _xlfn.TEXTBEFORE(tblCostChecklist[[#This Row],[RequirementID]],".",-2),
 "cost."
)</f>
        <v>building.alchemists_hut@2</v>
      </c>
      <c r="C21" s="41" t="str">
        <f>_xlfn.XLOOKUP(tblCostChecklist[[#This Row],[TargetID]],tblTargets[TargetID],tblTargets[DisplayName],"")</f>
        <v>Alchemist's Hut Lv 2</v>
      </c>
      <c r="D21" s="41" t="str">
        <f>_xlfn.XLOOKUP(tblCostChecklist[[#This Row],[TargetID]],tblTargets[TargetID],tblTargets[TargetType],"")</f>
        <v>BUILDING</v>
      </c>
      <c r="E21" s="41" t="s">
        <v>708</v>
      </c>
      <c r="F21" s="41">
        <v>1</v>
      </c>
      <c r="G21" s="41">
        <f>_xlfn.XLOOKUP(
 tblCostChecklist[[#This Row],[RequirementID]],
 tblCost[RequirementID],
 tblCost[QuantityRequired],
 ""
)</f>
        <v>2</v>
      </c>
      <c r="H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v>
      </c>
      <c r="I21" s="41" t="str">
        <f>_xlfn.XLOOKUP(tblCostChecklist[[#This Row],[TargetID]],tblTargetStatus[TargetID],tblTargetStatus[Status])</f>
        <v>BLOCKED</v>
      </c>
      <c r="J21" s="25" t="b">
        <v>0</v>
      </c>
    </row>
    <row r="22" spans="1:10">
      <c r="A22" s="41" t="s">
        <v>3679</v>
      </c>
      <c r="B22" s="41" t="str">
        <f>_xlfn.TEXTAFTER(
 _xlfn.TEXTBEFORE(tblCostChecklist[[#This Row],[RequirementID]],".",-2),
 "cost."
)</f>
        <v>building.alchemists_hut@2</v>
      </c>
      <c r="C22" s="41" t="str">
        <f>_xlfn.XLOOKUP(tblCostChecklist[[#This Row],[TargetID]],tblTargets[TargetID],tblTargets[DisplayName],"")</f>
        <v>Alchemist's Hut Lv 2</v>
      </c>
      <c r="D22" s="41" t="str">
        <f>_xlfn.XLOOKUP(tblCostChecklist[[#This Row],[TargetID]],tblTargets[TargetID],tblTargets[TargetType],"")</f>
        <v>BUILDING</v>
      </c>
      <c r="E22" s="41" t="s">
        <v>666</v>
      </c>
      <c r="F22" s="41">
        <v>1</v>
      </c>
      <c r="G22" s="41">
        <f>_xlfn.XLOOKUP(
 tblCostChecklist[[#This Row],[RequirementID]],
 tblCost[RequirementID],
 tblCost[QuantityRequired],
 ""
)</f>
        <v>200</v>
      </c>
      <c r="H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v>
      </c>
      <c r="I22" s="41" t="str">
        <f>_xlfn.XLOOKUP(tblCostChecklist[[#This Row],[TargetID]],tblTargetStatus[TargetID],tblTargetStatus[Status])</f>
        <v>BLOCKED</v>
      </c>
      <c r="J22" s="25" t="b">
        <v>0</v>
      </c>
    </row>
    <row r="23" spans="1:10">
      <c r="A23" s="41" t="s">
        <v>3680</v>
      </c>
      <c r="B23" s="41" t="str">
        <f>_xlfn.TEXTAFTER(
 _xlfn.TEXTBEFORE(tblCostChecklist[[#This Row],[RequirementID]],".",-2),
 "cost."
)</f>
        <v>building.alchemists_hut@2</v>
      </c>
      <c r="C23" s="41" t="str">
        <f>_xlfn.XLOOKUP(tblCostChecklist[[#This Row],[TargetID]],tblTargets[TargetID],tblTargets[DisplayName],"")</f>
        <v>Alchemist's Hut Lv 2</v>
      </c>
      <c r="D23" s="41" t="str">
        <f>_xlfn.XLOOKUP(tblCostChecklist[[#This Row],[TargetID]],tblTargets[TargetID],tblTargets[TargetType],"")</f>
        <v>BUILDING</v>
      </c>
      <c r="E23" s="41" t="s">
        <v>723</v>
      </c>
      <c r="F23" s="41">
        <v>1</v>
      </c>
      <c r="G23" s="41">
        <f>_xlfn.XLOOKUP(
 tblCostChecklist[[#This Row],[RequirementID]],
 tblCost[RequirementID],
 tblCost[QuantityRequired],
 ""
)</f>
        <v>100</v>
      </c>
      <c r="H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v>
      </c>
      <c r="I23" s="41" t="str">
        <f>_xlfn.XLOOKUP(tblCostChecklist[[#This Row],[TargetID]],tblTargetStatus[TargetID],tblTargetStatus[Status])</f>
        <v>BLOCKED</v>
      </c>
      <c r="J23" s="25" t="b">
        <v>0</v>
      </c>
    </row>
    <row r="24" spans="1:10">
      <c r="A24" s="41" t="s">
        <v>3681</v>
      </c>
      <c r="B24" s="41" t="str">
        <f>_xlfn.TEXTAFTER(
 _xlfn.TEXTBEFORE(tblCostChecklist[[#This Row],[RequirementID]],".",-2),
 "cost."
)</f>
        <v>building.alchemists_hut@2</v>
      </c>
      <c r="C24" s="41" t="str">
        <f>_xlfn.XLOOKUP(tblCostChecklist[[#This Row],[TargetID]],tblTargets[TargetID],tblTargets[DisplayName],"")</f>
        <v>Alchemist's Hut Lv 2</v>
      </c>
      <c r="D24" s="41" t="str">
        <f>_xlfn.XLOOKUP(tblCostChecklist[[#This Row],[TargetID]],tblTargets[TargetID],tblTargets[TargetType],"")</f>
        <v>BUILDING</v>
      </c>
      <c r="E24" s="41" t="s">
        <v>717</v>
      </c>
      <c r="F24" s="41">
        <v>1</v>
      </c>
      <c r="G24" s="41">
        <f>_xlfn.XLOOKUP(
 tblCostChecklist[[#This Row],[RequirementID]],
 tblCost[RequirementID],
 tblCost[QuantityRequired],
 ""
)</f>
        <v>100</v>
      </c>
      <c r="H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v>
      </c>
      <c r="I24" s="41" t="str">
        <f>_xlfn.XLOOKUP(tblCostChecklist[[#This Row],[TargetID]],tblTargetStatus[TargetID],tblTargetStatus[Status])</f>
        <v>BLOCKED</v>
      </c>
      <c r="J24" s="25" t="b">
        <v>0</v>
      </c>
    </row>
    <row r="25" spans="1:10">
      <c r="A25" s="41" t="s">
        <v>3682</v>
      </c>
      <c r="B25" s="41" t="str">
        <f>_xlfn.TEXTAFTER(
 _xlfn.TEXTBEFORE(tblCostChecklist[[#This Row],[RequirementID]],".",-2),
 "cost."
)</f>
        <v>building.alchemists_hut@2</v>
      </c>
      <c r="C25" s="41" t="str">
        <f>_xlfn.XLOOKUP(tblCostChecklist[[#This Row],[TargetID]],tblTargets[TargetID],tblTargets[DisplayName],"")</f>
        <v>Alchemist's Hut Lv 2</v>
      </c>
      <c r="D25" s="41" t="str">
        <f>_xlfn.XLOOKUP(tblCostChecklist[[#This Row],[TargetID]],tblTargets[TargetID],tblTargets[TargetType],"")</f>
        <v>BUILDING</v>
      </c>
      <c r="E25" s="41" t="s">
        <v>664</v>
      </c>
      <c r="F25" s="41">
        <v>1</v>
      </c>
      <c r="G25" s="41">
        <f>_xlfn.XLOOKUP(
 tblCostChecklist[[#This Row],[RequirementID]],
 tblCost[RequirementID],
 tblCost[QuantityRequired],
 ""
)</f>
        <v>20</v>
      </c>
      <c r="H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v>
      </c>
      <c r="I25" s="41" t="str">
        <f>_xlfn.XLOOKUP(tblCostChecklist[[#This Row],[TargetID]],tblTargetStatus[TargetID],tblTargetStatus[Status])</f>
        <v>BLOCKED</v>
      </c>
      <c r="J25" s="25" t="b">
        <v>0</v>
      </c>
    </row>
    <row r="26" spans="1:10">
      <c r="A26" s="41" t="s">
        <v>3683</v>
      </c>
      <c r="B26" s="41" t="str">
        <f>_xlfn.TEXTAFTER(
 _xlfn.TEXTBEFORE(tblCostChecklist[[#This Row],[RequirementID]],".",-2),
 "cost."
)</f>
        <v>building.alchemists_hut@3</v>
      </c>
      <c r="C26" s="41" t="str">
        <f>_xlfn.XLOOKUP(tblCostChecklist[[#This Row],[TargetID]],tblTargets[TargetID],tblTargets[DisplayName],"")</f>
        <v>Alchemist's Hut Lv 3</v>
      </c>
      <c r="D26" s="41" t="str">
        <f>_xlfn.XLOOKUP(tblCostChecklist[[#This Row],[TargetID]],tblTargets[TargetID],tblTargets[TargetType],"")</f>
        <v>BUILDING</v>
      </c>
      <c r="E26" s="41" t="s">
        <v>708</v>
      </c>
      <c r="F26" s="41">
        <v>1</v>
      </c>
      <c r="G26" s="41">
        <f>_xlfn.XLOOKUP(
 tblCostChecklist[[#This Row],[RequirementID]],
 tblCost[RequirementID],
 tblCost[QuantityRequired],
 ""
)</f>
        <v>3</v>
      </c>
      <c r="H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26" s="41" t="str">
        <f>_xlfn.XLOOKUP(tblCostChecklist[[#This Row],[TargetID]],tblTargetStatus[TargetID],tblTargetStatus[Status])</f>
        <v>BLOCKED</v>
      </c>
      <c r="J26" s="25" t="b">
        <v>0</v>
      </c>
    </row>
    <row r="27" spans="1:10">
      <c r="A27" s="41" t="s">
        <v>3684</v>
      </c>
      <c r="B27" s="41" t="str">
        <f>_xlfn.TEXTAFTER(
 _xlfn.TEXTBEFORE(tblCostChecklist[[#This Row],[RequirementID]],".",-2),
 "cost."
)</f>
        <v>building.alchemists_hut@3</v>
      </c>
      <c r="C27" s="41" t="str">
        <f>_xlfn.XLOOKUP(tblCostChecklist[[#This Row],[TargetID]],tblTargets[TargetID],tblTargets[DisplayName],"")</f>
        <v>Alchemist's Hut Lv 3</v>
      </c>
      <c r="D27" s="41" t="str">
        <f>_xlfn.XLOOKUP(tblCostChecklist[[#This Row],[TargetID]],tblTargets[TargetID],tblTargets[TargetType],"")</f>
        <v>BUILDING</v>
      </c>
      <c r="E27" s="41" t="s">
        <v>666</v>
      </c>
      <c r="F27" s="41">
        <v>1</v>
      </c>
      <c r="G27" s="41">
        <f>_xlfn.XLOOKUP(
 tblCostChecklist[[#This Row],[RequirementID]],
 tblCost[RequirementID],
 tblCost[QuantityRequired],
 ""
)</f>
        <v>300</v>
      </c>
      <c r="H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27" s="41" t="str">
        <f>_xlfn.XLOOKUP(tblCostChecklist[[#This Row],[TargetID]],tblTargetStatus[TargetID],tblTargetStatus[Status])</f>
        <v>BLOCKED</v>
      </c>
      <c r="J27" s="25" t="b">
        <v>0</v>
      </c>
    </row>
    <row r="28" spans="1:10">
      <c r="A28" s="41" t="s">
        <v>3685</v>
      </c>
      <c r="B28" s="41" t="str">
        <f>_xlfn.TEXTAFTER(
 _xlfn.TEXTBEFORE(tblCostChecklist[[#This Row],[RequirementID]],".",-2),
 "cost."
)</f>
        <v>building.alchemists_hut@3</v>
      </c>
      <c r="C28" s="41" t="str">
        <f>_xlfn.XLOOKUP(tblCostChecklist[[#This Row],[TargetID]],tblTargets[TargetID],tblTargets[DisplayName],"")</f>
        <v>Alchemist's Hut Lv 3</v>
      </c>
      <c r="D28" s="41" t="str">
        <f>_xlfn.XLOOKUP(tblCostChecklist[[#This Row],[TargetID]],tblTargets[TargetID],tblTargets[TargetType],"")</f>
        <v>BUILDING</v>
      </c>
      <c r="E28" s="41" t="s">
        <v>658</v>
      </c>
      <c r="F28" s="41">
        <v>1</v>
      </c>
      <c r="G28" s="41">
        <f>_xlfn.XLOOKUP(
 tblCostChecklist[[#This Row],[RequirementID]],
 tblCost[RequirementID],
 tblCost[QuantityRequired],
 ""
)</f>
        <v>300</v>
      </c>
      <c r="H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28" s="41" t="str">
        <f>_xlfn.XLOOKUP(tblCostChecklist[[#This Row],[TargetID]],tblTargetStatus[TargetID],tblTargetStatus[Status])</f>
        <v>BLOCKED</v>
      </c>
      <c r="J28" s="25" t="b">
        <v>0</v>
      </c>
    </row>
    <row r="29" spans="1:10">
      <c r="A29" s="41" t="s">
        <v>3686</v>
      </c>
      <c r="B29" s="41" t="str">
        <f>_xlfn.TEXTAFTER(
 _xlfn.TEXTBEFORE(tblCostChecklist[[#This Row],[RequirementID]],".",-2),
 "cost."
)</f>
        <v>building.alchemists_hut@3</v>
      </c>
      <c r="C29" s="41" t="str">
        <f>_xlfn.XLOOKUP(tblCostChecklist[[#This Row],[TargetID]],tblTargets[TargetID],tblTargets[DisplayName],"")</f>
        <v>Alchemist's Hut Lv 3</v>
      </c>
      <c r="D29" s="41" t="str">
        <f>_xlfn.XLOOKUP(tblCostChecklist[[#This Row],[TargetID]],tblTargets[TargetID],tblTargets[TargetType],"")</f>
        <v>BUILDING</v>
      </c>
      <c r="E29" s="41" t="s">
        <v>717</v>
      </c>
      <c r="F29" s="41">
        <v>1</v>
      </c>
      <c r="G29" s="41">
        <f>_xlfn.XLOOKUP(
 tblCostChecklist[[#This Row],[RequirementID]],
 tblCost[RequirementID],
 tblCost[QuantityRequired],
 ""
)</f>
        <v>150</v>
      </c>
      <c r="H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29" s="41" t="str">
        <f>_xlfn.XLOOKUP(tblCostChecklist[[#This Row],[TargetID]],tblTargetStatus[TargetID],tblTargetStatus[Status])</f>
        <v>BLOCKED</v>
      </c>
      <c r="J29" s="25" t="b">
        <v>0</v>
      </c>
    </row>
    <row r="30" spans="1:10">
      <c r="A30" s="41" t="s">
        <v>3687</v>
      </c>
      <c r="B30" s="41" t="str">
        <f>_xlfn.TEXTAFTER(
 _xlfn.TEXTBEFORE(tblCostChecklist[[#This Row],[RequirementID]],".",-2),
 "cost."
)</f>
        <v>building.alchemists_hut@3</v>
      </c>
      <c r="C30" s="41" t="str">
        <f>_xlfn.XLOOKUP(tblCostChecklist[[#This Row],[TargetID]],tblTargets[TargetID],tblTargets[DisplayName],"")</f>
        <v>Alchemist's Hut Lv 3</v>
      </c>
      <c r="D30" s="41" t="str">
        <f>_xlfn.XLOOKUP(tblCostChecklist[[#This Row],[TargetID]],tblTargets[TargetID],tblTargets[TargetType],"")</f>
        <v>BUILDING</v>
      </c>
      <c r="E30" s="41" t="s">
        <v>664</v>
      </c>
      <c r="F30" s="41">
        <v>1</v>
      </c>
      <c r="G30" s="41">
        <f>_xlfn.XLOOKUP(
 tblCostChecklist[[#This Row],[RequirementID]],
 tblCost[RequirementID],
 tblCost[QuantityRequired],
 ""
)</f>
        <v>40</v>
      </c>
      <c r="H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30" s="41" t="str">
        <f>_xlfn.XLOOKUP(tblCostChecklist[[#This Row],[TargetID]],tblTargetStatus[TargetID],tblTargetStatus[Status])</f>
        <v>BLOCKED</v>
      </c>
      <c r="J30" s="25" t="b">
        <v>0</v>
      </c>
    </row>
    <row r="31" spans="1:10">
      <c r="A31" s="41" t="s">
        <v>3688</v>
      </c>
      <c r="B31" s="41" t="str">
        <f>_xlfn.TEXTAFTER(
 _xlfn.TEXTBEFORE(tblCostChecklist[[#This Row],[RequirementID]],".",-2),
 "cost."
)</f>
        <v>building.alchemists_hut@3</v>
      </c>
      <c r="C31" s="41" t="str">
        <f>_xlfn.XLOOKUP(tblCostChecklist[[#This Row],[TargetID]],tblTargets[TargetID],tblTargets[DisplayName],"")</f>
        <v>Alchemist's Hut Lv 3</v>
      </c>
      <c r="D31" s="41" t="str">
        <f>_xlfn.XLOOKUP(tblCostChecklist[[#This Row],[TargetID]],tblTargets[TargetID],tblTargets[TargetType],"")</f>
        <v>BUILDING</v>
      </c>
      <c r="E31" s="41" t="s">
        <v>663</v>
      </c>
      <c r="F31" s="41">
        <v>1</v>
      </c>
      <c r="G31" s="41">
        <f>_xlfn.XLOOKUP(
 tblCostChecklist[[#This Row],[RequirementID]],
 tblCost[RequirementID],
 tblCost[QuantityRequired],
 ""
)</f>
        <v>40</v>
      </c>
      <c r="H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31" s="41" t="str">
        <f>_xlfn.XLOOKUP(tblCostChecklist[[#This Row],[TargetID]],tblTargetStatus[TargetID],tblTargetStatus[Status])</f>
        <v>BLOCKED</v>
      </c>
      <c r="J31" s="25" t="b">
        <v>0</v>
      </c>
    </row>
    <row r="32" spans="1:10">
      <c r="A32" s="41" t="s">
        <v>3689</v>
      </c>
      <c r="B32" s="41" t="str">
        <f>_xlfn.TEXTAFTER(
 _xlfn.TEXTBEFORE(tblCostChecklist[[#This Row],[RequirementID]],".",-2),
 "cost."
)</f>
        <v>building.alchemists_hut@4</v>
      </c>
      <c r="C32" s="41" t="str">
        <f>_xlfn.XLOOKUP(tblCostChecklist[[#This Row],[TargetID]],tblTargets[TargetID],tblTargets[DisplayName],"")</f>
        <v>Alchemist's Hut Lv 4</v>
      </c>
      <c r="D32" s="41" t="str">
        <f>_xlfn.XLOOKUP(tblCostChecklist[[#This Row],[TargetID]],tblTargets[TargetID],tblTargets[TargetType],"")</f>
        <v>BUILDING</v>
      </c>
      <c r="E32" s="41" t="s">
        <v>708</v>
      </c>
      <c r="F32" s="41">
        <v>1</v>
      </c>
      <c r="G32" s="41">
        <f>_xlfn.XLOOKUP(
 tblCostChecklist[[#This Row],[RequirementID]],
 tblCost[RequirementID],
 tblCost[QuantityRequired],
 ""
)</f>
        <v>4</v>
      </c>
      <c r="H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52</v>
      </c>
      <c r="I32" s="41" t="str">
        <f>_xlfn.XLOOKUP(tblCostChecklist[[#This Row],[TargetID]],tblTargetStatus[TargetID],tblTargetStatus[Status])</f>
        <v>BLOCKED</v>
      </c>
      <c r="J32" s="25" t="b">
        <v>0</v>
      </c>
    </row>
    <row r="33" spans="1:10">
      <c r="A33" s="41" t="s">
        <v>3690</v>
      </c>
      <c r="B33" s="41" t="str">
        <f>_xlfn.TEXTAFTER(
 _xlfn.TEXTBEFORE(tblCostChecklist[[#This Row],[RequirementID]],".",-2),
 "cost."
)</f>
        <v>building.alchemists_hut@4</v>
      </c>
      <c r="C33" s="41" t="str">
        <f>_xlfn.XLOOKUP(tblCostChecklist[[#This Row],[TargetID]],tblTargets[TargetID],tblTargets[DisplayName],"")</f>
        <v>Alchemist's Hut Lv 4</v>
      </c>
      <c r="D33" s="41" t="str">
        <f>_xlfn.XLOOKUP(tblCostChecklist[[#This Row],[TargetID]],tblTargets[TargetID],tblTargets[TargetType],"")</f>
        <v>BUILDING</v>
      </c>
      <c r="E33" s="41" t="s">
        <v>666</v>
      </c>
      <c r="F33" s="41">
        <v>1</v>
      </c>
      <c r="G33" s="41">
        <f>_xlfn.XLOOKUP(
 tblCostChecklist[[#This Row],[RequirementID]],
 tblCost[RequirementID],
 tblCost[QuantityRequired],
 ""
)</f>
        <v>400</v>
      </c>
      <c r="H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52</v>
      </c>
      <c r="I33" s="41" t="str">
        <f>_xlfn.XLOOKUP(tblCostChecklist[[#This Row],[TargetID]],tblTargetStatus[TargetID],tblTargetStatus[Status])</f>
        <v>BLOCKED</v>
      </c>
      <c r="J33" s="25" t="b">
        <v>0</v>
      </c>
    </row>
    <row r="34" spans="1:10">
      <c r="A34" s="41" t="s">
        <v>3691</v>
      </c>
      <c r="B34" s="41" t="str">
        <f>_xlfn.TEXTAFTER(
 _xlfn.TEXTBEFORE(tblCostChecklist[[#This Row],[RequirementID]],".",-2),
 "cost."
)</f>
        <v>building.alchemists_hut@4</v>
      </c>
      <c r="C34" s="41" t="str">
        <f>_xlfn.XLOOKUP(tblCostChecklist[[#This Row],[TargetID]],tblTargets[TargetID],tblTargets[DisplayName],"")</f>
        <v>Alchemist's Hut Lv 4</v>
      </c>
      <c r="D34" s="41" t="str">
        <f>_xlfn.XLOOKUP(tblCostChecklist[[#This Row],[TargetID]],tblTargets[TargetID],tblTargets[TargetType],"")</f>
        <v>BUILDING</v>
      </c>
      <c r="E34" s="41" t="s">
        <v>658</v>
      </c>
      <c r="F34" s="41">
        <v>1</v>
      </c>
      <c r="G34" s="41">
        <f>_xlfn.XLOOKUP(
 tblCostChecklist[[#This Row],[RequirementID]],
 tblCost[RequirementID],
 tblCost[QuantityRequired],
 ""
)</f>
        <v>400</v>
      </c>
      <c r="H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52</v>
      </c>
      <c r="I34" s="41" t="str">
        <f>_xlfn.XLOOKUP(tblCostChecklist[[#This Row],[TargetID]],tblTargetStatus[TargetID],tblTargetStatus[Status])</f>
        <v>BLOCKED</v>
      </c>
      <c r="J34" s="25" t="b">
        <v>0</v>
      </c>
    </row>
    <row r="35" spans="1:10">
      <c r="A35" s="41" t="s">
        <v>3692</v>
      </c>
      <c r="B35" s="41" t="str">
        <f>_xlfn.TEXTAFTER(
 _xlfn.TEXTBEFORE(tblCostChecklist[[#This Row],[RequirementID]],".",-2),
 "cost."
)</f>
        <v>building.alchemists_hut@4</v>
      </c>
      <c r="C35" s="41" t="str">
        <f>_xlfn.XLOOKUP(tblCostChecklist[[#This Row],[TargetID]],tblTargets[TargetID],tblTargets[DisplayName],"")</f>
        <v>Alchemist's Hut Lv 4</v>
      </c>
      <c r="D35" s="41" t="str">
        <f>_xlfn.XLOOKUP(tblCostChecklist[[#This Row],[TargetID]],tblTargets[TargetID],tblTargets[TargetType],"")</f>
        <v>BUILDING</v>
      </c>
      <c r="E35" s="41" t="s">
        <v>717</v>
      </c>
      <c r="F35" s="41">
        <v>1</v>
      </c>
      <c r="G35" s="41">
        <f>_xlfn.XLOOKUP(
 tblCostChecklist[[#This Row],[RequirementID]],
 tblCost[RequirementID],
 tblCost[QuantityRequired],
 ""
)</f>
        <v>200</v>
      </c>
      <c r="H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52</v>
      </c>
      <c r="I35" s="41" t="str">
        <f>_xlfn.XLOOKUP(tblCostChecklist[[#This Row],[TargetID]],tblTargetStatus[TargetID],tblTargetStatus[Status])</f>
        <v>BLOCKED</v>
      </c>
      <c r="J35" s="25" t="b">
        <v>0</v>
      </c>
    </row>
    <row r="36" spans="1:10">
      <c r="A36" s="41" t="s">
        <v>3693</v>
      </c>
      <c r="B36" s="41" t="str">
        <f>_xlfn.TEXTAFTER(
 _xlfn.TEXTBEFORE(tblCostChecklist[[#This Row],[RequirementID]],".",-2),
 "cost."
)</f>
        <v>building.alchemists_hut@4</v>
      </c>
      <c r="C36" s="41" t="str">
        <f>_xlfn.XLOOKUP(tblCostChecklist[[#This Row],[TargetID]],tblTargets[TargetID],tblTargets[DisplayName],"")</f>
        <v>Alchemist's Hut Lv 4</v>
      </c>
      <c r="D36" s="41" t="str">
        <f>_xlfn.XLOOKUP(tblCostChecklist[[#This Row],[TargetID]],tblTargets[TargetID],tblTargets[TargetType],"")</f>
        <v>BUILDING</v>
      </c>
      <c r="E36" s="41" t="s">
        <v>678</v>
      </c>
      <c r="F36" s="41">
        <v>1</v>
      </c>
      <c r="G36" s="41">
        <f>_xlfn.XLOOKUP(
 tblCostChecklist[[#This Row],[RequirementID]],
 tblCost[RequirementID],
 tblCost[QuantityRequired],
 ""
)</f>
        <v>40</v>
      </c>
      <c r="H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52</v>
      </c>
      <c r="I36" s="41" t="str">
        <f>_xlfn.XLOOKUP(tblCostChecklist[[#This Row],[TargetID]],tblTargetStatus[TargetID],tblTargetStatus[Status])</f>
        <v>BLOCKED</v>
      </c>
      <c r="J36" s="25" t="b">
        <v>0</v>
      </c>
    </row>
    <row r="37" spans="1:10">
      <c r="A37" s="41" t="s">
        <v>3694</v>
      </c>
      <c r="B37" s="41" t="str">
        <f>_xlfn.TEXTAFTER(
 _xlfn.TEXTBEFORE(tblCostChecklist[[#This Row],[RequirementID]],".",-2),
 "cost."
)</f>
        <v>building.alchemists_hut@5</v>
      </c>
      <c r="C37" s="41" t="str">
        <f>_xlfn.XLOOKUP(tblCostChecklist[[#This Row],[TargetID]],tblTargets[TargetID],tblTargets[DisplayName],"")</f>
        <v>Alchemist's Hut Lv 5</v>
      </c>
      <c r="D37" s="41" t="str">
        <f>_xlfn.XLOOKUP(tblCostChecklist[[#This Row],[TargetID]],tblTargets[TargetID],tblTargets[TargetType],"")</f>
        <v>BUILDING</v>
      </c>
      <c r="E37" s="41" t="s">
        <v>708</v>
      </c>
      <c r="F37" s="41">
        <v>1</v>
      </c>
      <c r="G37" s="41">
        <f>_xlfn.XLOOKUP(
 tblCostChecklist[[#This Row],[RequirementID]],
 tblCost[RequirementID],
 tblCost[QuantityRequired],
 ""
)</f>
        <v>5</v>
      </c>
      <c r="H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53</v>
      </c>
      <c r="I37" s="41" t="str">
        <f>_xlfn.XLOOKUP(tblCostChecklist[[#This Row],[TargetID]],tblTargetStatus[TargetID],tblTargetStatus[Status])</f>
        <v>BLOCKED</v>
      </c>
      <c r="J37" s="25" t="b">
        <v>0</v>
      </c>
    </row>
    <row r="38" spans="1:10">
      <c r="A38" s="41" t="s">
        <v>3695</v>
      </c>
      <c r="B38" s="41" t="str">
        <f>_xlfn.TEXTAFTER(
 _xlfn.TEXTBEFORE(tblCostChecklist[[#This Row],[RequirementID]],".",-2),
 "cost."
)</f>
        <v>building.alchemists_hut@5</v>
      </c>
      <c r="C38" s="41" t="str">
        <f>_xlfn.XLOOKUP(tblCostChecklist[[#This Row],[TargetID]],tblTargets[TargetID],tblTargets[DisplayName],"")</f>
        <v>Alchemist's Hut Lv 5</v>
      </c>
      <c r="D38" s="41" t="str">
        <f>_xlfn.XLOOKUP(tblCostChecklist[[#This Row],[TargetID]],tblTargets[TargetID],tblTargets[TargetType],"")</f>
        <v>BUILDING</v>
      </c>
      <c r="E38" s="41" t="s">
        <v>666</v>
      </c>
      <c r="F38" s="41">
        <v>1</v>
      </c>
      <c r="G38" s="41">
        <f>_xlfn.XLOOKUP(
 tblCostChecklist[[#This Row],[RequirementID]],
 tblCost[RequirementID],
 tblCost[QuantityRequired],
 ""
)</f>
        <v>500</v>
      </c>
      <c r="H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53</v>
      </c>
      <c r="I38" s="41" t="str">
        <f>_xlfn.XLOOKUP(tblCostChecklist[[#This Row],[TargetID]],tblTargetStatus[TargetID],tblTargetStatus[Status])</f>
        <v>BLOCKED</v>
      </c>
      <c r="J38" s="25" t="b">
        <v>0</v>
      </c>
    </row>
    <row r="39" spans="1:10">
      <c r="A39" s="41" t="s">
        <v>3696</v>
      </c>
      <c r="B39" s="41" t="str">
        <f>_xlfn.TEXTAFTER(
 _xlfn.TEXTBEFORE(tblCostChecklist[[#This Row],[RequirementID]],".",-2),
 "cost."
)</f>
        <v>building.alchemists_hut@5</v>
      </c>
      <c r="C39" s="41" t="str">
        <f>_xlfn.XLOOKUP(tblCostChecklist[[#This Row],[TargetID]],tblTargets[TargetID],tblTargets[DisplayName],"")</f>
        <v>Alchemist's Hut Lv 5</v>
      </c>
      <c r="D39" s="41" t="str">
        <f>_xlfn.XLOOKUP(tblCostChecklist[[#This Row],[TargetID]],tblTargets[TargetID],tblTargets[TargetType],"")</f>
        <v>BUILDING</v>
      </c>
      <c r="E39" s="41" t="s">
        <v>658</v>
      </c>
      <c r="F39" s="41">
        <v>1</v>
      </c>
      <c r="G39" s="41">
        <f>_xlfn.XLOOKUP(
 tblCostChecklist[[#This Row],[RequirementID]],
 tblCost[RequirementID],
 tblCost[QuantityRequired],
 ""
)</f>
        <v>440</v>
      </c>
      <c r="H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53</v>
      </c>
      <c r="I39" s="41" t="str">
        <f>_xlfn.XLOOKUP(tblCostChecklist[[#This Row],[TargetID]],tblTargetStatus[TargetID],tblTargetStatus[Status])</f>
        <v>BLOCKED</v>
      </c>
      <c r="J39" s="25" t="b">
        <v>0</v>
      </c>
    </row>
    <row r="40" spans="1:10">
      <c r="A40" s="41" t="s">
        <v>3697</v>
      </c>
      <c r="B40" s="41" t="str">
        <f>_xlfn.TEXTAFTER(
 _xlfn.TEXTBEFORE(tblCostChecklist[[#This Row],[RequirementID]],".",-2),
 "cost."
)</f>
        <v>building.alchemists_hut@5</v>
      </c>
      <c r="C40" s="41" t="str">
        <f>_xlfn.XLOOKUP(tblCostChecklist[[#This Row],[TargetID]],tblTargets[TargetID],tblTargets[DisplayName],"")</f>
        <v>Alchemist's Hut Lv 5</v>
      </c>
      <c r="D40" s="41" t="str">
        <f>_xlfn.XLOOKUP(tblCostChecklist[[#This Row],[TargetID]],tblTargets[TargetID],tblTargets[TargetType],"")</f>
        <v>BUILDING</v>
      </c>
      <c r="E40" s="41" t="s">
        <v>717</v>
      </c>
      <c r="F40" s="41">
        <v>1</v>
      </c>
      <c r="G40" s="41">
        <f>_xlfn.XLOOKUP(
 tblCostChecklist[[#This Row],[RequirementID]],
 tblCost[RequirementID],
 tblCost[QuantityRequired],
 ""
)</f>
        <v>220</v>
      </c>
      <c r="H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53</v>
      </c>
      <c r="I40" s="41" t="str">
        <f>_xlfn.XLOOKUP(tblCostChecklist[[#This Row],[TargetID]],tblTargetStatus[TargetID],tblTargetStatus[Status])</f>
        <v>BLOCKED</v>
      </c>
      <c r="J40" s="25" t="b">
        <v>0</v>
      </c>
    </row>
    <row r="41" spans="1:10">
      <c r="A41" s="41" t="s">
        <v>3698</v>
      </c>
      <c r="B41" s="41" t="str">
        <f>_xlfn.TEXTAFTER(
 _xlfn.TEXTBEFORE(tblCostChecklist[[#This Row],[RequirementID]],".",-2),
 "cost."
)</f>
        <v>building.alchemists_hut@5</v>
      </c>
      <c r="C41" s="41" t="str">
        <f>_xlfn.XLOOKUP(tblCostChecklist[[#This Row],[TargetID]],tblTargets[TargetID],tblTargets[DisplayName],"")</f>
        <v>Alchemist's Hut Lv 5</v>
      </c>
      <c r="D41" s="41" t="str">
        <f>_xlfn.XLOOKUP(tblCostChecklist[[#This Row],[TargetID]],tblTargets[TargetID],tblTargets[TargetType],"")</f>
        <v>BUILDING</v>
      </c>
      <c r="E41" s="41" t="s">
        <v>678</v>
      </c>
      <c r="F41" s="41">
        <v>1</v>
      </c>
      <c r="G41" s="41">
        <f>_xlfn.XLOOKUP(
 tblCostChecklist[[#This Row],[RequirementID]],
 tblCost[RequirementID],
 tblCost[QuantityRequired],
 ""
)</f>
        <v>80</v>
      </c>
      <c r="H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53</v>
      </c>
      <c r="I41" s="41" t="str">
        <f>_xlfn.XLOOKUP(tblCostChecklist[[#This Row],[TargetID]],tblTargetStatus[TargetID],tblTargetStatus[Status])</f>
        <v>BLOCKED</v>
      </c>
      <c r="J41" s="25" t="b">
        <v>0</v>
      </c>
    </row>
    <row r="42" spans="1:10">
      <c r="A42" s="41" t="s">
        <v>3699</v>
      </c>
      <c r="B42" s="41" t="str">
        <f>_xlfn.TEXTAFTER(
 _xlfn.TEXTBEFORE(tblCostChecklist[[#This Row],[RequirementID]],".",-2),
 "cost."
)</f>
        <v>building.alchemists_hut@6</v>
      </c>
      <c r="C42" s="41" t="str">
        <f>_xlfn.XLOOKUP(tblCostChecklist[[#This Row],[TargetID]],tblTargets[TargetID],tblTargets[DisplayName],"")</f>
        <v>Alchemist's Hut Lv 6</v>
      </c>
      <c r="D42" s="41" t="str">
        <f>_xlfn.XLOOKUP(tblCostChecklist[[#This Row],[TargetID]],tblTargets[TargetID],tblTargets[TargetType],"")</f>
        <v>BUILDING</v>
      </c>
      <c r="E42" s="41" t="s">
        <v>708</v>
      </c>
      <c r="F42" s="41">
        <v>1</v>
      </c>
      <c r="G42" s="41">
        <f>_xlfn.XLOOKUP(
 tblCostChecklist[[#This Row],[RequirementID]],
 tblCost[RequirementID],
 tblCost[QuantityRequired],
 ""
)</f>
        <v>6</v>
      </c>
      <c r="H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2" s="41" t="str">
        <f>_xlfn.XLOOKUP(tblCostChecklist[[#This Row],[TargetID]],tblTargetStatus[TargetID],tblTargetStatus[Status])</f>
        <v>BLOCKED</v>
      </c>
      <c r="J42" s="25" t="b">
        <v>0</v>
      </c>
    </row>
    <row r="43" spans="1:10">
      <c r="A43" s="41" t="s">
        <v>3700</v>
      </c>
      <c r="B43" s="41" t="str">
        <f>_xlfn.TEXTAFTER(
 _xlfn.TEXTBEFORE(tblCostChecklist[[#This Row],[RequirementID]],".",-2),
 "cost."
)</f>
        <v>building.alchemists_hut@6</v>
      </c>
      <c r="C43" s="41" t="str">
        <f>_xlfn.XLOOKUP(tblCostChecklist[[#This Row],[TargetID]],tblTargets[TargetID],tblTargets[DisplayName],"")</f>
        <v>Alchemist's Hut Lv 6</v>
      </c>
      <c r="D43" s="41" t="str">
        <f>_xlfn.XLOOKUP(tblCostChecklist[[#This Row],[TargetID]],tblTargets[TargetID],tblTargets[TargetType],"")</f>
        <v>BUILDING</v>
      </c>
      <c r="E43" s="41" t="s">
        <v>666</v>
      </c>
      <c r="F43" s="41">
        <v>1</v>
      </c>
      <c r="G43" s="41">
        <f>_xlfn.XLOOKUP(
 tblCostChecklist[[#This Row],[RequirementID]],
 tblCost[RequirementID],
 tblCost[QuantityRequired],
 ""
)</f>
        <v>1000</v>
      </c>
      <c r="H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3" s="41" t="str">
        <f>_xlfn.XLOOKUP(tblCostChecklist[[#This Row],[TargetID]],tblTargetStatus[TargetID],tblTargetStatus[Status])</f>
        <v>BLOCKED</v>
      </c>
      <c r="J43" s="25" t="b">
        <v>0</v>
      </c>
    </row>
    <row r="44" spans="1:10">
      <c r="A44" s="41" t="s">
        <v>3701</v>
      </c>
      <c r="B44" s="41" t="str">
        <f>_xlfn.TEXTAFTER(
 _xlfn.TEXTBEFORE(tblCostChecklist[[#This Row],[RequirementID]],".",-2),
 "cost."
)</f>
        <v>building.alchemists_hut@6</v>
      </c>
      <c r="C44" s="41" t="str">
        <f>_xlfn.XLOOKUP(tblCostChecklist[[#This Row],[TargetID]],tblTargets[TargetID],tblTargets[DisplayName],"")</f>
        <v>Alchemist's Hut Lv 6</v>
      </c>
      <c r="D44" s="41" t="str">
        <f>_xlfn.XLOOKUP(tblCostChecklist[[#This Row],[TargetID]],tblTargets[TargetID],tblTargets[TargetType],"")</f>
        <v>BUILDING</v>
      </c>
      <c r="E44" s="41" t="s">
        <v>658</v>
      </c>
      <c r="F44" s="41">
        <v>1</v>
      </c>
      <c r="G44" s="41">
        <f>_xlfn.XLOOKUP(
 tblCostChecklist[[#This Row],[RequirementID]],
 tblCost[RequirementID],
 tblCost[QuantityRequired],
 ""
)</f>
        <v>800</v>
      </c>
      <c r="H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4" s="41" t="str">
        <f>_xlfn.XLOOKUP(tblCostChecklist[[#This Row],[TargetID]],tblTargetStatus[TargetID],tblTargetStatus[Status])</f>
        <v>BLOCKED</v>
      </c>
      <c r="J44" s="25" t="b">
        <v>0</v>
      </c>
    </row>
    <row r="45" spans="1:10">
      <c r="A45" s="41" t="s">
        <v>3702</v>
      </c>
      <c r="B45" s="41" t="str">
        <f>_xlfn.TEXTAFTER(
 _xlfn.TEXTBEFORE(tblCostChecklist[[#This Row],[RequirementID]],".",-2),
 "cost."
)</f>
        <v>building.alchemists_hut@6</v>
      </c>
      <c r="C45" s="41" t="str">
        <f>_xlfn.XLOOKUP(tblCostChecklist[[#This Row],[TargetID]],tblTargets[TargetID],tblTargets[DisplayName],"")</f>
        <v>Alchemist's Hut Lv 6</v>
      </c>
      <c r="D45" s="41" t="str">
        <f>_xlfn.XLOOKUP(tblCostChecklist[[#This Row],[TargetID]],tblTargets[TargetID],tblTargets[TargetType],"")</f>
        <v>BUILDING</v>
      </c>
      <c r="E45" s="41" t="s">
        <v>717</v>
      </c>
      <c r="F45" s="41">
        <v>1</v>
      </c>
      <c r="G45" s="41">
        <f>_xlfn.XLOOKUP(
 tblCostChecklist[[#This Row],[RequirementID]],
 tblCost[RequirementID],
 tblCost[QuantityRequired],
 ""
)</f>
        <v>400</v>
      </c>
      <c r="H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5" s="41" t="str">
        <f>_xlfn.XLOOKUP(tblCostChecklist[[#This Row],[TargetID]],tblTargetStatus[TargetID],tblTargetStatus[Status])</f>
        <v>BLOCKED</v>
      </c>
      <c r="J45" s="25" t="b">
        <v>0</v>
      </c>
    </row>
    <row r="46" spans="1:10">
      <c r="A46" s="41" t="s">
        <v>3703</v>
      </c>
      <c r="B46" s="41" t="str">
        <f>_xlfn.TEXTAFTER(
 _xlfn.TEXTBEFORE(tblCostChecklist[[#This Row],[RequirementID]],".",-2),
 "cost."
)</f>
        <v>building.alchemists_hut@6</v>
      </c>
      <c r="C46" s="41" t="str">
        <f>_xlfn.XLOOKUP(tblCostChecklist[[#This Row],[TargetID]],tblTargets[TargetID],tblTargets[DisplayName],"")</f>
        <v>Alchemist's Hut Lv 6</v>
      </c>
      <c r="D46" s="41" t="str">
        <f>_xlfn.XLOOKUP(tblCostChecklist[[#This Row],[TargetID]],tblTargets[TargetID],tblTargets[TargetType],"")</f>
        <v>BUILDING</v>
      </c>
      <c r="E46" s="41" t="s">
        <v>664</v>
      </c>
      <c r="F46" s="41">
        <v>1</v>
      </c>
      <c r="G46" s="41">
        <f>_xlfn.XLOOKUP(
 tblCostChecklist[[#This Row],[RequirementID]],
 tblCost[RequirementID],
 tblCost[QuantityRequired],
 ""
)</f>
        <v>200</v>
      </c>
      <c r="H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6" s="41" t="str">
        <f>_xlfn.XLOOKUP(tblCostChecklist[[#This Row],[TargetID]],tblTargetStatus[TargetID],tblTargetStatus[Status])</f>
        <v>BLOCKED</v>
      </c>
      <c r="J46" s="25" t="b">
        <v>0</v>
      </c>
    </row>
    <row r="47" spans="1:10">
      <c r="A47" s="41" t="s">
        <v>3704</v>
      </c>
      <c r="B47" s="41" t="str">
        <f>_xlfn.TEXTAFTER(
 _xlfn.TEXTBEFORE(tblCostChecklist[[#This Row],[RequirementID]],".",-2),
 "cost."
)</f>
        <v>building.alchemists_hut@6</v>
      </c>
      <c r="C47" s="41" t="str">
        <f>_xlfn.XLOOKUP(tblCostChecklist[[#This Row],[TargetID]],tblTargets[TargetID],tblTargets[DisplayName],"")</f>
        <v>Alchemist's Hut Lv 6</v>
      </c>
      <c r="D47" s="41" t="str">
        <f>_xlfn.XLOOKUP(tblCostChecklist[[#This Row],[TargetID]],tblTargets[TargetID],tblTargets[TargetType],"")</f>
        <v>BUILDING</v>
      </c>
      <c r="E47" s="41" t="s">
        <v>674</v>
      </c>
      <c r="F47" s="41">
        <v>1</v>
      </c>
      <c r="G47" s="41">
        <f>_xlfn.XLOOKUP(
 tblCostChecklist[[#This Row],[RequirementID]],
 tblCost[RequirementID],
 tblCost[QuantityRequired],
 ""
)</f>
        <v>50</v>
      </c>
      <c r="H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7" s="41" t="str">
        <f>_xlfn.XLOOKUP(tblCostChecklist[[#This Row],[TargetID]],tblTargetStatus[TargetID],tblTargetStatus[Status])</f>
        <v>BLOCKED</v>
      </c>
      <c r="J47" s="25" t="b">
        <v>0</v>
      </c>
    </row>
    <row r="48" spans="1:10">
      <c r="A48" s="41" t="s">
        <v>3705</v>
      </c>
      <c r="B48" s="41" t="str">
        <f>_xlfn.TEXTAFTER(
 _xlfn.TEXTBEFORE(tblCostChecklist[[#This Row],[RequirementID]],".",-2),
 "cost."
)</f>
        <v>building.bonsai@1</v>
      </c>
      <c r="C48" s="41" t="str">
        <f>_xlfn.XLOOKUP(tblCostChecklist[[#This Row],[TargetID]],tblTargets[TargetID],tblTargets[DisplayName],"")</f>
        <v>Bonsai Lv 1</v>
      </c>
      <c r="D48" s="41" t="str">
        <f>_xlfn.XLOOKUP(tblCostChecklist[[#This Row],[TargetID]],tblTargets[TargetID],tblTargets[TargetType],"")</f>
        <v>BUILDING</v>
      </c>
      <c r="E48" s="41" t="s">
        <v>708</v>
      </c>
      <c r="F48" s="41">
        <v>1</v>
      </c>
      <c r="G48" s="41">
        <f>_xlfn.XLOOKUP(
 tblCostChecklist[[#This Row],[RequirementID]],
 tblCost[RequirementID],
 tblCost[QuantityRequired],
 ""
)</f>
        <v>3</v>
      </c>
      <c r="H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89</v>
      </c>
      <c r="I48" s="41" t="str">
        <f>_xlfn.XLOOKUP(tblCostChecklist[[#This Row],[TargetID]],tblTargetStatus[TargetID],tblTargetStatus[Status])</f>
        <v>BLOCKED</v>
      </c>
      <c r="J48" s="25" t="b">
        <v>0</v>
      </c>
    </row>
    <row r="49" spans="1:10">
      <c r="A49" s="41" t="s">
        <v>3706</v>
      </c>
      <c r="B49" s="41" t="str">
        <f>_xlfn.TEXTAFTER(
 _xlfn.TEXTBEFORE(tblCostChecklist[[#This Row],[RequirementID]],".",-2),
 "cost."
)</f>
        <v>building.bonsai@1</v>
      </c>
      <c r="C49" s="41" t="str">
        <f>_xlfn.XLOOKUP(tblCostChecklist[[#This Row],[TargetID]],tblTargets[TargetID],tblTargets[DisplayName],"")</f>
        <v>Bonsai Lv 1</v>
      </c>
      <c r="D49" s="41" t="str">
        <f>_xlfn.XLOOKUP(tblCostChecklist[[#This Row],[TargetID]],tblTargets[TargetID],tblTargets[TargetType],"")</f>
        <v>BUILDING</v>
      </c>
      <c r="E49" s="41" t="s">
        <v>666</v>
      </c>
      <c r="F49" s="41">
        <v>1</v>
      </c>
      <c r="G49" s="41">
        <f>_xlfn.XLOOKUP(
 tblCostChecklist[[#This Row],[RequirementID]],
 tblCost[RequirementID],
 tblCost[QuantityRequired],
 ""
)</f>
        <v>500</v>
      </c>
      <c r="H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89</v>
      </c>
      <c r="I49" s="41" t="str">
        <f>_xlfn.XLOOKUP(tblCostChecklist[[#This Row],[TargetID]],tblTargetStatus[TargetID],tblTargetStatus[Status])</f>
        <v>BLOCKED</v>
      </c>
      <c r="J49" s="25" t="b">
        <v>0</v>
      </c>
    </row>
    <row r="50" spans="1:10">
      <c r="A50" s="41" t="s">
        <v>3707</v>
      </c>
      <c r="B50" s="41" t="str">
        <f>_xlfn.TEXTAFTER(
 _xlfn.TEXTBEFORE(tblCostChecklist[[#This Row],[RequirementID]],".",-2),
 "cost."
)</f>
        <v>building.bonsai@1</v>
      </c>
      <c r="C50" s="41" t="str">
        <f>_xlfn.XLOOKUP(tblCostChecklist[[#This Row],[TargetID]],tblTargets[TargetID],tblTargets[DisplayName],"")</f>
        <v>Bonsai Lv 1</v>
      </c>
      <c r="D50" s="41" t="str">
        <f>_xlfn.XLOOKUP(tblCostChecklist[[#This Row],[TargetID]],tblTargets[TargetID],tblTargets[TargetType],"")</f>
        <v>BUILDING</v>
      </c>
      <c r="E50" s="41" t="s">
        <v>701</v>
      </c>
      <c r="F50" s="41">
        <v>1</v>
      </c>
      <c r="G50" s="41">
        <f>_xlfn.XLOOKUP(
 tblCostChecklist[[#This Row],[RequirementID]],
 tblCost[RequirementID],
 tblCost[QuantityRequired],
 ""
)</f>
        <v>500</v>
      </c>
      <c r="H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89</v>
      </c>
      <c r="I50" s="41" t="str">
        <f>_xlfn.XLOOKUP(tblCostChecklist[[#This Row],[TargetID]],tblTargetStatus[TargetID],tblTargetStatus[Status])</f>
        <v>BLOCKED</v>
      </c>
      <c r="J50" s="25" t="b">
        <v>0</v>
      </c>
    </row>
    <row r="51" spans="1:10">
      <c r="A51" s="41" t="s">
        <v>3708</v>
      </c>
      <c r="B51" s="41" t="str">
        <f>_xlfn.TEXTAFTER(
 _xlfn.TEXTBEFORE(tblCostChecklist[[#This Row],[RequirementID]],".",-2),
 "cost."
)</f>
        <v>building.bonsai@1</v>
      </c>
      <c r="C51" s="41" t="str">
        <f>_xlfn.XLOOKUP(tblCostChecklist[[#This Row],[TargetID]],tblTargets[TargetID],tblTargets[DisplayName],"")</f>
        <v>Bonsai Lv 1</v>
      </c>
      <c r="D51" s="41" t="str">
        <f>_xlfn.XLOOKUP(tblCostChecklist[[#This Row],[TargetID]],tblTargets[TargetID],tblTargets[TargetType],"")</f>
        <v>BUILDING</v>
      </c>
      <c r="E51" s="41" t="s">
        <v>659</v>
      </c>
      <c r="F51" s="41">
        <v>1</v>
      </c>
      <c r="G51" s="41">
        <f>_xlfn.XLOOKUP(
 tblCostChecklist[[#This Row],[RequirementID]],
 tblCost[RequirementID],
 tblCost[QuantityRequired],
 ""
)</f>
        <v>120</v>
      </c>
      <c r="H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89</v>
      </c>
      <c r="I51" s="41" t="str">
        <f>_xlfn.XLOOKUP(tblCostChecklist[[#This Row],[TargetID]],tblTargetStatus[TargetID],tblTargetStatus[Status])</f>
        <v>BLOCKED</v>
      </c>
      <c r="J51" s="25" t="b">
        <v>0</v>
      </c>
    </row>
    <row r="52" spans="1:10">
      <c r="A52" s="41" t="s">
        <v>3709</v>
      </c>
      <c r="B52" s="41" t="str">
        <f>_xlfn.TEXTAFTER(
 _xlfn.TEXTBEFORE(tblCostChecklist[[#This Row],[RequirementID]],".",-2),
 "cost."
)</f>
        <v>building.bonsai@2</v>
      </c>
      <c r="C52" s="41" t="str">
        <f>_xlfn.XLOOKUP(tblCostChecklist[[#This Row],[TargetID]],tblTargets[TargetID],tblTargets[DisplayName],"")</f>
        <v>Bonsai Lv 2</v>
      </c>
      <c r="D52" s="41" t="str">
        <f>_xlfn.XLOOKUP(tblCostChecklist[[#This Row],[TargetID]],tblTargets[TargetID],tblTargets[TargetType],"")</f>
        <v>BUILDING</v>
      </c>
      <c r="E52" s="41" t="s">
        <v>708</v>
      </c>
      <c r="F52" s="41">
        <v>1</v>
      </c>
      <c r="G52" s="41">
        <f>_xlfn.XLOOKUP(
 tblCostChecklist[[#This Row],[RequirementID]],
 tblCost[RequirementID],
 tblCost[QuantityRequired],
 ""
)</f>
        <v>5</v>
      </c>
      <c r="H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90</v>
      </c>
      <c r="I52" s="41" t="str">
        <f>_xlfn.XLOOKUP(tblCostChecklist[[#This Row],[TargetID]],tblTargetStatus[TargetID],tblTargetStatus[Status])</f>
        <v>BLOCKED</v>
      </c>
      <c r="J52" s="25" t="b">
        <v>0</v>
      </c>
    </row>
    <row r="53" spans="1:10">
      <c r="A53" s="41" t="s">
        <v>3710</v>
      </c>
      <c r="B53" s="41" t="str">
        <f>_xlfn.TEXTAFTER(
 _xlfn.TEXTBEFORE(tblCostChecklist[[#This Row],[RequirementID]],".",-2),
 "cost."
)</f>
        <v>building.bonsai@2</v>
      </c>
      <c r="C53" s="41" t="str">
        <f>_xlfn.XLOOKUP(tblCostChecklist[[#This Row],[TargetID]],tblTargets[TargetID],tblTargets[DisplayName],"")</f>
        <v>Bonsai Lv 2</v>
      </c>
      <c r="D53" s="41" t="str">
        <f>_xlfn.XLOOKUP(tblCostChecklist[[#This Row],[TargetID]],tblTargets[TargetID],tblTargets[TargetType],"")</f>
        <v>BUILDING</v>
      </c>
      <c r="E53" s="41" t="s">
        <v>666</v>
      </c>
      <c r="F53" s="41">
        <v>1</v>
      </c>
      <c r="G53" s="41">
        <f>_xlfn.XLOOKUP(
 tblCostChecklist[[#This Row],[RequirementID]],
 tblCost[RequirementID],
 tblCost[QuantityRequired],
 ""
)</f>
        <v>800</v>
      </c>
      <c r="H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90</v>
      </c>
      <c r="I53" s="41" t="str">
        <f>_xlfn.XLOOKUP(tblCostChecklist[[#This Row],[TargetID]],tblTargetStatus[TargetID],tblTargetStatus[Status])</f>
        <v>BLOCKED</v>
      </c>
      <c r="J53" s="25" t="b">
        <v>0</v>
      </c>
    </row>
    <row r="54" spans="1:10">
      <c r="A54" s="41" t="s">
        <v>3711</v>
      </c>
      <c r="B54" s="41" t="str">
        <f>_xlfn.TEXTAFTER(
 _xlfn.TEXTBEFORE(tblCostChecklist[[#This Row],[RequirementID]],".",-2),
 "cost."
)</f>
        <v>building.bonsai@2</v>
      </c>
      <c r="C54" s="41" t="str">
        <f>_xlfn.XLOOKUP(tblCostChecklist[[#This Row],[TargetID]],tblTargets[TargetID],tblTargets[DisplayName],"")</f>
        <v>Bonsai Lv 2</v>
      </c>
      <c r="D54" s="41" t="str">
        <f>_xlfn.XLOOKUP(tblCostChecklist[[#This Row],[TargetID]],tblTargets[TargetID],tblTargets[TargetType],"")</f>
        <v>BUILDING</v>
      </c>
      <c r="E54" s="41" t="s">
        <v>701</v>
      </c>
      <c r="F54" s="41">
        <v>1</v>
      </c>
      <c r="G54" s="41">
        <f>_xlfn.XLOOKUP(
 tblCostChecklist[[#This Row],[RequirementID]],
 tblCost[RequirementID],
 tblCost[QuantityRequired],
 ""
)</f>
        <v>600</v>
      </c>
      <c r="H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90</v>
      </c>
      <c r="I54" s="41" t="str">
        <f>_xlfn.XLOOKUP(tblCostChecklist[[#This Row],[TargetID]],tblTargetStatus[TargetID],tblTargetStatus[Status])</f>
        <v>BLOCKED</v>
      </c>
      <c r="J54" s="25" t="b">
        <v>0</v>
      </c>
    </row>
    <row r="55" spans="1:10">
      <c r="A55" s="41" t="s">
        <v>3712</v>
      </c>
      <c r="B55" s="41" t="str">
        <f>_xlfn.TEXTAFTER(
 _xlfn.TEXTBEFORE(tblCostChecklist[[#This Row],[RequirementID]],".",-2),
 "cost."
)</f>
        <v>building.bonsai@2</v>
      </c>
      <c r="C55" s="41" t="str">
        <f>_xlfn.XLOOKUP(tblCostChecklist[[#This Row],[TargetID]],tblTargets[TargetID],tblTargets[DisplayName],"")</f>
        <v>Bonsai Lv 2</v>
      </c>
      <c r="D55" s="41" t="str">
        <f>_xlfn.XLOOKUP(tblCostChecklist[[#This Row],[TargetID]],tblTargets[TargetID],tblTargets[TargetType],"")</f>
        <v>BUILDING</v>
      </c>
      <c r="E55" s="41" t="s">
        <v>659</v>
      </c>
      <c r="F55" s="41">
        <v>1</v>
      </c>
      <c r="G55" s="41">
        <f>_xlfn.XLOOKUP(
 tblCostChecklist[[#This Row],[RequirementID]],
 tblCost[RequirementID],
 tblCost[QuantityRequired],
 ""
)</f>
        <v>240</v>
      </c>
      <c r="H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90</v>
      </c>
      <c r="I55" s="41" t="str">
        <f>_xlfn.XLOOKUP(tblCostChecklist[[#This Row],[TargetID]],tblTargetStatus[TargetID],tblTargetStatus[Status])</f>
        <v>BLOCKED</v>
      </c>
      <c r="J55" s="25" t="b">
        <v>0</v>
      </c>
    </row>
    <row r="56" spans="1:10">
      <c r="A56" s="41" t="s">
        <v>3713</v>
      </c>
      <c r="B56" s="41" t="str">
        <f>_xlfn.TEXTAFTER(
 _xlfn.TEXTBEFORE(tblCostChecklist[[#This Row],[RequirementID]],".",-2),
 "cost."
)</f>
        <v>building.bonsai@2</v>
      </c>
      <c r="C56" s="41" t="str">
        <f>_xlfn.XLOOKUP(tblCostChecklist[[#This Row],[TargetID]],tblTargets[TargetID],tblTargets[DisplayName],"")</f>
        <v>Bonsai Lv 2</v>
      </c>
      <c r="D56" s="41" t="str">
        <f>_xlfn.XLOOKUP(tblCostChecklist[[#This Row],[TargetID]],tblTargets[TargetID],tblTargets[TargetType],"")</f>
        <v>BUILDING</v>
      </c>
      <c r="E56" s="41" t="s">
        <v>664</v>
      </c>
      <c r="F56" s="41">
        <v>1</v>
      </c>
      <c r="G56" s="41">
        <f>_xlfn.XLOOKUP(
 tblCostChecklist[[#This Row],[RequirementID]],
 tblCost[RequirementID],
 tblCost[QuantityRequired],
 ""
)</f>
        <v>150</v>
      </c>
      <c r="H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90</v>
      </c>
      <c r="I56" s="41" t="str">
        <f>_xlfn.XLOOKUP(tblCostChecklist[[#This Row],[TargetID]],tblTargetStatus[TargetID],tblTargetStatus[Status])</f>
        <v>BLOCKED</v>
      </c>
      <c r="J56" s="25" t="b">
        <v>0</v>
      </c>
    </row>
    <row r="57" spans="1:10">
      <c r="A57" s="41" t="s">
        <v>3714</v>
      </c>
      <c r="B57" s="41" t="str">
        <f>_xlfn.TEXTAFTER(
 _xlfn.TEXTBEFORE(tblCostChecklist[[#This Row],[RequirementID]],".",-2),
 "cost."
)</f>
        <v>building.bridge@1</v>
      </c>
      <c r="C57" s="41" t="str">
        <f>_xlfn.XLOOKUP(tblCostChecklist[[#This Row],[TargetID]],tblTargets[TargetID],tblTargets[DisplayName],"")</f>
        <v>Bridge Lv 1</v>
      </c>
      <c r="D57" s="41" t="str">
        <f>_xlfn.XLOOKUP(tblCostChecklist[[#This Row],[TargetID]],tblTargets[TargetID],tblTargets[TargetType],"")</f>
        <v>BUILDING</v>
      </c>
      <c r="E57" s="41" t="s">
        <v>708</v>
      </c>
      <c r="F57" s="41">
        <v>1</v>
      </c>
      <c r="G57" s="41">
        <f>_xlfn.XLOOKUP(
 tblCostChecklist[[#This Row],[RequirementID]],
 tblCost[RequirementID],
 tblCost[QuantityRequired],
 ""
)</f>
        <v>4</v>
      </c>
      <c r="H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57" s="41" t="str">
        <f>_xlfn.XLOOKUP(tblCostChecklist[[#This Row],[TargetID]],tblTargetStatus[TargetID],tblTargetStatus[Status])</f>
        <v>BLOCKED</v>
      </c>
      <c r="J57" s="25" t="b">
        <v>0</v>
      </c>
    </row>
    <row r="58" spans="1:10">
      <c r="A58" s="41" t="s">
        <v>3715</v>
      </c>
      <c r="B58" s="41" t="str">
        <f>_xlfn.TEXTAFTER(
 _xlfn.TEXTBEFORE(tblCostChecklist[[#This Row],[RequirementID]],".",-2),
 "cost."
)</f>
        <v>building.bridge@1</v>
      </c>
      <c r="C58" s="41" t="str">
        <f>_xlfn.XLOOKUP(tblCostChecklist[[#This Row],[TargetID]],tblTargets[TargetID],tblTargets[DisplayName],"")</f>
        <v>Bridge Lv 1</v>
      </c>
      <c r="D58" s="41" t="str">
        <f>_xlfn.XLOOKUP(tblCostChecklist[[#This Row],[TargetID]],tblTargets[TargetID],tblTargets[TargetType],"")</f>
        <v>BUILDING</v>
      </c>
      <c r="E58" s="41" t="s">
        <v>666</v>
      </c>
      <c r="F58" s="41">
        <v>1</v>
      </c>
      <c r="G58" s="41">
        <f>_xlfn.XLOOKUP(
 tblCostChecklist[[#This Row],[RequirementID]],
 tblCost[RequirementID],
 tblCost[QuantityRequired],
 ""
)</f>
        <v>1000</v>
      </c>
      <c r="H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58" s="41" t="str">
        <f>_xlfn.XLOOKUP(tblCostChecklist[[#This Row],[TargetID]],tblTargetStatus[TargetID],tblTargetStatus[Status])</f>
        <v>BLOCKED</v>
      </c>
      <c r="J58" s="25" t="b">
        <v>0</v>
      </c>
    </row>
    <row r="59" spans="1:10">
      <c r="A59" s="41" t="s">
        <v>3716</v>
      </c>
      <c r="B59" s="41" t="str">
        <f>_xlfn.TEXTAFTER(
 _xlfn.TEXTBEFORE(tblCostChecklist[[#This Row],[RequirementID]],".",-2),
 "cost."
)</f>
        <v>building.bridge@1</v>
      </c>
      <c r="C59" s="41" t="str">
        <f>_xlfn.XLOOKUP(tblCostChecklist[[#This Row],[TargetID]],tblTargets[TargetID],tblTargets[DisplayName],"")</f>
        <v>Bridge Lv 1</v>
      </c>
      <c r="D59" s="41" t="str">
        <f>_xlfn.XLOOKUP(tblCostChecklist[[#This Row],[TargetID]],tblTargets[TargetID],tblTargets[TargetType],"")</f>
        <v>BUILDING</v>
      </c>
      <c r="E59" s="41" t="s">
        <v>658</v>
      </c>
      <c r="F59" s="41">
        <v>1</v>
      </c>
      <c r="G59" s="41">
        <f>_xlfn.XLOOKUP(
 tblCostChecklist[[#This Row],[RequirementID]],
 tblCost[RequirementID],
 tblCost[QuantityRequired],
 ""
)</f>
        <v>400</v>
      </c>
      <c r="H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59" s="41" t="str">
        <f>_xlfn.XLOOKUP(tblCostChecklist[[#This Row],[TargetID]],tblTargetStatus[TargetID],tblTargetStatus[Status])</f>
        <v>BLOCKED</v>
      </c>
      <c r="J59" s="25" t="b">
        <v>0</v>
      </c>
    </row>
    <row r="60" spans="1:10">
      <c r="A60" s="41" t="s">
        <v>3717</v>
      </c>
      <c r="B60" s="41" t="str">
        <f>_xlfn.TEXTAFTER(
 _xlfn.TEXTBEFORE(tblCostChecklist[[#This Row],[RequirementID]],".",-2),
 "cost."
)</f>
        <v>building.bridge@1</v>
      </c>
      <c r="C60" s="41" t="str">
        <f>_xlfn.XLOOKUP(tblCostChecklist[[#This Row],[TargetID]],tblTargets[TargetID],tblTargets[DisplayName],"")</f>
        <v>Bridge Lv 1</v>
      </c>
      <c r="D60" s="41" t="str">
        <f>_xlfn.XLOOKUP(tblCostChecklist[[#This Row],[TargetID]],tblTargets[TargetID],tblTargets[TargetType],"")</f>
        <v>BUILDING</v>
      </c>
      <c r="E60" s="41" t="s">
        <v>701</v>
      </c>
      <c r="F60" s="41">
        <v>1</v>
      </c>
      <c r="G60" s="41">
        <f>_xlfn.XLOOKUP(
 tblCostChecklist[[#This Row],[RequirementID]],
 tblCost[RequirementID],
 tblCost[QuantityRequired],
 ""
)</f>
        <v>1000</v>
      </c>
      <c r="H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60" s="41" t="str">
        <f>_xlfn.XLOOKUP(tblCostChecklist[[#This Row],[TargetID]],tblTargetStatus[TargetID],tblTargetStatus[Status])</f>
        <v>BLOCKED</v>
      </c>
      <c r="J60" s="25" t="b">
        <v>0</v>
      </c>
    </row>
    <row r="61" spans="1:10">
      <c r="A61" s="41" t="s">
        <v>3718</v>
      </c>
      <c r="B61" s="41" t="str">
        <f>_xlfn.TEXTAFTER(
 _xlfn.TEXTBEFORE(tblCostChecklist[[#This Row],[RequirementID]],".",-2),
 "cost."
)</f>
        <v>building.bridge@1</v>
      </c>
      <c r="C61" s="41" t="str">
        <f>_xlfn.XLOOKUP(tblCostChecklist[[#This Row],[TargetID]],tblTargets[TargetID],tblTargets[DisplayName],"")</f>
        <v>Bridge Lv 1</v>
      </c>
      <c r="D61" s="41" t="str">
        <f>_xlfn.XLOOKUP(tblCostChecklist[[#This Row],[TargetID]],tblTargets[TargetID],tblTargets[TargetType],"")</f>
        <v>BUILDING</v>
      </c>
      <c r="E61" s="41" t="s">
        <v>717</v>
      </c>
      <c r="F61" s="41">
        <v>1</v>
      </c>
      <c r="G61" s="41">
        <f>_xlfn.XLOOKUP(
 tblCostChecklist[[#This Row],[RequirementID]],
 tblCost[RequirementID],
 tblCost[QuantityRequired],
 ""
)</f>
        <v>400</v>
      </c>
      <c r="H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61" s="41" t="str">
        <f>_xlfn.XLOOKUP(tblCostChecklist[[#This Row],[TargetID]],tblTargetStatus[TargetID],tblTargetStatus[Status])</f>
        <v>BLOCKED</v>
      </c>
      <c r="J61" s="25" t="b">
        <v>0</v>
      </c>
    </row>
    <row r="62" spans="1:10">
      <c r="A62" s="41" t="s">
        <v>3719</v>
      </c>
      <c r="B62" s="41" t="str">
        <f>_xlfn.TEXTAFTER(
 _xlfn.TEXTBEFORE(tblCostChecklist[[#This Row],[RequirementID]],".",-2),
 "cost."
)</f>
        <v>building.bridge@1</v>
      </c>
      <c r="C62" s="41" t="str">
        <f>_xlfn.XLOOKUP(tblCostChecklist[[#This Row],[TargetID]],tblTargets[TargetID],tblTargets[DisplayName],"")</f>
        <v>Bridge Lv 1</v>
      </c>
      <c r="D62" s="41" t="str">
        <f>_xlfn.XLOOKUP(tblCostChecklist[[#This Row],[TargetID]],tblTargets[TargetID],tblTargets[TargetType],"")</f>
        <v>BUILDING</v>
      </c>
      <c r="E62" s="41" t="s">
        <v>716</v>
      </c>
      <c r="F62" s="41">
        <v>1</v>
      </c>
      <c r="G62" s="41">
        <f>_xlfn.XLOOKUP(
 tblCostChecklist[[#This Row],[RequirementID]],
 tblCost[RequirementID],
 tblCost[QuantityRequired],
 ""
)</f>
        <v>100</v>
      </c>
      <c r="H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62" s="41" t="str">
        <f>_xlfn.XLOOKUP(tblCostChecklist[[#This Row],[TargetID]],tblTargetStatus[TargetID],tblTargetStatus[Status])</f>
        <v>BLOCKED</v>
      </c>
      <c r="J62" s="25" t="b">
        <v>0</v>
      </c>
    </row>
    <row r="63" spans="1:10">
      <c r="A63" s="41" t="s">
        <v>3720</v>
      </c>
      <c r="B63" s="41" t="str">
        <f>_xlfn.TEXTAFTER(
 _xlfn.TEXTBEFORE(tblCostChecklist[[#This Row],[RequirementID]],".",-2),
 "cost."
)</f>
        <v>building.caravan@1</v>
      </c>
      <c r="C63" s="41" t="str">
        <f>_xlfn.XLOOKUP(tblCostChecklist[[#This Row],[TargetID]],tblTargets[TargetID],tblTargets[DisplayName],"")</f>
        <v>Caravan Lv 1</v>
      </c>
      <c r="D63" s="41" t="str">
        <f>_xlfn.XLOOKUP(tblCostChecklist[[#This Row],[TargetID]],tblTargets[TargetID],tblTargets[TargetType],"")</f>
        <v>BUILDING</v>
      </c>
      <c r="E63" s="41" t="s">
        <v>708</v>
      </c>
      <c r="F63" s="41">
        <v>1</v>
      </c>
      <c r="G63" s="41">
        <f>_xlfn.XLOOKUP(
 tblCostChecklist[[#This Row],[RequirementID]],
 tblCost[RequirementID],
 tblCost[QuantityRequired],
 ""
)</f>
        <v>5</v>
      </c>
      <c r="H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3" s="41" t="str">
        <f>_xlfn.XLOOKUP(tblCostChecklist[[#This Row],[TargetID]],tblTargetStatus[TargetID],tblTargetStatus[Status])</f>
        <v>BLOCKED</v>
      </c>
      <c r="J63" s="25" t="b">
        <v>0</v>
      </c>
    </row>
    <row r="64" spans="1:10">
      <c r="A64" s="41" t="s">
        <v>3721</v>
      </c>
      <c r="B64" s="41" t="str">
        <f>_xlfn.TEXTAFTER(
 _xlfn.TEXTBEFORE(tblCostChecklist[[#This Row],[RequirementID]],".",-2),
 "cost."
)</f>
        <v>building.caravan@1</v>
      </c>
      <c r="C64" s="41" t="str">
        <f>_xlfn.XLOOKUP(tblCostChecklist[[#This Row],[TargetID]],tblTargets[TargetID],tblTargets[DisplayName],"")</f>
        <v>Caravan Lv 1</v>
      </c>
      <c r="D64" s="41" t="str">
        <f>_xlfn.XLOOKUP(tblCostChecklist[[#This Row],[TargetID]],tblTargets[TargetID],tblTargets[TargetType],"")</f>
        <v>BUILDING</v>
      </c>
      <c r="E64" s="41" t="s">
        <v>666</v>
      </c>
      <c r="F64" s="41">
        <v>1</v>
      </c>
      <c r="G64" s="41">
        <f>_xlfn.XLOOKUP(
 tblCostChecklist[[#This Row],[RequirementID]],
 tblCost[RequirementID],
 tblCost[QuantityRequired],
 ""
)</f>
        <v>1000</v>
      </c>
      <c r="H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4" s="41" t="str">
        <f>_xlfn.XLOOKUP(tblCostChecklist[[#This Row],[TargetID]],tblTargetStatus[TargetID],tblTargetStatus[Status])</f>
        <v>BLOCKED</v>
      </c>
      <c r="J64" s="25" t="b">
        <v>0</v>
      </c>
    </row>
    <row r="65" spans="1:10">
      <c r="A65" s="41" t="s">
        <v>3722</v>
      </c>
      <c r="B65" s="41" t="str">
        <f>_xlfn.TEXTAFTER(
 _xlfn.TEXTBEFORE(tblCostChecklist[[#This Row],[RequirementID]],".",-2),
 "cost."
)</f>
        <v>building.caravan@1</v>
      </c>
      <c r="C65" s="41" t="str">
        <f>_xlfn.XLOOKUP(tblCostChecklist[[#This Row],[TargetID]],tblTargets[TargetID],tblTargets[DisplayName],"")</f>
        <v>Caravan Lv 1</v>
      </c>
      <c r="D65" s="41" t="str">
        <f>_xlfn.XLOOKUP(tblCostChecklist[[#This Row],[TargetID]],tblTargets[TargetID],tblTargets[TargetType],"")</f>
        <v>BUILDING</v>
      </c>
      <c r="E65" s="41" t="s">
        <v>701</v>
      </c>
      <c r="F65" s="41">
        <v>1</v>
      </c>
      <c r="G65" s="41">
        <f>_xlfn.XLOOKUP(
 tblCostChecklist[[#This Row],[RequirementID]],
 tblCost[RequirementID],
 tblCost[QuantityRequired],
 ""
)</f>
        <v>400</v>
      </c>
      <c r="H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5" s="41" t="str">
        <f>_xlfn.XLOOKUP(tblCostChecklist[[#This Row],[TargetID]],tblTargetStatus[TargetID],tblTargetStatus[Status])</f>
        <v>BLOCKED</v>
      </c>
      <c r="J65" s="25" t="b">
        <v>0</v>
      </c>
    </row>
    <row r="66" spans="1:10">
      <c r="A66" s="41" t="s">
        <v>3723</v>
      </c>
      <c r="B66" s="41" t="str">
        <f>_xlfn.TEXTAFTER(
 _xlfn.TEXTBEFORE(tblCostChecklist[[#This Row],[RequirementID]],".",-2),
 "cost."
)</f>
        <v>building.caravan@1</v>
      </c>
      <c r="C66" s="41" t="str">
        <f>_xlfn.XLOOKUP(tblCostChecklist[[#This Row],[TargetID]],tblTargets[TargetID],tblTargets[DisplayName],"")</f>
        <v>Caravan Lv 1</v>
      </c>
      <c r="D66" s="41" t="str">
        <f>_xlfn.XLOOKUP(tblCostChecklist[[#This Row],[TargetID]],tblTargets[TargetID],tblTargets[TargetType],"")</f>
        <v>BUILDING</v>
      </c>
      <c r="E66" s="41" t="s">
        <v>717</v>
      </c>
      <c r="F66" s="41">
        <v>1</v>
      </c>
      <c r="G66" s="41">
        <f>_xlfn.XLOOKUP(
 tblCostChecklist[[#This Row],[RequirementID]],
 tblCost[RequirementID],
 tblCost[QuantityRequired],
 ""
)</f>
        <v>200</v>
      </c>
      <c r="H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6" s="41" t="str">
        <f>_xlfn.XLOOKUP(tblCostChecklist[[#This Row],[TargetID]],tblTargetStatus[TargetID],tblTargetStatus[Status])</f>
        <v>BLOCKED</v>
      </c>
      <c r="J66" s="25" t="b">
        <v>0</v>
      </c>
    </row>
    <row r="67" spans="1:10">
      <c r="A67" s="41" t="s">
        <v>3724</v>
      </c>
      <c r="B67" s="41" t="str">
        <f>_xlfn.TEXTAFTER(
 _xlfn.TEXTBEFORE(tblCostChecklist[[#This Row],[RequirementID]],".",-2),
 "cost."
)</f>
        <v>building.caravan@1</v>
      </c>
      <c r="C67" s="41" t="str">
        <f>_xlfn.XLOOKUP(tblCostChecklist[[#This Row],[TargetID]],tblTargets[TargetID],tblTargets[DisplayName],"")</f>
        <v>Caravan Lv 1</v>
      </c>
      <c r="D67" s="41" t="str">
        <f>_xlfn.XLOOKUP(tblCostChecklist[[#This Row],[TargetID]],tblTargets[TargetID],tblTargets[TargetType],"")</f>
        <v>BUILDING</v>
      </c>
      <c r="E67" s="41" t="s">
        <v>659</v>
      </c>
      <c r="F67" s="41">
        <v>1</v>
      </c>
      <c r="G67" s="41">
        <f>_xlfn.XLOOKUP(
 tblCostChecklist[[#This Row],[RequirementID]],
 tblCost[RequirementID],
 tblCost[QuantityRequired],
 ""
)</f>
        <v>50</v>
      </c>
      <c r="H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7" s="41" t="str">
        <f>_xlfn.XLOOKUP(tblCostChecklist[[#This Row],[TargetID]],tblTargetStatus[TargetID],tblTargetStatus[Status])</f>
        <v>BLOCKED</v>
      </c>
      <c r="J67" s="25" t="b">
        <v>0</v>
      </c>
    </row>
    <row r="68" spans="1:10">
      <c r="A68" s="41" t="s">
        <v>3725</v>
      </c>
      <c r="B68" s="41" t="str">
        <f>_xlfn.TEXTAFTER(
 _xlfn.TEXTBEFORE(tblCostChecklist[[#This Row],[RequirementID]],".",-2),
 "cost."
)</f>
        <v>building.caravan@1</v>
      </c>
      <c r="C68" s="41" t="str">
        <f>_xlfn.XLOOKUP(tblCostChecklist[[#This Row],[TargetID]],tblTargets[TargetID],tblTargets[DisplayName],"")</f>
        <v>Caravan Lv 1</v>
      </c>
      <c r="D68" s="41" t="str">
        <f>_xlfn.XLOOKUP(tblCostChecklist[[#This Row],[TargetID]],tblTargets[TargetID],tblTargets[TargetType],"")</f>
        <v>BUILDING</v>
      </c>
      <c r="E68" s="41" t="s">
        <v>718</v>
      </c>
      <c r="F68" s="41">
        <v>1</v>
      </c>
      <c r="G68" s="41">
        <f>_xlfn.XLOOKUP(
 tblCostChecklist[[#This Row],[RequirementID]],
 tblCost[RequirementID],
 tblCost[QuantityRequired],
 ""
)</f>
        <v>10</v>
      </c>
      <c r="H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8" s="41" t="str">
        <f>_xlfn.XLOOKUP(tblCostChecklist[[#This Row],[TargetID]],tblTargetStatus[TargetID],tblTargetStatus[Status])</f>
        <v>BLOCKED</v>
      </c>
      <c r="J68" s="25" t="b">
        <v>0</v>
      </c>
    </row>
    <row r="69" spans="1:10">
      <c r="A69" s="41" t="s">
        <v>3726</v>
      </c>
      <c r="B69" s="41" t="str">
        <f>_xlfn.TEXTAFTER(
 _xlfn.TEXTBEFORE(tblCostChecklist[[#This Row],[RequirementID]],".",-2),
 "cost."
)</f>
        <v>building.caravan@2</v>
      </c>
      <c r="C69" s="41" t="str">
        <f>_xlfn.XLOOKUP(tblCostChecklist[[#This Row],[TargetID]],tblTargets[TargetID],tblTargets[DisplayName],"")</f>
        <v>Caravan Lv 2</v>
      </c>
      <c r="D69" s="41" t="str">
        <f>_xlfn.XLOOKUP(tblCostChecklist[[#This Row],[TargetID]],tblTargets[TargetID],tblTargets[TargetType],"")</f>
        <v>BUILDING</v>
      </c>
      <c r="E69" s="41" t="s">
        <v>708</v>
      </c>
      <c r="F69" s="41">
        <v>1</v>
      </c>
      <c r="G69" s="41">
        <f>_xlfn.XLOOKUP(
 tblCostChecklist[[#This Row],[RequirementID]],
 tblCost[RequirementID],
 tblCost[QuantityRequired],
 ""
)</f>
        <v>7</v>
      </c>
      <c r="H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69" s="41" t="str">
        <f>_xlfn.XLOOKUP(tblCostChecklist[[#This Row],[TargetID]],tblTargetStatus[TargetID],tblTargetStatus[Status])</f>
        <v>BLOCKED</v>
      </c>
      <c r="J69" s="25" t="b">
        <v>0</v>
      </c>
    </row>
    <row r="70" spans="1:10">
      <c r="A70" s="41" t="s">
        <v>3727</v>
      </c>
      <c r="B70" s="41" t="str">
        <f>_xlfn.TEXTAFTER(
 _xlfn.TEXTBEFORE(tblCostChecklist[[#This Row],[RequirementID]],".",-2),
 "cost."
)</f>
        <v>building.caravan@2</v>
      </c>
      <c r="C70" s="41" t="str">
        <f>_xlfn.XLOOKUP(tblCostChecklist[[#This Row],[TargetID]],tblTargets[TargetID],tblTargets[DisplayName],"")</f>
        <v>Caravan Lv 2</v>
      </c>
      <c r="D70" s="41" t="str">
        <f>_xlfn.XLOOKUP(tblCostChecklist[[#This Row],[TargetID]],tblTargets[TargetID],tblTargets[TargetType],"")</f>
        <v>BUILDING</v>
      </c>
      <c r="E70" s="41" t="s">
        <v>666</v>
      </c>
      <c r="F70" s="41">
        <v>1</v>
      </c>
      <c r="G70" s="41">
        <f>_xlfn.XLOOKUP(
 tblCostChecklist[[#This Row],[RequirementID]],
 tblCost[RequirementID],
 tblCost[QuantityRequired],
 ""
)</f>
        <v>1200</v>
      </c>
      <c r="H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70" s="41" t="str">
        <f>_xlfn.XLOOKUP(tblCostChecklist[[#This Row],[TargetID]],tblTargetStatus[TargetID],tblTargetStatus[Status])</f>
        <v>BLOCKED</v>
      </c>
      <c r="J70" s="25" t="b">
        <v>0</v>
      </c>
    </row>
    <row r="71" spans="1:10">
      <c r="A71" s="41" t="s">
        <v>3728</v>
      </c>
      <c r="B71" s="41" t="str">
        <f>_xlfn.TEXTAFTER(
 _xlfn.TEXTBEFORE(tblCostChecklist[[#This Row],[RequirementID]],".",-2),
 "cost."
)</f>
        <v>building.caravan@2</v>
      </c>
      <c r="C71" s="41" t="str">
        <f>_xlfn.XLOOKUP(tblCostChecklist[[#This Row],[TargetID]],tblTargets[TargetID],tblTargets[DisplayName],"")</f>
        <v>Caravan Lv 2</v>
      </c>
      <c r="D71" s="41" t="str">
        <f>_xlfn.XLOOKUP(tblCostChecklist[[#This Row],[TargetID]],tblTargets[TargetID],tblTargets[TargetType],"")</f>
        <v>BUILDING</v>
      </c>
      <c r="E71" s="41" t="s">
        <v>701</v>
      </c>
      <c r="F71" s="41">
        <v>1</v>
      </c>
      <c r="G71" s="41">
        <f>_xlfn.XLOOKUP(
 tblCostChecklist[[#This Row],[RequirementID]],
 tblCost[RequirementID],
 tblCost[QuantityRequired],
 ""
)</f>
        <v>600</v>
      </c>
      <c r="H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71" s="41" t="str">
        <f>_xlfn.XLOOKUP(tblCostChecklist[[#This Row],[TargetID]],tblTargetStatus[TargetID],tblTargetStatus[Status])</f>
        <v>BLOCKED</v>
      </c>
      <c r="J71" s="25" t="b">
        <v>0</v>
      </c>
    </row>
    <row r="72" spans="1:10">
      <c r="A72" s="41" t="s">
        <v>3729</v>
      </c>
      <c r="B72" s="41" t="str">
        <f>_xlfn.TEXTAFTER(
 _xlfn.TEXTBEFORE(tblCostChecklist[[#This Row],[RequirementID]],".",-2),
 "cost."
)</f>
        <v>building.caravan@2</v>
      </c>
      <c r="C72" s="41" t="str">
        <f>_xlfn.XLOOKUP(tblCostChecklist[[#This Row],[TargetID]],tblTargets[TargetID],tblTargets[DisplayName],"")</f>
        <v>Caravan Lv 2</v>
      </c>
      <c r="D72" s="41" t="str">
        <f>_xlfn.XLOOKUP(tblCostChecklist[[#This Row],[TargetID]],tblTargets[TargetID],tblTargets[TargetType],"")</f>
        <v>BUILDING</v>
      </c>
      <c r="E72" s="41" t="s">
        <v>717</v>
      </c>
      <c r="F72" s="41">
        <v>1</v>
      </c>
      <c r="G72" s="41">
        <f>_xlfn.XLOOKUP(
 tblCostChecklist[[#This Row],[RequirementID]],
 tblCost[RequirementID],
 tblCost[QuantityRequired],
 ""
)</f>
        <v>300</v>
      </c>
      <c r="H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72" s="41" t="str">
        <f>_xlfn.XLOOKUP(tblCostChecklist[[#This Row],[TargetID]],tblTargetStatus[TargetID],tblTargetStatus[Status])</f>
        <v>BLOCKED</v>
      </c>
      <c r="J72" s="25" t="b">
        <v>0</v>
      </c>
    </row>
    <row r="73" spans="1:10">
      <c r="A73" s="41" t="s">
        <v>3730</v>
      </c>
      <c r="B73" s="41" t="str">
        <f>_xlfn.TEXTAFTER(
 _xlfn.TEXTBEFORE(tblCostChecklist[[#This Row],[RequirementID]],".",-2),
 "cost."
)</f>
        <v>building.caravan@2</v>
      </c>
      <c r="C73" s="41" t="str">
        <f>_xlfn.XLOOKUP(tblCostChecklist[[#This Row],[TargetID]],tblTargets[TargetID],tblTargets[DisplayName],"")</f>
        <v>Caravan Lv 2</v>
      </c>
      <c r="D73" s="41" t="str">
        <f>_xlfn.XLOOKUP(tblCostChecklist[[#This Row],[TargetID]],tblTargets[TargetID],tblTargets[TargetType],"")</f>
        <v>BUILDING</v>
      </c>
      <c r="E73" s="41" t="s">
        <v>680</v>
      </c>
      <c r="F73" s="41">
        <v>1</v>
      </c>
      <c r="G73" s="41">
        <f>_xlfn.XLOOKUP(
 tblCostChecklist[[#This Row],[RequirementID]],
 tblCost[RequirementID],
 tblCost[QuantityRequired],
 ""
)</f>
        <v>50</v>
      </c>
      <c r="H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73" s="41" t="str">
        <f>_xlfn.XLOOKUP(tblCostChecklist[[#This Row],[TargetID]],tblTargetStatus[TargetID],tblTargetStatus[Status])</f>
        <v>BLOCKED</v>
      </c>
      <c r="J73" s="25" t="b">
        <v>0</v>
      </c>
    </row>
    <row r="74" spans="1:10">
      <c r="A74" s="41" t="s">
        <v>3731</v>
      </c>
      <c r="B74" s="41" t="str">
        <f>_xlfn.TEXTAFTER(
 _xlfn.TEXTBEFORE(tblCostChecklist[[#This Row],[RequirementID]],".",-2),
 "cost."
)</f>
        <v>building.caravan@2</v>
      </c>
      <c r="C74" s="41" t="str">
        <f>_xlfn.XLOOKUP(tblCostChecklist[[#This Row],[TargetID]],tblTargets[TargetID],tblTargets[DisplayName],"")</f>
        <v>Caravan Lv 2</v>
      </c>
      <c r="D74" s="41" t="str">
        <f>_xlfn.XLOOKUP(tblCostChecklist[[#This Row],[TargetID]],tblTargets[TargetID],tblTargets[TargetType],"")</f>
        <v>BUILDING</v>
      </c>
      <c r="E74" s="41" t="s">
        <v>671</v>
      </c>
      <c r="F74" s="41">
        <v>1</v>
      </c>
      <c r="G74" s="41">
        <f>_xlfn.XLOOKUP(
 tblCostChecklist[[#This Row],[RequirementID]],
 tblCost[RequirementID],
 tblCost[QuantityRequired],
 ""
)</f>
        <v>50</v>
      </c>
      <c r="H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74" s="41" t="str">
        <f>_xlfn.XLOOKUP(tblCostChecklist[[#This Row],[TargetID]],tblTargetStatus[TargetID],tblTargetStatus[Status])</f>
        <v>BLOCKED</v>
      </c>
      <c r="J74" s="25" t="b">
        <v>0</v>
      </c>
    </row>
    <row r="75" spans="1:10">
      <c r="A75" s="41" t="s">
        <v>3732</v>
      </c>
      <c r="B75" s="41" t="str">
        <f>_xlfn.TEXTAFTER(
 _xlfn.TEXTBEFORE(tblCostChecklist[[#This Row],[RequirementID]],".",-2),
 "cost."
)</f>
        <v>building.caravan@3</v>
      </c>
      <c r="C75" s="41" t="str">
        <f>_xlfn.XLOOKUP(tblCostChecklist[[#This Row],[TargetID]],tblTargets[TargetID],tblTargets[DisplayName],"")</f>
        <v>Caravan Lv 3</v>
      </c>
      <c r="D75" s="41" t="str">
        <f>_xlfn.XLOOKUP(tblCostChecklist[[#This Row],[TargetID]],tblTargets[TargetID],tblTargets[TargetType],"")</f>
        <v>BUILDING</v>
      </c>
      <c r="E75" s="41" t="s">
        <v>708</v>
      </c>
      <c r="F75" s="41">
        <v>1</v>
      </c>
      <c r="G75" s="41">
        <f>_xlfn.XLOOKUP(
 tblCostChecklist[[#This Row],[RequirementID]],
 tblCost[RequirementID],
 tblCost[QuantityRequired],
 ""
)</f>
        <v>9</v>
      </c>
      <c r="H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75" s="41" t="str">
        <f>_xlfn.XLOOKUP(tblCostChecklist[[#This Row],[TargetID]],tblTargetStatus[TargetID],tblTargetStatus[Status])</f>
        <v>BLOCKED</v>
      </c>
      <c r="J75" s="25" t="b">
        <v>0</v>
      </c>
    </row>
    <row r="76" spans="1:10">
      <c r="A76" s="41" t="s">
        <v>3733</v>
      </c>
      <c r="B76" s="41" t="str">
        <f>_xlfn.TEXTAFTER(
 _xlfn.TEXTBEFORE(tblCostChecklist[[#This Row],[RequirementID]],".",-2),
 "cost."
)</f>
        <v>building.caravan@3</v>
      </c>
      <c r="C76" s="41" t="str">
        <f>_xlfn.XLOOKUP(tblCostChecklist[[#This Row],[TargetID]],tblTargets[TargetID],tblTargets[DisplayName],"")</f>
        <v>Caravan Lv 3</v>
      </c>
      <c r="D76" s="41" t="str">
        <f>_xlfn.XLOOKUP(tblCostChecklist[[#This Row],[TargetID]],tblTargets[TargetID],tblTargets[TargetType],"")</f>
        <v>BUILDING</v>
      </c>
      <c r="E76" s="41" t="s">
        <v>666</v>
      </c>
      <c r="F76" s="41">
        <v>1</v>
      </c>
      <c r="G76" s="41">
        <f>_xlfn.XLOOKUP(
 tblCostChecklist[[#This Row],[RequirementID]],
 tblCost[RequirementID],
 tblCost[QuantityRequired],
 ""
)</f>
        <v>1500</v>
      </c>
      <c r="H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76" s="41" t="str">
        <f>_xlfn.XLOOKUP(tblCostChecklist[[#This Row],[TargetID]],tblTargetStatus[TargetID],tblTargetStatus[Status])</f>
        <v>BLOCKED</v>
      </c>
      <c r="J76" s="25" t="b">
        <v>0</v>
      </c>
    </row>
    <row r="77" spans="1:10">
      <c r="A77" s="41" t="s">
        <v>3734</v>
      </c>
      <c r="B77" s="41" t="str">
        <f>_xlfn.TEXTAFTER(
 _xlfn.TEXTBEFORE(tblCostChecklist[[#This Row],[RequirementID]],".",-2),
 "cost."
)</f>
        <v>building.caravan@3</v>
      </c>
      <c r="C77" s="41" t="str">
        <f>_xlfn.XLOOKUP(tblCostChecklist[[#This Row],[TargetID]],tblTargets[TargetID],tblTargets[DisplayName],"")</f>
        <v>Caravan Lv 3</v>
      </c>
      <c r="D77" s="41" t="str">
        <f>_xlfn.XLOOKUP(tblCostChecklist[[#This Row],[TargetID]],tblTargets[TargetID],tblTargets[TargetType],"")</f>
        <v>BUILDING</v>
      </c>
      <c r="E77" s="41" t="s">
        <v>701</v>
      </c>
      <c r="F77" s="41">
        <v>1</v>
      </c>
      <c r="G77" s="41">
        <f>_xlfn.XLOOKUP(
 tblCostChecklist[[#This Row],[RequirementID]],
 tblCost[RequirementID],
 tblCost[QuantityRequired],
 ""
)</f>
        <v>800</v>
      </c>
      <c r="H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77" s="41" t="str">
        <f>_xlfn.XLOOKUP(tblCostChecklist[[#This Row],[TargetID]],tblTargetStatus[TargetID],tblTargetStatus[Status])</f>
        <v>BLOCKED</v>
      </c>
      <c r="J77" s="25" t="b">
        <v>0</v>
      </c>
    </row>
    <row r="78" spans="1:10">
      <c r="A78" s="41" t="s">
        <v>3735</v>
      </c>
      <c r="B78" s="41" t="str">
        <f>_xlfn.TEXTAFTER(
 _xlfn.TEXTBEFORE(tblCostChecklist[[#This Row],[RequirementID]],".",-2),
 "cost."
)</f>
        <v>building.caravan@3</v>
      </c>
      <c r="C78" s="41" t="str">
        <f>_xlfn.XLOOKUP(tblCostChecklist[[#This Row],[TargetID]],tblTargets[TargetID],tblTargets[DisplayName],"")</f>
        <v>Caravan Lv 3</v>
      </c>
      <c r="D78" s="41" t="str">
        <f>_xlfn.XLOOKUP(tblCostChecklist[[#This Row],[TargetID]],tblTargets[TargetID],tblTargets[TargetType],"")</f>
        <v>BUILDING</v>
      </c>
      <c r="E78" s="41" t="s">
        <v>717</v>
      </c>
      <c r="F78" s="41">
        <v>1</v>
      </c>
      <c r="G78" s="41">
        <f>_xlfn.XLOOKUP(
 tblCostChecklist[[#This Row],[RequirementID]],
 tblCost[RequirementID],
 tblCost[QuantityRequired],
 ""
)</f>
        <v>400</v>
      </c>
      <c r="H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78" s="41" t="str">
        <f>_xlfn.XLOOKUP(tblCostChecklist[[#This Row],[TargetID]],tblTargetStatus[TargetID],tblTargetStatus[Status])</f>
        <v>BLOCKED</v>
      </c>
      <c r="J78" s="25" t="b">
        <v>0</v>
      </c>
    </row>
    <row r="79" spans="1:10">
      <c r="A79" s="41" t="s">
        <v>3736</v>
      </c>
      <c r="B79" s="41" t="str">
        <f>_xlfn.TEXTAFTER(
 _xlfn.TEXTBEFORE(tblCostChecklist[[#This Row],[RequirementID]],".",-2),
 "cost."
)</f>
        <v>building.caravan@3</v>
      </c>
      <c r="C79" s="41" t="str">
        <f>_xlfn.XLOOKUP(tblCostChecklist[[#This Row],[TargetID]],tblTargets[TargetID],tblTargets[DisplayName],"")</f>
        <v>Caravan Lv 3</v>
      </c>
      <c r="D79" s="41" t="str">
        <f>_xlfn.XLOOKUP(tblCostChecklist[[#This Row],[TargetID]],tblTargets[TargetID],tblTargets[TargetType],"")</f>
        <v>BUILDING</v>
      </c>
      <c r="E79" s="41" t="s">
        <v>697</v>
      </c>
      <c r="F79" s="41">
        <v>1</v>
      </c>
      <c r="G79" s="41">
        <f>_xlfn.XLOOKUP(
 tblCostChecklist[[#This Row],[RequirementID]],
 tblCost[RequirementID],
 tblCost[QuantityRequired],
 ""
)</f>
        <v>20</v>
      </c>
      <c r="H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79" s="41" t="str">
        <f>_xlfn.XLOOKUP(tblCostChecklist[[#This Row],[TargetID]],tblTargetStatus[TargetID],tblTargetStatus[Status])</f>
        <v>BLOCKED</v>
      </c>
      <c r="J79" s="25" t="b">
        <v>0</v>
      </c>
    </row>
    <row r="80" spans="1:10">
      <c r="A80" s="41" t="s">
        <v>3737</v>
      </c>
      <c r="B80" s="41" t="str">
        <f>_xlfn.TEXTAFTER(
 _xlfn.TEXTBEFORE(tblCostChecklist[[#This Row],[RequirementID]],".",-2),
 "cost."
)</f>
        <v>building.caravan@3</v>
      </c>
      <c r="C80" s="41" t="str">
        <f>_xlfn.XLOOKUP(tblCostChecklist[[#This Row],[TargetID]],tblTargets[TargetID],tblTargets[DisplayName],"")</f>
        <v>Caravan Lv 3</v>
      </c>
      <c r="D80" s="41" t="str">
        <f>_xlfn.XLOOKUP(tblCostChecklist[[#This Row],[TargetID]],tblTargets[TargetID],tblTargets[TargetType],"")</f>
        <v>BUILDING</v>
      </c>
      <c r="E80" s="41" t="s">
        <v>699</v>
      </c>
      <c r="F80" s="41">
        <v>1</v>
      </c>
      <c r="G80" s="41">
        <f>_xlfn.XLOOKUP(
 tblCostChecklist[[#This Row],[RequirementID]],
 tblCost[RequirementID],
 tblCost[QuantityRequired],
 ""
)</f>
        <v>10</v>
      </c>
      <c r="H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80" s="41" t="str">
        <f>_xlfn.XLOOKUP(tblCostChecklist[[#This Row],[TargetID]],tblTargetStatus[TargetID],tblTargetStatus[Status])</f>
        <v>BLOCKED</v>
      </c>
      <c r="J80" s="25" t="b">
        <v>0</v>
      </c>
    </row>
    <row r="81" spans="1:10">
      <c r="A81" s="41" t="s">
        <v>3738</v>
      </c>
      <c r="B81" s="41" t="str">
        <f>_xlfn.TEXTAFTER(
 _xlfn.TEXTBEFORE(tblCostChecklist[[#This Row],[RequirementID]],".",-2),
 "cost."
)</f>
        <v>building.caravan@4</v>
      </c>
      <c r="C81" s="41" t="str">
        <f>_xlfn.XLOOKUP(tblCostChecklist[[#This Row],[TargetID]],tblTargets[TargetID],tblTargets[DisplayName],"")</f>
        <v>Caravan Lv 4</v>
      </c>
      <c r="D81" s="41" t="str">
        <f>_xlfn.XLOOKUP(tblCostChecklist[[#This Row],[TargetID]],tblTargets[TargetID],tblTargets[TargetType],"")</f>
        <v>BUILDING</v>
      </c>
      <c r="E81" s="41" t="s">
        <v>708</v>
      </c>
      <c r="F81" s="41">
        <v>1</v>
      </c>
      <c r="G81" s="41">
        <f>_xlfn.XLOOKUP(
 tblCostChecklist[[#This Row],[RequirementID]],
 tblCost[RequirementID],
 tblCost[QuantityRequired],
 ""
)</f>
        <v>12</v>
      </c>
      <c r="H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1" s="41" t="str">
        <f>_xlfn.XLOOKUP(tblCostChecklist[[#This Row],[TargetID]],tblTargetStatus[TargetID],tblTargetStatus[Status])</f>
        <v>BLOCKED</v>
      </c>
      <c r="J81" s="25" t="b">
        <v>0</v>
      </c>
    </row>
    <row r="82" spans="1:10">
      <c r="A82" s="41" t="s">
        <v>3739</v>
      </c>
      <c r="B82" s="41" t="str">
        <f>_xlfn.TEXTAFTER(
 _xlfn.TEXTBEFORE(tblCostChecklist[[#This Row],[RequirementID]],".",-2),
 "cost."
)</f>
        <v>building.caravan@4</v>
      </c>
      <c r="C82" s="41" t="str">
        <f>_xlfn.XLOOKUP(tblCostChecklist[[#This Row],[TargetID]],tblTargets[TargetID],tblTargets[DisplayName],"")</f>
        <v>Caravan Lv 4</v>
      </c>
      <c r="D82" s="41" t="str">
        <f>_xlfn.XLOOKUP(tblCostChecklist[[#This Row],[TargetID]],tblTargets[TargetID],tblTargets[TargetType],"")</f>
        <v>BUILDING</v>
      </c>
      <c r="E82" s="41" t="s">
        <v>666</v>
      </c>
      <c r="F82" s="41">
        <v>1</v>
      </c>
      <c r="G82" s="41">
        <f>_xlfn.XLOOKUP(
 tblCostChecklist[[#This Row],[RequirementID]],
 tblCost[RequirementID],
 tblCost[QuantityRequired],
 ""
)</f>
        <v>2000</v>
      </c>
      <c r="H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2" s="41" t="str">
        <f>_xlfn.XLOOKUP(tblCostChecklist[[#This Row],[TargetID]],tblTargetStatus[TargetID],tblTargetStatus[Status])</f>
        <v>BLOCKED</v>
      </c>
      <c r="J82" s="25" t="b">
        <v>0</v>
      </c>
    </row>
    <row r="83" spans="1:10">
      <c r="A83" s="41" t="s">
        <v>3740</v>
      </c>
      <c r="B83" s="41" t="str">
        <f>_xlfn.TEXTAFTER(
 _xlfn.TEXTBEFORE(tblCostChecklist[[#This Row],[RequirementID]],".",-2),
 "cost."
)</f>
        <v>building.caravan@4</v>
      </c>
      <c r="C83" s="41" t="str">
        <f>_xlfn.XLOOKUP(tblCostChecklist[[#This Row],[TargetID]],tblTargets[TargetID],tblTargets[DisplayName],"")</f>
        <v>Caravan Lv 4</v>
      </c>
      <c r="D83" s="41" t="str">
        <f>_xlfn.XLOOKUP(tblCostChecklist[[#This Row],[TargetID]],tblTargets[TargetID],tblTargets[TargetType],"")</f>
        <v>BUILDING</v>
      </c>
      <c r="E83" s="41" t="s">
        <v>701</v>
      </c>
      <c r="F83" s="41">
        <v>1</v>
      </c>
      <c r="G83" s="41">
        <f>_xlfn.XLOOKUP(
 tblCostChecklist[[#This Row],[RequirementID]],
 tblCost[RequirementID],
 tblCost[QuantityRequired],
 ""
)</f>
        <v>1000</v>
      </c>
      <c r="H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3" s="41" t="str">
        <f>_xlfn.XLOOKUP(tblCostChecklist[[#This Row],[TargetID]],tblTargetStatus[TargetID],tblTargetStatus[Status])</f>
        <v>BLOCKED</v>
      </c>
      <c r="J83" s="25" t="b">
        <v>0</v>
      </c>
    </row>
    <row r="84" spans="1:10">
      <c r="A84" s="41" t="s">
        <v>3741</v>
      </c>
      <c r="B84" s="41" t="str">
        <f>_xlfn.TEXTAFTER(
 _xlfn.TEXTBEFORE(tblCostChecklist[[#This Row],[RequirementID]],".",-2),
 "cost."
)</f>
        <v>building.caravan@4</v>
      </c>
      <c r="C84" s="41" t="str">
        <f>_xlfn.XLOOKUP(tblCostChecklist[[#This Row],[TargetID]],tblTargets[TargetID],tblTargets[DisplayName],"")</f>
        <v>Caravan Lv 4</v>
      </c>
      <c r="D84" s="41" t="str">
        <f>_xlfn.XLOOKUP(tblCostChecklist[[#This Row],[TargetID]],tblTargets[TargetID],tblTargets[TargetType],"")</f>
        <v>BUILDING</v>
      </c>
      <c r="E84" s="41" t="s">
        <v>717</v>
      </c>
      <c r="F84" s="41">
        <v>1</v>
      </c>
      <c r="G84" s="41">
        <f>_xlfn.XLOOKUP(
 tblCostChecklist[[#This Row],[RequirementID]],
 tblCost[RequirementID],
 tblCost[QuantityRequired],
 ""
)</f>
        <v>500</v>
      </c>
      <c r="H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4" s="41" t="str">
        <f>_xlfn.XLOOKUP(tblCostChecklist[[#This Row],[TargetID]],tblTargetStatus[TargetID],tblTargetStatus[Status])</f>
        <v>BLOCKED</v>
      </c>
      <c r="J84" s="25" t="b">
        <v>0</v>
      </c>
    </row>
    <row r="85" spans="1:10">
      <c r="A85" s="41" t="s">
        <v>3742</v>
      </c>
      <c r="B85" s="41" t="str">
        <f>_xlfn.TEXTAFTER(
 _xlfn.TEXTBEFORE(tblCostChecklist[[#This Row],[RequirementID]],".",-2),
 "cost."
)</f>
        <v>building.caravan@4</v>
      </c>
      <c r="C85" s="41" t="str">
        <f>_xlfn.XLOOKUP(tblCostChecklist[[#This Row],[TargetID]],tblTargets[TargetID],tblTargets[DisplayName],"")</f>
        <v>Caravan Lv 4</v>
      </c>
      <c r="D85" s="41" t="str">
        <f>_xlfn.XLOOKUP(tblCostChecklist[[#This Row],[TargetID]],tblTargets[TargetID],tblTargets[TargetType],"")</f>
        <v>BUILDING</v>
      </c>
      <c r="E85" s="41" t="s">
        <v>711</v>
      </c>
      <c r="F85" s="41">
        <v>1</v>
      </c>
      <c r="G85" s="41">
        <f>_xlfn.XLOOKUP(
 tblCostChecklist[[#This Row],[RequirementID]],
 tblCost[RequirementID],
 tblCost[QuantityRequired],
 ""
)</f>
        <v>30</v>
      </c>
      <c r="H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5" s="41" t="str">
        <f>_xlfn.XLOOKUP(tblCostChecklist[[#This Row],[TargetID]],tblTargetStatus[TargetID],tblTargetStatus[Status])</f>
        <v>BLOCKED</v>
      </c>
      <c r="J85" s="25" t="b">
        <v>0</v>
      </c>
    </row>
    <row r="86" spans="1:10">
      <c r="A86" s="41" t="s">
        <v>3743</v>
      </c>
      <c r="B86" s="41" t="str">
        <f>_xlfn.TEXTAFTER(
 _xlfn.TEXTBEFORE(tblCostChecklist[[#This Row],[RequirementID]],".",-2),
 "cost."
)</f>
        <v>building.caravan@4</v>
      </c>
      <c r="C86" s="41" t="str">
        <f>_xlfn.XLOOKUP(tblCostChecklist[[#This Row],[TargetID]],tblTargets[TargetID],tblTargets[DisplayName],"")</f>
        <v>Caravan Lv 4</v>
      </c>
      <c r="D86" s="41" t="str">
        <f>_xlfn.XLOOKUP(tblCostChecklist[[#This Row],[TargetID]],tblTargets[TargetID],tblTargets[TargetType],"")</f>
        <v>BUILDING</v>
      </c>
      <c r="E86" s="41" t="s">
        <v>715</v>
      </c>
      <c r="F86" s="41">
        <v>1</v>
      </c>
      <c r="G86" s="41">
        <f>_xlfn.XLOOKUP(
 tblCostChecklist[[#This Row],[RequirementID]],
 tblCost[RequirementID],
 tblCost[QuantityRequired],
 ""
)</f>
        <v>5</v>
      </c>
      <c r="H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6" s="41" t="str">
        <f>_xlfn.XLOOKUP(tblCostChecklist[[#This Row],[TargetID]],tblTargetStatus[TargetID],tblTargetStatus[Status])</f>
        <v>BLOCKED</v>
      </c>
      <c r="J86" s="25" t="b">
        <v>0</v>
      </c>
    </row>
    <row r="87" spans="1:10">
      <c r="A87" s="41" t="s">
        <v>3744</v>
      </c>
      <c r="B87" s="41" t="str">
        <f>_xlfn.TEXTAFTER(
 _xlfn.TEXTBEFORE(tblCostChecklist[[#This Row],[RequirementID]],".",-2),
 "cost."
)</f>
        <v>building.chicken@1</v>
      </c>
      <c r="C87" s="41" t="str">
        <f>_xlfn.XLOOKUP(tblCostChecklist[[#This Row],[TargetID]],tblTargets[TargetID],tblTargets[DisplayName],"")</f>
        <v>Chicken Lv 1</v>
      </c>
      <c r="D87" s="41" t="str">
        <f>_xlfn.XLOOKUP(tblCostChecklist[[#This Row],[TargetID]],tblTargets[TargetID],tblTargets[TargetType],"")</f>
        <v>BUILDING</v>
      </c>
      <c r="E87" s="41" t="s">
        <v>708</v>
      </c>
      <c r="F87" s="41">
        <v>1</v>
      </c>
      <c r="G87" s="41">
        <f>_xlfn.XLOOKUP(
 tblCostChecklist[[#This Row],[RequirementID]],
 tblCost[RequirementID],
 tblCost[QuantityRequired],
 ""
)</f>
        <v>2</v>
      </c>
      <c r="H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87" s="41" t="str">
        <f>_xlfn.XLOOKUP(tblCostChecklist[[#This Row],[TargetID]],tblTargetStatus[TargetID],tblTargetStatus[Status])</f>
        <v>BLOCKED</v>
      </c>
      <c r="J87" s="25" t="b">
        <v>0</v>
      </c>
    </row>
    <row r="88" spans="1:10">
      <c r="A88" s="41" t="s">
        <v>3745</v>
      </c>
      <c r="B88" s="41" t="str">
        <f>_xlfn.TEXTAFTER(
 _xlfn.TEXTBEFORE(tblCostChecklist[[#This Row],[RequirementID]],".",-2),
 "cost."
)</f>
        <v>building.chicken@1</v>
      </c>
      <c r="C88" s="41" t="str">
        <f>_xlfn.XLOOKUP(tblCostChecklist[[#This Row],[TargetID]],tblTargets[TargetID],tblTargets[DisplayName],"")</f>
        <v>Chicken Lv 1</v>
      </c>
      <c r="D88" s="41" t="str">
        <f>_xlfn.XLOOKUP(tblCostChecklist[[#This Row],[TargetID]],tblTargets[TargetID],tblTargets[TargetType],"")</f>
        <v>BUILDING</v>
      </c>
      <c r="E88" s="41" t="s">
        <v>666</v>
      </c>
      <c r="F88" s="41">
        <v>1</v>
      </c>
      <c r="G88" s="41">
        <f>_xlfn.XLOOKUP(
 tblCostChecklist[[#This Row],[RequirementID]],
 tblCost[RequirementID],
 tblCost[QuantityRequired],
 ""
)</f>
        <v>400</v>
      </c>
      <c r="H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88" s="41" t="str">
        <f>_xlfn.XLOOKUP(tblCostChecklist[[#This Row],[TargetID]],tblTargetStatus[TargetID],tblTargetStatus[Status])</f>
        <v>BLOCKED</v>
      </c>
      <c r="J88" s="25" t="b">
        <v>0</v>
      </c>
    </row>
    <row r="89" spans="1:10">
      <c r="A89" s="41" t="s">
        <v>3746</v>
      </c>
      <c r="B89" s="41" t="str">
        <f>_xlfn.TEXTAFTER(
 _xlfn.TEXTBEFORE(tblCostChecklist[[#This Row],[RequirementID]],".",-2),
 "cost."
)</f>
        <v>building.chicken@1</v>
      </c>
      <c r="C89" s="41" t="str">
        <f>_xlfn.XLOOKUP(tblCostChecklist[[#This Row],[TargetID]],tblTargets[TargetID],tblTargets[DisplayName],"")</f>
        <v>Chicken Lv 1</v>
      </c>
      <c r="D89" s="41" t="str">
        <f>_xlfn.XLOOKUP(tblCostChecklist[[#This Row],[TargetID]],tblTargets[TargetID],tblTargets[TargetType],"")</f>
        <v>BUILDING</v>
      </c>
      <c r="E89" s="41" t="s">
        <v>658</v>
      </c>
      <c r="F89" s="41">
        <v>1</v>
      </c>
      <c r="G89" s="41">
        <f>_xlfn.XLOOKUP(
 tblCostChecklist[[#This Row],[RequirementID]],
 tblCost[RequirementID],
 tblCost[QuantityRequired],
 ""
)</f>
        <v>400</v>
      </c>
      <c r="H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89" s="41" t="str">
        <f>_xlfn.XLOOKUP(tblCostChecklist[[#This Row],[TargetID]],tblTargetStatus[TargetID],tblTargetStatus[Status])</f>
        <v>BLOCKED</v>
      </c>
      <c r="J89" s="25" t="b">
        <v>0</v>
      </c>
    </row>
    <row r="90" spans="1:10">
      <c r="A90" s="41" t="s">
        <v>3747</v>
      </c>
      <c r="B90" s="41" t="str">
        <f>_xlfn.TEXTAFTER(
 _xlfn.TEXTBEFORE(tblCostChecklist[[#This Row],[RequirementID]],".",-2),
 "cost."
)</f>
        <v>building.chicken@1</v>
      </c>
      <c r="C90" s="41" t="str">
        <f>_xlfn.XLOOKUP(tblCostChecklist[[#This Row],[TargetID]],tblTargets[TargetID],tblTargets[DisplayName],"")</f>
        <v>Chicken Lv 1</v>
      </c>
      <c r="D90" s="41" t="str">
        <f>_xlfn.XLOOKUP(tblCostChecklist[[#This Row],[TargetID]],tblTargets[TargetID],tblTargets[TargetType],"")</f>
        <v>BUILDING</v>
      </c>
      <c r="E90" s="41" t="s">
        <v>717</v>
      </c>
      <c r="F90" s="41">
        <v>1</v>
      </c>
      <c r="G90" s="41">
        <f>_xlfn.XLOOKUP(
 tblCostChecklist[[#This Row],[RequirementID]],
 tblCost[RequirementID],
 tblCost[QuantityRequired],
 ""
)</f>
        <v>200</v>
      </c>
      <c r="H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90" s="41" t="str">
        <f>_xlfn.XLOOKUP(tblCostChecklist[[#This Row],[TargetID]],tblTargetStatus[TargetID],tblTargetStatus[Status])</f>
        <v>BLOCKED</v>
      </c>
      <c r="J90" s="25" t="b">
        <v>0</v>
      </c>
    </row>
    <row r="91" spans="1:10">
      <c r="A91" s="41" t="s">
        <v>3748</v>
      </c>
      <c r="B91" s="41" t="str">
        <f>_xlfn.TEXTAFTER(
 _xlfn.TEXTBEFORE(tblCostChecklist[[#This Row],[RequirementID]],".",-2),
 "cost."
)</f>
        <v>building.chicken@1</v>
      </c>
      <c r="C91" s="41" t="str">
        <f>_xlfn.XLOOKUP(tblCostChecklist[[#This Row],[TargetID]],tblTargets[TargetID],tblTargets[DisplayName],"")</f>
        <v>Chicken Lv 1</v>
      </c>
      <c r="D91" s="41" t="str">
        <f>_xlfn.XLOOKUP(tblCostChecklist[[#This Row],[TargetID]],tblTargets[TargetID],tblTargets[TargetType],"")</f>
        <v>BUILDING</v>
      </c>
      <c r="E91" s="41" t="s">
        <v>722</v>
      </c>
      <c r="F91" s="41">
        <v>1</v>
      </c>
      <c r="G91" s="41">
        <f>_xlfn.XLOOKUP(
 tblCostChecklist[[#This Row],[RequirementID]],
 tblCost[RequirementID],
 tblCost[QuantityRequired],
 ""
)</f>
        <v>20</v>
      </c>
      <c r="H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91" s="41" t="str">
        <f>_xlfn.XLOOKUP(tblCostChecklist[[#This Row],[TargetID]],tblTargetStatus[TargetID],tblTargetStatus[Status])</f>
        <v>BLOCKED</v>
      </c>
      <c r="J91" s="25" t="b">
        <v>0</v>
      </c>
    </row>
    <row r="92" spans="1:10">
      <c r="A92" s="41" t="s">
        <v>3749</v>
      </c>
      <c r="B92" s="41" t="str">
        <f>_xlfn.TEXTAFTER(
 _xlfn.TEXTBEFORE(tblCostChecklist[[#This Row],[RequirementID]],".",-2),
 "cost."
)</f>
        <v>building.chicken@1</v>
      </c>
      <c r="C92" s="41" t="str">
        <f>_xlfn.XLOOKUP(tblCostChecklist[[#This Row],[TargetID]],tblTargets[TargetID],tblTargets[DisplayName],"")</f>
        <v>Chicken Lv 1</v>
      </c>
      <c r="D92" s="41" t="str">
        <f>_xlfn.XLOOKUP(tblCostChecklist[[#This Row],[TargetID]],tblTargets[TargetID],tblTargets[TargetType],"")</f>
        <v>BUILDING</v>
      </c>
      <c r="E92" s="41" t="s">
        <v>719</v>
      </c>
      <c r="F92" s="41">
        <v>1</v>
      </c>
      <c r="G92" s="41">
        <f>_xlfn.XLOOKUP(
 tblCostChecklist[[#This Row],[RequirementID]],
 tblCost[RequirementID],
 tblCost[QuantityRequired],
 ""
)</f>
        <v>10</v>
      </c>
      <c r="H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92" s="41" t="str">
        <f>_xlfn.XLOOKUP(tblCostChecklist[[#This Row],[TargetID]],tblTargetStatus[TargetID],tblTargetStatus[Status])</f>
        <v>BLOCKED</v>
      </c>
      <c r="J92" s="25" t="b">
        <v>0</v>
      </c>
    </row>
    <row r="93" spans="1:10">
      <c r="A93" s="41" t="s">
        <v>3750</v>
      </c>
      <c r="B93" s="41" t="str">
        <f>_xlfn.TEXTAFTER(
 _xlfn.TEXTBEFORE(tblCostChecklist[[#This Row],[RequirementID]],".",-2),
 "cost."
)</f>
        <v>building.chicken@1</v>
      </c>
      <c r="C93" s="41" t="str">
        <f>_xlfn.XLOOKUP(tblCostChecklist[[#This Row],[TargetID]],tblTargets[TargetID],tblTargets[DisplayName],"")</f>
        <v>Chicken Lv 1</v>
      </c>
      <c r="D93" s="41" t="str">
        <f>_xlfn.XLOOKUP(tblCostChecklist[[#This Row],[TargetID]],tblTargets[TargetID],tblTargets[TargetType],"")</f>
        <v>BUILDING</v>
      </c>
      <c r="E93" s="41" t="s">
        <v>669</v>
      </c>
      <c r="F93" s="41">
        <v>1</v>
      </c>
      <c r="G93" s="41">
        <f>_xlfn.XLOOKUP(
 tblCostChecklist[[#This Row],[RequirementID]],
 tblCost[RequirementID],
 tblCost[QuantityRequired],
 ""
)</f>
        <v>1</v>
      </c>
      <c r="H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93" s="41" t="str">
        <f>_xlfn.XLOOKUP(tblCostChecklist[[#This Row],[TargetID]],tblTargetStatus[TargetID],tblTargetStatus[Status])</f>
        <v>BLOCKED</v>
      </c>
      <c r="J93" s="25" t="b">
        <v>0</v>
      </c>
    </row>
    <row r="94" spans="1:10">
      <c r="A94" s="41" t="s">
        <v>3751</v>
      </c>
      <c r="B94" s="41" t="str">
        <f>_xlfn.TEXTAFTER(
 _xlfn.TEXTBEFORE(tblCostChecklist[[#This Row],[RequirementID]],".",-2),
 "cost."
)</f>
        <v>building.chicken@2</v>
      </c>
      <c r="C94" s="41" t="str">
        <f>_xlfn.XLOOKUP(tblCostChecklist[[#This Row],[TargetID]],tblTargets[TargetID],tblTargets[DisplayName],"")</f>
        <v>Chicken Lv 2</v>
      </c>
      <c r="D94" s="41" t="str">
        <f>_xlfn.XLOOKUP(tblCostChecklist[[#This Row],[TargetID]],tblTargets[TargetID],tblTargets[TargetType],"")</f>
        <v>BUILDING</v>
      </c>
      <c r="E94" s="41" t="s">
        <v>708</v>
      </c>
      <c r="F94" s="41">
        <v>1</v>
      </c>
      <c r="G94" s="41">
        <f>_xlfn.XLOOKUP(
 tblCostChecklist[[#This Row],[RequirementID]],
 tblCost[RequirementID],
 tblCost[QuantityRequired],
 ""
)</f>
        <v>3</v>
      </c>
      <c r="H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4" s="41" t="str">
        <f>_xlfn.XLOOKUP(tblCostChecklist[[#This Row],[TargetID]],tblTargetStatus[TargetID],tblTargetStatus[Status])</f>
        <v>BLOCKED</v>
      </c>
      <c r="J94" s="25" t="b">
        <v>0</v>
      </c>
    </row>
    <row r="95" spans="1:10">
      <c r="A95" s="41" t="s">
        <v>3752</v>
      </c>
      <c r="B95" s="41" t="str">
        <f>_xlfn.TEXTAFTER(
 _xlfn.TEXTBEFORE(tblCostChecklist[[#This Row],[RequirementID]],".",-2),
 "cost."
)</f>
        <v>building.chicken@2</v>
      </c>
      <c r="C95" s="41" t="str">
        <f>_xlfn.XLOOKUP(tblCostChecklist[[#This Row],[TargetID]],tblTargets[TargetID],tblTargets[DisplayName],"")</f>
        <v>Chicken Lv 2</v>
      </c>
      <c r="D95" s="41" t="str">
        <f>_xlfn.XLOOKUP(tblCostChecklist[[#This Row],[TargetID]],tblTargets[TargetID],tblTargets[TargetType],"")</f>
        <v>BUILDING</v>
      </c>
      <c r="E95" s="41" t="s">
        <v>666</v>
      </c>
      <c r="F95" s="41">
        <v>1</v>
      </c>
      <c r="G95" s="41">
        <f>_xlfn.XLOOKUP(
 tblCostChecklist[[#This Row],[RequirementID]],
 tblCost[RequirementID],
 tblCost[QuantityRequired],
 ""
)</f>
        <v>600</v>
      </c>
      <c r="H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5" s="41" t="str">
        <f>_xlfn.XLOOKUP(tblCostChecklist[[#This Row],[TargetID]],tblTargetStatus[TargetID],tblTargetStatus[Status])</f>
        <v>BLOCKED</v>
      </c>
      <c r="J95" s="25" t="b">
        <v>0</v>
      </c>
    </row>
    <row r="96" spans="1:10">
      <c r="A96" s="41" t="s">
        <v>3753</v>
      </c>
      <c r="B96" s="41" t="str">
        <f>_xlfn.TEXTAFTER(
 _xlfn.TEXTBEFORE(tblCostChecklist[[#This Row],[RequirementID]],".",-2),
 "cost."
)</f>
        <v>building.chicken@2</v>
      </c>
      <c r="C96" s="41" t="str">
        <f>_xlfn.XLOOKUP(tblCostChecklist[[#This Row],[TargetID]],tblTargets[TargetID],tblTargets[DisplayName],"")</f>
        <v>Chicken Lv 2</v>
      </c>
      <c r="D96" s="41" t="str">
        <f>_xlfn.XLOOKUP(tblCostChecklist[[#This Row],[TargetID]],tblTargets[TargetID],tblTargets[TargetType],"")</f>
        <v>BUILDING</v>
      </c>
      <c r="E96" s="41" t="s">
        <v>658</v>
      </c>
      <c r="F96" s="41">
        <v>1</v>
      </c>
      <c r="G96" s="41">
        <f>_xlfn.XLOOKUP(
 tblCostChecklist[[#This Row],[RequirementID]],
 tblCost[RequirementID],
 tblCost[QuantityRequired],
 ""
)</f>
        <v>600</v>
      </c>
      <c r="H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6" s="41" t="str">
        <f>_xlfn.XLOOKUP(tblCostChecklist[[#This Row],[TargetID]],tblTargetStatus[TargetID],tblTargetStatus[Status])</f>
        <v>BLOCKED</v>
      </c>
      <c r="J96" s="25" t="b">
        <v>0</v>
      </c>
    </row>
    <row r="97" spans="1:10">
      <c r="A97" s="41" t="s">
        <v>3754</v>
      </c>
      <c r="B97" s="41" t="str">
        <f>_xlfn.TEXTAFTER(
 _xlfn.TEXTBEFORE(tblCostChecklist[[#This Row],[RequirementID]],".",-2),
 "cost."
)</f>
        <v>building.chicken@2</v>
      </c>
      <c r="C97" s="41" t="str">
        <f>_xlfn.XLOOKUP(tblCostChecklist[[#This Row],[TargetID]],tblTargets[TargetID],tblTargets[DisplayName],"")</f>
        <v>Chicken Lv 2</v>
      </c>
      <c r="D97" s="41" t="str">
        <f>_xlfn.XLOOKUP(tblCostChecklist[[#This Row],[TargetID]],tblTargets[TargetID],tblTargets[TargetType],"")</f>
        <v>BUILDING</v>
      </c>
      <c r="E97" s="41" t="s">
        <v>717</v>
      </c>
      <c r="F97" s="41">
        <v>1</v>
      </c>
      <c r="G97" s="41">
        <f>_xlfn.XLOOKUP(
 tblCostChecklist[[#This Row],[RequirementID]],
 tblCost[RequirementID],
 tblCost[QuantityRequired],
 ""
)</f>
        <v>300</v>
      </c>
      <c r="H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7" s="41" t="str">
        <f>_xlfn.XLOOKUP(tblCostChecklist[[#This Row],[TargetID]],tblTargetStatus[TargetID],tblTargetStatus[Status])</f>
        <v>BLOCKED</v>
      </c>
      <c r="J97" s="25" t="b">
        <v>0</v>
      </c>
    </row>
    <row r="98" spans="1:10">
      <c r="A98" s="41" t="s">
        <v>3755</v>
      </c>
      <c r="B98" s="41" t="str">
        <f>_xlfn.TEXTAFTER(
 _xlfn.TEXTBEFORE(tblCostChecklist[[#This Row],[RequirementID]],".",-2),
 "cost."
)</f>
        <v>building.chicken@2</v>
      </c>
      <c r="C98" s="41" t="str">
        <f>_xlfn.XLOOKUP(tblCostChecklist[[#This Row],[TargetID]],tblTargets[TargetID],tblTargets[DisplayName],"")</f>
        <v>Chicken Lv 2</v>
      </c>
      <c r="D98" s="41" t="str">
        <f>_xlfn.XLOOKUP(tblCostChecklist[[#This Row],[TargetID]],tblTargets[TargetID],tblTargets[TargetType],"")</f>
        <v>BUILDING</v>
      </c>
      <c r="E98" s="41" t="s">
        <v>722</v>
      </c>
      <c r="F98" s="41">
        <v>1</v>
      </c>
      <c r="G98" s="41">
        <f>_xlfn.XLOOKUP(
 tblCostChecklist[[#This Row],[RequirementID]],
 tblCost[RequirementID],
 tblCost[QuantityRequired],
 ""
)</f>
        <v>20</v>
      </c>
      <c r="H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8" s="41" t="str">
        <f>_xlfn.XLOOKUP(tblCostChecklist[[#This Row],[TargetID]],tblTargetStatus[TargetID],tblTargetStatus[Status])</f>
        <v>BLOCKED</v>
      </c>
      <c r="J98" s="25" t="b">
        <v>0</v>
      </c>
    </row>
    <row r="99" spans="1:10">
      <c r="A99" s="41" t="s">
        <v>3756</v>
      </c>
      <c r="B99" s="41" t="str">
        <f>_xlfn.TEXTAFTER(
 _xlfn.TEXTBEFORE(tblCostChecklist[[#This Row],[RequirementID]],".",-2),
 "cost."
)</f>
        <v>building.chicken@2</v>
      </c>
      <c r="C99" s="41" t="str">
        <f>_xlfn.XLOOKUP(tblCostChecklist[[#This Row],[TargetID]],tblTargets[TargetID],tblTargets[DisplayName],"")</f>
        <v>Chicken Lv 2</v>
      </c>
      <c r="D99" s="41" t="str">
        <f>_xlfn.XLOOKUP(tblCostChecklist[[#This Row],[TargetID]],tblTargets[TargetID],tblTargets[TargetType],"")</f>
        <v>BUILDING</v>
      </c>
      <c r="E99" s="41" t="s">
        <v>719</v>
      </c>
      <c r="F99" s="41">
        <v>1</v>
      </c>
      <c r="G99" s="41">
        <f>_xlfn.XLOOKUP(
 tblCostChecklist[[#This Row],[RequirementID]],
 tblCost[RequirementID],
 tblCost[QuantityRequired],
 ""
)</f>
        <v>10</v>
      </c>
      <c r="H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9" s="41" t="str">
        <f>_xlfn.XLOOKUP(tblCostChecklist[[#This Row],[TargetID]],tblTargetStatus[TargetID],tblTargetStatus[Status])</f>
        <v>BLOCKED</v>
      </c>
      <c r="J99" s="25" t="b">
        <v>0</v>
      </c>
    </row>
    <row r="100" spans="1:10">
      <c r="A100" s="41" t="s">
        <v>3757</v>
      </c>
      <c r="B100" s="41" t="str">
        <f>_xlfn.TEXTAFTER(
 _xlfn.TEXTBEFORE(tblCostChecklist[[#This Row],[RequirementID]],".",-2),
 "cost."
)</f>
        <v>building.chicken@2</v>
      </c>
      <c r="C100" s="41" t="str">
        <f>_xlfn.XLOOKUP(tblCostChecklist[[#This Row],[TargetID]],tblTargets[TargetID],tblTargets[DisplayName],"")</f>
        <v>Chicken Lv 2</v>
      </c>
      <c r="D100" s="41" t="str">
        <f>_xlfn.XLOOKUP(tblCostChecklist[[#This Row],[TargetID]],tblTargets[TargetID],tblTargets[TargetType],"")</f>
        <v>BUILDING</v>
      </c>
      <c r="E100" s="41" t="s">
        <v>669</v>
      </c>
      <c r="F100" s="41">
        <v>1</v>
      </c>
      <c r="G100" s="41">
        <f>_xlfn.XLOOKUP(
 tblCostChecklist[[#This Row],[RequirementID]],
 tblCost[RequirementID],
 tblCost[QuantityRequired],
 ""
)</f>
        <v>1</v>
      </c>
      <c r="H1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100" s="41" t="str">
        <f>_xlfn.XLOOKUP(tblCostChecklist[[#This Row],[TargetID]],tblTargetStatus[TargetID],tblTargetStatus[Status])</f>
        <v>BLOCKED</v>
      </c>
      <c r="J100" s="25" t="b">
        <v>0</v>
      </c>
    </row>
    <row r="101" spans="1:10">
      <c r="A101" s="41" t="s">
        <v>3758</v>
      </c>
      <c r="B101" s="41" t="str">
        <f>_xlfn.TEXTAFTER(
 _xlfn.TEXTBEFORE(tblCostChecklist[[#This Row],[RequirementID]],".",-2),
 "cost."
)</f>
        <v>building.dairy@1</v>
      </c>
      <c r="C101" s="41" t="str">
        <f>_xlfn.XLOOKUP(tblCostChecklist[[#This Row],[TargetID]],tblTargets[TargetID],tblTargets[DisplayName],"")</f>
        <v>Dairy Lv 1</v>
      </c>
      <c r="D101" s="41" t="str">
        <f>_xlfn.XLOOKUP(tblCostChecklist[[#This Row],[TargetID]],tblTargets[TargetID],tblTargets[TargetType],"")</f>
        <v>BUILDING</v>
      </c>
      <c r="E101" s="41" t="s">
        <v>708</v>
      </c>
      <c r="F101" s="41">
        <v>1</v>
      </c>
      <c r="G101" s="41">
        <f>_xlfn.XLOOKUP(
 tblCostChecklist[[#This Row],[RequirementID]],
 tblCost[RequirementID],
 tblCost[QuantityRequired],
 ""
)</f>
        <v>5</v>
      </c>
      <c r="H1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1" s="41" t="str">
        <f>_xlfn.XLOOKUP(tblCostChecklist[[#This Row],[TargetID]],tblTargetStatus[TargetID],tblTargetStatus[Status])</f>
        <v>BLOCKED</v>
      </c>
      <c r="J101" s="25" t="b">
        <v>0</v>
      </c>
    </row>
    <row r="102" spans="1:10">
      <c r="A102" s="41" t="s">
        <v>3759</v>
      </c>
      <c r="B102" s="41" t="str">
        <f>_xlfn.TEXTAFTER(
 _xlfn.TEXTBEFORE(tblCostChecklist[[#This Row],[RequirementID]],".",-2),
 "cost."
)</f>
        <v>building.dairy@1</v>
      </c>
      <c r="C102" s="41" t="str">
        <f>_xlfn.XLOOKUP(tblCostChecklist[[#This Row],[TargetID]],tblTargets[TargetID],tblTargets[DisplayName],"")</f>
        <v>Dairy Lv 1</v>
      </c>
      <c r="D102" s="41" t="str">
        <f>_xlfn.XLOOKUP(tblCostChecklist[[#This Row],[TargetID]],tblTargets[TargetID],tblTargets[TargetType],"")</f>
        <v>BUILDING</v>
      </c>
      <c r="E102" s="41" t="s">
        <v>666</v>
      </c>
      <c r="F102" s="41">
        <v>1</v>
      </c>
      <c r="G102" s="41">
        <f>_xlfn.XLOOKUP(
 tblCostChecklist[[#This Row],[RequirementID]],
 tblCost[RequirementID],
 tblCost[QuantityRequired],
 ""
)</f>
        <v>1000</v>
      </c>
      <c r="H1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2" s="41" t="str">
        <f>_xlfn.XLOOKUP(tblCostChecklist[[#This Row],[TargetID]],tblTargetStatus[TargetID],tblTargetStatus[Status])</f>
        <v>BLOCKED</v>
      </c>
      <c r="J102" s="25" t="b">
        <v>0</v>
      </c>
    </row>
    <row r="103" spans="1:10">
      <c r="A103" s="41" t="s">
        <v>3760</v>
      </c>
      <c r="B103" s="41" t="str">
        <f>_xlfn.TEXTAFTER(
 _xlfn.TEXTBEFORE(tblCostChecklist[[#This Row],[RequirementID]],".",-2),
 "cost."
)</f>
        <v>building.dairy@1</v>
      </c>
      <c r="C103" s="41" t="str">
        <f>_xlfn.XLOOKUP(tblCostChecklist[[#This Row],[TargetID]],tblTargets[TargetID],tblTargets[DisplayName],"")</f>
        <v>Dairy Lv 1</v>
      </c>
      <c r="D103" s="41" t="str">
        <f>_xlfn.XLOOKUP(tblCostChecklist[[#This Row],[TargetID]],tblTargets[TargetID],tblTargets[TargetType],"")</f>
        <v>BUILDING</v>
      </c>
      <c r="E103" s="41" t="s">
        <v>658</v>
      </c>
      <c r="F103" s="41">
        <v>1</v>
      </c>
      <c r="G103" s="41">
        <f>_xlfn.XLOOKUP(
 tblCostChecklist[[#This Row],[RequirementID]],
 tblCost[RequirementID],
 tblCost[QuantityRequired],
 ""
)</f>
        <v>700</v>
      </c>
      <c r="H1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3" s="41" t="str">
        <f>_xlfn.XLOOKUP(tblCostChecklist[[#This Row],[TargetID]],tblTargetStatus[TargetID],tblTargetStatus[Status])</f>
        <v>BLOCKED</v>
      </c>
      <c r="J103" s="25" t="b">
        <v>0</v>
      </c>
    </row>
    <row r="104" spans="1:10">
      <c r="A104" s="41" t="s">
        <v>3761</v>
      </c>
      <c r="B104" s="41" t="str">
        <f>_xlfn.TEXTAFTER(
 _xlfn.TEXTBEFORE(tblCostChecklist[[#This Row],[RequirementID]],".",-2),
 "cost."
)</f>
        <v>building.dairy@1</v>
      </c>
      <c r="C104" s="41" t="str">
        <f>_xlfn.XLOOKUP(tblCostChecklist[[#This Row],[TargetID]],tblTargets[TargetID],tblTargets[DisplayName],"")</f>
        <v>Dairy Lv 1</v>
      </c>
      <c r="D104" s="41" t="str">
        <f>_xlfn.XLOOKUP(tblCostChecklist[[#This Row],[TargetID]],tblTargets[TargetID],tblTargets[TargetType],"")</f>
        <v>BUILDING</v>
      </c>
      <c r="E104" s="41" t="s">
        <v>717</v>
      </c>
      <c r="F104" s="41">
        <v>1</v>
      </c>
      <c r="G104" s="41">
        <f>_xlfn.XLOOKUP(
 tblCostChecklist[[#This Row],[RequirementID]],
 tblCost[RequirementID],
 tblCost[QuantityRequired],
 ""
)</f>
        <v>300</v>
      </c>
      <c r="H1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4" s="41" t="str">
        <f>_xlfn.XLOOKUP(tblCostChecklist[[#This Row],[TargetID]],tblTargetStatus[TargetID],tblTargetStatus[Status])</f>
        <v>BLOCKED</v>
      </c>
      <c r="J104" s="25" t="b">
        <v>0</v>
      </c>
    </row>
    <row r="105" spans="1:10">
      <c r="A105" s="41" t="s">
        <v>3762</v>
      </c>
      <c r="B105" s="41" t="str">
        <f>_xlfn.TEXTAFTER(
 _xlfn.TEXTBEFORE(tblCostChecklist[[#This Row],[RequirementID]],".",-2),
 "cost."
)</f>
        <v>building.dairy@1</v>
      </c>
      <c r="C105" s="41" t="str">
        <f>_xlfn.XLOOKUP(tblCostChecklist[[#This Row],[TargetID]],tblTargets[TargetID],tblTargets[DisplayName],"")</f>
        <v>Dairy Lv 1</v>
      </c>
      <c r="D105" s="41" t="str">
        <f>_xlfn.XLOOKUP(tblCostChecklist[[#This Row],[TargetID]],tblTargets[TargetID],tblTargets[TargetType],"")</f>
        <v>BUILDING</v>
      </c>
      <c r="E105" s="41" t="s">
        <v>719</v>
      </c>
      <c r="F105" s="41">
        <v>1</v>
      </c>
      <c r="G105" s="41">
        <f>_xlfn.XLOOKUP(
 tblCostChecklist[[#This Row],[RequirementID]],
 tblCost[RequirementID],
 tblCost[QuantityRequired],
 ""
)</f>
        <v>20</v>
      </c>
      <c r="H1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5" s="41" t="str">
        <f>_xlfn.XLOOKUP(tblCostChecklist[[#This Row],[TargetID]],tblTargetStatus[TargetID],tblTargetStatus[Status])</f>
        <v>BLOCKED</v>
      </c>
      <c r="J105" s="25" t="b">
        <v>0</v>
      </c>
    </row>
    <row r="106" spans="1:10">
      <c r="A106" s="41" t="s">
        <v>3763</v>
      </c>
      <c r="B106" s="41" t="str">
        <f>_xlfn.TEXTAFTER(
 _xlfn.TEXTBEFORE(tblCostChecklist[[#This Row],[RequirementID]],".",-2),
 "cost."
)</f>
        <v>building.dairy@1</v>
      </c>
      <c r="C106" s="41" t="str">
        <f>_xlfn.XLOOKUP(tblCostChecklist[[#This Row],[TargetID]],tblTargets[TargetID],tblTargets[DisplayName],"")</f>
        <v>Dairy Lv 1</v>
      </c>
      <c r="D106" s="41" t="str">
        <f>_xlfn.XLOOKUP(tblCostChecklist[[#This Row],[TargetID]],tblTargets[TargetID],tblTargets[TargetType],"")</f>
        <v>BUILDING</v>
      </c>
      <c r="E106" s="41" t="s">
        <v>674</v>
      </c>
      <c r="F106" s="41">
        <v>1</v>
      </c>
      <c r="G106" s="41">
        <f>_xlfn.XLOOKUP(
 tblCostChecklist[[#This Row],[RequirementID]],
 tblCost[RequirementID],
 tblCost[QuantityRequired],
 ""
)</f>
        <v>40</v>
      </c>
      <c r="H1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6" s="41" t="str">
        <f>_xlfn.XLOOKUP(tblCostChecklist[[#This Row],[TargetID]],tblTargetStatus[TargetID],tblTargetStatus[Status])</f>
        <v>BLOCKED</v>
      </c>
      <c r="J106" s="25" t="b">
        <v>0</v>
      </c>
    </row>
    <row r="107" spans="1:10">
      <c r="A107" s="41" t="s">
        <v>3764</v>
      </c>
      <c r="B107" s="41" t="str">
        <f>_xlfn.TEXTAFTER(
 _xlfn.TEXTBEFORE(tblCostChecklist[[#This Row],[RequirementID]],".",-2),
 "cost."
)</f>
        <v>building.dairy@1</v>
      </c>
      <c r="C107" s="41" t="str">
        <f>_xlfn.XLOOKUP(tblCostChecklist[[#This Row],[TargetID]],tblTargets[TargetID],tblTargets[DisplayName],"")</f>
        <v>Dairy Lv 1</v>
      </c>
      <c r="D107" s="41" t="str">
        <f>_xlfn.XLOOKUP(tblCostChecklist[[#This Row],[TargetID]],tblTargets[TargetID],tblTargets[TargetType],"")</f>
        <v>BUILDING</v>
      </c>
      <c r="E107" s="41" t="s">
        <v>722</v>
      </c>
      <c r="F107" s="41">
        <v>1</v>
      </c>
      <c r="G107" s="41">
        <f>_xlfn.XLOOKUP(
 tblCostChecklist[[#This Row],[RequirementID]],
 tblCost[RequirementID],
 tblCost[QuantityRequired],
 ""
)</f>
        <v>100</v>
      </c>
      <c r="H1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7" s="41" t="str">
        <f>_xlfn.XLOOKUP(tblCostChecklist[[#This Row],[TargetID]],tblTargetStatus[TargetID],tblTargetStatus[Status])</f>
        <v>BLOCKED</v>
      </c>
      <c r="J107" s="25" t="b">
        <v>0</v>
      </c>
    </row>
    <row r="108" spans="1:10">
      <c r="A108" s="41" t="s">
        <v>3765</v>
      </c>
      <c r="B108" s="41" t="str">
        <f>_xlfn.TEXTAFTER(
 _xlfn.TEXTBEFORE(tblCostChecklist[[#This Row],[RequirementID]],".",-2),
 "cost."
)</f>
        <v>building.dairy@1</v>
      </c>
      <c r="C108" s="41" t="str">
        <f>_xlfn.XLOOKUP(tblCostChecklist[[#This Row],[TargetID]],tblTargets[TargetID],tblTargets[DisplayName],"")</f>
        <v>Dairy Lv 1</v>
      </c>
      <c r="D108" s="41" t="str">
        <f>_xlfn.XLOOKUP(tblCostChecklist[[#This Row],[TargetID]],tblTargets[TargetID],tblTargets[TargetType],"")</f>
        <v>BUILDING</v>
      </c>
      <c r="E108" s="41" t="s">
        <v>679</v>
      </c>
      <c r="F108" s="41">
        <v>1</v>
      </c>
      <c r="G108" s="41">
        <f>_xlfn.XLOOKUP(
 tblCostChecklist[[#This Row],[RequirementID]],
 tblCost[RequirementID],
 tblCost[QuantityRequired],
 ""
)</f>
        <v>20</v>
      </c>
      <c r="H1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8" s="41" t="str">
        <f>_xlfn.XLOOKUP(tblCostChecklist[[#This Row],[TargetID]],tblTargetStatus[TargetID],tblTargetStatus[Status])</f>
        <v>BLOCKED</v>
      </c>
      <c r="J108" s="25" t="b">
        <v>0</v>
      </c>
    </row>
    <row r="109" spans="1:10">
      <c r="A109" s="41" t="s">
        <v>3766</v>
      </c>
      <c r="B109" s="41" t="str">
        <f>_xlfn.TEXTAFTER(
 _xlfn.TEXTBEFORE(tblCostChecklist[[#This Row],[RequirementID]],".",-2),
 "cost."
)</f>
        <v>building.dairy@1</v>
      </c>
      <c r="C109" s="41" t="str">
        <f>_xlfn.XLOOKUP(tblCostChecklist[[#This Row],[TargetID]],tblTargets[TargetID],tblTargets[DisplayName],"")</f>
        <v>Dairy Lv 1</v>
      </c>
      <c r="D109" s="41" t="str">
        <f>_xlfn.XLOOKUP(tblCostChecklist[[#This Row],[TargetID]],tblTargets[TargetID],tblTargets[TargetType],"")</f>
        <v>BUILDING</v>
      </c>
      <c r="E109" s="41" t="s">
        <v>675</v>
      </c>
      <c r="F109" s="41">
        <v>1</v>
      </c>
      <c r="G109" s="41">
        <f>_xlfn.XLOOKUP(
 tblCostChecklist[[#This Row],[RequirementID]],
 tblCost[RequirementID],
 tblCost[QuantityRequired],
 ""
)</f>
        <v>1</v>
      </c>
      <c r="H1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9" s="41" t="str">
        <f>_xlfn.XLOOKUP(tblCostChecklist[[#This Row],[TargetID]],tblTargetStatus[TargetID],tblTargetStatus[Status])</f>
        <v>BLOCKED</v>
      </c>
      <c r="J109" s="25" t="b">
        <v>0</v>
      </c>
    </row>
    <row r="110" spans="1:10">
      <c r="A110" s="41" t="s">
        <v>3767</v>
      </c>
      <c r="B110" s="41" t="str">
        <f>_xlfn.TEXTAFTER(
 _xlfn.TEXTBEFORE(tblCostChecklist[[#This Row],[RequirementID]],".",-2),
 "cost."
)</f>
        <v>building.dairy@2</v>
      </c>
      <c r="C110" s="41" t="str">
        <f>_xlfn.XLOOKUP(tblCostChecklist[[#This Row],[TargetID]],tblTargets[TargetID],tblTargets[DisplayName],"")</f>
        <v>Dairy Lv 2</v>
      </c>
      <c r="D110" s="41" t="str">
        <f>_xlfn.XLOOKUP(tblCostChecklist[[#This Row],[TargetID]],tblTargets[TargetID],tblTargets[TargetType],"")</f>
        <v>BUILDING</v>
      </c>
      <c r="E110" s="41" t="s">
        <v>708</v>
      </c>
      <c r="F110" s="41">
        <v>1</v>
      </c>
      <c r="G110" s="41">
        <f>_xlfn.XLOOKUP(
 tblCostChecklist[[#This Row],[RequirementID]],
 tblCost[RequirementID],
 tblCost[QuantityRequired],
 ""
)</f>
        <v>5</v>
      </c>
      <c r="H1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0" s="41" t="str">
        <f>_xlfn.XLOOKUP(tblCostChecklist[[#This Row],[TargetID]],tblTargetStatus[TargetID],tblTargetStatus[Status])</f>
        <v>BLOCKED</v>
      </c>
      <c r="J110" s="25" t="b">
        <v>0</v>
      </c>
    </row>
    <row r="111" spans="1:10">
      <c r="A111" s="41" t="s">
        <v>3768</v>
      </c>
      <c r="B111" s="41" t="str">
        <f>_xlfn.TEXTAFTER(
 _xlfn.TEXTBEFORE(tblCostChecklist[[#This Row],[RequirementID]],".",-2),
 "cost."
)</f>
        <v>building.dairy@2</v>
      </c>
      <c r="C111" s="41" t="str">
        <f>_xlfn.XLOOKUP(tblCostChecklist[[#This Row],[TargetID]],tblTargets[TargetID],tblTargets[DisplayName],"")</f>
        <v>Dairy Lv 2</v>
      </c>
      <c r="D111" s="41" t="str">
        <f>_xlfn.XLOOKUP(tblCostChecklist[[#This Row],[TargetID]],tblTargets[TargetID],tblTargets[TargetType],"")</f>
        <v>BUILDING</v>
      </c>
      <c r="E111" s="41" t="s">
        <v>666</v>
      </c>
      <c r="F111" s="41">
        <v>1</v>
      </c>
      <c r="G111" s="41">
        <f>_xlfn.XLOOKUP(
 tblCostChecklist[[#This Row],[RequirementID]],
 tblCost[RequirementID],
 tblCost[QuantityRequired],
 ""
)</f>
        <v>1000</v>
      </c>
      <c r="H1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1" s="41" t="str">
        <f>_xlfn.XLOOKUP(tblCostChecklist[[#This Row],[TargetID]],tblTargetStatus[TargetID],tblTargetStatus[Status])</f>
        <v>BLOCKED</v>
      </c>
      <c r="J111" s="25" t="b">
        <v>0</v>
      </c>
    </row>
    <row r="112" spans="1:10">
      <c r="A112" s="41" t="s">
        <v>3769</v>
      </c>
      <c r="B112" s="41" t="str">
        <f>_xlfn.TEXTAFTER(
 _xlfn.TEXTBEFORE(tblCostChecklist[[#This Row],[RequirementID]],".",-2),
 "cost."
)</f>
        <v>building.dairy@2</v>
      </c>
      <c r="C112" s="41" t="str">
        <f>_xlfn.XLOOKUP(tblCostChecklist[[#This Row],[TargetID]],tblTargets[TargetID],tblTargets[DisplayName],"")</f>
        <v>Dairy Lv 2</v>
      </c>
      <c r="D112" s="41" t="str">
        <f>_xlfn.XLOOKUP(tblCostChecklist[[#This Row],[TargetID]],tblTargets[TargetID],tblTargets[TargetType],"")</f>
        <v>BUILDING</v>
      </c>
      <c r="E112" s="41" t="s">
        <v>658</v>
      </c>
      <c r="F112" s="41">
        <v>1</v>
      </c>
      <c r="G112" s="41">
        <f>_xlfn.XLOOKUP(
 tblCostChecklist[[#This Row],[RequirementID]],
 tblCost[RequirementID],
 tblCost[QuantityRequired],
 ""
)</f>
        <v>900</v>
      </c>
      <c r="H1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2" s="41" t="str">
        <f>_xlfn.XLOOKUP(tblCostChecklist[[#This Row],[TargetID]],tblTargetStatus[TargetID],tblTargetStatus[Status])</f>
        <v>BLOCKED</v>
      </c>
      <c r="J112" s="25" t="b">
        <v>0</v>
      </c>
    </row>
    <row r="113" spans="1:10">
      <c r="A113" s="41" t="s">
        <v>3770</v>
      </c>
      <c r="B113" s="41" t="str">
        <f>_xlfn.TEXTAFTER(
 _xlfn.TEXTBEFORE(tblCostChecklist[[#This Row],[RequirementID]],".",-2),
 "cost."
)</f>
        <v>building.dairy@2</v>
      </c>
      <c r="C113" s="41" t="str">
        <f>_xlfn.XLOOKUP(tblCostChecklist[[#This Row],[TargetID]],tblTargets[TargetID],tblTargets[DisplayName],"")</f>
        <v>Dairy Lv 2</v>
      </c>
      <c r="D113" s="41" t="str">
        <f>_xlfn.XLOOKUP(tblCostChecklist[[#This Row],[TargetID]],tblTargets[TargetID],tblTargets[TargetType],"")</f>
        <v>BUILDING</v>
      </c>
      <c r="E113" s="41" t="s">
        <v>717</v>
      </c>
      <c r="F113" s="41">
        <v>1</v>
      </c>
      <c r="G113" s="41">
        <f>_xlfn.XLOOKUP(
 tblCostChecklist[[#This Row],[RequirementID]],
 tblCost[RequirementID],
 tblCost[QuantityRequired],
 ""
)</f>
        <v>500</v>
      </c>
      <c r="H1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3" s="41" t="str">
        <f>_xlfn.XLOOKUP(tblCostChecklist[[#This Row],[TargetID]],tblTargetStatus[TargetID],tblTargetStatus[Status])</f>
        <v>BLOCKED</v>
      </c>
      <c r="J113" s="25" t="b">
        <v>0</v>
      </c>
    </row>
    <row r="114" spans="1:10">
      <c r="A114" s="41" t="s">
        <v>3771</v>
      </c>
      <c r="B114" s="41" t="str">
        <f>_xlfn.TEXTAFTER(
 _xlfn.TEXTBEFORE(tblCostChecklist[[#This Row],[RequirementID]],".",-2),
 "cost."
)</f>
        <v>building.dairy@2</v>
      </c>
      <c r="C114" s="41" t="str">
        <f>_xlfn.XLOOKUP(tblCostChecklist[[#This Row],[TargetID]],tblTargets[TargetID],tblTargets[DisplayName],"")</f>
        <v>Dairy Lv 2</v>
      </c>
      <c r="D114" s="41" t="str">
        <f>_xlfn.XLOOKUP(tblCostChecklist[[#This Row],[TargetID]],tblTargets[TargetID],tblTargets[TargetType],"")</f>
        <v>BUILDING</v>
      </c>
      <c r="E114" s="41" t="s">
        <v>719</v>
      </c>
      <c r="F114" s="41">
        <v>1</v>
      </c>
      <c r="G114" s="41">
        <f>_xlfn.XLOOKUP(
 tblCostChecklist[[#This Row],[RequirementID]],
 tblCost[RequirementID],
 tblCost[QuantityRequired],
 ""
)</f>
        <v>30</v>
      </c>
      <c r="H1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4" s="41" t="str">
        <f>_xlfn.XLOOKUP(tblCostChecklist[[#This Row],[TargetID]],tblTargetStatus[TargetID],tblTargetStatus[Status])</f>
        <v>BLOCKED</v>
      </c>
      <c r="J114" s="25" t="b">
        <v>0</v>
      </c>
    </row>
    <row r="115" spans="1:10">
      <c r="A115" s="41" t="s">
        <v>3772</v>
      </c>
      <c r="B115" s="41" t="str">
        <f>_xlfn.TEXTAFTER(
 _xlfn.TEXTBEFORE(tblCostChecklist[[#This Row],[RequirementID]],".",-2),
 "cost."
)</f>
        <v>building.dairy@2</v>
      </c>
      <c r="C115" s="41" t="str">
        <f>_xlfn.XLOOKUP(tblCostChecklist[[#This Row],[TargetID]],tblTargets[TargetID],tblTargets[DisplayName],"")</f>
        <v>Dairy Lv 2</v>
      </c>
      <c r="D115" s="41" t="str">
        <f>_xlfn.XLOOKUP(tblCostChecklist[[#This Row],[TargetID]],tblTargets[TargetID],tblTargets[TargetType],"")</f>
        <v>BUILDING</v>
      </c>
      <c r="E115" s="41" t="s">
        <v>657</v>
      </c>
      <c r="F115" s="41">
        <v>1</v>
      </c>
      <c r="G115" s="41">
        <f>_xlfn.XLOOKUP(
 tblCostChecklist[[#This Row],[RequirementID]],
 tblCost[RequirementID],
 tblCost[QuantityRequired],
 ""
)</f>
        <v>20</v>
      </c>
      <c r="H1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5" s="41" t="str">
        <f>_xlfn.XLOOKUP(tblCostChecklist[[#This Row],[TargetID]],tblTargetStatus[TargetID],tblTargetStatus[Status])</f>
        <v>BLOCKED</v>
      </c>
      <c r="J115" s="25" t="b">
        <v>0</v>
      </c>
    </row>
    <row r="116" spans="1:10">
      <c r="A116" s="41" t="s">
        <v>3773</v>
      </c>
      <c r="B116" s="41" t="str">
        <f>_xlfn.TEXTAFTER(
 _xlfn.TEXTBEFORE(tblCostChecklist[[#This Row],[RequirementID]],".",-2),
 "cost."
)</f>
        <v>building.dairy@2</v>
      </c>
      <c r="C116" s="41" t="str">
        <f>_xlfn.XLOOKUP(tblCostChecklist[[#This Row],[TargetID]],tblTargets[TargetID],tblTargets[DisplayName],"")</f>
        <v>Dairy Lv 2</v>
      </c>
      <c r="D116" s="41" t="str">
        <f>_xlfn.XLOOKUP(tblCostChecklist[[#This Row],[TargetID]],tblTargets[TargetID],tblTargets[TargetType],"")</f>
        <v>BUILDING</v>
      </c>
      <c r="E116" s="41" t="s">
        <v>689</v>
      </c>
      <c r="F116" s="41">
        <v>1</v>
      </c>
      <c r="G116" s="41">
        <f>_xlfn.XLOOKUP(
 tblCostChecklist[[#This Row],[RequirementID]],
 tblCost[RequirementID],
 tblCost[QuantityRequired],
 ""
)</f>
        <v>20</v>
      </c>
      <c r="H1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6" s="41" t="str">
        <f>_xlfn.XLOOKUP(tblCostChecklist[[#This Row],[TargetID]],tblTargetStatus[TargetID],tblTargetStatus[Status])</f>
        <v>BLOCKED</v>
      </c>
      <c r="J116" s="25" t="b">
        <v>0</v>
      </c>
    </row>
    <row r="117" spans="1:10">
      <c r="A117" s="41" t="s">
        <v>3774</v>
      </c>
      <c r="B117" s="41" t="str">
        <f>_xlfn.TEXTAFTER(
 _xlfn.TEXTBEFORE(tblCostChecklist[[#This Row],[RequirementID]],".",-2),
 "cost."
)</f>
        <v>building.dairy@2</v>
      </c>
      <c r="C117" s="41" t="str">
        <f>_xlfn.XLOOKUP(tblCostChecklist[[#This Row],[TargetID]],tblTargets[TargetID],tblTargets[DisplayName],"")</f>
        <v>Dairy Lv 2</v>
      </c>
      <c r="D117" s="41" t="str">
        <f>_xlfn.XLOOKUP(tblCostChecklist[[#This Row],[TargetID]],tblTargets[TargetID],tblTargets[TargetType],"")</f>
        <v>BUILDING</v>
      </c>
      <c r="E117" s="41" t="s">
        <v>670</v>
      </c>
      <c r="F117" s="41">
        <v>1</v>
      </c>
      <c r="G117" s="41">
        <f>_xlfn.XLOOKUP(
 tblCostChecklist[[#This Row],[RequirementID]],
 tblCost[RequirementID],
 tblCost[QuantityRequired],
 ""
)</f>
        <v>10</v>
      </c>
      <c r="H1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7" s="41" t="str">
        <f>_xlfn.XLOOKUP(tblCostChecklist[[#This Row],[TargetID]],tblTargetStatus[TargetID],tblTargetStatus[Status])</f>
        <v>BLOCKED</v>
      </c>
      <c r="J117" s="25" t="b">
        <v>0</v>
      </c>
    </row>
    <row r="118" spans="1:10">
      <c r="A118" s="41" t="s">
        <v>3775</v>
      </c>
      <c r="B118" s="41" t="str">
        <f>_xlfn.TEXTAFTER(
 _xlfn.TEXTBEFORE(tblCostChecklist[[#This Row],[RequirementID]],".",-2),
 "cost."
)</f>
        <v>building.dairy@2</v>
      </c>
      <c r="C118" s="41" t="str">
        <f>_xlfn.XLOOKUP(tblCostChecklist[[#This Row],[TargetID]],tblTargets[TargetID],tblTargets[DisplayName],"")</f>
        <v>Dairy Lv 2</v>
      </c>
      <c r="D118" s="41" t="str">
        <f>_xlfn.XLOOKUP(tblCostChecklist[[#This Row],[TargetID]],tblTargets[TargetID],tblTargets[TargetType],"")</f>
        <v>BUILDING</v>
      </c>
      <c r="E118" s="41" t="s">
        <v>677</v>
      </c>
      <c r="F118" s="41">
        <v>1</v>
      </c>
      <c r="G118" s="41">
        <f>_xlfn.XLOOKUP(
 tblCostChecklist[[#This Row],[RequirementID]],
 tblCost[RequirementID],
 tblCost[QuantityRequired],
 ""
)</f>
        <v>5</v>
      </c>
      <c r="H1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8" s="41" t="str">
        <f>_xlfn.XLOOKUP(tblCostChecklist[[#This Row],[TargetID]],tblTargetStatus[TargetID],tblTargetStatus[Status])</f>
        <v>BLOCKED</v>
      </c>
      <c r="J118" s="25" t="b">
        <v>0</v>
      </c>
    </row>
    <row r="119" spans="1:10">
      <c r="A119" s="41" t="s">
        <v>3776</v>
      </c>
      <c r="B119" s="41" t="str">
        <f>_xlfn.TEXTAFTER(
 _xlfn.TEXTBEFORE(tblCostChecklist[[#This Row],[RequirementID]],".",-2),
 "cost."
)</f>
        <v>building.dungeon@1</v>
      </c>
      <c r="C119" s="41" t="str">
        <f>_xlfn.XLOOKUP(tblCostChecklist[[#This Row],[TargetID]],tblTargets[TargetID],tblTargets[DisplayName],"")</f>
        <v>Dungeon Lv 1</v>
      </c>
      <c r="D119" s="41" t="str">
        <f>_xlfn.XLOOKUP(tblCostChecklist[[#This Row],[TargetID]],tblTargets[TargetID],tblTargets[TargetType],"")</f>
        <v>BUILDING</v>
      </c>
      <c r="E119" s="41" t="s">
        <v>708</v>
      </c>
      <c r="F119" s="41">
        <v>1</v>
      </c>
      <c r="G119" s="41">
        <f>_xlfn.XLOOKUP(
 tblCostChecklist[[#This Row],[RequirementID]],
 tblCost[RequirementID],
 tblCost[QuantityRequired],
 ""
)</f>
        <v>1</v>
      </c>
      <c r="H1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19" s="41" t="str">
        <f>_xlfn.XLOOKUP(tblCostChecklist[[#This Row],[TargetID]],tblTargetStatus[TargetID],tblTargetStatus[Status])</f>
        <v>BLOCKED</v>
      </c>
      <c r="J119" s="25" t="b">
        <v>0</v>
      </c>
    </row>
    <row r="120" spans="1:10">
      <c r="A120" s="41" t="s">
        <v>3777</v>
      </c>
      <c r="B120" s="41" t="str">
        <f>_xlfn.TEXTAFTER(
 _xlfn.TEXTBEFORE(tblCostChecklist[[#This Row],[RequirementID]],".",-2),
 "cost."
)</f>
        <v>building.dungeon@1</v>
      </c>
      <c r="C120" s="41" t="str">
        <f>_xlfn.XLOOKUP(tblCostChecklist[[#This Row],[TargetID]],tblTargets[TargetID],tblTargets[DisplayName],"")</f>
        <v>Dungeon Lv 1</v>
      </c>
      <c r="D120" s="41" t="str">
        <f>_xlfn.XLOOKUP(tblCostChecklist[[#This Row],[TargetID]],tblTargets[TargetID],tblTargets[TargetType],"")</f>
        <v>BUILDING</v>
      </c>
      <c r="E120" s="41" t="s">
        <v>666</v>
      </c>
      <c r="F120" s="41">
        <v>1</v>
      </c>
      <c r="G120" s="41">
        <f>_xlfn.XLOOKUP(
 tblCostChecklist[[#This Row],[RequirementID]],
 tblCost[RequirementID],
 tblCost[QuantityRequired],
 ""
)</f>
        <v>300</v>
      </c>
      <c r="H1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20" s="41" t="str">
        <f>_xlfn.XLOOKUP(tblCostChecklist[[#This Row],[TargetID]],tblTargetStatus[TargetID],tblTargetStatus[Status])</f>
        <v>BLOCKED</v>
      </c>
      <c r="J120" s="25" t="b">
        <v>0</v>
      </c>
    </row>
    <row r="121" spans="1:10">
      <c r="A121" s="41" t="s">
        <v>3778</v>
      </c>
      <c r="B121" s="41" t="str">
        <f>_xlfn.TEXTAFTER(
 _xlfn.TEXTBEFORE(tblCostChecklist[[#This Row],[RequirementID]],".",-2),
 "cost."
)</f>
        <v>building.dungeon@1</v>
      </c>
      <c r="C121" s="41" t="str">
        <f>_xlfn.XLOOKUP(tblCostChecklist[[#This Row],[TargetID]],tblTargets[TargetID],tblTargets[DisplayName],"")</f>
        <v>Dungeon Lv 1</v>
      </c>
      <c r="D121" s="41" t="str">
        <f>_xlfn.XLOOKUP(tblCostChecklist[[#This Row],[TargetID]],tblTargets[TargetID],tblTargets[TargetType],"")</f>
        <v>BUILDING</v>
      </c>
      <c r="E121" s="41" t="s">
        <v>723</v>
      </c>
      <c r="F121" s="41">
        <v>1</v>
      </c>
      <c r="G121" s="41">
        <f>_xlfn.XLOOKUP(
 tblCostChecklist[[#This Row],[RequirementID]],
 tblCost[RequirementID],
 tblCost[QuantityRequired],
 ""
)</f>
        <v>200</v>
      </c>
      <c r="H1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21" s="41" t="str">
        <f>_xlfn.XLOOKUP(tblCostChecklist[[#This Row],[TargetID]],tblTargetStatus[TargetID],tblTargetStatus[Status])</f>
        <v>BLOCKED</v>
      </c>
      <c r="J121" s="25" t="b">
        <v>0</v>
      </c>
    </row>
    <row r="122" spans="1:10">
      <c r="A122" s="41" t="s">
        <v>3779</v>
      </c>
      <c r="B122" s="41" t="str">
        <f>_xlfn.TEXTAFTER(
 _xlfn.TEXTBEFORE(tblCostChecklist[[#This Row],[RequirementID]],".",-2),
 "cost."
)</f>
        <v>building.dungeon@1</v>
      </c>
      <c r="C122" s="41" t="str">
        <f>_xlfn.XLOOKUP(tblCostChecklist[[#This Row],[TargetID]],tblTargets[TargetID],tblTargets[DisplayName],"")</f>
        <v>Dungeon Lv 1</v>
      </c>
      <c r="D122" s="41" t="str">
        <f>_xlfn.XLOOKUP(tblCostChecklist[[#This Row],[TargetID]],tblTargets[TargetID],tblTargets[TargetType],"")</f>
        <v>BUILDING</v>
      </c>
      <c r="E122" s="41" t="s">
        <v>717</v>
      </c>
      <c r="F122" s="41">
        <v>1</v>
      </c>
      <c r="G122" s="41">
        <f>_xlfn.XLOOKUP(
 tblCostChecklist[[#This Row],[RequirementID]],
 tblCost[RequirementID],
 tblCost[QuantityRequired],
 ""
)</f>
        <v>50</v>
      </c>
      <c r="H1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22" s="41" t="str">
        <f>_xlfn.XLOOKUP(tblCostChecklist[[#This Row],[TargetID]],tblTargetStatus[TargetID],tblTargetStatus[Status])</f>
        <v>BLOCKED</v>
      </c>
      <c r="J122" s="25" t="b">
        <v>0</v>
      </c>
    </row>
    <row r="123" spans="1:10">
      <c r="A123" s="41" t="s">
        <v>3780</v>
      </c>
      <c r="B123" s="41" t="str">
        <f>_xlfn.TEXTAFTER(
 _xlfn.TEXTBEFORE(tblCostChecklist[[#This Row],[RequirementID]],".",-2),
 "cost."
)</f>
        <v>building.dungeon@1</v>
      </c>
      <c r="C123" s="41" t="str">
        <f>_xlfn.XLOOKUP(tblCostChecklist[[#This Row],[TargetID]],tblTargets[TargetID],tblTargets[DisplayName],"")</f>
        <v>Dungeon Lv 1</v>
      </c>
      <c r="D123" s="41" t="str">
        <f>_xlfn.XLOOKUP(tblCostChecklist[[#This Row],[TargetID]],tblTargets[TargetID],tblTargets[TargetType],"")</f>
        <v>BUILDING</v>
      </c>
      <c r="E123" s="41" t="s">
        <v>716</v>
      </c>
      <c r="F123" s="41">
        <v>1</v>
      </c>
      <c r="G123" s="41">
        <f>_xlfn.XLOOKUP(
 tblCostChecklist[[#This Row],[RequirementID]],
 tblCost[RequirementID],
 tblCost[QuantityRequired],
 ""
)</f>
        <v>100</v>
      </c>
      <c r="H1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23" s="41" t="str">
        <f>_xlfn.XLOOKUP(tblCostChecklist[[#This Row],[TargetID]],tblTargetStatus[TargetID],tblTargetStatus[Status])</f>
        <v>BLOCKED</v>
      </c>
      <c r="J123" s="25" t="b">
        <v>0</v>
      </c>
    </row>
    <row r="124" spans="1:10">
      <c r="A124" s="41" t="s">
        <v>3781</v>
      </c>
      <c r="B124" s="41" t="str">
        <f>_xlfn.TEXTAFTER(
 _xlfn.TEXTBEFORE(tblCostChecklist[[#This Row],[RequirementID]],".",-2),
 "cost."
)</f>
        <v>building.dungeon@1</v>
      </c>
      <c r="C124" s="41" t="str">
        <f>_xlfn.XLOOKUP(tblCostChecklist[[#This Row],[TargetID]],tblTargets[TargetID],tblTargets[DisplayName],"")</f>
        <v>Dungeon Lv 1</v>
      </c>
      <c r="D124" s="41" t="str">
        <f>_xlfn.XLOOKUP(tblCostChecklist[[#This Row],[TargetID]],tblTargets[TargetID],tblTargets[TargetType],"")</f>
        <v>BUILDING</v>
      </c>
      <c r="E124" s="41" t="s">
        <v>671</v>
      </c>
      <c r="F124" s="41">
        <v>1</v>
      </c>
      <c r="G124" s="41">
        <f>_xlfn.XLOOKUP(
 tblCostChecklist[[#This Row],[RequirementID]],
 tblCost[RequirementID],
 tblCost[QuantityRequired],
 ""
)</f>
        <v>30</v>
      </c>
      <c r="H1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24" s="41" t="str">
        <f>_xlfn.XLOOKUP(tblCostChecklist[[#This Row],[TargetID]],tblTargetStatus[TargetID],tblTargetStatus[Status])</f>
        <v>BLOCKED</v>
      </c>
      <c r="J124" s="25" t="b">
        <v>0</v>
      </c>
    </row>
    <row r="125" spans="1:10">
      <c r="A125" s="41" t="s">
        <v>3782</v>
      </c>
      <c r="B125" s="41" t="str">
        <f>_xlfn.TEXTAFTER(
 _xlfn.TEXTBEFORE(tblCostChecklist[[#This Row],[RequirementID]],".",-2),
 "cost."
)</f>
        <v>building.dungeon@2</v>
      </c>
      <c r="C125" s="41" t="str">
        <f>_xlfn.XLOOKUP(tblCostChecklist[[#This Row],[TargetID]],tblTargets[TargetID],tblTargets[DisplayName],"")</f>
        <v>Dungeon Lv 2</v>
      </c>
      <c r="D125" s="41" t="str">
        <f>_xlfn.XLOOKUP(tblCostChecklist[[#This Row],[TargetID]],tblTargets[TargetID],tblTargets[TargetType],"")</f>
        <v>BUILDING</v>
      </c>
      <c r="E125" s="41" t="s">
        <v>708</v>
      </c>
      <c r="F125" s="41">
        <v>1</v>
      </c>
      <c r="G125" s="41">
        <f>_xlfn.XLOOKUP(
 tblCostChecklist[[#This Row],[RequirementID]],
 tblCost[RequirementID],
 tblCost[QuantityRequired],
 ""
)</f>
        <v>2</v>
      </c>
      <c r="H1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25" s="41" t="str">
        <f>_xlfn.XLOOKUP(tblCostChecklist[[#This Row],[TargetID]],tblTargetStatus[TargetID],tblTargetStatus[Status])</f>
        <v>BLOCKED</v>
      </c>
      <c r="J125" s="25" t="b">
        <v>0</v>
      </c>
    </row>
    <row r="126" spans="1:10">
      <c r="A126" s="41" t="s">
        <v>3783</v>
      </c>
      <c r="B126" s="41" t="str">
        <f>_xlfn.TEXTAFTER(
 _xlfn.TEXTBEFORE(tblCostChecklist[[#This Row],[RequirementID]],".",-2),
 "cost."
)</f>
        <v>building.dungeon@2</v>
      </c>
      <c r="C126" s="41" t="str">
        <f>_xlfn.XLOOKUP(tblCostChecklist[[#This Row],[TargetID]],tblTargets[TargetID],tblTargets[DisplayName],"")</f>
        <v>Dungeon Lv 2</v>
      </c>
      <c r="D126" s="41" t="str">
        <f>_xlfn.XLOOKUP(tblCostChecklist[[#This Row],[TargetID]],tblTargets[TargetID],tblTargets[TargetType],"")</f>
        <v>BUILDING</v>
      </c>
      <c r="E126" s="41" t="s">
        <v>666</v>
      </c>
      <c r="F126" s="41">
        <v>1</v>
      </c>
      <c r="G126" s="41">
        <f>_xlfn.XLOOKUP(
 tblCostChecklist[[#This Row],[RequirementID]],
 tblCost[RequirementID],
 tblCost[QuantityRequired],
 ""
)</f>
        <v>500</v>
      </c>
      <c r="H1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26" s="41" t="str">
        <f>_xlfn.XLOOKUP(tblCostChecklist[[#This Row],[TargetID]],tblTargetStatus[TargetID],tblTargetStatus[Status])</f>
        <v>BLOCKED</v>
      </c>
      <c r="J126" s="25" t="b">
        <v>0</v>
      </c>
    </row>
    <row r="127" spans="1:10">
      <c r="A127" s="41" t="s">
        <v>3784</v>
      </c>
      <c r="B127" s="41" t="str">
        <f>_xlfn.TEXTAFTER(
 _xlfn.TEXTBEFORE(tblCostChecklist[[#This Row],[RequirementID]],".",-2),
 "cost."
)</f>
        <v>building.dungeon@2</v>
      </c>
      <c r="C127" s="41" t="str">
        <f>_xlfn.XLOOKUP(tblCostChecklist[[#This Row],[TargetID]],tblTargets[TargetID],tblTargets[DisplayName],"")</f>
        <v>Dungeon Lv 2</v>
      </c>
      <c r="D127" s="41" t="str">
        <f>_xlfn.XLOOKUP(tblCostChecklist[[#This Row],[TargetID]],tblTargets[TargetID],tblTargets[TargetType],"")</f>
        <v>BUILDING</v>
      </c>
      <c r="E127" s="41" t="s">
        <v>658</v>
      </c>
      <c r="F127" s="41">
        <v>1</v>
      </c>
      <c r="G127" s="41">
        <f>_xlfn.XLOOKUP(
 tblCostChecklist[[#This Row],[RequirementID]],
 tblCost[RequirementID],
 tblCost[QuantityRequired],
 ""
)</f>
        <v>500</v>
      </c>
      <c r="H1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27" s="41" t="str">
        <f>_xlfn.XLOOKUP(tblCostChecklist[[#This Row],[TargetID]],tblTargetStatus[TargetID],tblTargetStatus[Status])</f>
        <v>BLOCKED</v>
      </c>
      <c r="J127" s="25" t="b">
        <v>0</v>
      </c>
    </row>
    <row r="128" spans="1:10">
      <c r="A128" s="41" t="s">
        <v>3785</v>
      </c>
      <c r="B128" s="41" t="str">
        <f>_xlfn.TEXTAFTER(
 _xlfn.TEXTBEFORE(tblCostChecklist[[#This Row],[RequirementID]],".",-2),
 "cost."
)</f>
        <v>building.dungeon@2</v>
      </c>
      <c r="C128" s="41" t="str">
        <f>_xlfn.XLOOKUP(tblCostChecklist[[#This Row],[TargetID]],tblTargets[TargetID],tblTargets[DisplayName],"")</f>
        <v>Dungeon Lv 2</v>
      </c>
      <c r="D128" s="41" t="str">
        <f>_xlfn.XLOOKUP(tblCostChecklist[[#This Row],[TargetID]],tblTargets[TargetID],tblTargets[TargetType],"")</f>
        <v>BUILDING</v>
      </c>
      <c r="E128" s="41" t="s">
        <v>716</v>
      </c>
      <c r="F128" s="41">
        <v>1</v>
      </c>
      <c r="G128" s="41">
        <f>_xlfn.XLOOKUP(
 tblCostChecklist[[#This Row],[RequirementID]],
 tblCost[RequirementID],
 tblCost[QuantityRequired],
 ""
)</f>
        <v>400</v>
      </c>
      <c r="H1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28" s="41" t="str">
        <f>_xlfn.XLOOKUP(tblCostChecklist[[#This Row],[TargetID]],tblTargetStatus[TargetID],tblTargetStatus[Status])</f>
        <v>BLOCKED</v>
      </c>
      <c r="J128" s="25" t="b">
        <v>0</v>
      </c>
    </row>
    <row r="129" spans="1:10">
      <c r="A129" s="41" t="s">
        <v>3786</v>
      </c>
      <c r="B129" s="41" t="str">
        <f>_xlfn.TEXTAFTER(
 _xlfn.TEXTBEFORE(tblCostChecklist[[#This Row],[RequirementID]],".",-2),
 "cost."
)</f>
        <v>building.dungeon@2</v>
      </c>
      <c r="C129" s="41" t="str">
        <f>_xlfn.XLOOKUP(tblCostChecklist[[#This Row],[TargetID]],tblTargets[TargetID],tblTargets[DisplayName],"")</f>
        <v>Dungeon Lv 2</v>
      </c>
      <c r="D129" s="41" t="str">
        <f>_xlfn.XLOOKUP(tblCostChecklist[[#This Row],[TargetID]],tblTargets[TargetID],tblTargets[TargetType],"")</f>
        <v>BUILDING</v>
      </c>
      <c r="E129" s="41" t="s">
        <v>700</v>
      </c>
      <c r="F129" s="41">
        <v>1</v>
      </c>
      <c r="G129" s="41">
        <f>_xlfn.XLOOKUP(
 tblCostChecklist[[#This Row],[RequirementID]],
 tblCost[RequirementID],
 tblCost[QuantityRequired],
 ""
)</f>
        <v>100</v>
      </c>
      <c r="H1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29" s="41" t="str">
        <f>_xlfn.XLOOKUP(tblCostChecklist[[#This Row],[TargetID]],tblTargetStatus[TargetID],tblTargetStatus[Status])</f>
        <v>BLOCKED</v>
      </c>
      <c r="J129" s="25" t="b">
        <v>0</v>
      </c>
    </row>
    <row r="130" spans="1:10">
      <c r="A130" s="41" t="s">
        <v>3787</v>
      </c>
      <c r="B130" s="41" t="str">
        <f>_xlfn.TEXTAFTER(
 _xlfn.TEXTBEFORE(tblCostChecklist[[#This Row],[RequirementID]],".",-2),
 "cost."
)</f>
        <v>building.dungeon@2</v>
      </c>
      <c r="C130" s="41" t="str">
        <f>_xlfn.XLOOKUP(tblCostChecklist[[#This Row],[TargetID]],tblTargets[TargetID],tblTargets[DisplayName],"")</f>
        <v>Dungeon Lv 2</v>
      </c>
      <c r="D130" s="41" t="str">
        <f>_xlfn.XLOOKUP(tblCostChecklist[[#This Row],[TargetID]],tblTargets[TargetID],tblTargets[TargetType],"")</f>
        <v>BUILDING</v>
      </c>
      <c r="E130" s="41" t="s">
        <v>660</v>
      </c>
      <c r="F130" s="41">
        <v>1</v>
      </c>
      <c r="G130" s="41">
        <f>_xlfn.XLOOKUP(
 tblCostChecklist[[#This Row],[RequirementID]],
 tblCost[RequirementID],
 tblCost[QuantityRequired],
 ""
)</f>
        <v>5</v>
      </c>
      <c r="H1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30" s="41" t="str">
        <f>_xlfn.XLOOKUP(tblCostChecklist[[#This Row],[TargetID]],tblTargetStatus[TargetID],tblTargetStatus[Status])</f>
        <v>BLOCKED</v>
      </c>
      <c r="J130" s="25" t="b">
        <v>0</v>
      </c>
    </row>
    <row r="131" spans="1:10">
      <c r="A131" s="41" t="s">
        <v>3788</v>
      </c>
      <c r="B131" s="41" t="str">
        <f>_xlfn.TEXTAFTER(
 _xlfn.TEXTBEFORE(tblCostChecklist[[#This Row],[RequirementID]],".",-2),
 "cost."
)</f>
        <v>building.dungeon@2</v>
      </c>
      <c r="C131" s="41" t="str">
        <f>_xlfn.XLOOKUP(tblCostChecklist[[#This Row],[TargetID]],tblTargets[TargetID],tblTargets[DisplayName],"")</f>
        <v>Dungeon Lv 2</v>
      </c>
      <c r="D131" s="41" t="str">
        <f>_xlfn.XLOOKUP(tblCostChecklist[[#This Row],[TargetID]],tblTargets[TargetID],tblTargets[TargetType],"")</f>
        <v>BUILDING</v>
      </c>
      <c r="E131" s="41" t="s">
        <v>696</v>
      </c>
      <c r="F131" s="41">
        <v>1</v>
      </c>
      <c r="G131" s="41">
        <f>_xlfn.XLOOKUP(
 tblCostChecklist[[#This Row],[RequirementID]],
 tblCost[RequirementID],
 tblCost[QuantityRequired],
 ""
)</f>
        <v>15</v>
      </c>
      <c r="H1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31" s="41" t="str">
        <f>_xlfn.XLOOKUP(tblCostChecklist[[#This Row],[TargetID]],tblTargetStatus[TargetID],tblTargetStatus[Status])</f>
        <v>BLOCKED</v>
      </c>
      <c r="J131" s="25" t="b">
        <v>0</v>
      </c>
    </row>
    <row r="132" spans="1:10">
      <c r="A132" s="41" t="s">
        <v>3789</v>
      </c>
      <c r="B132" s="41" t="str">
        <f>_xlfn.TEXTAFTER(
 _xlfn.TEXTBEFORE(tblCostChecklist[[#This Row],[RequirementID]],".",-2),
 "cost."
)</f>
        <v>building.dungeon@3</v>
      </c>
      <c r="C132" s="41" t="str">
        <f>_xlfn.XLOOKUP(tblCostChecklist[[#This Row],[TargetID]],tblTargets[TargetID],tblTargets[DisplayName],"")</f>
        <v>Dungeon Lv 3</v>
      </c>
      <c r="D132" s="41" t="str">
        <f>_xlfn.XLOOKUP(tblCostChecklist[[#This Row],[TargetID]],tblTargets[TargetID],tblTargets[TargetType],"")</f>
        <v>BUILDING</v>
      </c>
      <c r="E132" s="41" t="s">
        <v>708</v>
      </c>
      <c r="F132" s="41">
        <v>1</v>
      </c>
      <c r="G132" s="41">
        <f>_xlfn.XLOOKUP(
 tblCostChecklist[[#This Row],[RequirementID]],
 tblCost[RequirementID],
 tblCost[QuantityRequired],
 ""
)</f>
        <v>3</v>
      </c>
      <c r="H1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2" s="41" t="str">
        <f>_xlfn.XLOOKUP(tblCostChecklist[[#This Row],[TargetID]],tblTargetStatus[TargetID],tblTargetStatus[Status])</f>
        <v>BLOCKED</v>
      </c>
      <c r="J132" s="25" t="b">
        <v>0</v>
      </c>
    </row>
    <row r="133" spans="1:10">
      <c r="A133" s="41" t="s">
        <v>3790</v>
      </c>
      <c r="B133" s="41" t="str">
        <f>_xlfn.TEXTAFTER(
 _xlfn.TEXTBEFORE(tblCostChecklist[[#This Row],[RequirementID]],".",-2),
 "cost."
)</f>
        <v>building.dungeon@3</v>
      </c>
      <c r="C133" s="41" t="str">
        <f>_xlfn.XLOOKUP(tblCostChecklist[[#This Row],[TargetID]],tblTargets[TargetID],tblTargets[DisplayName],"")</f>
        <v>Dungeon Lv 3</v>
      </c>
      <c r="D133" s="41" t="str">
        <f>_xlfn.XLOOKUP(tblCostChecklist[[#This Row],[TargetID]],tblTargets[TargetID],tblTargets[TargetType],"")</f>
        <v>BUILDING</v>
      </c>
      <c r="E133" s="41" t="s">
        <v>666</v>
      </c>
      <c r="F133" s="41">
        <v>1</v>
      </c>
      <c r="G133" s="41">
        <f>_xlfn.XLOOKUP(
 tblCostChecklist[[#This Row],[RequirementID]],
 tblCost[RequirementID],
 tblCost[QuantityRequired],
 ""
)</f>
        <v>1000</v>
      </c>
      <c r="H1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3" s="41" t="str">
        <f>_xlfn.XLOOKUP(tblCostChecklist[[#This Row],[TargetID]],tblTargetStatus[TargetID],tblTargetStatus[Status])</f>
        <v>BLOCKED</v>
      </c>
      <c r="J133" s="25" t="b">
        <v>0</v>
      </c>
    </row>
    <row r="134" spans="1:10">
      <c r="A134" s="41" t="s">
        <v>3791</v>
      </c>
      <c r="B134" s="41" t="str">
        <f>_xlfn.TEXTAFTER(
 _xlfn.TEXTBEFORE(tblCostChecklist[[#This Row],[RequirementID]],".",-2),
 "cost."
)</f>
        <v>building.dungeon@3</v>
      </c>
      <c r="C134" s="41" t="str">
        <f>_xlfn.XLOOKUP(tblCostChecklist[[#This Row],[TargetID]],tblTargets[TargetID],tblTargets[DisplayName],"")</f>
        <v>Dungeon Lv 3</v>
      </c>
      <c r="D134" s="41" t="str">
        <f>_xlfn.XLOOKUP(tblCostChecklist[[#This Row],[TargetID]],tblTargets[TargetID],tblTargets[TargetType],"")</f>
        <v>BUILDING</v>
      </c>
      <c r="E134" s="41" t="s">
        <v>658</v>
      </c>
      <c r="F134" s="41">
        <v>1</v>
      </c>
      <c r="G134" s="41">
        <f>_xlfn.XLOOKUP(
 tblCostChecklist[[#This Row],[RequirementID]],
 tblCost[RequirementID],
 tblCost[QuantityRequired],
 ""
)</f>
        <v>500</v>
      </c>
      <c r="H1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4" s="41" t="str">
        <f>_xlfn.XLOOKUP(tblCostChecklist[[#This Row],[TargetID]],tblTargetStatus[TargetID],tblTargetStatus[Status])</f>
        <v>BLOCKED</v>
      </c>
      <c r="J134" s="25" t="b">
        <v>0</v>
      </c>
    </row>
    <row r="135" spans="1:10">
      <c r="A135" s="41" t="s">
        <v>3792</v>
      </c>
      <c r="B135" s="41" t="str">
        <f>_xlfn.TEXTAFTER(
 _xlfn.TEXTBEFORE(tblCostChecklist[[#This Row],[RequirementID]],".",-2),
 "cost."
)</f>
        <v>building.dungeon@3</v>
      </c>
      <c r="C135" s="41" t="str">
        <f>_xlfn.XLOOKUP(tblCostChecklist[[#This Row],[TargetID]],tblTargets[TargetID],tblTargets[DisplayName],"")</f>
        <v>Dungeon Lv 3</v>
      </c>
      <c r="D135" s="41" t="str">
        <f>_xlfn.XLOOKUP(tblCostChecklist[[#This Row],[TargetID]],tblTargets[TargetID],tblTargets[TargetType],"")</f>
        <v>BUILDING</v>
      </c>
      <c r="E135" s="41" t="s">
        <v>716</v>
      </c>
      <c r="F135" s="41">
        <v>1</v>
      </c>
      <c r="G135" s="41">
        <f>_xlfn.XLOOKUP(
 tblCostChecklist[[#This Row],[RequirementID]],
 tblCost[RequirementID],
 tblCost[QuantityRequired],
 ""
)</f>
        <v>400</v>
      </c>
      <c r="H1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5" s="41" t="str">
        <f>_xlfn.XLOOKUP(tblCostChecklist[[#This Row],[TargetID]],tblTargetStatus[TargetID],tblTargetStatus[Status])</f>
        <v>BLOCKED</v>
      </c>
      <c r="J135" s="25" t="b">
        <v>0</v>
      </c>
    </row>
    <row r="136" spans="1:10">
      <c r="A136" s="41" t="s">
        <v>3793</v>
      </c>
      <c r="B136" s="41" t="str">
        <f>_xlfn.TEXTAFTER(
 _xlfn.TEXTBEFORE(tblCostChecklist[[#This Row],[RequirementID]],".",-2),
 "cost."
)</f>
        <v>building.dungeon@3</v>
      </c>
      <c r="C136" s="41" t="str">
        <f>_xlfn.XLOOKUP(tblCostChecklist[[#This Row],[TargetID]],tblTargets[TargetID],tblTargets[DisplayName],"")</f>
        <v>Dungeon Lv 3</v>
      </c>
      <c r="D136" s="41" t="str">
        <f>_xlfn.XLOOKUP(tblCostChecklist[[#This Row],[TargetID]],tblTargets[TargetID],tblTargets[TargetType],"")</f>
        <v>BUILDING</v>
      </c>
      <c r="E136" s="41" t="s">
        <v>684</v>
      </c>
      <c r="F136" s="41">
        <v>1</v>
      </c>
      <c r="G136" s="41">
        <f>_xlfn.XLOOKUP(
 tblCostChecklist[[#This Row],[RequirementID]],
 tblCost[RequirementID],
 tblCost[QuantityRequired],
 ""
)</f>
        <v>50</v>
      </c>
      <c r="H1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6" s="41" t="str">
        <f>_xlfn.XLOOKUP(tblCostChecklist[[#This Row],[TargetID]],tblTargetStatus[TargetID],tblTargetStatus[Status])</f>
        <v>BLOCKED</v>
      </c>
      <c r="J136" s="25" t="b">
        <v>0</v>
      </c>
    </row>
    <row r="137" spans="1:10">
      <c r="A137" s="41" t="s">
        <v>3794</v>
      </c>
      <c r="B137" s="41" t="str">
        <f>_xlfn.TEXTAFTER(
 _xlfn.TEXTBEFORE(tblCostChecklist[[#This Row],[RequirementID]],".",-2),
 "cost."
)</f>
        <v>building.dungeon@3</v>
      </c>
      <c r="C137" s="41" t="str">
        <f>_xlfn.XLOOKUP(tblCostChecklist[[#This Row],[TargetID]],tblTargets[TargetID],tblTargets[DisplayName],"")</f>
        <v>Dungeon Lv 3</v>
      </c>
      <c r="D137" s="41" t="str">
        <f>_xlfn.XLOOKUP(tblCostChecklist[[#This Row],[TargetID]],tblTargets[TargetID],tblTargets[TargetType],"")</f>
        <v>BUILDING</v>
      </c>
      <c r="E137" s="41" t="s">
        <v>704</v>
      </c>
      <c r="F137" s="41">
        <v>1</v>
      </c>
      <c r="G137" s="41">
        <f>_xlfn.XLOOKUP(
 tblCostChecklist[[#This Row],[RequirementID]],
 tblCost[RequirementID],
 tblCost[QuantityRequired],
 ""
)</f>
        <v>3</v>
      </c>
      <c r="H1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7" s="41" t="str">
        <f>_xlfn.XLOOKUP(tblCostChecklist[[#This Row],[TargetID]],tblTargetStatus[TargetID],tblTargetStatus[Status])</f>
        <v>BLOCKED</v>
      </c>
      <c r="J137" s="25" t="b">
        <v>0</v>
      </c>
    </row>
    <row r="138" spans="1:10">
      <c r="A138" s="41" t="s">
        <v>3795</v>
      </c>
      <c r="B138" s="41" t="str">
        <f>_xlfn.TEXTAFTER(
 _xlfn.TEXTBEFORE(tblCostChecklist[[#This Row],[RequirementID]],".",-2),
 "cost."
)</f>
        <v>building.dungeon@3</v>
      </c>
      <c r="C138" s="41" t="str">
        <f>_xlfn.XLOOKUP(tblCostChecklist[[#This Row],[TargetID]],tblTargets[TargetID],tblTargets[DisplayName],"")</f>
        <v>Dungeon Lv 3</v>
      </c>
      <c r="D138" s="41" t="str">
        <f>_xlfn.XLOOKUP(tblCostChecklist[[#This Row],[TargetID]],tblTargets[TargetID],tblTargets[TargetType],"")</f>
        <v>BUILDING</v>
      </c>
      <c r="E138" s="41" t="s">
        <v>696</v>
      </c>
      <c r="F138" s="41">
        <v>1</v>
      </c>
      <c r="G138" s="41">
        <f>_xlfn.XLOOKUP(
 tblCostChecklist[[#This Row],[RequirementID]],
 tblCost[RequirementID],
 tblCost[QuantityRequired],
 ""
)</f>
        <v>15</v>
      </c>
      <c r="H1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8" s="41" t="str">
        <f>_xlfn.XLOOKUP(tblCostChecklist[[#This Row],[TargetID]],tblTargetStatus[TargetID],tblTargetStatus[Status])</f>
        <v>BLOCKED</v>
      </c>
      <c r="J138" s="25" t="b">
        <v>0</v>
      </c>
    </row>
    <row r="139" spans="1:10">
      <c r="A139" s="41" t="s">
        <v>3796</v>
      </c>
      <c r="B139" s="41" t="str">
        <f>_xlfn.TEXTAFTER(
 _xlfn.TEXTBEFORE(tblCostChecklist[[#This Row],[RequirementID]],".",-2),
 "cost."
)</f>
        <v>building.dungeon@4</v>
      </c>
      <c r="C139" s="41" t="str">
        <f>_xlfn.XLOOKUP(tblCostChecklist[[#This Row],[TargetID]],tblTargets[TargetID],tblTargets[DisplayName],"")</f>
        <v>Dungeon Lv 4</v>
      </c>
      <c r="D139" s="41" t="str">
        <f>_xlfn.XLOOKUP(tblCostChecklist[[#This Row],[TargetID]],tblTargets[TargetID],tblTargets[TargetType],"")</f>
        <v>BUILDING</v>
      </c>
      <c r="E139" s="41" t="s">
        <v>708</v>
      </c>
      <c r="F139" s="41">
        <v>1</v>
      </c>
      <c r="G139" s="41">
        <f>_xlfn.XLOOKUP(
 tblCostChecklist[[#This Row],[RequirementID]],
 tblCost[RequirementID],
 tblCost[QuantityRequired],
 ""
)</f>
        <v>5</v>
      </c>
      <c r="H1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39" s="41" t="str">
        <f>_xlfn.XLOOKUP(tblCostChecklist[[#This Row],[TargetID]],tblTargetStatus[TargetID],tblTargetStatus[Status])</f>
        <v>BLOCKED</v>
      </c>
      <c r="J139" s="25" t="b">
        <v>0</v>
      </c>
    </row>
    <row r="140" spans="1:10">
      <c r="A140" s="41" t="s">
        <v>3797</v>
      </c>
      <c r="B140" s="41" t="str">
        <f>_xlfn.TEXTAFTER(
 _xlfn.TEXTBEFORE(tblCostChecklist[[#This Row],[RequirementID]],".",-2),
 "cost."
)</f>
        <v>building.dungeon@4</v>
      </c>
      <c r="C140" s="41" t="str">
        <f>_xlfn.XLOOKUP(tblCostChecklist[[#This Row],[TargetID]],tblTargets[TargetID],tblTargets[DisplayName],"")</f>
        <v>Dungeon Lv 4</v>
      </c>
      <c r="D140" s="41" t="str">
        <f>_xlfn.XLOOKUP(tblCostChecklist[[#This Row],[TargetID]],tblTargets[TargetID],tblTargets[TargetType],"")</f>
        <v>BUILDING</v>
      </c>
      <c r="E140" s="41" t="s">
        <v>666</v>
      </c>
      <c r="F140" s="41">
        <v>1</v>
      </c>
      <c r="G140" s="41">
        <f>_xlfn.XLOOKUP(
 tblCostChecklist[[#This Row],[RequirementID]],
 tblCost[RequirementID],
 tblCost[QuantityRequired],
 ""
)</f>
        <v>1500</v>
      </c>
      <c r="H1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0" s="41" t="str">
        <f>_xlfn.XLOOKUP(tblCostChecklist[[#This Row],[TargetID]],tblTargetStatus[TargetID],tblTargetStatus[Status])</f>
        <v>BLOCKED</v>
      </c>
      <c r="J140" s="25" t="b">
        <v>0</v>
      </c>
    </row>
    <row r="141" spans="1:10">
      <c r="A141" s="41" t="s">
        <v>3798</v>
      </c>
      <c r="B141" s="41" t="str">
        <f>_xlfn.TEXTAFTER(
 _xlfn.TEXTBEFORE(tblCostChecklist[[#This Row],[RequirementID]],".",-2),
 "cost."
)</f>
        <v>building.dungeon@4</v>
      </c>
      <c r="C141" s="41" t="str">
        <f>_xlfn.XLOOKUP(tblCostChecklist[[#This Row],[TargetID]],tblTargets[TargetID],tblTargets[DisplayName],"")</f>
        <v>Dungeon Lv 4</v>
      </c>
      <c r="D141" s="41" t="str">
        <f>_xlfn.XLOOKUP(tblCostChecklist[[#This Row],[TargetID]],tblTargets[TargetID],tblTargets[TargetType],"")</f>
        <v>BUILDING</v>
      </c>
      <c r="E141" s="41" t="s">
        <v>658</v>
      </c>
      <c r="F141" s="41">
        <v>1</v>
      </c>
      <c r="G141" s="41">
        <f>_xlfn.XLOOKUP(
 tblCostChecklist[[#This Row],[RequirementID]],
 tblCost[RequirementID],
 tblCost[QuantityRequired],
 ""
)</f>
        <v>750</v>
      </c>
      <c r="H1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1" s="41" t="str">
        <f>_xlfn.XLOOKUP(tblCostChecklist[[#This Row],[TargetID]],tblTargetStatus[TargetID],tblTargetStatus[Status])</f>
        <v>BLOCKED</v>
      </c>
      <c r="J141" s="25" t="b">
        <v>0</v>
      </c>
    </row>
    <row r="142" spans="1:10">
      <c r="A142" s="41" t="s">
        <v>3799</v>
      </c>
      <c r="B142" s="41" t="str">
        <f>_xlfn.TEXTAFTER(
 _xlfn.TEXTBEFORE(tblCostChecklist[[#This Row],[RequirementID]],".",-2),
 "cost."
)</f>
        <v>building.dungeon@4</v>
      </c>
      <c r="C142" s="41" t="str">
        <f>_xlfn.XLOOKUP(tblCostChecklist[[#This Row],[TargetID]],tblTargets[TargetID],tblTargets[DisplayName],"")</f>
        <v>Dungeon Lv 4</v>
      </c>
      <c r="D142" s="41" t="str">
        <f>_xlfn.XLOOKUP(tblCostChecklist[[#This Row],[TargetID]],tblTargets[TargetID],tblTargets[TargetType],"")</f>
        <v>BUILDING</v>
      </c>
      <c r="E142" s="41" t="s">
        <v>695</v>
      </c>
      <c r="F142" s="41">
        <v>1</v>
      </c>
      <c r="G142" s="41">
        <f>_xlfn.XLOOKUP(
 tblCostChecklist[[#This Row],[RequirementID]],
 tblCost[RequirementID],
 tblCost[QuantityRequired],
 ""
)</f>
        <v>30</v>
      </c>
      <c r="H1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2" s="41" t="str">
        <f>_xlfn.XLOOKUP(tblCostChecklist[[#This Row],[TargetID]],tblTargetStatus[TargetID],tblTargetStatus[Status])</f>
        <v>BLOCKED</v>
      </c>
      <c r="J142" s="25" t="b">
        <v>0</v>
      </c>
    </row>
    <row r="143" spans="1:10">
      <c r="A143" s="41" t="s">
        <v>3800</v>
      </c>
      <c r="B143" s="41" t="str">
        <f>_xlfn.TEXTAFTER(
 _xlfn.TEXTBEFORE(tblCostChecklist[[#This Row],[RequirementID]],".",-2),
 "cost."
)</f>
        <v>building.dungeon@4</v>
      </c>
      <c r="C143" s="41" t="str">
        <f>_xlfn.XLOOKUP(tblCostChecklist[[#This Row],[TargetID]],tblTargets[TargetID],tblTargets[DisplayName],"")</f>
        <v>Dungeon Lv 4</v>
      </c>
      <c r="D143" s="41" t="str">
        <f>_xlfn.XLOOKUP(tblCostChecklist[[#This Row],[TargetID]],tblTargets[TargetID],tblTargets[TargetType],"")</f>
        <v>BUILDING</v>
      </c>
      <c r="E143" s="41" t="s">
        <v>665</v>
      </c>
      <c r="F143" s="41">
        <v>1</v>
      </c>
      <c r="G143" s="41">
        <f>_xlfn.XLOOKUP(
 tblCostChecklist[[#This Row],[RequirementID]],
 tblCost[RequirementID],
 tblCost[QuantityRequired],
 ""
)</f>
        <v>5</v>
      </c>
      <c r="H1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3" s="41" t="str">
        <f>_xlfn.XLOOKUP(tblCostChecklist[[#This Row],[TargetID]],tblTargetStatus[TargetID],tblTargetStatus[Status])</f>
        <v>BLOCKED</v>
      </c>
      <c r="J143" s="25" t="b">
        <v>0</v>
      </c>
    </row>
    <row r="144" spans="1:10">
      <c r="A144" s="41" t="s">
        <v>3801</v>
      </c>
      <c r="B144" s="41" t="str">
        <f>_xlfn.TEXTAFTER(
 _xlfn.TEXTBEFORE(tblCostChecklist[[#This Row],[RequirementID]],".",-2),
 "cost."
)</f>
        <v>building.dungeon@4</v>
      </c>
      <c r="C144" s="41" t="str">
        <f>_xlfn.XLOOKUP(tblCostChecklist[[#This Row],[TargetID]],tblTargets[TargetID],tblTargets[DisplayName],"")</f>
        <v>Dungeon Lv 4</v>
      </c>
      <c r="D144" s="41" t="str">
        <f>_xlfn.XLOOKUP(tblCostChecklist[[#This Row],[TargetID]],tblTargets[TargetID],tblTargets[TargetType],"")</f>
        <v>BUILDING</v>
      </c>
      <c r="E144" s="41" t="s">
        <v>702</v>
      </c>
      <c r="F144" s="41">
        <v>1</v>
      </c>
      <c r="G144" s="41">
        <f>_xlfn.XLOOKUP(
 tblCostChecklist[[#This Row],[RequirementID]],
 tblCost[RequirementID],
 tblCost[QuantityRequired],
 ""
)</f>
        <v>20</v>
      </c>
      <c r="H1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4" s="41" t="str">
        <f>_xlfn.XLOOKUP(tblCostChecklist[[#This Row],[TargetID]],tblTargetStatus[TargetID],tblTargetStatus[Status])</f>
        <v>BLOCKED</v>
      </c>
      <c r="J144" s="25" t="b">
        <v>0</v>
      </c>
    </row>
    <row r="145" spans="1:10">
      <c r="A145" s="41" t="s">
        <v>3802</v>
      </c>
      <c r="B145" s="41" t="str">
        <f>_xlfn.TEXTAFTER(
 _xlfn.TEXTBEFORE(tblCostChecklist[[#This Row],[RequirementID]],".",-2),
 "cost."
)</f>
        <v>building.dungeon@4</v>
      </c>
      <c r="C145" s="41" t="str">
        <f>_xlfn.XLOOKUP(tblCostChecklist[[#This Row],[TargetID]],tblTargets[TargetID],tblTargets[DisplayName],"")</f>
        <v>Dungeon Lv 4</v>
      </c>
      <c r="D145" s="41" t="str">
        <f>_xlfn.XLOOKUP(tblCostChecklist[[#This Row],[TargetID]],tblTargets[TargetID],tblTargets[TargetType],"")</f>
        <v>BUILDING</v>
      </c>
      <c r="E145" s="41" t="s">
        <v>696</v>
      </c>
      <c r="F145" s="41">
        <v>1</v>
      </c>
      <c r="G145" s="41">
        <f>_xlfn.XLOOKUP(
 tblCostChecklist[[#This Row],[RequirementID]],
 tblCost[RequirementID],
 tblCost[QuantityRequired],
 ""
)</f>
        <v>20</v>
      </c>
      <c r="H1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5" s="41" t="str">
        <f>_xlfn.XLOOKUP(tblCostChecklist[[#This Row],[TargetID]],tblTargetStatus[TargetID],tblTargetStatus[Status])</f>
        <v>BLOCKED</v>
      </c>
      <c r="J145" s="25" t="b">
        <v>0</v>
      </c>
    </row>
    <row r="146" spans="1:10">
      <c r="A146" s="41" t="s">
        <v>3803</v>
      </c>
      <c r="B146" s="41" t="str">
        <f>_xlfn.TEXTAFTER(
 _xlfn.TEXTBEFORE(tblCostChecklist[[#This Row],[RequirementID]],".",-2),
 "cost."
)</f>
        <v>building.dungeon@5</v>
      </c>
      <c r="C146" s="41" t="str">
        <f>_xlfn.XLOOKUP(tblCostChecklist[[#This Row],[TargetID]],tblTargets[TargetID],tblTargets[DisplayName],"")</f>
        <v>Dungeon Lv 5</v>
      </c>
      <c r="D146" s="41" t="str">
        <f>_xlfn.XLOOKUP(tblCostChecklist[[#This Row],[TargetID]],tblTargets[TargetID],tblTargets[TargetType],"")</f>
        <v>BUILDING</v>
      </c>
      <c r="E146" s="41" t="s">
        <v>708</v>
      </c>
      <c r="F146" s="41">
        <v>1</v>
      </c>
      <c r="G146" s="41">
        <f>_xlfn.XLOOKUP(
 tblCostChecklist[[#This Row],[RequirementID]],
 tblCost[RequirementID],
 tblCost[QuantityRequired],
 ""
)</f>
        <v>7</v>
      </c>
      <c r="H1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46" s="41" t="str">
        <f>_xlfn.XLOOKUP(tblCostChecklist[[#This Row],[TargetID]],tblTargetStatus[TargetID],tblTargetStatus[Status])</f>
        <v>BLOCKED</v>
      </c>
      <c r="J146" s="25" t="b">
        <v>0</v>
      </c>
    </row>
    <row r="147" spans="1:10">
      <c r="A147" s="41" t="s">
        <v>3804</v>
      </c>
      <c r="B147" s="41" t="str">
        <f>_xlfn.TEXTAFTER(
 _xlfn.TEXTBEFORE(tblCostChecklist[[#This Row],[RequirementID]],".",-2),
 "cost."
)</f>
        <v>building.dungeon@5</v>
      </c>
      <c r="C147" s="41" t="str">
        <f>_xlfn.XLOOKUP(tblCostChecklist[[#This Row],[TargetID]],tblTargets[TargetID],tblTargets[DisplayName],"")</f>
        <v>Dungeon Lv 5</v>
      </c>
      <c r="D147" s="41" t="str">
        <f>_xlfn.XLOOKUP(tblCostChecklist[[#This Row],[TargetID]],tblTargets[TargetID],tblTargets[TargetType],"")</f>
        <v>BUILDING</v>
      </c>
      <c r="E147" s="41" t="s">
        <v>666</v>
      </c>
      <c r="F147" s="41">
        <v>1</v>
      </c>
      <c r="G147" s="41">
        <f>_xlfn.XLOOKUP(
 tblCostChecklist[[#This Row],[RequirementID]],
 tblCost[RequirementID],
 tblCost[QuantityRequired],
 ""
)</f>
        <v>2000</v>
      </c>
      <c r="H1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47" s="41" t="str">
        <f>_xlfn.XLOOKUP(tblCostChecklist[[#This Row],[TargetID]],tblTargetStatus[TargetID],tblTargetStatus[Status])</f>
        <v>BLOCKED</v>
      </c>
      <c r="J147" s="25" t="b">
        <v>0</v>
      </c>
    </row>
    <row r="148" spans="1:10">
      <c r="A148" s="41" t="s">
        <v>3805</v>
      </c>
      <c r="B148" s="41" t="str">
        <f>_xlfn.TEXTAFTER(
 _xlfn.TEXTBEFORE(tblCostChecklist[[#This Row],[RequirementID]],".",-2),
 "cost."
)</f>
        <v>building.dungeon@5</v>
      </c>
      <c r="C148" s="41" t="str">
        <f>_xlfn.XLOOKUP(tblCostChecklist[[#This Row],[TargetID]],tblTargets[TargetID],tblTargets[DisplayName],"")</f>
        <v>Dungeon Lv 5</v>
      </c>
      <c r="D148" s="41" t="str">
        <f>_xlfn.XLOOKUP(tblCostChecklist[[#This Row],[TargetID]],tblTargets[TargetID],tblTargets[TargetType],"")</f>
        <v>BUILDING</v>
      </c>
      <c r="E148" s="41" t="s">
        <v>658</v>
      </c>
      <c r="F148" s="41">
        <v>1</v>
      </c>
      <c r="G148" s="41">
        <f>_xlfn.XLOOKUP(
 tblCostChecklist[[#This Row],[RequirementID]],
 tblCost[RequirementID],
 tblCost[QuantityRequired],
 ""
)</f>
        <v>1000</v>
      </c>
      <c r="H1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48" s="41" t="str">
        <f>_xlfn.XLOOKUP(tblCostChecklist[[#This Row],[TargetID]],tblTargetStatus[TargetID],tblTargetStatus[Status])</f>
        <v>BLOCKED</v>
      </c>
      <c r="J148" s="25" t="b">
        <v>0</v>
      </c>
    </row>
    <row r="149" spans="1:10">
      <c r="A149" s="41" t="s">
        <v>3806</v>
      </c>
      <c r="B149" s="41" t="str">
        <f>_xlfn.TEXTAFTER(
 _xlfn.TEXTBEFORE(tblCostChecklist[[#This Row],[RequirementID]],".",-2),
 "cost."
)</f>
        <v>building.dungeon@5</v>
      </c>
      <c r="C149" s="41" t="str">
        <f>_xlfn.XLOOKUP(tblCostChecklist[[#This Row],[TargetID]],tblTargets[TargetID],tblTargets[DisplayName],"")</f>
        <v>Dungeon Lv 5</v>
      </c>
      <c r="D149" s="41" t="str">
        <f>_xlfn.XLOOKUP(tblCostChecklist[[#This Row],[TargetID]],tblTargets[TargetID],tblTargets[TargetType],"")</f>
        <v>BUILDING</v>
      </c>
      <c r="E149" s="41" t="s">
        <v>692</v>
      </c>
      <c r="F149" s="41">
        <v>1</v>
      </c>
      <c r="G149" s="41">
        <f>_xlfn.XLOOKUP(
 tblCostChecklist[[#This Row],[RequirementID]],
 tblCost[RequirementID],
 tblCost[QuantityRequired],
 ""
)</f>
        <v>10</v>
      </c>
      <c r="H1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49" s="41" t="str">
        <f>_xlfn.XLOOKUP(tblCostChecklist[[#This Row],[TargetID]],tblTargetStatus[TargetID],tblTargetStatus[Status])</f>
        <v>BLOCKED</v>
      </c>
      <c r="J149" s="25" t="b">
        <v>0</v>
      </c>
    </row>
    <row r="150" spans="1:10">
      <c r="A150" s="41" t="s">
        <v>3807</v>
      </c>
      <c r="B150" s="41" t="str">
        <f>_xlfn.TEXTAFTER(
 _xlfn.TEXTBEFORE(tblCostChecklist[[#This Row],[RequirementID]],".",-2),
 "cost."
)</f>
        <v>building.dungeon@5</v>
      </c>
      <c r="C150" s="41" t="str">
        <f>_xlfn.XLOOKUP(tblCostChecklist[[#This Row],[TargetID]],tblTargets[TargetID],tblTargets[DisplayName],"")</f>
        <v>Dungeon Lv 5</v>
      </c>
      <c r="D150" s="41" t="str">
        <f>_xlfn.XLOOKUP(tblCostChecklist[[#This Row],[TargetID]],tblTargets[TargetID],tblTargets[TargetType],"")</f>
        <v>BUILDING</v>
      </c>
      <c r="E150" s="41" t="s">
        <v>712</v>
      </c>
      <c r="F150" s="41">
        <v>1</v>
      </c>
      <c r="G150" s="41">
        <f>_xlfn.XLOOKUP(
 tblCostChecklist[[#This Row],[RequirementID]],
 tblCost[RequirementID],
 tblCost[QuantityRequired],
 ""
)</f>
        <v>10</v>
      </c>
      <c r="H1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50" s="41" t="str">
        <f>_xlfn.XLOOKUP(tblCostChecklist[[#This Row],[TargetID]],tblTargetStatus[TargetID],tblTargetStatus[Status])</f>
        <v>BLOCKED</v>
      </c>
      <c r="J150" s="25" t="b">
        <v>0</v>
      </c>
    </row>
    <row r="151" spans="1:10">
      <c r="A151" s="41" t="s">
        <v>3808</v>
      </c>
      <c r="B151" s="41" t="str">
        <f>_xlfn.TEXTAFTER(
 _xlfn.TEXTBEFORE(tblCostChecklist[[#This Row],[RequirementID]],".",-2),
 "cost."
)</f>
        <v>building.dungeon@5</v>
      </c>
      <c r="C151" s="41" t="str">
        <f>_xlfn.XLOOKUP(tblCostChecklist[[#This Row],[TargetID]],tblTargets[TargetID],tblTargets[DisplayName],"")</f>
        <v>Dungeon Lv 5</v>
      </c>
      <c r="D151" s="41" t="str">
        <f>_xlfn.XLOOKUP(tblCostChecklist[[#This Row],[TargetID]],tblTargets[TargetID],tblTargets[TargetType],"")</f>
        <v>BUILDING</v>
      </c>
      <c r="E151" s="41" t="s">
        <v>696</v>
      </c>
      <c r="F151" s="41">
        <v>1</v>
      </c>
      <c r="G151" s="41">
        <f>_xlfn.XLOOKUP(
 tblCostChecklist[[#This Row],[RequirementID]],
 tblCost[RequirementID],
 tblCost[QuantityRequired],
 ""
)</f>
        <v>25</v>
      </c>
      <c r="H1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51" s="41" t="str">
        <f>_xlfn.XLOOKUP(tblCostChecklist[[#This Row],[TargetID]],tblTargetStatus[TargetID],tblTargetStatus[Status])</f>
        <v>BLOCKED</v>
      </c>
      <c r="J151" s="25" t="b">
        <v>0</v>
      </c>
    </row>
    <row r="152" spans="1:10">
      <c r="A152" s="41" t="s">
        <v>6061</v>
      </c>
      <c r="B152" s="41" t="str">
        <f>_xlfn.TEXTAFTER(
 _xlfn.TEXTBEFORE(tblCostChecklist[[#This Row],[RequirementID]],".",-2),
 "cost."
)</f>
        <v>citadel.tunnel</v>
      </c>
      <c r="C152" s="41" t="str">
        <f>_xlfn.XLOOKUP(tblCostChecklist[[#This Row],[TargetID]],tblTargets[TargetID],tblTargets[DisplayName],"")</f>
        <v>Tunnel</v>
      </c>
      <c r="D152" s="41" t="str">
        <f>_xlfn.XLOOKUP(tblCostChecklist[[#This Row],[TargetID]],tblTargets[TargetID],tblTargets[TargetType],"")</f>
        <v>CITADEL</v>
      </c>
      <c r="E152" s="41" t="s">
        <v>708</v>
      </c>
      <c r="F152" s="41">
        <v>1</v>
      </c>
      <c r="G152" s="41">
        <f>_xlfn.XLOOKUP(
 tblCostChecklist[[#This Row],[RequirementID]],
 tblCost[RequirementID],
 tblCost[QuantityRequired],
 ""
)</f>
        <v>5</v>
      </c>
      <c r="H1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2" s="41" t="str">
        <f>_xlfn.XLOOKUP(tblCostChecklist[[#This Row],[TargetID]],tblTargetStatus[TargetID],tblTargetStatus[Status])</f>
        <v>BLOCKED</v>
      </c>
      <c r="J152" s="25" t="b">
        <v>0</v>
      </c>
    </row>
    <row r="153" spans="1:10">
      <c r="A153" s="41" t="s">
        <v>6062</v>
      </c>
      <c r="B153" s="41" t="str">
        <f>_xlfn.TEXTAFTER(
 _xlfn.TEXTBEFORE(tblCostChecklist[[#This Row],[RequirementID]],".",-2),
 "cost."
)</f>
        <v>citadel.tunnel</v>
      </c>
      <c r="C153" s="41" t="str">
        <f>_xlfn.XLOOKUP(tblCostChecklist[[#This Row],[TargetID]],tblTargets[TargetID],tblTargets[DisplayName],"")</f>
        <v>Tunnel</v>
      </c>
      <c r="D153" s="41" t="str">
        <f>_xlfn.XLOOKUP(tblCostChecklist[[#This Row],[TargetID]],tblTargets[TargetID],tblTargets[TargetType],"")</f>
        <v>CITADEL</v>
      </c>
      <c r="E153" s="41" t="s">
        <v>666</v>
      </c>
      <c r="F153" s="41">
        <v>1</v>
      </c>
      <c r="G153" s="41">
        <f>_xlfn.XLOOKUP(
 tblCostChecklist[[#This Row],[RequirementID]],
 tblCost[RequirementID],
 tblCost[QuantityRequired],
 ""
)</f>
        <v>1000</v>
      </c>
      <c r="H1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 s="41" t="str">
        <f>_xlfn.XLOOKUP(tblCostChecklist[[#This Row],[TargetID]],tblTargetStatus[TargetID],tblTargetStatus[Status])</f>
        <v>BLOCKED</v>
      </c>
      <c r="J153" s="25" t="b">
        <v>0</v>
      </c>
    </row>
    <row r="154" spans="1:10">
      <c r="A154" s="41" t="s">
        <v>6063</v>
      </c>
      <c r="B154" s="41" t="str">
        <f>_xlfn.TEXTAFTER(
 _xlfn.TEXTBEFORE(tblCostChecklist[[#This Row],[RequirementID]],".",-2),
 "cost."
)</f>
        <v>citadel.tunnel</v>
      </c>
      <c r="C154" s="41" t="str">
        <f>_xlfn.XLOOKUP(tblCostChecklist[[#This Row],[TargetID]],tblTargets[TargetID],tblTargets[DisplayName],"")</f>
        <v>Tunnel</v>
      </c>
      <c r="D154" s="41" t="str">
        <f>_xlfn.XLOOKUP(tblCostChecklist[[#This Row],[TargetID]],tblTargets[TargetID],tblTargets[TargetType],"")</f>
        <v>CITADEL</v>
      </c>
      <c r="E154" s="41" t="s">
        <v>658</v>
      </c>
      <c r="F154" s="41">
        <v>1</v>
      </c>
      <c r="G154" s="41">
        <f>_xlfn.XLOOKUP(
 tblCostChecklist[[#This Row],[RequirementID]],
 tblCost[RequirementID],
 tblCost[QuantityRequired],
 ""
)</f>
        <v>8000</v>
      </c>
      <c r="H1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 s="41" t="str">
        <f>_xlfn.XLOOKUP(tblCostChecklist[[#This Row],[TargetID]],tblTargetStatus[TargetID],tblTargetStatus[Status])</f>
        <v>BLOCKED</v>
      </c>
      <c r="J154" s="25" t="b">
        <v>0</v>
      </c>
    </row>
    <row r="155" spans="1:10">
      <c r="A155" s="41" t="s">
        <v>6064</v>
      </c>
      <c r="B155" s="41" t="str">
        <f>_xlfn.TEXTAFTER(
 _xlfn.TEXTBEFORE(tblCostChecklist[[#This Row],[RequirementID]],".",-2),
 "cost."
)</f>
        <v>citadel.tunnel</v>
      </c>
      <c r="C155" s="41" t="str">
        <f>_xlfn.XLOOKUP(tblCostChecklist[[#This Row],[TargetID]],tblTargets[TargetID],tblTargets[DisplayName],"")</f>
        <v>Tunnel</v>
      </c>
      <c r="D155" s="41" t="str">
        <f>_xlfn.XLOOKUP(tblCostChecklist[[#This Row],[TargetID]],tblTargets[TargetID],tblTargets[TargetType],"")</f>
        <v>CITADEL</v>
      </c>
      <c r="E155" s="41" t="s">
        <v>717</v>
      </c>
      <c r="F155" s="41">
        <v>1</v>
      </c>
      <c r="G155" s="41">
        <f>_xlfn.XLOOKUP(
 tblCostChecklist[[#This Row],[RequirementID]],
 tblCost[RequirementID],
 tblCost[QuantityRequired],
 ""
)</f>
        <v>500</v>
      </c>
      <c r="H1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 s="41" t="str">
        <f>_xlfn.XLOOKUP(tblCostChecklist[[#This Row],[TargetID]],tblTargetStatus[TargetID],tblTargetStatus[Status])</f>
        <v>BLOCKED</v>
      </c>
      <c r="J155" s="25" t="b">
        <v>0</v>
      </c>
    </row>
    <row r="156" spans="1:10">
      <c r="A156" s="41" t="s">
        <v>6065</v>
      </c>
      <c r="B156" s="41" t="str">
        <f>_xlfn.TEXTAFTER(
 _xlfn.TEXTBEFORE(tblCostChecklist[[#This Row],[RequirementID]],".",-2),
 "cost."
)</f>
        <v>citadel.tunnel</v>
      </c>
      <c r="C156" s="41" t="str">
        <f>_xlfn.XLOOKUP(tblCostChecklist[[#This Row],[TargetID]],tblTargets[TargetID],tblTargets[DisplayName],"")</f>
        <v>Tunnel</v>
      </c>
      <c r="D156" s="41" t="str">
        <f>_xlfn.XLOOKUP(tblCostChecklist[[#This Row],[TargetID]],tblTargets[TargetID],tblTargets[TargetType],"")</f>
        <v>CITADEL</v>
      </c>
      <c r="E156" s="41" t="s">
        <v>716</v>
      </c>
      <c r="F156" s="41">
        <v>1</v>
      </c>
      <c r="G156" s="41">
        <f>_xlfn.XLOOKUP(
 tblCostChecklist[[#This Row],[RequirementID]],
 tblCost[RequirementID],
 tblCost[QuantityRequired],
 ""
)</f>
        <v>1000</v>
      </c>
      <c r="H1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 s="41" t="str">
        <f>_xlfn.XLOOKUP(tblCostChecklist[[#This Row],[TargetID]],tblTargetStatus[TargetID],tblTargetStatus[Status])</f>
        <v>BLOCKED</v>
      </c>
      <c r="J156" s="25" t="b">
        <v>0</v>
      </c>
    </row>
    <row r="157" spans="1:10">
      <c r="A157" s="41" t="s">
        <v>6066</v>
      </c>
      <c r="B157" s="41" t="str">
        <f>_xlfn.TEXTAFTER(
 _xlfn.TEXTBEFORE(tblCostChecklist[[#This Row],[RequirementID]],".",-2),
 "cost."
)</f>
        <v>citadel.tunnel</v>
      </c>
      <c r="C157" s="41" t="str">
        <f>_xlfn.XLOOKUP(tblCostChecklist[[#This Row],[TargetID]],tblTargets[TargetID],tblTargets[DisplayName],"")</f>
        <v>Tunnel</v>
      </c>
      <c r="D157" s="41" t="str">
        <f>_xlfn.XLOOKUP(tblCostChecklist[[#This Row],[TargetID]],tblTargets[TargetID],tblTargets[TargetType],"")</f>
        <v>CITADEL</v>
      </c>
      <c r="E157" s="41" t="s">
        <v>686</v>
      </c>
      <c r="F157" s="41">
        <v>1</v>
      </c>
      <c r="G157" s="41">
        <f>_xlfn.XLOOKUP(
 tblCostChecklist[[#This Row],[RequirementID]],
 tblCost[RequirementID],
 tblCost[QuantityRequired],
 ""
)</f>
        <v>40</v>
      </c>
      <c r="H1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 s="41" t="str">
        <f>_xlfn.XLOOKUP(tblCostChecklist[[#This Row],[TargetID]],tblTargetStatus[TargetID],tblTargetStatus[Status])</f>
        <v>BLOCKED</v>
      </c>
      <c r="J157" s="25" t="b">
        <v>0</v>
      </c>
    </row>
    <row r="158" spans="1:10">
      <c r="A158" s="41" t="s">
        <v>6067</v>
      </c>
      <c r="B158" s="41" t="str">
        <f>_xlfn.TEXTAFTER(
 _xlfn.TEXTBEFORE(tblCostChecklist[[#This Row],[RequirementID]],".",-2),
 "cost."
)</f>
        <v>citadel.tunnel</v>
      </c>
      <c r="C158" s="41" t="str">
        <f>_xlfn.XLOOKUP(tblCostChecklist[[#This Row],[TargetID]],tblTargets[TargetID],tblTargets[DisplayName],"")</f>
        <v>Tunnel</v>
      </c>
      <c r="D158" s="41" t="str">
        <f>_xlfn.XLOOKUP(tblCostChecklist[[#This Row],[TargetID]],tblTargets[TargetID],tblTargets[TargetType],"")</f>
        <v>CITADEL</v>
      </c>
      <c r="E158" s="41" t="s">
        <v>700</v>
      </c>
      <c r="F158" s="41">
        <v>1</v>
      </c>
      <c r="G158" s="41">
        <f>_xlfn.XLOOKUP(
 tblCostChecklist[[#This Row],[RequirementID]],
 tblCost[RequirementID],
 tblCost[QuantityRequired],
 ""
)</f>
        <v>100</v>
      </c>
      <c r="H1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 s="41" t="str">
        <f>_xlfn.XLOOKUP(tblCostChecklist[[#This Row],[TargetID]],tblTargetStatus[TargetID],tblTargetStatus[Status])</f>
        <v>BLOCKED</v>
      </c>
      <c r="J158" s="25" t="b">
        <v>0</v>
      </c>
    </row>
    <row r="159" spans="1:10">
      <c r="A159" s="41" t="s">
        <v>6068</v>
      </c>
      <c r="B159" s="41" t="str">
        <f>_xlfn.TEXTAFTER(
 _xlfn.TEXTBEFORE(tblCostChecklist[[#This Row],[RequirementID]],".",-2),
 "cost."
)</f>
        <v>citadel.tunnel</v>
      </c>
      <c r="C159" s="41" t="str">
        <f>_xlfn.XLOOKUP(tblCostChecklist[[#This Row],[TargetID]],tblTargets[TargetID],tblTargets[DisplayName],"")</f>
        <v>Tunnel</v>
      </c>
      <c r="D159" s="41" t="str">
        <f>_xlfn.XLOOKUP(tblCostChecklist[[#This Row],[TargetID]],tblTargets[TargetID],tblTargets[TargetType],"")</f>
        <v>CITADEL</v>
      </c>
      <c r="E159" s="41" t="s">
        <v>698</v>
      </c>
      <c r="F159" s="41">
        <v>1</v>
      </c>
      <c r="G159" s="41">
        <f>_xlfn.XLOOKUP(
 tblCostChecklist[[#This Row],[RequirementID]],
 tblCost[RequirementID],
 tblCost[QuantityRequired],
 ""
)</f>
        <v>100</v>
      </c>
      <c r="H1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 s="41" t="str">
        <f>_xlfn.XLOOKUP(tblCostChecklist[[#This Row],[TargetID]],tblTargetStatus[TargetID],tblTargetStatus[Status])</f>
        <v>BLOCKED</v>
      </c>
      <c r="J159" s="25" t="b">
        <v>0</v>
      </c>
    </row>
    <row r="160" spans="1:10">
      <c r="A160" s="41" t="s">
        <v>6069</v>
      </c>
      <c r="B160" s="41" t="str">
        <f>_xlfn.TEXTAFTER(
 _xlfn.TEXTBEFORE(tblCostChecklist[[#This Row],[RequirementID]],".",-2),
 "cost."
)</f>
        <v>citadel.tunnel</v>
      </c>
      <c r="C160" s="41" t="str">
        <f>_xlfn.XLOOKUP(tblCostChecklist[[#This Row],[TargetID]],tblTargets[TargetID],tblTargets[DisplayName],"")</f>
        <v>Tunnel</v>
      </c>
      <c r="D160" s="41" t="str">
        <f>_xlfn.XLOOKUP(tblCostChecklist[[#This Row],[TargetID]],tblTargets[TargetID],tblTargets[TargetType],"")</f>
        <v>CITADEL</v>
      </c>
      <c r="E160" s="41" t="s">
        <v>662</v>
      </c>
      <c r="F160" s="41">
        <v>1</v>
      </c>
      <c r="G160" s="41">
        <f>_xlfn.XLOOKUP(
 tblCostChecklist[[#This Row],[RequirementID]],
 tblCost[RequirementID],
 tblCost[QuantityRequired],
 ""
)</f>
        <v>100</v>
      </c>
      <c r="H1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 s="41" t="str">
        <f>_xlfn.XLOOKUP(tblCostChecklist[[#This Row],[TargetID]],tblTargetStatus[TargetID],tblTargetStatus[Status])</f>
        <v>BLOCKED</v>
      </c>
      <c r="J160" s="25" t="b">
        <v>0</v>
      </c>
    </row>
    <row r="161" spans="1:10">
      <c r="A161" s="41" t="s">
        <v>3809</v>
      </c>
      <c r="B161" s="41" t="str">
        <f>_xlfn.TEXTAFTER(
 _xlfn.TEXTBEFORE(tblCostChecklist[[#This Row],[RequirementID]],".",-2),
 "cost."
)</f>
        <v>building.fermentory@1</v>
      </c>
      <c r="C161" s="41" t="str">
        <f>_xlfn.XLOOKUP(tblCostChecklist[[#This Row],[TargetID]],tblTargets[TargetID],tblTargets[DisplayName],"")</f>
        <v>Fermentory Lv 1</v>
      </c>
      <c r="D161" s="41" t="str">
        <f>_xlfn.XLOOKUP(tblCostChecklist[[#This Row],[TargetID]],tblTargets[TargetID],tblTargets[TargetType],"")</f>
        <v>BUILDING</v>
      </c>
      <c r="E161" s="41" t="s">
        <v>708</v>
      </c>
      <c r="F161" s="41">
        <v>1</v>
      </c>
      <c r="G161" s="41">
        <f>_xlfn.XLOOKUP(
 tblCostChecklist[[#This Row],[RequirementID]],
 tblCost[RequirementID],
 tblCost[QuantityRequired],
 ""
)</f>
        <v>5</v>
      </c>
      <c r="H1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1" s="41" t="str">
        <f>_xlfn.XLOOKUP(tblCostChecklist[[#This Row],[TargetID]],tblTargetStatus[TargetID],tblTargetStatus[Status])</f>
        <v>BLOCKED</v>
      </c>
      <c r="J161" s="25" t="b">
        <v>0</v>
      </c>
    </row>
    <row r="162" spans="1:10">
      <c r="A162" s="41" t="s">
        <v>3810</v>
      </c>
      <c r="B162" s="41" t="str">
        <f>_xlfn.TEXTAFTER(
 _xlfn.TEXTBEFORE(tblCostChecklist[[#This Row],[RequirementID]],".",-2),
 "cost."
)</f>
        <v>building.fermentory@1</v>
      </c>
      <c r="C162" s="41" t="str">
        <f>_xlfn.XLOOKUP(tblCostChecklist[[#This Row],[TargetID]],tblTargets[TargetID],tblTargets[DisplayName],"")</f>
        <v>Fermentory Lv 1</v>
      </c>
      <c r="D162" s="41" t="str">
        <f>_xlfn.XLOOKUP(tblCostChecklist[[#This Row],[TargetID]],tblTargets[TargetID],tblTargets[TargetType],"")</f>
        <v>BUILDING</v>
      </c>
      <c r="E162" s="41" t="s">
        <v>666</v>
      </c>
      <c r="F162" s="41">
        <v>1</v>
      </c>
      <c r="G162" s="41">
        <f>_xlfn.XLOOKUP(
 tblCostChecklist[[#This Row],[RequirementID]],
 tblCost[RequirementID],
 tblCost[QuantityRequired],
 ""
)</f>
        <v>1000</v>
      </c>
      <c r="H1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2" s="41" t="str">
        <f>_xlfn.XLOOKUP(tblCostChecklist[[#This Row],[TargetID]],tblTargetStatus[TargetID],tblTargetStatus[Status])</f>
        <v>BLOCKED</v>
      </c>
      <c r="J162" s="25" t="b">
        <v>0</v>
      </c>
    </row>
    <row r="163" spans="1:10">
      <c r="A163" s="41" t="s">
        <v>3811</v>
      </c>
      <c r="B163" s="41" t="str">
        <f>_xlfn.TEXTAFTER(
 _xlfn.TEXTBEFORE(tblCostChecklist[[#This Row],[RequirementID]],".",-2),
 "cost."
)</f>
        <v>building.fermentory@1</v>
      </c>
      <c r="C163" s="41" t="str">
        <f>_xlfn.XLOOKUP(tblCostChecklist[[#This Row],[TargetID]],tblTargets[TargetID],tblTargets[DisplayName],"")</f>
        <v>Fermentory Lv 1</v>
      </c>
      <c r="D163" s="41" t="str">
        <f>_xlfn.XLOOKUP(tblCostChecklist[[#This Row],[TargetID]],tblTargets[TargetID],tblTargets[TargetType],"")</f>
        <v>BUILDING</v>
      </c>
      <c r="E163" s="41" t="s">
        <v>658</v>
      </c>
      <c r="F163" s="41">
        <v>1</v>
      </c>
      <c r="G163" s="41">
        <f>_xlfn.XLOOKUP(
 tblCostChecklist[[#This Row],[RequirementID]],
 tblCost[RequirementID],
 tblCost[QuantityRequired],
 ""
)</f>
        <v>700</v>
      </c>
      <c r="H1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3" s="41" t="str">
        <f>_xlfn.XLOOKUP(tblCostChecklist[[#This Row],[TargetID]],tblTargetStatus[TargetID],tblTargetStatus[Status])</f>
        <v>BLOCKED</v>
      </c>
      <c r="J163" s="25" t="b">
        <v>0</v>
      </c>
    </row>
    <row r="164" spans="1:10">
      <c r="A164" s="41" t="s">
        <v>3812</v>
      </c>
      <c r="B164" s="41" t="str">
        <f>_xlfn.TEXTAFTER(
 _xlfn.TEXTBEFORE(tblCostChecklist[[#This Row],[RequirementID]],".",-2),
 "cost."
)</f>
        <v>building.fermentory@1</v>
      </c>
      <c r="C164" s="41" t="str">
        <f>_xlfn.XLOOKUP(tblCostChecklist[[#This Row],[TargetID]],tblTargets[TargetID],tblTargets[DisplayName],"")</f>
        <v>Fermentory Lv 1</v>
      </c>
      <c r="D164" s="41" t="str">
        <f>_xlfn.XLOOKUP(tblCostChecklist[[#This Row],[TargetID]],tblTargets[TargetID],tblTargets[TargetType],"")</f>
        <v>BUILDING</v>
      </c>
      <c r="E164" s="41" t="s">
        <v>717</v>
      </c>
      <c r="F164" s="41">
        <v>1</v>
      </c>
      <c r="G164" s="41">
        <f>_xlfn.XLOOKUP(
 tblCostChecklist[[#This Row],[RequirementID]],
 tblCost[RequirementID],
 tblCost[QuantityRequired],
 ""
)</f>
        <v>700</v>
      </c>
      <c r="H1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4" s="41" t="str">
        <f>_xlfn.XLOOKUP(tblCostChecklist[[#This Row],[TargetID]],tblTargetStatus[TargetID],tblTargetStatus[Status])</f>
        <v>BLOCKED</v>
      </c>
      <c r="J164" s="25" t="b">
        <v>0</v>
      </c>
    </row>
    <row r="165" spans="1:10">
      <c r="A165" s="41" t="s">
        <v>3813</v>
      </c>
      <c r="B165" s="41" t="str">
        <f>_xlfn.TEXTAFTER(
 _xlfn.TEXTBEFORE(tblCostChecklist[[#This Row],[RequirementID]],".",-2),
 "cost."
)</f>
        <v>building.fermentory@1</v>
      </c>
      <c r="C165" s="41" t="str">
        <f>_xlfn.XLOOKUP(tblCostChecklist[[#This Row],[TargetID]],tblTargets[TargetID],tblTargets[DisplayName],"")</f>
        <v>Fermentory Lv 1</v>
      </c>
      <c r="D165" s="41" t="str">
        <f>_xlfn.XLOOKUP(tblCostChecklist[[#This Row],[TargetID]],tblTargets[TargetID],tblTargets[TargetType],"")</f>
        <v>BUILDING</v>
      </c>
      <c r="E165" s="41" t="s">
        <v>716</v>
      </c>
      <c r="F165" s="41">
        <v>1</v>
      </c>
      <c r="G165" s="41">
        <f>_xlfn.XLOOKUP(
 tblCostChecklist[[#This Row],[RequirementID]],
 tblCost[RequirementID],
 tblCost[QuantityRequired],
 ""
)</f>
        <v>300</v>
      </c>
      <c r="H1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5" s="41" t="str">
        <f>_xlfn.XLOOKUP(tblCostChecklist[[#This Row],[TargetID]],tblTargetStatus[TargetID],tblTargetStatus[Status])</f>
        <v>BLOCKED</v>
      </c>
      <c r="J165" s="25" t="b">
        <v>0</v>
      </c>
    </row>
    <row r="166" spans="1:10">
      <c r="A166" s="41" t="s">
        <v>3814</v>
      </c>
      <c r="B166" s="41" t="str">
        <f>_xlfn.TEXTAFTER(
 _xlfn.TEXTBEFORE(tblCostChecklist[[#This Row],[RequirementID]],".",-2),
 "cost."
)</f>
        <v>building.fermentory@1</v>
      </c>
      <c r="C166" s="41" t="str">
        <f>_xlfn.XLOOKUP(tblCostChecklist[[#This Row],[TargetID]],tblTargets[TargetID],tblTargets[DisplayName],"")</f>
        <v>Fermentory Lv 1</v>
      </c>
      <c r="D166" s="41" t="str">
        <f>_xlfn.XLOOKUP(tblCostChecklist[[#This Row],[TargetID]],tblTargets[TargetID],tblTargets[TargetType],"")</f>
        <v>BUILDING</v>
      </c>
      <c r="E166" s="41" t="s">
        <v>714</v>
      </c>
      <c r="F166" s="41">
        <v>1</v>
      </c>
      <c r="G166" s="41">
        <f>_xlfn.XLOOKUP(
 tblCostChecklist[[#This Row],[RequirementID]],
 tblCost[RequirementID],
 tblCost[QuantityRequired],
 ""
)</f>
        <v>50</v>
      </c>
      <c r="H1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6" s="41" t="str">
        <f>_xlfn.XLOOKUP(tblCostChecklist[[#This Row],[TargetID]],tblTargetStatus[TargetID],tblTargetStatus[Status])</f>
        <v>BLOCKED</v>
      </c>
      <c r="J166" s="25" t="b">
        <v>0</v>
      </c>
    </row>
    <row r="167" spans="1:10">
      <c r="A167" s="41" t="s">
        <v>3815</v>
      </c>
      <c r="B167" s="41" t="str">
        <f>_xlfn.TEXTAFTER(
 _xlfn.TEXTBEFORE(tblCostChecklist[[#This Row],[RequirementID]],".",-2),
 "cost."
)</f>
        <v>building.fermentory@1</v>
      </c>
      <c r="C167" s="41" t="str">
        <f>_xlfn.XLOOKUP(tblCostChecklist[[#This Row],[TargetID]],tblTargets[TargetID],tblTargets[DisplayName],"")</f>
        <v>Fermentory Lv 1</v>
      </c>
      <c r="D167" s="41" t="str">
        <f>_xlfn.XLOOKUP(tblCostChecklist[[#This Row],[TargetID]],tblTargets[TargetID],tblTargets[TargetType],"")</f>
        <v>BUILDING</v>
      </c>
      <c r="E167" s="41" t="s">
        <v>696</v>
      </c>
      <c r="F167" s="41">
        <v>1</v>
      </c>
      <c r="G167" s="41">
        <f>_xlfn.XLOOKUP(
 tblCostChecklist[[#This Row],[RequirementID]],
 tblCost[RequirementID],
 tblCost[QuantityRequired],
 ""
)</f>
        <v>30</v>
      </c>
      <c r="H1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7" s="41" t="str">
        <f>_xlfn.XLOOKUP(tblCostChecklist[[#This Row],[TargetID]],tblTargetStatus[TargetID],tblTargetStatus[Status])</f>
        <v>BLOCKED</v>
      </c>
      <c r="J167" s="25" t="b">
        <v>0</v>
      </c>
    </row>
    <row r="168" spans="1:10">
      <c r="A168" s="41" t="s">
        <v>3816</v>
      </c>
      <c r="B168" s="41" t="str">
        <f>_xlfn.TEXTAFTER(
 _xlfn.TEXTBEFORE(tblCostChecklist[[#This Row],[RequirementID]],".",-2),
 "cost."
)</f>
        <v>building.fermentory@2</v>
      </c>
      <c r="C168" s="41" t="str">
        <f>_xlfn.XLOOKUP(tblCostChecklist[[#This Row],[TargetID]],tblTargets[TargetID],tblTargets[DisplayName],"")</f>
        <v>Fermentory Lv 2</v>
      </c>
      <c r="D168" s="41" t="str">
        <f>_xlfn.XLOOKUP(tblCostChecklist[[#This Row],[TargetID]],tblTargets[TargetID],tblTargets[TargetType],"")</f>
        <v>BUILDING</v>
      </c>
      <c r="E168" s="41" t="s">
        <v>708</v>
      </c>
      <c r="F168" s="41">
        <v>1</v>
      </c>
      <c r="G168" s="41">
        <f>_xlfn.XLOOKUP(
 tblCostChecklist[[#This Row],[RequirementID]],
 tblCost[RequirementID],
 tblCost[QuantityRequired],
 ""
)</f>
        <v>5</v>
      </c>
      <c r="H1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68" s="41" t="str">
        <f>_xlfn.XLOOKUP(tblCostChecklist[[#This Row],[TargetID]],tblTargetStatus[TargetID],tblTargetStatus[Status])</f>
        <v>BLOCKED</v>
      </c>
      <c r="J168" s="25" t="b">
        <v>0</v>
      </c>
    </row>
    <row r="169" spans="1:10">
      <c r="A169" s="41" t="s">
        <v>3817</v>
      </c>
      <c r="B169" s="41" t="str">
        <f>_xlfn.TEXTAFTER(
 _xlfn.TEXTBEFORE(tblCostChecklist[[#This Row],[RequirementID]],".",-2),
 "cost."
)</f>
        <v>building.fermentory@2</v>
      </c>
      <c r="C169" s="41" t="str">
        <f>_xlfn.XLOOKUP(tblCostChecklist[[#This Row],[TargetID]],tblTargets[TargetID],tblTargets[DisplayName],"")</f>
        <v>Fermentory Lv 2</v>
      </c>
      <c r="D169" s="41" t="str">
        <f>_xlfn.XLOOKUP(tblCostChecklist[[#This Row],[TargetID]],tblTargets[TargetID],tblTargets[TargetType],"")</f>
        <v>BUILDING</v>
      </c>
      <c r="E169" s="41" t="s">
        <v>666</v>
      </c>
      <c r="F169" s="41">
        <v>1</v>
      </c>
      <c r="G169" s="41">
        <f>_xlfn.XLOOKUP(
 tblCostChecklist[[#This Row],[RequirementID]],
 tblCost[RequirementID],
 tblCost[QuantityRequired],
 ""
)</f>
        <v>1000</v>
      </c>
      <c r="H1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69" s="41" t="str">
        <f>_xlfn.XLOOKUP(tblCostChecklist[[#This Row],[TargetID]],tblTargetStatus[TargetID],tblTargetStatus[Status])</f>
        <v>BLOCKED</v>
      </c>
      <c r="J169" s="25" t="b">
        <v>0</v>
      </c>
    </row>
    <row r="170" spans="1:10">
      <c r="A170" s="41" t="s">
        <v>3818</v>
      </c>
      <c r="B170" s="41" t="str">
        <f>_xlfn.TEXTAFTER(
 _xlfn.TEXTBEFORE(tblCostChecklist[[#This Row],[RequirementID]],".",-2),
 "cost."
)</f>
        <v>building.fermentory@2</v>
      </c>
      <c r="C170" s="41" t="str">
        <f>_xlfn.XLOOKUP(tblCostChecklist[[#This Row],[TargetID]],tblTargets[TargetID],tblTargets[DisplayName],"")</f>
        <v>Fermentory Lv 2</v>
      </c>
      <c r="D170" s="41" t="str">
        <f>_xlfn.XLOOKUP(tblCostChecklist[[#This Row],[TargetID]],tblTargets[TargetID],tblTargets[TargetType],"")</f>
        <v>BUILDING</v>
      </c>
      <c r="E170" s="41" t="s">
        <v>658</v>
      </c>
      <c r="F170" s="41">
        <v>1</v>
      </c>
      <c r="G170" s="41">
        <f>_xlfn.XLOOKUP(
 tblCostChecklist[[#This Row],[RequirementID]],
 tblCost[RequirementID],
 tblCost[QuantityRequired],
 ""
)</f>
        <v>900</v>
      </c>
      <c r="H1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0" s="41" t="str">
        <f>_xlfn.XLOOKUP(tblCostChecklist[[#This Row],[TargetID]],tblTargetStatus[TargetID],tblTargetStatus[Status])</f>
        <v>BLOCKED</v>
      </c>
      <c r="J170" s="25" t="b">
        <v>0</v>
      </c>
    </row>
    <row r="171" spans="1:10">
      <c r="A171" s="41" t="s">
        <v>3819</v>
      </c>
      <c r="B171" s="41" t="str">
        <f>_xlfn.TEXTAFTER(
 _xlfn.TEXTBEFORE(tblCostChecklist[[#This Row],[RequirementID]],".",-2),
 "cost."
)</f>
        <v>building.fermentory@2</v>
      </c>
      <c r="C171" s="41" t="str">
        <f>_xlfn.XLOOKUP(tblCostChecklist[[#This Row],[TargetID]],tblTargets[TargetID],tblTargets[DisplayName],"")</f>
        <v>Fermentory Lv 2</v>
      </c>
      <c r="D171" s="41" t="str">
        <f>_xlfn.XLOOKUP(tblCostChecklist[[#This Row],[TargetID]],tblTargets[TargetID],tblTargets[TargetType],"")</f>
        <v>BUILDING</v>
      </c>
      <c r="E171" s="41" t="s">
        <v>717</v>
      </c>
      <c r="F171" s="41">
        <v>1</v>
      </c>
      <c r="G171" s="41">
        <f>_xlfn.XLOOKUP(
 tblCostChecklist[[#This Row],[RequirementID]],
 tblCost[RequirementID],
 tblCost[QuantityRequired],
 ""
)</f>
        <v>500</v>
      </c>
      <c r="H1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1" s="41" t="str">
        <f>_xlfn.XLOOKUP(tblCostChecklist[[#This Row],[TargetID]],tblTargetStatus[TargetID],tblTargetStatus[Status])</f>
        <v>BLOCKED</v>
      </c>
      <c r="J171" s="25" t="b">
        <v>0</v>
      </c>
    </row>
    <row r="172" spans="1:10">
      <c r="A172" s="41" t="s">
        <v>3820</v>
      </c>
      <c r="B172" s="41" t="str">
        <f>_xlfn.TEXTAFTER(
 _xlfn.TEXTBEFORE(tblCostChecklist[[#This Row],[RequirementID]],".",-2),
 "cost."
)</f>
        <v>building.fermentory@2</v>
      </c>
      <c r="C172" s="41" t="str">
        <f>_xlfn.XLOOKUP(tblCostChecklist[[#This Row],[TargetID]],tblTargets[TargetID],tblTargets[DisplayName],"")</f>
        <v>Fermentory Lv 2</v>
      </c>
      <c r="D172" s="41" t="str">
        <f>_xlfn.XLOOKUP(tblCostChecklist[[#This Row],[TargetID]],tblTargets[TargetID],tblTargets[TargetType],"")</f>
        <v>BUILDING</v>
      </c>
      <c r="E172" s="41" t="s">
        <v>664</v>
      </c>
      <c r="F172" s="41">
        <v>1</v>
      </c>
      <c r="G172" s="41">
        <f>_xlfn.XLOOKUP(
 tblCostChecklist[[#This Row],[RequirementID]],
 tblCost[RequirementID],
 tblCost[QuantityRequired],
 ""
)</f>
        <v>100</v>
      </c>
      <c r="H1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2" s="41" t="str">
        <f>_xlfn.XLOOKUP(tblCostChecklist[[#This Row],[TargetID]],tblTargetStatus[TargetID],tblTargetStatus[Status])</f>
        <v>BLOCKED</v>
      </c>
      <c r="J172" s="25" t="b">
        <v>0</v>
      </c>
    </row>
    <row r="173" spans="1:10">
      <c r="A173" s="41" t="s">
        <v>3821</v>
      </c>
      <c r="B173" s="41" t="str">
        <f>_xlfn.TEXTAFTER(
 _xlfn.TEXTBEFORE(tblCostChecklist[[#This Row],[RequirementID]],".",-2),
 "cost."
)</f>
        <v>building.fermentory@2</v>
      </c>
      <c r="C173" s="41" t="str">
        <f>_xlfn.XLOOKUP(tblCostChecklist[[#This Row],[TargetID]],tblTargets[TargetID],tblTargets[DisplayName],"")</f>
        <v>Fermentory Lv 2</v>
      </c>
      <c r="D173" s="41" t="str">
        <f>_xlfn.XLOOKUP(tblCostChecklist[[#This Row],[TargetID]],tblTargets[TargetID],tblTargets[TargetType],"")</f>
        <v>BUILDING</v>
      </c>
      <c r="E173" s="41" t="s">
        <v>705</v>
      </c>
      <c r="F173" s="41">
        <v>1</v>
      </c>
      <c r="G173" s="41">
        <f>_xlfn.XLOOKUP(
 tblCostChecklist[[#This Row],[RequirementID]],
 tblCost[RequirementID],
 tblCost[QuantityRequired],
 ""
)</f>
        <v>30</v>
      </c>
      <c r="H1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3" s="41" t="str">
        <f>_xlfn.XLOOKUP(tblCostChecklist[[#This Row],[TargetID]],tblTargetStatus[TargetID],tblTargetStatus[Status])</f>
        <v>BLOCKED</v>
      </c>
      <c r="J173" s="25" t="b">
        <v>0</v>
      </c>
    </row>
    <row r="174" spans="1:10">
      <c r="A174" s="41" t="s">
        <v>3822</v>
      </c>
      <c r="B174" s="41" t="str">
        <f>_xlfn.TEXTAFTER(
 _xlfn.TEXTBEFORE(tblCostChecklist[[#This Row],[RequirementID]],".",-2),
 "cost."
)</f>
        <v>building.fermentory@2</v>
      </c>
      <c r="C174" s="41" t="str">
        <f>_xlfn.XLOOKUP(tblCostChecklist[[#This Row],[TargetID]],tblTargets[TargetID],tblTargets[DisplayName],"")</f>
        <v>Fermentory Lv 2</v>
      </c>
      <c r="D174" s="41" t="str">
        <f>_xlfn.XLOOKUP(tblCostChecklist[[#This Row],[TargetID]],tblTargets[TargetID],tblTargets[TargetType],"")</f>
        <v>BUILDING</v>
      </c>
      <c r="E174" s="41" t="s">
        <v>663</v>
      </c>
      <c r="F174" s="41">
        <v>1</v>
      </c>
      <c r="G174" s="41">
        <f>_xlfn.XLOOKUP(
 tblCostChecklist[[#This Row],[RequirementID]],
 tblCost[RequirementID],
 tblCost[QuantityRequired],
 ""
)</f>
        <v>200</v>
      </c>
      <c r="H1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4" s="41" t="str">
        <f>_xlfn.XLOOKUP(tblCostChecklist[[#This Row],[TargetID]],tblTargetStatus[TargetID],tblTargetStatus[Status])</f>
        <v>BLOCKED</v>
      </c>
      <c r="J174" s="25" t="b">
        <v>0</v>
      </c>
    </row>
    <row r="175" spans="1:10">
      <c r="A175" s="41" t="s">
        <v>3823</v>
      </c>
      <c r="B175" s="41" t="str">
        <f>_xlfn.TEXTAFTER(
 _xlfn.TEXTBEFORE(tblCostChecklist[[#This Row],[RequirementID]],".",-2),
 "cost."
)</f>
        <v>building.fermentory@2</v>
      </c>
      <c r="C175" s="41" t="str">
        <f>_xlfn.XLOOKUP(tblCostChecklist[[#This Row],[TargetID]],tblTargets[TargetID],tblTargets[DisplayName],"")</f>
        <v>Fermentory Lv 2</v>
      </c>
      <c r="D175" s="41" t="str">
        <f>_xlfn.XLOOKUP(tblCostChecklist[[#This Row],[TargetID]],tblTargets[TargetID],tblTargets[TargetType],"")</f>
        <v>BUILDING</v>
      </c>
      <c r="E175" s="41" t="s">
        <v>714</v>
      </c>
      <c r="F175" s="41">
        <v>1</v>
      </c>
      <c r="G175" s="41">
        <f>_xlfn.XLOOKUP(
 tblCostChecklist[[#This Row],[RequirementID]],
 tblCost[RequirementID],
 tblCost[QuantityRequired],
 ""
)</f>
        <v>50</v>
      </c>
      <c r="H1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5" s="41" t="str">
        <f>_xlfn.XLOOKUP(tblCostChecklist[[#This Row],[TargetID]],tblTargetStatus[TargetID],tblTargetStatus[Status])</f>
        <v>BLOCKED</v>
      </c>
      <c r="J175" s="25" t="b">
        <v>0</v>
      </c>
    </row>
    <row r="176" spans="1:10">
      <c r="A176" s="41" t="s">
        <v>3824</v>
      </c>
      <c r="B176" s="41" t="str">
        <f>_xlfn.TEXTAFTER(
 _xlfn.TEXTBEFORE(tblCostChecklist[[#This Row],[RequirementID]],".",-2),
 "cost."
)</f>
        <v>building.fermentory@3</v>
      </c>
      <c r="C176" s="41" t="str">
        <f>_xlfn.XLOOKUP(tblCostChecklist[[#This Row],[TargetID]],tblTargets[TargetID],tblTargets[DisplayName],"")</f>
        <v>Fermentory Lv 3</v>
      </c>
      <c r="D176" s="41" t="str">
        <f>_xlfn.XLOOKUP(tblCostChecklist[[#This Row],[TargetID]],tblTargets[TargetID],tblTargets[TargetType],"")</f>
        <v>BUILDING</v>
      </c>
      <c r="E176" s="41" t="s">
        <v>708</v>
      </c>
      <c r="F176" s="41">
        <v>1</v>
      </c>
      <c r="G176" s="41">
        <f>_xlfn.XLOOKUP(
 tblCostChecklist[[#This Row],[RequirementID]],
 tblCost[RequirementID],
 tblCost[QuantityRequired],
 ""
)</f>
        <v>7</v>
      </c>
      <c r="H1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76" s="41" t="str">
        <f>_xlfn.XLOOKUP(tblCostChecklist[[#This Row],[TargetID]],tblTargetStatus[TargetID],tblTargetStatus[Status])</f>
        <v>BLOCKED</v>
      </c>
      <c r="J176" s="25" t="b">
        <v>0</v>
      </c>
    </row>
    <row r="177" spans="1:10">
      <c r="A177" s="41" t="s">
        <v>3825</v>
      </c>
      <c r="B177" s="41" t="str">
        <f>_xlfn.TEXTAFTER(
 _xlfn.TEXTBEFORE(tblCostChecklist[[#This Row],[RequirementID]],".",-2),
 "cost."
)</f>
        <v>building.fermentory@3</v>
      </c>
      <c r="C177" s="41" t="str">
        <f>_xlfn.XLOOKUP(tblCostChecklist[[#This Row],[TargetID]],tblTargets[TargetID],tblTargets[DisplayName],"")</f>
        <v>Fermentory Lv 3</v>
      </c>
      <c r="D177" s="41" t="str">
        <f>_xlfn.XLOOKUP(tblCostChecklist[[#This Row],[TargetID]],tblTargets[TargetID],tblTargets[TargetType],"")</f>
        <v>BUILDING</v>
      </c>
      <c r="E177" s="41" t="s">
        <v>666</v>
      </c>
      <c r="F177" s="41">
        <v>1</v>
      </c>
      <c r="G177" s="41">
        <f>_xlfn.XLOOKUP(
 tblCostChecklist[[#This Row],[RequirementID]],
 tblCost[RequirementID],
 tblCost[QuantityRequired],
 ""
)</f>
        <v>1000</v>
      </c>
      <c r="H1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77" s="41" t="str">
        <f>_xlfn.XLOOKUP(tblCostChecklist[[#This Row],[TargetID]],tblTargetStatus[TargetID],tblTargetStatus[Status])</f>
        <v>BLOCKED</v>
      </c>
      <c r="J177" s="25" t="b">
        <v>0</v>
      </c>
    </row>
    <row r="178" spans="1:10">
      <c r="A178" s="41" t="s">
        <v>3826</v>
      </c>
      <c r="B178" s="41" t="str">
        <f>_xlfn.TEXTAFTER(
 _xlfn.TEXTBEFORE(tblCostChecklist[[#This Row],[RequirementID]],".",-2),
 "cost."
)</f>
        <v>building.fermentory@3</v>
      </c>
      <c r="C178" s="41" t="str">
        <f>_xlfn.XLOOKUP(tblCostChecklist[[#This Row],[TargetID]],tblTargets[TargetID],tblTargets[DisplayName],"")</f>
        <v>Fermentory Lv 3</v>
      </c>
      <c r="D178" s="41" t="str">
        <f>_xlfn.XLOOKUP(tblCostChecklist[[#This Row],[TargetID]],tblTargets[TargetID],tblTargets[TargetType],"")</f>
        <v>BUILDING</v>
      </c>
      <c r="E178" s="41" t="s">
        <v>701</v>
      </c>
      <c r="F178" s="41">
        <v>1</v>
      </c>
      <c r="G178" s="41">
        <f>_xlfn.XLOOKUP(
 tblCostChecklist[[#This Row],[RequirementID]],
 tblCost[RequirementID],
 tblCost[QuantityRequired],
 ""
)</f>
        <v>700</v>
      </c>
      <c r="H1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78" s="41" t="str">
        <f>_xlfn.XLOOKUP(tblCostChecklist[[#This Row],[TargetID]],tblTargetStatus[TargetID],tblTargetStatus[Status])</f>
        <v>BLOCKED</v>
      </c>
      <c r="J178" s="25" t="b">
        <v>0</v>
      </c>
    </row>
    <row r="179" spans="1:10">
      <c r="A179" s="41" t="s">
        <v>3827</v>
      </c>
      <c r="B179" s="41" t="str">
        <f>_xlfn.TEXTAFTER(
 _xlfn.TEXTBEFORE(tblCostChecklist[[#This Row],[RequirementID]],".",-2),
 "cost."
)</f>
        <v>building.fermentory@3</v>
      </c>
      <c r="C179" s="41" t="str">
        <f>_xlfn.XLOOKUP(tblCostChecklist[[#This Row],[TargetID]],tblTargets[TargetID],tblTargets[DisplayName],"")</f>
        <v>Fermentory Lv 3</v>
      </c>
      <c r="D179" s="41" t="str">
        <f>_xlfn.XLOOKUP(tblCostChecklist[[#This Row],[TargetID]],tblTargets[TargetID],tblTargets[TargetType],"")</f>
        <v>BUILDING</v>
      </c>
      <c r="E179" s="41" t="s">
        <v>717</v>
      </c>
      <c r="F179" s="41">
        <v>1</v>
      </c>
      <c r="G179" s="41">
        <f>_xlfn.XLOOKUP(
 tblCostChecklist[[#This Row],[RequirementID]],
 tblCost[RequirementID],
 tblCost[QuantityRequired],
 ""
)</f>
        <v>500</v>
      </c>
      <c r="H1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79" s="41" t="str">
        <f>_xlfn.XLOOKUP(tblCostChecklist[[#This Row],[TargetID]],tblTargetStatus[TargetID],tblTargetStatus[Status])</f>
        <v>BLOCKED</v>
      </c>
      <c r="J179" s="25" t="b">
        <v>0</v>
      </c>
    </row>
    <row r="180" spans="1:10">
      <c r="A180" s="41" t="s">
        <v>3828</v>
      </c>
      <c r="B180" s="41" t="str">
        <f>_xlfn.TEXTAFTER(
 _xlfn.TEXTBEFORE(tblCostChecklist[[#This Row],[RequirementID]],".",-2),
 "cost."
)</f>
        <v>building.fermentory@3</v>
      </c>
      <c r="C180" s="41" t="str">
        <f>_xlfn.XLOOKUP(tblCostChecklist[[#This Row],[TargetID]],tblTargets[TargetID],tblTargets[DisplayName],"")</f>
        <v>Fermentory Lv 3</v>
      </c>
      <c r="D180" s="41" t="str">
        <f>_xlfn.XLOOKUP(tblCostChecklist[[#This Row],[TargetID]],tblTargets[TargetID],tblTargets[TargetType],"")</f>
        <v>BUILDING</v>
      </c>
      <c r="E180" s="41" t="s">
        <v>716</v>
      </c>
      <c r="F180" s="41">
        <v>1</v>
      </c>
      <c r="G180" s="41">
        <f>_xlfn.XLOOKUP(
 tblCostChecklist[[#This Row],[RequirementID]],
 tblCost[RequirementID],
 tblCost[QuantityRequired],
 ""
)</f>
        <v>200</v>
      </c>
      <c r="H1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80" s="41" t="str">
        <f>_xlfn.XLOOKUP(tblCostChecklist[[#This Row],[TargetID]],tblTargetStatus[TargetID],tblTargetStatus[Status])</f>
        <v>BLOCKED</v>
      </c>
      <c r="J180" s="25" t="b">
        <v>0</v>
      </c>
    </row>
    <row r="181" spans="1:10">
      <c r="A181" s="41" t="s">
        <v>3829</v>
      </c>
      <c r="B181" s="41" t="str">
        <f>_xlfn.TEXTAFTER(
 _xlfn.TEXTBEFORE(tblCostChecklist[[#This Row],[RequirementID]],".",-2),
 "cost."
)</f>
        <v>building.fermentory@3</v>
      </c>
      <c r="C181" s="41" t="str">
        <f>_xlfn.XLOOKUP(tblCostChecklist[[#This Row],[TargetID]],tblTargets[TargetID],tblTargets[DisplayName],"")</f>
        <v>Fermentory Lv 3</v>
      </c>
      <c r="D181" s="41" t="str">
        <f>_xlfn.XLOOKUP(tblCostChecklist[[#This Row],[TargetID]],tblTargets[TargetID],tblTargets[TargetType],"")</f>
        <v>BUILDING</v>
      </c>
      <c r="E181" s="41" t="s">
        <v>663</v>
      </c>
      <c r="F181" s="41">
        <v>1</v>
      </c>
      <c r="G181" s="41">
        <f>_xlfn.XLOOKUP(
 tblCostChecklist[[#This Row],[RequirementID]],
 tblCost[RequirementID],
 tblCost[QuantityRequired],
 ""
)</f>
        <v>200</v>
      </c>
      <c r="H1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81" s="41" t="str">
        <f>_xlfn.XLOOKUP(tblCostChecklist[[#This Row],[TargetID]],tblTargetStatus[TargetID],tblTargetStatus[Status])</f>
        <v>BLOCKED</v>
      </c>
      <c r="J181" s="25" t="b">
        <v>0</v>
      </c>
    </row>
    <row r="182" spans="1:10">
      <c r="A182" s="41" t="s">
        <v>3830</v>
      </c>
      <c r="B182" s="41" t="str">
        <f>_xlfn.TEXTAFTER(
 _xlfn.TEXTBEFORE(tblCostChecklist[[#This Row],[RequirementID]],".",-2),
 "cost."
)</f>
        <v>building.fermentory@3</v>
      </c>
      <c r="C182" s="41" t="str">
        <f>_xlfn.XLOOKUP(tblCostChecklist[[#This Row],[TargetID]],tblTargets[TargetID],tblTargets[DisplayName],"")</f>
        <v>Fermentory Lv 3</v>
      </c>
      <c r="D182" s="41" t="str">
        <f>_xlfn.XLOOKUP(tblCostChecklist[[#This Row],[TargetID]],tblTargets[TargetID],tblTargets[TargetType],"")</f>
        <v>BUILDING</v>
      </c>
      <c r="E182" s="41" t="s">
        <v>714</v>
      </c>
      <c r="F182" s="41">
        <v>1</v>
      </c>
      <c r="G182" s="41">
        <f>_xlfn.XLOOKUP(
 tblCostChecklist[[#This Row],[RequirementID]],
 tblCost[RequirementID],
 tblCost[QuantityRequired],
 ""
)</f>
        <v>50</v>
      </c>
      <c r="H1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82" s="41" t="str">
        <f>_xlfn.XLOOKUP(tblCostChecklist[[#This Row],[TargetID]],tblTargetStatus[TargetID],tblTargetStatus[Status])</f>
        <v>BLOCKED</v>
      </c>
      <c r="J182" s="25" t="b">
        <v>0</v>
      </c>
    </row>
    <row r="183" spans="1:10">
      <c r="A183" s="41" t="s">
        <v>3831</v>
      </c>
      <c r="B183" s="41" t="str">
        <f>_xlfn.TEXTAFTER(
 _xlfn.TEXTBEFORE(tblCostChecklist[[#This Row],[RequirementID]],".",-2),
 "cost."
)</f>
        <v>building.fermentory@4</v>
      </c>
      <c r="C183" s="41" t="str">
        <f>_xlfn.XLOOKUP(tblCostChecklist[[#This Row],[TargetID]],tblTargets[TargetID],tblTargets[DisplayName],"")</f>
        <v>Fermentory Lv 4</v>
      </c>
      <c r="D183" s="41" t="str">
        <f>_xlfn.XLOOKUP(tblCostChecklist[[#This Row],[TargetID]],tblTargets[TargetID],tblTargets[TargetType],"")</f>
        <v>BUILDING</v>
      </c>
      <c r="E183" s="41" t="s">
        <v>708</v>
      </c>
      <c r="F183" s="41">
        <v>1</v>
      </c>
      <c r="G183" s="41">
        <f>_xlfn.XLOOKUP(
 tblCostChecklist[[#This Row],[RequirementID]],
 tblCost[RequirementID],
 tblCost[QuantityRequired],
 ""
)</f>
        <v>8</v>
      </c>
      <c r="H1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3" s="41" t="str">
        <f>_xlfn.XLOOKUP(tblCostChecklist[[#This Row],[TargetID]],tblTargetStatus[TargetID],tblTargetStatus[Status])</f>
        <v>BLOCKED</v>
      </c>
      <c r="J183" s="25" t="b">
        <v>0</v>
      </c>
    </row>
    <row r="184" spans="1:10">
      <c r="A184" s="41" t="s">
        <v>3832</v>
      </c>
      <c r="B184" s="41" t="str">
        <f>_xlfn.TEXTAFTER(
 _xlfn.TEXTBEFORE(tblCostChecklist[[#This Row],[RequirementID]],".",-2),
 "cost."
)</f>
        <v>building.fermentory@4</v>
      </c>
      <c r="C184" s="41" t="str">
        <f>_xlfn.XLOOKUP(tblCostChecklist[[#This Row],[TargetID]],tblTargets[TargetID],tblTargets[DisplayName],"")</f>
        <v>Fermentory Lv 4</v>
      </c>
      <c r="D184" s="41" t="str">
        <f>_xlfn.XLOOKUP(tblCostChecklist[[#This Row],[TargetID]],tblTargets[TargetID],tblTargets[TargetType],"")</f>
        <v>BUILDING</v>
      </c>
      <c r="E184" s="41" t="s">
        <v>666</v>
      </c>
      <c r="F184" s="41">
        <v>1</v>
      </c>
      <c r="G184" s="41">
        <f>_xlfn.XLOOKUP(
 tblCostChecklist[[#This Row],[RequirementID]],
 tblCost[RequirementID],
 tblCost[QuantityRequired],
 ""
)</f>
        <v>1000</v>
      </c>
      <c r="H1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4" s="41" t="str">
        <f>_xlfn.XLOOKUP(tblCostChecklist[[#This Row],[TargetID]],tblTargetStatus[TargetID],tblTargetStatus[Status])</f>
        <v>BLOCKED</v>
      </c>
      <c r="J184" s="25" t="b">
        <v>0</v>
      </c>
    </row>
    <row r="185" spans="1:10">
      <c r="A185" s="41" t="s">
        <v>3833</v>
      </c>
      <c r="B185" s="41" t="str">
        <f>_xlfn.TEXTAFTER(
 _xlfn.TEXTBEFORE(tblCostChecklist[[#This Row],[RequirementID]],".",-2),
 "cost."
)</f>
        <v>building.fermentory@4</v>
      </c>
      <c r="C185" s="41" t="str">
        <f>_xlfn.XLOOKUP(tblCostChecklist[[#This Row],[TargetID]],tblTargets[TargetID],tblTargets[DisplayName],"")</f>
        <v>Fermentory Lv 4</v>
      </c>
      <c r="D185" s="41" t="str">
        <f>_xlfn.XLOOKUP(tblCostChecklist[[#This Row],[TargetID]],tblTargets[TargetID],tblTargets[TargetType],"")</f>
        <v>BUILDING</v>
      </c>
      <c r="E185" s="41" t="s">
        <v>701</v>
      </c>
      <c r="F185" s="41">
        <v>1</v>
      </c>
      <c r="G185" s="41">
        <f>_xlfn.XLOOKUP(
 tblCostChecklist[[#This Row],[RequirementID]],
 tblCost[RequirementID],
 tblCost[QuantityRequired],
 ""
)</f>
        <v>900</v>
      </c>
      <c r="H1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5" s="41" t="str">
        <f>_xlfn.XLOOKUP(tblCostChecklist[[#This Row],[TargetID]],tblTargetStatus[TargetID],tblTargetStatus[Status])</f>
        <v>BLOCKED</v>
      </c>
      <c r="J185" s="25" t="b">
        <v>0</v>
      </c>
    </row>
    <row r="186" spans="1:10">
      <c r="A186" s="41" t="s">
        <v>3834</v>
      </c>
      <c r="B186" s="41" t="str">
        <f>_xlfn.TEXTAFTER(
 _xlfn.TEXTBEFORE(tblCostChecklist[[#This Row],[RequirementID]],".",-2),
 "cost."
)</f>
        <v>building.fermentory@4</v>
      </c>
      <c r="C186" s="41" t="str">
        <f>_xlfn.XLOOKUP(tblCostChecklist[[#This Row],[TargetID]],tblTargets[TargetID],tblTargets[DisplayName],"")</f>
        <v>Fermentory Lv 4</v>
      </c>
      <c r="D186" s="41" t="str">
        <f>_xlfn.XLOOKUP(tblCostChecklist[[#This Row],[TargetID]],tblTargets[TargetID],tblTargets[TargetType],"")</f>
        <v>BUILDING</v>
      </c>
      <c r="E186" s="41" t="s">
        <v>717</v>
      </c>
      <c r="F186" s="41">
        <v>1</v>
      </c>
      <c r="G186" s="41">
        <f>_xlfn.XLOOKUP(
 tblCostChecklist[[#This Row],[RequirementID]],
 tblCost[RequirementID],
 tblCost[QuantityRequired],
 ""
)</f>
        <v>500</v>
      </c>
      <c r="H1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6" s="41" t="str">
        <f>_xlfn.XLOOKUP(tblCostChecklist[[#This Row],[TargetID]],tblTargetStatus[TargetID],tblTargetStatus[Status])</f>
        <v>BLOCKED</v>
      </c>
      <c r="J186" s="25" t="b">
        <v>0</v>
      </c>
    </row>
    <row r="187" spans="1:10">
      <c r="A187" s="41" t="s">
        <v>3835</v>
      </c>
      <c r="B187" s="41" t="str">
        <f>_xlfn.TEXTAFTER(
 _xlfn.TEXTBEFORE(tblCostChecklist[[#This Row],[RequirementID]],".",-2),
 "cost."
)</f>
        <v>building.fermentory@4</v>
      </c>
      <c r="C187" s="41" t="str">
        <f>_xlfn.XLOOKUP(tblCostChecklist[[#This Row],[TargetID]],tblTargets[TargetID],tblTargets[DisplayName],"")</f>
        <v>Fermentory Lv 4</v>
      </c>
      <c r="D187" s="41" t="str">
        <f>_xlfn.XLOOKUP(tblCostChecklist[[#This Row],[TargetID]],tblTargets[TargetID],tblTargets[TargetType],"")</f>
        <v>BUILDING</v>
      </c>
      <c r="E187" s="41" t="s">
        <v>716</v>
      </c>
      <c r="F187" s="41">
        <v>1</v>
      </c>
      <c r="G187" s="41">
        <f>_xlfn.XLOOKUP(
 tblCostChecklist[[#This Row],[RequirementID]],
 tblCost[RequirementID],
 tblCost[QuantityRequired],
 ""
)</f>
        <v>300</v>
      </c>
      <c r="H1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7" s="41" t="str">
        <f>_xlfn.XLOOKUP(tblCostChecklist[[#This Row],[TargetID]],tblTargetStatus[TargetID],tblTargetStatus[Status])</f>
        <v>BLOCKED</v>
      </c>
      <c r="J187" s="25" t="b">
        <v>0</v>
      </c>
    </row>
    <row r="188" spans="1:10">
      <c r="A188" s="41" t="s">
        <v>3836</v>
      </c>
      <c r="B188" s="41" t="str">
        <f>_xlfn.TEXTAFTER(
 _xlfn.TEXTBEFORE(tblCostChecklist[[#This Row],[RequirementID]],".",-2),
 "cost."
)</f>
        <v>building.fermentory@4</v>
      </c>
      <c r="C188" s="41" t="str">
        <f>_xlfn.XLOOKUP(tblCostChecklist[[#This Row],[TargetID]],tblTargets[TargetID],tblTargets[DisplayName],"")</f>
        <v>Fermentory Lv 4</v>
      </c>
      <c r="D188" s="41" t="str">
        <f>_xlfn.XLOOKUP(tblCostChecklist[[#This Row],[TargetID]],tblTargets[TargetID],tblTargets[TargetType],"")</f>
        <v>BUILDING</v>
      </c>
      <c r="E188" s="41" t="s">
        <v>707</v>
      </c>
      <c r="F188" s="41">
        <v>1</v>
      </c>
      <c r="G188" s="41">
        <f>_xlfn.XLOOKUP(
 tblCostChecklist[[#This Row],[RequirementID]],
 tblCost[RequirementID],
 tblCost[QuantityRequired],
 ""
)</f>
        <v>50</v>
      </c>
      <c r="H1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8" s="41" t="str">
        <f>_xlfn.XLOOKUP(tblCostChecklist[[#This Row],[TargetID]],tblTargetStatus[TargetID],tblTargetStatus[Status])</f>
        <v>BLOCKED</v>
      </c>
      <c r="J188" s="25" t="b">
        <v>0</v>
      </c>
    </row>
    <row r="189" spans="1:10">
      <c r="A189" s="41" t="s">
        <v>3837</v>
      </c>
      <c r="B189" s="41" t="str">
        <f>_xlfn.TEXTAFTER(
 _xlfn.TEXTBEFORE(tblCostChecklist[[#This Row],[RequirementID]],".",-2),
 "cost."
)</f>
        <v>building.fermentory@4</v>
      </c>
      <c r="C189" s="41" t="str">
        <f>_xlfn.XLOOKUP(tblCostChecklist[[#This Row],[TargetID]],tblTargets[TargetID],tblTargets[DisplayName],"")</f>
        <v>Fermentory Lv 4</v>
      </c>
      <c r="D189" s="41" t="str">
        <f>_xlfn.XLOOKUP(tblCostChecklist[[#This Row],[TargetID]],tblTargets[TargetID],tblTargets[TargetType],"")</f>
        <v>BUILDING</v>
      </c>
      <c r="E189" s="41" t="s">
        <v>722</v>
      </c>
      <c r="F189" s="41">
        <v>1</v>
      </c>
      <c r="G189" s="41">
        <f>_xlfn.XLOOKUP(
 tblCostChecklist[[#This Row],[RequirementID]],
 tblCost[RequirementID],
 tblCost[QuantityRequired],
 ""
)</f>
        <v>50</v>
      </c>
      <c r="H1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9" s="41" t="str">
        <f>_xlfn.XLOOKUP(tblCostChecklist[[#This Row],[TargetID]],tblTargetStatus[TargetID],tblTargetStatus[Status])</f>
        <v>BLOCKED</v>
      </c>
      <c r="J189" s="25" t="b">
        <v>0</v>
      </c>
    </row>
    <row r="190" spans="1:10">
      <c r="A190" s="41" t="s">
        <v>3838</v>
      </c>
      <c r="B190" s="41" t="str">
        <f>_xlfn.TEXTAFTER(
 _xlfn.TEXTBEFORE(tblCostChecklist[[#This Row],[RequirementID]],".",-2),
 "cost."
)</f>
        <v>building.fermentory@4</v>
      </c>
      <c r="C190" s="41" t="str">
        <f>_xlfn.XLOOKUP(tblCostChecklist[[#This Row],[TargetID]],tblTargets[TargetID],tblTargets[DisplayName],"")</f>
        <v>Fermentory Lv 4</v>
      </c>
      <c r="D190" s="41" t="str">
        <f>_xlfn.XLOOKUP(tblCostChecklist[[#This Row],[TargetID]],tblTargets[TargetID],tblTargets[TargetType],"")</f>
        <v>BUILDING</v>
      </c>
      <c r="E190" s="41" t="s">
        <v>714</v>
      </c>
      <c r="F190" s="41">
        <v>1</v>
      </c>
      <c r="G190" s="41">
        <f>_xlfn.XLOOKUP(
 tblCostChecklist[[#This Row],[RequirementID]],
 tblCost[RequirementID],
 tblCost[QuantityRequired],
 ""
)</f>
        <v>50</v>
      </c>
      <c r="H1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90" s="41" t="str">
        <f>_xlfn.XLOOKUP(tblCostChecklist[[#This Row],[TargetID]],tblTargetStatus[TargetID],tblTargetStatus[Status])</f>
        <v>BLOCKED</v>
      </c>
      <c r="J190" s="25" t="b">
        <v>0</v>
      </c>
    </row>
    <row r="191" spans="1:10">
      <c r="A191" s="41" t="s">
        <v>3839</v>
      </c>
      <c r="B191" s="41" t="str">
        <f>_xlfn.TEXTAFTER(
 _xlfn.TEXTBEFORE(tblCostChecklist[[#This Row],[RequirementID]],".",-2),
 "cost."
)</f>
        <v>building.fermentory@4</v>
      </c>
      <c r="C191" s="41" t="str">
        <f>_xlfn.XLOOKUP(tblCostChecklist[[#This Row],[TargetID]],tblTargets[TargetID],tblTargets[DisplayName],"")</f>
        <v>Fermentory Lv 4</v>
      </c>
      <c r="D191" s="41" t="str">
        <f>_xlfn.XLOOKUP(tblCostChecklist[[#This Row],[TargetID]],tblTargets[TargetID],tblTargets[TargetType],"")</f>
        <v>BUILDING</v>
      </c>
      <c r="E191" s="41" t="s">
        <v>713</v>
      </c>
      <c r="F191" s="41">
        <v>1</v>
      </c>
      <c r="G191" s="41">
        <f>_xlfn.XLOOKUP(
 tblCostChecklist[[#This Row],[RequirementID]],
 tblCost[RequirementID],
 tblCost[QuantityRequired],
 ""
)</f>
        <v>10</v>
      </c>
      <c r="H1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91" s="41" t="str">
        <f>_xlfn.XLOOKUP(tblCostChecklist[[#This Row],[TargetID]],tblTargetStatus[TargetID],tblTargetStatus[Status])</f>
        <v>BLOCKED</v>
      </c>
      <c r="J191" s="25" t="b">
        <v>0</v>
      </c>
    </row>
    <row r="192" spans="1:10">
      <c r="A192" s="41" t="s">
        <v>3840</v>
      </c>
      <c r="B192" s="41" t="str">
        <f>_xlfn.TEXTAFTER(
 _xlfn.TEXTBEFORE(tblCostChecklist[[#This Row],[RequirementID]],".",-2),
 "cost."
)</f>
        <v>building.fermentory@5</v>
      </c>
      <c r="C192" s="41" t="str">
        <f>_xlfn.XLOOKUP(tblCostChecklist[[#This Row],[TargetID]],tblTargets[TargetID],tblTargets[DisplayName],"")</f>
        <v>Fermentory Lv 5</v>
      </c>
      <c r="D192" s="41" t="str">
        <f>_xlfn.XLOOKUP(tblCostChecklist[[#This Row],[TargetID]],tblTargets[TargetID],tblTargets[TargetType],"")</f>
        <v>BUILDING</v>
      </c>
      <c r="E192" s="41" t="s">
        <v>708</v>
      </c>
      <c r="F192" s="41">
        <v>1</v>
      </c>
      <c r="G192" s="41">
        <f>_xlfn.XLOOKUP(
 tblCostChecklist[[#This Row],[RequirementID]],
 tblCost[RequirementID],
 tblCost[QuantityRequired],
 ""
)</f>
        <v>9</v>
      </c>
      <c r="H1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2" s="41" t="str">
        <f>_xlfn.XLOOKUP(tblCostChecklist[[#This Row],[TargetID]],tblTargetStatus[TargetID],tblTargetStatus[Status])</f>
        <v>BLOCKED</v>
      </c>
      <c r="J192" s="25" t="b">
        <v>0</v>
      </c>
    </row>
    <row r="193" spans="1:10">
      <c r="A193" s="41" t="s">
        <v>3841</v>
      </c>
      <c r="B193" s="41" t="str">
        <f>_xlfn.TEXTAFTER(
 _xlfn.TEXTBEFORE(tblCostChecklist[[#This Row],[RequirementID]],".",-2),
 "cost."
)</f>
        <v>building.fermentory@5</v>
      </c>
      <c r="C193" s="41" t="str">
        <f>_xlfn.XLOOKUP(tblCostChecklist[[#This Row],[TargetID]],tblTargets[TargetID],tblTargets[DisplayName],"")</f>
        <v>Fermentory Lv 5</v>
      </c>
      <c r="D193" s="41" t="str">
        <f>_xlfn.XLOOKUP(tblCostChecklist[[#This Row],[TargetID]],tblTargets[TargetID],tblTargets[TargetType],"")</f>
        <v>BUILDING</v>
      </c>
      <c r="E193" s="41" t="s">
        <v>666</v>
      </c>
      <c r="F193" s="41">
        <v>1</v>
      </c>
      <c r="G193" s="41">
        <f>_xlfn.XLOOKUP(
 tblCostChecklist[[#This Row],[RequirementID]],
 tblCost[RequirementID],
 tblCost[QuantityRequired],
 ""
)</f>
        <v>1000</v>
      </c>
      <c r="H1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3" s="41" t="str">
        <f>_xlfn.XLOOKUP(tblCostChecklist[[#This Row],[TargetID]],tblTargetStatus[TargetID],tblTargetStatus[Status])</f>
        <v>BLOCKED</v>
      </c>
      <c r="J193" s="25" t="b">
        <v>0</v>
      </c>
    </row>
    <row r="194" spans="1:10">
      <c r="A194" s="41" t="s">
        <v>3842</v>
      </c>
      <c r="B194" s="41" t="str">
        <f>_xlfn.TEXTAFTER(
 _xlfn.TEXTBEFORE(tblCostChecklist[[#This Row],[RequirementID]],".",-2),
 "cost."
)</f>
        <v>building.fermentory@5</v>
      </c>
      <c r="C194" s="41" t="str">
        <f>_xlfn.XLOOKUP(tblCostChecklist[[#This Row],[TargetID]],tblTargets[TargetID],tblTargets[DisplayName],"")</f>
        <v>Fermentory Lv 5</v>
      </c>
      <c r="D194" s="41" t="str">
        <f>_xlfn.XLOOKUP(tblCostChecklist[[#This Row],[TargetID]],tblTargets[TargetID],tblTargets[TargetType],"")</f>
        <v>BUILDING</v>
      </c>
      <c r="E194" s="41" t="s">
        <v>701</v>
      </c>
      <c r="F194" s="41">
        <v>1</v>
      </c>
      <c r="G194" s="41">
        <f>_xlfn.XLOOKUP(
 tblCostChecklist[[#This Row],[RequirementID]],
 tblCost[RequirementID],
 tblCost[QuantityRequired],
 ""
)</f>
        <v>900</v>
      </c>
      <c r="H1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4" s="41" t="str">
        <f>_xlfn.XLOOKUP(tblCostChecklist[[#This Row],[TargetID]],tblTargetStatus[TargetID],tblTargetStatus[Status])</f>
        <v>BLOCKED</v>
      </c>
      <c r="J194" s="25" t="b">
        <v>0</v>
      </c>
    </row>
    <row r="195" spans="1:10">
      <c r="A195" s="41" t="s">
        <v>3843</v>
      </c>
      <c r="B195" s="41" t="str">
        <f>_xlfn.TEXTAFTER(
 _xlfn.TEXTBEFORE(tblCostChecklist[[#This Row],[RequirementID]],".",-2),
 "cost."
)</f>
        <v>building.fermentory@5</v>
      </c>
      <c r="C195" s="41" t="str">
        <f>_xlfn.XLOOKUP(tblCostChecklist[[#This Row],[TargetID]],tblTargets[TargetID],tblTargets[DisplayName],"")</f>
        <v>Fermentory Lv 5</v>
      </c>
      <c r="D195" s="41" t="str">
        <f>_xlfn.XLOOKUP(tblCostChecklist[[#This Row],[TargetID]],tblTargets[TargetID],tblTargets[TargetType],"")</f>
        <v>BUILDING</v>
      </c>
      <c r="E195" s="41" t="s">
        <v>717</v>
      </c>
      <c r="F195" s="41">
        <v>1</v>
      </c>
      <c r="G195" s="41">
        <f>_xlfn.XLOOKUP(
 tblCostChecklist[[#This Row],[RequirementID]],
 tblCost[RequirementID],
 tblCost[QuantityRequired],
 ""
)</f>
        <v>800</v>
      </c>
      <c r="H1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5" s="41" t="str">
        <f>_xlfn.XLOOKUP(tblCostChecklist[[#This Row],[TargetID]],tblTargetStatus[TargetID],tblTargetStatus[Status])</f>
        <v>BLOCKED</v>
      </c>
      <c r="J195" s="25" t="b">
        <v>0</v>
      </c>
    </row>
    <row r="196" spans="1:10">
      <c r="A196" s="41" t="s">
        <v>3844</v>
      </c>
      <c r="B196" s="41" t="str">
        <f>_xlfn.TEXTAFTER(
 _xlfn.TEXTBEFORE(tblCostChecklist[[#This Row],[RequirementID]],".",-2),
 "cost."
)</f>
        <v>building.fermentory@5</v>
      </c>
      <c r="C196" s="41" t="str">
        <f>_xlfn.XLOOKUP(tblCostChecklist[[#This Row],[TargetID]],tblTargets[TargetID],tblTargets[DisplayName],"")</f>
        <v>Fermentory Lv 5</v>
      </c>
      <c r="D196" s="41" t="str">
        <f>_xlfn.XLOOKUP(tblCostChecklist[[#This Row],[TargetID]],tblTargets[TargetID],tblTargets[TargetType],"")</f>
        <v>BUILDING</v>
      </c>
      <c r="E196" s="41" t="s">
        <v>719</v>
      </c>
      <c r="F196" s="41">
        <v>1</v>
      </c>
      <c r="G196" s="41">
        <f>_xlfn.XLOOKUP(
 tblCostChecklist[[#This Row],[RequirementID]],
 tblCost[RequirementID],
 tblCost[QuantityRequired],
 ""
)</f>
        <v>20</v>
      </c>
      <c r="H1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6" s="41" t="str">
        <f>_xlfn.XLOOKUP(tblCostChecklist[[#This Row],[TargetID]],tblTargetStatus[TargetID],tblTargetStatus[Status])</f>
        <v>BLOCKED</v>
      </c>
      <c r="J196" s="25" t="b">
        <v>0</v>
      </c>
    </row>
    <row r="197" spans="1:10">
      <c r="A197" s="41" t="s">
        <v>3845</v>
      </c>
      <c r="B197" s="41" t="str">
        <f>_xlfn.TEXTAFTER(
 _xlfn.TEXTBEFORE(tblCostChecklist[[#This Row],[RequirementID]],".",-2),
 "cost."
)</f>
        <v>building.fermentory@5</v>
      </c>
      <c r="C197" s="41" t="str">
        <f>_xlfn.XLOOKUP(tblCostChecklist[[#This Row],[TargetID]],tblTargets[TargetID],tblTargets[DisplayName],"")</f>
        <v>Fermentory Lv 5</v>
      </c>
      <c r="D197" s="41" t="str">
        <f>_xlfn.XLOOKUP(tblCostChecklist[[#This Row],[TargetID]],tblTargets[TargetID],tblTargets[TargetType],"")</f>
        <v>BUILDING</v>
      </c>
      <c r="E197" s="41" t="s">
        <v>714</v>
      </c>
      <c r="F197" s="41">
        <v>1</v>
      </c>
      <c r="G197" s="41">
        <f>_xlfn.XLOOKUP(
 tblCostChecklist[[#This Row],[RequirementID]],
 tblCost[RequirementID],
 tblCost[QuantityRequired],
 ""
)</f>
        <v>100</v>
      </c>
      <c r="H1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7" s="41" t="str">
        <f>_xlfn.XLOOKUP(tblCostChecklist[[#This Row],[TargetID]],tblTargetStatus[TargetID],tblTargetStatus[Status])</f>
        <v>BLOCKED</v>
      </c>
      <c r="J197" s="25" t="b">
        <v>0</v>
      </c>
    </row>
    <row r="198" spans="1:10">
      <c r="A198" s="41" t="s">
        <v>3846</v>
      </c>
      <c r="B198" s="41" t="str">
        <f>_xlfn.TEXTAFTER(
 _xlfn.TEXTBEFORE(tblCostChecklist[[#This Row],[RequirementID]],".",-2),
 "cost."
)</f>
        <v>building.fermentory@5</v>
      </c>
      <c r="C198" s="41" t="str">
        <f>_xlfn.XLOOKUP(tblCostChecklist[[#This Row],[TargetID]],tblTargets[TargetID],tblTargets[DisplayName],"")</f>
        <v>Fermentory Lv 5</v>
      </c>
      <c r="D198" s="41" t="str">
        <f>_xlfn.XLOOKUP(tblCostChecklist[[#This Row],[TargetID]],tblTargets[TargetID],tblTargets[TargetType],"")</f>
        <v>BUILDING</v>
      </c>
      <c r="E198" s="41" t="s">
        <v>683</v>
      </c>
      <c r="F198" s="41">
        <v>1</v>
      </c>
      <c r="G198" s="41">
        <f>_xlfn.XLOOKUP(
 tblCostChecklist[[#This Row],[RequirementID]],
 tblCost[RequirementID],
 tblCost[QuantityRequired],
 ""
)</f>
        <v>24</v>
      </c>
      <c r="H1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8" s="41" t="str">
        <f>_xlfn.XLOOKUP(tblCostChecklist[[#This Row],[TargetID]],tblTargetStatus[TargetID],tblTargetStatus[Status])</f>
        <v>BLOCKED</v>
      </c>
      <c r="J198" s="25" t="b">
        <v>0</v>
      </c>
    </row>
    <row r="199" spans="1:10">
      <c r="A199" s="41" t="s">
        <v>3847</v>
      </c>
      <c r="B199" s="41" t="str">
        <f>_xlfn.TEXTAFTER(
 _xlfn.TEXTBEFORE(tblCostChecklist[[#This Row],[RequirementID]],".",-2),
 "cost."
)</f>
        <v>building.fermentory@5</v>
      </c>
      <c r="C199" s="41" t="str">
        <f>_xlfn.XLOOKUP(tblCostChecklist[[#This Row],[TargetID]],tblTargets[TargetID],tblTargets[DisplayName],"")</f>
        <v>Fermentory Lv 5</v>
      </c>
      <c r="D199" s="41" t="str">
        <f>_xlfn.XLOOKUP(tblCostChecklist[[#This Row],[TargetID]],tblTargets[TargetID],tblTargets[TargetType],"")</f>
        <v>BUILDING</v>
      </c>
      <c r="E199" s="41" t="s">
        <v>677</v>
      </c>
      <c r="F199" s="41">
        <v>1</v>
      </c>
      <c r="G199" s="41">
        <f>_xlfn.XLOOKUP(
 tblCostChecklist[[#This Row],[RequirementID]],
 tblCost[RequirementID],
 tblCost[QuantityRequired],
 ""
)</f>
        <v>10</v>
      </c>
      <c r="H1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9" s="41" t="str">
        <f>_xlfn.XLOOKUP(tblCostChecklist[[#This Row],[TargetID]],tblTargetStatus[TargetID],tblTargetStatus[Status])</f>
        <v>BLOCKED</v>
      </c>
      <c r="J199" s="25" t="b">
        <v>0</v>
      </c>
    </row>
    <row r="200" spans="1:10">
      <c r="A200" s="41" t="s">
        <v>3848</v>
      </c>
      <c r="B200" s="41" t="str">
        <f>_xlfn.TEXTAFTER(
 _xlfn.TEXTBEFORE(tblCostChecklist[[#This Row],[RequirementID]],".",-2),
 "cost."
)</f>
        <v>building.fermentory@6</v>
      </c>
      <c r="C200" s="41" t="str">
        <f>_xlfn.XLOOKUP(tblCostChecklist[[#This Row],[TargetID]],tblTargets[TargetID],tblTargets[DisplayName],"")</f>
        <v>Fermentory Lv 6</v>
      </c>
      <c r="D200" s="41" t="str">
        <f>_xlfn.XLOOKUP(tblCostChecklist[[#This Row],[TargetID]],tblTargets[TargetID],tblTargets[TargetType],"")</f>
        <v>BUILDING</v>
      </c>
      <c r="E200" s="41" t="s">
        <v>708</v>
      </c>
      <c r="F200" s="41">
        <v>1</v>
      </c>
      <c r="G200" s="41">
        <f>_xlfn.XLOOKUP(
 tblCostChecklist[[#This Row],[RequirementID]],
 tblCost[RequirementID],
 tblCost[QuantityRequired],
 ""
)</f>
        <v>10</v>
      </c>
      <c r="H2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0" s="41" t="str">
        <f>_xlfn.XLOOKUP(tblCostChecklist[[#This Row],[TargetID]],tblTargetStatus[TargetID],tblTargetStatus[Status])</f>
        <v>BLOCKED</v>
      </c>
      <c r="J200" s="25" t="b">
        <v>0</v>
      </c>
    </row>
    <row r="201" spans="1:10">
      <c r="A201" s="41" t="s">
        <v>3849</v>
      </c>
      <c r="B201" s="41" t="str">
        <f>_xlfn.TEXTAFTER(
 _xlfn.TEXTBEFORE(tblCostChecklist[[#This Row],[RequirementID]],".",-2),
 "cost."
)</f>
        <v>building.fermentory@6</v>
      </c>
      <c r="C201" s="41" t="str">
        <f>_xlfn.XLOOKUP(tblCostChecklist[[#This Row],[TargetID]],tblTargets[TargetID],tblTargets[DisplayName],"")</f>
        <v>Fermentory Lv 6</v>
      </c>
      <c r="D201" s="41" t="str">
        <f>_xlfn.XLOOKUP(tblCostChecklist[[#This Row],[TargetID]],tblTargets[TargetID],tblTargets[TargetType],"")</f>
        <v>BUILDING</v>
      </c>
      <c r="E201" s="41" t="s">
        <v>666</v>
      </c>
      <c r="F201" s="41">
        <v>1</v>
      </c>
      <c r="G201" s="41">
        <f>_xlfn.XLOOKUP(
 tblCostChecklist[[#This Row],[RequirementID]],
 tblCost[RequirementID],
 tblCost[QuantityRequired],
 ""
)</f>
        <v>1000</v>
      </c>
      <c r="H2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1" s="41" t="str">
        <f>_xlfn.XLOOKUP(tblCostChecklist[[#This Row],[TargetID]],tblTargetStatus[TargetID],tblTargetStatus[Status])</f>
        <v>BLOCKED</v>
      </c>
      <c r="J201" s="25" t="b">
        <v>0</v>
      </c>
    </row>
    <row r="202" spans="1:10">
      <c r="A202" s="41" t="s">
        <v>3850</v>
      </c>
      <c r="B202" s="41" t="str">
        <f>_xlfn.TEXTAFTER(
 _xlfn.TEXTBEFORE(tblCostChecklist[[#This Row],[RequirementID]],".",-2),
 "cost."
)</f>
        <v>building.fermentory@6</v>
      </c>
      <c r="C202" s="41" t="str">
        <f>_xlfn.XLOOKUP(tblCostChecklist[[#This Row],[TargetID]],tblTargets[TargetID],tblTargets[DisplayName],"")</f>
        <v>Fermentory Lv 6</v>
      </c>
      <c r="D202" s="41" t="str">
        <f>_xlfn.XLOOKUP(tblCostChecklist[[#This Row],[TargetID]],tblTargets[TargetID],tblTargets[TargetType],"")</f>
        <v>BUILDING</v>
      </c>
      <c r="E202" s="41" t="s">
        <v>701</v>
      </c>
      <c r="F202" s="41">
        <v>1</v>
      </c>
      <c r="G202" s="41">
        <f>_xlfn.XLOOKUP(
 tblCostChecklist[[#This Row],[RequirementID]],
 tblCost[RequirementID],
 tblCost[QuantityRequired],
 ""
)</f>
        <v>900</v>
      </c>
      <c r="H2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2" s="41" t="str">
        <f>_xlfn.XLOOKUP(tblCostChecklist[[#This Row],[TargetID]],tblTargetStatus[TargetID],tblTargetStatus[Status])</f>
        <v>BLOCKED</v>
      </c>
      <c r="J202" s="25" t="b">
        <v>0</v>
      </c>
    </row>
    <row r="203" spans="1:10">
      <c r="A203" s="41" t="s">
        <v>3851</v>
      </c>
      <c r="B203" s="41" t="str">
        <f>_xlfn.TEXTAFTER(
 _xlfn.TEXTBEFORE(tblCostChecklist[[#This Row],[RequirementID]],".",-2),
 "cost."
)</f>
        <v>building.fermentory@6</v>
      </c>
      <c r="C203" s="41" t="str">
        <f>_xlfn.XLOOKUP(tblCostChecklist[[#This Row],[TargetID]],tblTargets[TargetID],tblTargets[DisplayName],"")</f>
        <v>Fermentory Lv 6</v>
      </c>
      <c r="D203" s="41" t="str">
        <f>_xlfn.XLOOKUP(tblCostChecklist[[#This Row],[TargetID]],tblTargets[TargetID],tblTargets[TargetType],"")</f>
        <v>BUILDING</v>
      </c>
      <c r="E203" s="41" t="s">
        <v>717</v>
      </c>
      <c r="F203" s="41">
        <v>1</v>
      </c>
      <c r="G203" s="41">
        <f>_xlfn.XLOOKUP(
 tblCostChecklist[[#This Row],[RequirementID]],
 tblCost[RequirementID],
 tblCost[QuantityRequired],
 ""
)</f>
        <v>500</v>
      </c>
      <c r="H2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3" s="41" t="str">
        <f>_xlfn.XLOOKUP(tblCostChecklist[[#This Row],[TargetID]],tblTargetStatus[TargetID],tblTargetStatus[Status])</f>
        <v>BLOCKED</v>
      </c>
      <c r="J203" s="25" t="b">
        <v>0</v>
      </c>
    </row>
    <row r="204" spans="1:10">
      <c r="A204" s="41" t="s">
        <v>3852</v>
      </c>
      <c r="B204" s="41" t="str">
        <f>_xlfn.TEXTAFTER(
 _xlfn.TEXTBEFORE(tblCostChecklist[[#This Row],[RequirementID]],".",-2),
 "cost."
)</f>
        <v>building.fermentory@6</v>
      </c>
      <c r="C204" s="41" t="str">
        <f>_xlfn.XLOOKUP(tblCostChecklist[[#This Row],[TargetID]],tblTargets[TargetID],tblTargets[DisplayName],"")</f>
        <v>Fermentory Lv 6</v>
      </c>
      <c r="D204" s="41" t="str">
        <f>_xlfn.XLOOKUP(tblCostChecklist[[#This Row],[TargetID]],tblTargets[TargetID],tblTargets[TargetType],"")</f>
        <v>BUILDING</v>
      </c>
      <c r="E204" s="41" t="s">
        <v>697</v>
      </c>
      <c r="F204" s="41">
        <v>1</v>
      </c>
      <c r="G204" s="41">
        <f>_xlfn.XLOOKUP(
 tblCostChecklist[[#This Row],[RequirementID]],
 tblCost[RequirementID],
 tblCost[QuantityRequired],
 ""
)</f>
        <v>40</v>
      </c>
      <c r="H2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4" s="41" t="str">
        <f>_xlfn.XLOOKUP(tblCostChecklist[[#This Row],[TargetID]],tblTargetStatus[TargetID],tblTargetStatus[Status])</f>
        <v>BLOCKED</v>
      </c>
      <c r="J204" s="25" t="b">
        <v>0</v>
      </c>
    </row>
    <row r="205" spans="1:10">
      <c r="A205" s="41" t="s">
        <v>3853</v>
      </c>
      <c r="B205" s="41" t="str">
        <f>_xlfn.TEXTAFTER(
 _xlfn.TEXTBEFORE(tblCostChecklist[[#This Row],[RequirementID]],".",-2),
 "cost."
)</f>
        <v>building.fermentory@6</v>
      </c>
      <c r="C205" s="41" t="str">
        <f>_xlfn.XLOOKUP(tblCostChecklist[[#This Row],[TargetID]],tblTargets[TargetID],tblTargets[DisplayName],"")</f>
        <v>Fermentory Lv 6</v>
      </c>
      <c r="D205" s="41" t="str">
        <f>_xlfn.XLOOKUP(tblCostChecklist[[#This Row],[TargetID]],tblTargets[TargetID],tblTargets[TargetType],"")</f>
        <v>BUILDING</v>
      </c>
      <c r="E205" s="41" t="s">
        <v>674</v>
      </c>
      <c r="F205" s="41">
        <v>1</v>
      </c>
      <c r="G205" s="41">
        <f>_xlfn.XLOOKUP(
 tblCostChecklist[[#This Row],[RequirementID]],
 tblCost[RequirementID],
 tblCost[QuantityRequired],
 ""
)</f>
        <v>30</v>
      </c>
      <c r="H2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5" s="41" t="str">
        <f>_xlfn.XLOOKUP(tblCostChecklist[[#This Row],[TargetID]],tblTargetStatus[TargetID],tblTargetStatus[Status])</f>
        <v>BLOCKED</v>
      </c>
      <c r="J205" s="25" t="b">
        <v>0</v>
      </c>
    </row>
    <row r="206" spans="1:10">
      <c r="A206" s="41" t="s">
        <v>3854</v>
      </c>
      <c r="B206" s="41" t="str">
        <f>_xlfn.TEXTAFTER(
 _xlfn.TEXTBEFORE(tblCostChecklist[[#This Row],[RequirementID]],".",-2),
 "cost."
)</f>
        <v>building.fermentory@6</v>
      </c>
      <c r="C206" s="41" t="str">
        <f>_xlfn.XLOOKUP(tblCostChecklist[[#This Row],[TargetID]],tblTargets[TargetID],tblTargets[DisplayName],"")</f>
        <v>Fermentory Lv 6</v>
      </c>
      <c r="D206" s="41" t="str">
        <f>_xlfn.XLOOKUP(tblCostChecklist[[#This Row],[TargetID]],tblTargets[TargetID],tblTargets[TargetType],"")</f>
        <v>BUILDING</v>
      </c>
      <c r="E206" s="41" t="s">
        <v>683</v>
      </c>
      <c r="F206" s="41">
        <v>1</v>
      </c>
      <c r="G206" s="41">
        <f>_xlfn.XLOOKUP(
 tblCostChecklist[[#This Row],[RequirementID]],
 tblCost[RequirementID],
 tblCost[QuantityRequired],
 ""
)</f>
        <v>24</v>
      </c>
      <c r="H2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6" s="41" t="str">
        <f>_xlfn.XLOOKUP(tblCostChecklist[[#This Row],[TargetID]],tblTargetStatus[TargetID],tblTargetStatus[Status])</f>
        <v>BLOCKED</v>
      </c>
      <c r="J206" s="25" t="b">
        <v>0</v>
      </c>
    </row>
    <row r="207" spans="1:10">
      <c r="A207" s="41" t="s">
        <v>3855</v>
      </c>
      <c r="B207" s="41" t="str">
        <f>_xlfn.TEXTAFTER(
 _xlfn.TEXTBEFORE(tblCostChecklist[[#This Row],[RequirementID]],".",-2),
 "cost."
)</f>
        <v>building.fermentory@6</v>
      </c>
      <c r="C207" s="41" t="str">
        <f>_xlfn.XLOOKUP(tblCostChecklist[[#This Row],[TargetID]],tblTargets[TargetID],tblTargets[DisplayName],"")</f>
        <v>Fermentory Lv 6</v>
      </c>
      <c r="D207" s="41" t="str">
        <f>_xlfn.XLOOKUP(tblCostChecklist[[#This Row],[TargetID]],tblTargets[TargetID],tblTargets[TargetType],"")</f>
        <v>BUILDING</v>
      </c>
      <c r="E207" s="41" t="s">
        <v>670</v>
      </c>
      <c r="F207" s="41">
        <v>1</v>
      </c>
      <c r="G207" s="41">
        <f>_xlfn.XLOOKUP(
 tblCostChecklist[[#This Row],[RequirementID]],
 tblCost[RequirementID],
 tblCost[QuantityRequired],
 ""
)</f>
        <v>10</v>
      </c>
      <c r="H2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7" s="41" t="str">
        <f>_xlfn.XLOOKUP(tblCostChecklist[[#This Row],[TargetID]],tblTargetStatus[TargetID],tblTargetStatus[Status])</f>
        <v>BLOCKED</v>
      </c>
      <c r="J207" s="25" t="b">
        <v>0</v>
      </c>
    </row>
    <row r="208" spans="1:10">
      <c r="A208" s="41" t="s">
        <v>3856</v>
      </c>
      <c r="B208" s="41" t="str">
        <f>_xlfn.TEXTAFTER(
 _xlfn.TEXTBEFORE(tblCostChecklist[[#This Row],[RequirementID]],".",-2),
 "cost."
)</f>
        <v>building.fermentory@6</v>
      </c>
      <c r="C208" s="41" t="str">
        <f>_xlfn.XLOOKUP(tblCostChecklist[[#This Row],[TargetID]],tblTargets[TargetID],tblTargets[DisplayName],"")</f>
        <v>Fermentory Lv 6</v>
      </c>
      <c r="D208" s="41" t="str">
        <f>_xlfn.XLOOKUP(tblCostChecklist[[#This Row],[TargetID]],tblTargets[TargetID],tblTargets[TargetType],"")</f>
        <v>BUILDING</v>
      </c>
      <c r="E208" s="41" t="s">
        <v>677</v>
      </c>
      <c r="F208" s="41">
        <v>1</v>
      </c>
      <c r="G208" s="41">
        <f>_xlfn.XLOOKUP(
 tblCostChecklist[[#This Row],[RequirementID]],
 tblCost[RequirementID],
 tblCost[QuantityRequired],
 ""
)</f>
        <v>10</v>
      </c>
      <c r="H2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8" s="41" t="str">
        <f>_xlfn.XLOOKUP(tblCostChecklist[[#This Row],[TargetID]],tblTargetStatus[TargetID],tblTargetStatus[Status])</f>
        <v>BLOCKED</v>
      </c>
      <c r="J208" s="25" t="b">
        <v>0</v>
      </c>
    </row>
    <row r="209" spans="1:10">
      <c r="A209" s="41" t="s">
        <v>3857</v>
      </c>
      <c r="B209" s="41" t="str">
        <f>_xlfn.TEXTAFTER(
 _xlfn.TEXTBEFORE(tblCostChecklist[[#This Row],[RequirementID]],".",-2),
 "cost."
)</f>
        <v>building.field@1</v>
      </c>
      <c r="C209" s="41" t="str">
        <f>_xlfn.XLOOKUP(tblCostChecklist[[#This Row],[TargetID]],tblTargets[TargetID],tblTargets[DisplayName],"")</f>
        <v>Field Lv 1</v>
      </c>
      <c r="D209" s="41" t="str">
        <f>_xlfn.XLOOKUP(tblCostChecklist[[#This Row],[TargetID]],tblTargets[TargetID],tblTargets[TargetType],"")</f>
        <v>BUILDING</v>
      </c>
      <c r="E209" s="41" t="s">
        <v>708</v>
      </c>
      <c r="F209" s="41">
        <v>1</v>
      </c>
      <c r="G209" s="41">
        <f>_xlfn.XLOOKUP(
 tblCostChecklist[[#This Row],[RequirementID]],
 tblCost[RequirementID],
 tblCost[QuantityRequired],
 ""
)</f>
        <v>1</v>
      </c>
      <c r="H2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v>
      </c>
      <c r="I209" s="41" t="str">
        <f>_xlfn.XLOOKUP(tblCostChecklist[[#This Row],[TargetID]],tblTargetStatus[TargetID],tblTargetStatus[Status])</f>
        <v>BLOCKED</v>
      </c>
      <c r="J209" s="25" t="b">
        <v>0</v>
      </c>
    </row>
    <row r="210" spans="1:10">
      <c r="A210" s="41" t="s">
        <v>3858</v>
      </c>
      <c r="B210" s="41" t="str">
        <f>_xlfn.TEXTAFTER(
 _xlfn.TEXTBEFORE(tblCostChecklist[[#This Row],[RequirementID]],".",-2),
 "cost."
)</f>
        <v>building.field@1</v>
      </c>
      <c r="C210" s="41" t="str">
        <f>_xlfn.XLOOKUP(tblCostChecklist[[#This Row],[TargetID]],tblTargets[TargetID],tblTargets[DisplayName],"")</f>
        <v>Field Lv 1</v>
      </c>
      <c r="D210" s="41" t="str">
        <f>_xlfn.XLOOKUP(tblCostChecklist[[#This Row],[TargetID]],tblTargets[TargetID],tblTargets[TargetType],"")</f>
        <v>BUILDING</v>
      </c>
      <c r="E210" s="41" t="s">
        <v>666</v>
      </c>
      <c r="F210" s="41">
        <v>1</v>
      </c>
      <c r="G210" s="41">
        <f>_xlfn.XLOOKUP(
 tblCostChecklist[[#This Row],[RequirementID]],
 tblCost[RequirementID],
 tblCost[QuantityRequired],
 ""
)</f>
        <v>200</v>
      </c>
      <c r="H2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v>
      </c>
      <c r="I210" s="41" t="str">
        <f>_xlfn.XLOOKUP(tblCostChecklist[[#This Row],[TargetID]],tblTargetStatus[TargetID],tblTargetStatus[Status])</f>
        <v>BLOCKED</v>
      </c>
      <c r="J210" s="25" t="b">
        <v>0</v>
      </c>
    </row>
    <row r="211" spans="1:10">
      <c r="A211" s="41" t="s">
        <v>3859</v>
      </c>
      <c r="B211" s="41" t="str">
        <f>_xlfn.TEXTAFTER(
 _xlfn.TEXTBEFORE(tblCostChecklist[[#This Row],[RequirementID]],".",-2),
 "cost."
)</f>
        <v>building.field@1</v>
      </c>
      <c r="C211" s="41" t="str">
        <f>_xlfn.XLOOKUP(tblCostChecklist[[#This Row],[TargetID]],tblTargets[TargetID],tblTargets[DisplayName],"")</f>
        <v>Field Lv 1</v>
      </c>
      <c r="D211" s="41" t="str">
        <f>_xlfn.XLOOKUP(tblCostChecklist[[#This Row],[TargetID]],tblTargets[TargetID],tblTargets[TargetType],"")</f>
        <v>BUILDING</v>
      </c>
      <c r="E211" s="41" t="s">
        <v>723</v>
      </c>
      <c r="F211" s="41">
        <v>1</v>
      </c>
      <c r="G211" s="41">
        <f>_xlfn.XLOOKUP(
 tblCostChecklist[[#This Row],[RequirementID]],
 tblCost[RequirementID],
 tblCost[QuantityRequired],
 ""
)</f>
        <v>100</v>
      </c>
      <c r="H2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v>
      </c>
      <c r="I211" s="41" t="str">
        <f>_xlfn.XLOOKUP(tblCostChecklist[[#This Row],[TargetID]],tblTargetStatus[TargetID],tblTargetStatus[Status])</f>
        <v>BLOCKED</v>
      </c>
      <c r="J211" s="25" t="b">
        <v>0</v>
      </c>
    </row>
    <row r="212" spans="1:10">
      <c r="A212" s="41" t="s">
        <v>3860</v>
      </c>
      <c r="B212" s="41" t="str">
        <f>_xlfn.TEXTAFTER(
 _xlfn.TEXTBEFORE(tblCostChecklist[[#This Row],[RequirementID]],".",-2),
 "cost."
)</f>
        <v>building.field@1</v>
      </c>
      <c r="C212" s="41" t="str">
        <f>_xlfn.XLOOKUP(tblCostChecklist[[#This Row],[TargetID]],tblTargets[TargetID],tblTargets[DisplayName],"")</f>
        <v>Field Lv 1</v>
      </c>
      <c r="D212" s="41" t="str">
        <f>_xlfn.XLOOKUP(tblCostChecklist[[#This Row],[TargetID]],tblTargets[TargetID],tblTargets[TargetType],"")</f>
        <v>BUILDING</v>
      </c>
      <c r="E212" s="41" t="s">
        <v>664</v>
      </c>
      <c r="F212" s="41">
        <v>1</v>
      </c>
      <c r="G212" s="41">
        <f>_xlfn.XLOOKUP(
 tblCostChecklist[[#This Row],[RequirementID]],
 tblCost[RequirementID],
 tblCost[QuantityRequired],
 ""
)</f>
        <v>20</v>
      </c>
      <c r="H2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v>
      </c>
      <c r="I212" s="41" t="str">
        <f>_xlfn.XLOOKUP(tblCostChecklist[[#This Row],[TargetID]],tblTargetStatus[TargetID],tblTargetStatus[Status])</f>
        <v>BLOCKED</v>
      </c>
      <c r="J212" s="25" t="b">
        <v>0</v>
      </c>
    </row>
    <row r="213" spans="1:10">
      <c r="A213" s="41" t="s">
        <v>3861</v>
      </c>
      <c r="B213" s="41" t="str">
        <f>_xlfn.TEXTAFTER(
 _xlfn.TEXTBEFORE(tblCostChecklist[[#This Row],[RequirementID]],".",-2),
 "cost."
)</f>
        <v>building.field@2</v>
      </c>
      <c r="C213" s="41" t="str">
        <f>_xlfn.XLOOKUP(tblCostChecklist[[#This Row],[TargetID]],tblTargets[TargetID],tblTargets[DisplayName],"")</f>
        <v>Field Lv 2</v>
      </c>
      <c r="D213" s="41" t="str">
        <f>_xlfn.XLOOKUP(tblCostChecklist[[#This Row],[TargetID]],tblTargets[TargetID],tblTargets[TargetType],"")</f>
        <v>BUILDING</v>
      </c>
      <c r="E213" s="41" t="s">
        <v>708</v>
      </c>
      <c r="F213" s="41">
        <v>1</v>
      </c>
      <c r="G213" s="41">
        <f>_xlfn.XLOOKUP(
 tblCostChecklist[[#This Row],[RequirementID]],
 tblCost[RequirementID],
 tblCost[QuantityRequired],
 ""
)</f>
        <v>3</v>
      </c>
      <c r="H2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v>
      </c>
      <c r="I213" s="41" t="str">
        <f>_xlfn.XLOOKUP(tblCostChecklist[[#This Row],[TargetID]],tblTargetStatus[TargetID],tblTargetStatus[Status])</f>
        <v>BLOCKED</v>
      </c>
      <c r="J213" s="25" t="b">
        <v>0</v>
      </c>
    </row>
    <row r="214" spans="1:10">
      <c r="A214" s="41" t="s">
        <v>3862</v>
      </c>
      <c r="B214" s="41" t="str">
        <f>_xlfn.TEXTAFTER(
 _xlfn.TEXTBEFORE(tblCostChecklist[[#This Row],[RequirementID]],".",-2),
 "cost."
)</f>
        <v>building.field@2</v>
      </c>
      <c r="C214" s="41" t="str">
        <f>_xlfn.XLOOKUP(tblCostChecklist[[#This Row],[TargetID]],tblTargets[TargetID],tblTargets[DisplayName],"")</f>
        <v>Field Lv 2</v>
      </c>
      <c r="D214" s="41" t="str">
        <f>_xlfn.XLOOKUP(tblCostChecklist[[#This Row],[TargetID]],tblTargets[TargetID],tblTargets[TargetType],"")</f>
        <v>BUILDING</v>
      </c>
      <c r="E214" s="41" t="s">
        <v>666</v>
      </c>
      <c r="F214" s="41">
        <v>1</v>
      </c>
      <c r="G214" s="41">
        <f>_xlfn.XLOOKUP(
 tblCostChecklist[[#This Row],[RequirementID]],
 tblCost[RequirementID],
 tblCost[QuantityRequired],
 ""
)</f>
        <v>300</v>
      </c>
      <c r="H2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v>
      </c>
      <c r="I214" s="41" t="str">
        <f>_xlfn.XLOOKUP(tblCostChecklist[[#This Row],[TargetID]],tblTargetStatus[TargetID],tblTargetStatus[Status])</f>
        <v>BLOCKED</v>
      </c>
      <c r="J214" s="25" t="b">
        <v>0</v>
      </c>
    </row>
    <row r="215" spans="1:10">
      <c r="A215" s="41" t="s">
        <v>3863</v>
      </c>
      <c r="B215" s="41" t="str">
        <f>_xlfn.TEXTAFTER(
 _xlfn.TEXTBEFORE(tblCostChecklist[[#This Row],[RequirementID]],".",-2),
 "cost."
)</f>
        <v>building.field@2</v>
      </c>
      <c r="C215" s="41" t="str">
        <f>_xlfn.XLOOKUP(tblCostChecklist[[#This Row],[TargetID]],tblTargets[TargetID],tblTargets[DisplayName],"")</f>
        <v>Field Lv 2</v>
      </c>
      <c r="D215" s="41" t="str">
        <f>_xlfn.XLOOKUP(tblCostChecklist[[#This Row],[TargetID]],tblTargets[TargetID],tblTargets[TargetType],"")</f>
        <v>BUILDING</v>
      </c>
      <c r="E215" s="41" t="s">
        <v>723</v>
      </c>
      <c r="F215" s="41">
        <v>1</v>
      </c>
      <c r="G215" s="41">
        <f>_xlfn.XLOOKUP(
 tblCostChecklist[[#This Row],[RequirementID]],
 tblCost[RequirementID],
 tblCost[QuantityRequired],
 ""
)</f>
        <v>100</v>
      </c>
      <c r="H2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v>
      </c>
      <c r="I215" s="41" t="str">
        <f>_xlfn.XLOOKUP(tblCostChecklist[[#This Row],[TargetID]],tblTargetStatus[TargetID],tblTargetStatus[Status])</f>
        <v>BLOCKED</v>
      </c>
      <c r="J215" s="25" t="b">
        <v>0</v>
      </c>
    </row>
    <row r="216" spans="1:10">
      <c r="A216" s="41" t="s">
        <v>3864</v>
      </c>
      <c r="B216" s="41" t="str">
        <f>_xlfn.TEXTAFTER(
 _xlfn.TEXTBEFORE(tblCostChecklist[[#This Row],[RequirementID]],".",-2),
 "cost."
)</f>
        <v>building.field@2</v>
      </c>
      <c r="C216" s="41" t="str">
        <f>_xlfn.XLOOKUP(tblCostChecklist[[#This Row],[TargetID]],tblTargets[TargetID],tblTargets[DisplayName],"")</f>
        <v>Field Lv 2</v>
      </c>
      <c r="D216" s="41" t="str">
        <f>_xlfn.XLOOKUP(tblCostChecklist[[#This Row],[TargetID]],tblTargets[TargetID],tblTargets[TargetType],"")</f>
        <v>BUILDING</v>
      </c>
      <c r="E216" s="41" t="s">
        <v>664</v>
      </c>
      <c r="F216" s="41">
        <v>1</v>
      </c>
      <c r="G216" s="41">
        <f>_xlfn.XLOOKUP(
 tblCostChecklist[[#This Row],[RequirementID]],
 tblCost[RequirementID],
 tblCost[QuantityRequired],
 ""
)</f>
        <v>50</v>
      </c>
      <c r="H2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v>
      </c>
      <c r="I216" s="41" t="str">
        <f>_xlfn.XLOOKUP(tblCostChecklist[[#This Row],[TargetID]],tblTargetStatus[TargetID],tblTargetStatus[Status])</f>
        <v>BLOCKED</v>
      </c>
      <c r="J216" s="25" t="b">
        <v>0</v>
      </c>
    </row>
    <row r="217" spans="1:10">
      <c r="A217" s="41" t="s">
        <v>3865</v>
      </c>
      <c r="B217" s="41" t="str">
        <f>_xlfn.TEXTAFTER(
 _xlfn.TEXTBEFORE(tblCostChecklist[[#This Row],[RequirementID]],".",-2),
 "cost."
)</f>
        <v>building.field@2</v>
      </c>
      <c r="C217" s="41" t="str">
        <f>_xlfn.XLOOKUP(tblCostChecklist[[#This Row],[TargetID]],tblTargets[TargetID],tblTargets[DisplayName],"")</f>
        <v>Field Lv 2</v>
      </c>
      <c r="D217" s="41" t="str">
        <f>_xlfn.XLOOKUP(tblCostChecklist[[#This Row],[TargetID]],tblTargets[TargetID],tblTargets[TargetType],"")</f>
        <v>BUILDING</v>
      </c>
      <c r="E217" s="41" t="s">
        <v>716</v>
      </c>
      <c r="F217" s="41">
        <v>1</v>
      </c>
      <c r="G217" s="41">
        <f>_xlfn.XLOOKUP(
 tblCostChecklist[[#This Row],[RequirementID]],
 tblCost[RequirementID],
 tblCost[QuantityRequired],
 ""
)</f>
        <v>20</v>
      </c>
      <c r="H2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v>
      </c>
      <c r="I217" s="41" t="str">
        <f>_xlfn.XLOOKUP(tblCostChecklist[[#This Row],[TargetID]],tblTargetStatus[TargetID],tblTargetStatus[Status])</f>
        <v>BLOCKED</v>
      </c>
      <c r="J217" s="25" t="b">
        <v>0</v>
      </c>
    </row>
    <row r="218" spans="1:10">
      <c r="A218" s="41" t="s">
        <v>3866</v>
      </c>
      <c r="B218" s="41" t="str">
        <f>_xlfn.TEXTAFTER(
 _xlfn.TEXTBEFORE(tblCostChecklist[[#This Row],[RequirementID]],".",-2),
 "cost."
)</f>
        <v>building.food_stall@1</v>
      </c>
      <c r="C218" s="41" t="str">
        <f>_xlfn.XLOOKUP(tblCostChecklist[[#This Row],[TargetID]],tblTargets[TargetID],tblTargets[DisplayName],"")</f>
        <v>Food Stall Lv 1</v>
      </c>
      <c r="D218" s="41" t="str">
        <f>_xlfn.XLOOKUP(tblCostChecklist[[#This Row],[TargetID]],tblTargets[TargetID],tblTargets[TargetType],"")</f>
        <v>BUILDING</v>
      </c>
      <c r="E218" s="41" t="s">
        <v>708</v>
      </c>
      <c r="F218" s="41">
        <v>1</v>
      </c>
      <c r="G218" s="41">
        <f>_xlfn.XLOOKUP(
 tblCostChecklist[[#This Row],[RequirementID]],
 tblCost[RequirementID],
 tblCost[QuantityRequired],
 ""
)</f>
        <v>1</v>
      </c>
      <c r="H2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v>
      </c>
      <c r="I218" s="41" t="str">
        <f>_xlfn.XLOOKUP(tblCostChecklist[[#This Row],[TargetID]],tblTargetStatus[TargetID],tblTargetStatus[Status])</f>
        <v>BLOCKED</v>
      </c>
      <c r="J218" s="25" t="b">
        <v>0</v>
      </c>
    </row>
    <row r="219" spans="1:10">
      <c r="A219" s="41" t="s">
        <v>3867</v>
      </c>
      <c r="B219" s="41" t="str">
        <f>_xlfn.TEXTAFTER(
 _xlfn.TEXTBEFORE(tblCostChecklist[[#This Row],[RequirementID]],".",-2),
 "cost."
)</f>
        <v>building.food_stall@1</v>
      </c>
      <c r="C219" s="41" t="str">
        <f>_xlfn.XLOOKUP(tblCostChecklist[[#This Row],[TargetID]],tblTargets[TargetID],tblTargets[DisplayName],"")</f>
        <v>Food Stall Lv 1</v>
      </c>
      <c r="D219" s="41" t="str">
        <f>_xlfn.XLOOKUP(tblCostChecklist[[#This Row],[TargetID]],tblTargets[TargetID],tblTargets[TargetType],"")</f>
        <v>BUILDING</v>
      </c>
      <c r="E219" s="41" t="s">
        <v>666</v>
      </c>
      <c r="F219" s="41">
        <v>1</v>
      </c>
      <c r="G219" s="41">
        <f>_xlfn.XLOOKUP(
 tblCostChecklist[[#This Row],[RequirementID]],
 tblCost[RequirementID],
 tblCost[QuantityRequired],
 ""
)</f>
        <v>300</v>
      </c>
      <c r="H2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v>
      </c>
      <c r="I219" s="41" t="str">
        <f>_xlfn.XLOOKUP(tblCostChecklist[[#This Row],[TargetID]],tblTargetStatus[TargetID],tblTargetStatus[Status])</f>
        <v>BLOCKED</v>
      </c>
      <c r="J219" s="25" t="b">
        <v>0</v>
      </c>
    </row>
    <row r="220" spans="1:10">
      <c r="A220" s="41" t="s">
        <v>3868</v>
      </c>
      <c r="B220" s="41" t="str">
        <f>_xlfn.TEXTAFTER(
 _xlfn.TEXTBEFORE(tblCostChecklist[[#This Row],[RequirementID]],".",-2),
 "cost."
)</f>
        <v>building.food_stall@1</v>
      </c>
      <c r="C220" s="41" t="str">
        <f>_xlfn.XLOOKUP(tblCostChecklist[[#This Row],[TargetID]],tblTargets[TargetID],tblTargets[DisplayName],"")</f>
        <v>Food Stall Lv 1</v>
      </c>
      <c r="D220" s="41" t="str">
        <f>_xlfn.XLOOKUP(tblCostChecklist[[#This Row],[TargetID]],tblTargets[TargetID],tblTargets[TargetType],"")</f>
        <v>BUILDING</v>
      </c>
      <c r="E220" s="41" t="s">
        <v>723</v>
      </c>
      <c r="F220" s="41">
        <v>1</v>
      </c>
      <c r="G220" s="41">
        <f>_xlfn.XLOOKUP(
 tblCostChecklist[[#This Row],[RequirementID]],
 tblCost[RequirementID],
 tblCost[QuantityRequired],
 ""
)</f>
        <v>150</v>
      </c>
      <c r="H2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v>
      </c>
      <c r="I220" s="41" t="str">
        <f>_xlfn.XLOOKUP(tblCostChecklist[[#This Row],[TargetID]],tblTargetStatus[TargetID],tblTargetStatus[Status])</f>
        <v>BLOCKED</v>
      </c>
      <c r="J220" s="25" t="b">
        <v>0</v>
      </c>
    </row>
    <row r="221" spans="1:10">
      <c r="A221" s="41" t="s">
        <v>3869</v>
      </c>
      <c r="B221" s="41" t="str">
        <f>_xlfn.TEXTAFTER(
 _xlfn.TEXTBEFORE(tblCostChecklist[[#This Row],[RequirementID]],".",-2),
 "cost."
)</f>
        <v>building.food_stall@1</v>
      </c>
      <c r="C221" s="41" t="str">
        <f>_xlfn.XLOOKUP(tblCostChecklist[[#This Row],[TargetID]],tblTargets[TargetID],tblTargets[DisplayName],"")</f>
        <v>Food Stall Lv 1</v>
      </c>
      <c r="D221" s="41" t="str">
        <f>_xlfn.XLOOKUP(tblCostChecklist[[#This Row],[TargetID]],tblTargets[TargetID],tblTargets[TargetType],"")</f>
        <v>BUILDING</v>
      </c>
      <c r="E221" s="41" t="s">
        <v>717</v>
      </c>
      <c r="F221" s="41">
        <v>1</v>
      </c>
      <c r="G221" s="41">
        <f>_xlfn.XLOOKUP(
 tblCostChecklist[[#This Row],[RequirementID]],
 tblCost[RequirementID],
 tblCost[QuantityRequired],
 ""
)</f>
        <v>150</v>
      </c>
      <c r="H2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v>
      </c>
      <c r="I221" s="41" t="str">
        <f>_xlfn.XLOOKUP(tblCostChecklist[[#This Row],[TargetID]],tblTargetStatus[TargetID],tblTargetStatus[Status])</f>
        <v>BLOCKED</v>
      </c>
      <c r="J221" s="25" t="b">
        <v>0</v>
      </c>
    </row>
    <row r="222" spans="1:10">
      <c r="A222" s="41" t="s">
        <v>3870</v>
      </c>
      <c r="B222" s="41" t="str">
        <f>_xlfn.TEXTAFTER(
 _xlfn.TEXTBEFORE(tblCostChecklist[[#This Row],[RequirementID]],".",-2),
 "cost."
)</f>
        <v>building.food_stall@1</v>
      </c>
      <c r="C222" s="41" t="str">
        <f>_xlfn.XLOOKUP(tblCostChecklist[[#This Row],[TargetID]],tblTargets[TargetID],tblTargets[DisplayName],"")</f>
        <v>Food Stall Lv 1</v>
      </c>
      <c r="D222" s="41" t="str">
        <f>_xlfn.XLOOKUP(tblCostChecklist[[#This Row],[TargetID]],tblTargets[TargetID],tblTargets[TargetType],"")</f>
        <v>BUILDING</v>
      </c>
      <c r="E222" s="41" t="s">
        <v>707</v>
      </c>
      <c r="F222" s="41">
        <v>1</v>
      </c>
      <c r="G222" s="41">
        <f>_xlfn.XLOOKUP(
 tblCostChecklist[[#This Row],[RequirementID]],
 tblCost[RequirementID],
 tblCost[QuantityRequired],
 ""
)</f>
        <v>20</v>
      </c>
      <c r="H2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v>
      </c>
      <c r="I222" s="41" t="str">
        <f>_xlfn.XLOOKUP(tblCostChecklist[[#This Row],[TargetID]],tblTargetStatus[TargetID],tblTargetStatus[Status])</f>
        <v>BLOCKED</v>
      </c>
      <c r="J222" s="25" t="b">
        <v>0</v>
      </c>
    </row>
    <row r="223" spans="1:10">
      <c r="A223" s="41" t="s">
        <v>3871</v>
      </c>
      <c r="B223" s="41" t="str">
        <f>_xlfn.TEXTAFTER(
 _xlfn.TEXTBEFORE(tblCostChecklist[[#This Row],[RequirementID]],".",-2),
 "cost."
)</f>
        <v>building.food_stall@2</v>
      </c>
      <c r="C223" s="41" t="str">
        <f>_xlfn.XLOOKUP(tblCostChecklist[[#This Row],[TargetID]],tblTargets[TargetID],tblTargets[DisplayName],"")</f>
        <v>Food Stall Lv 2</v>
      </c>
      <c r="D223" s="41" t="str">
        <f>_xlfn.XLOOKUP(tblCostChecklist[[#This Row],[TargetID]],tblTargets[TargetID],tblTargets[TargetType],"")</f>
        <v>BUILDING</v>
      </c>
      <c r="E223" s="41" t="s">
        <v>708</v>
      </c>
      <c r="F223" s="41">
        <v>1</v>
      </c>
      <c r="G223" s="41">
        <f>_xlfn.XLOOKUP(
 tblCostChecklist[[#This Row],[RequirementID]],
 tblCost[RequirementID],
 tblCost[QuantityRequired],
 ""
)</f>
        <v>3</v>
      </c>
      <c r="H2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223" s="41" t="str">
        <f>_xlfn.XLOOKUP(tblCostChecklist[[#This Row],[TargetID]],tblTargetStatus[TargetID],tblTargetStatus[Status])</f>
        <v>BLOCKED</v>
      </c>
      <c r="J223" s="25" t="b">
        <v>0</v>
      </c>
    </row>
    <row r="224" spans="1:10">
      <c r="A224" s="41" t="s">
        <v>3872</v>
      </c>
      <c r="B224" s="41" t="str">
        <f>_xlfn.TEXTAFTER(
 _xlfn.TEXTBEFORE(tblCostChecklist[[#This Row],[RequirementID]],".",-2),
 "cost."
)</f>
        <v>building.food_stall@2</v>
      </c>
      <c r="C224" s="41" t="str">
        <f>_xlfn.XLOOKUP(tblCostChecklist[[#This Row],[TargetID]],tblTargets[TargetID],tblTargets[DisplayName],"")</f>
        <v>Food Stall Lv 2</v>
      </c>
      <c r="D224" s="41" t="str">
        <f>_xlfn.XLOOKUP(tblCostChecklist[[#This Row],[TargetID]],tblTargets[TargetID],tblTargets[TargetType],"")</f>
        <v>BUILDING</v>
      </c>
      <c r="E224" s="41" t="s">
        <v>666</v>
      </c>
      <c r="F224" s="41">
        <v>1</v>
      </c>
      <c r="G224" s="41">
        <f>_xlfn.XLOOKUP(
 tblCostChecklist[[#This Row],[RequirementID]],
 tblCost[RequirementID],
 tblCost[QuantityRequired],
 ""
)</f>
        <v>500</v>
      </c>
      <c r="H2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224" s="41" t="str">
        <f>_xlfn.XLOOKUP(tblCostChecklist[[#This Row],[TargetID]],tblTargetStatus[TargetID],tblTargetStatus[Status])</f>
        <v>BLOCKED</v>
      </c>
      <c r="J224" s="25" t="b">
        <v>0</v>
      </c>
    </row>
    <row r="225" spans="1:10">
      <c r="A225" s="41" t="s">
        <v>3873</v>
      </c>
      <c r="B225" s="41" t="str">
        <f>_xlfn.TEXTAFTER(
 _xlfn.TEXTBEFORE(tblCostChecklist[[#This Row],[RequirementID]],".",-2),
 "cost."
)</f>
        <v>building.food_stall@2</v>
      </c>
      <c r="C225" s="41" t="str">
        <f>_xlfn.XLOOKUP(tblCostChecklist[[#This Row],[TargetID]],tblTargets[TargetID],tblTargets[DisplayName],"")</f>
        <v>Food Stall Lv 2</v>
      </c>
      <c r="D225" s="41" t="str">
        <f>_xlfn.XLOOKUP(tblCostChecklist[[#This Row],[TargetID]],tblTargets[TargetID],tblTargets[TargetType],"")</f>
        <v>BUILDING</v>
      </c>
      <c r="E225" s="41" t="s">
        <v>701</v>
      </c>
      <c r="F225" s="41">
        <v>1</v>
      </c>
      <c r="G225" s="41">
        <f>_xlfn.XLOOKUP(
 tblCostChecklist[[#This Row],[RequirementID]],
 tblCost[RequirementID],
 tblCost[QuantityRequired],
 ""
)</f>
        <v>500</v>
      </c>
      <c r="H2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225" s="41" t="str">
        <f>_xlfn.XLOOKUP(tblCostChecklist[[#This Row],[TargetID]],tblTargetStatus[TargetID],tblTargetStatus[Status])</f>
        <v>BLOCKED</v>
      </c>
      <c r="J225" s="25" t="b">
        <v>0</v>
      </c>
    </row>
    <row r="226" spans="1:10">
      <c r="A226" s="41" t="s">
        <v>3874</v>
      </c>
      <c r="B226" s="41" t="str">
        <f>_xlfn.TEXTAFTER(
 _xlfn.TEXTBEFORE(tblCostChecklist[[#This Row],[RequirementID]],".",-2),
 "cost."
)</f>
        <v>building.food_stall@2</v>
      </c>
      <c r="C226" s="41" t="str">
        <f>_xlfn.XLOOKUP(tblCostChecklist[[#This Row],[TargetID]],tblTargets[TargetID],tblTargets[DisplayName],"")</f>
        <v>Food Stall Lv 2</v>
      </c>
      <c r="D226" s="41" t="str">
        <f>_xlfn.XLOOKUP(tblCostChecklist[[#This Row],[TargetID]],tblTargets[TargetID],tblTargets[TargetType],"")</f>
        <v>BUILDING</v>
      </c>
      <c r="E226" s="41" t="s">
        <v>717</v>
      </c>
      <c r="F226" s="41">
        <v>1</v>
      </c>
      <c r="G226" s="41">
        <f>_xlfn.XLOOKUP(
 tblCostChecklist[[#This Row],[RequirementID]],
 tblCost[RequirementID],
 tblCost[QuantityRequired],
 ""
)</f>
        <v>300</v>
      </c>
      <c r="H2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226" s="41" t="str">
        <f>_xlfn.XLOOKUP(tblCostChecklist[[#This Row],[TargetID]],tblTargetStatus[TargetID],tblTargetStatus[Status])</f>
        <v>BLOCKED</v>
      </c>
      <c r="J226" s="25" t="b">
        <v>0</v>
      </c>
    </row>
    <row r="227" spans="1:10">
      <c r="A227" s="41" t="s">
        <v>3875</v>
      </c>
      <c r="B227" s="41" t="str">
        <f>_xlfn.TEXTAFTER(
 _xlfn.TEXTBEFORE(tblCostChecklist[[#This Row],[RequirementID]],".",-2),
 "cost."
)</f>
        <v>building.food_stall@2</v>
      </c>
      <c r="C227" s="41" t="str">
        <f>_xlfn.XLOOKUP(tblCostChecklist[[#This Row],[TargetID]],tblTargets[TargetID],tblTargets[DisplayName],"")</f>
        <v>Food Stall Lv 2</v>
      </c>
      <c r="D227" s="41" t="str">
        <f>_xlfn.XLOOKUP(tblCostChecklist[[#This Row],[TargetID]],tblTargets[TargetID],tblTargets[TargetType],"")</f>
        <v>BUILDING</v>
      </c>
      <c r="E227" s="41" t="s">
        <v>715</v>
      </c>
      <c r="F227" s="41">
        <v>1</v>
      </c>
      <c r="G227" s="41">
        <f>_xlfn.XLOOKUP(
 tblCostChecklist[[#This Row],[RequirementID]],
 tblCost[RequirementID],
 tblCost[QuantityRequired],
 ""
)</f>
        <v>5</v>
      </c>
      <c r="H2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227" s="41" t="str">
        <f>_xlfn.XLOOKUP(tblCostChecklist[[#This Row],[TargetID]],tblTargetStatus[TargetID],tblTargetStatus[Status])</f>
        <v>BLOCKED</v>
      </c>
      <c r="J227" s="25" t="b">
        <v>0</v>
      </c>
    </row>
    <row r="228" spans="1:10">
      <c r="A228" s="41" t="s">
        <v>3876</v>
      </c>
      <c r="B228" s="41" t="str">
        <f>_xlfn.TEXTAFTER(
 _xlfn.TEXTBEFORE(tblCostChecklist[[#This Row],[RequirementID]],".",-2),
 "cost."
)</f>
        <v>building.food_stall@3</v>
      </c>
      <c r="C228" s="41" t="str">
        <f>_xlfn.XLOOKUP(tblCostChecklist[[#This Row],[TargetID]],tblTargets[TargetID],tblTargets[DisplayName],"")</f>
        <v>Food Stall Lv 3</v>
      </c>
      <c r="D228" s="41" t="str">
        <f>_xlfn.XLOOKUP(tblCostChecklist[[#This Row],[TargetID]],tblTargets[TargetID],tblTargets[TargetType],"")</f>
        <v>BUILDING</v>
      </c>
      <c r="E228" s="41" t="s">
        <v>708</v>
      </c>
      <c r="F228" s="41">
        <v>1</v>
      </c>
      <c r="G228" s="41">
        <f>_xlfn.XLOOKUP(
 tblCostChecklist[[#This Row],[RequirementID]],
 tblCost[RequirementID],
 tblCost[QuantityRequired],
 ""
)</f>
        <v>5</v>
      </c>
      <c r="H2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228" s="41" t="str">
        <f>_xlfn.XLOOKUP(tblCostChecklist[[#This Row],[TargetID]],tblTargetStatus[TargetID],tblTargetStatus[Status])</f>
        <v>BLOCKED</v>
      </c>
      <c r="J228" s="25" t="b">
        <v>0</v>
      </c>
    </row>
    <row r="229" spans="1:10">
      <c r="A229" s="41" t="s">
        <v>3877</v>
      </c>
      <c r="B229" s="41" t="str">
        <f>_xlfn.TEXTAFTER(
 _xlfn.TEXTBEFORE(tblCostChecklist[[#This Row],[RequirementID]],".",-2),
 "cost."
)</f>
        <v>building.food_stall@3</v>
      </c>
      <c r="C229" s="41" t="str">
        <f>_xlfn.XLOOKUP(tblCostChecklist[[#This Row],[TargetID]],tblTargets[TargetID],tblTargets[DisplayName],"")</f>
        <v>Food Stall Lv 3</v>
      </c>
      <c r="D229" s="41" t="str">
        <f>_xlfn.XLOOKUP(tblCostChecklist[[#This Row],[TargetID]],tblTargets[TargetID],tblTargets[TargetType],"")</f>
        <v>BUILDING</v>
      </c>
      <c r="E229" s="41" t="s">
        <v>666</v>
      </c>
      <c r="F229" s="41">
        <v>1</v>
      </c>
      <c r="G229" s="41">
        <f>_xlfn.XLOOKUP(
 tblCostChecklist[[#This Row],[RequirementID]],
 tblCost[RequirementID],
 tblCost[QuantityRequired],
 ""
)</f>
        <v>800</v>
      </c>
      <c r="H2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229" s="41" t="str">
        <f>_xlfn.XLOOKUP(tblCostChecklist[[#This Row],[TargetID]],tblTargetStatus[TargetID],tblTargetStatus[Status])</f>
        <v>BLOCKED</v>
      </c>
      <c r="J229" s="25" t="b">
        <v>0</v>
      </c>
    </row>
    <row r="230" spans="1:10">
      <c r="A230" s="41" t="s">
        <v>3878</v>
      </c>
      <c r="B230" s="41" t="str">
        <f>_xlfn.TEXTAFTER(
 _xlfn.TEXTBEFORE(tblCostChecklist[[#This Row],[RequirementID]],".",-2),
 "cost."
)</f>
        <v>building.food_stall@3</v>
      </c>
      <c r="C230" s="41" t="str">
        <f>_xlfn.XLOOKUP(tblCostChecklist[[#This Row],[TargetID]],tblTargets[TargetID],tblTargets[DisplayName],"")</f>
        <v>Food Stall Lv 3</v>
      </c>
      <c r="D230" s="41" t="str">
        <f>_xlfn.XLOOKUP(tblCostChecklist[[#This Row],[TargetID]],tblTargets[TargetID],tblTargets[TargetType],"")</f>
        <v>BUILDING</v>
      </c>
      <c r="E230" s="41" t="s">
        <v>701</v>
      </c>
      <c r="F230" s="41">
        <v>1</v>
      </c>
      <c r="G230" s="41">
        <f>_xlfn.XLOOKUP(
 tblCostChecklist[[#This Row],[RequirementID]],
 tblCost[RequirementID],
 tblCost[QuantityRequired],
 ""
)</f>
        <v>600</v>
      </c>
      <c r="H2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230" s="41" t="str">
        <f>_xlfn.XLOOKUP(tblCostChecklist[[#This Row],[TargetID]],tblTargetStatus[TargetID],tblTargetStatus[Status])</f>
        <v>BLOCKED</v>
      </c>
      <c r="J230" s="25" t="b">
        <v>0</v>
      </c>
    </row>
    <row r="231" spans="1:10">
      <c r="A231" s="41" t="s">
        <v>3879</v>
      </c>
      <c r="B231" s="41" t="str">
        <f>_xlfn.TEXTAFTER(
 _xlfn.TEXTBEFORE(tblCostChecklist[[#This Row],[RequirementID]],".",-2),
 "cost."
)</f>
        <v>building.food_stall@3</v>
      </c>
      <c r="C231" s="41" t="str">
        <f>_xlfn.XLOOKUP(tblCostChecklist[[#This Row],[TargetID]],tblTargets[TargetID],tblTargets[DisplayName],"")</f>
        <v>Food Stall Lv 3</v>
      </c>
      <c r="D231" s="41" t="str">
        <f>_xlfn.XLOOKUP(tblCostChecklist[[#This Row],[TargetID]],tblTargets[TargetID],tblTargets[TargetType],"")</f>
        <v>BUILDING</v>
      </c>
      <c r="E231" s="41" t="s">
        <v>659</v>
      </c>
      <c r="F231" s="41">
        <v>1</v>
      </c>
      <c r="G231" s="41">
        <f>_xlfn.XLOOKUP(
 tblCostChecklist[[#This Row],[RequirementID]],
 tblCost[RequirementID],
 tblCost[QuantityRequired],
 ""
)</f>
        <v>50</v>
      </c>
      <c r="H2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231" s="41" t="str">
        <f>_xlfn.XLOOKUP(tblCostChecklist[[#This Row],[TargetID]],tblTargetStatus[TargetID],tblTargetStatus[Status])</f>
        <v>BLOCKED</v>
      </c>
      <c r="J231" s="25" t="b">
        <v>0</v>
      </c>
    </row>
    <row r="232" spans="1:10">
      <c r="A232" s="41" t="s">
        <v>3880</v>
      </c>
      <c r="B232" s="41" t="str">
        <f>_xlfn.TEXTAFTER(
 _xlfn.TEXTBEFORE(tblCostChecklist[[#This Row],[RequirementID]],".",-2),
 "cost."
)</f>
        <v>building.food_stall@3</v>
      </c>
      <c r="C232" s="41" t="str">
        <f>_xlfn.XLOOKUP(tblCostChecklist[[#This Row],[TargetID]],tblTargets[TargetID],tblTargets[DisplayName],"")</f>
        <v>Food Stall Lv 3</v>
      </c>
      <c r="D232" s="41" t="str">
        <f>_xlfn.XLOOKUP(tblCostChecklist[[#This Row],[TargetID]],tblTargets[TargetID],tblTargets[TargetType],"")</f>
        <v>BUILDING</v>
      </c>
      <c r="E232" s="41" t="s">
        <v>715</v>
      </c>
      <c r="F232" s="41">
        <v>1</v>
      </c>
      <c r="G232" s="41">
        <f>_xlfn.XLOOKUP(
 tblCostChecklist[[#This Row],[RequirementID]],
 tblCost[RequirementID],
 tblCost[QuantityRequired],
 ""
)</f>
        <v>3</v>
      </c>
      <c r="H2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232" s="41" t="str">
        <f>_xlfn.XLOOKUP(tblCostChecklist[[#This Row],[TargetID]],tblTargetStatus[TargetID],tblTargetStatus[Status])</f>
        <v>BLOCKED</v>
      </c>
      <c r="J232" s="25" t="b">
        <v>0</v>
      </c>
    </row>
    <row r="233" spans="1:10">
      <c r="A233" s="41" t="s">
        <v>3881</v>
      </c>
      <c r="B233" s="41" t="str">
        <f>_xlfn.TEXTAFTER(
 _xlfn.TEXTBEFORE(tblCostChecklist[[#This Row],[RequirementID]],".",-2),
 "cost."
)</f>
        <v>building.furnace@1</v>
      </c>
      <c r="C233" s="41" t="str">
        <f>_xlfn.XLOOKUP(tblCostChecklist[[#This Row],[TargetID]],tblTargets[TargetID],tblTargets[DisplayName],"")</f>
        <v>Furnace Lv 1</v>
      </c>
      <c r="D233" s="41" t="str">
        <f>_xlfn.XLOOKUP(tblCostChecklist[[#This Row],[TargetID]],tblTargets[TargetID],tblTargets[TargetType],"")</f>
        <v>BUILDING</v>
      </c>
      <c r="E233" s="41" t="s">
        <v>708</v>
      </c>
      <c r="F233" s="41">
        <v>1</v>
      </c>
      <c r="G233" s="41">
        <f>_xlfn.XLOOKUP(
 tblCostChecklist[[#This Row],[RequirementID]],
 tblCost[RequirementID],
 tblCost[QuantityRequired],
 ""
)</f>
        <v>1</v>
      </c>
      <c r="H2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v>
      </c>
      <c r="I233" s="41" t="str">
        <f>_xlfn.XLOOKUP(tblCostChecklist[[#This Row],[TargetID]],tblTargetStatus[TargetID],tblTargetStatus[Status])</f>
        <v>BLOCKED</v>
      </c>
      <c r="J233" s="25" t="b">
        <v>0</v>
      </c>
    </row>
    <row r="234" spans="1:10">
      <c r="A234" s="41" t="s">
        <v>3882</v>
      </c>
      <c r="B234" s="41" t="str">
        <f>_xlfn.TEXTAFTER(
 _xlfn.TEXTBEFORE(tblCostChecklist[[#This Row],[RequirementID]],".",-2),
 "cost."
)</f>
        <v>building.furnace@1</v>
      </c>
      <c r="C234" s="41" t="str">
        <f>_xlfn.XLOOKUP(tblCostChecklist[[#This Row],[TargetID]],tblTargets[TargetID],tblTargets[DisplayName],"")</f>
        <v>Furnace Lv 1</v>
      </c>
      <c r="D234" s="41" t="str">
        <f>_xlfn.XLOOKUP(tblCostChecklist[[#This Row],[TargetID]],tblTargets[TargetID],tblTargets[TargetType],"")</f>
        <v>BUILDING</v>
      </c>
      <c r="E234" s="41" t="s">
        <v>666</v>
      </c>
      <c r="F234" s="41">
        <v>1</v>
      </c>
      <c r="G234" s="41">
        <f>_xlfn.XLOOKUP(
 tblCostChecklist[[#This Row],[RequirementID]],
 tblCost[RequirementID],
 tblCost[QuantityRequired],
 ""
)</f>
        <v>200</v>
      </c>
      <c r="H2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v>
      </c>
      <c r="I234" s="41" t="str">
        <f>_xlfn.XLOOKUP(tblCostChecklist[[#This Row],[TargetID]],tblTargetStatus[TargetID],tblTargetStatus[Status])</f>
        <v>BLOCKED</v>
      </c>
      <c r="J234" s="25" t="b">
        <v>0</v>
      </c>
    </row>
    <row r="235" spans="1:10">
      <c r="A235" s="41" t="s">
        <v>3883</v>
      </c>
      <c r="B235" s="41" t="str">
        <f>_xlfn.TEXTAFTER(
 _xlfn.TEXTBEFORE(tblCostChecklist[[#This Row],[RequirementID]],".",-2),
 "cost."
)</f>
        <v>building.furnace@1</v>
      </c>
      <c r="C235" s="41" t="str">
        <f>_xlfn.XLOOKUP(tblCostChecklist[[#This Row],[TargetID]],tblTargets[TargetID],tblTargets[DisplayName],"")</f>
        <v>Furnace Lv 1</v>
      </c>
      <c r="D235" s="41" t="str">
        <f>_xlfn.XLOOKUP(tblCostChecklist[[#This Row],[TargetID]],tblTargets[TargetID],tblTargets[TargetType],"")</f>
        <v>BUILDING</v>
      </c>
      <c r="E235" s="41" t="s">
        <v>723</v>
      </c>
      <c r="F235" s="41">
        <v>1</v>
      </c>
      <c r="G235" s="41">
        <f>_xlfn.XLOOKUP(
 tblCostChecklist[[#This Row],[RequirementID]],
 tblCost[RequirementID],
 tblCost[QuantityRequired],
 ""
)</f>
        <v>100</v>
      </c>
      <c r="H2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v>
      </c>
      <c r="I235" s="41" t="str">
        <f>_xlfn.XLOOKUP(tblCostChecklist[[#This Row],[TargetID]],tblTargetStatus[TargetID],tblTargetStatus[Status])</f>
        <v>BLOCKED</v>
      </c>
      <c r="J235" s="25" t="b">
        <v>0</v>
      </c>
    </row>
    <row r="236" spans="1:10">
      <c r="A236" s="41" t="s">
        <v>3884</v>
      </c>
      <c r="B236" s="41" t="str">
        <f>_xlfn.TEXTAFTER(
 _xlfn.TEXTBEFORE(tblCostChecklist[[#This Row],[RequirementID]],".",-2),
 "cost."
)</f>
        <v>building.furnace@1</v>
      </c>
      <c r="C236" s="41" t="str">
        <f>_xlfn.XLOOKUP(tblCostChecklist[[#This Row],[TargetID]],tblTargets[TargetID],tblTargets[DisplayName],"")</f>
        <v>Furnace Lv 1</v>
      </c>
      <c r="D236" s="41" t="str">
        <f>_xlfn.XLOOKUP(tblCostChecklist[[#This Row],[TargetID]],tblTargets[TargetID],tblTargets[TargetType],"")</f>
        <v>BUILDING</v>
      </c>
      <c r="E236" s="41" t="s">
        <v>717</v>
      </c>
      <c r="F236" s="41">
        <v>1</v>
      </c>
      <c r="G236" s="41">
        <f>_xlfn.XLOOKUP(
 tblCostChecklist[[#This Row],[RequirementID]],
 tblCost[RequirementID],
 tblCost[QuantityRequired],
 ""
)</f>
        <v>100</v>
      </c>
      <c r="H2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v>
      </c>
      <c r="I236" s="41" t="str">
        <f>_xlfn.XLOOKUP(tblCostChecklist[[#This Row],[TargetID]],tblTargetStatus[TargetID],tblTargetStatus[Status])</f>
        <v>BLOCKED</v>
      </c>
      <c r="J236" s="25" t="b">
        <v>0</v>
      </c>
    </row>
    <row r="237" spans="1:10">
      <c r="A237" s="41" t="s">
        <v>3885</v>
      </c>
      <c r="B237" s="41" t="str">
        <f>_xlfn.TEXTAFTER(
 _xlfn.TEXTBEFORE(tblCostChecklist[[#This Row],[RequirementID]],".",-2),
 "cost."
)</f>
        <v>building.furnace@2</v>
      </c>
      <c r="C237" s="41" t="str">
        <f>_xlfn.XLOOKUP(tblCostChecklist[[#This Row],[TargetID]],tblTargets[TargetID],tblTargets[DisplayName],"")</f>
        <v>Furnace Lv 2</v>
      </c>
      <c r="D237" s="41" t="str">
        <f>_xlfn.XLOOKUP(tblCostChecklist[[#This Row],[TargetID]],tblTargets[TargetID],tblTargets[TargetType],"")</f>
        <v>BUILDING</v>
      </c>
      <c r="E237" s="41" t="s">
        <v>708</v>
      </c>
      <c r="F237" s="41">
        <v>1</v>
      </c>
      <c r="G237" s="41">
        <f>_xlfn.XLOOKUP(
 tblCostChecklist[[#This Row],[RequirementID]],
 tblCost[RequirementID],
 tblCost[QuantityRequired],
 ""
)</f>
        <v>3</v>
      </c>
      <c r="H2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11</v>
      </c>
      <c r="I237" s="41" t="str">
        <f>_xlfn.XLOOKUP(tblCostChecklist[[#This Row],[TargetID]],tblTargetStatus[TargetID],tblTargetStatus[Status])</f>
        <v>BLOCKED</v>
      </c>
      <c r="J237" s="25" t="b">
        <v>0</v>
      </c>
    </row>
    <row r="238" spans="1:10">
      <c r="A238" s="41" t="s">
        <v>3886</v>
      </c>
      <c r="B238" s="41" t="str">
        <f>_xlfn.TEXTAFTER(
 _xlfn.TEXTBEFORE(tblCostChecklist[[#This Row],[RequirementID]],".",-2),
 "cost."
)</f>
        <v>building.furnace@2</v>
      </c>
      <c r="C238" s="41" t="str">
        <f>_xlfn.XLOOKUP(tblCostChecklist[[#This Row],[TargetID]],tblTargets[TargetID],tblTargets[DisplayName],"")</f>
        <v>Furnace Lv 2</v>
      </c>
      <c r="D238" s="41" t="str">
        <f>_xlfn.XLOOKUP(tblCostChecklist[[#This Row],[TargetID]],tblTargets[TargetID],tblTargets[TargetType],"")</f>
        <v>BUILDING</v>
      </c>
      <c r="E238" s="41" t="s">
        <v>666</v>
      </c>
      <c r="F238" s="41">
        <v>1</v>
      </c>
      <c r="G238" s="41">
        <f>_xlfn.XLOOKUP(
 tblCostChecklist[[#This Row],[RequirementID]],
 tblCost[RequirementID],
 tblCost[QuantityRequired],
 ""
)</f>
        <v>500</v>
      </c>
      <c r="H2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11</v>
      </c>
      <c r="I238" s="41" t="str">
        <f>_xlfn.XLOOKUP(tblCostChecklist[[#This Row],[TargetID]],tblTargetStatus[TargetID],tblTargetStatus[Status])</f>
        <v>BLOCKED</v>
      </c>
      <c r="J238" s="25" t="b">
        <v>0</v>
      </c>
    </row>
    <row r="239" spans="1:10">
      <c r="A239" s="41" t="s">
        <v>3887</v>
      </c>
      <c r="B239" s="41" t="str">
        <f>_xlfn.TEXTAFTER(
 _xlfn.TEXTBEFORE(tblCostChecklist[[#This Row],[RequirementID]],".",-2),
 "cost."
)</f>
        <v>building.furnace@2</v>
      </c>
      <c r="C239" s="41" t="str">
        <f>_xlfn.XLOOKUP(tblCostChecklist[[#This Row],[TargetID]],tblTargets[TargetID],tblTargets[DisplayName],"")</f>
        <v>Furnace Lv 2</v>
      </c>
      <c r="D239" s="41" t="str">
        <f>_xlfn.XLOOKUP(tblCostChecklist[[#This Row],[TargetID]],tblTargets[TargetID],tblTargets[TargetType],"")</f>
        <v>BUILDING</v>
      </c>
      <c r="E239" s="41" t="s">
        <v>658</v>
      </c>
      <c r="F239" s="41">
        <v>1</v>
      </c>
      <c r="G239" s="41">
        <f>_xlfn.XLOOKUP(
 tblCostChecklist[[#This Row],[RequirementID]],
 tblCost[RequirementID],
 tblCost[QuantityRequired],
 ""
)</f>
        <v>400</v>
      </c>
      <c r="H2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11</v>
      </c>
      <c r="I239" s="41" t="str">
        <f>_xlfn.XLOOKUP(tblCostChecklist[[#This Row],[TargetID]],tblTargetStatus[TargetID],tblTargetStatus[Status])</f>
        <v>BLOCKED</v>
      </c>
      <c r="J239" s="25" t="b">
        <v>0</v>
      </c>
    </row>
    <row r="240" spans="1:10">
      <c r="A240" s="41" t="s">
        <v>3888</v>
      </c>
      <c r="B240" s="41" t="str">
        <f>_xlfn.TEXTAFTER(
 _xlfn.TEXTBEFORE(tblCostChecklist[[#This Row],[RequirementID]],".",-2),
 "cost."
)</f>
        <v>building.furnace@2</v>
      </c>
      <c r="C240" s="41" t="str">
        <f>_xlfn.XLOOKUP(tblCostChecklist[[#This Row],[TargetID]],tblTargets[TargetID],tblTargets[DisplayName],"")</f>
        <v>Furnace Lv 2</v>
      </c>
      <c r="D240" s="41" t="str">
        <f>_xlfn.XLOOKUP(tblCostChecklist[[#This Row],[TargetID]],tblTargets[TargetID],tblTargets[TargetType],"")</f>
        <v>BUILDING</v>
      </c>
      <c r="E240" s="41" t="s">
        <v>717</v>
      </c>
      <c r="F240" s="41">
        <v>1</v>
      </c>
      <c r="G240" s="41">
        <f>_xlfn.XLOOKUP(
 tblCostChecklist[[#This Row],[RequirementID]],
 tblCost[RequirementID],
 tblCost[QuantityRequired],
 ""
)</f>
        <v>200</v>
      </c>
      <c r="H2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11</v>
      </c>
      <c r="I240" s="41" t="str">
        <f>_xlfn.XLOOKUP(tblCostChecklist[[#This Row],[TargetID]],tblTargetStatus[TargetID],tblTargetStatus[Status])</f>
        <v>BLOCKED</v>
      </c>
      <c r="J240" s="25" t="b">
        <v>0</v>
      </c>
    </row>
    <row r="241" spans="1:10">
      <c r="A241" s="41" t="s">
        <v>3889</v>
      </c>
      <c r="B241" s="41" t="str">
        <f>_xlfn.TEXTAFTER(
 _xlfn.TEXTBEFORE(tblCostChecklist[[#This Row],[RequirementID]],".",-2),
 "cost."
)</f>
        <v>building.furnace@2</v>
      </c>
      <c r="C241" s="41" t="str">
        <f>_xlfn.XLOOKUP(tblCostChecklist[[#This Row],[TargetID]],tblTargets[TargetID],tblTargets[DisplayName],"")</f>
        <v>Furnace Lv 2</v>
      </c>
      <c r="D241" s="41" t="str">
        <f>_xlfn.XLOOKUP(tblCostChecklist[[#This Row],[TargetID]],tblTargets[TargetID],tblTargets[TargetType],"")</f>
        <v>BUILDING</v>
      </c>
      <c r="E241" s="41" t="s">
        <v>716</v>
      </c>
      <c r="F241" s="41">
        <v>1</v>
      </c>
      <c r="G241" s="41">
        <f>_xlfn.XLOOKUP(
 tblCostChecklist[[#This Row],[RequirementID]],
 tblCost[RequirementID],
 tblCost[QuantityRequired],
 ""
)</f>
        <v>20</v>
      </c>
      <c r="H2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11</v>
      </c>
      <c r="I241" s="41" t="str">
        <f>_xlfn.XLOOKUP(tblCostChecklist[[#This Row],[TargetID]],tblTargetStatus[TargetID],tblTargetStatus[Status])</f>
        <v>BLOCKED</v>
      </c>
      <c r="J241" s="25" t="b">
        <v>0</v>
      </c>
    </row>
    <row r="242" spans="1:10">
      <c r="A242" s="41" t="s">
        <v>3890</v>
      </c>
      <c r="B242" s="41" t="str">
        <f>_xlfn.TEXTAFTER(
 _xlfn.TEXTBEFORE(tblCostChecklist[[#This Row],[RequirementID]],".",-2),
 "cost."
)</f>
        <v>building.furnace@3</v>
      </c>
      <c r="C242" s="41" t="str">
        <f>_xlfn.XLOOKUP(tblCostChecklist[[#This Row],[TargetID]],tblTargets[TargetID],tblTargets[DisplayName],"")</f>
        <v>Furnace Lv 3</v>
      </c>
      <c r="D242" s="41" t="str">
        <f>_xlfn.XLOOKUP(tblCostChecklist[[#This Row],[TargetID]],tblTargets[TargetID],tblTargets[TargetType],"")</f>
        <v>BUILDING</v>
      </c>
      <c r="E242" s="41" t="s">
        <v>708</v>
      </c>
      <c r="F242" s="41">
        <v>1</v>
      </c>
      <c r="G242" s="41">
        <f>_xlfn.XLOOKUP(
 tblCostChecklist[[#This Row],[RequirementID]],
 tblCost[RequirementID],
 tblCost[QuantityRequired],
 ""
)</f>
        <v>5</v>
      </c>
      <c r="H2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46</v>
      </c>
      <c r="I242" s="41" t="str">
        <f>_xlfn.XLOOKUP(tblCostChecklist[[#This Row],[TargetID]],tblTargetStatus[TargetID],tblTargetStatus[Status])</f>
        <v>BLOCKED</v>
      </c>
      <c r="J242" s="25" t="b">
        <v>0</v>
      </c>
    </row>
    <row r="243" spans="1:10">
      <c r="A243" s="41" t="s">
        <v>3891</v>
      </c>
      <c r="B243" s="41" t="str">
        <f>_xlfn.TEXTAFTER(
 _xlfn.TEXTBEFORE(tblCostChecklist[[#This Row],[RequirementID]],".",-2),
 "cost."
)</f>
        <v>building.furnace@3</v>
      </c>
      <c r="C243" s="41" t="str">
        <f>_xlfn.XLOOKUP(tblCostChecklist[[#This Row],[TargetID]],tblTargets[TargetID],tblTargets[DisplayName],"")</f>
        <v>Furnace Lv 3</v>
      </c>
      <c r="D243" s="41" t="str">
        <f>_xlfn.XLOOKUP(tblCostChecklist[[#This Row],[TargetID]],tblTargets[TargetID],tblTargets[TargetType],"")</f>
        <v>BUILDING</v>
      </c>
      <c r="E243" s="41" t="s">
        <v>666</v>
      </c>
      <c r="F243" s="41">
        <v>1</v>
      </c>
      <c r="G243" s="41">
        <f>_xlfn.XLOOKUP(
 tblCostChecklist[[#This Row],[RequirementID]],
 tblCost[RequirementID],
 tblCost[QuantityRequired],
 ""
)</f>
        <v>800</v>
      </c>
      <c r="H2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46</v>
      </c>
      <c r="I243" s="41" t="str">
        <f>_xlfn.XLOOKUP(tblCostChecklist[[#This Row],[TargetID]],tblTargetStatus[TargetID],tblTargetStatus[Status])</f>
        <v>BLOCKED</v>
      </c>
      <c r="J243" s="25" t="b">
        <v>0</v>
      </c>
    </row>
    <row r="244" spans="1:10">
      <c r="A244" s="41" t="s">
        <v>3892</v>
      </c>
      <c r="B244" s="41" t="str">
        <f>_xlfn.TEXTAFTER(
 _xlfn.TEXTBEFORE(tblCostChecklist[[#This Row],[RequirementID]],".",-2),
 "cost."
)</f>
        <v>building.furnace@3</v>
      </c>
      <c r="C244" s="41" t="str">
        <f>_xlfn.XLOOKUP(tblCostChecklist[[#This Row],[TargetID]],tblTargets[TargetID],tblTargets[DisplayName],"")</f>
        <v>Furnace Lv 3</v>
      </c>
      <c r="D244" s="41" t="str">
        <f>_xlfn.XLOOKUP(tblCostChecklist[[#This Row],[TargetID]],tblTargets[TargetID],tblTargets[TargetType],"")</f>
        <v>BUILDING</v>
      </c>
      <c r="E244" s="41" t="s">
        <v>701</v>
      </c>
      <c r="F244" s="41">
        <v>1</v>
      </c>
      <c r="G244" s="41">
        <f>_xlfn.XLOOKUP(
 tblCostChecklist[[#This Row],[RequirementID]],
 tblCost[RequirementID],
 tblCost[QuantityRequired],
 ""
)</f>
        <v>600</v>
      </c>
      <c r="H2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46</v>
      </c>
      <c r="I244" s="41" t="str">
        <f>_xlfn.XLOOKUP(tblCostChecklist[[#This Row],[TargetID]],tblTargetStatus[TargetID],tblTargetStatus[Status])</f>
        <v>BLOCKED</v>
      </c>
      <c r="J244" s="25" t="b">
        <v>0</v>
      </c>
    </row>
    <row r="245" spans="1:10">
      <c r="A245" s="41" t="s">
        <v>3893</v>
      </c>
      <c r="B245" s="41" t="str">
        <f>_xlfn.TEXTAFTER(
 _xlfn.TEXTBEFORE(tblCostChecklist[[#This Row],[RequirementID]],".",-2),
 "cost."
)</f>
        <v>building.furnace@3</v>
      </c>
      <c r="C245" s="41" t="str">
        <f>_xlfn.XLOOKUP(tblCostChecklist[[#This Row],[TargetID]],tblTargets[TargetID],tblTargets[DisplayName],"")</f>
        <v>Furnace Lv 3</v>
      </c>
      <c r="D245" s="41" t="str">
        <f>_xlfn.XLOOKUP(tblCostChecklist[[#This Row],[TargetID]],tblTargets[TargetID],tblTargets[TargetType],"")</f>
        <v>BUILDING</v>
      </c>
      <c r="E245" s="41" t="s">
        <v>717</v>
      </c>
      <c r="F245" s="41">
        <v>1</v>
      </c>
      <c r="G245" s="41">
        <f>_xlfn.XLOOKUP(
 tblCostChecklist[[#This Row],[RequirementID]],
 tblCost[RequirementID],
 tblCost[QuantityRequired],
 ""
)</f>
        <v>300</v>
      </c>
      <c r="H2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46</v>
      </c>
      <c r="I245" s="41" t="str">
        <f>_xlfn.XLOOKUP(tblCostChecklist[[#This Row],[TargetID]],tblTargetStatus[TargetID],tblTargetStatus[Status])</f>
        <v>BLOCKED</v>
      </c>
      <c r="J245" s="25" t="b">
        <v>0</v>
      </c>
    </row>
    <row r="246" spans="1:10">
      <c r="A246" s="41" t="s">
        <v>3894</v>
      </c>
      <c r="B246" s="41" t="str">
        <f>_xlfn.TEXTAFTER(
 _xlfn.TEXTBEFORE(tblCostChecklist[[#This Row],[RequirementID]],".",-2),
 "cost."
)</f>
        <v>building.furnace@3</v>
      </c>
      <c r="C246" s="41" t="str">
        <f>_xlfn.XLOOKUP(tblCostChecklist[[#This Row],[TargetID]],tblTargets[TargetID],tblTargets[DisplayName],"")</f>
        <v>Furnace Lv 3</v>
      </c>
      <c r="D246" s="41" t="str">
        <f>_xlfn.XLOOKUP(tblCostChecklist[[#This Row],[TargetID]],tblTargets[TargetID],tblTargets[TargetType],"")</f>
        <v>BUILDING</v>
      </c>
      <c r="E246" s="41" t="s">
        <v>716</v>
      </c>
      <c r="F246" s="41">
        <v>1</v>
      </c>
      <c r="G246" s="41">
        <f>_xlfn.XLOOKUP(
 tblCostChecklist[[#This Row],[RequirementID]],
 tblCost[RequirementID],
 tblCost[QuantityRequired],
 ""
)</f>
        <v>50</v>
      </c>
      <c r="H2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46</v>
      </c>
      <c r="I246" s="41" t="str">
        <f>_xlfn.XLOOKUP(tblCostChecklist[[#This Row],[TargetID]],tblTargetStatus[TargetID],tblTargetStatus[Status])</f>
        <v>BLOCKED</v>
      </c>
      <c r="J246" s="25" t="b">
        <v>0</v>
      </c>
    </row>
    <row r="247" spans="1:10">
      <c r="A247" s="41" t="s">
        <v>3895</v>
      </c>
      <c r="B247" s="41" t="str">
        <f>_xlfn.TEXTAFTER(
 _xlfn.TEXTBEFORE(tblCostChecklist[[#This Row],[RequirementID]],".",-2),
 "cost."
)</f>
        <v>building.garden@1</v>
      </c>
      <c r="C247" s="41" t="str">
        <f>_xlfn.XLOOKUP(tblCostChecklist[[#This Row],[TargetID]],tblTargets[TargetID],tblTargets[DisplayName],"")</f>
        <v>Garden Lv 1</v>
      </c>
      <c r="D247" s="41" t="str">
        <f>_xlfn.XLOOKUP(tblCostChecklist[[#This Row],[TargetID]],tblTargets[TargetID],tblTargets[TargetType],"")</f>
        <v>BUILDING</v>
      </c>
      <c r="E247" s="41" t="s">
        <v>708</v>
      </c>
      <c r="F247" s="41">
        <v>1</v>
      </c>
      <c r="G247" s="41">
        <f>_xlfn.XLOOKUP(
 tblCostChecklist[[#This Row],[RequirementID]],
 tblCost[RequirementID],
 tblCost[QuantityRequired],
 ""
)</f>
        <v>1</v>
      </c>
      <c r="H2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86</v>
      </c>
      <c r="I247" s="41" t="str">
        <f>_xlfn.XLOOKUP(tblCostChecklist[[#This Row],[TargetID]],tblTargetStatus[TargetID],tblTargetStatus[Status])</f>
        <v>BLOCKED</v>
      </c>
      <c r="J247" s="25" t="b">
        <v>0</v>
      </c>
    </row>
    <row r="248" spans="1:10">
      <c r="A248" s="41" t="s">
        <v>3896</v>
      </c>
      <c r="B248" s="41" t="str">
        <f>_xlfn.TEXTAFTER(
 _xlfn.TEXTBEFORE(tblCostChecklist[[#This Row],[RequirementID]],".",-2),
 "cost."
)</f>
        <v>building.garden@1</v>
      </c>
      <c r="C248" s="41" t="str">
        <f>_xlfn.XLOOKUP(tblCostChecklist[[#This Row],[TargetID]],tblTargets[TargetID],tblTargets[DisplayName],"")</f>
        <v>Garden Lv 1</v>
      </c>
      <c r="D248" s="41" t="str">
        <f>_xlfn.XLOOKUP(tblCostChecklist[[#This Row],[TargetID]],tblTargets[TargetID],tblTargets[TargetType],"")</f>
        <v>BUILDING</v>
      </c>
      <c r="E248" s="41" t="s">
        <v>666</v>
      </c>
      <c r="F248" s="41">
        <v>1</v>
      </c>
      <c r="G248" s="41">
        <f>_xlfn.XLOOKUP(
 tblCostChecklist[[#This Row],[RequirementID]],
 tblCost[RequirementID],
 tblCost[QuantityRequired],
 ""
)</f>
        <v>400</v>
      </c>
      <c r="H2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86</v>
      </c>
      <c r="I248" s="41" t="str">
        <f>_xlfn.XLOOKUP(tblCostChecklist[[#This Row],[TargetID]],tblTargetStatus[TargetID],tblTargetStatus[Status])</f>
        <v>BLOCKED</v>
      </c>
      <c r="J248" s="25" t="b">
        <v>0</v>
      </c>
    </row>
    <row r="249" spans="1:10">
      <c r="A249" s="41" t="s">
        <v>3897</v>
      </c>
      <c r="B249" s="41" t="str">
        <f>_xlfn.TEXTAFTER(
 _xlfn.TEXTBEFORE(tblCostChecklist[[#This Row],[RequirementID]],".",-2),
 "cost."
)</f>
        <v>building.garden@1</v>
      </c>
      <c r="C249" s="41" t="str">
        <f>_xlfn.XLOOKUP(tblCostChecklist[[#This Row],[TargetID]],tblTargets[TargetID],tblTargets[DisplayName],"")</f>
        <v>Garden Lv 1</v>
      </c>
      <c r="D249" s="41" t="str">
        <f>_xlfn.XLOOKUP(tblCostChecklist[[#This Row],[TargetID]],tblTargets[TargetID],tblTargets[TargetType],"")</f>
        <v>BUILDING</v>
      </c>
      <c r="E249" s="41" t="s">
        <v>723</v>
      </c>
      <c r="F249" s="41">
        <v>1</v>
      </c>
      <c r="G249" s="41">
        <f>_xlfn.XLOOKUP(
 tblCostChecklist[[#This Row],[RequirementID]],
 tblCost[RequirementID],
 tblCost[QuantityRequired],
 ""
)</f>
        <v>200</v>
      </c>
      <c r="H2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86</v>
      </c>
      <c r="I249" s="41" t="str">
        <f>_xlfn.XLOOKUP(tblCostChecklist[[#This Row],[TargetID]],tblTargetStatus[TargetID],tblTargetStatus[Status])</f>
        <v>BLOCKED</v>
      </c>
      <c r="J249" s="25" t="b">
        <v>0</v>
      </c>
    </row>
    <row r="250" spans="1:10">
      <c r="A250" s="41" t="s">
        <v>3898</v>
      </c>
      <c r="B250" s="41" t="str">
        <f>_xlfn.TEXTAFTER(
 _xlfn.TEXTBEFORE(tblCostChecklist[[#This Row],[RequirementID]],".",-2),
 "cost."
)</f>
        <v>building.garden@1</v>
      </c>
      <c r="C250" s="41" t="str">
        <f>_xlfn.XLOOKUP(tblCostChecklist[[#This Row],[TargetID]],tblTargets[TargetID],tblTargets[DisplayName],"")</f>
        <v>Garden Lv 1</v>
      </c>
      <c r="D250" s="41" t="str">
        <f>_xlfn.XLOOKUP(tblCostChecklist[[#This Row],[TargetID]],tblTargets[TargetID],tblTargets[TargetType],"")</f>
        <v>BUILDING</v>
      </c>
      <c r="E250" s="41" t="s">
        <v>717</v>
      </c>
      <c r="F250" s="41">
        <v>1</v>
      </c>
      <c r="G250" s="41">
        <f>_xlfn.XLOOKUP(
 tblCostChecklist[[#This Row],[RequirementID]],
 tblCost[RequirementID],
 tblCost[QuantityRequired],
 ""
)</f>
        <v>100</v>
      </c>
      <c r="H2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86</v>
      </c>
      <c r="I250" s="41" t="str">
        <f>_xlfn.XLOOKUP(tblCostChecklist[[#This Row],[TargetID]],tblTargetStatus[TargetID],tblTargetStatus[Status])</f>
        <v>BLOCKED</v>
      </c>
      <c r="J250" s="25" t="b">
        <v>0</v>
      </c>
    </row>
    <row r="251" spans="1:10">
      <c r="A251" s="41" t="s">
        <v>3899</v>
      </c>
      <c r="B251" s="41" t="str">
        <f>_xlfn.TEXTAFTER(
 _xlfn.TEXTBEFORE(tblCostChecklist[[#This Row],[RequirementID]],".",-2),
 "cost."
)</f>
        <v>building.garden@2</v>
      </c>
      <c r="C251" s="41" t="str">
        <f>_xlfn.XLOOKUP(tblCostChecklist[[#This Row],[TargetID]],tblTargets[TargetID],tblTargets[DisplayName],"")</f>
        <v>Garden Lv 2</v>
      </c>
      <c r="D251" s="41" t="str">
        <f>_xlfn.XLOOKUP(tblCostChecklist[[#This Row],[TargetID]],tblTargets[TargetID],tblTargets[TargetType],"")</f>
        <v>BUILDING</v>
      </c>
      <c r="E251" s="41" t="s">
        <v>708</v>
      </c>
      <c r="F251" s="41">
        <v>1</v>
      </c>
      <c r="G251" s="41">
        <f>_xlfn.XLOOKUP(
 tblCostChecklist[[#This Row],[RequirementID]],
 tblCost[RequirementID],
 tblCost[QuantityRequired],
 ""
)</f>
        <v>2</v>
      </c>
      <c r="H2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87</v>
      </c>
      <c r="I251" s="41" t="str">
        <f>_xlfn.XLOOKUP(tblCostChecklist[[#This Row],[TargetID]],tblTargetStatus[TargetID],tblTargetStatus[Status])</f>
        <v>BLOCKED</v>
      </c>
      <c r="J251" s="25" t="b">
        <v>0</v>
      </c>
    </row>
    <row r="252" spans="1:10">
      <c r="A252" s="41" t="s">
        <v>3900</v>
      </c>
      <c r="B252" s="41" t="str">
        <f>_xlfn.TEXTAFTER(
 _xlfn.TEXTBEFORE(tblCostChecklist[[#This Row],[RequirementID]],".",-2),
 "cost."
)</f>
        <v>building.garden@2</v>
      </c>
      <c r="C252" s="41" t="str">
        <f>_xlfn.XLOOKUP(tblCostChecklist[[#This Row],[TargetID]],tblTargets[TargetID],tblTargets[DisplayName],"")</f>
        <v>Garden Lv 2</v>
      </c>
      <c r="D252" s="41" t="str">
        <f>_xlfn.XLOOKUP(tblCostChecklist[[#This Row],[TargetID]],tblTargets[TargetID],tblTargets[TargetType],"")</f>
        <v>BUILDING</v>
      </c>
      <c r="E252" s="41" t="s">
        <v>666</v>
      </c>
      <c r="F252" s="41">
        <v>1</v>
      </c>
      <c r="G252" s="41">
        <f>_xlfn.XLOOKUP(
 tblCostChecklist[[#This Row],[RequirementID]],
 tblCost[RequirementID],
 tblCost[QuantityRequired],
 ""
)</f>
        <v>600</v>
      </c>
      <c r="H2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87</v>
      </c>
      <c r="I252" s="41" t="str">
        <f>_xlfn.XLOOKUP(tblCostChecklist[[#This Row],[TargetID]],tblTargetStatus[TargetID],tblTargetStatus[Status])</f>
        <v>BLOCKED</v>
      </c>
      <c r="J252" s="25" t="b">
        <v>0</v>
      </c>
    </row>
    <row r="253" spans="1:10">
      <c r="A253" s="41" t="s">
        <v>3901</v>
      </c>
      <c r="B253" s="41" t="str">
        <f>_xlfn.TEXTAFTER(
 _xlfn.TEXTBEFORE(tblCostChecklist[[#This Row],[RequirementID]],".",-2),
 "cost."
)</f>
        <v>building.garden@2</v>
      </c>
      <c r="C253" s="41" t="str">
        <f>_xlfn.XLOOKUP(tblCostChecklist[[#This Row],[TargetID]],tblTargets[TargetID],tblTargets[DisplayName],"")</f>
        <v>Garden Lv 2</v>
      </c>
      <c r="D253" s="41" t="str">
        <f>_xlfn.XLOOKUP(tblCostChecklist[[#This Row],[TargetID]],tblTargets[TargetID],tblTargets[TargetType],"")</f>
        <v>BUILDING</v>
      </c>
      <c r="E253" s="41" t="s">
        <v>723</v>
      </c>
      <c r="F253" s="41">
        <v>1</v>
      </c>
      <c r="G253" s="41">
        <f>_xlfn.XLOOKUP(
 tblCostChecklist[[#This Row],[RequirementID]],
 tblCost[RequirementID],
 tblCost[QuantityRequired],
 ""
)</f>
        <v>300</v>
      </c>
      <c r="H2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87</v>
      </c>
      <c r="I253" s="41" t="str">
        <f>_xlfn.XLOOKUP(tblCostChecklist[[#This Row],[TargetID]],tblTargetStatus[TargetID],tblTargetStatus[Status])</f>
        <v>BLOCKED</v>
      </c>
      <c r="J253" s="25" t="b">
        <v>0</v>
      </c>
    </row>
    <row r="254" spans="1:10">
      <c r="A254" s="41" t="s">
        <v>3902</v>
      </c>
      <c r="B254" s="41" t="str">
        <f>_xlfn.TEXTAFTER(
 _xlfn.TEXTBEFORE(tblCostChecklist[[#This Row],[RequirementID]],".",-2),
 "cost."
)</f>
        <v>building.garden@2</v>
      </c>
      <c r="C254" s="41" t="str">
        <f>_xlfn.XLOOKUP(tblCostChecklist[[#This Row],[TargetID]],tblTargets[TargetID],tblTargets[DisplayName],"")</f>
        <v>Garden Lv 2</v>
      </c>
      <c r="D254" s="41" t="str">
        <f>_xlfn.XLOOKUP(tblCostChecklist[[#This Row],[TargetID]],tblTargets[TargetID],tblTargets[TargetType],"")</f>
        <v>BUILDING</v>
      </c>
      <c r="E254" s="41" t="s">
        <v>717</v>
      </c>
      <c r="F254" s="41">
        <v>1</v>
      </c>
      <c r="G254" s="41">
        <f>_xlfn.XLOOKUP(
 tblCostChecklist[[#This Row],[RequirementID]],
 tblCost[RequirementID],
 tblCost[QuantityRequired],
 ""
)</f>
        <v>150</v>
      </c>
      <c r="H2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87</v>
      </c>
      <c r="I254" s="41" t="str">
        <f>_xlfn.XLOOKUP(tblCostChecklist[[#This Row],[TargetID]],tblTargetStatus[TargetID],tblTargetStatus[Status])</f>
        <v>BLOCKED</v>
      </c>
      <c r="J254" s="25" t="b">
        <v>0</v>
      </c>
    </row>
    <row r="255" spans="1:10">
      <c r="A255" s="41" t="s">
        <v>3903</v>
      </c>
      <c r="B255" s="41" t="str">
        <f>_xlfn.TEXTAFTER(
 _xlfn.TEXTBEFORE(tblCostChecklist[[#This Row],[RequirementID]],".",-2),
 "cost."
)</f>
        <v>building.garden@3</v>
      </c>
      <c r="C255" s="41" t="str">
        <f>_xlfn.XLOOKUP(tblCostChecklist[[#This Row],[TargetID]],tblTargets[TargetID],tblTargets[DisplayName],"")</f>
        <v>Garden Lv 3</v>
      </c>
      <c r="D255" s="41" t="str">
        <f>_xlfn.XLOOKUP(tblCostChecklist[[#This Row],[TargetID]],tblTargets[TargetID],tblTargets[TargetType],"")</f>
        <v>BUILDING</v>
      </c>
      <c r="E255" s="41" t="s">
        <v>708</v>
      </c>
      <c r="F255" s="41">
        <v>1</v>
      </c>
      <c r="G255" s="41">
        <f>_xlfn.XLOOKUP(
 tblCostChecklist[[#This Row],[RequirementID]],
 tblCost[RequirementID],
 tblCost[QuantityRequired],
 ""
)</f>
        <v>4</v>
      </c>
      <c r="H2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88</v>
      </c>
      <c r="I255" s="41" t="str">
        <f>_xlfn.XLOOKUP(tblCostChecklist[[#This Row],[TargetID]],tblTargetStatus[TargetID],tblTargetStatus[Status])</f>
        <v>BLOCKED</v>
      </c>
      <c r="J255" s="25" t="b">
        <v>0</v>
      </c>
    </row>
    <row r="256" spans="1:10">
      <c r="A256" s="41" t="s">
        <v>3904</v>
      </c>
      <c r="B256" s="41" t="str">
        <f>_xlfn.TEXTAFTER(
 _xlfn.TEXTBEFORE(tblCostChecklist[[#This Row],[RequirementID]],".",-2),
 "cost."
)</f>
        <v>building.garden@3</v>
      </c>
      <c r="C256" s="41" t="str">
        <f>_xlfn.XLOOKUP(tblCostChecklist[[#This Row],[TargetID]],tblTargets[TargetID],tblTargets[DisplayName],"")</f>
        <v>Garden Lv 3</v>
      </c>
      <c r="D256" s="41" t="str">
        <f>_xlfn.XLOOKUP(tblCostChecklist[[#This Row],[TargetID]],tblTargets[TargetID],tblTargets[TargetType],"")</f>
        <v>BUILDING</v>
      </c>
      <c r="E256" s="41" t="s">
        <v>666</v>
      </c>
      <c r="F256" s="41">
        <v>1</v>
      </c>
      <c r="G256" s="41">
        <f>_xlfn.XLOOKUP(
 tblCostChecklist[[#This Row],[RequirementID]],
 tblCost[RequirementID],
 tblCost[QuantityRequired],
 ""
)</f>
        <v>1000</v>
      </c>
      <c r="H2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88</v>
      </c>
      <c r="I256" s="41" t="str">
        <f>_xlfn.XLOOKUP(tblCostChecklist[[#This Row],[TargetID]],tblTargetStatus[TargetID],tblTargetStatus[Status])</f>
        <v>BLOCKED</v>
      </c>
      <c r="J256" s="25" t="b">
        <v>0</v>
      </c>
    </row>
    <row r="257" spans="1:10">
      <c r="A257" s="41" t="s">
        <v>3905</v>
      </c>
      <c r="B257" s="41" t="str">
        <f>_xlfn.TEXTAFTER(
 _xlfn.TEXTBEFORE(tblCostChecklist[[#This Row],[RequirementID]],".",-2),
 "cost."
)</f>
        <v>building.garden@3</v>
      </c>
      <c r="C257" s="41" t="str">
        <f>_xlfn.XLOOKUP(tblCostChecklist[[#This Row],[TargetID]],tblTargets[TargetID],tblTargets[DisplayName],"")</f>
        <v>Garden Lv 3</v>
      </c>
      <c r="D257" s="41" t="str">
        <f>_xlfn.XLOOKUP(tblCostChecklist[[#This Row],[TargetID]],tblTargets[TargetID],tblTargets[TargetType],"")</f>
        <v>BUILDING</v>
      </c>
      <c r="E257" s="41" t="s">
        <v>658</v>
      </c>
      <c r="F257" s="41">
        <v>1</v>
      </c>
      <c r="G257" s="41">
        <f>_xlfn.XLOOKUP(
 tblCostChecklist[[#This Row],[RequirementID]],
 tblCost[RequirementID],
 tblCost[QuantityRequired],
 ""
)</f>
        <v>800</v>
      </c>
      <c r="H2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88</v>
      </c>
      <c r="I257" s="41" t="str">
        <f>_xlfn.XLOOKUP(tblCostChecklist[[#This Row],[TargetID]],tblTargetStatus[TargetID],tblTargetStatus[Status])</f>
        <v>BLOCKED</v>
      </c>
      <c r="J257" s="25" t="b">
        <v>0</v>
      </c>
    </row>
    <row r="258" spans="1:10">
      <c r="A258" s="41" t="s">
        <v>3906</v>
      </c>
      <c r="B258" s="41" t="str">
        <f>_xlfn.TEXTAFTER(
 _xlfn.TEXTBEFORE(tblCostChecklist[[#This Row],[RequirementID]],".",-2),
 "cost."
)</f>
        <v>building.garden@3</v>
      </c>
      <c r="C258" s="41" t="str">
        <f>_xlfn.XLOOKUP(tblCostChecklist[[#This Row],[TargetID]],tblTargets[TargetID],tblTargets[DisplayName],"")</f>
        <v>Garden Lv 3</v>
      </c>
      <c r="D258" s="41" t="str">
        <f>_xlfn.XLOOKUP(tblCostChecklist[[#This Row],[TargetID]],tblTargets[TargetID],tblTargets[TargetType],"")</f>
        <v>BUILDING</v>
      </c>
      <c r="E258" s="41" t="s">
        <v>717</v>
      </c>
      <c r="F258" s="41">
        <v>1</v>
      </c>
      <c r="G258" s="41">
        <f>_xlfn.XLOOKUP(
 tblCostChecklist[[#This Row],[RequirementID]],
 tblCost[RequirementID],
 tblCost[QuantityRequired],
 ""
)</f>
        <v>200</v>
      </c>
      <c r="H2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88</v>
      </c>
      <c r="I258" s="41" t="str">
        <f>_xlfn.XLOOKUP(tblCostChecklist[[#This Row],[TargetID]],tblTargetStatus[TargetID],tblTargetStatus[Status])</f>
        <v>BLOCKED</v>
      </c>
      <c r="J258" s="25" t="b">
        <v>0</v>
      </c>
    </row>
    <row r="259" spans="1:10">
      <c r="A259" s="41" t="s">
        <v>3907</v>
      </c>
      <c r="B259" s="41" t="str">
        <f>_xlfn.TEXTAFTER(
 _xlfn.TEXTBEFORE(tblCostChecklist[[#This Row],[RequirementID]],".",-2),
 "cost."
)</f>
        <v>building.gong@1</v>
      </c>
      <c r="C259" s="41" t="str">
        <f>_xlfn.XLOOKUP(tblCostChecklist[[#This Row],[TargetID]],tblTargets[TargetID],tblTargets[DisplayName],"")</f>
        <v>Gong Lv 1</v>
      </c>
      <c r="D259" s="41" t="str">
        <f>_xlfn.XLOOKUP(tblCostChecklist[[#This Row],[TargetID]],tblTargets[TargetID],tblTargets[TargetType],"")</f>
        <v>BUILDING</v>
      </c>
      <c r="E259" s="41" t="s">
        <v>708</v>
      </c>
      <c r="F259" s="41">
        <v>1</v>
      </c>
      <c r="G259" s="41">
        <f>_xlfn.XLOOKUP(
 tblCostChecklist[[#This Row],[RequirementID]],
 tblCost[RequirementID],
 tblCost[QuantityRequired],
 ""
)</f>
        <v>3</v>
      </c>
      <c r="H2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102</v>
      </c>
      <c r="I259" s="41" t="str">
        <f>_xlfn.XLOOKUP(tblCostChecklist[[#This Row],[TargetID]],tblTargetStatus[TargetID],tblTargetStatus[Status])</f>
        <v>BLOCKED</v>
      </c>
      <c r="J259" s="25" t="b">
        <v>0</v>
      </c>
    </row>
    <row r="260" spans="1:10">
      <c r="A260" s="41" t="s">
        <v>3908</v>
      </c>
      <c r="B260" s="41" t="str">
        <f>_xlfn.TEXTAFTER(
 _xlfn.TEXTBEFORE(tblCostChecklist[[#This Row],[RequirementID]],".",-2),
 "cost."
)</f>
        <v>building.gong@1</v>
      </c>
      <c r="C260" s="41" t="str">
        <f>_xlfn.XLOOKUP(tblCostChecklist[[#This Row],[TargetID]],tblTargets[TargetID],tblTargets[DisplayName],"")</f>
        <v>Gong Lv 1</v>
      </c>
      <c r="D260" s="41" t="str">
        <f>_xlfn.XLOOKUP(tblCostChecklist[[#This Row],[TargetID]],tblTargets[TargetID],tblTargets[TargetType],"")</f>
        <v>BUILDING</v>
      </c>
      <c r="E260" s="41" t="s">
        <v>666</v>
      </c>
      <c r="F260" s="41">
        <v>1</v>
      </c>
      <c r="G260" s="41">
        <f>_xlfn.XLOOKUP(
 tblCostChecklist[[#This Row],[RequirementID]],
 tblCost[RequirementID],
 tblCost[QuantityRequired],
 ""
)</f>
        <v>200</v>
      </c>
      <c r="H2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102</v>
      </c>
      <c r="I260" s="41" t="str">
        <f>_xlfn.XLOOKUP(tblCostChecklist[[#This Row],[TargetID]],tblTargetStatus[TargetID],tblTargetStatus[Status])</f>
        <v>BLOCKED</v>
      </c>
      <c r="J260" s="25" t="b">
        <v>0</v>
      </c>
    </row>
    <row r="261" spans="1:10">
      <c r="A261" s="41" t="s">
        <v>3909</v>
      </c>
      <c r="B261" s="41" t="str">
        <f>_xlfn.TEXTAFTER(
 _xlfn.TEXTBEFORE(tblCostChecklist[[#This Row],[RequirementID]],".",-2),
 "cost."
)</f>
        <v>building.gong@1</v>
      </c>
      <c r="C261" s="41" t="str">
        <f>_xlfn.XLOOKUP(tblCostChecklist[[#This Row],[TargetID]],tblTargets[TargetID],tblTargets[DisplayName],"")</f>
        <v>Gong Lv 1</v>
      </c>
      <c r="D261" s="41" t="str">
        <f>_xlfn.XLOOKUP(tblCostChecklist[[#This Row],[TargetID]],tblTargets[TargetID],tblTargets[TargetType],"")</f>
        <v>BUILDING</v>
      </c>
      <c r="E261" s="41" t="s">
        <v>723</v>
      </c>
      <c r="F261" s="41">
        <v>1</v>
      </c>
      <c r="G261" s="41">
        <f>_xlfn.XLOOKUP(
 tblCostChecklist[[#This Row],[RequirementID]],
 tblCost[RequirementID],
 tblCost[QuantityRequired],
 ""
)</f>
        <v>100</v>
      </c>
      <c r="H2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102</v>
      </c>
      <c r="I261" s="41" t="str">
        <f>_xlfn.XLOOKUP(tblCostChecklist[[#This Row],[TargetID]],tblTargetStatus[TargetID],tblTargetStatus[Status])</f>
        <v>BLOCKED</v>
      </c>
      <c r="J261" s="25" t="b">
        <v>0</v>
      </c>
    </row>
    <row r="262" spans="1:10">
      <c r="A262" s="41" t="s">
        <v>3910</v>
      </c>
      <c r="B262" s="41" t="str">
        <f>_xlfn.TEXTAFTER(
 _xlfn.TEXTBEFORE(tblCostChecklist[[#This Row],[RequirementID]],".",-2),
 "cost."
)</f>
        <v>building.gong@1</v>
      </c>
      <c r="C262" s="41" t="str">
        <f>_xlfn.XLOOKUP(tblCostChecklist[[#This Row],[TargetID]],tblTargets[TargetID],tblTargets[DisplayName],"")</f>
        <v>Gong Lv 1</v>
      </c>
      <c r="D262" s="41" t="str">
        <f>_xlfn.XLOOKUP(tblCostChecklist[[#This Row],[TargetID]],tblTargets[TargetID],tblTargets[TargetType],"")</f>
        <v>BUILDING</v>
      </c>
      <c r="E262" s="41" t="s">
        <v>717</v>
      </c>
      <c r="F262" s="41">
        <v>1</v>
      </c>
      <c r="G262" s="41">
        <f>_xlfn.XLOOKUP(
 tblCostChecklist[[#This Row],[RequirementID]],
 tblCost[RequirementID],
 tblCost[QuantityRequired],
 ""
)</f>
        <v>50</v>
      </c>
      <c r="H2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102</v>
      </c>
      <c r="I262" s="41" t="str">
        <f>_xlfn.XLOOKUP(tblCostChecklist[[#This Row],[TargetID]],tblTargetStatus[TargetID],tblTargetStatus[Status])</f>
        <v>BLOCKED</v>
      </c>
      <c r="J262" s="25" t="b">
        <v>0</v>
      </c>
    </row>
    <row r="263" spans="1:10">
      <c r="A263" s="41" t="s">
        <v>3911</v>
      </c>
      <c r="B263" s="41" t="str">
        <f>_xlfn.TEXTAFTER(
 _xlfn.TEXTBEFORE(tblCostChecklist[[#This Row],[RequirementID]],".",-2),
 "cost."
)</f>
        <v>building.gong@1</v>
      </c>
      <c r="C263" s="41" t="str">
        <f>_xlfn.XLOOKUP(tblCostChecklist[[#This Row],[TargetID]],tblTargets[TargetID],tblTargets[DisplayName],"")</f>
        <v>Gong Lv 1</v>
      </c>
      <c r="D263" s="41" t="str">
        <f>_xlfn.XLOOKUP(tblCostChecklist[[#This Row],[TargetID]],tblTargets[TargetID],tblTargets[TargetType],"")</f>
        <v>BUILDING</v>
      </c>
      <c r="E263" s="41" t="s">
        <v>716</v>
      </c>
      <c r="F263" s="41">
        <v>1</v>
      </c>
      <c r="G263" s="41">
        <f>_xlfn.XLOOKUP(
 tblCostChecklist[[#This Row],[RequirementID]],
 tblCost[RequirementID],
 tblCost[QuantityRequired],
 ""
)</f>
        <v>50</v>
      </c>
      <c r="H2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102</v>
      </c>
      <c r="I263" s="41" t="str">
        <f>_xlfn.XLOOKUP(tblCostChecklist[[#This Row],[TargetID]],tblTargetStatus[TargetID],tblTargetStatus[Status])</f>
        <v>BLOCKED</v>
      </c>
      <c r="J263" s="25" t="b">
        <v>0</v>
      </c>
    </row>
    <row r="264" spans="1:10">
      <c r="A264" s="41" t="s">
        <v>3912</v>
      </c>
      <c r="B264" s="41" t="str">
        <f>_xlfn.TEXTAFTER(
 _xlfn.TEXTBEFORE(tblCostChecklist[[#This Row],[RequirementID]],".",-2),
 "cost."
)</f>
        <v>building.guild@2</v>
      </c>
      <c r="C264" s="41" t="str">
        <f>_xlfn.XLOOKUP(tblCostChecklist[[#This Row],[TargetID]],tblTargets[TargetID],tblTargets[DisplayName],"")</f>
        <v>Guild Lv 2</v>
      </c>
      <c r="D264" s="41" t="str">
        <f>_xlfn.XLOOKUP(tblCostChecklist[[#This Row],[TargetID]],tblTargets[TargetID],tblTargets[TargetType],"")</f>
        <v>BUILDING</v>
      </c>
      <c r="E264" s="41" t="s">
        <v>708</v>
      </c>
      <c r="F264" s="41">
        <v>1</v>
      </c>
      <c r="G264" s="41">
        <f>_xlfn.XLOOKUP(
 tblCostChecklist[[#This Row],[RequirementID]],
 tblCost[RequirementID],
 tblCost[QuantityRequired],
 ""
)</f>
        <v>1</v>
      </c>
      <c r="H2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264" s="41" t="str">
        <f>_xlfn.XLOOKUP(tblCostChecklist[[#This Row],[TargetID]],tblTargetStatus[TargetID],tblTargetStatus[Status])</f>
        <v>READY</v>
      </c>
      <c r="J264" s="25" t="b">
        <v>0</v>
      </c>
    </row>
    <row r="265" spans="1:10">
      <c r="A265" s="41" t="s">
        <v>3913</v>
      </c>
      <c r="B265" s="41" t="str">
        <f>_xlfn.TEXTAFTER(
 _xlfn.TEXTBEFORE(tblCostChecklist[[#This Row],[RequirementID]],".",-2),
 "cost."
)</f>
        <v>building.guild@2</v>
      </c>
      <c r="C265" s="41" t="str">
        <f>_xlfn.XLOOKUP(tblCostChecklist[[#This Row],[TargetID]],tblTargets[TargetID],tblTargets[DisplayName],"")</f>
        <v>Guild Lv 2</v>
      </c>
      <c r="D265" s="41" t="str">
        <f>_xlfn.XLOOKUP(tblCostChecklist[[#This Row],[TargetID]],tblTargets[TargetID],tblTargets[TargetType],"")</f>
        <v>BUILDING</v>
      </c>
      <c r="E265" s="41" t="s">
        <v>666</v>
      </c>
      <c r="F265" s="41">
        <v>1</v>
      </c>
      <c r="G265" s="41">
        <f>_xlfn.XLOOKUP(
 tblCostChecklist[[#This Row],[RequirementID]],
 tblCost[RequirementID],
 tblCost[QuantityRequired],
 ""
)</f>
        <v>50</v>
      </c>
      <c r="H2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265" s="41" t="str">
        <f>_xlfn.XLOOKUP(tblCostChecklist[[#This Row],[TargetID]],tblTargetStatus[TargetID],tblTargetStatus[Status])</f>
        <v>READY</v>
      </c>
      <c r="J265" s="25" t="b">
        <v>0</v>
      </c>
    </row>
    <row r="266" spans="1:10">
      <c r="A266" s="41" t="s">
        <v>3914</v>
      </c>
      <c r="B266" s="41" t="str">
        <f>_xlfn.TEXTAFTER(
 _xlfn.TEXTBEFORE(tblCostChecklist[[#This Row],[RequirementID]],".",-2),
 "cost."
)</f>
        <v>building.guild@2</v>
      </c>
      <c r="C266" s="41" t="str">
        <f>_xlfn.XLOOKUP(tblCostChecklist[[#This Row],[TargetID]],tblTargets[TargetID],tblTargets[DisplayName],"")</f>
        <v>Guild Lv 2</v>
      </c>
      <c r="D266" s="41" t="str">
        <f>_xlfn.XLOOKUP(tblCostChecklist[[#This Row],[TargetID]],tblTargets[TargetID],tblTargets[TargetType],"")</f>
        <v>BUILDING</v>
      </c>
      <c r="E266" s="41" t="s">
        <v>723</v>
      </c>
      <c r="F266" s="41">
        <v>1</v>
      </c>
      <c r="G266" s="41">
        <f>_xlfn.XLOOKUP(
 tblCostChecklist[[#This Row],[RequirementID]],
 tblCost[RequirementID],
 tblCost[QuantityRequired],
 ""
)</f>
        <v>50</v>
      </c>
      <c r="H2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266" s="41" t="str">
        <f>_xlfn.XLOOKUP(tblCostChecklist[[#This Row],[TargetID]],tblTargetStatus[TargetID],tblTargetStatus[Status])</f>
        <v>READY</v>
      </c>
      <c r="J266" s="25" t="b">
        <v>0</v>
      </c>
    </row>
    <row r="267" spans="1:10">
      <c r="A267" s="41" t="s">
        <v>3915</v>
      </c>
      <c r="B267" s="41" t="str">
        <f>_xlfn.TEXTAFTER(
 _xlfn.TEXTBEFORE(tblCostChecklist[[#This Row],[RequirementID]],".",-2),
 "cost."
)</f>
        <v>building.guild@2</v>
      </c>
      <c r="C267" s="41" t="str">
        <f>_xlfn.XLOOKUP(tblCostChecklist[[#This Row],[TargetID]],tblTargets[TargetID],tblTargets[DisplayName],"")</f>
        <v>Guild Lv 2</v>
      </c>
      <c r="D267" s="41" t="str">
        <f>_xlfn.XLOOKUP(tblCostChecklist[[#This Row],[TargetID]],tblTargets[TargetID],tblTargets[TargetType],"")</f>
        <v>BUILDING</v>
      </c>
      <c r="E267" s="41" t="s">
        <v>717</v>
      </c>
      <c r="F267" s="41">
        <v>1</v>
      </c>
      <c r="G267" s="41">
        <f>_xlfn.XLOOKUP(
 tblCostChecklist[[#This Row],[RequirementID]],
 tblCost[RequirementID],
 tblCost[QuantityRequired],
 ""
)</f>
        <v>50</v>
      </c>
      <c r="H2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267" s="41" t="str">
        <f>_xlfn.XLOOKUP(tblCostChecklist[[#This Row],[TargetID]],tblTargetStatus[TargetID],tblTargetStatus[Status])</f>
        <v>READY</v>
      </c>
      <c r="J267" s="25" t="b">
        <v>0</v>
      </c>
    </row>
    <row r="268" spans="1:10">
      <c r="A268" s="41" t="s">
        <v>3916</v>
      </c>
      <c r="B268" s="41" t="str">
        <f>_xlfn.TEXTAFTER(
 _xlfn.TEXTBEFORE(tblCostChecklist[[#This Row],[RequirementID]],".",-2),
 "cost."
)</f>
        <v>building.guild@3</v>
      </c>
      <c r="C268" s="41" t="str">
        <f>_xlfn.XLOOKUP(tblCostChecklist[[#This Row],[TargetID]],tblTargets[TargetID],tblTargets[DisplayName],"")</f>
        <v>Guild Lv 3</v>
      </c>
      <c r="D268" s="41" t="str">
        <f>_xlfn.XLOOKUP(tblCostChecklist[[#This Row],[TargetID]],tblTargets[TargetID],tblTargets[TargetType],"")</f>
        <v>BUILDING</v>
      </c>
      <c r="E268" s="41" t="s">
        <v>708</v>
      </c>
      <c r="F268" s="41">
        <v>1</v>
      </c>
      <c r="G268" s="41">
        <f>_xlfn.XLOOKUP(
 tblCostChecklist[[#This Row],[RequirementID]],
 tblCost[RequirementID],
 tblCost[QuantityRequired],
 ""
)</f>
        <v>2</v>
      </c>
      <c r="H2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17</v>
      </c>
      <c r="I268" s="41" t="str">
        <f>_xlfn.XLOOKUP(tblCostChecklist[[#This Row],[TargetID]],tblTargetStatus[TargetID],tblTargetStatus[Status])</f>
        <v>BLOCKED</v>
      </c>
      <c r="J268" s="25" t="b">
        <v>0</v>
      </c>
    </row>
    <row r="269" spans="1:10">
      <c r="A269" s="41" t="s">
        <v>3917</v>
      </c>
      <c r="B269" s="41" t="str">
        <f>_xlfn.TEXTAFTER(
 _xlfn.TEXTBEFORE(tblCostChecklist[[#This Row],[RequirementID]],".",-2),
 "cost."
)</f>
        <v>building.guild@3</v>
      </c>
      <c r="C269" s="41" t="str">
        <f>_xlfn.XLOOKUP(tblCostChecklist[[#This Row],[TargetID]],tblTargets[TargetID],tblTargets[DisplayName],"")</f>
        <v>Guild Lv 3</v>
      </c>
      <c r="D269" s="41" t="str">
        <f>_xlfn.XLOOKUP(tblCostChecklist[[#This Row],[TargetID]],tblTargets[TargetID],tblTargets[TargetType],"")</f>
        <v>BUILDING</v>
      </c>
      <c r="E269" s="41" t="s">
        <v>666</v>
      </c>
      <c r="F269" s="41">
        <v>1</v>
      </c>
      <c r="G269" s="41">
        <f>_xlfn.XLOOKUP(
 tblCostChecklist[[#This Row],[RequirementID]],
 tblCost[RequirementID],
 tblCost[QuantityRequired],
 ""
)</f>
        <v>150</v>
      </c>
      <c r="H2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17</v>
      </c>
      <c r="I269" s="41" t="str">
        <f>_xlfn.XLOOKUP(tblCostChecklist[[#This Row],[TargetID]],tblTargetStatus[TargetID],tblTargetStatus[Status])</f>
        <v>BLOCKED</v>
      </c>
      <c r="J269" s="25" t="b">
        <v>0</v>
      </c>
    </row>
    <row r="270" spans="1:10">
      <c r="A270" s="41" t="s">
        <v>3918</v>
      </c>
      <c r="B270" s="41" t="str">
        <f>_xlfn.TEXTAFTER(
 _xlfn.TEXTBEFORE(tblCostChecklist[[#This Row],[RequirementID]],".",-2),
 "cost."
)</f>
        <v>building.guild@3</v>
      </c>
      <c r="C270" s="41" t="str">
        <f>_xlfn.XLOOKUP(tblCostChecklist[[#This Row],[TargetID]],tblTargets[TargetID],tblTargets[DisplayName],"")</f>
        <v>Guild Lv 3</v>
      </c>
      <c r="D270" s="41" t="str">
        <f>_xlfn.XLOOKUP(tblCostChecklist[[#This Row],[TargetID]],tblTargets[TargetID],tblTargets[TargetType],"")</f>
        <v>BUILDING</v>
      </c>
      <c r="E270" s="41" t="s">
        <v>658</v>
      </c>
      <c r="F270" s="41">
        <v>1</v>
      </c>
      <c r="G270" s="41">
        <f>_xlfn.XLOOKUP(
 tblCostChecklist[[#This Row],[RequirementID]],
 tblCost[RequirementID],
 tblCost[QuantityRequired],
 ""
)</f>
        <v>300</v>
      </c>
      <c r="H2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17</v>
      </c>
      <c r="I270" s="41" t="str">
        <f>_xlfn.XLOOKUP(tblCostChecklist[[#This Row],[TargetID]],tblTargetStatus[TargetID],tblTargetStatus[Status])</f>
        <v>BLOCKED</v>
      </c>
      <c r="J270" s="25" t="b">
        <v>0</v>
      </c>
    </row>
    <row r="271" spans="1:10">
      <c r="A271" s="41" t="s">
        <v>3919</v>
      </c>
      <c r="B271" s="41" t="str">
        <f>_xlfn.TEXTAFTER(
 _xlfn.TEXTBEFORE(tblCostChecklist[[#This Row],[RequirementID]],".",-2),
 "cost."
)</f>
        <v>building.guild@3</v>
      </c>
      <c r="C271" s="41" t="str">
        <f>_xlfn.XLOOKUP(tblCostChecklist[[#This Row],[TargetID]],tblTargets[TargetID],tblTargets[DisplayName],"")</f>
        <v>Guild Lv 3</v>
      </c>
      <c r="D271" s="41" t="str">
        <f>_xlfn.XLOOKUP(tblCostChecklist[[#This Row],[TargetID]],tblTargets[TargetID],tblTargets[TargetType],"")</f>
        <v>BUILDING</v>
      </c>
      <c r="E271" s="41" t="s">
        <v>717</v>
      </c>
      <c r="F271" s="41">
        <v>1</v>
      </c>
      <c r="G271" s="41">
        <f>_xlfn.XLOOKUP(
 tblCostChecklist[[#This Row],[RequirementID]],
 tblCost[RequirementID],
 tblCost[QuantityRequired],
 ""
)</f>
        <v>150</v>
      </c>
      <c r="H2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17</v>
      </c>
      <c r="I271" s="41" t="str">
        <f>_xlfn.XLOOKUP(tblCostChecklist[[#This Row],[TargetID]],tblTargetStatus[TargetID],tblTargetStatus[Status])</f>
        <v>BLOCKED</v>
      </c>
      <c r="J271" s="25" t="b">
        <v>0</v>
      </c>
    </row>
    <row r="272" spans="1:10">
      <c r="A272" s="41" t="s">
        <v>3920</v>
      </c>
      <c r="B272" s="41" t="str">
        <f>_xlfn.TEXTAFTER(
 _xlfn.TEXTBEFORE(tblCostChecklist[[#This Row],[RequirementID]],".",-2),
 "cost."
)</f>
        <v>building.guild@4</v>
      </c>
      <c r="C272" s="41" t="str">
        <f>_xlfn.XLOOKUP(tblCostChecklist[[#This Row],[TargetID]],tblTargets[TargetID],tblTargets[DisplayName],"")</f>
        <v>Guild Lv 4</v>
      </c>
      <c r="D272" s="41" t="str">
        <f>_xlfn.XLOOKUP(tblCostChecklist[[#This Row],[TargetID]],tblTargets[TargetID],tblTargets[TargetType],"")</f>
        <v>BUILDING</v>
      </c>
      <c r="E272" s="41" t="s">
        <v>708</v>
      </c>
      <c r="F272" s="41">
        <v>1</v>
      </c>
      <c r="G272" s="41">
        <f>_xlfn.XLOOKUP(
 tblCostChecklist[[#This Row],[RequirementID]],
 tblCost[RequirementID],
 tblCost[QuantityRequired],
 ""
)</f>
        <v>4</v>
      </c>
      <c r="H2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272" s="41" t="str">
        <f>_xlfn.XLOOKUP(tblCostChecklist[[#This Row],[TargetID]],tblTargetStatus[TargetID],tblTargetStatus[Status])</f>
        <v>BLOCKED</v>
      </c>
      <c r="J272" s="25" t="b">
        <v>0</v>
      </c>
    </row>
    <row r="273" spans="1:10">
      <c r="A273" s="41" t="s">
        <v>3921</v>
      </c>
      <c r="B273" s="41" t="str">
        <f>_xlfn.TEXTAFTER(
 _xlfn.TEXTBEFORE(tblCostChecklist[[#This Row],[RequirementID]],".",-2),
 "cost."
)</f>
        <v>building.guild@4</v>
      </c>
      <c r="C273" s="41" t="str">
        <f>_xlfn.XLOOKUP(tblCostChecklist[[#This Row],[TargetID]],tblTargets[TargetID],tblTargets[DisplayName],"")</f>
        <v>Guild Lv 4</v>
      </c>
      <c r="D273" s="41" t="str">
        <f>_xlfn.XLOOKUP(tblCostChecklist[[#This Row],[TargetID]],tblTargets[TargetID],tblTargets[TargetType],"")</f>
        <v>BUILDING</v>
      </c>
      <c r="E273" s="41" t="s">
        <v>666</v>
      </c>
      <c r="F273" s="41">
        <v>1</v>
      </c>
      <c r="G273" s="41">
        <f>_xlfn.XLOOKUP(
 tblCostChecklist[[#This Row],[RequirementID]],
 tblCost[RequirementID],
 tblCost[QuantityRequired],
 ""
)</f>
        <v>250</v>
      </c>
      <c r="H2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273" s="41" t="str">
        <f>_xlfn.XLOOKUP(tblCostChecklist[[#This Row],[TargetID]],tblTargetStatus[TargetID],tblTargetStatus[Status])</f>
        <v>BLOCKED</v>
      </c>
      <c r="J273" s="25" t="b">
        <v>0</v>
      </c>
    </row>
    <row r="274" spans="1:10">
      <c r="A274" s="41" t="s">
        <v>3922</v>
      </c>
      <c r="B274" s="41" t="str">
        <f>_xlfn.TEXTAFTER(
 _xlfn.TEXTBEFORE(tblCostChecklist[[#This Row],[RequirementID]],".",-2),
 "cost."
)</f>
        <v>building.guild@4</v>
      </c>
      <c r="C274" s="41" t="str">
        <f>_xlfn.XLOOKUP(tblCostChecklist[[#This Row],[TargetID]],tblTargets[TargetID],tblTargets[DisplayName],"")</f>
        <v>Guild Lv 4</v>
      </c>
      <c r="D274" s="41" t="str">
        <f>_xlfn.XLOOKUP(tblCostChecklist[[#This Row],[TargetID]],tblTargets[TargetID],tblTargets[TargetType],"")</f>
        <v>BUILDING</v>
      </c>
      <c r="E274" s="41" t="s">
        <v>658</v>
      </c>
      <c r="F274" s="41">
        <v>1</v>
      </c>
      <c r="G274" s="41">
        <f>_xlfn.XLOOKUP(
 tblCostChecklist[[#This Row],[RequirementID]],
 tblCost[RequirementID],
 tblCost[QuantityRequired],
 ""
)</f>
        <v>500</v>
      </c>
      <c r="H2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274" s="41" t="str">
        <f>_xlfn.XLOOKUP(tblCostChecklist[[#This Row],[TargetID]],tblTargetStatus[TargetID],tblTargetStatus[Status])</f>
        <v>BLOCKED</v>
      </c>
      <c r="J274" s="25" t="b">
        <v>0</v>
      </c>
    </row>
    <row r="275" spans="1:10">
      <c r="A275" s="41" t="s">
        <v>3923</v>
      </c>
      <c r="B275" s="41" t="str">
        <f>_xlfn.TEXTAFTER(
 _xlfn.TEXTBEFORE(tblCostChecklist[[#This Row],[RequirementID]],".",-2),
 "cost."
)</f>
        <v>building.guild@4</v>
      </c>
      <c r="C275" s="41" t="str">
        <f>_xlfn.XLOOKUP(tblCostChecklist[[#This Row],[TargetID]],tblTargets[TargetID],tblTargets[DisplayName],"")</f>
        <v>Guild Lv 4</v>
      </c>
      <c r="D275" s="41" t="str">
        <f>_xlfn.XLOOKUP(tblCostChecklist[[#This Row],[TargetID]],tblTargets[TargetID],tblTargets[TargetType],"")</f>
        <v>BUILDING</v>
      </c>
      <c r="E275" s="41" t="s">
        <v>717</v>
      </c>
      <c r="F275" s="41">
        <v>1</v>
      </c>
      <c r="G275" s="41">
        <f>_xlfn.XLOOKUP(
 tblCostChecklist[[#This Row],[RequirementID]],
 tblCost[RequirementID],
 tblCost[QuantityRequired],
 ""
)</f>
        <v>250</v>
      </c>
      <c r="H2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275" s="41" t="str">
        <f>_xlfn.XLOOKUP(tblCostChecklist[[#This Row],[TargetID]],tblTargetStatus[TargetID],tblTargetStatus[Status])</f>
        <v>BLOCKED</v>
      </c>
      <c r="J275" s="25" t="b">
        <v>0</v>
      </c>
    </row>
    <row r="276" spans="1:10">
      <c r="A276" s="41" t="s">
        <v>3924</v>
      </c>
      <c r="B276" s="41" t="str">
        <f>_xlfn.TEXTAFTER(
 _xlfn.TEXTBEFORE(tblCostChecklist[[#This Row],[RequirementID]],".",-2),
 "cost."
)</f>
        <v>building.guild@4</v>
      </c>
      <c r="C276" s="41" t="str">
        <f>_xlfn.XLOOKUP(tblCostChecklist[[#This Row],[TargetID]],tblTargets[TargetID],tblTargets[DisplayName],"")</f>
        <v>Guild Lv 4</v>
      </c>
      <c r="D276" s="41" t="str">
        <f>_xlfn.XLOOKUP(tblCostChecklist[[#This Row],[TargetID]],tblTargets[TargetID],tblTargets[TargetType],"")</f>
        <v>BUILDING</v>
      </c>
      <c r="E276" s="41" t="s">
        <v>716</v>
      </c>
      <c r="F276" s="41">
        <v>1</v>
      </c>
      <c r="G276" s="41">
        <f>_xlfn.XLOOKUP(
 tblCostChecklist[[#This Row],[RequirementID]],
 tblCost[RequirementID],
 tblCost[QuantityRequired],
 ""
)</f>
        <v>40</v>
      </c>
      <c r="H2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276" s="41" t="str">
        <f>_xlfn.XLOOKUP(tblCostChecklist[[#This Row],[TargetID]],tblTargetStatus[TargetID],tblTargetStatus[Status])</f>
        <v>BLOCKED</v>
      </c>
      <c r="J276" s="25" t="b">
        <v>0</v>
      </c>
    </row>
    <row r="277" spans="1:10">
      <c r="A277" s="41" t="s">
        <v>3925</v>
      </c>
      <c r="B277" s="41" t="str">
        <f>_xlfn.TEXTAFTER(
 _xlfn.TEXTBEFORE(tblCostChecklist[[#This Row],[RequirementID]],".",-2),
 "cost."
)</f>
        <v>building.guild@5</v>
      </c>
      <c r="C277" s="41" t="str">
        <f>_xlfn.XLOOKUP(tblCostChecklist[[#This Row],[TargetID]],tblTargets[TargetID],tblTargets[DisplayName],"")</f>
        <v>Guild Lv 5</v>
      </c>
      <c r="D277" s="41" t="str">
        <f>_xlfn.XLOOKUP(tblCostChecklist[[#This Row],[TargetID]],tblTargets[TargetID],tblTargets[TargetType],"")</f>
        <v>BUILDING</v>
      </c>
      <c r="E277" s="41" t="s">
        <v>708</v>
      </c>
      <c r="F277" s="41">
        <v>1</v>
      </c>
      <c r="G277" s="41">
        <f>_xlfn.XLOOKUP(
 tblCostChecklist[[#This Row],[RequirementID]],
 tblCost[RequirementID],
 tblCost[QuantityRequired],
 ""
)</f>
        <v>8</v>
      </c>
      <c r="H2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277" s="41" t="str">
        <f>_xlfn.XLOOKUP(tblCostChecklist[[#This Row],[TargetID]],tblTargetStatus[TargetID],tblTargetStatus[Status])</f>
        <v>BLOCKED</v>
      </c>
      <c r="J277" s="25" t="b">
        <v>0</v>
      </c>
    </row>
    <row r="278" spans="1:10">
      <c r="A278" s="41" t="s">
        <v>3926</v>
      </c>
      <c r="B278" s="41" t="str">
        <f>_xlfn.TEXTAFTER(
 _xlfn.TEXTBEFORE(tblCostChecklist[[#This Row],[RequirementID]],".",-2),
 "cost."
)</f>
        <v>building.guild@5</v>
      </c>
      <c r="C278" s="41" t="str">
        <f>_xlfn.XLOOKUP(tblCostChecklist[[#This Row],[TargetID]],tblTargets[TargetID],tblTargets[DisplayName],"")</f>
        <v>Guild Lv 5</v>
      </c>
      <c r="D278" s="41" t="str">
        <f>_xlfn.XLOOKUP(tblCostChecklist[[#This Row],[TargetID]],tblTargets[TargetID],tblTargets[TargetType],"")</f>
        <v>BUILDING</v>
      </c>
      <c r="E278" s="41" t="s">
        <v>666</v>
      </c>
      <c r="F278" s="41">
        <v>1</v>
      </c>
      <c r="G278" s="41">
        <f>_xlfn.XLOOKUP(
 tblCostChecklist[[#This Row],[RequirementID]],
 tblCost[RequirementID],
 tblCost[QuantityRequired],
 ""
)</f>
        <v>300</v>
      </c>
      <c r="H2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278" s="41" t="str">
        <f>_xlfn.XLOOKUP(tblCostChecklist[[#This Row],[TargetID]],tblTargetStatus[TargetID],tblTargetStatus[Status])</f>
        <v>BLOCKED</v>
      </c>
      <c r="J278" s="25" t="b">
        <v>0</v>
      </c>
    </row>
    <row r="279" spans="1:10">
      <c r="A279" s="41" t="s">
        <v>3927</v>
      </c>
      <c r="B279" s="41" t="str">
        <f>_xlfn.TEXTAFTER(
 _xlfn.TEXTBEFORE(tblCostChecklist[[#This Row],[RequirementID]],".",-2),
 "cost."
)</f>
        <v>building.guild@5</v>
      </c>
      <c r="C279" s="41" t="str">
        <f>_xlfn.XLOOKUP(tblCostChecklist[[#This Row],[TargetID]],tblTargets[TargetID],tblTargets[DisplayName],"")</f>
        <v>Guild Lv 5</v>
      </c>
      <c r="D279" s="41" t="str">
        <f>_xlfn.XLOOKUP(tblCostChecklist[[#This Row],[TargetID]],tblTargets[TargetID],tblTargets[TargetType],"")</f>
        <v>BUILDING</v>
      </c>
      <c r="E279" s="41" t="s">
        <v>658</v>
      </c>
      <c r="F279" s="41">
        <v>1</v>
      </c>
      <c r="G279" s="41">
        <f>_xlfn.XLOOKUP(
 tblCostChecklist[[#This Row],[RequirementID]],
 tblCost[RequirementID],
 tblCost[QuantityRequired],
 ""
)</f>
        <v>600</v>
      </c>
      <c r="H2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279" s="41" t="str">
        <f>_xlfn.XLOOKUP(tblCostChecklist[[#This Row],[TargetID]],tblTargetStatus[TargetID],tblTargetStatus[Status])</f>
        <v>BLOCKED</v>
      </c>
      <c r="J279" s="25" t="b">
        <v>0</v>
      </c>
    </row>
    <row r="280" spans="1:10">
      <c r="A280" s="41" t="s">
        <v>3928</v>
      </c>
      <c r="B280" s="41" t="str">
        <f>_xlfn.TEXTAFTER(
 _xlfn.TEXTBEFORE(tblCostChecklist[[#This Row],[RequirementID]],".",-2),
 "cost."
)</f>
        <v>building.guild@5</v>
      </c>
      <c r="C280" s="41" t="str">
        <f>_xlfn.XLOOKUP(tblCostChecklist[[#This Row],[TargetID]],tblTargets[TargetID],tblTargets[DisplayName],"")</f>
        <v>Guild Lv 5</v>
      </c>
      <c r="D280" s="41" t="str">
        <f>_xlfn.XLOOKUP(tblCostChecklist[[#This Row],[TargetID]],tblTargets[TargetID],tblTargets[TargetType],"")</f>
        <v>BUILDING</v>
      </c>
      <c r="E280" s="41" t="s">
        <v>717</v>
      </c>
      <c r="F280" s="41">
        <v>1</v>
      </c>
      <c r="G280" s="41">
        <f>_xlfn.XLOOKUP(
 tblCostChecklist[[#This Row],[RequirementID]],
 tblCost[RequirementID],
 tblCost[QuantityRequired],
 ""
)</f>
        <v>300</v>
      </c>
      <c r="H2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280" s="41" t="str">
        <f>_xlfn.XLOOKUP(tblCostChecklist[[#This Row],[TargetID]],tblTargetStatus[TargetID],tblTargetStatus[Status])</f>
        <v>BLOCKED</v>
      </c>
      <c r="J280" s="25" t="b">
        <v>0</v>
      </c>
    </row>
    <row r="281" spans="1:10">
      <c r="A281" s="41" t="s">
        <v>3929</v>
      </c>
      <c r="B281" s="41" t="str">
        <f>_xlfn.TEXTAFTER(
 _xlfn.TEXTBEFORE(tblCostChecklist[[#This Row],[RequirementID]],".",-2),
 "cost."
)</f>
        <v>building.guild@5</v>
      </c>
      <c r="C281" s="41" t="str">
        <f>_xlfn.XLOOKUP(tblCostChecklist[[#This Row],[TargetID]],tblTargets[TargetID],tblTargets[DisplayName],"")</f>
        <v>Guild Lv 5</v>
      </c>
      <c r="D281" s="41" t="str">
        <f>_xlfn.XLOOKUP(tblCostChecklist[[#This Row],[TargetID]],tblTargets[TargetID],tblTargets[TargetType],"")</f>
        <v>BUILDING</v>
      </c>
      <c r="E281" s="41" t="s">
        <v>716</v>
      </c>
      <c r="F281" s="41">
        <v>1</v>
      </c>
      <c r="G281" s="41">
        <f>_xlfn.XLOOKUP(
 tblCostChecklist[[#This Row],[RequirementID]],
 tblCost[RequirementID],
 tblCost[QuantityRequired],
 ""
)</f>
        <v>50</v>
      </c>
      <c r="H2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281" s="41" t="str">
        <f>_xlfn.XLOOKUP(tblCostChecklist[[#This Row],[TargetID]],tblTargetStatus[TargetID],tblTargetStatus[Status])</f>
        <v>BLOCKED</v>
      </c>
      <c r="J281" s="25" t="b">
        <v>0</v>
      </c>
    </row>
    <row r="282" spans="1:10">
      <c r="A282" s="41" t="s">
        <v>3930</v>
      </c>
      <c r="B282" s="41" t="str">
        <f>_xlfn.TEXTAFTER(
 _xlfn.TEXTBEFORE(tblCostChecklist[[#This Row],[RequirementID]],".",-2),
 "cost."
)</f>
        <v>building.guild_video_game_arcade@1</v>
      </c>
      <c r="C282" s="41" t="str">
        <f>_xlfn.XLOOKUP(tblCostChecklist[[#This Row],[TargetID]],tblTargets[TargetID],tblTargets[DisplayName],"")</f>
        <v>Guild: Video Game Arcade Lv 1</v>
      </c>
      <c r="D282" s="41" t="str">
        <f>_xlfn.XLOOKUP(tblCostChecklist[[#This Row],[TargetID]],tblTargets[TargetID],tblTargets[TargetType],"")</f>
        <v>BUILDING</v>
      </c>
      <c r="E282" s="41" t="s">
        <v>708</v>
      </c>
      <c r="F282" s="41">
        <v>1</v>
      </c>
      <c r="G282" s="41">
        <f>_xlfn.XLOOKUP(
 tblCostChecklist[[#This Row],[RequirementID]],
 tblCost[RequirementID],
 tblCost[QuantityRequired],
 ""
)</f>
        <v>3</v>
      </c>
      <c r="H282"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2" s="41" t="str">
        <f>_xlfn.XLOOKUP(tblCostChecklist[[#This Row],[TargetID]],tblTargetStatus[TargetID],tblTargetStatus[Status])</f>
        <v>BLOCKED</v>
      </c>
      <c r="J282" s="25" t="b">
        <v>0</v>
      </c>
    </row>
    <row r="283" spans="1:10">
      <c r="A283" s="41" t="s">
        <v>3931</v>
      </c>
      <c r="B283" s="41" t="str">
        <f>_xlfn.TEXTAFTER(
 _xlfn.TEXTBEFORE(tblCostChecklist[[#This Row],[RequirementID]],".",-2),
 "cost."
)</f>
        <v>building.guild_video_game_arcade@1</v>
      </c>
      <c r="C283" s="41" t="str">
        <f>_xlfn.XLOOKUP(tblCostChecklist[[#This Row],[TargetID]],tblTargets[TargetID],tblTargets[DisplayName],"")</f>
        <v>Guild: Video Game Arcade Lv 1</v>
      </c>
      <c r="D283" s="41" t="str">
        <f>_xlfn.XLOOKUP(tblCostChecklist[[#This Row],[TargetID]],tblTargets[TargetID],tblTargets[TargetType],"")</f>
        <v>BUILDING</v>
      </c>
      <c r="E283" s="41" t="s">
        <v>667</v>
      </c>
      <c r="F283" s="41">
        <v>1</v>
      </c>
      <c r="G283" s="41">
        <f>_xlfn.XLOOKUP(
 tblCostChecklist[[#This Row],[RequirementID]],
 tblCost[RequirementID],
 tblCost[QuantityRequired],
 ""
)</f>
        <v>500</v>
      </c>
      <c r="H283"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3" s="41" t="str">
        <f>_xlfn.XLOOKUP(tblCostChecklist[[#This Row],[TargetID]],tblTargetStatus[TargetID],tblTargetStatus[Status])</f>
        <v>BLOCKED</v>
      </c>
      <c r="J283" s="25" t="b">
        <v>0</v>
      </c>
    </row>
    <row r="284" spans="1:10">
      <c r="A284" s="41" t="s">
        <v>3932</v>
      </c>
      <c r="B284" s="41" t="str">
        <f>_xlfn.TEXTAFTER(
 _xlfn.TEXTBEFORE(tblCostChecklist[[#This Row],[RequirementID]],".",-2),
 "cost."
)</f>
        <v>building.guild_video_game_arcade@1</v>
      </c>
      <c r="C284" s="41" t="str">
        <f>_xlfn.XLOOKUP(tblCostChecklist[[#This Row],[TargetID]],tblTargets[TargetID],tblTargets[DisplayName],"")</f>
        <v>Guild: Video Game Arcade Lv 1</v>
      </c>
      <c r="D284" s="41" t="str">
        <f>_xlfn.XLOOKUP(tblCostChecklist[[#This Row],[TargetID]],tblTargets[TargetID],tblTargets[TargetType],"")</f>
        <v>BUILDING</v>
      </c>
      <c r="E284" s="41" t="s">
        <v>686</v>
      </c>
      <c r="F284" s="41">
        <v>1</v>
      </c>
      <c r="G284" s="41">
        <f>_xlfn.XLOOKUP(
 tblCostChecklist[[#This Row],[RequirementID]],
 tblCost[RequirementID],
 tblCost[QuantityRequired],
 ""
)</f>
        <v>10</v>
      </c>
      <c r="H284"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4" s="41" t="str">
        <f>_xlfn.XLOOKUP(tblCostChecklist[[#This Row],[TargetID]],tblTargetStatus[TargetID],tblTargetStatus[Status])</f>
        <v>BLOCKED</v>
      </c>
      <c r="J284" s="25" t="b">
        <v>0</v>
      </c>
    </row>
    <row r="285" spans="1:10">
      <c r="A285" s="41" t="s">
        <v>3933</v>
      </c>
      <c r="B285" s="41" t="str">
        <f>_xlfn.TEXTAFTER(
 _xlfn.TEXTBEFORE(tblCostChecklist[[#This Row],[RequirementID]],".",-2),
 "cost."
)</f>
        <v>building.guild_video_game_arcade@1</v>
      </c>
      <c r="C285" s="41" t="str">
        <f>_xlfn.XLOOKUP(tblCostChecklist[[#This Row],[TargetID]],tblTargets[TargetID],tblTargets[DisplayName],"")</f>
        <v>Guild: Video Game Arcade Lv 1</v>
      </c>
      <c r="D285" s="41" t="str">
        <f>_xlfn.XLOOKUP(tblCostChecklist[[#This Row],[TargetID]],tblTargets[TargetID],tblTargets[TargetType],"")</f>
        <v>BUILDING</v>
      </c>
      <c r="E285" s="41" t="s">
        <v>668</v>
      </c>
      <c r="F285" s="41">
        <v>1</v>
      </c>
      <c r="G285" s="41">
        <f>_xlfn.XLOOKUP(
 tblCostChecklist[[#This Row],[RequirementID]],
 tblCost[RequirementID],
 tblCost[QuantityRequired],
 ""
)</f>
        <v>10</v>
      </c>
      <c r="H285"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5" s="41" t="str">
        <f>_xlfn.XLOOKUP(tblCostChecklist[[#This Row],[TargetID]],tblTargetStatus[TargetID],tblTargetStatus[Status])</f>
        <v>BLOCKED</v>
      </c>
      <c r="J285" s="25" t="b">
        <v>0</v>
      </c>
    </row>
    <row r="286" spans="1:10">
      <c r="A286" s="41" t="s">
        <v>3934</v>
      </c>
      <c r="B286" s="41" t="str">
        <f>_xlfn.TEXTAFTER(
 _xlfn.TEXTBEFORE(tblCostChecklist[[#This Row],[RequirementID]],".",-2),
 "cost."
)</f>
        <v>building.guild_video_game_arcade@1</v>
      </c>
      <c r="C286" s="41" t="str">
        <f>_xlfn.XLOOKUP(tblCostChecklist[[#This Row],[TargetID]],tblTargets[TargetID],tblTargets[DisplayName],"")</f>
        <v>Guild: Video Game Arcade Lv 1</v>
      </c>
      <c r="D286" s="41" t="str">
        <f>_xlfn.XLOOKUP(tblCostChecklist[[#This Row],[TargetID]],tblTargets[TargetID],tblTargets[TargetType],"")</f>
        <v>BUILDING</v>
      </c>
      <c r="E286" s="41" t="s">
        <v>692</v>
      </c>
      <c r="F286" s="41">
        <v>1</v>
      </c>
      <c r="G286" s="41">
        <f>_xlfn.XLOOKUP(
 tblCostChecklist[[#This Row],[RequirementID]],
 tblCost[RequirementID],
 tblCost[QuantityRequired],
 ""
)</f>
        <v>3</v>
      </c>
      <c r="H286"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6" s="41" t="str">
        <f>_xlfn.XLOOKUP(tblCostChecklist[[#This Row],[TargetID]],tblTargetStatus[TargetID],tblTargetStatus[Status])</f>
        <v>BLOCKED</v>
      </c>
      <c r="J286" s="25" t="b">
        <v>0</v>
      </c>
    </row>
    <row r="287" spans="1:10">
      <c r="A287" s="41" t="s">
        <v>3935</v>
      </c>
      <c r="B287" s="41" t="str">
        <f>_xlfn.TEXTAFTER(
 _xlfn.TEXTBEFORE(tblCostChecklist[[#This Row],[RequirementID]],".",-2),
 "cost."
)</f>
        <v>building.guild_video_game_arcade@1</v>
      </c>
      <c r="C287" s="41" t="str">
        <f>_xlfn.XLOOKUP(tblCostChecklist[[#This Row],[TargetID]],tblTargets[TargetID],tblTargets[DisplayName],"")</f>
        <v>Guild: Video Game Arcade Lv 1</v>
      </c>
      <c r="D287" s="41" t="str">
        <f>_xlfn.XLOOKUP(tblCostChecklist[[#This Row],[TargetID]],tblTargets[TargetID],tblTargets[TargetType],"")</f>
        <v>BUILDING</v>
      </c>
      <c r="E287" s="41" t="s">
        <v>694</v>
      </c>
      <c r="F287" s="41">
        <v>1</v>
      </c>
      <c r="G287" s="41">
        <f>_xlfn.XLOOKUP(
 tblCostChecklist[[#This Row],[RequirementID]],
 tblCost[RequirementID],
 tblCost[QuantityRequired],
 ""
)</f>
        <v>2</v>
      </c>
      <c r="H287"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7" s="41" t="str">
        <f>_xlfn.XLOOKUP(tblCostChecklist[[#This Row],[TargetID]],tblTargetStatus[TargetID],tblTargetStatus[Status])</f>
        <v>BLOCKED</v>
      </c>
      <c r="J287" s="25" t="b">
        <v>0</v>
      </c>
    </row>
    <row r="288" spans="1:10">
      <c r="A288" s="41" t="s">
        <v>3936</v>
      </c>
      <c r="B288" s="41" t="str">
        <f>_xlfn.TEXTAFTER(
 _xlfn.TEXTBEFORE(tblCostChecklist[[#This Row],[RequirementID]],".",-2),
 "cost."
)</f>
        <v>building.guild_video_game_arcade@1</v>
      </c>
      <c r="C288" s="41" t="str">
        <f>_xlfn.XLOOKUP(tblCostChecklist[[#This Row],[TargetID]],tblTargets[TargetID],tblTargets[DisplayName],"")</f>
        <v>Guild: Video Game Arcade Lv 1</v>
      </c>
      <c r="D288" s="41" t="str">
        <f>_xlfn.XLOOKUP(tblCostChecklist[[#This Row],[TargetID]],tblTargets[TargetID],tblTargets[TargetType],"")</f>
        <v>BUILDING</v>
      </c>
      <c r="E288" s="41" t="s">
        <v>688</v>
      </c>
      <c r="F288" s="41">
        <v>1</v>
      </c>
      <c r="G288" s="41">
        <f>_xlfn.XLOOKUP(
 tblCostChecklist[[#This Row],[RequirementID]],
 tblCost[RequirementID],
 tblCost[QuantityRequired],
 ""
)</f>
        <v>40</v>
      </c>
      <c r="H288"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8" s="41" t="str">
        <f>_xlfn.XLOOKUP(tblCostChecklist[[#This Row],[TargetID]],tblTargetStatus[TargetID],tblTargetStatus[Status])</f>
        <v>BLOCKED</v>
      </c>
      <c r="J288" s="25" t="b">
        <v>0</v>
      </c>
    </row>
    <row r="289" spans="1:10">
      <c r="A289" s="41" t="s">
        <v>3937</v>
      </c>
      <c r="B289" s="41" t="str">
        <f>_xlfn.TEXTAFTER(
 _xlfn.TEXTBEFORE(tblCostChecklist[[#This Row],[RequirementID]],".",-2),
 "cost."
)</f>
        <v>building.guild_video_game_arcade@1</v>
      </c>
      <c r="C289" s="41" t="str">
        <f>_xlfn.XLOOKUP(tblCostChecklist[[#This Row],[TargetID]],tblTargets[TargetID],tblTargets[DisplayName],"")</f>
        <v>Guild: Video Game Arcade Lv 1</v>
      </c>
      <c r="D289" s="41" t="str">
        <f>_xlfn.XLOOKUP(tblCostChecklist[[#This Row],[TargetID]],tblTargets[TargetID],tblTargets[TargetType],"")</f>
        <v>BUILDING</v>
      </c>
      <c r="E289" s="41" t="s">
        <v>672</v>
      </c>
      <c r="F289" s="41">
        <v>1</v>
      </c>
      <c r="G289" s="41">
        <f>_xlfn.XLOOKUP(
 tblCostChecklist[[#This Row],[RequirementID]],
 tblCost[RequirementID],
 tblCost[QuantityRequired],
 ""
)</f>
        <v>40</v>
      </c>
      <c r="H289"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9" s="41" t="str">
        <f>_xlfn.XLOOKUP(tblCostChecklist[[#This Row],[TargetID]],tblTargetStatus[TargetID],tblTargetStatus[Status])</f>
        <v>BLOCKED</v>
      </c>
      <c r="J289" s="25" t="b">
        <v>0</v>
      </c>
    </row>
    <row r="290" spans="1:10">
      <c r="A290" s="41" t="s">
        <v>3938</v>
      </c>
      <c r="B290" s="41" t="str">
        <f>_xlfn.TEXTAFTER(
 _xlfn.TEXTBEFORE(tblCostChecklist[[#This Row],[RequirementID]],".",-2),
 "cost."
)</f>
        <v>building.guild_video_game_arcade@1</v>
      </c>
      <c r="C290" s="41" t="str">
        <f>_xlfn.XLOOKUP(tblCostChecklist[[#This Row],[TargetID]],tblTargets[TargetID],tblTargets[DisplayName],"")</f>
        <v>Guild: Video Game Arcade Lv 1</v>
      </c>
      <c r="D290" s="41" t="str">
        <f>_xlfn.XLOOKUP(tblCostChecklist[[#This Row],[TargetID]],tblTargets[TargetID],tblTargets[TargetType],"")</f>
        <v>BUILDING</v>
      </c>
      <c r="E290" s="41" t="s">
        <v>662</v>
      </c>
      <c r="F290" s="41">
        <v>1</v>
      </c>
      <c r="G290" s="41">
        <f>_xlfn.XLOOKUP(
 tblCostChecklist[[#This Row],[RequirementID]],
 tblCost[RequirementID],
 tblCost[QuantityRequired],
 ""
)</f>
        <v>30</v>
      </c>
      <c r="H290"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90" s="41" t="str">
        <f>_xlfn.XLOOKUP(tblCostChecklist[[#This Row],[TargetID]],tblTargetStatus[TargetID],tblTargetStatus[Status])</f>
        <v>BLOCKED</v>
      </c>
      <c r="J290" s="25" t="b">
        <v>0</v>
      </c>
    </row>
    <row r="291" spans="1:10">
      <c r="A291" s="41" t="s">
        <v>3939</v>
      </c>
      <c r="B291" s="41" t="str">
        <f>_xlfn.TEXTAFTER(
 _xlfn.TEXTBEFORE(tblCostChecklist[[#This Row],[RequirementID]],".",-2),
 "cost."
)</f>
        <v>building.laboratory@1</v>
      </c>
      <c r="C291" s="41" t="str">
        <f>_xlfn.XLOOKUP(tblCostChecklist[[#This Row],[TargetID]],tblTargets[TargetID],tblTargets[DisplayName],"")</f>
        <v>Laboratory Lv 1</v>
      </c>
      <c r="D291" s="41" t="str">
        <f>_xlfn.XLOOKUP(tblCostChecklist[[#This Row],[TargetID]],tblTargets[TargetID],tblTargets[TargetType],"")</f>
        <v>BUILDING</v>
      </c>
      <c r="E291" s="41" t="s">
        <v>708</v>
      </c>
      <c r="F291" s="41">
        <v>1</v>
      </c>
      <c r="G291" s="41">
        <f>_xlfn.XLOOKUP(
 tblCostChecklist[[#This Row],[RequirementID]],
 tblCost[RequirementID],
 tblCost[QuantityRequired],
 ""
)</f>
        <v>6</v>
      </c>
      <c r="H2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1" s="41" t="str">
        <f>_xlfn.XLOOKUP(tblCostChecklist[[#This Row],[TargetID]],tblTargetStatus[TargetID],tblTargetStatus[Status])</f>
        <v>BLOCKED</v>
      </c>
      <c r="J291" s="25" t="b">
        <v>0</v>
      </c>
    </row>
    <row r="292" spans="1:10">
      <c r="A292" s="41" t="s">
        <v>3940</v>
      </c>
      <c r="B292" s="41" t="str">
        <f>_xlfn.TEXTAFTER(
 _xlfn.TEXTBEFORE(tblCostChecklist[[#This Row],[RequirementID]],".",-2),
 "cost."
)</f>
        <v>building.laboratory@1</v>
      </c>
      <c r="C292" s="41" t="str">
        <f>_xlfn.XLOOKUP(tblCostChecklist[[#This Row],[TargetID]],tblTargets[TargetID],tblTargets[DisplayName],"")</f>
        <v>Laboratory Lv 1</v>
      </c>
      <c r="D292" s="41" t="str">
        <f>_xlfn.XLOOKUP(tblCostChecklist[[#This Row],[TargetID]],tblTargets[TargetID],tblTargets[TargetType],"")</f>
        <v>BUILDING</v>
      </c>
      <c r="E292" s="41" t="s">
        <v>666</v>
      </c>
      <c r="F292" s="41">
        <v>1</v>
      </c>
      <c r="G292" s="41">
        <f>_xlfn.XLOOKUP(
 tblCostChecklist[[#This Row],[RequirementID]],
 tblCost[RequirementID],
 tblCost[QuantityRequired],
 ""
)</f>
        <v>1000</v>
      </c>
      <c r="H2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2" s="41" t="str">
        <f>_xlfn.XLOOKUP(tblCostChecklist[[#This Row],[TargetID]],tblTargetStatus[TargetID],tblTargetStatus[Status])</f>
        <v>BLOCKED</v>
      </c>
      <c r="J292" s="25" t="b">
        <v>0</v>
      </c>
    </row>
    <row r="293" spans="1:10">
      <c r="A293" s="41" t="s">
        <v>3941</v>
      </c>
      <c r="B293" s="41" t="str">
        <f>_xlfn.TEXTAFTER(
 _xlfn.TEXTBEFORE(tblCostChecklist[[#This Row],[RequirementID]],".",-2),
 "cost."
)</f>
        <v>building.laboratory@1</v>
      </c>
      <c r="C293" s="41" t="str">
        <f>_xlfn.XLOOKUP(tblCostChecklist[[#This Row],[TargetID]],tblTargets[TargetID],tblTargets[DisplayName],"")</f>
        <v>Laboratory Lv 1</v>
      </c>
      <c r="D293" s="41" t="str">
        <f>_xlfn.XLOOKUP(tblCostChecklist[[#This Row],[TargetID]],tblTargets[TargetID],tblTargets[TargetType],"")</f>
        <v>BUILDING</v>
      </c>
      <c r="E293" s="41" t="s">
        <v>717</v>
      </c>
      <c r="F293" s="41">
        <v>1</v>
      </c>
      <c r="G293" s="41">
        <f>_xlfn.XLOOKUP(
 tblCostChecklist[[#This Row],[RequirementID]],
 tblCost[RequirementID],
 tblCost[QuantityRequired],
 ""
)</f>
        <v>500</v>
      </c>
      <c r="H2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3" s="41" t="str">
        <f>_xlfn.XLOOKUP(tblCostChecklist[[#This Row],[TargetID]],tblTargetStatus[TargetID],tblTargetStatus[Status])</f>
        <v>BLOCKED</v>
      </c>
      <c r="J293" s="25" t="b">
        <v>0</v>
      </c>
    </row>
    <row r="294" spans="1:10">
      <c r="A294" s="41" t="s">
        <v>3942</v>
      </c>
      <c r="B294" s="41" t="str">
        <f>_xlfn.TEXTAFTER(
 _xlfn.TEXTBEFORE(tblCostChecklist[[#This Row],[RequirementID]],".",-2),
 "cost."
)</f>
        <v>building.laboratory@1</v>
      </c>
      <c r="C294" s="41" t="str">
        <f>_xlfn.XLOOKUP(tblCostChecklist[[#This Row],[TargetID]],tblTargets[TargetID],tblTargets[DisplayName],"")</f>
        <v>Laboratory Lv 1</v>
      </c>
      <c r="D294" s="41" t="str">
        <f>_xlfn.XLOOKUP(tblCostChecklist[[#This Row],[TargetID]],tblTargets[TargetID],tblTargets[TargetType],"")</f>
        <v>BUILDING</v>
      </c>
      <c r="E294" s="41" t="s">
        <v>716</v>
      </c>
      <c r="F294" s="41">
        <v>1</v>
      </c>
      <c r="G294" s="41">
        <f>_xlfn.XLOOKUP(
 tblCostChecklist[[#This Row],[RequirementID]],
 tblCost[RequirementID],
 tblCost[QuantityRequired],
 ""
)</f>
        <v>300</v>
      </c>
      <c r="H2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4" s="41" t="str">
        <f>_xlfn.XLOOKUP(tblCostChecklist[[#This Row],[TargetID]],tblTargetStatus[TargetID],tblTargetStatus[Status])</f>
        <v>BLOCKED</v>
      </c>
      <c r="J294" s="25" t="b">
        <v>0</v>
      </c>
    </row>
    <row r="295" spans="1:10">
      <c r="A295" s="41" t="s">
        <v>3943</v>
      </c>
      <c r="B295" s="41" t="str">
        <f>_xlfn.TEXTAFTER(
 _xlfn.TEXTBEFORE(tblCostChecklist[[#This Row],[RequirementID]],".",-2),
 "cost."
)</f>
        <v>building.laboratory@1</v>
      </c>
      <c r="C295" s="41" t="str">
        <f>_xlfn.XLOOKUP(tblCostChecklist[[#This Row],[TargetID]],tblTargets[TargetID],tblTargets[DisplayName],"")</f>
        <v>Laboratory Lv 1</v>
      </c>
      <c r="D295" s="41" t="str">
        <f>_xlfn.XLOOKUP(tblCostChecklist[[#This Row],[TargetID]],tblTargets[TargetID],tblTargets[TargetType],"")</f>
        <v>BUILDING</v>
      </c>
      <c r="E295" s="41" t="s">
        <v>674</v>
      </c>
      <c r="F295" s="41">
        <v>1</v>
      </c>
      <c r="G295" s="41">
        <f>_xlfn.XLOOKUP(
 tblCostChecklist[[#This Row],[RequirementID]],
 tblCost[RequirementID],
 tblCost[QuantityRequired],
 ""
)</f>
        <v>50</v>
      </c>
      <c r="H2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5" s="41" t="str">
        <f>_xlfn.XLOOKUP(tblCostChecklist[[#This Row],[TargetID]],tblTargetStatus[TargetID],tblTargetStatus[Status])</f>
        <v>BLOCKED</v>
      </c>
      <c r="J295" s="25" t="b">
        <v>0</v>
      </c>
    </row>
    <row r="296" spans="1:10">
      <c r="A296" s="41" t="s">
        <v>3944</v>
      </c>
      <c r="B296" s="41" t="str">
        <f>_xlfn.TEXTAFTER(
 _xlfn.TEXTBEFORE(tblCostChecklist[[#This Row],[RequirementID]],".",-2),
 "cost."
)</f>
        <v>building.laboratory@1</v>
      </c>
      <c r="C296" s="41" t="str">
        <f>_xlfn.XLOOKUP(tblCostChecklist[[#This Row],[TargetID]],tblTargets[TargetID],tblTargets[DisplayName],"")</f>
        <v>Laboratory Lv 1</v>
      </c>
      <c r="D296" s="41" t="str">
        <f>_xlfn.XLOOKUP(tblCostChecklist[[#This Row],[TargetID]],tblTargets[TargetID],tblTargets[TargetType],"")</f>
        <v>BUILDING</v>
      </c>
      <c r="E296" s="41" t="s">
        <v>664</v>
      </c>
      <c r="F296" s="41">
        <v>1</v>
      </c>
      <c r="G296" s="41">
        <f>_xlfn.XLOOKUP(
 tblCostChecklist[[#This Row],[RequirementID]],
 tblCost[RequirementID],
 tblCost[QuantityRequired],
 ""
)</f>
        <v>100</v>
      </c>
      <c r="H2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6" s="41" t="str">
        <f>_xlfn.XLOOKUP(tblCostChecklist[[#This Row],[TargetID]],tblTargetStatus[TargetID],tblTargetStatus[Status])</f>
        <v>BLOCKED</v>
      </c>
      <c r="J296" s="25" t="b">
        <v>0</v>
      </c>
    </row>
    <row r="297" spans="1:10">
      <c r="A297" s="41" t="s">
        <v>3945</v>
      </c>
      <c r="B297" s="41" t="str">
        <f>_xlfn.TEXTAFTER(
 _xlfn.TEXTBEFORE(tblCostChecklist[[#This Row],[RequirementID]],".",-2),
 "cost."
)</f>
        <v>building.laboratory@1</v>
      </c>
      <c r="C297" s="41" t="str">
        <f>_xlfn.XLOOKUP(tblCostChecklist[[#This Row],[TargetID]],tblTargets[TargetID],tblTargets[DisplayName],"")</f>
        <v>Laboratory Lv 1</v>
      </c>
      <c r="D297" s="41" t="str">
        <f>_xlfn.XLOOKUP(tblCostChecklist[[#This Row],[TargetID]],tblTargets[TargetID],tblTargets[TargetType],"")</f>
        <v>BUILDING</v>
      </c>
      <c r="E297" s="41" t="s">
        <v>686</v>
      </c>
      <c r="F297" s="41">
        <v>1</v>
      </c>
      <c r="G297" s="41">
        <f>_xlfn.XLOOKUP(
 tblCostChecklist[[#This Row],[RequirementID]],
 tblCost[RequirementID],
 tblCost[QuantityRequired],
 ""
)</f>
        <v>30</v>
      </c>
      <c r="H2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7" s="41" t="str">
        <f>_xlfn.XLOOKUP(tblCostChecklist[[#This Row],[TargetID]],tblTargetStatus[TargetID],tblTargetStatus[Status])</f>
        <v>BLOCKED</v>
      </c>
      <c r="J297" s="25" t="b">
        <v>0</v>
      </c>
    </row>
    <row r="298" spans="1:10">
      <c r="A298" s="41" t="s">
        <v>3946</v>
      </c>
      <c r="B298" s="41" t="str">
        <f>_xlfn.TEXTAFTER(
 _xlfn.TEXTBEFORE(tblCostChecklist[[#This Row],[RequirementID]],".",-2),
 "cost."
)</f>
        <v>building.laboratory@1</v>
      </c>
      <c r="C298" s="41" t="str">
        <f>_xlfn.XLOOKUP(tblCostChecklist[[#This Row],[TargetID]],tblTargets[TargetID],tblTargets[DisplayName],"")</f>
        <v>Laboratory Lv 1</v>
      </c>
      <c r="D298" s="41" t="str">
        <f>_xlfn.XLOOKUP(tblCostChecklist[[#This Row],[TargetID]],tblTargets[TargetID],tblTargets[TargetType],"")</f>
        <v>BUILDING</v>
      </c>
      <c r="E298" s="41" t="s">
        <v>662</v>
      </c>
      <c r="F298" s="41">
        <v>1</v>
      </c>
      <c r="G298" s="41">
        <f>_xlfn.XLOOKUP(
 tblCostChecklist[[#This Row],[RequirementID]],
 tblCost[RequirementID],
 tblCost[QuantityRequired],
 ""
)</f>
        <v>40</v>
      </c>
      <c r="H2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8" s="41" t="str">
        <f>_xlfn.XLOOKUP(tblCostChecklist[[#This Row],[TargetID]],tblTargetStatus[TargetID],tblTargetStatus[Status])</f>
        <v>BLOCKED</v>
      </c>
      <c r="J298" s="25" t="b">
        <v>0</v>
      </c>
    </row>
    <row r="299" spans="1:10">
      <c r="A299" s="41" t="s">
        <v>3947</v>
      </c>
      <c r="B299" s="41" t="str">
        <f>_xlfn.TEXTAFTER(
 _xlfn.TEXTBEFORE(tblCostChecklist[[#This Row],[RequirementID]],".",-2),
 "cost."
)</f>
        <v>building.laboratory@1</v>
      </c>
      <c r="C299" s="41" t="str">
        <f>_xlfn.XLOOKUP(tblCostChecklist[[#This Row],[TargetID]],tblTargets[TargetID],tblTargets[DisplayName],"")</f>
        <v>Laboratory Lv 1</v>
      </c>
      <c r="D299" s="41" t="str">
        <f>_xlfn.XLOOKUP(tblCostChecklist[[#This Row],[TargetID]],tblTargets[TargetID],tblTargets[TargetType],"")</f>
        <v>BUILDING</v>
      </c>
      <c r="E299" s="41" t="s">
        <v>685</v>
      </c>
      <c r="F299" s="41">
        <v>1</v>
      </c>
      <c r="G299" s="41">
        <f>_xlfn.XLOOKUP(
 tblCostChecklist[[#This Row],[RequirementID]],
 tblCost[RequirementID],
 tblCost[QuantityRequired],
 ""
)</f>
        <v>2</v>
      </c>
      <c r="H2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9" s="41" t="str">
        <f>_xlfn.XLOOKUP(tblCostChecklist[[#This Row],[TargetID]],tblTargetStatus[TargetID],tblTargetStatus[Status])</f>
        <v>BLOCKED</v>
      </c>
      <c r="J299" s="25" t="b">
        <v>0</v>
      </c>
    </row>
    <row r="300" spans="1:10">
      <c r="A300" s="41" t="s">
        <v>3948</v>
      </c>
      <c r="B300" s="41" t="str">
        <f>_xlfn.TEXTAFTER(
 _xlfn.TEXTBEFORE(tblCostChecklist[[#This Row],[RequirementID]],".",-2),
 "cost."
)</f>
        <v>building.laboratory@2</v>
      </c>
      <c r="C300" s="41" t="str">
        <f>_xlfn.XLOOKUP(tblCostChecklist[[#This Row],[TargetID]],tblTargets[TargetID],tblTargets[DisplayName],"")</f>
        <v>Laboratory Lv 2</v>
      </c>
      <c r="D300" s="41" t="str">
        <f>_xlfn.XLOOKUP(tblCostChecklist[[#This Row],[TargetID]],tblTargets[TargetID],tblTargets[TargetType],"")</f>
        <v>BUILDING</v>
      </c>
      <c r="E300" s="41" t="s">
        <v>708</v>
      </c>
      <c r="F300" s="41">
        <v>1</v>
      </c>
      <c r="G300" s="41">
        <f>_xlfn.XLOOKUP(
 tblCostChecklist[[#This Row],[RequirementID]],
 tblCost[RequirementID],
 tblCost[QuantityRequired],
 ""
)</f>
        <v>7</v>
      </c>
      <c r="H3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0" s="41" t="str">
        <f>_xlfn.XLOOKUP(tblCostChecklist[[#This Row],[TargetID]],tblTargetStatus[TargetID],tblTargetStatus[Status])</f>
        <v>BLOCKED</v>
      </c>
      <c r="J300" s="25" t="b">
        <v>0</v>
      </c>
    </row>
    <row r="301" spans="1:10">
      <c r="A301" s="41" t="s">
        <v>3949</v>
      </c>
      <c r="B301" s="41" t="str">
        <f>_xlfn.TEXTAFTER(
 _xlfn.TEXTBEFORE(tblCostChecklist[[#This Row],[RequirementID]],".",-2),
 "cost."
)</f>
        <v>building.laboratory@2</v>
      </c>
      <c r="C301" s="41" t="str">
        <f>_xlfn.XLOOKUP(tblCostChecklist[[#This Row],[TargetID]],tblTargets[TargetID],tblTargets[DisplayName],"")</f>
        <v>Laboratory Lv 2</v>
      </c>
      <c r="D301" s="41" t="str">
        <f>_xlfn.XLOOKUP(tblCostChecklist[[#This Row],[TargetID]],tblTargets[TargetID],tblTargets[TargetType],"")</f>
        <v>BUILDING</v>
      </c>
      <c r="E301" s="41" t="s">
        <v>666</v>
      </c>
      <c r="F301" s="41">
        <v>1</v>
      </c>
      <c r="G301" s="41">
        <f>_xlfn.XLOOKUP(
 tblCostChecklist[[#This Row],[RequirementID]],
 tblCost[RequirementID],
 tblCost[QuantityRequired],
 ""
)</f>
        <v>1000</v>
      </c>
      <c r="H3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1" s="41" t="str">
        <f>_xlfn.XLOOKUP(tblCostChecklist[[#This Row],[TargetID]],tblTargetStatus[TargetID],tblTargetStatus[Status])</f>
        <v>BLOCKED</v>
      </c>
      <c r="J301" s="25" t="b">
        <v>0</v>
      </c>
    </row>
    <row r="302" spans="1:10">
      <c r="A302" s="41" t="s">
        <v>3950</v>
      </c>
      <c r="B302" s="41" t="str">
        <f>_xlfn.TEXTAFTER(
 _xlfn.TEXTBEFORE(tblCostChecklist[[#This Row],[RequirementID]],".",-2),
 "cost."
)</f>
        <v>building.laboratory@2</v>
      </c>
      <c r="C302" s="41" t="str">
        <f>_xlfn.XLOOKUP(tblCostChecklist[[#This Row],[TargetID]],tblTargets[TargetID],tblTargets[DisplayName],"")</f>
        <v>Laboratory Lv 2</v>
      </c>
      <c r="D302" s="41" t="str">
        <f>_xlfn.XLOOKUP(tblCostChecklist[[#This Row],[TargetID]],tblTargets[TargetID],tblTargets[TargetType],"")</f>
        <v>BUILDING</v>
      </c>
      <c r="E302" s="41" t="s">
        <v>717</v>
      </c>
      <c r="F302" s="41">
        <v>1</v>
      </c>
      <c r="G302" s="41">
        <f>_xlfn.XLOOKUP(
 tblCostChecklist[[#This Row],[RequirementID]],
 tblCost[RequirementID],
 tblCost[QuantityRequired],
 ""
)</f>
        <v>600</v>
      </c>
      <c r="H3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2" s="41" t="str">
        <f>_xlfn.XLOOKUP(tblCostChecklist[[#This Row],[TargetID]],tblTargetStatus[TargetID],tblTargetStatus[Status])</f>
        <v>BLOCKED</v>
      </c>
      <c r="J302" s="25" t="b">
        <v>0</v>
      </c>
    </row>
    <row r="303" spans="1:10">
      <c r="A303" s="41" t="s">
        <v>3951</v>
      </c>
      <c r="B303" s="41" t="str">
        <f>_xlfn.TEXTAFTER(
 _xlfn.TEXTBEFORE(tblCostChecklist[[#This Row],[RequirementID]],".",-2),
 "cost."
)</f>
        <v>building.laboratory@2</v>
      </c>
      <c r="C303" s="41" t="str">
        <f>_xlfn.XLOOKUP(tblCostChecklist[[#This Row],[TargetID]],tblTargets[TargetID],tblTargets[DisplayName],"")</f>
        <v>Laboratory Lv 2</v>
      </c>
      <c r="D303" s="41" t="str">
        <f>_xlfn.XLOOKUP(tblCostChecklist[[#This Row],[TargetID]],tblTargets[TargetID],tblTargets[TargetType],"")</f>
        <v>BUILDING</v>
      </c>
      <c r="E303" s="41" t="s">
        <v>716</v>
      </c>
      <c r="F303" s="41">
        <v>1</v>
      </c>
      <c r="G303" s="41">
        <f>_xlfn.XLOOKUP(
 tblCostChecklist[[#This Row],[RequirementID]],
 tblCost[RequirementID],
 tblCost[QuantityRequired],
 ""
)</f>
        <v>400</v>
      </c>
      <c r="H3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3" s="41" t="str">
        <f>_xlfn.XLOOKUP(tblCostChecklist[[#This Row],[TargetID]],tblTargetStatus[TargetID],tblTargetStatus[Status])</f>
        <v>BLOCKED</v>
      </c>
      <c r="J303" s="25" t="b">
        <v>0</v>
      </c>
    </row>
    <row r="304" spans="1:10">
      <c r="A304" s="41" t="s">
        <v>3952</v>
      </c>
      <c r="B304" s="41" t="str">
        <f>_xlfn.TEXTAFTER(
 _xlfn.TEXTBEFORE(tblCostChecklist[[#This Row],[RequirementID]],".",-2),
 "cost."
)</f>
        <v>building.laboratory@2</v>
      </c>
      <c r="C304" s="41" t="str">
        <f>_xlfn.XLOOKUP(tblCostChecklist[[#This Row],[TargetID]],tblTargets[TargetID],tblTargets[DisplayName],"")</f>
        <v>Laboratory Lv 2</v>
      </c>
      <c r="D304" s="41" t="str">
        <f>_xlfn.XLOOKUP(tblCostChecklist[[#This Row],[TargetID]],tblTargets[TargetID],tblTargets[TargetType],"")</f>
        <v>BUILDING</v>
      </c>
      <c r="E304" s="41" t="s">
        <v>674</v>
      </c>
      <c r="F304" s="41">
        <v>1</v>
      </c>
      <c r="G304" s="41">
        <f>_xlfn.XLOOKUP(
 tblCostChecklist[[#This Row],[RequirementID]],
 tblCost[RequirementID],
 tblCost[QuantityRequired],
 ""
)</f>
        <v>70</v>
      </c>
      <c r="H3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4" s="41" t="str">
        <f>_xlfn.XLOOKUP(tblCostChecklist[[#This Row],[TargetID]],tblTargetStatus[TargetID],tblTargetStatus[Status])</f>
        <v>BLOCKED</v>
      </c>
      <c r="J304" s="25" t="b">
        <v>0</v>
      </c>
    </row>
    <row r="305" spans="1:10">
      <c r="A305" s="41" t="s">
        <v>3953</v>
      </c>
      <c r="B305" s="41" t="str">
        <f>_xlfn.TEXTAFTER(
 _xlfn.TEXTBEFORE(tblCostChecklist[[#This Row],[RequirementID]],".",-2),
 "cost."
)</f>
        <v>building.laboratory@2</v>
      </c>
      <c r="C305" s="41" t="str">
        <f>_xlfn.XLOOKUP(tblCostChecklist[[#This Row],[TargetID]],tblTargets[TargetID],tblTargets[DisplayName],"")</f>
        <v>Laboratory Lv 2</v>
      </c>
      <c r="D305" s="41" t="str">
        <f>_xlfn.XLOOKUP(tblCostChecklist[[#This Row],[TargetID]],tblTargets[TargetID],tblTargets[TargetType],"")</f>
        <v>BUILDING</v>
      </c>
      <c r="E305" s="41" t="s">
        <v>687</v>
      </c>
      <c r="F305" s="41">
        <v>1</v>
      </c>
      <c r="G305" s="41">
        <f>_xlfn.XLOOKUP(
 tblCostChecklist[[#This Row],[RequirementID]],
 tblCost[RequirementID],
 tblCost[QuantityRequired],
 ""
)</f>
        <v>30</v>
      </c>
      <c r="H3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5" s="41" t="str">
        <f>_xlfn.XLOOKUP(tblCostChecklist[[#This Row],[TargetID]],tblTargetStatus[TargetID],tblTargetStatus[Status])</f>
        <v>BLOCKED</v>
      </c>
      <c r="J305" s="25" t="b">
        <v>0</v>
      </c>
    </row>
    <row r="306" spans="1:10">
      <c r="A306" s="41" t="s">
        <v>3954</v>
      </c>
      <c r="B306" s="41" t="str">
        <f>_xlfn.TEXTAFTER(
 _xlfn.TEXTBEFORE(tblCostChecklist[[#This Row],[RequirementID]],".",-2),
 "cost."
)</f>
        <v>building.laboratory@2</v>
      </c>
      <c r="C306" s="41" t="str">
        <f>_xlfn.XLOOKUP(tblCostChecklist[[#This Row],[TargetID]],tblTargets[TargetID],tblTargets[DisplayName],"")</f>
        <v>Laboratory Lv 2</v>
      </c>
      <c r="D306" s="41" t="str">
        <f>_xlfn.XLOOKUP(tblCostChecklist[[#This Row],[TargetID]],tblTargets[TargetID],tblTargets[TargetType],"")</f>
        <v>BUILDING</v>
      </c>
      <c r="E306" s="41" t="s">
        <v>720</v>
      </c>
      <c r="F306" s="41">
        <v>1</v>
      </c>
      <c r="G306" s="41">
        <f>_xlfn.XLOOKUP(
 tblCostChecklist[[#This Row],[RequirementID]],
 tblCost[RequirementID],
 tblCost[QuantityRequired],
 ""
)</f>
        <v>20</v>
      </c>
      <c r="H3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6" s="41" t="str">
        <f>_xlfn.XLOOKUP(tblCostChecklist[[#This Row],[TargetID]],tblTargetStatus[TargetID],tblTargetStatus[Status])</f>
        <v>BLOCKED</v>
      </c>
      <c r="J306" s="25" t="b">
        <v>0</v>
      </c>
    </row>
    <row r="307" spans="1:10">
      <c r="A307" s="41" t="s">
        <v>3955</v>
      </c>
      <c r="B307" s="41" t="str">
        <f>_xlfn.TEXTAFTER(
 _xlfn.TEXTBEFORE(tblCostChecklist[[#This Row],[RequirementID]],".",-2),
 "cost."
)</f>
        <v>building.laboratory@2</v>
      </c>
      <c r="C307" s="41" t="str">
        <f>_xlfn.XLOOKUP(tblCostChecklist[[#This Row],[TargetID]],tblTargets[TargetID],tblTargets[DisplayName],"")</f>
        <v>Laboratory Lv 2</v>
      </c>
      <c r="D307" s="41" t="str">
        <f>_xlfn.XLOOKUP(tblCostChecklist[[#This Row],[TargetID]],tblTargets[TargetID],tblTargets[TargetType],"")</f>
        <v>BUILDING</v>
      </c>
      <c r="E307" s="41" t="s">
        <v>662</v>
      </c>
      <c r="F307" s="41">
        <v>1</v>
      </c>
      <c r="G307" s="41">
        <f>_xlfn.XLOOKUP(
 tblCostChecklist[[#This Row],[RequirementID]],
 tblCost[RequirementID],
 tblCost[QuantityRequired],
 ""
)</f>
        <v>40</v>
      </c>
      <c r="H3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7" s="41" t="str">
        <f>_xlfn.XLOOKUP(tblCostChecklist[[#This Row],[TargetID]],tblTargetStatus[TargetID],tblTargetStatus[Status])</f>
        <v>BLOCKED</v>
      </c>
      <c r="J307" s="25" t="b">
        <v>0</v>
      </c>
    </row>
    <row r="308" spans="1:10">
      <c r="A308" s="41" t="s">
        <v>3956</v>
      </c>
      <c r="B308" s="41" t="str">
        <f>_xlfn.TEXTAFTER(
 _xlfn.TEXTBEFORE(tblCostChecklist[[#This Row],[RequirementID]],".",-2),
 "cost."
)</f>
        <v>building.laboratory@2</v>
      </c>
      <c r="C308" s="41" t="str">
        <f>_xlfn.XLOOKUP(tblCostChecklist[[#This Row],[TargetID]],tblTargets[TargetID],tblTargets[DisplayName],"")</f>
        <v>Laboratory Lv 2</v>
      </c>
      <c r="D308" s="41" t="str">
        <f>_xlfn.XLOOKUP(tblCostChecklist[[#This Row],[TargetID]],tblTargets[TargetID],tblTargets[TargetType],"")</f>
        <v>BUILDING</v>
      </c>
      <c r="E308" s="41" t="s">
        <v>685</v>
      </c>
      <c r="F308" s="41">
        <v>1</v>
      </c>
      <c r="G308" s="41">
        <f>_xlfn.XLOOKUP(
 tblCostChecklist[[#This Row],[RequirementID]],
 tblCost[RequirementID],
 tblCost[QuantityRequired],
 ""
)</f>
        <v>2</v>
      </c>
      <c r="H3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8" s="41" t="str">
        <f>_xlfn.XLOOKUP(tblCostChecklist[[#This Row],[TargetID]],tblTargetStatus[TargetID],tblTargetStatus[Status])</f>
        <v>BLOCKED</v>
      </c>
      <c r="J308" s="25" t="b">
        <v>0</v>
      </c>
    </row>
    <row r="309" spans="1:10">
      <c r="A309" s="41" t="s">
        <v>3957</v>
      </c>
      <c r="B309" s="41" t="str">
        <f>_xlfn.TEXTAFTER(
 _xlfn.TEXTBEFORE(tblCostChecklist[[#This Row],[RequirementID]],".",-2),
 "cost."
)</f>
        <v>building.laboratory@3</v>
      </c>
      <c r="C309" s="41" t="str">
        <f>_xlfn.XLOOKUP(tblCostChecklist[[#This Row],[TargetID]],tblTargets[TargetID],tblTargets[DisplayName],"")</f>
        <v>Laboratory Lv 3</v>
      </c>
      <c r="D309" s="41" t="str">
        <f>_xlfn.XLOOKUP(tblCostChecklist[[#This Row],[TargetID]],tblTargets[TargetID],tblTargets[TargetType],"")</f>
        <v>BUILDING</v>
      </c>
      <c r="E309" s="41" t="s">
        <v>708</v>
      </c>
      <c r="F309" s="41">
        <v>1</v>
      </c>
      <c r="G309" s="41">
        <f>_xlfn.XLOOKUP(
 tblCostChecklist[[#This Row],[RequirementID]],
 tblCost[RequirementID],
 tblCost[QuantityRequired],
 ""
)</f>
        <v>8</v>
      </c>
      <c r="H3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09" s="41" t="str">
        <f>_xlfn.XLOOKUP(tblCostChecklist[[#This Row],[TargetID]],tblTargetStatus[TargetID],tblTargetStatus[Status])</f>
        <v>BLOCKED</v>
      </c>
      <c r="J309" s="25" t="b">
        <v>0</v>
      </c>
    </row>
    <row r="310" spans="1:10">
      <c r="A310" s="41" t="s">
        <v>3958</v>
      </c>
      <c r="B310" s="41" t="str">
        <f>_xlfn.TEXTAFTER(
 _xlfn.TEXTBEFORE(tblCostChecklist[[#This Row],[RequirementID]],".",-2),
 "cost."
)</f>
        <v>building.laboratory@3</v>
      </c>
      <c r="C310" s="41" t="str">
        <f>_xlfn.XLOOKUP(tblCostChecklist[[#This Row],[TargetID]],tblTargets[TargetID],tblTargets[DisplayName],"")</f>
        <v>Laboratory Lv 3</v>
      </c>
      <c r="D310" s="41" t="str">
        <f>_xlfn.XLOOKUP(tblCostChecklist[[#This Row],[TargetID]],tblTargets[TargetID],tblTargets[TargetType],"")</f>
        <v>BUILDING</v>
      </c>
      <c r="E310" s="41" t="s">
        <v>666</v>
      </c>
      <c r="F310" s="41">
        <v>1</v>
      </c>
      <c r="G310" s="41">
        <f>_xlfn.XLOOKUP(
 tblCostChecklist[[#This Row],[RequirementID]],
 tblCost[RequirementID],
 tblCost[QuantityRequired],
 ""
)</f>
        <v>1500</v>
      </c>
      <c r="H3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0" s="41" t="str">
        <f>_xlfn.XLOOKUP(tblCostChecklist[[#This Row],[TargetID]],tblTargetStatus[TargetID],tblTargetStatus[Status])</f>
        <v>BLOCKED</v>
      </c>
      <c r="J310" s="25" t="b">
        <v>0</v>
      </c>
    </row>
    <row r="311" spans="1:10">
      <c r="A311" s="41" t="s">
        <v>3959</v>
      </c>
      <c r="B311" s="41" t="str">
        <f>_xlfn.TEXTAFTER(
 _xlfn.TEXTBEFORE(tblCostChecklist[[#This Row],[RequirementID]],".",-2),
 "cost."
)</f>
        <v>building.laboratory@3</v>
      </c>
      <c r="C311" s="41" t="str">
        <f>_xlfn.XLOOKUP(tblCostChecklist[[#This Row],[TargetID]],tblTargets[TargetID],tblTargets[DisplayName],"")</f>
        <v>Laboratory Lv 3</v>
      </c>
      <c r="D311" s="41" t="str">
        <f>_xlfn.XLOOKUP(tblCostChecklist[[#This Row],[TargetID]],tblTargets[TargetID],tblTargets[TargetType],"")</f>
        <v>BUILDING</v>
      </c>
      <c r="E311" s="41" t="s">
        <v>717</v>
      </c>
      <c r="F311" s="41">
        <v>1</v>
      </c>
      <c r="G311" s="41">
        <f>_xlfn.XLOOKUP(
 tblCostChecklist[[#This Row],[RequirementID]],
 tblCost[RequirementID],
 tblCost[QuantityRequired],
 ""
)</f>
        <v>600</v>
      </c>
      <c r="H3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1" s="41" t="str">
        <f>_xlfn.XLOOKUP(tblCostChecklist[[#This Row],[TargetID]],tblTargetStatus[TargetID],tblTargetStatus[Status])</f>
        <v>BLOCKED</v>
      </c>
      <c r="J311" s="25" t="b">
        <v>0</v>
      </c>
    </row>
    <row r="312" spans="1:10">
      <c r="A312" s="41" t="s">
        <v>3960</v>
      </c>
      <c r="B312" s="41" t="str">
        <f>_xlfn.TEXTAFTER(
 _xlfn.TEXTBEFORE(tblCostChecklist[[#This Row],[RequirementID]],".",-2),
 "cost."
)</f>
        <v>building.laboratory@3</v>
      </c>
      <c r="C312" s="41" t="str">
        <f>_xlfn.XLOOKUP(tblCostChecklist[[#This Row],[TargetID]],tblTargets[TargetID],tblTargets[DisplayName],"")</f>
        <v>Laboratory Lv 3</v>
      </c>
      <c r="D312" s="41" t="str">
        <f>_xlfn.XLOOKUP(tblCostChecklist[[#This Row],[TargetID]],tblTargets[TargetID],tblTargets[TargetType],"")</f>
        <v>BUILDING</v>
      </c>
      <c r="E312" s="41" t="s">
        <v>716</v>
      </c>
      <c r="F312" s="41">
        <v>1</v>
      </c>
      <c r="G312" s="41">
        <f>_xlfn.XLOOKUP(
 tblCostChecklist[[#This Row],[RequirementID]],
 tblCost[RequirementID],
 tblCost[QuantityRequired],
 ""
)</f>
        <v>400</v>
      </c>
      <c r="H3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2" s="41" t="str">
        <f>_xlfn.XLOOKUP(tblCostChecklist[[#This Row],[TargetID]],tblTargetStatus[TargetID],tblTargetStatus[Status])</f>
        <v>BLOCKED</v>
      </c>
      <c r="J312" s="25" t="b">
        <v>0</v>
      </c>
    </row>
    <row r="313" spans="1:10">
      <c r="A313" s="41" t="s">
        <v>3961</v>
      </c>
      <c r="B313" s="41" t="str">
        <f>_xlfn.TEXTAFTER(
 _xlfn.TEXTBEFORE(tblCostChecklist[[#This Row],[RequirementID]],".",-2),
 "cost."
)</f>
        <v>building.laboratory@3</v>
      </c>
      <c r="C313" s="41" t="str">
        <f>_xlfn.XLOOKUP(tblCostChecklist[[#This Row],[TargetID]],tblTargets[TargetID],tblTargets[DisplayName],"")</f>
        <v>Laboratory Lv 3</v>
      </c>
      <c r="D313" s="41" t="str">
        <f>_xlfn.XLOOKUP(tblCostChecklist[[#This Row],[TargetID]],tblTargets[TargetID],tblTargets[TargetType],"")</f>
        <v>BUILDING</v>
      </c>
      <c r="E313" s="41" t="s">
        <v>674</v>
      </c>
      <c r="F313" s="41">
        <v>1</v>
      </c>
      <c r="G313" s="41">
        <f>_xlfn.XLOOKUP(
 tblCostChecklist[[#This Row],[RequirementID]],
 tblCost[RequirementID],
 tblCost[QuantityRequired],
 ""
)</f>
        <v>100</v>
      </c>
      <c r="H3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3" s="41" t="str">
        <f>_xlfn.XLOOKUP(tblCostChecklist[[#This Row],[TargetID]],tblTargetStatus[TargetID],tblTargetStatus[Status])</f>
        <v>BLOCKED</v>
      </c>
      <c r="J313" s="25" t="b">
        <v>0</v>
      </c>
    </row>
    <row r="314" spans="1:10">
      <c r="A314" s="41" t="s">
        <v>3962</v>
      </c>
      <c r="B314" s="41" t="str">
        <f>_xlfn.TEXTAFTER(
 _xlfn.TEXTBEFORE(tblCostChecklist[[#This Row],[RequirementID]],".",-2),
 "cost."
)</f>
        <v>building.laboratory@3</v>
      </c>
      <c r="C314" s="41" t="str">
        <f>_xlfn.XLOOKUP(tblCostChecklist[[#This Row],[TargetID]],tblTargets[TargetID],tblTargets[DisplayName],"")</f>
        <v>Laboratory Lv 3</v>
      </c>
      <c r="D314" s="41" t="str">
        <f>_xlfn.XLOOKUP(tblCostChecklist[[#This Row],[TargetID]],tblTargets[TargetID],tblTargets[TargetType],"")</f>
        <v>BUILDING</v>
      </c>
      <c r="E314" s="41" t="s">
        <v>661</v>
      </c>
      <c r="F314" s="41">
        <v>1</v>
      </c>
      <c r="G314" s="41">
        <f>_xlfn.XLOOKUP(
 tblCostChecklist[[#This Row],[RequirementID]],
 tblCost[RequirementID],
 tblCost[QuantityRequired],
 ""
)</f>
        <v>20</v>
      </c>
      <c r="H3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4" s="41" t="str">
        <f>_xlfn.XLOOKUP(tblCostChecklist[[#This Row],[TargetID]],tblTargetStatus[TargetID],tblTargetStatus[Status])</f>
        <v>BLOCKED</v>
      </c>
      <c r="J314" s="25" t="b">
        <v>0</v>
      </c>
    </row>
    <row r="315" spans="1:10">
      <c r="A315" s="41" t="s">
        <v>3963</v>
      </c>
      <c r="B315" s="41" t="str">
        <f>_xlfn.TEXTAFTER(
 _xlfn.TEXTBEFORE(tblCostChecklist[[#This Row],[RequirementID]],".",-2),
 "cost."
)</f>
        <v>building.laboratory@3</v>
      </c>
      <c r="C315" s="41" t="str">
        <f>_xlfn.XLOOKUP(tblCostChecklist[[#This Row],[TargetID]],tblTargets[TargetID],tblTargets[DisplayName],"")</f>
        <v>Laboratory Lv 3</v>
      </c>
      <c r="D315" s="41" t="str">
        <f>_xlfn.XLOOKUP(tblCostChecklist[[#This Row],[TargetID]],tblTargets[TargetID],tblTargets[TargetType],"")</f>
        <v>BUILDING</v>
      </c>
      <c r="E315" s="41" t="s">
        <v>698</v>
      </c>
      <c r="F315" s="41">
        <v>1</v>
      </c>
      <c r="G315" s="41">
        <f>_xlfn.XLOOKUP(
 tblCostChecklist[[#This Row],[RequirementID]],
 tblCost[RequirementID],
 tblCost[QuantityRequired],
 ""
)</f>
        <v>20</v>
      </c>
      <c r="H3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5" s="41" t="str">
        <f>_xlfn.XLOOKUP(tblCostChecklist[[#This Row],[TargetID]],tblTargetStatus[TargetID],tblTargetStatus[Status])</f>
        <v>BLOCKED</v>
      </c>
      <c r="J315" s="25" t="b">
        <v>0</v>
      </c>
    </row>
    <row r="316" spans="1:10">
      <c r="A316" s="41" t="s">
        <v>3964</v>
      </c>
      <c r="B316" s="41" t="str">
        <f>_xlfn.TEXTAFTER(
 _xlfn.TEXTBEFORE(tblCostChecklist[[#This Row],[RequirementID]],".",-2),
 "cost."
)</f>
        <v>building.laboratory@3</v>
      </c>
      <c r="C316" s="41" t="str">
        <f>_xlfn.XLOOKUP(tblCostChecklist[[#This Row],[TargetID]],tblTargets[TargetID],tblTargets[DisplayName],"")</f>
        <v>Laboratory Lv 3</v>
      </c>
      <c r="D316" s="41" t="str">
        <f>_xlfn.XLOOKUP(tblCostChecklist[[#This Row],[TargetID]],tblTargets[TargetID],tblTargets[TargetType],"")</f>
        <v>BUILDING</v>
      </c>
      <c r="E316" s="41" t="s">
        <v>662</v>
      </c>
      <c r="F316" s="41">
        <v>1</v>
      </c>
      <c r="G316" s="41">
        <f>_xlfn.XLOOKUP(
 tblCostChecklist[[#This Row],[RequirementID]],
 tblCost[RequirementID],
 tblCost[QuantityRequired],
 ""
)</f>
        <v>40</v>
      </c>
      <c r="H3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6" s="41" t="str">
        <f>_xlfn.XLOOKUP(tblCostChecklist[[#This Row],[TargetID]],tblTargetStatus[TargetID],tblTargetStatus[Status])</f>
        <v>BLOCKED</v>
      </c>
      <c r="J316" s="25" t="b">
        <v>0</v>
      </c>
    </row>
    <row r="317" spans="1:10">
      <c r="A317" s="41" t="s">
        <v>3965</v>
      </c>
      <c r="B317" s="41" t="str">
        <f>_xlfn.TEXTAFTER(
 _xlfn.TEXTBEFORE(tblCostChecklist[[#This Row],[RequirementID]],".",-2),
 "cost."
)</f>
        <v>building.laboratory@3</v>
      </c>
      <c r="C317" s="41" t="str">
        <f>_xlfn.XLOOKUP(tblCostChecklist[[#This Row],[TargetID]],tblTargets[TargetID],tblTargets[DisplayName],"")</f>
        <v>Laboratory Lv 3</v>
      </c>
      <c r="D317" s="41" t="str">
        <f>_xlfn.XLOOKUP(tblCostChecklist[[#This Row],[TargetID]],tblTargets[TargetID],tblTargets[TargetType],"")</f>
        <v>BUILDING</v>
      </c>
      <c r="E317" s="41" t="s">
        <v>685</v>
      </c>
      <c r="F317" s="41">
        <v>1</v>
      </c>
      <c r="G317" s="41">
        <f>_xlfn.XLOOKUP(
 tblCostChecklist[[#This Row],[RequirementID]],
 tblCost[RequirementID],
 tblCost[QuantityRequired],
 ""
)</f>
        <v>2</v>
      </c>
      <c r="H3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7" s="41" t="str">
        <f>_xlfn.XLOOKUP(tblCostChecklist[[#This Row],[TargetID]],tblTargetStatus[TargetID],tblTargetStatus[Status])</f>
        <v>BLOCKED</v>
      </c>
      <c r="J317" s="25" t="b">
        <v>0</v>
      </c>
    </row>
    <row r="318" spans="1:10">
      <c r="A318" s="41" t="s">
        <v>3966</v>
      </c>
      <c r="B318" s="41" t="str">
        <f>_xlfn.TEXTAFTER(
 _xlfn.TEXTBEFORE(tblCostChecklist[[#This Row],[RequirementID]],".",-2),
 "cost."
)</f>
        <v>building.laboratory@4</v>
      </c>
      <c r="C318" s="41" t="str">
        <f>_xlfn.XLOOKUP(tblCostChecklist[[#This Row],[TargetID]],tblTargets[TargetID],tblTargets[DisplayName],"")</f>
        <v>Laboratory Lv 4</v>
      </c>
      <c r="D318" s="41" t="str">
        <f>_xlfn.XLOOKUP(tblCostChecklist[[#This Row],[TargetID]],tblTargets[TargetID],tblTargets[TargetType],"")</f>
        <v>BUILDING</v>
      </c>
      <c r="E318" s="41" t="s">
        <v>708</v>
      </c>
      <c r="F318" s="41">
        <v>1</v>
      </c>
      <c r="G318" s="41">
        <f>_xlfn.XLOOKUP(
 tblCostChecklist[[#This Row],[RequirementID]],
 tblCost[RequirementID],
 tblCost[QuantityRequired],
 ""
)</f>
        <v>9</v>
      </c>
      <c r="H3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18" s="41" t="str">
        <f>_xlfn.XLOOKUP(tblCostChecklist[[#This Row],[TargetID]],tblTargetStatus[TargetID],tblTargetStatus[Status])</f>
        <v>BLOCKED</v>
      </c>
      <c r="J318" s="25" t="b">
        <v>0</v>
      </c>
    </row>
    <row r="319" spans="1:10">
      <c r="A319" s="41" t="s">
        <v>3967</v>
      </c>
      <c r="B319" s="41" t="str">
        <f>_xlfn.TEXTAFTER(
 _xlfn.TEXTBEFORE(tblCostChecklist[[#This Row],[RequirementID]],".",-2),
 "cost."
)</f>
        <v>building.laboratory@4</v>
      </c>
      <c r="C319" s="41" t="str">
        <f>_xlfn.XLOOKUP(tblCostChecklist[[#This Row],[TargetID]],tblTargets[TargetID],tblTargets[DisplayName],"")</f>
        <v>Laboratory Lv 4</v>
      </c>
      <c r="D319" s="41" t="str">
        <f>_xlfn.XLOOKUP(tblCostChecklist[[#This Row],[TargetID]],tblTargets[TargetID],tblTargets[TargetType],"")</f>
        <v>BUILDING</v>
      </c>
      <c r="E319" s="41" t="s">
        <v>666</v>
      </c>
      <c r="F319" s="41">
        <v>1</v>
      </c>
      <c r="G319" s="41">
        <f>_xlfn.XLOOKUP(
 tblCostChecklist[[#This Row],[RequirementID]],
 tblCost[RequirementID],
 tblCost[QuantityRequired],
 ""
)</f>
        <v>2000</v>
      </c>
      <c r="H3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19" s="41" t="str">
        <f>_xlfn.XLOOKUP(tblCostChecklist[[#This Row],[TargetID]],tblTargetStatus[TargetID],tblTargetStatus[Status])</f>
        <v>BLOCKED</v>
      </c>
      <c r="J319" s="25" t="b">
        <v>0</v>
      </c>
    </row>
    <row r="320" spans="1:10">
      <c r="A320" s="41" t="s">
        <v>3968</v>
      </c>
      <c r="B320" s="41" t="str">
        <f>_xlfn.TEXTAFTER(
 _xlfn.TEXTBEFORE(tblCostChecklist[[#This Row],[RequirementID]],".",-2),
 "cost."
)</f>
        <v>building.laboratory@4</v>
      </c>
      <c r="C320" s="41" t="str">
        <f>_xlfn.XLOOKUP(tblCostChecklist[[#This Row],[TargetID]],tblTargets[TargetID],tblTargets[DisplayName],"")</f>
        <v>Laboratory Lv 4</v>
      </c>
      <c r="D320" s="41" t="str">
        <f>_xlfn.XLOOKUP(tblCostChecklist[[#This Row],[TargetID]],tblTargets[TargetID],tblTargets[TargetType],"")</f>
        <v>BUILDING</v>
      </c>
      <c r="E320" s="41" t="s">
        <v>717</v>
      </c>
      <c r="F320" s="41">
        <v>1</v>
      </c>
      <c r="G320" s="41">
        <f>_xlfn.XLOOKUP(
 tblCostChecklist[[#This Row],[RequirementID]],
 tblCost[RequirementID],
 tblCost[QuantityRequired],
 ""
)</f>
        <v>600</v>
      </c>
      <c r="H3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0" s="41" t="str">
        <f>_xlfn.XLOOKUP(tblCostChecklist[[#This Row],[TargetID]],tblTargetStatus[TargetID],tblTargetStatus[Status])</f>
        <v>BLOCKED</v>
      </c>
      <c r="J320" s="25" t="b">
        <v>0</v>
      </c>
    </row>
    <row r="321" spans="1:10">
      <c r="A321" s="41" t="s">
        <v>3969</v>
      </c>
      <c r="B321" s="41" t="str">
        <f>_xlfn.TEXTAFTER(
 _xlfn.TEXTBEFORE(tblCostChecklist[[#This Row],[RequirementID]],".",-2),
 "cost."
)</f>
        <v>building.laboratory@4</v>
      </c>
      <c r="C321" s="41" t="str">
        <f>_xlfn.XLOOKUP(tblCostChecklist[[#This Row],[TargetID]],tblTargets[TargetID],tblTargets[DisplayName],"")</f>
        <v>Laboratory Lv 4</v>
      </c>
      <c r="D321" s="41" t="str">
        <f>_xlfn.XLOOKUP(tblCostChecklist[[#This Row],[TargetID]],tblTargets[TargetID],tblTargets[TargetType],"")</f>
        <v>BUILDING</v>
      </c>
      <c r="E321" s="41" t="s">
        <v>716</v>
      </c>
      <c r="F321" s="41">
        <v>1</v>
      </c>
      <c r="G321" s="41">
        <f>_xlfn.XLOOKUP(
 tblCostChecklist[[#This Row],[RequirementID]],
 tblCost[RequirementID],
 tblCost[QuantityRequired],
 ""
)</f>
        <v>400</v>
      </c>
      <c r="H3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1" s="41" t="str">
        <f>_xlfn.XLOOKUP(tblCostChecklist[[#This Row],[TargetID]],tblTargetStatus[TargetID],tblTargetStatus[Status])</f>
        <v>BLOCKED</v>
      </c>
      <c r="J321" s="25" t="b">
        <v>0</v>
      </c>
    </row>
    <row r="322" spans="1:10">
      <c r="A322" s="41" t="s">
        <v>3970</v>
      </c>
      <c r="B322" s="41" t="str">
        <f>_xlfn.TEXTAFTER(
 _xlfn.TEXTBEFORE(tblCostChecklist[[#This Row],[RequirementID]],".",-2),
 "cost."
)</f>
        <v>building.laboratory@4</v>
      </c>
      <c r="C322" s="41" t="str">
        <f>_xlfn.XLOOKUP(tblCostChecklist[[#This Row],[TargetID]],tblTargets[TargetID],tblTargets[DisplayName],"")</f>
        <v>Laboratory Lv 4</v>
      </c>
      <c r="D322" s="41" t="str">
        <f>_xlfn.XLOOKUP(tblCostChecklist[[#This Row],[TargetID]],tblTargets[TargetID],tblTargets[TargetType],"")</f>
        <v>BUILDING</v>
      </c>
      <c r="E322" s="41" t="s">
        <v>706</v>
      </c>
      <c r="F322" s="41">
        <v>1</v>
      </c>
      <c r="G322" s="41">
        <f>_xlfn.XLOOKUP(
 tblCostChecklist[[#This Row],[RequirementID]],
 tblCost[RequirementID],
 tblCost[QuantityRequired],
 ""
)</f>
        <v>20</v>
      </c>
      <c r="H3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2" s="41" t="str">
        <f>_xlfn.XLOOKUP(tblCostChecklist[[#This Row],[TargetID]],tblTargetStatus[TargetID],tblTargetStatus[Status])</f>
        <v>BLOCKED</v>
      </c>
      <c r="J322" s="25" t="b">
        <v>0</v>
      </c>
    </row>
    <row r="323" spans="1:10">
      <c r="A323" s="41" t="s">
        <v>3971</v>
      </c>
      <c r="B323" s="41" t="str">
        <f>_xlfn.TEXTAFTER(
 _xlfn.TEXTBEFORE(tblCostChecklist[[#This Row],[RequirementID]],".",-2),
 "cost."
)</f>
        <v>building.laboratory@4</v>
      </c>
      <c r="C323" s="41" t="str">
        <f>_xlfn.XLOOKUP(tblCostChecklist[[#This Row],[TargetID]],tblTargets[TargetID],tblTargets[DisplayName],"")</f>
        <v>Laboratory Lv 4</v>
      </c>
      <c r="D323" s="41" t="str">
        <f>_xlfn.XLOOKUP(tblCostChecklist[[#This Row],[TargetID]],tblTargets[TargetID],tblTargets[TargetType],"")</f>
        <v>BUILDING</v>
      </c>
      <c r="E323" s="41" t="s">
        <v>676</v>
      </c>
      <c r="F323" s="41">
        <v>1</v>
      </c>
      <c r="G323" s="41">
        <f>_xlfn.XLOOKUP(
 tblCostChecklist[[#This Row],[RequirementID]],
 tblCost[RequirementID],
 tblCost[QuantityRequired],
 ""
)</f>
        <v>20</v>
      </c>
      <c r="H3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3" s="41" t="str">
        <f>_xlfn.XLOOKUP(tblCostChecklist[[#This Row],[TargetID]],tblTargetStatus[TargetID],tblTargetStatus[Status])</f>
        <v>BLOCKED</v>
      </c>
      <c r="J323" s="25" t="b">
        <v>0</v>
      </c>
    </row>
    <row r="324" spans="1:10">
      <c r="A324" s="41" t="s">
        <v>3972</v>
      </c>
      <c r="B324" s="41" t="str">
        <f>_xlfn.TEXTAFTER(
 _xlfn.TEXTBEFORE(tblCostChecklist[[#This Row],[RequirementID]],".",-2),
 "cost."
)</f>
        <v>building.laboratory@4</v>
      </c>
      <c r="C324" s="41" t="str">
        <f>_xlfn.XLOOKUP(tblCostChecklist[[#This Row],[TargetID]],tblTargets[TargetID],tblTargets[DisplayName],"")</f>
        <v>Laboratory Lv 4</v>
      </c>
      <c r="D324" s="41" t="str">
        <f>_xlfn.XLOOKUP(tblCostChecklist[[#This Row],[TargetID]],tblTargets[TargetID],tblTargets[TargetType],"")</f>
        <v>BUILDING</v>
      </c>
      <c r="E324" s="41" t="s">
        <v>698</v>
      </c>
      <c r="F324" s="41">
        <v>1</v>
      </c>
      <c r="G324" s="41">
        <f>_xlfn.XLOOKUP(
 tblCostChecklist[[#This Row],[RequirementID]],
 tblCost[RequirementID],
 tblCost[QuantityRequired],
 ""
)</f>
        <v>30</v>
      </c>
      <c r="H3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4" s="41" t="str">
        <f>_xlfn.XLOOKUP(tblCostChecklist[[#This Row],[TargetID]],tblTargetStatus[TargetID],tblTargetStatus[Status])</f>
        <v>BLOCKED</v>
      </c>
      <c r="J324" s="25" t="b">
        <v>0</v>
      </c>
    </row>
    <row r="325" spans="1:10">
      <c r="A325" s="41" t="s">
        <v>3973</v>
      </c>
      <c r="B325" s="41" t="str">
        <f>_xlfn.TEXTAFTER(
 _xlfn.TEXTBEFORE(tblCostChecklist[[#This Row],[RequirementID]],".",-2),
 "cost."
)</f>
        <v>building.laboratory@4</v>
      </c>
      <c r="C325" s="41" t="str">
        <f>_xlfn.XLOOKUP(tblCostChecklist[[#This Row],[TargetID]],tblTargets[TargetID],tblTargets[DisplayName],"")</f>
        <v>Laboratory Lv 4</v>
      </c>
      <c r="D325" s="41" t="str">
        <f>_xlfn.XLOOKUP(tblCostChecklist[[#This Row],[TargetID]],tblTargets[TargetID],tblTargets[TargetType],"")</f>
        <v>BUILDING</v>
      </c>
      <c r="E325" s="41" t="s">
        <v>662</v>
      </c>
      <c r="F325" s="41">
        <v>1</v>
      </c>
      <c r="G325" s="41">
        <f>_xlfn.XLOOKUP(
 tblCostChecklist[[#This Row],[RequirementID]],
 tblCost[RequirementID],
 tblCost[QuantityRequired],
 ""
)</f>
        <v>40</v>
      </c>
      <c r="H3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5" s="41" t="str">
        <f>_xlfn.XLOOKUP(tblCostChecklist[[#This Row],[TargetID]],tblTargetStatus[TargetID],tblTargetStatus[Status])</f>
        <v>BLOCKED</v>
      </c>
      <c r="J325" s="25" t="b">
        <v>0</v>
      </c>
    </row>
    <row r="326" spans="1:10">
      <c r="A326" s="41" t="s">
        <v>3974</v>
      </c>
      <c r="B326" s="41" t="str">
        <f>_xlfn.TEXTAFTER(
 _xlfn.TEXTBEFORE(tblCostChecklist[[#This Row],[RequirementID]],".",-2),
 "cost."
)</f>
        <v>building.laboratory@4</v>
      </c>
      <c r="C326" s="41" t="str">
        <f>_xlfn.XLOOKUP(tblCostChecklist[[#This Row],[TargetID]],tblTargets[TargetID],tblTargets[DisplayName],"")</f>
        <v>Laboratory Lv 4</v>
      </c>
      <c r="D326" s="41" t="str">
        <f>_xlfn.XLOOKUP(tblCostChecklist[[#This Row],[TargetID]],tblTargets[TargetID],tblTargets[TargetType],"")</f>
        <v>BUILDING</v>
      </c>
      <c r="E326" s="41" t="s">
        <v>685</v>
      </c>
      <c r="F326" s="41">
        <v>1</v>
      </c>
      <c r="G326" s="41">
        <f>_xlfn.XLOOKUP(
 tblCostChecklist[[#This Row],[RequirementID]],
 tblCost[RequirementID],
 tblCost[QuantityRequired],
 ""
)</f>
        <v>1</v>
      </c>
      <c r="H3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6" s="41" t="str">
        <f>_xlfn.XLOOKUP(tblCostChecklist[[#This Row],[TargetID]],tblTargetStatus[TargetID],tblTargetStatus[Status])</f>
        <v>BLOCKED</v>
      </c>
      <c r="J326" s="25" t="b">
        <v>0</v>
      </c>
    </row>
    <row r="327" spans="1:10">
      <c r="A327" s="41" t="s">
        <v>3975</v>
      </c>
      <c r="B327" s="41" t="str">
        <f>_xlfn.TEXTAFTER(
 _xlfn.TEXTBEFORE(tblCostChecklist[[#This Row],[RequirementID]],".",-2),
 "cost."
)</f>
        <v>building.laboratory@5</v>
      </c>
      <c r="C327" s="41" t="str">
        <f>_xlfn.XLOOKUP(tblCostChecklist[[#This Row],[TargetID]],tblTargets[TargetID],tblTargets[DisplayName],"")</f>
        <v>Laboratory Lv 5</v>
      </c>
      <c r="D327" s="41" t="str">
        <f>_xlfn.XLOOKUP(tblCostChecklist[[#This Row],[TargetID]],tblTargets[TargetID],tblTargets[TargetType],"")</f>
        <v>BUILDING</v>
      </c>
      <c r="E327" s="41" t="s">
        <v>708</v>
      </c>
      <c r="F327" s="41">
        <v>1</v>
      </c>
      <c r="G327" s="41">
        <f>_xlfn.XLOOKUP(
 tblCostChecklist[[#This Row],[RequirementID]],
 tblCost[RequirementID],
 tblCost[QuantityRequired],
 ""
)</f>
        <v>10</v>
      </c>
      <c r="H3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27" s="41" t="str">
        <f>_xlfn.XLOOKUP(tblCostChecklist[[#This Row],[TargetID]],tblTargetStatus[TargetID],tblTargetStatus[Status])</f>
        <v>BLOCKED</v>
      </c>
      <c r="J327" s="25" t="b">
        <v>0</v>
      </c>
    </row>
    <row r="328" spans="1:10">
      <c r="A328" s="41" t="s">
        <v>3976</v>
      </c>
      <c r="B328" s="41" t="str">
        <f>_xlfn.TEXTAFTER(
 _xlfn.TEXTBEFORE(tblCostChecklist[[#This Row],[RequirementID]],".",-2),
 "cost."
)</f>
        <v>building.laboratory@5</v>
      </c>
      <c r="C328" s="41" t="str">
        <f>_xlfn.XLOOKUP(tblCostChecklist[[#This Row],[TargetID]],tblTargets[TargetID],tblTargets[DisplayName],"")</f>
        <v>Laboratory Lv 5</v>
      </c>
      <c r="D328" s="41" t="str">
        <f>_xlfn.XLOOKUP(tblCostChecklist[[#This Row],[TargetID]],tblTargets[TargetID],tblTargets[TargetType],"")</f>
        <v>BUILDING</v>
      </c>
      <c r="E328" s="41" t="s">
        <v>666</v>
      </c>
      <c r="F328" s="41">
        <v>1</v>
      </c>
      <c r="G328" s="41">
        <f>_xlfn.XLOOKUP(
 tblCostChecklist[[#This Row],[RequirementID]],
 tblCost[RequirementID],
 tblCost[QuantityRequired],
 ""
)</f>
        <v>2000</v>
      </c>
      <c r="H3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28" s="41" t="str">
        <f>_xlfn.XLOOKUP(tblCostChecklist[[#This Row],[TargetID]],tblTargetStatus[TargetID],tblTargetStatus[Status])</f>
        <v>BLOCKED</v>
      </c>
      <c r="J328" s="25" t="b">
        <v>0</v>
      </c>
    </row>
    <row r="329" spans="1:10">
      <c r="A329" s="41" t="s">
        <v>3977</v>
      </c>
      <c r="B329" s="41" t="str">
        <f>_xlfn.TEXTAFTER(
 _xlfn.TEXTBEFORE(tblCostChecklist[[#This Row],[RequirementID]],".",-2),
 "cost."
)</f>
        <v>building.laboratory@5</v>
      </c>
      <c r="C329" s="41" t="str">
        <f>_xlfn.XLOOKUP(tblCostChecklist[[#This Row],[TargetID]],tblTargets[TargetID],tblTargets[DisplayName],"")</f>
        <v>Laboratory Lv 5</v>
      </c>
      <c r="D329" s="41" t="str">
        <f>_xlfn.XLOOKUP(tblCostChecklist[[#This Row],[TargetID]],tblTargets[TargetID],tblTargets[TargetType],"")</f>
        <v>BUILDING</v>
      </c>
      <c r="E329" s="41" t="s">
        <v>717</v>
      </c>
      <c r="F329" s="41">
        <v>1</v>
      </c>
      <c r="G329" s="41">
        <f>_xlfn.XLOOKUP(
 tblCostChecklist[[#This Row],[RequirementID]],
 tblCost[RequirementID],
 tblCost[QuantityRequired],
 ""
)</f>
        <v>700</v>
      </c>
      <c r="H3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29" s="41" t="str">
        <f>_xlfn.XLOOKUP(tblCostChecklist[[#This Row],[TargetID]],tblTargetStatus[TargetID],tblTargetStatus[Status])</f>
        <v>BLOCKED</v>
      </c>
      <c r="J329" s="25" t="b">
        <v>0</v>
      </c>
    </row>
    <row r="330" spans="1:10">
      <c r="A330" s="41" t="s">
        <v>3978</v>
      </c>
      <c r="B330" s="41" t="str">
        <f>_xlfn.TEXTAFTER(
 _xlfn.TEXTBEFORE(tblCostChecklist[[#This Row],[RequirementID]],".",-2),
 "cost."
)</f>
        <v>building.laboratory@5</v>
      </c>
      <c r="C330" s="41" t="str">
        <f>_xlfn.XLOOKUP(tblCostChecklist[[#This Row],[TargetID]],tblTargets[TargetID],tblTargets[DisplayName],"")</f>
        <v>Laboratory Lv 5</v>
      </c>
      <c r="D330" s="41" t="str">
        <f>_xlfn.XLOOKUP(tblCostChecklist[[#This Row],[TargetID]],tblTargets[TargetID],tblTargets[TargetType],"")</f>
        <v>BUILDING</v>
      </c>
      <c r="E330" s="41" t="s">
        <v>716</v>
      </c>
      <c r="F330" s="41">
        <v>1</v>
      </c>
      <c r="G330" s="41">
        <f>_xlfn.XLOOKUP(
 tblCostChecklist[[#This Row],[RequirementID]],
 tblCost[RequirementID],
 tblCost[QuantityRequired],
 ""
)</f>
        <v>500</v>
      </c>
      <c r="H3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0" s="41" t="str">
        <f>_xlfn.XLOOKUP(tblCostChecklist[[#This Row],[TargetID]],tblTargetStatus[TargetID],tblTargetStatus[Status])</f>
        <v>BLOCKED</v>
      </c>
      <c r="J330" s="25" t="b">
        <v>0</v>
      </c>
    </row>
    <row r="331" spans="1:10">
      <c r="A331" s="41" t="s">
        <v>3979</v>
      </c>
      <c r="B331" s="41" t="str">
        <f>_xlfn.TEXTAFTER(
 _xlfn.TEXTBEFORE(tblCostChecklist[[#This Row],[RequirementID]],".",-2),
 "cost."
)</f>
        <v>building.laboratory@5</v>
      </c>
      <c r="C331" s="41" t="str">
        <f>_xlfn.XLOOKUP(tblCostChecklist[[#This Row],[TargetID]],tblTargets[TargetID],tblTargets[DisplayName],"")</f>
        <v>Laboratory Lv 5</v>
      </c>
      <c r="D331" s="41" t="str">
        <f>_xlfn.XLOOKUP(tblCostChecklist[[#This Row],[TargetID]],tblTargets[TargetID],tblTargets[TargetType],"")</f>
        <v>BUILDING</v>
      </c>
      <c r="E331" s="41" t="s">
        <v>686</v>
      </c>
      <c r="F331" s="41">
        <v>1</v>
      </c>
      <c r="G331" s="41">
        <f>_xlfn.XLOOKUP(
 tblCostChecklist[[#This Row],[RequirementID]],
 tblCost[RequirementID],
 tblCost[QuantityRequired],
 ""
)</f>
        <v>30</v>
      </c>
      <c r="H3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1" s="41" t="str">
        <f>_xlfn.XLOOKUP(tblCostChecklist[[#This Row],[TargetID]],tblTargetStatus[TargetID],tblTargetStatus[Status])</f>
        <v>BLOCKED</v>
      </c>
      <c r="J331" s="25" t="b">
        <v>0</v>
      </c>
    </row>
    <row r="332" spans="1:10">
      <c r="A332" s="41" t="s">
        <v>3980</v>
      </c>
      <c r="B332" s="41" t="str">
        <f>_xlfn.TEXTAFTER(
 _xlfn.TEXTBEFORE(tblCostChecklist[[#This Row],[RequirementID]],".",-2),
 "cost."
)</f>
        <v>building.laboratory@5</v>
      </c>
      <c r="C332" s="41" t="str">
        <f>_xlfn.XLOOKUP(tblCostChecklist[[#This Row],[TargetID]],tblTargets[TargetID],tblTargets[DisplayName],"")</f>
        <v>Laboratory Lv 5</v>
      </c>
      <c r="D332" s="41" t="str">
        <f>_xlfn.XLOOKUP(tblCostChecklist[[#This Row],[TargetID]],tblTargets[TargetID],tblTargets[TargetType],"")</f>
        <v>BUILDING</v>
      </c>
      <c r="E332" s="41" t="s">
        <v>703</v>
      </c>
      <c r="F332" s="41">
        <v>1</v>
      </c>
      <c r="G332" s="41">
        <f>_xlfn.XLOOKUP(
 tblCostChecklist[[#This Row],[RequirementID]],
 tblCost[RequirementID],
 tblCost[QuantityRequired],
 ""
)</f>
        <v>20</v>
      </c>
      <c r="H3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2" s="41" t="str">
        <f>_xlfn.XLOOKUP(tblCostChecklist[[#This Row],[TargetID]],tblTargetStatus[TargetID],tblTargetStatus[Status])</f>
        <v>BLOCKED</v>
      </c>
      <c r="J332" s="25" t="b">
        <v>0</v>
      </c>
    </row>
    <row r="333" spans="1:10">
      <c r="A333" s="41" t="s">
        <v>3981</v>
      </c>
      <c r="B333" s="41" t="str">
        <f>_xlfn.TEXTAFTER(
 _xlfn.TEXTBEFORE(tblCostChecklist[[#This Row],[RequirementID]],".",-2),
 "cost."
)</f>
        <v>building.laboratory@5</v>
      </c>
      <c r="C333" s="41" t="str">
        <f>_xlfn.XLOOKUP(tblCostChecklist[[#This Row],[TargetID]],tblTargets[TargetID],tblTargets[DisplayName],"")</f>
        <v>Laboratory Lv 5</v>
      </c>
      <c r="D333" s="41" t="str">
        <f>_xlfn.XLOOKUP(tblCostChecklist[[#This Row],[TargetID]],tblTargets[TargetID],tblTargets[TargetType],"")</f>
        <v>BUILDING</v>
      </c>
      <c r="E333" s="41" t="s">
        <v>698</v>
      </c>
      <c r="F333" s="41">
        <v>1</v>
      </c>
      <c r="G333" s="41">
        <f>_xlfn.XLOOKUP(
 tblCostChecklist[[#This Row],[RequirementID]],
 tblCost[RequirementID],
 tblCost[QuantityRequired],
 ""
)</f>
        <v>40</v>
      </c>
      <c r="H3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3" s="41" t="str">
        <f>_xlfn.XLOOKUP(tblCostChecklist[[#This Row],[TargetID]],tblTargetStatus[TargetID],tblTargetStatus[Status])</f>
        <v>BLOCKED</v>
      </c>
      <c r="J333" s="25" t="b">
        <v>0</v>
      </c>
    </row>
    <row r="334" spans="1:10">
      <c r="A334" s="41" t="s">
        <v>3982</v>
      </c>
      <c r="B334" s="41" t="str">
        <f>_xlfn.TEXTAFTER(
 _xlfn.TEXTBEFORE(tblCostChecklist[[#This Row],[RequirementID]],".",-2),
 "cost."
)</f>
        <v>building.laboratory@5</v>
      </c>
      <c r="C334" s="41" t="str">
        <f>_xlfn.XLOOKUP(tblCostChecklist[[#This Row],[TargetID]],tblTargets[TargetID],tblTargets[DisplayName],"")</f>
        <v>Laboratory Lv 5</v>
      </c>
      <c r="D334" s="41" t="str">
        <f>_xlfn.XLOOKUP(tblCostChecklist[[#This Row],[TargetID]],tblTargets[TargetID],tblTargets[TargetType],"")</f>
        <v>BUILDING</v>
      </c>
      <c r="E334" s="41" t="s">
        <v>662</v>
      </c>
      <c r="F334" s="41">
        <v>1</v>
      </c>
      <c r="G334" s="41">
        <f>_xlfn.XLOOKUP(
 tblCostChecklist[[#This Row],[RequirementID]],
 tblCost[RequirementID],
 tblCost[QuantityRequired],
 ""
)</f>
        <v>40</v>
      </c>
      <c r="H3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4" s="41" t="str">
        <f>_xlfn.XLOOKUP(tblCostChecklist[[#This Row],[TargetID]],tblTargetStatus[TargetID],tblTargetStatus[Status])</f>
        <v>BLOCKED</v>
      </c>
      <c r="J334" s="25" t="b">
        <v>0</v>
      </c>
    </row>
    <row r="335" spans="1:10">
      <c r="A335" s="41" t="s">
        <v>3983</v>
      </c>
      <c r="B335" s="41" t="str">
        <f>_xlfn.TEXTAFTER(
 _xlfn.TEXTBEFORE(tblCostChecklist[[#This Row],[RequirementID]],".",-2),
 "cost."
)</f>
        <v>building.laboratory@5</v>
      </c>
      <c r="C335" s="41" t="str">
        <f>_xlfn.XLOOKUP(tblCostChecklist[[#This Row],[TargetID]],tblTargets[TargetID],tblTargets[DisplayName],"")</f>
        <v>Laboratory Lv 5</v>
      </c>
      <c r="D335" s="41" t="str">
        <f>_xlfn.XLOOKUP(tblCostChecklist[[#This Row],[TargetID]],tblTargets[TargetID],tblTargets[TargetType],"")</f>
        <v>BUILDING</v>
      </c>
      <c r="E335" s="41" t="s">
        <v>685</v>
      </c>
      <c r="F335" s="41">
        <v>1</v>
      </c>
      <c r="G335" s="41">
        <f>_xlfn.XLOOKUP(
 tblCostChecklist[[#This Row],[RequirementID]],
 tblCost[RequirementID],
 tblCost[QuantityRequired],
 ""
)</f>
        <v>1</v>
      </c>
      <c r="H3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5" s="41" t="str">
        <f>_xlfn.XLOOKUP(tblCostChecklist[[#This Row],[TargetID]],tblTargetStatus[TargetID],tblTargetStatus[Status])</f>
        <v>BLOCKED</v>
      </c>
      <c r="J335" s="25" t="b">
        <v>0</v>
      </c>
    </row>
    <row r="336" spans="1:10">
      <c r="A336" s="41" t="s">
        <v>3984</v>
      </c>
      <c r="B336" s="41" t="str">
        <f>_xlfn.TEXTAFTER(
 _xlfn.TEXTBEFORE(tblCostChecklist[[#This Row],[RequirementID]],".",-2),
 "cost."
)</f>
        <v>building.laboratory_data_center@1</v>
      </c>
      <c r="C336" s="41" t="str">
        <f>_xlfn.XLOOKUP(tblCostChecklist[[#This Row],[TargetID]],tblTargets[TargetID],tblTargets[DisplayName],"")</f>
        <v>Laboratory: Data Center Lv 1</v>
      </c>
      <c r="D336" s="41" t="str">
        <f>_xlfn.XLOOKUP(tblCostChecklist[[#This Row],[TargetID]],tblTargets[TargetID],tblTargets[TargetType],"")</f>
        <v>BUILDING</v>
      </c>
      <c r="E336" s="41" t="s">
        <v>708</v>
      </c>
      <c r="F336" s="41">
        <v>1</v>
      </c>
      <c r="G336" s="41">
        <f>_xlfn.XLOOKUP(
 tblCostChecklist[[#This Row],[RequirementID]],
 tblCost[RequirementID],
 tblCost[QuantityRequired],
 ""
)</f>
        <v>10</v>
      </c>
      <c r="H336"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36" s="41" t="str">
        <f>_xlfn.XLOOKUP(tblCostChecklist[[#This Row],[TargetID]],tblTargetStatus[TargetID],tblTargetStatus[Status])</f>
        <v>BLOCKED</v>
      </c>
      <c r="J336" s="25" t="b">
        <v>0</v>
      </c>
    </row>
    <row r="337" spans="1:10">
      <c r="A337" s="41" t="s">
        <v>3985</v>
      </c>
      <c r="B337" s="41" t="str">
        <f>_xlfn.TEXTAFTER(
 _xlfn.TEXTBEFORE(tblCostChecklist[[#This Row],[RequirementID]],".",-2),
 "cost."
)</f>
        <v>building.laboratory_data_center@1</v>
      </c>
      <c r="C337" s="41" t="str">
        <f>_xlfn.XLOOKUP(tblCostChecklist[[#This Row],[TargetID]],tblTargets[TargetID],tblTargets[DisplayName],"")</f>
        <v>Laboratory: Data Center Lv 1</v>
      </c>
      <c r="D337" s="41" t="str">
        <f>_xlfn.XLOOKUP(tblCostChecklist[[#This Row],[TargetID]],tblTargets[TargetID],tblTargets[TargetType],"")</f>
        <v>BUILDING</v>
      </c>
      <c r="E337" s="41" t="s">
        <v>666</v>
      </c>
      <c r="F337" s="41">
        <v>1</v>
      </c>
      <c r="G337" s="41">
        <f>_xlfn.XLOOKUP(
 tblCostChecklist[[#This Row],[RequirementID]],
 tblCost[RequirementID],
 tblCost[QuantityRequired],
 ""
)</f>
        <v>1000</v>
      </c>
      <c r="H337"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37" s="41" t="str">
        <f>_xlfn.XLOOKUP(tblCostChecklist[[#This Row],[TargetID]],tblTargetStatus[TargetID],tblTargetStatus[Status])</f>
        <v>BLOCKED</v>
      </c>
      <c r="J337" s="25" t="b">
        <v>0</v>
      </c>
    </row>
    <row r="338" spans="1:10">
      <c r="A338" s="41" t="s">
        <v>3986</v>
      </c>
      <c r="B338" s="41" t="str">
        <f>_xlfn.TEXTAFTER(
 _xlfn.TEXTBEFORE(tblCostChecklist[[#This Row],[RequirementID]],".",-2),
 "cost."
)</f>
        <v>building.laboratory_data_center@1</v>
      </c>
      <c r="C338" s="41" t="str">
        <f>_xlfn.XLOOKUP(tblCostChecklist[[#This Row],[TargetID]],tblTargets[TargetID],tblTargets[DisplayName],"")</f>
        <v>Laboratory: Data Center Lv 1</v>
      </c>
      <c r="D338" s="41" t="str">
        <f>_xlfn.XLOOKUP(tblCostChecklist[[#This Row],[TargetID]],tblTargets[TargetID],tblTargets[TargetType],"")</f>
        <v>BUILDING</v>
      </c>
      <c r="E338" s="41" t="s">
        <v>717</v>
      </c>
      <c r="F338" s="41">
        <v>1</v>
      </c>
      <c r="G338" s="41">
        <f>_xlfn.XLOOKUP(
 tblCostChecklist[[#This Row],[RequirementID]],
 tblCost[RequirementID],
 tblCost[QuantityRequired],
 ""
)</f>
        <v>500</v>
      </c>
      <c r="H338"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38" s="41" t="str">
        <f>_xlfn.XLOOKUP(tblCostChecklist[[#This Row],[TargetID]],tblTargetStatus[TargetID],tblTargetStatus[Status])</f>
        <v>BLOCKED</v>
      </c>
      <c r="J338" s="25" t="b">
        <v>0</v>
      </c>
    </row>
    <row r="339" spans="1:10">
      <c r="A339" s="41" t="s">
        <v>3987</v>
      </c>
      <c r="B339" s="41" t="str">
        <f>_xlfn.TEXTAFTER(
 _xlfn.TEXTBEFORE(tblCostChecklist[[#This Row],[RequirementID]],".",-2),
 "cost."
)</f>
        <v>building.laboratory_data_center@1</v>
      </c>
      <c r="C339" s="41" t="str">
        <f>_xlfn.XLOOKUP(tblCostChecklist[[#This Row],[TargetID]],tblTargets[TargetID],tblTargets[DisplayName],"")</f>
        <v>Laboratory: Data Center Lv 1</v>
      </c>
      <c r="D339" s="41" t="str">
        <f>_xlfn.XLOOKUP(tblCostChecklist[[#This Row],[TargetID]],tblTargets[TargetID],tblTargets[TargetType],"")</f>
        <v>BUILDING</v>
      </c>
      <c r="E339" s="41" t="s">
        <v>716</v>
      </c>
      <c r="F339" s="41">
        <v>1</v>
      </c>
      <c r="G339" s="41">
        <f>_xlfn.XLOOKUP(
 tblCostChecklist[[#This Row],[RequirementID]],
 tblCost[RequirementID],
 tblCost[QuantityRequired],
 ""
)</f>
        <v>300</v>
      </c>
      <c r="H339"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39" s="41" t="str">
        <f>_xlfn.XLOOKUP(tblCostChecklist[[#This Row],[TargetID]],tblTargetStatus[TargetID],tblTargetStatus[Status])</f>
        <v>BLOCKED</v>
      </c>
      <c r="J339" s="25" t="b">
        <v>0</v>
      </c>
    </row>
    <row r="340" spans="1:10">
      <c r="A340" s="41" t="s">
        <v>3988</v>
      </c>
      <c r="B340" s="41" t="str">
        <f>_xlfn.TEXTAFTER(
 _xlfn.TEXTBEFORE(tblCostChecklist[[#This Row],[RequirementID]],".",-2),
 "cost."
)</f>
        <v>building.laboratory_data_center@1</v>
      </c>
      <c r="C340" s="41" t="str">
        <f>_xlfn.XLOOKUP(tblCostChecklist[[#This Row],[TargetID]],tblTargets[TargetID],tblTargets[DisplayName],"")</f>
        <v>Laboratory: Data Center Lv 1</v>
      </c>
      <c r="D340" s="41" t="str">
        <f>_xlfn.XLOOKUP(tblCostChecklist[[#This Row],[TargetID]],tblTargets[TargetID],tblTargets[TargetType],"")</f>
        <v>BUILDING</v>
      </c>
      <c r="E340" s="41" t="s">
        <v>674</v>
      </c>
      <c r="F340" s="41">
        <v>1</v>
      </c>
      <c r="G340" s="41">
        <f>_xlfn.XLOOKUP(
 tblCostChecklist[[#This Row],[RequirementID]],
 tblCost[RequirementID],
 tblCost[QuantityRequired],
 ""
)</f>
        <v>50</v>
      </c>
      <c r="H340"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40" s="41" t="str">
        <f>_xlfn.XLOOKUP(tblCostChecklist[[#This Row],[TargetID]],tblTargetStatus[TargetID],tblTargetStatus[Status])</f>
        <v>BLOCKED</v>
      </c>
      <c r="J340" s="25" t="b">
        <v>0</v>
      </c>
    </row>
    <row r="341" spans="1:10">
      <c r="A341" s="41" t="s">
        <v>3989</v>
      </c>
      <c r="B341" s="41" t="str">
        <f>_xlfn.TEXTAFTER(
 _xlfn.TEXTBEFORE(tblCostChecklist[[#This Row],[RequirementID]],".",-2),
 "cost."
)</f>
        <v>building.laboratory_data_center@1</v>
      </c>
      <c r="C341" s="41" t="str">
        <f>_xlfn.XLOOKUP(tblCostChecklist[[#This Row],[TargetID]],tblTargets[TargetID],tblTargets[DisplayName],"")</f>
        <v>Laboratory: Data Center Lv 1</v>
      </c>
      <c r="D341" s="41" t="str">
        <f>_xlfn.XLOOKUP(tblCostChecklist[[#This Row],[TargetID]],tblTargets[TargetID],tblTargets[TargetType],"")</f>
        <v>BUILDING</v>
      </c>
      <c r="E341" s="41" t="s">
        <v>655</v>
      </c>
      <c r="F341" s="41">
        <v>1</v>
      </c>
      <c r="G341" s="41">
        <f>_xlfn.XLOOKUP(
 tblCostChecklist[[#This Row],[RequirementID]],
 tblCost[RequirementID],
 tblCost[QuantityRequired],
 ""
)</f>
        <v>20</v>
      </c>
      <c r="H341"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41" s="41" t="str">
        <f>_xlfn.XLOOKUP(tblCostChecklist[[#This Row],[TargetID]],tblTargetStatus[TargetID],tblTargetStatus[Status])</f>
        <v>BLOCKED</v>
      </c>
      <c r="J341" s="25" t="b">
        <v>0</v>
      </c>
    </row>
    <row r="342" spans="1:10">
      <c r="A342" s="41" t="s">
        <v>3990</v>
      </c>
      <c r="B342" s="41" t="str">
        <f>_xlfn.TEXTAFTER(
 _xlfn.TEXTBEFORE(tblCostChecklist[[#This Row],[RequirementID]],".",-2),
 "cost."
)</f>
        <v>building.laboratory_data_center@1</v>
      </c>
      <c r="C342" s="41" t="str">
        <f>_xlfn.XLOOKUP(tblCostChecklist[[#This Row],[TargetID]],tblTargets[TargetID],tblTargets[DisplayName],"")</f>
        <v>Laboratory: Data Center Lv 1</v>
      </c>
      <c r="D342" s="41" t="str">
        <f>_xlfn.XLOOKUP(tblCostChecklist[[#This Row],[TargetID]],tblTargets[TargetID],tblTargets[TargetType],"")</f>
        <v>BUILDING</v>
      </c>
      <c r="E342" s="41" t="s">
        <v>703</v>
      </c>
      <c r="F342" s="41">
        <v>1</v>
      </c>
      <c r="G342" s="41">
        <f>_xlfn.XLOOKUP(
 tblCostChecklist[[#This Row],[RequirementID]],
 tblCost[RequirementID],
 tblCost[QuantityRequired],
 ""
)</f>
        <v>20</v>
      </c>
      <c r="H342"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42" s="41" t="str">
        <f>_xlfn.XLOOKUP(tblCostChecklist[[#This Row],[TargetID]],tblTargetStatus[TargetID],tblTargetStatus[Status])</f>
        <v>BLOCKED</v>
      </c>
      <c r="J342" s="25" t="b">
        <v>0</v>
      </c>
    </row>
    <row r="343" spans="1:10">
      <c r="A343" s="41" t="s">
        <v>3991</v>
      </c>
      <c r="B343" s="41" t="str">
        <f>_xlfn.TEXTAFTER(
 _xlfn.TEXTBEFORE(tblCostChecklist[[#This Row],[RequirementID]],".",-2),
 "cost."
)</f>
        <v>building.laboratory_data_center@1</v>
      </c>
      <c r="C343" s="41" t="str">
        <f>_xlfn.XLOOKUP(tblCostChecklist[[#This Row],[TargetID]],tblTargets[TargetID],tblTargets[DisplayName],"")</f>
        <v>Laboratory: Data Center Lv 1</v>
      </c>
      <c r="D343" s="41" t="str">
        <f>_xlfn.XLOOKUP(tblCostChecklist[[#This Row],[TargetID]],tblTargets[TargetID],tblTargets[TargetType],"")</f>
        <v>BUILDING</v>
      </c>
      <c r="E343" s="41" t="s">
        <v>688</v>
      </c>
      <c r="F343" s="41">
        <v>1</v>
      </c>
      <c r="G343" s="41">
        <f>_xlfn.XLOOKUP(
 tblCostChecklist[[#This Row],[RequirementID]],
 tblCost[RequirementID],
 tblCost[QuantityRequired],
 ""
)</f>
        <v>50</v>
      </c>
      <c r="H343"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43" s="41" t="str">
        <f>_xlfn.XLOOKUP(tblCostChecklist[[#This Row],[TargetID]],tblTargetStatus[TargetID],tblTargetStatus[Status])</f>
        <v>BLOCKED</v>
      </c>
      <c r="J343" s="25" t="b">
        <v>0</v>
      </c>
    </row>
    <row r="344" spans="1:10">
      <c r="A344" s="41" t="s">
        <v>3992</v>
      </c>
      <c r="B344" s="41" t="str">
        <f>_xlfn.TEXTAFTER(
 _xlfn.TEXTBEFORE(tblCostChecklist[[#This Row],[RequirementID]],".",-2),
 "cost."
)</f>
        <v>building.laboratory_data_center@1</v>
      </c>
      <c r="C344" s="41" t="str">
        <f>_xlfn.XLOOKUP(tblCostChecklist[[#This Row],[TargetID]],tblTargets[TargetID],tblTargets[DisplayName],"")</f>
        <v>Laboratory: Data Center Lv 1</v>
      </c>
      <c r="D344" s="41" t="str">
        <f>_xlfn.XLOOKUP(tblCostChecklist[[#This Row],[TargetID]],tblTargets[TargetID],tblTargets[TargetType],"")</f>
        <v>BUILDING</v>
      </c>
      <c r="E344" s="41" t="s">
        <v>662</v>
      </c>
      <c r="F344" s="41">
        <v>1</v>
      </c>
      <c r="G344" s="41">
        <f>_xlfn.XLOOKUP(
 tblCostChecklist[[#This Row],[RequirementID]],
 tblCost[RequirementID],
 tblCost[QuantityRequired],
 ""
)</f>
        <v>50</v>
      </c>
      <c r="H344"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44" s="41" t="str">
        <f>_xlfn.XLOOKUP(tblCostChecklist[[#This Row],[TargetID]],tblTargetStatus[TargetID],tblTargetStatus[Status])</f>
        <v>BLOCKED</v>
      </c>
      <c r="J344" s="25" t="b">
        <v>0</v>
      </c>
    </row>
    <row r="345" spans="1:10">
      <c r="A345" s="41" t="s">
        <v>3993</v>
      </c>
      <c r="B345" s="41" t="str">
        <f>_xlfn.TEXTAFTER(
 _xlfn.TEXTBEFORE(tblCostChecklist[[#This Row],[RequirementID]],".",-2),
 "cost."
)</f>
        <v>building.lumber@1</v>
      </c>
      <c r="C345" s="41" t="str">
        <f>_xlfn.XLOOKUP(tblCostChecklist[[#This Row],[TargetID]],tblTargets[TargetID],tblTargets[DisplayName],"")</f>
        <v>Lumber Lv 1</v>
      </c>
      <c r="D345" s="41" t="str">
        <f>_xlfn.XLOOKUP(tblCostChecklist[[#This Row],[TargetID]],tblTargets[TargetID],tblTargets[TargetType],"")</f>
        <v>BUILDING</v>
      </c>
      <c r="E345" s="41" t="s">
        <v>708</v>
      </c>
      <c r="F345" s="41">
        <v>1</v>
      </c>
      <c r="G345" s="41">
        <f>_xlfn.XLOOKUP(
 tblCostChecklist[[#This Row],[RequirementID]],
 tblCost[RequirementID],
 tblCost[QuantityRequired],
 ""
)</f>
        <v>1</v>
      </c>
      <c r="H3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13</v>
      </c>
      <c r="I345" s="41" t="str">
        <f>_xlfn.XLOOKUP(tblCostChecklist[[#This Row],[TargetID]],tblTargetStatus[TargetID],tblTargetStatus[Status])</f>
        <v>BLOCKED</v>
      </c>
      <c r="J345" s="25" t="b">
        <v>0</v>
      </c>
    </row>
    <row r="346" spans="1:10">
      <c r="A346" s="41" t="s">
        <v>3994</v>
      </c>
      <c r="B346" s="41" t="str">
        <f>_xlfn.TEXTAFTER(
 _xlfn.TEXTBEFORE(tblCostChecklist[[#This Row],[RequirementID]],".",-2),
 "cost."
)</f>
        <v>building.lumber@1</v>
      </c>
      <c r="C346" s="41" t="str">
        <f>_xlfn.XLOOKUP(tblCostChecklist[[#This Row],[TargetID]],tblTargets[TargetID],tblTargets[DisplayName],"")</f>
        <v>Lumber Lv 1</v>
      </c>
      <c r="D346" s="41" t="str">
        <f>_xlfn.XLOOKUP(tblCostChecklist[[#This Row],[TargetID]],tblTargets[TargetID],tblTargets[TargetType],"")</f>
        <v>BUILDING</v>
      </c>
      <c r="E346" s="41" t="s">
        <v>666</v>
      </c>
      <c r="F346" s="41">
        <v>1</v>
      </c>
      <c r="G346" s="41">
        <f>_xlfn.XLOOKUP(
 tblCostChecklist[[#This Row],[RequirementID]],
 tblCost[RequirementID],
 tblCost[QuantityRequired],
 ""
)</f>
        <v>300</v>
      </c>
      <c r="H3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13</v>
      </c>
      <c r="I346" s="41" t="str">
        <f>_xlfn.XLOOKUP(tblCostChecklist[[#This Row],[TargetID]],tblTargetStatus[TargetID],tblTargetStatus[Status])</f>
        <v>BLOCKED</v>
      </c>
      <c r="J346" s="25" t="b">
        <v>0</v>
      </c>
    </row>
    <row r="347" spans="1:10">
      <c r="A347" s="41" t="s">
        <v>3995</v>
      </c>
      <c r="B347" s="41" t="str">
        <f>_xlfn.TEXTAFTER(
 _xlfn.TEXTBEFORE(tblCostChecklist[[#This Row],[RequirementID]],".",-2),
 "cost."
)</f>
        <v>building.lumber@1</v>
      </c>
      <c r="C347" s="41" t="str">
        <f>_xlfn.XLOOKUP(tblCostChecklist[[#This Row],[TargetID]],tblTargets[TargetID],tblTargets[DisplayName],"")</f>
        <v>Lumber Lv 1</v>
      </c>
      <c r="D347" s="41" t="str">
        <f>_xlfn.XLOOKUP(tblCostChecklist[[#This Row],[TargetID]],tblTargets[TargetID],tblTargets[TargetType],"")</f>
        <v>BUILDING</v>
      </c>
      <c r="E347" s="41" t="s">
        <v>723</v>
      </c>
      <c r="F347" s="41">
        <v>1</v>
      </c>
      <c r="G347" s="41">
        <f>_xlfn.XLOOKUP(
 tblCostChecklist[[#This Row],[RequirementID]],
 tblCost[RequirementID],
 tblCost[QuantityRequired],
 ""
)</f>
        <v>150</v>
      </c>
      <c r="H3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13</v>
      </c>
      <c r="I347" s="41" t="str">
        <f>_xlfn.XLOOKUP(tblCostChecklist[[#This Row],[TargetID]],tblTargetStatus[TargetID],tblTargetStatus[Status])</f>
        <v>BLOCKED</v>
      </c>
      <c r="J347" s="25" t="b">
        <v>0</v>
      </c>
    </row>
    <row r="348" spans="1:10">
      <c r="A348" s="41" t="s">
        <v>3996</v>
      </c>
      <c r="B348" s="41" t="str">
        <f>_xlfn.TEXTAFTER(
 _xlfn.TEXTBEFORE(tblCostChecklist[[#This Row],[RequirementID]],".",-2),
 "cost."
)</f>
        <v>building.lumber@1</v>
      </c>
      <c r="C348" s="41" t="str">
        <f>_xlfn.XLOOKUP(tblCostChecklist[[#This Row],[TargetID]],tblTargets[TargetID],tblTargets[DisplayName],"")</f>
        <v>Lumber Lv 1</v>
      </c>
      <c r="D348" s="41" t="str">
        <f>_xlfn.XLOOKUP(tblCostChecklist[[#This Row],[TargetID]],tblTargets[TargetID],tblTargets[TargetType],"")</f>
        <v>BUILDING</v>
      </c>
      <c r="E348" s="41" t="s">
        <v>717</v>
      </c>
      <c r="F348" s="41">
        <v>1</v>
      </c>
      <c r="G348" s="41">
        <f>_xlfn.XLOOKUP(
 tblCostChecklist[[#This Row],[RequirementID]],
 tblCost[RequirementID],
 tblCost[QuantityRequired],
 ""
)</f>
        <v>150</v>
      </c>
      <c r="H3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13</v>
      </c>
      <c r="I348" s="41" t="str">
        <f>_xlfn.XLOOKUP(tblCostChecklist[[#This Row],[TargetID]],tblTargetStatus[TargetID],tblTargetStatus[Status])</f>
        <v>BLOCKED</v>
      </c>
      <c r="J348" s="25" t="b">
        <v>0</v>
      </c>
    </row>
    <row r="349" spans="1:10">
      <c r="A349" s="41" t="s">
        <v>3997</v>
      </c>
      <c r="B349" s="41" t="str">
        <f>_xlfn.TEXTAFTER(
 _xlfn.TEXTBEFORE(tblCostChecklist[[#This Row],[RequirementID]],".",-2),
 "cost."
)</f>
        <v>building.lumber@2</v>
      </c>
      <c r="C349" s="41" t="str">
        <f>_xlfn.XLOOKUP(tblCostChecklist[[#This Row],[TargetID]],tblTargets[TargetID],tblTargets[DisplayName],"")</f>
        <v>Lumber Lv 2</v>
      </c>
      <c r="D349" s="41" t="str">
        <f>_xlfn.XLOOKUP(tblCostChecklist[[#This Row],[TargetID]],tblTargets[TargetID],tblTargets[TargetType],"")</f>
        <v>BUILDING</v>
      </c>
      <c r="E349" s="41" t="s">
        <v>708</v>
      </c>
      <c r="F349" s="41">
        <v>1</v>
      </c>
      <c r="G349" s="41">
        <f>_xlfn.XLOOKUP(
 tblCostChecklist[[#This Row],[RequirementID]],
 tblCost[RequirementID],
 tblCost[QuantityRequired],
 ""
)</f>
        <v>3</v>
      </c>
      <c r="H3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14</v>
      </c>
      <c r="I349" s="41" t="str">
        <f>_xlfn.XLOOKUP(tblCostChecklist[[#This Row],[TargetID]],tblTargetStatus[TargetID],tblTargetStatus[Status])</f>
        <v>BLOCKED</v>
      </c>
      <c r="J349" s="25" t="b">
        <v>0</v>
      </c>
    </row>
    <row r="350" spans="1:10">
      <c r="A350" s="41" t="s">
        <v>3998</v>
      </c>
      <c r="B350" s="41" t="str">
        <f>_xlfn.TEXTAFTER(
 _xlfn.TEXTBEFORE(tblCostChecklist[[#This Row],[RequirementID]],".",-2),
 "cost."
)</f>
        <v>building.lumber@2</v>
      </c>
      <c r="C350" s="41" t="str">
        <f>_xlfn.XLOOKUP(tblCostChecklist[[#This Row],[TargetID]],tblTargets[TargetID],tblTargets[DisplayName],"")</f>
        <v>Lumber Lv 2</v>
      </c>
      <c r="D350" s="41" t="str">
        <f>_xlfn.XLOOKUP(tblCostChecklist[[#This Row],[TargetID]],tblTargets[TargetID],tblTargets[TargetType],"")</f>
        <v>BUILDING</v>
      </c>
      <c r="E350" s="41" t="s">
        <v>666</v>
      </c>
      <c r="F350" s="41">
        <v>1</v>
      </c>
      <c r="G350" s="41">
        <f>_xlfn.XLOOKUP(
 tblCostChecklist[[#This Row],[RequirementID]],
 tblCost[RequirementID],
 tblCost[QuantityRequired],
 ""
)</f>
        <v>500</v>
      </c>
      <c r="H3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14</v>
      </c>
      <c r="I350" s="41" t="str">
        <f>_xlfn.XLOOKUP(tblCostChecklist[[#This Row],[TargetID]],tblTargetStatus[TargetID],tblTargetStatus[Status])</f>
        <v>BLOCKED</v>
      </c>
      <c r="J350" s="25" t="b">
        <v>0</v>
      </c>
    </row>
    <row r="351" spans="1:10">
      <c r="A351" s="41" t="s">
        <v>3999</v>
      </c>
      <c r="B351" s="41" t="str">
        <f>_xlfn.TEXTAFTER(
 _xlfn.TEXTBEFORE(tblCostChecklist[[#This Row],[RequirementID]],".",-2),
 "cost."
)</f>
        <v>building.lumber@2</v>
      </c>
      <c r="C351" s="41" t="str">
        <f>_xlfn.XLOOKUP(tblCostChecklist[[#This Row],[TargetID]],tblTargets[TargetID],tblTargets[DisplayName],"")</f>
        <v>Lumber Lv 2</v>
      </c>
      <c r="D351" s="41" t="str">
        <f>_xlfn.XLOOKUP(tblCostChecklist[[#This Row],[TargetID]],tblTargets[TargetID],tblTargets[TargetType],"")</f>
        <v>BUILDING</v>
      </c>
      <c r="E351" s="41" t="s">
        <v>658</v>
      </c>
      <c r="F351" s="41">
        <v>1</v>
      </c>
      <c r="G351" s="41">
        <f>_xlfn.XLOOKUP(
 tblCostChecklist[[#This Row],[RequirementID]],
 tblCost[RequirementID],
 tblCost[QuantityRequired],
 ""
)</f>
        <v>400</v>
      </c>
      <c r="H3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14</v>
      </c>
      <c r="I351" s="41" t="str">
        <f>_xlfn.XLOOKUP(tblCostChecklist[[#This Row],[TargetID]],tblTargetStatus[TargetID],tblTargetStatus[Status])</f>
        <v>BLOCKED</v>
      </c>
      <c r="J351" s="25" t="b">
        <v>0</v>
      </c>
    </row>
    <row r="352" spans="1:10">
      <c r="A352" s="41" t="s">
        <v>4000</v>
      </c>
      <c r="B352" s="41" t="str">
        <f>_xlfn.TEXTAFTER(
 _xlfn.TEXTBEFORE(tblCostChecklist[[#This Row],[RequirementID]],".",-2),
 "cost."
)</f>
        <v>building.lumber@2</v>
      </c>
      <c r="C352" s="41" t="str">
        <f>_xlfn.XLOOKUP(tblCostChecklist[[#This Row],[TargetID]],tblTargets[TargetID],tblTargets[DisplayName],"")</f>
        <v>Lumber Lv 2</v>
      </c>
      <c r="D352" s="41" t="str">
        <f>_xlfn.XLOOKUP(tblCostChecklist[[#This Row],[TargetID]],tblTargets[TargetID],tblTargets[TargetType],"")</f>
        <v>BUILDING</v>
      </c>
      <c r="E352" s="41" t="s">
        <v>717</v>
      </c>
      <c r="F352" s="41">
        <v>1</v>
      </c>
      <c r="G352" s="41">
        <f>_xlfn.XLOOKUP(
 tblCostChecklist[[#This Row],[RequirementID]],
 tblCost[RequirementID],
 tblCost[QuantityRequired],
 ""
)</f>
        <v>200</v>
      </c>
      <c r="H3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14</v>
      </c>
      <c r="I352" s="41" t="str">
        <f>_xlfn.XLOOKUP(tblCostChecklist[[#This Row],[TargetID]],tblTargetStatus[TargetID],tblTargetStatus[Status])</f>
        <v>BLOCKED</v>
      </c>
      <c r="J352" s="25" t="b">
        <v>0</v>
      </c>
    </row>
    <row r="353" spans="1:10">
      <c r="A353" s="41" t="s">
        <v>4001</v>
      </c>
      <c r="B353" s="41" t="str">
        <f>_xlfn.TEXTAFTER(
 _xlfn.TEXTBEFORE(tblCostChecklist[[#This Row],[RequirementID]],".",-2),
 "cost."
)</f>
        <v>building.lumber@2</v>
      </c>
      <c r="C353" s="41" t="str">
        <f>_xlfn.XLOOKUP(tblCostChecklist[[#This Row],[TargetID]],tblTargets[TargetID],tblTargets[DisplayName],"")</f>
        <v>Lumber Lv 2</v>
      </c>
      <c r="D353" s="41" t="str">
        <f>_xlfn.XLOOKUP(tblCostChecklist[[#This Row],[TargetID]],tblTargets[TargetID],tblTargets[TargetType],"")</f>
        <v>BUILDING</v>
      </c>
      <c r="E353" s="41" t="s">
        <v>716</v>
      </c>
      <c r="F353" s="41">
        <v>1</v>
      </c>
      <c r="G353" s="41">
        <f>_xlfn.XLOOKUP(
 tblCostChecklist[[#This Row],[RequirementID]],
 tblCost[RequirementID],
 tblCost[QuantityRequired],
 ""
)</f>
        <v>20</v>
      </c>
      <c r="H3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14</v>
      </c>
      <c r="I353" s="41" t="str">
        <f>_xlfn.XLOOKUP(tblCostChecklist[[#This Row],[TargetID]],tblTargetStatus[TargetID],tblTargetStatus[Status])</f>
        <v>BLOCKED</v>
      </c>
      <c r="J353" s="25" t="b">
        <v>0</v>
      </c>
    </row>
    <row r="354" spans="1:10">
      <c r="A354" s="41" t="s">
        <v>4002</v>
      </c>
      <c r="B354" s="41" t="str">
        <f>_xlfn.TEXTAFTER(
 _xlfn.TEXTBEFORE(tblCostChecklist[[#This Row],[RequirementID]],".",-2),
 "cost."
)</f>
        <v>building.lumber@3</v>
      </c>
      <c r="C354" s="41" t="str">
        <f>_xlfn.XLOOKUP(tblCostChecklist[[#This Row],[TargetID]],tblTargets[TargetID],tblTargets[DisplayName],"")</f>
        <v>Lumber Lv 3</v>
      </c>
      <c r="D354" s="41" t="str">
        <f>_xlfn.XLOOKUP(tblCostChecklist[[#This Row],[TargetID]],tblTargets[TargetID],tblTargets[TargetType],"")</f>
        <v>BUILDING</v>
      </c>
      <c r="E354" s="41" t="s">
        <v>708</v>
      </c>
      <c r="F354" s="41">
        <v>1</v>
      </c>
      <c r="G354" s="41">
        <f>_xlfn.XLOOKUP(
 tblCostChecklist[[#This Row],[RequirementID]],
 tblCost[RequirementID],
 tblCost[QuantityRequired],
 ""
)</f>
        <v>5</v>
      </c>
      <c r="H3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18</v>
      </c>
      <c r="I354" s="41" t="str">
        <f>_xlfn.XLOOKUP(tblCostChecklist[[#This Row],[TargetID]],tblTargetStatus[TargetID],tblTargetStatus[Status])</f>
        <v>BLOCKED</v>
      </c>
      <c r="J354" s="25" t="b">
        <v>0</v>
      </c>
    </row>
    <row r="355" spans="1:10">
      <c r="A355" s="41" t="s">
        <v>4003</v>
      </c>
      <c r="B355" s="41" t="str">
        <f>_xlfn.TEXTAFTER(
 _xlfn.TEXTBEFORE(tblCostChecklist[[#This Row],[RequirementID]],".",-2),
 "cost."
)</f>
        <v>building.lumber@3</v>
      </c>
      <c r="C355" s="41" t="str">
        <f>_xlfn.XLOOKUP(tblCostChecklist[[#This Row],[TargetID]],tblTargets[TargetID],tblTargets[DisplayName],"")</f>
        <v>Lumber Lv 3</v>
      </c>
      <c r="D355" s="41" t="str">
        <f>_xlfn.XLOOKUP(tblCostChecklist[[#This Row],[TargetID]],tblTargets[TargetID],tblTargets[TargetType],"")</f>
        <v>BUILDING</v>
      </c>
      <c r="E355" s="41" t="s">
        <v>666</v>
      </c>
      <c r="F355" s="41">
        <v>1</v>
      </c>
      <c r="G355" s="41">
        <f>_xlfn.XLOOKUP(
 tblCostChecklist[[#This Row],[RequirementID]],
 tblCost[RequirementID],
 tblCost[QuantityRequired],
 ""
)</f>
        <v>800</v>
      </c>
      <c r="H3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18</v>
      </c>
      <c r="I355" s="41" t="str">
        <f>_xlfn.XLOOKUP(tblCostChecklist[[#This Row],[TargetID]],tblTargetStatus[TargetID],tblTargetStatus[Status])</f>
        <v>BLOCKED</v>
      </c>
      <c r="J355" s="25" t="b">
        <v>0</v>
      </c>
    </row>
    <row r="356" spans="1:10">
      <c r="A356" s="41" t="s">
        <v>4004</v>
      </c>
      <c r="B356" s="41" t="str">
        <f>_xlfn.TEXTAFTER(
 _xlfn.TEXTBEFORE(tblCostChecklist[[#This Row],[RequirementID]],".",-2),
 "cost."
)</f>
        <v>building.lumber@3</v>
      </c>
      <c r="C356" s="41" t="str">
        <f>_xlfn.XLOOKUP(tblCostChecklist[[#This Row],[TargetID]],tblTargets[TargetID],tblTargets[DisplayName],"")</f>
        <v>Lumber Lv 3</v>
      </c>
      <c r="D356" s="41" t="str">
        <f>_xlfn.XLOOKUP(tblCostChecklist[[#This Row],[TargetID]],tblTargets[TargetID],tblTargets[TargetType],"")</f>
        <v>BUILDING</v>
      </c>
      <c r="E356" s="41" t="s">
        <v>658</v>
      </c>
      <c r="F356" s="41">
        <v>1</v>
      </c>
      <c r="G356" s="41">
        <f>_xlfn.XLOOKUP(
 tblCostChecklist[[#This Row],[RequirementID]],
 tblCost[RequirementID],
 tblCost[QuantityRequired],
 ""
)</f>
        <v>600</v>
      </c>
      <c r="H3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18</v>
      </c>
      <c r="I356" s="41" t="str">
        <f>_xlfn.XLOOKUP(tblCostChecklist[[#This Row],[TargetID]],tblTargetStatus[TargetID],tblTargetStatus[Status])</f>
        <v>BLOCKED</v>
      </c>
      <c r="J356" s="25" t="b">
        <v>0</v>
      </c>
    </row>
    <row r="357" spans="1:10">
      <c r="A357" s="41" t="s">
        <v>4005</v>
      </c>
      <c r="B357" s="41" t="str">
        <f>_xlfn.TEXTAFTER(
 _xlfn.TEXTBEFORE(tblCostChecklist[[#This Row],[RequirementID]],".",-2),
 "cost."
)</f>
        <v>building.lumber@3</v>
      </c>
      <c r="C357" s="41" t="str">
        <f>_xlfn.XLOOKUP(tblCostChecklist[[#This Row],[TargetID]],tblTargets[TargetID],tblTargets[DisplayName],"")</f>
        <v>Lumber Lv 3</v>
      </c>
      <c r="D357" s="41" t="str">
        <f>_xlfn.XLOOKUP(tblCostChecklist[[#This Row],[TargetID]],tblTargets[TargetID],tblTargets[TargetType],"")</f>
        <v>BUILDING</v>
      </c>
      <c r="E357" s="41" t="s">
        <v>717</v>
      </c>
      <c r="F357" s="41">
        <v>1</v>
      </c>
      <c r="G357" s="41">
        <f>_xlfn.XLOOKUP(
 tblCostChecklist[[#This Row],[RequirementID]],
 tblCost[RequirementID],
 tblCost[QuantityRequired],
 ""
)</f>
        <v>300</v>
      </c>
      <c r="H3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18</v>
      </c>
      <c r="I357" s="41" t="str">
        <f>_xlfn.XLOOKUP(tblCostChecklist[[#This Row],[TargetID]],tblTargetStatus[TargetID],tblTargetStatus[Status])</f>
        <v>BLOCKED</v>
      </c>
      <c r="J357" s="25" t="b">
        <v>0</v>
      </c>
    </row>
    <row r="358" spans="1:10">
      <c r="A358" s="41" t="s">
        <v>4006</v>
      </c>
      <c r="B358" s="41" t="str">
        <f>_xlfn.TEXTAFTER(
 _xlfn.TEXTBEFORE(tblCostChecklist[[#This Row],[RequirementID]],".",-2),
 "cost."
)</f>
        <v>building.lumber@3</v>
      </c>
      <c r="C358" s="41" t="str">
        <f>_xlfn.XLOOKUP(tblCostChecklist[[#This Row],[TargetID]],tblTargets[TargetID],tblTargets[DisplayName],"")</f>
        <v>Lumber Lv 3</v>
      </c>
      <c r="D358" s="41" t="str">
        <f>_xlfn.XLOOKUP(tblCostChecklist[[#This Row],[TargetID]],tblTargets[TargetID],tblTargets[TargetType],"")</f>
        <v>BUILDING</v>
      </c>
      <c r="E358" s="41" t="s">
        <v>716</v>
      </c>
      <c r="F358" s="41">
        <v>1</v>
      </c>
      <c r="G358" s="41">
        <f>_xlfn.XLOOKUP(
 tblCostChecklist[[#This Row],[RequirementID]],
 tblCost[RequirementID],
 tblCost[QuantityRequired],
 ""
)</f>
        <v>100</v>
      </c>
      <c r="H3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18</v>
      </c>
      <c r="I358" s="41" t="str">
        <f>_xlfn.XLOOKUP(tblCostChecklist[[#This Row],[TargetID]],tblTargetStatus[TargetID],tblTargetStatus[Status])</f>
        <v>BLOCKED</v>
      </c>
      <c r="J358" s="25" t="b">
        <v>0</v>
      </c>
    </row>
    <row r="359" spans="1:10">
      <c r="A359" s="41" t="s">
        <v>4007</v>
      </c>
      <c r="B359" s="41" t="str">
        <f>_xlfn.TEXTAFTER(
 _xlfn.TEXTBEFORE(tblCostChecklist[[#This Row],[RequirementID]],".",-2),
 "cost."
)</f>
        <v>building.onsen@1</v>
      </c>
      <c r="C359" s="41" t="str">
        <f>_xlfn.XLOOKUP(tblCostChecklist[[#This Row],[TargetID]],tblTargets[TargetID],tblTargets[DisplayName],"")</f>
        <v>Onsen Lv 1</v>
      </c>
      <c r="D359" s="41" t="str">
        <f>_xlfn.XLOOKUP(tblCostChecklist[[#This Row],[TargetID]],tblTargets[TargetID],tblTargets[TargetType],"")</f>
        <v>BUILDING</v>
      </c>
      <c r="E359" s="41" t="s">
        <v>708</v>
      </c>
      <c r="F359" s="41">
        <v>1</v>
      </c>
      <c r="G359" s="41">
        <f>_xlfn.XLOOKUP(
 tblCostChecklist[[#This Row],[RequirementID]],
 tblCost[RequirementID],
 tblCost[QuantityRequired],
 ""
)</f>
        <v>3</v>
      </c>
      <c r="H3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91</v>
      </c>
      <c r="I359" s="41" t="str">
        <f>_xlfn.XLOOKUP(tblCostChecklist[[#This Row],[TargetID]],tblTargetStatus[TargetID],tblTargetStatus[Status])</f>
        <v>BLOCKED</v>
      </c>
      <c r="J359" s="25" t="b">
        <v>0</v>
      </c>
    </row>
    <row r="360" spans="1:10">
      <c r="A360" s="41" t="s">
        <v>4008</v>
      </c>
      <c r="B360" s="41" t="str">
        <f>_xlfn.TEXTAFTER(
 _xlfn.TEXTBEFORE(tblCostChecklist[[#This Row],[RequirementID]],".",-2),
 "cost."
)</f>
        <v>building.onsen@1</v>
      </c>
      <c r="C360" s="41" t="str">
        <f>_xlfn.XLOOKUP(tblCostChecklist[[#This Row],[TargetID]],tblTargets[TargetID],tblTargets[DisplayName],"")</f>
        <v>Onsen Lv 1</v>
      </c>
      <c r="D360" s="41" t="str">
        <f>_xlfn.XLOOKUP(tblCostChecklist[[#This Row],[TargetID]],tblTargets[TargetID],tblTargets[TargetType],"")</f>
        <v>BUILDING</v>
      </c>
      <c r="E360" s="41" t="s">
        <v>666</v>
      </c>
      <c r="F360" s="41">
        <v>1</v>
      </c>
      <c r="G360" s="41">
        <f>_xlfn.XLOOKUP(
 tblCostChecklist[[#This Row],[RequirementID]],
 tblCost[RequirementID],
 tblCost[QuantityRequired],
 ""
)</f>
        <v>500</v>
      </c>
      <c r="H3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91</v>
      </c>
      <c r="I360" s="41" t="str">
        <f>_xlfn.XLOOKUP(tblCostChecklist[[#This Row],[TargetID]],tblTargetStatus[TargetID],tblTargetStatus[Status])</f>
        <v>BLOCKED</v>
      </c>
      <c r="J360" s="25" t="b">
        <v>0</v>
      </c>
    </row>
    <row r="361" spans="1:10">
      <c r="A361" s="41" t="s">
        <v>4009</v>
      </c>
      <c r="B361" s="41" t="str">
        <f>_xlfn.TEXTAFTER(
 _xlfn.TEXTBEFORE(tblCostChecklist[[#This Row],[RequirementID]],".",-2),
 "cost."
)</f>
        <v>building.onsen@1</v>
      </c>
      <c r="C361" s="41" t="str">
        <f>_xlfn.XLOOKUP(tblCostChecklist[[#This Row],[TargetID]],tblTargets[TargetID],tblTargets[DisplayName],"")</f>
        <v>Onsen Lv 1</v>
      </c>
      <c r="D361" s="41" t="str">
        <f>_xlfn.XLOOKUP(tblCostChecklist[[#This Row],[TargetID]],tblTargets[TargetID],tblTargets[TargetType],"")</f>
        <v>BUILDING</v>
      </c>
      <c r="E361" s="41" t="s">
        <v>701</v>
      </c>
      <c r="F361" s="41">
        <v>1</v>
      </c>
      <c r="G361" s="41">
        <f>_xlfn.XLOOKUP(
 tblCostChecklist[[#This Row],[RequirementID]],
 tblCost[RequirementID],
 tblCost[QuantityRequired],
 ""
)</f>
        <v>500</v>
      </c>
      <c r="H3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91</v>
      </c>
      <c r="I361" s="41" t="str">
        <f>_xlfn.XLOOKUP(tblCostChecklist[[#This Row],[TargetID]],tblTargetStatus[TargetID],tblTargetStatus[Status])</f>
        <v>BLOCKED</v>
      </c>
      <c r="J361" s="25" t="b">
        <v>0</v>
      </c>
    </row>
    <row r="362" spans="1:10">
      <c r="A362" s="41" t="s">
        <v>4010</v>
      </c>
      <c r="B362" s="41" t="str">
        <f>_xlfn.TEXTAFTER(
 _xlfn.TEXTBEFORE(tblCostChecklist[[#This Row],[RequirementID]],".",-2),
 "cost."
)</f>
        <v>building.onsen@1</v>
      </c>
      <c r="C362" s="41" t="str">
        <f>_xlfn.XLOOKUP(tblCostChecklist[[#This Row],[TargetID]],tblTargets[TargetID],tblTargets[DisplayName],"")</f>
        <v>Onsen Lv 1</v>
      </c>
      <c r="D362" s="41" t="str">
        <f>_xlfn.XLOOKUP(tblCostChecklist[[#This Row],[TargetID]],tblTargets[TargetID],tblTargets[TargetType],"")</f>
        <v>BUILDING</v>
      </c>
      <c r="E362" s="41" t="s">
        <v>717</v>
      </c>
      <c r="F362" s="41">
        <v>1</v>
      </c>
      <c r="G362" s="41">
        <f>_xlfn.XLOOKUP(
 tblCostChecklist[[#This Row],[RequirementID]],
 tblCost[RequirementID],
 tblCost[QuantityRequired],
 ""
)</f>
        <v>400</v>
      </c>
      <c r="H3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91</v>
      </c>
      <c r="I362" s="41" t="str">
        <f>_xlfn.XLOOKUP(tblCostChecklist[[#This Row],[TargetID]],tblTargetStatus[TargetID],tblTargetStatus[Status])</f>
        <v>BLOCKED</v>
      </c>
      <c r="J362" s="25" t="b">
        <v>0</v>
      </c>
    </row>
    <row r="363" spans="1:10">
      <c r="A363" s="41" t="s">
        <v>4011</v>
      </c>
      <c r="B363" s="41" t="str">
        <f>_xlfn.TEXTAFTER(
 _xlfn.TEXTBEFORE(tblCostChecklist[[#This Row],[RequirementID]],".",-2),
 "cost."
)</f>
        <v>building.onsen@2</v>
      </c>
      <c r="C363" s="41" t="str">
        <f>_xlfn.XLOOKUP(tblCostChecklist[[#This Row],[TargetID]],tblTargets[TargetID],tblTargets[DisplayName],"")</f>
        <v>Onsen Lv 2</v>
      </c>
      <c r="D363" s="41" t="str">
        <f>_xlfn.XLOOKUP(tblCostChecklist[[#This Row],[TargetID]],tblTargets[TargetID],tblTargets[TargetType],"")</f>
        <v>BUILDING</v>
      </c>
      <c r="E363" s="41" t="s">
        <v>708</v>
      </c>
      <c r="F363" s="41">
        <v>1</v>
      </c>
      <c r="G363" s="41">
        <f>_xlfn.XLOOKUP(
 tblCostChecklist[[#This Row],[RequirementID]],
 tblCost[RequirementID],
 tblCost[QuantityRequired],
 ""
)</f>
        <v>5</v>
      </c>
      <c r="H3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92</v>
      </c>
      <c r="I363" s="41" t="str">
        <f>_xlfn.XLOOKUP(tblCostChecklist[[#This Row],[TargetID]],tblTargetStatus[TargetID],tblTargetStatus[Status])</f>
        <v>BLOCKED</v>
      </c>
      <c r="J363" s="25" t="b">
        <v>0</v>
      </c>
    </row>
    <row r="364" spans="1:10">
      <c r="A364" s="41" t="s">
        <v>4012</v>
      </c>
      <c r="B364" s="41" t="str">
        <f>_xlfn.TEXTAFTER(
 _xlfn.TEXTBEFORE(tblCostChecklist[[#This Row],[RequirementID]],".",-2),
 "cost."
)</f>
        <v>building.onsen@2</v>
      </c>
      <c r="C364" s="41" t="str">
        <f>_xlfn.XLOOKUP(tblCostChecklist[[#This Row],[TargetID]],tblTargets[TargetID],tblTargets[DisplayName],"")</f>
        <v>Onsen Lv 2</v>
      </c>
      <c r="D364" s="41" t="str">
        <f>_xlfn.XLOOKUP(tblCostChecklist[[#This Row],[TargetID]],tblTargets[TargetID],tblTargets[TargetType],"")</f>
        <v>BUILDING</v>
      </c>
      <c r="E364" s="41" t="s">
        <v>666</v>
      </c>
      <c r="F364" s="41">
        <v>1</v>
      </c>
      <c r="G364" s="41">
        <f>_xlfn.XLOOKUP(
 tblCostChecklist[[#This Row],[RequirementID]],
 tblCost[RequirementID],
 tblCost[QuantityRequired],
 ""
)</f>
        <v>800</v>
      </c>
      <c r="H3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92</v>
      </c>
      <c r="I364" s="41" t="str">
        <f>_xlfn.XLOOKUP(tblCostChecklist[[#This Row],[TargetID]],tblTargetStatus[TargetID],tblTargetStatus[Status])</f>
        <v>BLOCKED</v>
      </c>
      <c r="J364" s="25" t="b">
        <v>0</v>
      </c>
    </row>
    <row r="365" spans="1:10">
      <c r="A365" s="41" t="s">
        <v>4013</v>
      </c>
      <c r="B365" s="41" t="str">
        <f>_xlfn.TEXTAFTER(
 _xlfn.TEXTBEFORE(tblCostChecklist[[#This Row],[RequirementID]],".",-2),
 "cost."
)</f>
        <v>building.onsen@2</v>
      </c>
      <c r="C365" s="41" t="str">
        <f>_xlfn.XLOOKUP(tblCostChecklist[[#This Row],[TargetID]],tblTargets[TargetID],tblTargets[DisplayName],"")</f>
        <v>Onsen Lv 2</v>
      </c>
      <c r="D365" s="41" t="str">
        <f>_xlfn.XLOOKUP(tblCostChecklist[[#This Row],[TargetID]],tblTargets[TargetID],tblTargets[TargetType],"")</f>
        <v>BUILDING</v>
      </c>
      <c r="E365" s="41" t="s">
        <v>701</v>
      </c>
      <c r="F365" s="41">
        <v>1</v>
      </c>
      <c r="G365" s="41">
        <f>_xlfn.XLOOKUP(
 tblCostChecklist[[#This Row],[RequirementID]],
 tblCost[RequirementID],
 tblCost[QuantityRequired],
 ""
)</f>
        <v>600</v>
      </c>
      <c r="H3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92</v>
      </c>
      <c r="I365" s="41" t="str">
        <f>_xlfn.XLOOKUP(tblCostChecklist[[#This Row],[TargetID]],tblTargetStatus[TargetID],tblTargetStatus[Status])</f>
        <v>BLOCKED</v>
      </c>
      <c r="J365" s="25" t="b">
        <v>0</v>
      </c>
    </row>
    <row r="366" spans="1:10">
      <c r="A366" s="41" t="s">
        <v>4014</v>
      </c>
      <c r="B366" s="41" t="str">
        <f>_xlfn.TEXTAFTER(
 _xlfn.TEXTBEFORE(tblCostChecklist[[#This Row],[RequirementID]],".",-2),
 "cost."
)</f>
        <v>building.onsen@2</v>
      </c>
      <c r="C366" s="41" t="str">
        <f>_xlfn.XLOOKUP(tblCostChecklist[[#This Row],[TargetID]],tblTargets[TargetID],tblTargets[DisplayName],"")</f>
        <v>Onsen Lv 2</v>
      </c>
      <c r="D366" s="41" t="str">
        <f>_xlfn.XLOOKUP(tblCostChecklist[[#This Row],[TargetID]],tblTargets[TargetID],tblTargets[TargetType],"")</f>
        <v>BUILDING</v>
      </c>
      <c r="E366" s="41" t="s">
        <v>717</v>
      </c>
      <c r="F366" s="41">
        <v>1</v>
      </c>
      <c r="G366" s="41">
        <f>_xlfn.XLOOKUP(
 tblCostChecklist[[#This Row],[RequirementID]],
 tblCost[RequirementID],
 tblCost[QuantityRequired],
 ""
)</f>
        <v>500</v>
      </c>
      <c r="H3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92</v>
      </c>
      <c r="I366" s="41" t="str">
        <f>_xlfn.XLOOKUP(tblCostChecklist[[#This Row],[TargetID]],tblTargetStatus[TargetID],tblTargetStatus[Status])</f>
        <v>BLOCKED</v>
      </c>
      <c r="J366" s="25" t="b">
        <v>0</v>
      </c>
    </row>
    <row r="367" spans="1:10">
      <c r="A367" s="41" t="s">
        <v>4015</v>
      </c>
      <c r="B367" s="41" t="str">
        <f>_xlfn.TEXTAFTER(
 _xlfn.TEXTBEFORE(tblCostChecklist[[#This Row],[RequirementID]],".",-2),
 "cost."
)</f>
        <v>building.outpost@1</v>
      </c>
      <c r="C367" s="41" t="str">
        <f>_xlfn.XLOOKUP(tblCostChecklist[[#This Row],[TargetID]],tblTargets[TargetID],tblTargets[DisplayName],"")</f>
        <v>Outpost Lv 1</v>
      </c>
      <c r="D367" s="41" t="str">
        <f>_xlfn.XLOOKUP(tblCostChecklist[[#This Row],[TargetID]],tblTargets[TargetID],tblTargets[TargetType],"")</f>
        <v>BUILDING</v>
      </c>
      <c r="E367" s="41" t="s">
        <v>708</v>
      </c>
      <c r="F367" s="41">
        <v>1</v>
      </c>
      <c r="G367" s="41">
        <f>_xlfn.XLOOKUP(
 tblCostChecklist[[#This Row],[RequirementID]],
 tblCost[RequirementID],
 tblCost[QuantityRequired],
 ""
)</f>
        <v>6</v>
      </c>
      <c r="H3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67" s="41" t="str">
        <f>_xlfn.XLOOKUP(tblCostChecklist[[#This Row],[TargetID]],tblTargetStatus[TargetID],tblTargetStatus[Status])</f>
        <v>BLOCKED</v>
      </c>
      <c r="J367" s="25" t="b">
        <v>0</v>
      </c>
    </row>
    <row r="368" spans="1:10">
      <c r="A368" s="41" t="s">
        <v>4016</v>
      </c>
      <c r="B368" s="41" t="str">
        <f>_xlfn.TEXTAFTER(
 _xlfn.TEXTBEFORE(tblCostChecklist[[#This Row],[RequirementID]],".",-2),
 "cost."
)</f>
        <v>building.outpost@1</v>
      </c>
      <c r="C368" s="41" t="str">
        <f>_xlfn.XLOOKUP(tblCostChecklist[[#This Row],[TargetID]],tblTargets[TargetID],tblTargets[DisplayName],"")</f>
        <v>Outpost Lv 1</v>
      </c>
      <c r="D368" s="41" t="str">
        <f>_xlfn.XLOOKUP(tblCostChecklist[[#This Row],[TargetID]],tblTargets[TargetID],tblTargets[TargetType],"")</f>
        <v>BUILDING</v>
      </c>
      <c r="E368" s="41" t="s">
        <v>666</v>
      </c>
      <c r="F368" s="41">
        <v>1</v>
      </c>
      <c r="G368" s="41">
        <f>_xlfn.XLOOKUP(
 tblCostChecklist[[#This Row],[RequirementID]],
 tblCost[RequirementID],
 tblCost[QuantityRequired],
 ""
)</f>
        <v>1000</v>
      </c>
      <c r="H3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68" s="41" t="str">
        <f>_xlfn.XLOOKUP(tblCostChecklist[[#This Row],[TargetID]],tblTargetStatus[TargetID],tblTargetStatus[Status])</f>
        <v>BLOCKED</v>
      </c>
      <c r="J368" s="25" t="b">
        <v>0</v>
      </c>
    </row>
    <row r="369" spans="1:10">
      <c r="A369" s="41" t="s">
        <v>4017</v>
      </c>
      <c r="B369" s="41" t="str">
        <f>_xlfn.TEXTAFTER(
 _xlfn.TEXTBEFORE(tblCostChecklist[[#This Row],[RequirementID]],".",-2),
 "cost."
)</f>
        <v>building.outpost@1</v>
      </c>
      <c r="C369" s="41" t="str">
        <f>_xlfn.XLOOKUP(tblCostChecklist[[#This Row],[TargetID]],tblTargets[TargetID],tblTargets[DisplayName],"")</f>
        <v>Outpost Lv 1</v>
      </c>
      <c r="D369" s="41" t="str">
        <f>_xlfn.XLOOKUP(tblCostChecklist[[#This Row],[TargetID]],tblTargets[TargetID],tblTargets[TargetType],"")</f>
        <v>BUILDING</v>
      </c>
      <c r="E369" s="41" t="s">
        <v>658</v>
      </c>
      <c r="F369" s="41">
        <v>1</v>
      </c>
      <c r="G369" s="41">
        <f>_xlfn.XLOOKUP(
 tblCostChecklist[[#This Row],[RequirementID]],
 tblCost[RequirementID],
 tblCost[QuantityRequired],
 ""
)</f>
        <v>1000</v>
      </c>
      <c r="H3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69" s="41" t="str">
        <f>_xlfn.XLOOKUP(tblCostChecklist[[#This Row],[TargetID]],tblTargetStatus[TargetID],tblTargetStatus[Status])</f>
        <v>BLOCKED</v>
      </c>
      <c r="J369" s="25" t="b">
        <v>0</v>
      </c>
    </row>
    <row r="370" spans="1:10">
      <c r="A370" s="41" t="s">
        <v>4018</v>
      </c>
      <c r="B370" s="41" t="str">
        <f>_xlfn.TEXTAFTER(
 _xlfn.TEXTBEFORE(tblCostChecklist[[#This Row],[RequirementID]],".",-2),
 "cost."
)</f>
        <v>building.outpost@1</v>
      </c>
      <c r="C370" s="41" t="str">
        <f>_xlfn.XLOOKUP(tblCostChecklist[[#This Row],[TargetID]],tblTargets[TargetID],tblTargets[DisplayName],"")</f>
        <v>Outpost Lv 1</v>
      </c>
      <c r="D370" s="41" t="str">
        <f>_xlfn.XLOOKUP(tblCostChecklist[[#This Row],[TargetID]],tblTargets[TargetID],tblTargets[TargetType],"")</f>
        <v>BUILDING</v>
      </c>
      <c r="E370" s="41" t="s">
        <v>717</v>
      </c>
      <c r="F370" s="41">
        <v>1</v>
      </c>
      <c r="G370" s="41">
        <f>_xlfn.XLOOKUP(
 tblCostChecklist[[#This Row],[RequirementID]],
 tblCost[RequirementID],
 tblCost[QuantityRequired],
 ""
)</f>
        <v>1000</v>
      </c>
      <c r="H3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70" s="41" t="str">
        <f>_xlfn.XLOOKUP(tblCostChecklist[[#This Row],[TargetID]],tblTargetStatus[TargetID],tblTargetStatus[Status])</f>
        <v>BLOCKED</v>
      </c>
      <c r="J370" s="25" t="b">
        <v>0</v>
      </c>
    </row>
    <row r="371" spans="1:10">
      <c r="A371" s="41" t="s">
        <v>4019</v>
      </c>
      <c r="B371" s="41" t="str">
        <f>_xlfn.TEXTAFTER(
 _xlfn.TEXTBEFORE(tblCostChecklist[[#This Row],[RequirementID]],".",-2),
 "cost."
)</f>
        <v>building.outpost@1</v>
      </c>
      <c r="C371" s="41" t="str">
        <f>_xlfn.XLOOKUP(tblCostChecklist[[#This Row],[TargetID]],tblTargets[TargetID],tblTargets[DisplayName],"")</f>
        <v>Outpost Lv 1</v>
      </c>
      <c r="D371" s="41" t="str">
        <f>_xlfn.XLOOKUP(tblCostChecklist[[#This Row],[TargetID]],tblTargets[TargetID],tblTargets[TargetType],"")</f>
        <v>BUILDING</v>
      </c>
      <c r="E371" s="41" t="s">
        <v>681</v>
      </c>
      <c r="F371" s="41">
        <v>1</v>
      </c>
      <c r="G371" s="41">
        <f>_xlfn.XLOOKUP(
 tblCostChecklist[[#This Row],[RequirementID]],
 tblCost[RequirementID],
 tblCost[QuantityRequired],
 ""
)</f>
        <v>100</v>
      </c>
      <c r="H3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71" s="41" t="str">
        <f>_xlfn.XLOOKUP(tblCostChecklist[[#This Row],[TargetID]],tblTargetStatus[TargetID],tblTargetStatus[Status])</f>
        <v>BLOCKED</v>
      </c>
      <c r="J371" s="25" t="b">
        <v>0</v>
      </c>
    </row>
    <row r="372" spans="1:10">
      <c r="A372" s="41" t="s">
        <v>4020</v>
      </c>
      <c r="B372" s="41" t="str">
        <f>_xlfn.TEXTAFTER(
 _xlfn.TEXTBEFORE(tblCostChecklist[[#This Row],[RequirementID]],".",-2),
 "cost."
)</f>
        <v>building.outpost@1</v>
      </c>
      <c r="C372" s="41" t="str">
        <f>_xlfn.XLOOKUP(tblCostChecklist[[#This Row],[TargetID]],tblTargets[TargetID],tblTargets[DisplayName],"")</f>
        <v>Outpost Lv 1</v>
      </c>
      <c r="D372" s="41" t="str">
        <f>_xlfn.XLOOKUP(tblCostChecklist[[#This Row],[TargetID]],tblTargets[TargetID],tblTargets[TargetType],"")</f>
        <v>BUILDING</v>
      </c>
      <c r="E372" s="41" t="s">
        <v>656</v>
      </c>
      <c r="F372" s="41">
        <v>1</v>
      </c>
      <c r="G372" s="41">
        <f>_xlfn.XLOOKUP(
 tblCostChecklist[[#This Row],[RequirementID]],
 tblCost[RequirementID],
 tblCost[QuantityRequired],
 ""
)</f>
        <v>300</v>
      </c>
      <c r="H3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72" s="41" t="str">
        <f>_xlfn.XLOOKUP(tblCostChecklist[[#This Row],[TargetID]],tblTargetStatus[TargetID],tblTargetStatus[Status])</f>
        <v>BLOCKED</v>
      </c>
      <c r="J372" s="25" t="b">
        <v>0</v>
      </c>
    </row>
    <row r="373" spans="1:10">
      <c r="A373" s="41" t="s">
        <v>4021</v>
      </c>
      <c r="B373" s="41" t="str">
        <f>_xlfn.TEXTAFTER(
 _xlfn.TEXTBEFORE(tblCostChecklist[[#This Row],[RequirementID]],".",-2),
 "cost."
)</f>
        <v>building.outpost@2</v>
      </c>
      <c r="C373" s="41" t="str">
        <f>_xlfn.XLOOKUP(tblCostChecklist[[#This Row],[TargetID]],tblTargets[TargetID],tblTargets[DisplayName],"")</f>
        <v>Outpost Lv 2</v>
      </c>
      <c r="D373" s="41" t="str">
        <f>_xlfn.XLOOKUP(tblCostChecklist[[#This Row],[TargetID]],tblTargets[TargetID],tblTargets[TargetType],"")</f>
        <v>BUILDING</v>
      </c>
      <c r="E373" s="41" t="s">
        <v>708</v>
      </c>
      <c r="F373" s="41">
        <v>1</v>
      </c>
      <c r="G373" s="41">
        <f>_xlfn.XLOOKUP(
 tblCostChecklist[[#This Row],[RequirementID]],
 tblCost[RequirementID],
 tblCost[QuantityRequired],
 ""
)</f>
        <v>8</v>
      </c>
      <c r="H3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3" s="41" t="str">
        <f>_xlfn.XLOOKUP(tblCostChecklist[[#This Row],[TargetID]],tblTargetStatus[TargetID],tblTargetStatus[Status])</f>
        <v>BLOCKED</v>
      </c>
      <c r="J373" s="25" t="b">
        <v>0</v>
      </c>
    </row>
    <row r="374" spans="1:10">
      <c r="A374" s="41" t="s">
        <v>4022</v>
      </c>
      <c r="B374" s="41" t="str">
        <f>_xlfn.TEXTAFTER(
 _xlfn.TEXTBEFORE(tblCostChecklist[[#This Row],[RequirementID]],".",-2),
 "cost."
)</f>
        <v>building.outpost@2</v>
      </c>
      <c r="C374" s="41" t="str">
        <f>_xlfn.XLOOKUP(tblCostChecklist[[#This Row],[TargetID]],tblTargets[TargetID],tblTargets[DisplayName],"")</f>
        <v>Outpost Lv 2</v>
      </c>
      <c r="D374" s="41" t="str">
        <f>_xlfn.XLOOKUP(tblCostChecklist[[#This Row],[TargetID]],tblTargets[TargetID],tblTargets[TargetType],"")</f>
        <v>BUILDING</v>
      </c>
      <c r="E374" s="41" t="s">
        <v>666</v>
      </c>
      <c r="F374" s="41">
        <v>1</v>
      </c>
      <c r="G374" s="41">
        <f>_xlfn.XLOOKUP(
 tblCostChecklist[[#This Row],[RequirementID]],
 tblCost[RequirementID],
 tblCost[QuantityRequired],
 ""
)</f>
        <v>1500</v>
      </c>
      <c r="H3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4" s="41" t="str">
        <f>_xlfn.XLOOKUP(tblCostChecklist[[#This Row],[TargetID]],tblTargetStatus[TargetID],tblTargetStatus[Status])</f>
        <v>BLOCKED</v>
      </c>
      <c r="J374" s="25" t="b">
        <v>0</v>
      </c>
    </row>
    <row r="375" spans="1:10">
      <c r="A375" s="41" t="s">
        <v>4023</v>
      </c>
      <c r="B375" s="41" t="str">
        <f>_xlfn.TEXTAFTER(
 _xlfn.TEXTBEFORE(tblCostChecklist[[#This Row],[RequirementID]],".",-2),
 "cost."
)</f>
        <v>building.outpost@2</v>
      </c>
      <c r="C375" s="41" t="str">
        <f>_xlfn.XLOOKUP(tblCostChecklist[[#This Row],[TargetID]],tblTargets[TargetID],tblTargets[DisplayName],"")</f>
        <v>Outpost Lv 2</v>
      </c>
      <c r="D375" s="41" t="str">
        <f>_xlfn.XLOOKUP(tblCostChecklist[[#This Row],[TargetID]],tblTargets[TargetID],tblTargets[TargetType],"")</f>
        <v>BUILDING</v>
      </c>
      <c r="E375" s="41" t="s">
        <v>658</v>
      </c>
      <c r="F375" s="41">
        <v>1</v>
      </c>
      <c r="G375" s="41">
        <f>_xlfn.XLOOKUP(
 tblCostChecklist[[#This Row],[RequirementID]],
 tblCost[RequirementID],
 tblCost[QuantityRequired],
 ""
)</f>
        <v>1500</v>
      </c>
      <c r="H3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5" s="41" t="str">
        <f>_xlfn.XLOOKUP(tblCostChecklist[[#This Row],[TargetID]],tblTargetStatus[TargetID],tblTargetStatus[Status])</f>
        <v>BLOCKED</v>
      </c>
      <c r="J375" s="25" t="b">
        <v>0</v>
      </c>
    </row>
    <row r="376" spans="1:10">
      <c r="A376" s="41" t="s">
        <v>4024</v>
      </c>
      <c r="B376" s="41" t="str">
        <f>_xlfn.TEXTAFTER(
 _xlfn.TEXTBEFORE(tblCostChecklist[[#This Row],[RequirementID]],".",-2),
 "cost."
)</f>
        <v>building.outpost@2</v>
      </c>
      <c r="C376" s="41" t="str">
        <f>_xlfn.XLOOKUP(tblCostChecklist[[#This Row],[TargetID]],tblTargets[TargetID],tblTargets[DisplayName],"")</f>
        <v>Outpost Lv 2</v>
      </c>
      <c r="D376" s="41" t="str">
        <f>_xlfn.XLOOKUP(tblCostChecklist[[#This Row],[TargetID]],tblTargets[TargetID],tblTargets[TargetType],"")</f>
        <v>BUILDING</v>
      </c>
      <c r="E376" s="41" t="s">
        <v>717</v>
      </c>
      <c r="F376" s="41">
        <v>1</v>
      </c>
      <c r="G376" s="41">
        <f>_xlfn.XLOOKUP(
 tblCostChecklist[[#This Row],[RequirementID]],
 tblCost[RequirementID],
 tblCost[QuantityRequired],
 ""
)</f>
        <v>3000</v>
      </c>
      <c r="H3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6" s="41" t="str">
        <f>_xlfn.XLOOKUP(tblCostChecklist[[#This Row],[TargetID]],tblTargetStatus[TargetID],tblTargetStatus[Status])</f>
        <v>BLOCKED</v>
      </c>
      <c r="J376" s="25" t="b">
        <v>0</v>
      </c>
    </row>
    <row r="377" spans="1:10">
      <c r="A377" s="41" t="s">
        <v>4025</v>
      </c>
      <c r="B377" s="41" t="str">
        <f>_xlfn.TEXTAFTER(
 _xlfn.TEXTBEFORE(tblCostChecklist[[#This Row],[RequirementID]],".",-2),
 "cost."
)</f>
        <v>building.outpost@2</v>
      </c>
      <c r="C377" s="41" t="str">
        <f>_xlfn.XLOOKUP(tblCostChecklist[[#This Row],[TargetID]],tblTargets[TargetID],tblTargets[DisplayName],"")</f>
        <v>Outpost Lv 2</v>
      </c>
      <c r="D377" s="41" t="str">
        <f>_xlfn.XLOOKUP(tblCostChecklist[[#This Row],[TargetID]],tblTargets[TargetID],tblTargets[TargetType],"")</f>
        <v>BUILDING</v>
      </c>
      <c r="E377" s="41" t="s">
        <v>716</v>
      </c>
      <c r="F377" s="41">
        <v>1</v>
      </c>
      <c r="G377" s="41">
        <f>_xlfn.XLOOKUP(
 tblCostChecklist[[#This Row],[RequirementID]],
 tblCost[RequirementID],
 tblCost[QuantityRequired],
 ""
)</f>
        <v>300</v>
      </c>
      <c r="H3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7" s="41" t="str">
        <f>_xlfn.XLOOKUP(tblCostChecklist[[#This Row],[TargetID]],tblTargetStatus[TargetID],tblTargetStatus[Status])</f>
        <v>BLOCKED</v>
      </c>
      <c r="J377" s="25" t="b">
        <v>0</v>
      </c>
    </row>
    <row r="378" spans="1:10">
      <c r="A378" s="41" t="s">
        <v>4026</v>
      </c>
      <c r="B378" s="41" t="str">
        <f>_xlfn.TEXTAFTER(
 _xlfn.TEXTBEFORE(tblCostChecklist[[#This Row],[RequirementID]],".",-2),
 "cost."
)</f>
        <v>building.outpost@2</v>
      </c>
      <c r="C378" s="41" t="str">
        <f>_xlfn.XLOOKUP(tblCostChecklist[[#This Row],[TargetID]],tblTargets[TargetID],tblTargets[DisplayName],"")</f>
        <v>Outpost Lv 2</v>
      </c>
      <c r="D378" s="41" t="str">
        <f>_xlfn.XLOOKUP(tblCostChecklist[[#This Row],[TargetID]],tblTargets[TargetID],tblTargets[TargetType],"")</f>
        <v>BUILDING</v>
      </c>
      <c r="E378" s="41" t="s">
        <v>691</v>
      </c>
      <c r="F378" s="41">
        <v>1</v>
      </c>
      <c r="G378" s="41">
        <f>_xlfn.XLOOKUP(
 tblCostChecklist[[#This Row],[RequirementID]],
 tblCost[RequirementID],
 tblCost[QuantityRequired],
 ""
)</f>
        <v>30</v>
      </c>
      <c r="H3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8" s="41" t="str">
        <f>_xlfn.XLOOKUP(tblCostChecklist[[#This Row],[TargetID]],tblTargetStatus[TargetID],tblTargetStatus[Status])</f>
        <v>BLOCKED</v>
      </c>
      <c r="J378" s="25" t="b">
        <v>0</v>
      </c>
    </row>
    <row r="379" spans="1:10">
      <c r="A379" s="41" t="s">
        <v>4027</v>
      </c>
      <c r="B379" s="41" t="str">
        <f>_xlfn.TEXTAFTER(
 _xlfn.TEXTBEFORE(tblCostChecklist[[#This Row],[RequirementID]],".",-2),
 "cost."
)</f>
        <v>building.outpost@3</v>
      </c>
      <c r="C379" s="41" t="str">
        <f>_xlfn.XLOOKUP(tblCostChecklist[[#This Row],[TargetID]],tblTargets[TargetID],tblTargets[DisplayName],"")</f>
        <v>Outpost Lv 3</v>
      </c>
      <c r="D379" s="41" t="str">
        <f>_xlfn.XLOOKUP(tblCostChecklist[[#This Row],[TargetID]],tblTargets[TargetID],tblTargets[TargetType],"")</f>
        <v>BUILDING</v>
      </c>
      <c r="E379" s="41" t="s">
        <v>708</v>
      </c>
      <c r="F379" s="41">
        <v>1</v>
      </c>
      <c r="G379" s="41">
        <f>_xlfn.XLOOKUP(
 tblCostChecklist[[#This Row],[RequirementID]],
 tblCost[RequirementID],
 tblCost[QuantityRequired],
 ""
)</f>
        <v>10</v>
      </c>
      <c r="H3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79" s="41" t="str">
        <f>_xlfn.XLOOKUP(tblCostChecklist[[#This Row],[TargetID]],tblTargetStatus[TargetID],tblTargetStatus[Status])</f>
        <v>BLOCKED</v>
      </c>
      <c r="J379" s="25" t="b">
        <v>0</v>
      </c>
    </row>
    <row r="380" spans="1:10">
      <c r="A380" s="41" t="s">
        <v>4028</v>
      </c>
      <c r="B380" s="41" t="str">
        <f>_xlfn.TEXTAFTER(
 _xlfn.TEXTBEFORE(tblCostChecklist[[#This Row],[RequirementID]],".",-2),
 "cost."
)</f>
        <v>building.outpost@3</v>
      </c>
      <c r="C380" s="41" t="str">
        <f>_xlfn.XLOOKUP(tblCostChecklist[[#This Row],[TargetID]],tblTargets[TargetID],tblTargets[DisplayName],"")</f>
        <v>Outpost Lv 3</v>
      </c>
      <c r="D380" s="41" t="str">
        <f>_xlfn.XLOOKUP(tblCostChecklist[[#This Row],[TargetID]],tblTargets[TargetID],tblTargets[TargetType],"")</f>
        <v>BUILDING</v>
      </c>
      <c r="E380" s="41" t="s">
        <v>666</v>
      </c>
      <c r="F380" s="41">
        <v>1</v>
      </c>
      <c r="G380" s="41">
        <f>_xlfn.XLOOKUP(
 tblCostChecklist[[#This Row],[RequirementID]],
 tblCost[RequirementID],
 tblCost[QuantityRequired],
 ""
)</f>
        <v>2000</v>
      </c>
      <c r="H3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80" s="41" t="str">
        <f>_xlfn.XLOOKUP(tblCostChecklist[[#This Row],[TargetID]],tblTargetStatus[TargetID],tblTargetStatus[Status])</f>
        <v>BLOCKED</v>
      </c>
      <c r="J380" s="25" t="b">
        <v>0</v>
      </c>
    </row>
    <row r="381" spans="1:10">
      <c r="A381" s="41" t="s">
        <v>4029</v>
      </c>
      <c r="B381" s="41" t="str">
        <f>_xlfn.TEXTAFTER(
 _xlfn.TEXTBEFORE(tblCostChecklist[[#This Row],[RequirementID]],".",-2),
 "cost."
)</f>
        <v>building.outpost@3</v>
      </c>
      <c r="C381" s="41" t="str">
        <f>_xlfn.XLOOKUP(tblCostChecklist[[#This Row],[TargetID]],tblTargets[TargetID],tblTargets[DisplayName],"")</f>
        <v>Outpost Lv 3</v>
      </c>
      <c r="D381" s="41" t="str">
        <f>_xlfn.XLOOKUP(tblCostChecklist[[#This Row],[TargetID]],tblTargets[TargetID],tblTargets[TargetType],"")</f>
        <v>BUILDING</v>
      </c>
      <c r="E381" s="41" t="s">
        <v>658</v>
      </c>
      <c r="F381" s="41">
        <v>1</v>
      </c>
      <c r="G381" s="41">
        <f>_xlfn.XLOOKUP(
 tblCostChecklist[[#This Row],[RequirementID]],
 tblCost[RequirementID],
 tblCost[QuantityRequired],
 ""
)</f>
        <v>2000</v>
      </c>
      <c r="H3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81" s="41" t="str">
        <f>_xlfn.XLOOKUP(tblCostChecklist[[#This Row],[TargetID]],tblTargetStatus[TargetID],tblTargetStatus[Status])</f>
        <v>BLOCKED</v>
      </c>
      <c r="J381" s="25" t="b">
        <v>0</v>
      </c>
    </row>
    <row r="382" spans="1:10">
      <c r="A382" s="41" t="s">
        <v>4030</v>
      </c>
      <c r="B382" s="41" t="str">
        <f>_xlfn.TEXTAFTER(
 _xlfn.TEXTBEFORE(tblCostChecklist[[#This Row],[RequirementID]],".",-2),
 "cost."
)</f>
        <v>building.outpost@3</v>
      </c>
      <c r="C382" s="41" t="str">
        <f>_xlfn.XLOOKUP(tblCostChecklist[[#This Row],[TargetID]],tblTargets[TargetID],tblTargets[DisplayName],"")</f>
        <v>Outpost Lv 3</v>
      </c>
      <c r="D382" s="41" t="str">
        <f>_xlfn.XLOOKUP(tblCostChecklist[[#This Row],[TargetID]],tblTargets[TargetID],tblTargets[TargetType],"")</f>
        <v>BUILDING</v>
      </c>
      <c r="E382" s="41" t="s">
        <v>717</v>
      </c>
      <c r="F382" s="41">
        <v>1</v>
      </c>
      <c r="G382" s="41">
        <f>_xlfn.XLOOKUP(
 tblCostChecklist[[#This Row],[RequirementID]],
 tblCost[RequirementID],
 tblCost[QuantityRequired],
 ""
)</f>
        <v>5000</v>
      </c>
      <c r="H3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82" s="41" t="str">
        <f>_xlfn.XLOOKUP(tblCostChecklist[[#This Row],[TargetID]],tblTargetStatus[TargetID],tblTargetStatus[Status])</f>
        <v>BLOCKED</v>
      </c>
      <c r="J382" s="25" t="b">
        <v>0</v>
      </c>
    </row>
    <row r="383" spans="1:10">
      <c r="A383" s="41" t="s">
        <v>4031</v>
      </c>
      <c r="B383" s="41" t="str">
        <f>_xlfn.TEXTAFTER(
 _xlfn.TEXTBEFORE(tblCostChecklist[[#This Row],[RequirementID]],".",-2),
 "cost."
)</f>
        <v>building.outpost@3</v>
      </c>
      <c r="C383" s="41" t="str">
        <f>_xlfn.XLOOKUP(tblCostChecklist[[#This Row],[TargetID]],tblTargets[TargetID],tblTargets[DisplayName],"")</f>
        <v>Outpost Lv 3</v>
      </c>
      <c r="D383" s="41" t="str">
        <f>_xlfn.XLOOKUP(tblCostChecklist[[#This Row],[TargetID]],tblTargets[TargetID],tblTargets[TargetType],"")</f>
        <v>BUILDING</v>
      </c>
      <c r="E383" s="41" t="s">
        <v>695</v>
      </c>
      <c r="F383" s="41">
        <v>1</v>
      </c>
      <c r="G383" s="41">
        <f>_xlfn.XLOOKUP(
 tblCostChecklist[[#This Row],[RequirementID]],
 tblCost[RequirementID],
 tblCost[QuantityRequired],
 ""
)</f>
        <v>20</v>
      </c>
      <c r="H3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83" s="41" t="str">
        <f>_xlfn.XLOOKUP(tblCostChecklist[[#This Row],[TargetID]],tblTargetStatus[TargetID],tblTargetStatus[Status])</f>
        <v>BLOCKED</v>
      </c>
      <c r="J383" s="25" t="b">
        <v>0</v>
      </c>
    </row>
    <row r="384" spans="1:10">
      <c r="A384" s="41" t="s">
        <v>4032</v>
      </c>
      <c r="B384" s="41" t="str">
        <f>_xlfn.TEXTAFTER(
 _xlfn.TEXTBEFORE(tblCostChecklist[[#This Row],[RequirementID]],".",-2),
 "cost."
)</f>
        <v>building.outpost@3</v>
      </c>
      <c r="C384" s="41" t="str">
        <f>_xlfn.XLOOKUP(tblCostChecklist[[#This Row],[TargetID]],tblTargets[TargetID],tblTargets[DisplayName],"")</f>
        <v>Outpost Lv 3</v>
      </c>
      <c r="D384" s="41" t="str">
        <f>_xlfn.XLOOKUP(tblCostChecklist[[#This Row],[TargetID]],tblTargets[TargetID],tblTargets[TargetType],"")</f>
        <v>BUILDING</v>
      </c>
      <c r="E384" s="41" t="s">
        <v>709</v>
      </c>
      <c r="F384" s="41">
        <v>1</v>
      </c>
      <c r="G384" s="41">
        <f>_xlfn.XLOOKUP(
 tblCostChecklist[[#This Row],[RequirementID]],
 tblCost[RequirementID],
 tblCost[QuantityRequired],
 ""
)</f>
        <v>20</v>
      </c>
      <c r="H3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84" s="41" t="str">
        <f>_xlfn.XLOOKUP(tblCostChecklist[[#This Row],[TargetID]],tblTargetStatus[TargetID],tblTargetStatus[Status])</f>
        <v>BLOCKED</v>
      </c>
      <c r="J384" s="25" t="b">
        <v>0</v>
      </c>
    </row>
    <row r="385" spans="1:10">
      <c r="A385" s="41" t="s">
        <v>4033</v>
      </c>
      <c r="B385" s="41" t="str">
        <f>_xlfn.TEXTAFTER(
 _xlfn.TEXTBEFORE(tblCostChecklist[[#This Row],[RequirementID]],".",-2),
 "cost."
)</f>
        <v>building.pagoda@1</v>
      </c>
      <c r="C385" s="41" t="str">
        <f>_xlfn.XLOOKUP(tblCostChecklist[[#This Row],[TargetID]],tblTargets[TargetID],tblTargets[DisplayName],"")</f>
        <v>Pagoda Lv 1</v>
      </c>
      <c r="D385" s="41" t="str">
        <f>_xlfn.XLOOKUP(tblCostChecklist[[#This Row],[TargetID]],tblTargets[TargetID],tblTargets[TargetType],"")</f>
        <v>BUILDING</v>
      </c>
      <c r="E385" s="41" t="s">
        <v>708</v>
      </c>
      <c r="F385" s="41">
        <v>1</v>
      </c>
      <c r="G385" s="41">
        <f>_xlfn.XLOOKUP(
 tblCostChecklist[[#This Row],[RequirementID]],
 tblCost[RequirementID],
 tblCost[QuantityRequired],
 ""
)</f>
        <v>1</v>
      </c>
      <c r="H3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57</v>
      </c>
      <c r="I385" s="41" t="str">
        <f>_xlfn.XLOOKUP(tblCostChecklist[[#This Row],[TargetID]],tblTargetStatus[TargetID],tblTargetStatus[Status])</f>
        <v>BLOCKED</v>
      </c>
      <c r="J385" s="25" t="b">
        <v>0</v>
      </c>
    </row>
    <row r="386" spans="1:10">
      <c r="A386" s="41" t="s">
        <v>4034</v>
      </c>
      <c r="B386" s="41" t="str">
        <f>_xlfn.TEXTAFTER(
 _xlfn.TEXTBEFORE(tblCostChecklist[[#This Row],[RequirementID]],".",-2),
 "cost."
)</f>
        <v>building.pagoda@1</v>
      </c>
      <c r="C386" s="41" t="str">
        <f>_xlfn.XLOOKUP(tblCostChecklist[[#This Row],[TargetID]],tblTargets[TargetID],tblTargets[DisplayName],"")</f>
        <v>Pagoda Lv 1</v>
      </c>
      <c r="D386" s="41" t="str">
        <f>_xlfn.XLOOKUP(tblCostChecklist[[#This Row],[TargetID]],tblTargets[TargetID],tblTargets[TargetType],"")</f>
        <v>BUILDING</v>
      </c>
      <c r="E386" s="41" t="s">
        <v>666</v>
      </c>
      <c r="F386" s="41">
        <v>1</v>
      </c>
      <c r="G386" s="41">
        <f>_xlfn.XLOOKUP(
 tblCostChecklist[[#This Row],[RequirementID]],
 tblCost[RequirementID],
 tblCost[QuantityRequired],
 ""
)</f>
        <v>50</v>
      </c>
      <c r="H3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57</v>
      </c>
      <c r="I386" s="41" t="str">
        <f>_xlfn.XLOOKUP(tblCostChecklist[[#This Row],[TargetID]],tblTargetStatus[TargetID],tblTargetStatus[Status])</f>
        <v>BLOCKED</v>
      </c>
      <c r="J386" s="25" t="b">
        <v>0</v>
      </c>
    </row>
    <row r="387" spans="1:10">
      <c r="A387" s="41" t="s">
        <v>4035</v>
      </c>
      <c r="B387" s="41" t="str">
        <f>_xlfn.TEXTAFTER(
 _xlfn.TEXTBEFORE(tblCostChecklist[[#This Row],[RequirementID]],".",-2),
 "cost."
)</f>
        <v>building.pagoda@1</v>
      </c>
      <c r="C387" s="41" t="str">
        <f>_xlfn.XLOOKUP(tblCostChecklist[[#This Row],[TargetID]],tblTargets[TargetID],tblTargets[DisplayName],"")</f>
        <v>Pagoda Lv 1</v>
      </c>
      <c r="D387" s="41" t="str">
        <f>_xlfn.XLOOKUP(tblCostChecklist[[#This Row],[TargetID]],tblTargets[TargetID],tblTargets[TargetType],"")</f>
        <v>BUILDING</v>
      </c>
      <c r="E387" s="41" t="s">
        <v>723</v>
      </c>
      <c r="F387" s="41">
        <v>1</v>
      </c>
      <c r="G387" s="41">
        <f>_xlfn.XLOOKUP(
 tblCostChecklist[[#This Row],[RequirementID]],
 tblCost[RequirementID],
 tblCost[QuantityRequired],
 ""
)</f>
        <v>50</v>
      </c>
      <c r="H3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57</v>
      </c>
      <c r="I387" s="41" t="str">
        <f>_xlfn.XLOOKUP(tblCostChecklist[[#This Row],[TargetID]],tblTargetStatus[TargetID],tblTargetStatus[Status])</f>
        <v>BLOCKED</v>
      </c>
      <c r="J387" s="25" t="b">
        <v>0</v>
      </c>
    </row>
    <row r="388" spans="1:10">
      <c r="A388" s="41" t="s">
        <v>4036</v>
      </c>
      <c r="B388" s="41" t="str">
        <f>_xlfn.TEXTAFTER(
 _xlfn.TEXTBEFORE(tblCostChecklist[[#This Row],[RequirementID]],".",-2),
 "cost."
)</f>
        <v>building.pagoda@1</v>
      </c>
      <c r="C388" s="41" t="str">
        <f>_xlfn.XLOOKUP(tblCostChecklist[[#This Row],[TargetID]],tblTargets[TargetID],tblTargets[DisplayName],"")</f>
        <v>Pagoda Lv 1</v>
      </c>
      <c r="D388" s="41" t="str">
        <f>_xlfn.XLOOKUP(tblCostChecklist[[#This Row],[TargetID]],tblTargets[TargetID],tblTargets[TargetType],"")</f>
        <v>BUILDING</v>
      </c>
      <c r="E388" s="41" t="s">
        <v>717</v>
      </c>
      <c r="F388" s="41">
        <v>1</v>
      </c>
      <c r="G388" s="41">
        <f>_xlfn.XLOOKUP(
 tblCostChecklist[[#This Row],[RequirementID]],
 tblCost[RequirementID],
 tblCost[QuantityRequired],
 ""
)</f>
        <v>50</v>
      </c>
      <c r="H3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57</v>
      </c>
      <c r="I388" s="41" t="str">
        <f>_xlfn.XLOOKUP(tblCostChecklist[[#This Row],[TargetID]],tblTargetStatus[TargetID],tblTargetStatus[Status])</f>
        <v>BLOCKED</v>
      </c>
      <c r="J388" s="25" t="b">
        <v>0</v>
      </c>
    </row>
    <row r="389" spans="1:10">
      <c r="A389" s="41" t="s">
        <v>4037</v>
      </c>
      <c r="B389" s="41" t="str">
        <f>_xlfn.TEXTAFTER(
 _xlfn.TEXTBEFORE(tblCostChecklist[[#This Row],[RequirementID]],".",-2),
 "cost."
)</f>
        <v>building.pagoda@1</v>
      </c>
      <c r="C389" s="41" t="str">
        <f>_xlfn.XLOOKUP(tblCostChecklist[[#This Row],[TargetID]],tblTargets[TargetID],tblTargets[DisplayName],"")</f>
        <v>Pagoda Lv 1</v>
      </c>
      <c r="D389" s="41" t="str">
        <f>_xlfn.XLOOKUP(tblCostChecklist[[#This Row],[TargetID]],tblTargets[TargetID],tblTargets[TargetType],"")</f>
        <v>BUILDING</v>
      </c>
      <c r="E389" s="41" t="s">
        <v>700</v>
      </c>
      <c r="F389" s="41">
        <v>1</v>
      </c>
      <c r="G389" s="41">
        <f>_xlfn.XLOOKUP(
 tblCostChecklist[[#This Row],[RequirementID]],
 tblCost[RequirementID],
 tblCost[QuantityRequired],
 ""
)</f>
        <v>5</v>
      </c>
      <c r="H3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57</v>
      </c>
      <c r="I389" s="41" t="str">
        <f>_xlfn.XLOOKUP(tblCostChecklist[[#This Row],[TargetID]],tblTargetStatus[TargetID],tblTargetStatus[Status])</f>
        <v>BLOCKED</v>
      </c>
      <c r="J389" s="25" t="b">
        <v>0</v>
      </c>
    </row>
    <row r="390" spans="1:10">
      <c r="A390" s="41" t="s">
        <v>4038</v>
      </c>
      <c r="B390" s="41" t="str">
        <f>_xlfn.TEXTAFTER(
 _xlfn.TEXTBEFORE(tblCostChecklist[[#This Row],[RequirementID]],".",-2),
 "cost."
)</f>
        <v>building.pagoda@2</v>
      </c>
      <c r="C390" s="41" t="str">
        <f>_xlfn.XLOOKUP(tblCostChecklist[[#This Row],[TargetID]],tblTargets[TargetID],tblTargets[DisplayName],"")</f>
        <v>Pagoda Lv 2</v>
      </c>
      <c r="D390" s="41" t="str">
        <f>_xlfn.XLOOKUP(tblCostChecklist[[#This Row],[TargetID]],tblTargets[TargetID],tblTargets[TargetType],"")</f>
        <v>BUILDING</v>
      </c>
      <c r="E390" s="41" t="s">
        <v>708</v>
      </c>
      <c r="F390" s="41">
        <v>1</v>
      </c>
      <c r="G390" s="41">
        <f>_xlfn.XLOOKUP(
 tblCostChecklist[[#This Row],[RequirementID]],
 tblCost[RequirementID],
 tblCost[QuantityRequired],
 ""
)</f>
        <v>2</v>
      </c>
      <c r="H3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58</v>
      </c>
      <c r="I390" s="41" t="str">
        <f>_xlfn.XLOOKUP(tblCostChecklist[[#This Row],[TargetID]],tblTargetStatus[TargetID],tblTargetStatus[Status])</f>
        <v>BLOCKED</v>
      </c>
      <c r="J390" s="25" t="b">
        <v>0</v>
      </c>
    </row>
    <row r="391" spans="1:10">
      <c r="A391" s="41" t="s">
        <v>4039</v>
      </c>
      <c r="B391" s="41" t="str">
        <f>_xlfn.TEXTAFTER(
 _xlfn.TEXTBEFORE(tblCostChecklist[[#This Row],[RequirementID]],".",-2),
 "cost."
)</f>
        <v>building.pagoda@2</v>
      </c>
      <c r="C391" s="41" t="str">
        <f>_xlfn.XLOOKUP(tblCostChecklist[[#This Row],[TargetID]],tblTargets[TargetID],tblTargets[DisplayName],"")</f>
        <v>Pagoda Lv 2</v>
      </c>
      <c r="D391" s="41" t="str">
        <f>_xlfn.XLOOKUP(tblCostChecklist[[#This Row],[TargetID]],tblTargets[TargetID],tblTargets[TargetType],"")</f>
        <v>BUILDING</v>
      </c>
      <c r="E391" s="41" t="s">
        <v>666</v>
      </c>
      <c r="F391" s="41">
        <v>1</v>
      </c>
      <c r="G391" s="41">
        <f>_xlfn.XLOOKUP(
 tblCostChecklist[[#This Row],[RequirementID]],
 tblCost[RequirementID],
 tblCost[QuantityRequired],
 ""
)</f>
        <v>200</v>
      </c>
      <c r="H3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58</v>
      </c>
      <c r="I391" s="41" t="str">
        <f>_xlfn.XLOOKUP(tblCostChecklist[[#This Row],[TargetID]],tblTargetStatus[TargetID],tblTargetStatus[Status])</f>
        <v>BLOCKED</v>
      </c>
      <c r="J391" s="25" t="b">
        <v>0</v>
      </c>
    </row>
    <row r="392" spans="1:10">
      <c r="A392" s="41" t="s">
        <v>4040</v>
      </c>
      <c r="B392" s="41" t="str">
        <f>_xlfn.TEXTAFTER(
 _xlfn.TEXTBEFORE(tblCostChecklist[[#This Row],[RequirementID]],".",-2),
 "cost."
)</f>
        <v>building.pagoda@2</v>
      </c>
      <c r="C392" s="41" t="str">
        <f>_xlfn.XLOOKUP(tblCostChecklist[[#This Row],[TargetID]],tblTargets[TargetID],tblTargets[DisplayName],"")</f>
        <v>Pagoda Lv 2</v>
      </c>
      <c r="D392" s="41" t="str">
        <f>_xlfn.XLOOKUP(tblCostChecklist[[#This Row],[TargetID]],tblTargets[TargetID],tblTargets[TargetType],"")</f>
        <v>BUILDING</v>
      </c>
      <c r="E392" s="41" t="s">
        <v>723</v>
      </c>
      <c r="F392" s="41">
        <v>1</v>
      </c>
      <c r="G392" s="41">
        <f>_xlfn.XLOOKUP(
 tblCostChecklist[[#This Row],[RequirementID]],
 tblCost[RequirementID],
 tblCost[QuantityRequired],
 ""
)</f>
        <v>200</v>
      </c>
      <c r="H3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58</v>
      </c>
      <c r="I392" s="41" t="str">
        <f>_xlfn.XLOOKUP(tblCostChecklist[[#This Row],[TargetID]],tblTargetStatus[TargetID],tblTargetStatus[Status])</f>
        <v>BLOCKED</v>
      </c>
      <c r="J392" s="25" t="b">
        <v>0</v>
      </c>
    </row>
    <row r="393" spans="1:10">
      <c r="A393" s="41" t="s">
        <v>4041</v>
      </c>
      <c r="B393" s="41" t="str">
        <f>_xlfn.TEXTAFTER(
 _xlfn.TEXTBEFORE(tblCostChecklist[[#This Row],[RequirementID]],".",-2),
 "cost."
)</f>
        <v>building.pagoda@2</v>
      </c>
      <c r="C393" s="41" t="str">
        <f>_xlfn.XLOOKUP(tblCostChecklist[[#This Row],[TargetID]],tblTargets[TargetID],tblTargets[DisplayName],"")</f>
        <v>Pagoda Lv 2</v>
      </c>
      <c r="D393" s="41" t="str">
        <f>_xlfn.XLOOKUP(tblCostChecklist[[#This Row],[TargetID]],tblTargets[TargetID],tblTargets[TargetType],"")</f>
        <v>BUILDING</v>
      </c>
      <c r="E393" s="41" t="s">
        <v>717</v>
      </c>
      <c r="F393" s="41">
        <v>1</v>
      </c>
      <c r="G393" s="41">
        <f>_xlfn.XLOOKUP(
 tblCostChecklist[[#This Row],[RequirementID]],
 tblCost[RequirementID],
 tblCost[QuantityRequired],
 ""
)</f>
        <v>200</v>
      </c>
      <c r="H3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58</v>
      </c>
      <c r="I393" s="41" t="str">
        <f>_xlfn.XLOOKUP(tblCostChecklist[[#This Row],[TargetID]],tblTargetStatus[TargetID],tblTargetStatus[Status])</f>
        <v>BLOCKED</v>
      </c>
      <c r="J393" s="25" t="b">
        <v>0</v>
      </c>
    </row>
    <row r="394" spans="1:10">
      <c r="A394" s="41" t="s">
        <v>4042</v>
      </c>
      <c r="B394" s="41" t="str">
        <f>_xlfn.TEXTAFTER(
 _xlfn.TEXTBEFORE(tblCostChecklist[[#This Row],[RequirementID]],".",-2),
 "cost."
)</f>
        <v>building.pagoda@2</v>
      </c>
      <c r="C394" s="41" t="str">
        <f>_xlfn.XLOOKUP(tblCostChecklist[[#This Row],[TargetID]],tblTargets[TargetID],tblTargets[DisplayName],"")</f>
        <v>Pagoda Lv 2</v>
      </c>
      <c r="D394" s="41" t="str">
        <f>_xlfn.XLOOKUP(tblCostChecklist[[#This Row],[TargetID]],tblTargets[TargetID],tblTargets[TargetType],"")</f>
        <v>BUILDING</v>
      </c>
      <c r="E394" s="41" t="s">
        <v>664</v>
      </c>
      <c r="F394" s="41">
        <v>1</v>
      </c>
      <c r="G394" s="41">
        <f>_xlfn.XLOOKUP(
 tblCostChecklist[[#This Row],[RequirementID]],
 tblCost[RequirementID],
 tblCost[QuantityRequired],
 ""
)</f>
        <v>10</v>
      </c>
      <c r="H3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58</v>
      </c>
      <c r="I394" s="41" t="str">
        <f>_xlfn.XLOOKUP(tblCostChecklist[[#This Row],[TargetID]],tblTargetStatus[TargetID],tblTargetStatus[Status])</f>
        <v>BLOCKED</v>
      </c>
      <c r="J394" s="25" t="b">
        <v>0</v>
      </c>
    </row>
    <row r="395" spans="1:10">
      <c r="A395" s="41" t="s">
        <v>4043</v>
      </c>
      <c r="B395" s="41" t="str">
        <f>_xlfn.TEXTAFTER(
 _xlfn.TEXTBEFORE(tblCostChecklist[[#This Row],[RequirementID]],".",-2),
 "cost."
)</f>
        <v>building.pagoda@3</v>
      </c>
      <c r="C395" s="41" t="str">
        <f>_xlfn.XLOOKUP(tblCostChecklist[[#This Row],[TargetID]],tblTargets[TargetID],tblTargets[DisplayName],"")</f>
        <v>Pagoda Lv 3</v>
      </c>
      <c r="D395" s="41" t="str">
        <f>_xlfn.XLOOKUP(tblCostChecklist[[#This Row],[TargetID]],tblTargets[TargetID],tblTargets[TargetType],"")</f>
        <v>BUILDING</v>
      </c>
      <c r="E395" s="41" t="s">
        <v>708</v>
      </c>
      <c r="F395" s="41">
        <v>1</v>
      </c>
      <c r="G395" s="41">
        <f>_xlfn.XLOOKUP(
 tblCostChecklist[[#This Row],[RequirementID]],
 tblCost[RequirementID],
 tblCost[QuantityRequired],
 ""
)</f>
        <v>4</v>
      </c>
      <c r="H3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59</v>
      </c>
      <c r="I395" s="41" t="str">
        <f>_xlfn.XLOOKUP(tblCostChecklist[[#This Row],[TargetID]],tblTargetStatus[TargetID],tblTargetStatus[Status])</f>
        <v>BLOCKED</v>
      </c>
      <c r="J395" s="25" t="b">
        <v>0</v>
      </c>
    </row>
    <row r="396" spans="1:10">
      <c r="A396" s="41" t="s">
        <v>4044</v>
      </c>
      <c r="B396" s="41" t="str">
        <f>_xlfn.TEXTAFTER(
 _xlfn.TEXTBEFORE(tblCostChecklist[[#This Row],[RequirementID]],".",-2),
 "cost."
)</f>
        <v>building.pagoda@3</v>
      </c>
      <c r="C396" s="41" t="str">
        <f>_xlfn.XLOOKUP(tblCostChecklist[[#This Row],[TargetID]],tblTargets[TargetID],tblTargets[DisplayName],"")</f>
        <v>Pagoda Lv 3</v>
      </c>
      <c r="D396" s="41" t="str">
        <f>_xlfn.XLOOKUP(tblCostChecklist[[#This Row],[TargetID]],tblTargets[TargetID],tblTargets[TargetType],"")</f>
        <v>BUILDING</v>
      </c>
      <c r="E396" s="41" t="s">
        <v>666</v>
      </c>
      <c r="F396" s="41">
        <v>1</v>
      </c>
      <c r="G396" s="41">
        <f>_xlfn.XLOOKUP(
 tblCostChecklist[[#This Row],[RequirementID]],
 tblCost[RequirementID],
 tblCost[QuantityRequired],
 ""
)</f>
        <v>300</v>
      </c>
      <c r="H3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59</v>
      </c>
      <c r="I396" s="41" t="str">
        <f>_xlfn.XLOOKUP(tblCostChecklist[[#This Row],[TargetID]],tblTargetStatus[TargetID],tblTargetStatus[Status])</f>
        <v>BLOCKED</v>
      </c>
      <c r="J396" s="25" t="b">
        <v>0</v>
      </c>
    </row>
    <row r="397" spans="1:10">
      <c r="A397" s="41" t="s">
        <v>4045</v>
      </c>
      <c r="B397" s="41" t="str">
        <f>_xlfn.TEXTAFTER(
 _xlfn.TEXTBEFORE(tblCostChecklist[[#This Row],[RequirementID]],".",-2),
 "cost."
)</f>
        <v>building.pagoda@3</v>
      </c>
      <c r="C397" s="41" t="str">
        <f>_xlfn.XLOOKUP(tblCostChecklist[[#This Row],[TargetID]],tblTargets[TargetID],tblTargets[DisplayName],"")</f>
        <v>Pagoda Lv 3</v>
      </c>
      <c r="D397" s="41" t="str">
        <f>_xlfn.XLOOKUP(tblCostChecklist[[#This Row],[TargetID]],tblTargets[TargetID],tblTargets[TargetType],"")</f>
        <v>BUILDING</v>
      </c>
      <c r="E397" s="41" t="s">
        <v>658</v>
      </c>
      <c r="F397" s="41">
        <v>1</v>
      </c>
      <c r="G397" s="41">
        <f>_xlfn.XLOOKUP(
 tblCostChecklist[[#This Row],[RequirementID]],
 tblCost[RequirementID],
 tblCost[QuantityRequired],
 ""
)</f>
        <v>600</v>
      </c>
      <c r="H3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59</v>
      </c>
      <c r="I397" s="41" t="str">
        <f>_xlfn.XLOOKUP(tblCostChecklist[[#This Row],[TargetID]],tblTargetStatus[TargetID],tblTargetStatus[Status])</f>
        <v>BLOCKED</v>
      </c>
      <c r="J397" s="25" t="b">
        <v>0</v>
      </c>
    </row>
    <row r="398" spans="1:10">
      <c r="A398" s="41" t="s">
        <v>4046</v>
      </c>
      <c r="B398" s="41" t="str">
        <f>_xlfn.TEXTAFTER(
 _xlfn.TEXTBEFORE(tblCostChecklist[[#This Row],[RequirementID]],".",-2),
 "cost."
)</f>
        <v>building.pagoda@3</v>
      </c>
      <c r="C398" s="41" t="str">
        <f>_xlfn.XLOOKUP(tblCostChecklist[[#This Row],[TargetID]],tblTargets[TargetID],tblTargets[DisplayName],"")</f>
        <v>Pagoda Lv 3</v>
      </c>
      <c r="D398" s="41" t="str">
        <f>_xlfn.XLOOKUP(tblCostChecklist[[#This Row],[TargetID]],tblTargets[TargetID],tblTargets[TargetType],"")</f>
        <v>BUILDING</v>
      </c>
      <c r="E398" s="41" t="s">
        <v>717</v>
      </c>
      <c r="F398" s="41">
        <v>1</v>
      </c>
      <c r="G398" s="41">
        <f>_xlfn.XLOOKUP(
 tblCostChecklist[[#This Row],[RequirementID]],
 tblCost[RequirementID],
 tblCost[QuantityRequired],
 ""
)</f>
        <v>300</v>
      </c>
      <c r="H3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59</v>
      </c>
      <c r="I398" s="41" t="str">
        <f>_xlfn.XLOOKUP(tblCostChecklist[[#This Row],[TargetID]],tblTargetStatus[TargetID],tblTargetStatus[Status])</f>
        <v>BLOCKED</v>
      </c>
      <c r="J398" s="25" t="b">
        <v>0</v>
      </c>
    </row>
    <row r="399" spans="1:10">
      <c r="A399" s="41" t="s">
        <v>4047</v>
      </c>
      <c r="B399" s="41" t="str">
        <f>_xlfn.TEXTAFTER(
 _xlfn.TEXTBEFORE(tblCostChecklist[[#This Row],[RequirementID]],".",-2),
 "cost."
)</f>
        <v>building.pagoda@3</v>
      </c>
      <c r="C399" s="41" t="str">
        <f>_xlfn.XLOOKUP(tblCostChecklist[[#This Row],[TargetID]],tblTargets[TargetID],tblTargets[DisplayName],"")</f>
        <v>Pagoda Lv 3</v>
      </c>
      <c r="D399" s="41" t="str">
        <f>_xlfn.XLOOKUP(tblCostChecklist[[#This Row],[TargetID]],tblTargets[TargetID],tblTargets[TargetType],"")</f>
        <v>BUILDING</v>
      </c>
      <c r="E399" s="41" t="s">
        <v>716</v>
      </c>
      <c r="F399" s="41">
        <v>1</v>
      </c>
      <c r="G399" s="41">
        <f>_xlfn.XLOOKUP(
 tblCostChecklist[[#This Row],[RequirementID]],
 tblCost[RequirementID],
 tblCost[QuantityRequired],
 ""
)</f>
        <v>50</v>
      </c>
      <c r="H3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59</v>
      </c>
      <c r="I399" s="41" t="str">
        <f>_xlfn.XLOOKUP(tblCostChecklist[[#This Row],[TargetID]],tblTargetStatus[TargetID],tblTargetStatus[Status])</f>
        <v>BLOCKED</v>
      </c>
      <c r="J399" s="25" t="b">
        <v>0</v>
      </c>
    </row>
    <row r="400" spans="1:10">
      <c r="A400" s="41" t="s">
        <v>4048</v>
      </c>
      <c r="B400" s="41" t="str">
        <f>_xlfn.TEXTAFTER(
 _xlfn.TEXTBEFORE(tblCostChecklist[[#This Row],[RequirementID]],".",-2),
 "cost."
)</f>
        <v>building.pagoda@4</v>
      </c>
      <c r="C400" s="41" t="str">
        <f>_xlfn.XLOOKUP(tblCostChecklist[[#This Row],[TargetID]],tblTargets[TargetID],tblTargets[DisplayName],"")</f>
        <v>Pagoda Lv 4</v>
      </c>
      <c r="D400" s="41" t="str">
        <f>_xlfn.XLOOKUP(tblCostChecklist[[#This Row],[TargetID]],tblTargets[TargetID],tblTargets[TargetType],"")</f>
        <v>BUILDING</v>
      </c>
      <c r="E400" s="41" t="s">
        <v>708</v>
      </c>
      <c r="F400" s="41">
        <v>1</v>
      </c>
      <c r="G400" s="41">
        <f>_xlfn.XLOOKUP(
 tblCostChecklist[[#This Row],[RequirementID]],
 tblCost[RequirementID],
 tblCost[QuantityRequired],
 ""
)</f>
        <v>6</v>
      </c>
      <c r="H4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60</v>
      </c>
      <c r="I400" s="41" t="str">
        <f>_xlfn.XLOOKUP(tblCostChecklist[[#This Row],[TargetID]],tblTargetStatus[TargetID],tblTargetStatus[Status])</f>
        <v>BLOCKED</v>
      </c>
      <c r="J400" s="25" t="b">
        <v>0</v>
      </c>
    </row>
    <row r="401" spans="1:10">
      <c r="A401" s="41" t="s">
        <v>4049</v>
      </c>
      <c r="B401" s="41" t="str">
        <f>_xlfn.TEXTAFTER(
 _xlfn.TEXTBEFORE(tblCostChecklist[[#This Row],[RequirementID]],".",-2),
 "cost."
)</f>
        <v>building.pagoda@4</v>
      </c>
      <c r="C401" s="41" t="str">
        <f>_xlfn.XLOOKUP(tblCostChecklist[[#This Row],[TargetID]],tblTargets[TargetID],tblTargets[DisplayName],"")</f>
        <v>Pagoda Lv 4</v>
      </c>
      <c r="D401" s="41" t="str">
        <f>_xlfn.XLOOKUP(tblCostChecklist[[#This Row],[TargetID]],tblTargets[TargetID],tblTargets[TargetType],"")</f>
        <v>BUILDING</v>
      </c>
      <c r="E401" s="41" t="s">
        <v>666</v>
      </c>
      <c r="F401" s="41">
        <v>1</v>
      </c>
      <c r="G401" s="41">
        <f>_xlfn.XLOOKUP(
 tblCostChecklist[[#This Row],[RequirementID]],
 tblCost[RequirementID],
 tblCost[QuantityRequired],
 ""
)</f>
        <v>350</v>
      </c>
      <c r="H4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60</v>
      </c>
      <c r="I401" s="41" t="str">
        <f>_xlfn.XLOOKUP(tblCostChecklist[[#This Row],[TargetID]],tblTargetStatus[TargetID],tblTargetStatus[Status])</f>
        <v>BLOCKED</v>
      </c>
      <c r="J401" s="25" t="b">
        <v>0</v>
      </c>
    </row>
    <row r="402" spans="1:10">
      <c r="A402" s="41" t="s">
        <v>4050</v>
      </c>
      <c r="B402" s="41" t="str">
        <f>_xlfn.TEXTAFTER(
 _xlfn.TEXTBEFORE(tblCostChecklist[[#This Row],[RequirementID]],".",-2),
 "cost."
)</f>
        <v>building.pagoda@4</v>
      </c>
      <c r="C402" s="41" t="str">
        <f>_xlfn.XLOOKUP(tblCostChecklist[[#This Row],[TargetID]],tblTargets[TargetID],tblTargets[DisplayName],"")</f>
        <v>Pagoda Lv 4</v>
      </c>
      <c r="D402" s="41" t="str">
        <f>_xlfn.XLOOKUP(tblCostChecklist[[#This Row],[TargetID]],tblTargets[TargetID],tblTargets[TargetType],"")</f>
        <v>BUILDING</v>
      </c>
      <c r="E402" s="41" t="s">
        <v>658</v>
      </c>
      <c r="F402" s="41">
        <v>1</v>
      </c>
      <c r="G402" s="41">
        <f>_xlfn.XLOOKUP(
 tblCostChecklist[[#This Row],[RequirementID]],
 tblCost[RequirementID],
 tblCost[QuantityRequired],
 ""
)</f>
        <v>700</v>
      </c>
      <c r="H4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60</v>
      </c>
      <c r="I402" s="41" t="str">
        <f>_xlfn.XLOOKUP(tblCostChecklist[[#This Row],[TargetID]],tblTargetStatus[TargetID],tblTargetStatus[Status])</f>
        <v>BLOCKED</v>
      </c>
      <c r="J402" s="25" t="b">
        <v>0</v>
      </c>
    </row>
    <row r="403" spans="1:10">
      <c r="A403" s="41" t="s">
        <v>4051</v>
      </c>
      <c r="B403" s="41" t="str">
        <f>_xlfn.TEXTAFTER(
 _xlfn.TEXTBEFORE(tblCostChecklist[[#This Row],[RequirementID]],".",-2),
 "cost."
)</f>
        <v>building.pagoda@4</v>
      </c>
      <c r="C403" s="41" t="str">
        <f>_xlfn.XLOOKUP(tblCostChecklist[[#This Row],[TargetID]],tblTargets[TargetID],tblTargets[DisplayName],"")</f>
        <v>Pagoda Lv 4</v>
      </c>
      <c r="D403" s="41" t="str">
        <f>_xlfn.XLOOKUP(tblCostChecklist[[#This Row],[TargetID]],tblTargets[TargetID],tblTargets[TargetType],"")</f>
        <v>BUILDING</v>
      </c>
      <c r="E403" s="41" t="s">
        <v>717</v>
      </c>
      <c r="F403" s="41">
        <v>1</v>
      </c>
      <c r="G403" s="41">
        <f>_xlfn.XLOOKUP(
 tblCostChecklist[[#This Row],[RequirementID]],
 tblCost[RequirementID],
 tblCost[QuantityRequired],
 ""
)</f>
        <v>350</v>
      </c>
      <c r="H4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60</v>
      </c>
      <c r="I403" s="41" t="str">
        <f>_xlfn.XLOOKUP(tblCostChecklist[[#This Row],[TargetID]],tblTargetStatus[TargetID],tblTargetStatus[Status])</f>
        <v>BLOCKED</v>
      </c>
      <c r="J403" s="25" t="b">
        <v>0</v>
      </c>
    </row>
    <row r="404" spans="1:10">
      <c r="A404" s="41" t="s">
        <v>4052</v>
      </c>
      <c r="B404" s="41" t="str">
        <f>_xlfn.TEXTAFTER(
 _xlfn.TEXTBEFORE(tblCostChecklist[[#This Row],[RequirementID]],".",-2),
 "cost."
)</f>
        <v>building.pagoda@4</v>
      </c>
      <c r="C404" s="41" t="str">
        <f>_xlfn.XLOOKUP(tblCostChecklist[[#This Row],[TargetID]],tblTargets[TargetID],tblTargets[DisplayName],"")</f>
        <v>Pagoda Lv 4</v>
      </c>
      <c r="D404" s="41" t="str">
        <f>_xlfn.XLOOKUP(tblCostChecklist[[#This Row],[TargetID]],tblTargets[TargetID],tblTargets[TargetType],"")</f>
        <v>BUILDING</v>
      </c>
      <c r="E404" s="41" t="s">
        <v>671</v>
      </c>
      <c r="F404" s="41">
        <v>1</v>
      </c>
      <c r="G404" s="41">
        <f>_xlfn.XLOOKUP(
 tblCostChecklist[[#This Row],[RequirementID]],
 tblCost[RequirementID],
 tblCost[QuantityRequired],
 ""
)</f>
        <v>30</v>
      </c>
      <c r="H4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60</v>
      </c>
      <c r="I404" s="41" t="str">
        <f>_xlfn.XLOOKUP(tblCostChecklist[[#This Row],[TargetID]],tblTargetStatus[TargetID],tblTargetStatus[Status])</f>
        <v>BLOCKED</v>
      </c>
      <c r="J404" s="25" t="b">
        <v>0</v>
      </c>
    </row>
    <row r="405" spans="1:10">
      <c r="A405" s="41" t="s">
        <v>4053</v>
      </c>
      <c r="B405" s="41" t="str">
        <f>_xlfn.TEXTAFTER(
 _xlfn.TEXTBEFORE(tblCostChecklist[[#This Row],[RequirementID]],".",-2),
 "cost."
)</f>
        <v>building.pagoda@5</v>
      </c>
      <c r="C405" s="41" t="str">
        <f>_xlfn.XLOOKUP(tblCostChecklist[[#This Row],[TargetID]],tblTargets[TargetID],tblTargets[DisplayName],"")</f>
        <v>Pagoda Lv 5</v>
      </c>
      <c r="D405" s="41" t="str">
        <f>_xlfn.XLOOKUP(tblCostChecklist[[#This Row],[TargetID]],tblTargets[TargetID],tblTargets[TargetType],"")</f>
        <v>BUILDING</v>
      </c>
      <c r="E405" s="41" t="s">
        <v>708</v>
      </c>
      <c r="F405" s="41">
        <v>1</v>
      </c>
      <c r="G405" s="41">
        <f>_xlfn.XLOOKUP(
 tblCostChecklist[[#This Row],[RequirementID]],
 tblCost[RequirementID],
 tblCost[QuantityRequired],
 ""
)</f>
        <v>8</v>
      </c>
      <c r="H4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61</v>
      </c>
      <c r="I405" s="41" t="str">
        <f>_xlfn.XLOOKUP(tblCostChecklist[[#This Row],[TargetID]],tblTargetStatus[TargetID],tblTargetStatus[Status])</f>
        <v>BLOCKED</v>
      </c>
      <c r="J405" s="25" t="b">
        <v>0</v>
      </c>
    </row>
    <row r="406" spans="1:10">
      <c r="A406" s="41" t="s">
        <v>4054</v>
      </c>
      <c r="B406" s="41" t="str">
        <f>_xlfn.TEXTAFTER(
 _xlfn.TEXTBEFORE(tblCostChecklist[[#This Row],[RequirementID]],".",-2),
 "cost."
)</f>
        <v>building.pagoda@5</v>
      </c>
      <c r="C406" s="41" t="str">
        <f>_xlfn.XLOOKUP(tblCostChecklist[[#This Row],[TargetID]],tblTargets[TargetID],tblTargets[DisplayName],"")</f>
        <v>Pagoda Lv 5</v>
      </c>
      <c r="D406" s="41" t="str">
        <f>_xlfn.XLOOKUP(tblCostChecklist[[#This Row],[TargetID]],tblTargets[TargetID],tblTargets[TargetType],"")</f>
        <v>BUILDING</v>
      </c>
      <c r="E406" s="41" t="s">
        <v>666</v>
      </c>
      <c r="F406" s="41">
        <v>1</v>
      </c>
      <c r="G406" s="41">
        <f>_xlfn.XLOOKUP(
 tblCostChecklist[[#This Row],[RequirementID]],
 tblCost[RequirementID],
 tblCost[QuantityRequired],
 ""
)</f>
        <v>400</v>
      </c>
      <c r="H4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61</v>
      </c>
      <c r="I406" s="41" t="str">
        <f>_xlfn.XLOOKUP(tblCostChecklist[[#This Row],[TargetID]],tblTargetStatus[TargetID],tblTargetStatus[Status])</f>
        <v>BLOCKED</v>
      </c>
      <c r="J406" s="25" t="b">
        <v>0</v>
      </c>
    </row>
    <row r="407" spans="1:10">
      <c r="A407" s="41" t="s">
        <v>4055</v>
      </c>
      <c r="B407" s="41" t="str">
        <f>_xlfn.TEXTAFTER(
 _xlfn.TEXTBEFORE(tblCostChecklist[[#This Row],[RequirementID]],".",-2),
 "cost."
)</f>
        <v>building.pagoda@5</v>
      </c>
      <c r="C407" s="41" t="str">
        <f>_xlfn.XLOOKUP(tblCostChecklist[[#This Row],[TargetID]],tblTargets[TargetID],tblTargets[DisplayName],"")</f>
        <v>Pagoda Lv 5</v>
      </c>
      <c r="D407" s="41" t="str">
        <f>_xlfn.XLOOKUP(tblCostChecklist[[#This Row],[TargetID]],tblTargets[TargetID],tblTargets[TargetType],"")</f>
        <v>BUILDING</v>
      </c>
      <c r="E407" s="41" t="s">
        <v>658</v>
      </c>
      <c r="F407" s="41">
        <v>1</v>
      </c>
      <c r="G407" s="41">
        <f>_xlfn.XLOOKUP(
 tblCostChecklist[[#This Row],[RequirementID]],
 tblCost[RequirementID],
 tblCost[QuantityRequired],
 ""
)</f>
        <v>800</v>
      </c>
      <c r="H4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61</v>
      </c>
      <c r="I407" s="41" t="str">
        <f>_xlfn.XLOOKUP(tblCostChecklist[[#This Row],[TargetID]],tblTargetStatus[TargetID],tblTargetStatus[Status])</f>
        <v>BLOCKED</v>
      </c>
      <c r="J407" s="25" t="b">
        <v>0</v>
      </c>
    </row>
    <row r="408" spans="1:10">
      <c r="A408" s="41" t="s">
        <v>4056</v>
      </c>
      <c r="B408" s="41" t="str">
        <f>_xlfn.TEXTAFTER(
 _xlfn.TEXTBEFORE(tblCostChecklist[[#This Row],[RequirementID]],".",-2),
 "cost."
)</f>
        <v>building.pagoda@5</v>
      </c>
      <c r="C408" s="41" t="str">
        <f>_xlfn.XLOOKUP(tblCostChecklist[[#This Row],[TargetID]],tblTargets[TargetID],tblTargets[DisplayName],"")</f>
        <v>Pagoda Lv 5</v>
      </c>
      <c r="D408" s="41" t="str">
        <f>_xlfn.XLOOKUP(tblCostChecklist[[#This Row],[TargetID]],tblTargets[TargetID],tblTargets[TargetType],"")</f>
        <v>BUILDING</v>
      </c>
      <c r="E408" s="41" t="s">
        <v>717</v>
      </c>
      <c r="F408" s="41">
        <v>1</v>
      </c>
      <c r="G408" s="41">
        <f>_xlfn.XLOOKUP(
 tblCostChecklist[[#This Row],[RequirementID]],
 tblCost[RequirementID],
 tblCost[QuantityRequired],
 ""
)</f>
        <v>400</v>
      </c>
      <c r="H4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61</v>
      </c>
      <c r="I408" s="41" t="str">
        <f>_xlfn.XLOOKUP(tblCostChecklist[[#This Row],[TargetID]],tblTargetStatus[TargetID],tblTargetStatus[Status])</f>
        <v>BLOCKED</v>
      </c>
      <c r="J408" s="25" t="b">
        <v>0</v>
      </c>
    </row>
    <row r="409" spans="1:10">
      <c r="A409" s="41" t="s">
        <v>4057</v>
      </c>
      <c r="B409" s="41" t="str">
        <f>_xlfn.TEXTAFTER(
 _xlfn.TEXTBEFORE(tblCostChecklist[[#This Row],[RequirementID]],".",-2),
 "cost."
)</f>
        <v>building.pagoda@5</v>
      </c>
      <c r="C409" s="41" t="str">
        <f>_xlfn.XLOOKUP(tblCostChecklist[[#This Row],[TargetID]],tblTargets[TargetID],tblTargets[DisplayName],"")</f>
        <v>Pagoda Lv 5</v>
      </c>
      <c r="D409" s="41" t="str">
        <f>_xlfn.XLOOKUP(tblCostChecklist[[#This Row],[TargetID]],tblTargets[TargetID],tblTargets[TargetType],"")</f>
        <v>BUILDING</v>
      </c>
      <c r="E409" s="41" t="s">
        <v>681</v>
      </c>
      <c r="F409" s="41">
        <v>1</v>
      </c>
      <c r="G409" s="41">
        <f>_xlfn.XLOOKUP(
 tblCostChecklist[[#This Row],[RequirementID]],
 tblCost[RequirementID],
 tblCost[QuantityRequired],
 ""
)</f>
        <v>30</v>
      </c>
      <c r="H4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61</v>
      </c>
      <c r="I409" s="41" t="str">
        <f>_xlfn.XLOOKUP(tblCostChecklist[[#This Row],[TargetID]],tblTargetStatus[TargetID],tblTargetStatus[Status])</f>
        <v>BLOCKED</v>
      </c>
      <c r="J409" s="25" t="b">
        <v>0</v>
      </c>
    </row>
    <row r="410" spans="1:10">
      <c r="A410" s="41" t="s">
        <v>4058</v>
      </c>
      <c r="B410" s="41" t="str">
        <f>_xlfn.TEXTAFTER(
 _xlfn.TEXTBEFORE(tblCostChecklist[[#This Row],[RequirementID]],".",-2),
 "cost."
)</f>
        <v>building.pagoda@6</v>
      </c>
      <c r="C410" s="41" t="str">
        <f>_xlfn.XLOOKUP(tblCostChecklist[[#This Row],[TargetID]],tblTargets[TargetID],tblTargets[DisplayName],"")</f>
        <v>Pagoda Lv 6</v>
      </c>
      <c r="D410" s="41" t="str">
        <f>_xlfn.XLOOKUP(tblCostChecklist[[#This Row],[TargetID]],tblTargets[TargetID],tblTargets[TargetType],"")</f>
        <v>BUILDING</v>
      </c>
      <c r="E410" s="41" t="s">
        <v>708</v>
      </c>
      <c r="F410" s="41">
        <v>1</v>
      </c>
      <c r="G410" s="41">
        <f>_xlfn.XLOOKUP(
 tblCostChecklist[[#This Row],[RequirementID]],
 tblCost[RequirementID],
 tblCost[QuantityRequired],
 ""
)</f>
        <v>10</v>
      </c>
      <c r="H4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0" s="41" t="str">
        <f>_xlfn.XLOOKUP(tblCostChecklist[[#This Row],[TargetID]],tblTargetStatus[TargetID],tblTargetStatus[Status])</f>
        <v>BLOCKED</v>
      </c>
      <c r="J410" s="25" t="b">
        <v>0</v>
      </c>
    </row>
    <row r="411" spans="1:10">
      <c r="A411" s="41" t="s">
        <v>4059</v>
      </c>
      <c r="B411" s="41" t="str">
        <f>_xlfn.TEXTAFTER(
 _xlfn.TEXTBEFORE(tblCostChecklist[[#This Row],[RequirementID]],".",-2),
 "cost."
)</f>
        <v>building.pagoda@6</v>
      </c>
      <c r="C411" s="41" t="str">
        <f>_xlfn.XLOOKUP(tblCostChecklist[[#This Row],[TargetID]],tblTargets[TargetID],tblTargets[DisplayName],"")</f>
        <v>Pagoda Lv 6</v>
      </c>
      <c r="D411" s="41" t="str">
        <f>_xlfn.XLOOKUP(tblCostChecklist[[#This Row],[TargetID]],tblTargets[TargetID],tblTargets[TargetType],"")</f>
        <v>BUILDING</v>
      </c>
      <c r="E411" s="41" t="s">
        <v>666</v>
      </c>
      <c r="F411" s="41">
        <v>1</v>
      </c>
      <c r="G411" s="41">
        <f>_xlfn.XLOOKUP(
 tblCostChecklist[[#This Row],[RequirementID]],
 tblCost[RequirementID],
 tblCost[QuantityRequired],
 ""
)</f>
        <v>450</v>
      </c>
      <c r="H4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1" s="41" t="str">
        <f>_xlfn.XLOOKUP(tblCostChecklist[[#This Row],[TargetID]],tblTargetStatus[TargetID],tblTargetStatus[Status])</f>
        <v>BLOCKED</v>
      </c>
      <c r="J411" s="25" t="b">
        <v>0</v>
      </c>
    </row>
    <row r="412" spans="1:10">
      <c r="A412" s="41" t="s">
        <v>4060</v>
      </c>
      <c r="B412" s="41" t="str">
        <f>_xlfn.TEXTAFTER(
 _xlfn.TEXTBEFORE(tblCostChecklist[[#This Row],[RequirementID]],".",-2),
 "cost."
)</f>
        <v>building.pagoda@6</v>
      </c>
      <c r="C412" s="41" t="str">
        <f>_xlfn.XLOOKUP(tblCostChecklist[[#This Row],[TargetID]],tblTargets[TargetID],tblTargets[DisplayName],"")</f>
        <v>Pagoda Lv 6</v>
      </c>
      <c r="D412" s="41" t="str">
        <f>_xlfn.XLOOKUP(tblCostChecklist[[#This Row],[TargetID]],tblTargets[TargetID],tblTargets[TargetType],"")</f>
        <v>BUILDING</v>
      </c>
      <c r="E412" s="41" t="s">
        <v>658</v>
      </c>
      <c r="F412" s="41">
        <v>1</v>
      </c>
      <c r="G412" s="41">
        <f>_xlfn.XLOOKUP(
 tblCostChecklist[[#This Row],[RequirementID]],
 tblCost[RequirementID],
 tblCost[QuantityRequired],
 ""
)</f>
        <v>900</v>
      </c>
      <c r="H4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2" s="41" t="str">
        <f>_xlfn.XLOOKUP(tblCostChecklist[[#This Row],[TargetID]],tblTargetStatus[TargetID],tblTargetStatus[Status])</f>
        <v>BLOCKED</v>
      </c>
      <c r="J412" s="25" t="b">
        <v>0</v>
      </c>
    </row>
    <row r="413" spans="1:10">
      <c r="A413" s="41" t="s">
        <v>4061</v>
      </c>
      <c r="B413" s="41" t="str">
        <f>_xlfn.TEXTAFTER(
 _xlfn.TEXTBEFORE(tblCostChecklist[[#This Row],[RequirementID]],".",-2),
 "cost."
)</f>
        <v>building.pagoda@6</v>
      </c>
      <c r="C413" s="41" t="str">
        <f>_xlfn.XLOOKUP(tblCostChecklist[[#This Row],[TargetID]],tblTargets[TargetID],tblTargets[DisplayName],"")</f>
        <v>Pagoda Lv 6</v>
      </c>
      <c r="D413" s="41" t="str">
        <f>_xlfn.XLOOKUP(tblCostChecklist[[#This Row],[TargetID]],tblTargets[TargetID],tblTargets[TargetType],"")</f>
        <v>BUILDING</v>
      </c>
      <c r="E413" s="41" t="s">
        <v>717</v>
      </c>
      <c r="F413" s="41">
        <v>1</v>
      </c>
      <c r="G413" s="41">
        <f>_xlfn.XLOOKUP(
 tblCostChecklist[[#This Row],[RequirementID]],
 tblCost[RequirementID],
 tblCost[QuantityRequired],
 ""
)</f>
        <v>450</v>
      </c>
      <c r="H4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3" s="41" t="str">
        <f>_xlfn.XLOOKUP(tblCostChecklist[[#This Row],[TargetID]],tblTargetStatus[TargetID],tblTargetStatus[Status])</f>
        <v>BLOCKED</v>
      </c>
      <c r="J413" s="25" t="b">
        <v>0</v>
      </c>
    </row>
    <row r="414" spans="1:10">
      <c r="A414" s="41" t="s">
        <v>4062</v>
      </c>
      <c r="B414" s="41" t="str">
        <f>_xlfn.TEXTAFTER(
 _xlfn.TEXTBEFORE(tblCostChecklist[[#This Row],[RequirementID]],".",-2),
 "cost."
)</f>
        <v>building.pagoda@6</v>
      </c>
      <c r="C414" s="41" t="str">
        <f>_xlfn.XLOOKUP(tblCostChecklist[[#This Row],[TargetID]],tblTargets[TargetID],tblTargets[DisplayName],"")</f>
        <v>Pagoda Lv 6</v>
      </c>
      <c r="D414" s="41" t="str">
        <f>_xlfn.XLOOKUP(tblCostChecklist[[#This Row],[TargetID]],tblTargets[TargetID],tblTargets[TargetType],"")</f>
        <v>BUILDING</v>
      </c>
      <c r="E414" s="41" t="s">
        <v>680</v>
      </c>
      <c r="F414" s="41">
        <v>1</v>
      </c>
      <c r="G414" s="41">
        <f>_xlfn.XLOOKUP(
 tblCostChecklist[[#This Row],[RequirementID]],
 tblCost[RequirementID],
 tblCost[QuantityRequired],
 ""
)</f>
        <v>5</v>
      </c>
      <c r="H4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4" s="41" t="str">
        <f>_xlfn.XLOOKUP(tblCostChecklist[[#This Row],[TargetID]],tblTargetStatus[TargetID],tblTargetStatus[Status])</f>
        <v>BLOCKED</v>
      </c>
      <c r="J414" s="25" t="b">
        <v>0</v>
      </c>
    </row>
    <row r="415" spans="1:10">
      <c r="A415" s="41" t="s">
        <v>4063</v>
      </c>
      <c r="B415" s="41" t="str">
        <f>_xlfn.TEXTAFTER(
 _xlfn.TEXTBEFORE(tblCostChecklist[[#This Row],[RequirementID]],".",-2),
 "cost."
)</f>
        <v>building.pagoda@6</v>
      </c>
      <c r="C415" s="41" t="str">
        <f>_xlfn.XLOOKUP(tblCostChecklist[[#This Row],[TargetID]],tblTargets[TargetID],tblTargets[DisplayName],"")</f>
        <v>Pagoda Lv 6</v>
      </c>
      <c r="D415" s="41" t="str">
        <f>_xlfn.XLOOKUP(tblCostChecklist[[#This Row],[TargetID]],tblTargets[TargetID],tblTargets[TargetType],"")</f>
        <v>BUILDING</v>
      </c>
      <c r="E415" s="41" t="s">
        <v>715</v>
      </c>
      <c r="F415" s="41">
        <v>1</v>
      </c>
      <c r="G415" s="41">
        <f>_xlfn.XLOOKUP(
 tblCostChecklist[[#This Row],[RequirementID]],
 tblCost[RequirementID],
 tblCost[QuantityRequired],
 ""
)</f>
        <v>5</v>
      </c>
      <c r="H4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5" s="41" t="str">
        <f>_xlfn.XLOOKUP(tblCostChecklist[[#This Row],[TargetID]],tblTargetStatus[TargetID],tblTargetStatus[Status])</f>
        <v>BLOCKED</v>
      </c>
      <c r="J415" s="25" t="b">
        <v>0</v>
      </c>
    </row>
    <row r="416" spans="1:10">
      <c r="A416" s="41" t="s">
        <v>4064</v>
      </c>
      <c r="B416" s="41" t="str">
        <f>_xlfn.TEXTAFTER(
 _xlfn.TEXTBEFORE(tblCostChecklist[[#This Row],[RequirementID]],".",-2),
 "cost."
)</f>
        <v>building.pagoda@7</v>
      </c>
      <c r="C416" s="41" t="str">
        <f>_xlfn.XLOOKUP(tblCostChecklist[[#This Row],[TargetID]],tblTargets[TargetID],tblTargets[DisplayName],"")</f>
        <v>Pagoda Lv 7</v>
      </c>
      <c r="D416" s="41" t="str">
        <f>_xlfn.XLOOKUP(tblCostChecklist[[#This Row],[TargetID]],tblTargets[TargetID],tblTargets[TargetType],"")</f>
        <v>BUILDING</v>
      </c>
      <c r="E416" s="41" t="s">
        <v>708</v>
      </c>
      <c r="F416" s="41">
        <v>1</v>
      </c>
      <c r="G416" s="41">
        <f>_xlfn.XLOOKUP(
 tblCostChecklist[[#This Row],[RequirementID]],
 tblCost[RequirementID],
 tblCost[QuantityRequired],
 ""
)</f>
        <v>15</v>
      </c>
      <c r="H4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16" s="41" t="str">
        <f>_xlfn.XLOOKUP(tblCostChecklist[[#This Row],[TargetID]],tblTargetStatus[TargetID],tblTargetStatus[Status])</f>
        <v>BLOCKED</v>
      </c>
      <c r="J416" s="25" t="b">
        <v>0</v>
      </c>
    </row>
    <row r="417" spans="1:10">
      <c r="A417" s="41" t="s">
        <v>4065</v>
      </c>
      <c r="B417" s="41" t="str">
        <f>_xlfn.TEXTAFTER(
 _xlfn.TEXTBEFORE(tblCostChecklist[[#This Row],[RequirementID]],".",-2),
 "cost."
)</f>
        <v>building.pagoda@7</v>
      </c>
      <c r="C417" s="41" t="str">
        <f>_xlfn.XLOOKUP(tblCostChecklist[[#This Row],[TargetID]],tblTargets[TargetID],tblTargets[DisplayName],"")</f>
        <v>Pagoda Lv 7</v>
      </c>
      <c r="D417" s="41" t="str">
        <f>_xlfn.XLOOKUP(tblCostChecklist[[#This Row],[TargetID]],tblTargets[TargetID],tblTargets[TargetType],"")</f>
        <v>BUILDING</v>
      </c>
      <c r="E417" s="41" t="s">
        <v>666</v>
      </c>
      <c r="F417" s="41">
        <v>1</v>
      </c>
      <c r="G417" s="41">
        <f>_xlfn.XLOOKUP(
 tblCostChecklist[[#This Row],[RequirementID]],
 tblCost[RequirementID],
 tblCost[QuantityRequired],
 ""
)</f>
        <v>500</v>
      </c>
      <c r="H4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17" s="41" t="str">
        <f>_xlfn.XLOOKUP(tblCostChecklist[[#This Row],[TargetID]],tblTargetStatus[TargetID],tblTargetStatus[Status])</f>
        <v>BLOCKED</v>
      </c>
      <c r="J417" s="25" t="b">
        <v>0</v>
      </c>
    </row>
    <row r="418" spans="1:10">
      <c r="A418" s="41" t="s">
        <v>4066</v>
      </c>
      <c r="B418" s="41" t="str">
        <f>_xlfn.TEXTAFTER(
 _xlfn.TEXTBEFORE(tblCostChecklist[[#This Row],[RequirementID]],".",-2),
 "cost."
)</f>
        <v>building.pagoda@7</v>
      </c>
      <c r="C418" s="41" t="str">
        <f>_xlfn.XLOOKUP(tblCostChecklist[[#This Row],[TargetID]],tblTargets[TargetID],tblTargets[DisplayName],"")</f>
        <v>Pagoda Lv 7</v>
      </c>
      <c r="D418" s="41" t="str">
        <f>_xlfn.XLOOKUP(tblCostChecklist[[#This Row],[TargetID]],tblTargets[TargetID],tblTargets[TargetType],"")</f>
        <v>BUILDING</v>
      </c>
      <c r="E418" s="41" t="s">
        <v>658</v>
      </c>
      <c r="F418" s="41">
        <v>1</v>
      </c>
      <c r="G418" s="41">
        <f>_xlfn.XLOOKUP(
 tblCostChecklist[[#This Row],[RequirementID]],
 tblCost[RequirementID],
 tblCost[QuantityRequired],
 ""
)</f>
        <v>1000</v>
      </c>
      <c r="H4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18" s="41" t="str">
        <f>_xlfn.XLOOKUP(tblCostChecklist[[#This Row],[TargetID]],tblTargetStatus[TargetID],tblTargetStatus[Status])</f>
        <v>BLOCKED</v>
      </c>
      <c r="J418" s="25" t="b">
        <v>0</v>
      </c>
    </row>
    <row r="419" spans="1:10">
      <c r="A419" s="41" t="s">
        <v>4067</v>
      </c>
      <c r="B419" s="41" t="str">
        <f>_xlfn.TEXTAFTER(
 _xlfn.TEXTBEFORE(tblCostChecklist[[#This Row],[RequirementID]],".",-2),
 "cost."
)</f>
        <v>building.pagoda@7</v>
      </c>
      <c r="C419" s="41" t="str">
        <f>_xlfn.XLOOKUP(tblCostChecklist[[#This Row],[TargetID]],tblTargets[TargetID],tblTargets[DisplayName],"")</f>
        <v>Pagoda Lv 7</v>
      </c>
      <c r="D419" s="41" t="str">
        <f>_xlfn.XLOOKUP(tblCostChecklist[[#This Row],[TargetID]],tblTargets[TargetID],tblTargets[TargetType],"")</f>
        <v>BUILDING</v>
      </c>
      <c r="E419" s="41" t="s">
        <v>717</v>
      </c>
      <c r="F419" s="41">
        <v>1</v>
      </c>
      <c r="G419" s="41">
        <f>_xlfn.XLOOKUP(
 tblCostChecklist[[#This Row],[RequirementID]],
 tblCost[RequirementID],
 tblCost[QuantityRequired],
 ""
)</f>
        <v>500</v>
      </c>
      <c r="H4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19" s="41" t="str">
        <f>_xlfn.XLOOKUP(tblCostChecklist[[#This Row],[TargetID]],tblTargetStatus[TargetID],tblTargetStatus[Status])</f>
        <v>BLOCKED</v>
      </c>
      <c r="J419" s="25" t="b">
        <v>0</v>
      </c>
    </row>
    <row r="420" spans="1:10">
      <c r="A420" s="41" t="s">
        <v>4068</v>
      </c>
      <c r="B420" s="41" t="str">
        <f>_xlfn.TEXTAFTER(
 _xlfn.TEXTBEFORE(tblCostChecklist[[#This Row],[RequirementID]],".",-2),
 "cost."
)</f>
        <v>building.pagoda@7</v>
      </c>
      <c r="C420" s="41" t="str">
        <f>_xlfn.XLOOKUP(tblCostChecklist[[#This Row],[TargetID]],tblTargets[TargetID],tblTargets[DisplayName],"")</f>
        <v>Pagoda Lv 7</v>
      </c>
      <c r="D420" s="41" t="str">
        <f>_xlfn.XLOOKUP(tblCostChecklist[[#This Row],[TargetID]],tblTargets[TargetID],tblTargets[TargetType],"")</f>
        <v>BUILDING</v>
      </c>
      <c r="E420" s="41" t="s">
        <v>721</v>
      </c>
      <c r="F420" s="41">
        <v>1</v>
      </c>
      <c r="G420" s="41">
        <f>_xlfn.XLOOKUP(
 tblCostChecklist[[#This Row],[RequirementID]],
 tblCost[RequirementID],
 tblCost[QuantityRequired],
 ""
)</f>
        <v>3</v>
      </c>
      <c r="H4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20" s="41" t="str">
        <f>_xlfn.XLOOKUP(tblCostChecklist[[#This Row],[TargetID]],tblTargetStatus[TargetID],tblTargetStatus[Status])</f>
        <v>BLOCKED</v>
      </c>
      <c r="J420" s="25" t="b">
        <v>0</v>
      </c>
    </row>
    <row r="421" spans="1:10">
      <c r="A421" s="41" t="s">
        <v>4069</v>
      </c>
      <c r="B421" s="41" t="str">
        <f>_xlfn.TEXTAFTER(
 _xlfn.TEXTBEFORE(tblCostChecklist[[#This Row],[RequirementID]],".",-2),
 "cost."
)</f>
        <v>building.pagoda@7</v>
      </c>
      <c r="C421" s="41" t="str">
        <f>_xlfn.XLOOKUP(tblCostChecklist[[#This Row],[TargetID]],tblTargets[TargetID],tblTargets[DisplayName],"")</f>
        <v>Pagoda Lv 7</v>
      </c>
      <c r="D421" s="41" t="str">
        <f>_xlfn.XLOOKUP(tblCostChecklist[[#This Row],[TargetID]],tblTargets[TargetID],tblTargets[TargetType],"")</f>
        <v>BUILDING</v>
      </c>
      <c r="E421" s="41" t="s">
        <v>699</v>
      </c>
      <c r="F421" s="41">
        <v>1</v>
      </c>
      <c r="G421" s="41">
        <f>_xlfn.XLOOKUP(
 tblCostChecklist[[#This Row],[RequirementID]],
 tblCost[RequirementID],
 tblCost[QuantityRequired],
 ""
)</f>
        <v>5</v>
      </c>
      <c r="H4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21" s="41" t="str">
        <f>_xlfn.XLOOKUP(tblCostChecklist[[#This Row],[TargetID]],tblTargetStatus[TargetID],tblTargetStatus[Status])</f>
        <v>BLOCKED</v>
      </c>
      <c r="J421" s="25" t="b">
        <v>0</v>
      </c>
    </row>
    <row r="422" spans="1:10">
      <c r="A422" s="41" t="s">
        <v>4070</v>
      </c>
      <c r="B422" s="41" t="str">
        <f>_xlfn.TEXTAFTER(
 _xlfn.TEXTBEFORE(tblCostChecklist[[#This Row],[RequirementID]],".",-2),
 "cost."
)</f>
        <v>building.pagoda@7</v>
      </c>
      <c r="C422" s="41" t="str">
        <f>_xlfn.XLOOKUP(tblCostChecklist[[#This Row],[TargetID]],tblTargets[TargetID],tblTargets[DisplayName],"")</f>
        <v>Pagoda Lv 7</v>
      </c>
      <c r="D422" s="41" t="str">
        <f>_xlfn.XLOOKUP(tblCostChecklist[[#This Row],[TargetID]],tblTargets[TargetID],tblTargets[TargetType],"")</f>
        <v>BUILDING</v>
      </c>
      <c r="E422" s="41" t="s">
        <v>711</v>
      </c>
      <c r="F422" s="41">
        <v>1</v>
      </c>
      <c r="G422" s="41">
        <f>_xlfn.XLOOKUP(
 tblCostChecklist[[#This Row],[RequirementID]],
 tblCost[RequirementID],
 tblCost[QuantityRequired],
 ""
)</f>
        <v>5</v>
      </c>
      <c r="H4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22" s="41" t="str">
        <f>_xlfn.XLOOKUP(tblCostChecklist[[#This Row],[TargetID]],tblTargetStatus[TargetID],tblTargetStatus[Status])</f>
        <v>BLOCKED</v>
      </c>
      <c r="J422" s="25" t="b">
        <v>0</v>
      </c>
    </row>
    <row r="423" spans="1:10">
      <c r="A423" s="41" t="s">
        <v>4071</v>
      </c>
      <c r="B423" s="41" t="str">
        <f>_xlfn.TEXTAFTER(
 _xlfn.TEXTBEFORE(tblCostChecklist[[#This Row],[RequirementID]],".",-2),
 "cost."
)</f>
        <v>building.pagoda@7</v>
      </c>
      <c r="C423" s="41" t="str">
        <f>_xlfn.XLOOKUP(tblCostChecklist[[#This Row],[TargetID]],tblTargets[TargetID],tblTargets[DisplayName],"")</f>
        <v>Pagoda Lv 7</v>
      </c>
      <c r="D423" s="41" t="str">
        <f>_xlfn.XLOOKUP(tblCostChecklist[[#This Row],[TargetID]],tblTargets[TargetID],tblTargets[TargetType],"")</f>
        <v>BUILDING</v>
      </c>
      <c r="E423" s="41" t="s">
        <v>710</v>
      </c>
      <c r="F423" s="41">
        <v>1</v>
      </c>
      <c r="G423" s="41">
        <f>_xlfn.XLOOKUP(
 tblCostChecklist[[#This Row],[RequirementID]],
 tblCost[RequirementID],
 tblCost[QuantityRequired],
 ""
)</f>
        <v>1</v>
      </c>
      <c r="H4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23" s="41" t="str">
        <f>_xlfn.XLOOKUP(tblCostChecklist[[#This Row],[TargetID]],tblTargetStatus[TargetID],tblTargetStatus[Status])</f>
        <v>BLOCKED</v>
      </c>
      <c r="J423" s="25" t="b">
        <v>0</v>
      </c>
    </row>
    <row r="424" spans="1:10">
      <c r="A424" s="41" t="s">
        <v>4072</v>
      </c>
      <c r="B424" s="41" t="str">
        <f>_xlfn.TEXTAFTER(
 _xlfn.TEXTBEFORE(tblCostChecklist[[#This Row],[RequirementID]],".",-2),
 "cost."
)</f>
        <v>building.pier@1</v>
      </c>
      <c r="C424" s="41" t="str">
        <f>_xlfn.XLOOKUP(tblCostChecklist[[#This Row],[TargetID]],tblTargets[TargetID],tblTargets[DisplayName],"")</f>
        <v>Pier Lv 1</v>
      </c>
      <c r="D424" s="41" t="str">
        <f>_xlfn.XLOOKUP(tblCostChecklist[[#This Row],[TargetID]],tblTargets[TargetID],tblTargets[TargetType],"")</f>
        <v>BUILDING</v>
      </c>
      <c r="E424" s="41" t="s">
        <v>708</v>
      </c>
      <c r="F424" s="41">
        <v>1</v>
      </c>
      <c r="G424" s="41">
        <f>_xlfn.XLOOKUP(
 tblCostChecklist[[#This Row],[RequirementID]],
 tblCost[RequirementID],
 tblCost[QuantityRequired],
 ""
)</f>
        <v>3</v>
      </c>
      <c r="H4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19</v>
      </c>
      <c r="I424" s="41" t="str">
        <f>_xlfn.XLOOKUP(tblCostChecklist[[#This Row],[TargetID]],tblTargetStatus[TargetID],tblTargetStatus[Status])</f>
        <v>BLOCKED</v>
      </c>
      <c r="J424" s="25" t="b">
        <v>0</v>
      </c>
    </row>
    <row r="425" spans="1:10">
      <c r="A425" s="41" t="s">
        <v>4073</v>
      </c>
      <c r="B425" s="41" t="str">
        <f>_xlfn.TEXTAFTER(
 _xlfn.TEXTBEFORE(tblCostChecklist[[#This Row],[RequirementID]],".",-2),
 "cost."
)</f>
        <v>building.pier@1</v>
      </c>
      <c r="C425" s="41" t="str">
        <f>_xlfn.XLOOKUP(tblCostChecklist[[#This Row],[TargetID]],tblTargets[TargetID],tblTargets[DisplayName],"")</f>
        <v>Pier Lv 1</v>
      </c>
      <c r="D425" s="41" t="str">
        <f>_xlfn.XLOOKUP(tblCostChecklist[[#This Row],[TargetID]],tblTargets[TargetID],tblTargets[TargetType],"")</f>
        <v>BUILDING</v>
      </c>
      <c r="E425" s="41" t="s">
        <v>666</v>
      </c>
      <c r="F425" s="41">
        <v>1</v>
      </c>
      <c r="G425" s="41">
        <f>_xlfn.XLOOKUP(
 tblCostChecklist[[#This Row],[RequirementID]],
 tblCost[RequirementID],
 tblCost[QuantityRequired],
 ""
)</f>
        <v>400</v>
      </c>
      <c r="H4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19</v>
      </c>
      <c r="I425" s="41" t="str">
        <f>_xlfn.XLOOKUP(tblCostChecklist[[#This Row],[TargetID]],tblTargetStatus[TargetID],tblTargetStatus[Status])</f>
        <v>BLOCKED</v>
      </c>
      <c r="J425" s="25" t="b">
        <v>0</v>
      </c>
    </row>
    <row r="426" spans="1:10">
      <c r="A426" s="41" t="s">
        <v>4074</v>
      </c>
      <c r="B426" s="41" t="str">
        <f>_xlfn.TEXTAFTER(
 _xlfn.TEXTBEFORE(tblCostChecklist[[#This Row],[RequirementID]],".",-2),
 "cost."
)</f>
        <v>building.pier@1</v>
      </c>
      <c r="C426" s="41" t="str">
        <f>_xlfn.XLOOKUP(tblCostChecklist[[#This Row],[TargetID]],tblTargets[TargetID],tblTargets[DisplayName],"")</f>
        <v>Pier Lv 1</v>
      </c>
      <c r="D426" s="41" t="str">
        <f>_xlfn.XLOOKUP(tblCostChecklist[[#This Row],[TargetID]],tblTargets[TargetID],tblTargets[TargetType],"")</f>
        <v>BUILDING</v>
      </c>
      <c r="E426" s="41" t="s">
        <v>723</v>
      </c>
      <c r="F426" s="41">
        <v>1</v>
      </c>
      <c r="G426" s="41">
        <f>_xlfn.XLOOKUP(
 tblCostChecklist[[#This Row],[RequirementID]],
 tblCost[RequirementID],
 tblCost[QuantityRequired],
 ""
)</f>
        <v>50</v>
      </c>
      <c r="H4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19</v>
      </c>
      <c r="I426" s="41" t="str">
        <f>_xlfn.XLOOKUP(tblCostChecklist[[#This Row],[TargetID]],tblTargetStatus[TargetID],tblTargetStatus[Status])</f>
        <v>BLOCKED</v>
      </c>
      <c r="J426" s="25" t="b">
        <v>0</v>
      </c>
    </row>
    <row r="427" spans="1:10">
      <c r="A427" s="41" t="s">
        <v>4075</v>
      </c>
      <c r="B427" s="41" t="str">
        <f>_xlfn.TEXTAFTER(
 _xlfn.TEXTBEFORE(tblCostChecklist[[#This Row],[RequirementID]],".",-2),
 "cost."
)</f>
        <v>building.pier@1</v>
      </c>
      <c r="C427" s="41" t="str">
        <f>_xlfn.XLOOKUP(tblCostChecklist[[#This Row],[TargetID]],tblTargets[TargetID],tblTargets[DisplayName],"")</f>
        <v>Pier Lv 1</v>
      </c>
      <c r="D427" s="41" t="str">
        <f>_xlfn.XLOOKUP(tblCostChecklist[[#This Row],[TargetID]],tblTargets[TargetID],tblTargets[TargetType],"")</f>
        <v>BUILDING</v>
      </c>
      <c r="E427" s="41" t="s">
        <v>701</v>
      </c>
      <c r="F427" s="41">
        <v>1</v>
      </c>
      <c r="G427" s="41">
        <f>_xlfn.XLOOKUP(
 tblCostChecklist[[#This Row],[RequirementID]],
 tblCost[RequirementID],
 tblCost[QuantityRequired],
 ""
)</f>
        <v>400</v>
      </c>
      <c r="H4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19</v>
      </c>
      <c r="I427" s="41" t="str">
        <f>_xlfn.XLOOKUP(tblCostChecklist[[#This Row],[TargetID]],tblTargetStatus[TargetID],tblTargetStatus[Status])</f>
        <v>BLOCKED</v>
      </c>
      <c r="J427" s="25" t="b">
        <v>0</v>
      </c>
    </row>
    <row r="428" spans="1:10">
      <c r="A428" s="41" t="s">
        <v>4076</v>
      </c>
      <c r="B428" s="41" t="str">
        <f>_xlfn.TEXTAFTER(
 _xlfn.TEXTBEFORE(tblCostChecklist[[#This Row],[RequirementID]],".",-2),
 "cost."
)</f>
        <v>building.pier@1</v>
      </c>
      <c r="C428" s="41" t="str">
        <f>_xlfn.XLOOKUP(tblCostChecklist[[#This Row],[TargetID]],tblTargets[TargetID],tblTargets[DisplayName],"")</f>
        <v>Pier Lv 1</v>
      </c>
      <c r="D428" s="41" t="str">
        <f>_xlfn.XLOOKUP(tblCostChecklist[[#This Row],[TargetID]],tblTargets[TargetID],tblTargets[TargetType],"")</f>
        <v>BUILDING</v>
      </c>
      <c r="E428" s="41" t="s">
        <v>717</v>
      </c>
      <c r="F428" s="41">
        <v>1</v>
      </c>
      <c r="G428" s="41">
        <f>_xlfn.XLOOKUP(
 tblCostChecklist[[#This Row],[RequirementID]],
 tblCost[RequirementID],
 tblCost[QuantityRequired],
 ""
)</f>
        <v>300</v>
      </c>
      <c r="H4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19</v>
      </c>
      <c r="I428" s="41" t="str">
        <f>_xlfn.XLOOKUP(tblCostChecklist[[#This Row],[TargetID]],tblTargetStatus[TargetID],tblTargetStatus[Status])</f>
        <v>BLOCKED</v>
      </c>
      <c r="J428" s="25" t="b">
        <v>0</v>
      </c>
    </row>
    <row r="429" spans="1:10">
      <c r="A429" s="41" t="s">
        <v>4077</v>
      </c>
      <c r="B429" s="41" t="str">
        <f>_xlfn.TEXTAFTER(
 _xlfn.TEXTBEFORE(tblCostChecklist[[#This Row],[RequirementID]],".",-2),
 "cost."
)</f>
        <v>building.rock_garden@1</v>
      </c>
      <c r="C429" s="41" t="str">
        <f>_xlfn.XLOOKUP(tblCostChecklist[[#This Row],[TargetID]],tblTargets[TargetID],tblTargets[DisplayName],"")</f>
        <v>Rock Garden Lv 1</v>
      </c>
      <c r="D429" s="41" t="str">
        <f>_xlfn.XLOOKUP(tblCostChecklist[[#This Row],[TargetID]],tblTargets[TargetID],tblTargets[TargetType],"")</f>
        <v>BUILDING</v>
      </c>
      <c r="E429" s="41" t="s">
        <v>708</v>
      </c>
      <c r="F429" s="41">
        <v>1</v>
      </c>
      <c r="G429" s="41">
        <f>_xlfn.XLOOKUP(
 tblCostChecklist[[#This Row],[RequirementID]],
 tblCost[RequirementID],
 tblCost[QuantityRequired],
 ""
)</f>
        <v>1</v>
      </c>
      <c r="H4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83</v>
      </c>
      <c r="I429" s="41" t="str">
        <f>_xlfn.XLOOKUP(tblCostChecklist[[#This Row],[TargetID]],tblTargetStatus[TargetID],tblTargetStatus[Status])</f>
        <v>BLOCKED</v>
      </c>
      <c r="J429" s="25" t="b">
        <v>0</v>
      </c>
    </row>
    <row r="430" spans="1:10">
      <c r="A430" s="41" t="s">
        <v>4078</v>
      </c>
      <c r="B430" s="41" t="str">
        <f>_xlfn.TEXTAFTER(
 _xlfn.TEXTBEFORE(tblCostChecklist[[#This Row],[RequirementID]],".",-2),
 "cost."
)</f>
        <v>building.rock_garden@1</v>
      </c>
      <c r="C430" s="41" t="str">
        <f>_xlfn.XLOOKUP(tblCostChecklist[[#This Row],[TargetID]],tblTargets[TargetID],tblTargets[DisplayName],"")</f>
        <v>Rock Garden Lv 1</v>
      </c>
      <c r="D430" s="41" t="str">
        <f>_xlfn.XLOOKUP(tblCostChecklist[[#This Row],[TargetID]],tblTargets[TargetID],tblTargets[TargetType],"")</f>
        <v>BUILDING</v>
      </c>
      <c r="E430" s="41" t="s">
        <v>666</v>
      </c>
      <c r="F430" s="41">
        <v>1</v>
      </c>
      <c r="G430" s="41">
        <f>_xlfn.XLOOKUP(
 tblCostChecklist[[#This Row],[RequirementID]],
 tblCost[RequirementID],
 tblCost[QuantityRequired],
 ""
)</f>
        <v>400</v>
      </c>
      <c r="H4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83</v>
      </c>
      <c r="I430" s="41" t="str">
        <f>_xlfn.XLOOKUP(tblCostChecklist[[#This Row],[TargetID]],tblTargetStatus[TargetID],tblTargetStatus[Status])</f>
        <v>BLOCKED</v>
      </c>
      <c r="J430" s="25" t="b">
        <v>0</v>
      </c>
    </row>
    <row r="431" spans="1:10">
      <c r="A431" s="41" t="s">
        <v>4079</v>
      </c>
      <c r="B431" s="41" t="str">
        <f>_xlfn.TEXTAFTER(
 _xlfn.TEXTBEFORE(tblCostChecklist[[#This Row],[RequirementID]],".",-2),
 "cost."
)</f>
        <v>building.rock_garden@1</v>
      </c>
      <c r="C431" s="41" t="str">
        <f>_xlfn.XLOOKUP(tblCostChecklist[[#This Row],[TargetID]],tblTargets[TargetID],tblTargets[DisplayName],"")</f>
        <v>Rock Garden Lv 1</v>
      </c>
      <c r="D431" s="41" t="str">
        <f>_xlfn.XLOOKUP(tblCostChecklist[[#This Row],[TargetID]],tblTargets[TargetID],tblTargets[TargetType],"")</f>
        <v>BUILDING</v>
      </c>
      <c r="E431" s="41" t="s">
        <v>723</v>
      </c>
      <c r="F431" s="41">
        <v>1</v>
      </c>
      <c r="G431" s="41">
        <f>_xlfn.XLOOKUP(
 tblCostChecklist[[#This Row],[RequirementID]],
 tblCost[RequirementID],
 tblCost[QuantityRequired],
 ""
)</f>
        <v>100</v>
      </c>
      <c r="H4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83</v>
      </c>
      <c r="I431" s="41" t="str">
        <f>_xlfn.XLOOKUP(tblCostChecklist[[#This Row],[TargetID]],tblTargetStatus[TargetID],tblTargetStatus[Status])</f>
        <v>BLOCKED</v>
      </c>
      <c r="J431" s="25" t="b">
        <v>0</v>
      </c>
    </row>
    <row r="432" spans="1:10">
      <c r="A432" s="41" t="s">
        <v>4080</v>
      </c>
      <c r="B432" s="41" t="str">
        <f>_xlfn.TEXTAFTER(
 _xlfn.TEXTBEFORE(tblCostChecklist[[#This Row],[RequirementID]],".",-2),
 "cost."
)</f>
        <v>building.rock_garden@1</v>
      </c>
      <c r="C432" s="41" t="str">
        <f>_xlfn.XLOOKUP(tblCostChecklist[[#This Row],[TargetID]],tblTargets[TargetID],tblTargets[DisplayName],"")</f>
        <v>Rock Garden Lv 1</v>
      </c>
      <c r="D432" s="41" t="str">
        <f>_xlfn.XLOOKUP(tblCostChecklist[[#This Row],[TargetID]],tblTargets[TargetID],tblTargets[TargetType],"")</f>
        <v>BUILDING</v>
      </c>
      <c r="E432" s="41" t="s">
        <v>717</v>
      </c>
      <c r="F432" s="41">
        <v>1</v>
      </c>
      <c r="G432" s="41">
        <f>_xlfn.XLOOKUP(
 tblCostChecklist[[#This Row],[RequirementID]],
 tblCost[RequirementID],
 tblCost[QuantityRequired],
 ""
)</f>
        <v>200</v>
      </c>
      <c r="H4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83</v>
      </c>
      <c r="I432" s="41" t="str">
        <f>_xlfn.XLOOKUP(tblCostChecklist[[#This Row],[TargetID]],tblTargetStatus[TargetID],tblTargetStatus[Status])</f>
        <v>BLOCKED</v>
      </c>
      <c r="J432" s="25" t="b">
        <v>0</v>
      </c>
    </row>
    <row r="433" spans="1:10">
      <c r="A433" s="41" t="s">
        <v>4081</v>
      </c>
      <c r="B433" s="41" t="str">
        <f>_xlfn.TEXTAFTER(
 _xlfn.TEXTBEFORE(tblCostChecklist[[#This Row],[RequirementID]],".",-2),
 "cost."
)</f>
        <v>building.rock_garden@2</v>
      </c>
      <c r="C433" s="41" t="str">
        <f>_xlfn.XLOOKUP(tblCostChecklist[[#This Row],[TargetID]],tblTargets[TargetID],tblTargets[DisplayName],"")</f>
        <v>Rock Garden Lv 2</v>
      </c>
      <c r="D433" s="41" t="str">
        <f>_xlfn.XLOOKUP(tblCostChecklist[[#This Row],[TargetID]],tblTargets[TargetID],tblTargets[TargetType],"")</f>
        <v>BUILDING</v>
      </c>
      <c r="E433" s="41" t="s">
        <v>708</v>
      </c>
      <c r="F433" s="41">
        <v>1</v>
      </c>
      <c r="G433" s="41">
        <f>_xlfn.XLOOKUP(
 tblCostChecklist[[#This Row],[RequirementID]],
 tblCost[RequirementID],
 tblCost[QuantityRequired],
 ""
)</f>
        <v>2</v>
      </c>
      <c r="H4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84</v>
      </c>
      <c r="I433" s="41" t="str">
        <f>_xlfn.XLOOKUP(tblCostChecklist[[#This Row],[TargetID]],tblTargetStatus[TargetID],tblTargetStatus[Status])</f>
        <v>BLOCKED</v>
      </c>
      <c r="J433" s="25" t="b">
        <v>0</v>
      </c>
    </row>
    <row r="434" spans="1:10">
      <c r="A434" s="41" t="s">
        <v>4082</v>
      </c>
      <c r="B434" s="41" t="str">
        <f>_xlfn.TEXTAFTER(
 _xlfn.TEXTBEFORE(tblCostChecklist[[#This Row],[RequirementID]],".",-2),
 "cost."
)</f>
        <v>building.rock_garden@2</v>
      </c>
      <c r="C434" s="41" t="str">
        <f>_xlfn.XLOOKUP(tblCostChecklist[[#This Row],[TargetID]],tblTargets[TargetID],tblTargets[DisplayName],"")</f>
        <v>Rock Garden Lv 2</v>
      </c>
      <c r="D434" s="41" t="str">
        <f>_xlfn.XLOOKUP(tblCostChecklist[[#This Row],[TargetID]],tblTargets[TargetID],tblTargets[TargetType],"")</f>
        <v>BUILDING</v>
      </c>
      <c r="E434" s="41" t="s">
        <v>666</v>
      </c>
      <c r="F434" s="41">
        <v>1</v>
      </c>
      <c r="G434" s="41">
        <f>_xlfn.XLOOKUP(
 tblCostChecklist[[#This Row],[RequirementID]],
 tblCost[RequirementID],
 tblCost[QuantityRequired],
 ""
)</f>
        <v>600</v>
      </c>
      <c r="H4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84</v>
      </c>
      <c r="I434" s="41" t="str">
        <f>_xlfn.XLOOKUP(tblCostChecklist[[#This Row],[TargetID]],tblTargetStatus[TargetID],tblTargetStatus[Status])</f>
        <v>BLOCKED</v>
      </c>
      <c r="J434" s="25" t="b">
        <v>0</v>
      </c>
    </row>
    <row r="435" spans="1:10">
      <c r="A435" s="41" t="s">
        <v>4083</v>
      </c>
      <c r="B435" s="41" t="str">
        <f>_xlfn.TEXTAFTER(
 _xlfn.TEXTBEFORE(tblCostChecklist[[#This Row],[RequirementID]],".",-2),
 "cost."
)</f>
        <v>building.rock_garden@2</v>
      </c>
      <c r="C435" s="41" t="str">
        <f>_xlfn.XLOOKUP(tblCostChecklist[[#This Row],[TargetID]],tblTargets[TargetID],tblTargets[DisplayName],"")</f>
        <v>Rock Garden Lv 2</v>
      </c>
      <c r="D435" s="41" t="str">
        <f>_xlfn.XLOOKUP(tblCostChecklist[[#This Row],[TargetID]],tblTargets[TargetID],tblTargets[TargetType],"")</f>
        <v>BUILDING</v>
      </c>
      <c r="E435" s="41" t="s">
        <v>723</v>
      </c>
      <c r="F435" s="41">
        <v>1</v>
      </c>
      <c r="G435" s="41">
        <f>_xlfn.XLOOKUP(
 tblCostChecklist[[#This Row],[RequirementID]],
 tblCost[RequirementID],
 tblCost[QuantityRequired],
 ""
)</f>
        <v>150</v>
      </c>
      <c r="H4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84</v>
      </c>
      <c r="I435" s="41" t="str">
        <f>_xlfn.XLOOKUP(tblCostChecklist[[#This Row],[TargetID]],tblTargetStatus[TargetID],tblTargetStatus[Status])</f>
        <v>BLOCKED</v>
      </c>
      <c r="J435" s="25" t="b">
        <v>0</v>
      </c>
    </row>
    <row r="436" spans="1:10">
      <c r="A436" s="41" t="s">
        <v>4084</v>
      </c>
      <c r="B436" s="41" t="str">
        <f>_xlfn.TEXTAFTER(
 _xlfn.TEXTBEFORE(tblCostChecklist[[#This Row],[RequirementID]],".",-2),
 "cost."
)</f>
        <v>building.rock_garden@2</v>
      </c>
      <c r="C436" s="41" t="str">
        <f>_xlfn.XLOOKUP(tblCostChecklist[[#This Row],[TargetID]],tblTargets[TargetID],tblTargets[DisplayName],"")</f>
        <v>Rock Garden Lv 2</v>
      </c>
      <c r="D436" s="41" t="str">
        <f>_xlfn.XLOOKUP(tblCostChecklist[[#This Row],[TargetID]],tblTargets[TargetID],tblTargets[TargetType],"")</f>
        <v>BUILDING</v>
      </c>
      <c r="E436" s="41" t="s">
        <v>717</v>
      </c>
      <c r="F436" s="41">
        <v>1</v>
      </c>
      <c r="G436" s="41">
        <f>_xlfn.XLOOKUP(
 tblCostChecklist[[#This Row],[RequirementID]],
 tblCost[RequirementID],
 tblCost[QuantityRequired],
 ""
)</f>
        <v>300</v>
      </c>
      <c r="H4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84</v>
      </c>
      <c r="I436" s="41" t="str">
        <f>_xlfn.XLOOKUP(tblCostChecklist[[#This Row],[TargetID]],tblTargetStatus[TargetID],tblTargetStatus[Status])</f>
        <v>BLOCKED</v>
      </c>
      <c r="J436" s="25" t="b">
        <v>0</v>
      </c>
    </row>
    <row r="437" spans="1:10">
      <c r="A437" s="41" t="s">
        <v>4085</v>
      </c>
      <c r="B437" s="41" t="str">
        <f>_xlfn.TEXTAFTER(
 _xlfn.TEXTBEFORE(tblCostChecklist[[#This Row],[RequirementID]],".",-2),
 "cost."
)</f>
        <v>building.rock_garden@3</v>
      </c>
      <c r="C437" s="41" t="str">
        <f>_xlfn.XLOOKUP(tblCostChecklist[[#This Row],[TargetID]],tblTargets[TargetID],tblTargets[DisplayName],"")</f>
        <v>Rock Garden Lv 3</v>
      </c>
      <c r="D437" s="41" t="str">
        <f>_xlfn.XLOOKUP(tblCostChecklist[[#This Row],[TargetID]],tblTargets[TargetID],tblTargets[TargetType],"")</f>
        <v>BUILDING</v>
      </c>
      <c r="E437" s="41" t="s">
        <v>708</v>
      </c>
      <c r="F437" s="41">
        <v>1</v>
      </c>
      <c r="G437" s="41">
        <f>_xlfn.XLOOKUP(
 tblCostChecklist[[#This Row],[RequirementID]],
 tblCost[RequirementID],
 tblCost[QuantityRequired],
 ""
)</f>
        <v>4</v>
      </c>
      <c r="H4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85</v>
      </c>
      <c r="I437" s="41" t="str">
        <f>_xlfn.XLOOKUP(tblCostChecklist[[#This Row],[TargetID]],tblTargetStatus[TargetID],tblTargetStatus[Status])</f>
        <v>BLOCKED</v>
      </c>
      <c r="J437" s="25" t="b">
        <v>0</v>
      </c>
    </row>
    <row r="438" spans="1:10">
      <c r="A438" s="41" t="s">
        <v>4086</v>
      </c>
      <c r="B438" s="41" t="str">
        <f>_xlfn.TEXTAFTER(
 _xlfn.TEXTBEFORE(tblCostChecklist[[#This Row],[RequirementID]],".",-2),
 "cost."
)</f>
        <v>building.rock_garden@3</v>
      </c>
      <c r="C438" s="41" t="str">
        <f>_xlfn.XLOOKUP(tblCostChecklist[[#This Row],[TargetID]],tblTargets[TargetID],tblTargets[DisplayName],"")</f>
        <v>Rock Garden Lv 3</v>
      </c>
      <c r="D438" s="41" t="str">
        <f>_xlfn.XLOOKUP(tblCostChecklist[[#This Row],[TargetID]],tblTargets[TargetID],tblTargets[TargetType],"")</f>
        <v>BUILDING</v>
      </c>
      <c r="E438" s="41" t="s">
        <v>666</v>
      </c>
      <c r="F438" s="41">
        <v>1</v>
      </c>
      <c r="G438" s="41">
        <f>_xlfn.XLOOKUP(
 tblCostChecklist[[#This Row],[RequirementID]],
 tblCost[RequirementID],
 tblCost[QuantityRequired],
 ""
)</f>
        <v>1000</v>
      </c>
      <c r="H4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85</v>
      </c>
      <c r="I438" s="41" t="str">
        <f>_xlfn.XLOOKUP(tblCostChecklist[[#This Row],[TargetID]],tblTargetStatus[TargetID],tblTargetStatus[Status])</f>
        <v>BLOCKED</v>
      </c>
      <c r="J438" s="25" t="b">
        <v>0</v>
      </c>
    </row>
    <row r="439" spans="1:10">
      <c r="A439" s="41" t="s">
        <v>4087</v>
      </c>
      <c r="B439" s="41" t="str">
        <f>_xlfn.TEXTAFTER(
 _xlfn.TEXTBEFORE(tblCostChecklist[[#This Row],[RequirementID]],".",-2),
 "cost."
)</f>
        <v>building.rock_garden@3</v>
      </c>
      <c r="C439" s="41" t="str">
        <f>_xlfn.XLOOKUP(tblCostChecklist[[#This Row],[TargetID]],tblTargets[TargetID],tblTargets[DisplayName],"")</f>
        <v>Rock Garden Lv 3</v>
      </c>
      <c r="D439" s="41" t="str">
        <f>_xlfn.XLOOKUP(tblCostChecklist[[#This Row],[TargetID]],tblTargets[TargetID],tblTargets[TargetType],"")</f>
        <v>BUILDING</v>
      </c>
      <c r="E439" s="41" t="s">
        <v>658</v>
      </c>
      <c r="F439" s="41">
        <v>1</v>
      </c>
      <c r="G439" s="41">
        <f>_xlfn.XLOOKUP(
 tblCostChecklist[[#This Row],[RequirementID]],
 tblCost[RequirementID],
 tblCost[QuantityRequired],
 ""
)</f>
        <v>400</v>
      </c>
      <c r="H4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85</v>
      </c>
      <c r="I439" s="41" t="str">
        <f>_xlfn.XLOOKUP(tblCostChecklist[[#This Row],[TargetID]],tblTargetStatus[TargetID],tblTargetStatus[Status])</f>
        <v>BLOCKED</v>
      </c>
      <c r="J439" s="25" t="b">
        <v>0</v>
      </c>
    </row>
    <row r="440" spans="1:10">
      <c r="A440" s="41" t="s">
        <v>4088</v>
      </c>
      <c r="B440" s="41" t="str">
        <f>_xlfn.TEXTAFTER(
 _xlfn.TEXTBEFORE(tblCostChecklist[[#This Row],[RequirementID]],".",-2),
 "cost."
)</f>
        <v>building.rock_garden@3</v>
      </c>
      <c r="C440" s="41" t="str">
        <f>_xlfn.XLOOKUP(tblCostChecklist[[#This Row],[TargetID]],tblTargets[TargetID],tblTargets[DisplayName],"")</f>
        <v>Rock Garden Lv 3</v>
      </c>
      <c r="D440" s="41" t="str">
        <f>_xlfn.XLOOKUP(tblCostChecklist[[#This Row],[TargetID]],tblTargets[TargetID],tblTargets[TargetType],"")</f>
        <v>BUILDING</v>
      </c>
      <c r="E440" s="41" t="s">
        <v>717</v>
      </c>
      <c r="F440" s="41">
        <v>1</v>
      </c>
      <c r="G440" s="41">
        <f>_xlfn.XLOOKUP(
 tblCostChecklist[[#This Row],[RequirementID]],
 tblCost[RequirementID],
 tblCost[QuantityRequired],
 ""
)</f>
        <v>400</v>
      </c>
      <c r="H4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85</v>
      </c>
      <c r="I440" s="41" t="str">
        <f>_xlfn.XLOOKUP(tblCostChecklist[[#This Row],[TargetID]],tblTargetStatus[TargetID],tblTargetStatus[Status])</f>
        <v>BLOCKED</v>
      </c>
      <c r="J440" s="25" t="b">
        <v>0</v>
      </c>
    </row>
    <row r="441" spans="1:10">
      <c r="A441" s="41" t="s">
        <v>4089</v>
      </c>
      <c r="B441" s="41" t="str">
        <f>_xlfn.TEXTAFTER(
 _xlfn.TEXTBEFORE(tblCostChecklist[[#This Row],[RequirementID]],".",-2),
 "cost."
)</f>
        <v>building.ship@1</v>
      </c>
      <c r="C441" s="41" t="str">
        <f>_xlfn.XLOOKUP(tblCostChecklist[[#This Row],[TargetID]],tblTargets[TargetID],tblTargets[DisplayName],"")</f>
        <v>Ship Lv 1</v>
      </c>
      <c r="D441" s="41" t="str">
        <f>_xlfn.XLOOKUP(tblCostChecklist[[#This Row],[TargetID]],tblTargets[TargetID],tblTargets[TargetType],"")</f>
        <v>BUILDING</v>
      </c>
      <c r="E441" s="41" t="s">
        <v>708</v>
      </c>
      <c r="F441" s="41">
        <v>1</v>
      </c>
      <c r="G441" s="41">
        <f>_xlfn.XLOOKUP(
 tblCostChecklist[[#This Row],[RequirementID]],
 tblCost[RequirementID],
 tblCost[QuantityRequired],
 ""
)</f>
        <v>3</v>
      </c>
      <c r="H4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441" s="41" t="str">
        <f>_xlfn.XLOOKUP(tblCostChecklist[[#This Row],[TargetID]],tblTargetStatus[TargetID],tblTargetStatus[Status])</f>
        <v>BLOCKED</v>
      </c>
      <c r="J441" s="25" t="b">
        <v>0</v>
      </c>
    </row>
    <row r="442" spans="1:10">
      <c r="A442" s="41" t="s">
        <v>4090</v>
      </c>
      <c r="B442" s="41" t="str">
        <f>_xlfn.TEXTAFTER(
 _xlfn.TEXTBEFORE(tblCostChecklist[[#This Row],[RequirementID]],".",-2),
 "cost."
)</f>
        <v>building.ship@1</v>
      </c>
      <c r="C442" s="41" t="str">
        <f>_xlfn.XLOOKUP(tblCostChecklist[[#This Row],[TargetID]],tblTargets[TargetID],tblTargets[DisplayName],"")</f>
        <v>Ship Lv 1</v>
      </c>
      <c r="D442" s="41" t="str">
        <f>_xlfn.XLOOKUP(tblCostChecklist[[#This Row],[TargetID]],tblTargets[TargetID],tblTargets[TargetType],"")</f>
        <v>BUILDING</v>
      </c>
      <c r="E442" s="41" t="s">
        <v>666</v>
      </c>
      <c r="F442" s="41">
        <v>1</v>
      </c>
      <c r="G442" s="41">
        <f>_xlfn.XLOOKUP(
 tblCostChecklist[[#This Row],[RequirementID]],
 tblCost[RequirementID],
 tblCost[QuantityRequired],
 ""
)</f>
        <v>500</v>
      </c>
      <c r="H4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442" s="41" t="str">
        <f>_xlfn.XLOOKUP(tblCostChecklist[[#This Row],[TargetID]],tblTargetStatus[TargetID],tblTargetStatus[Status])</f>
        <v>BLOCKED</v>
      </c>
      <c r="J442" s="25" t="b">
        <v>0</v>
      </c>
    </row>
    <row r="443" spans="1:10">
      <c r="A443" s="41" t="s">
        <v>4091</v>
      </c>
      <c r="B443" s="41" t="str">
        <f>_xlfn.TEXTAFTER(
 _xlfn.TEXTBEFORE(tblCostChecklist[[#This Row],[RequirementID]],".",-2),
 "cost."
)</f>
        <v>building.ship@1</v>
      </c>
      <c r="C443" s="41" t="str">
        <f>_xlfn.XLOOKUP(tblCostChecklist[[#This Row],[TargetID]],tblTargets[TargetID],tblTargets[DisplayName],"")</f>
        <v>Ship Lv 1</v>
      </c>
      <c r="D443" s="41" t="str">
        <f>_xlfn.XLOOKUP(tblCostChecklist[[#This Row],[TargetID]],tblTargets[TargetID],tblTargets[TargetType],"")</f>
        <v>BUILDING</v>
      </c>
      <c r="E443" s="41" t="s">
        <v>701</v>
      </c>
      <c r="F443" s="41">
        <v>1</v>
      </c>
      <c r="G443" s="41">
        <f>_xlfn.XLOOKUP(
 tblCostChecklist[[#This Row],[RequirementID]],
 tblCost[RequirementID],
 tblCost[QuantityRequired],
 ""
)</f>
        <v>600</v>
      </c>
      <c r="H4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443" s="41" t="str">
        <f>_xlfn.XLOOKUP(tblCostChecklist[[#This Row],[TargetID]],tblTargetStatus[TargetID],tblTargetStatus[Status])</f>
        <v>BLOCKED</v>
      </c>
      <c r="J443" s="25" t="b">
        <v>0</v>
      </c>
    </row>
    <row r="444" spans="1:10">
      <c r="A444" s="41" t="s">
        <v>4092</v>
      </c>
      <c r="B444" s="41" t="str">
        <f>_xlfn.TEXTAFTER(
 _xlfn.TEXTBEFORE(tblCostChecklist[[#This Row],[RequirementID]],".",-2),
 "cost."
)</f>
        <v>building.ship@1</v>
      </c>
      <c r="C444" s="41" t="str">
        <f>_xlfn.XLOOKUP(tblCostChecklist[[#This Row],[TargetID]],tblTargets[TargetID],tblTargets[DisplayName],"")</f>
        <v>Ship Lv 1</v>
      </c>
      <c r="D444" s="41" t="str">
        <f>_xlfn.XLOOKUP(tblCostChecklist[[#This Row],[TargetID]],tblTargets[TargetID],tblTargets[TargetType],"")</f>
        <v>BUILDING</v>
      </c>
      <c r="E444" s="41" t="s">
        <v>717</v>
      </c>
      <c r="F444" s="41">
        <v>1</v>
      </c>
      <c r="G444" s="41">
        <f>_xlfn.XLOOKUP(
 tblCostChecklist[[#This Row],[RequirementID]],
 tblCost[RequirementID],
 tblCost[QuantityRequired],
 ""
)</f>
        <v>1</v>
      </c>
      <c r="H4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444" s="41" t="str">
        <f>_xlfn.XLOOKUP(tblCostChecklist[[#This Row],[TargetID]],tblTargetStatus[TargetID],tblTargetStatus[Status])</f>
        <v>BLOCKED</v>
      </c>
      <c r="J444" s="25" t="b">
        <v>0</v>
      </c>
    </row>
    <row r="445" spans="1:10">
      <c r="A445" s="41" t="s">
        <v>4093</v>
      </c>
      <c r="B445" s="41" t="str">
        <f>_xlfn.TEXTAFTER(
 _xlfn.TEXTBEFORE(tblCostChecklist[[#This Row],[RequirementID]],".",-2),
 "cost."
)</f>
        <v>building.ship@1</v>
      </c>
      <c r="C445" s="41" t="str">
        <f>_xlfn.XLOOKUP(tblCostChecklist[[#This Row],[TargetID]],tblTargets[TargetID],tblTargets[DisplayName],"")</f>
        <v>Ship Lv 1</v>
      </c>
      <c r="D445" s="41" t="str">
        <f>_xlfn.XLOOKUP(tblCostChecklist[[#This Row],[TargetID]],tblTargets[TargetID],tblTargets[TargetType],"")</f>
        <v>BUILDING</v>
      </c>
      <c r="E445" s="41" t="s">
        <v>716</v>
      </c>
      <c r="F445" s="41">
        <v>1</v>
      </c>
      <c r="G445" s="41">
        <f>_xlfn.XLOOKUP(
 tblCostChecklist[[#This Row],[RequirementID]],
 tblCost[RequirementID],
 tblCost[QuantityRequired],
 ""
)</f>
        <v>60</v>
      </c>
      <c r="H4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445" s="41" t="str">
        <f>_xlfn.XLOOKUP(tblCostChecklist[[#This Row],[TargetID]],tblTargetStatus[TargetID],tblTargetStatus[Status])</f>
        <v>BLOCKED</v>
      </c>
      <c r="J445" s="25" t="b">
        <v>0</v>
      </c>
    </row>
    <row r="446" spans="1:10">
      <c r="A446" s="41" t="s">
        <v>4094</v>
      </c>
      <c r="B446" s="41" t="str">
        <f>_xlfn.TEXTAFTER(
 _xlfn.TEXTBEFORE(tblCostChecklist[[#This Row],[RequirementID]],".",-2),
 "cost."
)</f>
        <v>building.ship@2</v>
      </c>
      <c r="C446" s="41" t="str">
        <f>_xlfn.XLOOKUP(tblCostChecklist[[#This Row],[TargetID]],tblTargets[TargetID],tblTargets[DisplayName],"")</f>
        <v>Ship Lv 2</v>
      </c>
      <c r="D446" s="41" t="str">
        <f>_xlfn.XLOOKUP(tblCostChecklist[[#This Row],[TargetID]],tblTargets[TargetID],tblTargets[TargetType],"")</f>
        <v>BUILDING</v>
      </c>
      <c r="E446" s="41" t="s">
        <v>708</v>
      </c>
      <c r="F446" s="41">
        <v>1</v>
      </c>
      <c r="G446" s="41">
        <f>_xlfn.XLOOKUP(
 tblCostChecklist[[#This Row],[RequirementID]],
 tblCost[RequirementID],
 tblCost[QuantityRequired],
 ""
)</f>
        <v>6</v>
      </c>
      <c r="H4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446" s="41" t="str">
        <f>_xlfn.XLOOKUP(tblCostChecklist[[#This Row],[TargetID]],tblTargetStatus[TargetID],tblTargetStatus[Status])</f>
        <v>BLOCKED</v>
      </c>
      <c r="J446" s="25" t="b">
        <v>0</v>
      </c>
    </row>
    <row r="447" spans="1:10">
      <c r="A447" s="41" t="s">
        <v>4095</v>
      </c>
      <c r="B447" s="41" t="str">
        <f>_xlfn.TEXTAFTER(
 _xlfn.TEXTBEFORE(tblCostChecklist[[#This Row],[RequirementID]],".",-2),
 "cost."
)</f>
        <v>building.ship@2</v>
      </c>
      <c r="C447" s="41" t="str">
        <f>_xlfn.XLOOKUP(tblCostChecklist[[#This Row],[TargetID]],tblTargets[TargetID],tblTargets[DisplayName],"")</f>
        <v>Ship Lv 2</v>
      </c>
      <c r="D447" s="41" t="str">
        <f>_xlfn.XLOOKUP(tblCostChecklist[[#This Row],[TargetID]],tblTargets[TargetID],tblTargets[TargetType],"")</f>
        <v>BUILDING</v>
      </c>
      <c r="E447" s="41" t="s">
        <v>666</v>
      </c>
      <c r="F447" s="41">
        <v>1</v>
      </c>
      <c r="G447" s="41">
        <f>_xlfn.XLOOKUP(
 tblCostChecklist[[#This Row],[RequirementID]],
 tblCost[RequirementID],
 tblCost[QuantityRequired],
 ""
)</f>
        <v>750</v>
      </c>
      <c r="H4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447" s="41" t="str">
        <f>_xlfn.XLOOKUP(tblCostChecklist[[#This Row],[TargetID]],tblTargetStatus[TargetID],tblTargetStatus[Status])</f>
        <v>BLOCKED</v>
      </c>
      <c r="J447" s="25" t="b">
        <v>0</v>
      </c>
    </row>
    <row r="448" spans="1:10">
      <c r="A448" s="41" t="s">
        <v>4096</v>
      </c>
      <c r="B448" s="41" t="str">
        <f>_xlfn.TEXTAFTER(
 _xlfn.TEXTBEFORE(tblCostChecklist[[#This Row],[RequirementID]],".",-2),
 "cost."
)</f>
        <v>building.ship@2</v>
      </c>
      <c r="C448" s="41" t="str">
        <f>_xlfn.XLOOKUP(tblCostChecklist[[#This Row],[TargetID]],tblTargets[TargetID],tblTargets[DisplayName],"")</f>
        <v>Ship Lv 2</v>
      </c>
      <c r="D448" s="41" t="str">
        <f>_xlfn.XLOOKUP(tblCostChecklist[[#This Row],[TargetID]],tblTargets[TargetID],tblTargets[TargetType],"")</f>
        <v>BUILDING</v>
      </c>
      <c r="E448" s="41" t="s">
        <v>701</v>
      </c>
      <c r="F448" s="41">
        <v>1</v>
      </c>
      <c r="G448" s="41">
        <f>_xlfn.XLOOKUP(
 tblCostChecklist[[#This Row],[RequirementID]],
 tblCost[RequirementID],
 tblCost[QuantityRequired],
 ""
)</f>
        <v>800</v>
      </c>
      <c r="H4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448" s="41" t="str">
        <f>_xlfn.XLOOKUP(tblCostChecklist[[#This Row],[TargetID]],tblTargetStatus[TargetID],tblTargetStatus[Status])</f>
        <v>BLOCKED</v>
      </c>
      <c r="J448" s="25" t="b">
        <v>0</v>
      </c>
    </row>
    <row r="449" spans="1:10">
      <c r="A449" s="41" t="s">
        <v>4097</v>
      </c>
      <c r="B449" s="41" t="str">
        <f>_xlfn.TEXTAFTER(
 _xlfn.TEXTBEFORE(tblCostChecklist[[#This Row],[RequirementID]],".",-2),
 "cost."
)</f>
        <v>building.ship@2</v>
      </c>
      <c r="C449" s="41" t="str">
        <f>_xlfn.XLOOKUP(tblCostChecklist[[#This Row],[TargetID]],tblTargets[TargetID],tblTargets[DisplayName],"")</f>
        <v>Ship Lv 2</v>
      </c>
      <c r="D449" s="41" t="str">
        <f>_xlfn.XLOOKUP(tblCostChecklist[[#This Row],[TargetID]],tblTargets[TargetID],tblTargets[TargetType],"")</f>
        <v>BUILDING</v>
      </c>
      <c r="E449" s="41" t="s">
        <v>716</v>
      </c>
      <c r="F449" s="41">
        <v>1</v>
      </c>
      <c r="G449" s="41">
        <f>_xlfn.XLOOKUP(
 tblCostChecklist[[#This Row],[RequirementID]],
 tblCost[RequirementID],
 tblCost[QuantityRequired],
 ""
)</f>
        <v>60</v>
      </c>
      <c r="H4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449" s="41" t="str">
        <f>_xlfn.XLOOKUP(tblCostChecklist[[#This Row],[TargetID]],tblTargetStatus[TargetID],tblTargetStatus[Status])</f>
        <v>BLOCKED</v>
      </c>
      <c r="J449" s="25" t="b">
        <v>0</v>
      </c>
    </row>
    <row r="450" spans="1:10">
      <c r="A450" s="41" t="s">
        <v>4098</v>
      </c>
      <c r="B450" s="41" t="str">
        <f>_xlfn.TEXTAFTER(
 _xlfn.TEXTBEFORE(tblCostChecklist[[#This Row],[RequirementID]],".",-2),
 "cost."
)</f>
        <v>building.ship@2</v>
      </c>
      <c r="C450" s="41" t="str">
        <f>_xlfn.XLOOKUP(tblCostChecklist[[#This Row],[TargetID]],tblTargets[TargetID],tblTargets[DisplayName],"")</f>
        <v>Ship Lv 2</v>
      </c>
      <c r="D450" s="41" t="str">
        <f>_xlfn.XLOOKUP(tblCostChecklist[[#This Row],[TargetID]],tblTargets[TargetID],tblTargets[TargetType],"")</f>
        <v>BUILDING</v>
      </c>
      <c r="E450" s="41" t="s">
        <v>691</v>
      </c>
      <c r="F450" s="41">
        <v>1</v>
      </c>
      <c r="G450" s="41">
        <f>_xlfn.XLOOKUP(
 tblCostChecklist[[#This Row],[RequirementID]],
 tblCost[RequirementID],
 tblCost[QuantityRequired],
 ""
)</f>
        <v>1</v>
      </c>
      <c r="H4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450" s="41" t="str">
        <f>_xlfn.XLOOKUP(tblCostChecklist[[#This Row],[TargetID]],tblTargetStatus[TargetID],tblTargetStatus[Status])</f>
        <v>BLOCKED</v>
      </c>
      <c r="J450" s="25" t="b">
        <v>0</v>
      </c>
    </row>
    <row r="451" spans="1:10">
      <c r="A451" s="41" t="s">
        <v>4099</v>
      </c>
      <c r="B451" s="41" t="str">
        <f>_xlfn.TEXTAFTER(
 _xlfn.TEXTBEFORE(tblCostChecklist[[#This Row],[RequirementID]],".",-2),
 "cost."
)</f>
        <v>building.ship@3</v>
      </c>
      <c r="C451" s="41" t="str">
        <f>_xlfn.XLOOKUP(tblCostChecklist[[#This Row],[TargetID]],tblTargets[TargetID],tblTargets[DisplayName],"")</f>
        <v>Ship Lv 3</v>
      </c>
      <c r="D451" s="41" t="str">
        <f>_xlfn.XLOOKUP(tblCostChecklist[[#This Row],[TargetID]],tblTargets[TargetID],tblTargets[TargetType],"")</f>
        <v>BUILDING</v>
      </c>
      <c r="E451" s="41" t="s">
        <v>708</v>
      </c>
      <c r="F451" s="41">
        <v>1</v>
      </c>
      <c r="G451" s="41">
        <f>_xlfn.XLOOKUP(
 tblCostChecklist[[#This Row],[RequirementID]],
 tblCost[RequirementID],
 tblCost[QuantityRequired],
 ""
)</f>
        <v>9</v>
      </c>
      <c r="H4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22</v>
      </c>
      <c r="I451" s="41" t="str">
        <f>_xlfn.XLOOKUP(tblCostChecklist[[#This Row],[TargetID]],tblTargetStatus[TargetID],tblTargetStatus[Status])</f>
        <v>BLOCKED</v>
      </c>
      <c r="J451" s="25" t="b">
        <v>0</v>
      </c>
    </row>
    <row r="452" spans="1:10">
      <c r="A452" s="41" t="s">
        <v>4100</v>
      </c>
      <c r="B452" s="41" t="str">
        <f>_xlfn.TEXTAFTER(
 _xlfn.TEXTBEFORE(tblCostChecklist[[#This Row],[RequirementID]],".",-2),
 "cost."
)</f>
        <v>building.ship@3</v>
      </c>
      <c r="C452" s="41" t="str">
        <f>_xlfn.XLOOKUP(tblCostChecklist[[#This Row],[TargetID]],tblTargets[TargetID],tblTargets[DisplayName],"")</f>
        <v>Ship Lv 3</v>
      </c>
      <c r="D452" s="41" t="str">
        <f>_xlfn.XLOOKUP(tblCostChecklist[[#This Row],[TargetID]],tblTargets[TargetID],tblTargets[TargetType],"")</f>
        <v>BUILDING</v>
      </c>
      <c r="E452" s="41" t="s">
        <v>666</v>
      </c>
      <c r="F452" s="41">
        <v>1</v>
      </c>
      <c r="G452" s="41">
        <f>_xlfn.XLOOKUP(
 tblCostChecklist[[#This Row],[RequirementID]],
 tblCost[RequirementID],
 tblCost[QuantityRequired],
 ""
)</f>
        <v>1000</v>
      </c>
      <c r="H4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22</v>
      </c>
      <c r="I452" s="41" t="str">
        <f>_xlfn.XLOOKUP(tblCostChecklist[[#This Row],[TargetID]],tblTargetStatus[TargetID],tblTargetStatus[Status])</f>
        <v>BLOCKED</v>
      </c>
      <c r="J452" s="25" t="b">
        <v>0</v>
      </c>
    </row>
    <row r="453" spans="1:10">
      <c r="A453" s="41" t="s">
        <v>4101</v>
      </c>
      <c r="B453" s="41" t="str">
        <f>_xlfn.TEXTAFTER(
 _xlfn.TEXTBEFORE(tblCostChecklist[[#This Row],[RequirementID]],".",-2),
 "cost."
)</f>
        <v>building.ship@3</v>
      </c>
      <c r="C453" s="41" t="str">
        <f>_xlfn.XLOOKUP(tblCostChecklist[[#This Row],[TargetID]],tblTargets[TargetID],tblTargets[DisplayName],"")</f>
        <v>Ship Lv 3</v>
      </c>
      <c r="D453" s="41" t="str">
        <f>_xlfn.XLOOKUP(tblCostChecklist[[#This Row],[TargetID]],tblTargets[TargetID],tblTargets[TargetType],"")</f>
        <v>BUILDING</v>
      </c>
      <c r="E453" s="41" t="s">
        <v>701</v>
      </c>
      <c r="F453" s="41">
        <v>1</v>
      </c>
      <c r="G453" s="41">
        <f>_xlfn.XLOOKUP(
 tblCostChecklist[[#This Row],[RequirementID]],
 tblCost[RequirementID],
 tblCost[QuantityRequired],
 ""
)</f>
        <v>1000</v>
      </c>
      <c r="H4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22</v>
      </c>
      <c r="I453" s="41" t="str">
        <f>_xlfn.XLOOKUP(tblCostChecklist[[#This Row],[TargetID]],tblTargetStatus[TargetID],tblTargetStatus[Status])</f>
        <v>BLOCKED</v>
      </c>
      <c r="J453" s="25" t="b">
        <v>0</v>
      </c>
    </row>
    <row r="454" spans="1:10">
      <c r="A454" s="41" t="s">
        <v>4102</v>
      </c>
      <c r="B454" s="41" t="str">
        <f>_xlfn.TEXTAFTER(
 _xlfn.TEXTBEFORE(tblCostChecklist[[#This Row],[RequirementID]],".",-2),
 "cost."
)</f>
        <v>building.ship@3</v>
      </c>
      <c r="C454" s="41" t="str">
        <f>_xlfn.XLOOKUP(tblCostChecklist[[#This Row],[TargetID]],tblTargets[TargetID],tblTargets[DisplayName],"")</f>
        <v>Ship Lv 3</v>
      </c>
      <c r="D454" s="41" t="str">
        <f>_xlfn.XLOOKUP(tblCostChecklist[[#This Row],[TargetID]],tblTargets[TargetID],tblTargets[TargetType],"")</f>
        <v>BUILDING</v>
      </c>
      <c r="E454" s="41" t="s">
        <v>654</v>
      </c>
      <c r="F454" s="41">
        <v>1</v>
      </c>
      <c r="G454" s="41">
        <f>_xlfn.XLOOKUP(
 tblCostChecklist[[#This Row],[RequirementID]],
 tblCost[RequirementID],
 tblCost[QuantityRequired],
 ""
)</f>
        <v>1</v>
      </c>
      <c r="H4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22</v>
      </c>
      <c r="I454" s="41" t="str">
        <f>_xlfn.XLOOKUP(tblCostChecklist[[#This Row],[TargetID]],tblTargetStatus[TargetID],tblTargetStatus[Status])</f>
        <v>BLOCKED</v>
      </c>
      <c r="J454" s="25" t="b">
        <v>0</v>
      </c>
    </row>
    <row r="455" spans="1:10">
      <c r="A455" s="41" t="s">
        <v>4103</v>
      </c>
      <c r="B455" s="41" t="str">
        <f>_xlfn.TEXTAFTER(
 _xlfn.TEXTBEFORE(tblCostChecklist[[#This Row],[RequirementID]],".",-2),
 "cost."
)</f>
        <v>building.ship@3</v>
      </c>
      <c r="C455" s="41" t="str">
        <f>_xlfn.XLOOKUP(tblCostChecklist[[#This Row],[TargetID]],tblTargets[TargetID],tblTargets[DisplayName],"")</f>
        <v>Ship Lv 3</v>
      </c>
      <c r="D455" s="41" t="str">
        <f>_xlfn.XLOOKUP(tblCostChecklist[[#This Row],[TargetID]],tblTargets[TargetID],tblTargets[TargetType],"")</f>
        <v>BUILDING</v>
      </c>
      <c r="E455" s="41" t="s">
        <v>715</v>
      </c>
      <c r="F455" s="41">
        <v>1</v>
      </c>
      <c r="G455" s="41">
        <f>_xlfn.XLOOKUP(
 tblCostChecklist[[#This Row],[RequirementID]],
 tblCost[RequirementID],
 tblCost[QuantityRequired],
 ""
)</f>
        <v>1</v>
      </c>
      <c r="H4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22</v>
      </c>
      <c r="I455" s="41" t="str">
        <f>_xlfn.XLOOKUP(tblCostChecklist[[#This Row],[TargetID]],tblTargetStatus[TargetID],tblTargetStatus[Status])</f>
        <v>BLOCKED</v>
      </c>
      <c r="J455" s="25" t="b">
        <v>0</v>
      </c>
    </row>
    <row r="456" spans="1:10">
      <c r="A456" s="41" t="s">
        <v>4104</v>
      </c>
      <c r="B456" s="41" t="str">
        <f>_xlfn.TEXTAFTER(
 _xlfn.TEXTBEFORE(tblCostChecklist[[#This Row],[RequirementID]],".",-2),
 "cost."
)</f>
        <v>building.ship@4</v>
      </c>
      <c r="C456" s="41" t="str">
        <f>_xlfn.XLOOKUP(tblCostChecklist[[#This Row],[TargetID]],tblTargets[TargetID],tblTargets[DisplayName],"")</f>
        <v>Ship Lv 4</v>
      </c>
      <c r="D456" s="41" t="str">
        <f>_xlfn.XLOOKUP(tblCostChecklist[[#This Row],[TargetID]],tblTargets[TargetID],tblTargets[TargetType],"")</f>
        <v>BUILDING</v>
      </c>
      <c r="E456" s="41" t="s">
        <v>708</v>
      </c>
      <c r="F456" s="41">
        <v>1</v>
      </c>
      <c r="G456" s="41">
        <f>_xlfn.XLOOKUP(
 tblCostChecklist[[#This Row],[RequirementID]],
 tblCost[RequirementID],
 tblCost[QuantityRequired],
 ""
)</f>
        <v>10</v>
      </c>
      <c r="H4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456" s="41" t="str">
        <f>_xlfn.XLOOKUP(tblCostChecklist[[#This Row],[TargetID]],tblTargetStatus[TargetID],tblTargetStatus[Status])</f>
        <v>BLOCKED</v>
      </c>
      <c r="J456" s="25" t="b">
        <v>0</v>
      </c>
    </row>
    <row r="457" spans="1:10">
      <c r="A457" s="41" t="s">
        <v>4105</v>
      </c>
      <c r="B457" s="41" t="str">
        <f>_xlfn.TEXTAFTER(
 _xlfn.TEXTBEFORE(tblCostChecklist[[#This Row],[RequirementID]],".",-2),
 "cost."
)</f>
        <v>building.ship@4</v>
      </c>
      <c r="C457" s="41" t="str">
        <f>_xlfn.XLOOKUP(tblCostChecklist[[#This Row],[TargetID]],tblTargets[TargetID],tblTargets[DisplayName],"")</f>
        <v>Ship Lv 4</v>
      </c>
      <c r="D457" s="41" t="str">
        <f>_xlfn.XLOOKUP(tblCostChecklist[[#This Row],[TargetID]],tblTargets[TargetID],tblTargets[TargetType],"")</f>
        <v>BUILDING</v>
      </c>
      <c r="E457" s="41" t="s">
        <v>666</v>
      </c>
      <c r="F457" s="41">
        <v>1</v>
      </c>
      <c r="G457" s="41">
        <f>_xlfn.XLOOKUP(
 tblCostChecklist[[#This Row],[RequirementID]],
 tblCost[RequirementID],
 tblCost[QuantityRequired],
 ""
)</f>
        <v>1000</v>
      </c>
      <c r="H4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457" s="41" t="str">
        <f>_xlfn.XLOOKUP(tblCostChecklist[[#This Row],[TargetID]],tblTargetStatus[TargetID],tblTargetStatus[Status])</f>
        <v>BLOCKED</v>
      </c>
      <c r="J457" s="25" t="b">
        <v>0</v>
      </c>
    </row>
    <row r="458" spans="1:10">
      <c r="A458" s="41" t="s">
        <v>4106</v>
      </c>
      <c r="B458" s="41" t="str">
        <f>_xlfn.TEXTAFTER(
 _xlfn.TEXTBEFORE(tblCostChecklist[[#This Row],[RequirementID]],".",-2),
 "cost."
)</f>
        <v>building.ship@4</v>
      </c>
      <c r="C458" s="41" t="str">
        <f>_xlfn.XLOOKUP(tblCostChecklist[[#This Row],[TargetID]],tblTargets[TargetID],tblTargets[DisplayName],"")</f>
        <v>Ship Lv 4</v>
      </c>
      <c r="D458" s="41" t="str">
        <f>_xlfn.XLOOKUP(tblCostChecklist[[#This Row],[TargetID]],tblTargets[TargetID],tblTargets[TargetType],"")</f>
        <v>BUILDING</v>
      </c>
      <c r="E458" s="41" t="s">
        <v>701</v>
      </c>
      <c r="F458" s="41">
        <v>1</v>
      </c>
      <c r="G458" s="41">
        <f>_xlfn.XLOOKUP(
 tblCostChecklist[[#This Row],[RequirementID]],
 tblCost[RequirementID],
 tblCost[QuantityRequired],
 ""
)</f>
        <v>1000</v>
      </c>
      <c r="H4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458" s="41" t="str">
        <f>_xlfn.XLOOKUP(tblCostChecklist[[#This Row],[TargetID]],tblTargetStatus[TargetID],tblTargetStatus[Status])</f>
        <v>BLOCKED</v>
      </c>
      <c r="J458" s="25" t="b">
        <v>0</v>
      </c>
    </row>
    <row r="459" spans="1:10">
      <c r="A459" s="41" t="s">
        <v>4107</v>
      </c>
      <c r="B459" s="41" t="str">
        <f>_xlfn.TEXTAFTER(
 _xlfn.TEXTBEFORE(tblCostChecklist[[#This Row],[RequirementID]],".",-2),
 "cost."
)</f>
        <v>building.ship@4</v>
      </c>
      <c r="C459" s="41" t="str">
        <f>_xlfn.XLOOKUP(tblCostChecklist[[#This Row],[TargetID]],tblTargets[TargetID],tblTargets[DisplayName],"")</f>
        <v>Ship Lv 4</v>
      </c>
      <c r="D459" s="41" t="str">
        <f>_xlfn.XLOOKUP(tblCostChecklist[[#This Row],[TargetID]],tblTargets[TargetID],tblTargets[TargetType],"")</f>
        <v>BUILDING</v>
      </c>
      <c r="E459" s="41" t="s">
        <v>715</v>
      </c>
      <c r="F459" s="41">
        <v>1</v>
      </c>
      <c r="G459" s="41">
        <f>_xlfn.XLOOKUP(
 tblCostChecklist[[#This Row],[RequirementID]],
 tblCost[RequirementID],
 tblCost[QuantityRequired],
 ""
)</f>
        <v>2</v>
      </c>
      <c r="H4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459" s="41" t="str">
        <f>_xlfn.XLOOKUP(tblCostChecklist[[#This Row],[TargetID]],tblTargetStatus[TargetID],tblTargetStatus[Status])</f>
        <v>BLOCKED</v>
      </c>
      <c r="J459" s="25" t="b">
        <v>0</v>
      </c>
    </row>
    <row r="460" spans="1:10">
      <c r="A460" s="41" t="s">
        <v>4108</v>
      </c>
      <c r="B460" s="41" t="str">
        <f>_xlfn.TEXTAFTER(
 _xlfn.TEXTBEFORE(tblCostChecklist[[#This Row],[RequirementID]],".",-2),
 "cost."
)</f>
        <v>building.ship@4</v>
      </c>
      <c r="C460" s="41" t="str">
        <f>_xlfn.XLOOKUP(tblCostChecklist[[#This Row],[TargetID]],tblTargets[TargetID],tblTargets[DisplayName],"")</f>
        <v>Ship Lv 4</v>
      </c>
      <c r="D460" s="41" t="str">
        <f>_xlfn.XLOOKUP(tblCostChecklist[[#This Row],[TargetID]],tblTargets[TargetID],tblTargets[TargetType],"")</f>
        <v>BUILDING</v>
      </c>
      <c r="E460" s="41" t="s">
        <v>678</v>
      </c>
      <c r="F460" s="41">
        <v>1</v>
      </c>
      <c r="G460" s="41">
        <f>_xlfn.XLOOKUP(
 tblCostChecklist[[#This Row],[RequirementID]],
 tblCost[RequirementID],
 tblCost[QuantityRequired],
 ""
)</f>
        <v>200</v>
      </c>
      <c r="H4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460" s="41" t="str">
        <f>_xlfn.XLOOKUP(tblCostChecklist[[#This Row],[TargetID]],tblTargetStatus[TargetID],tblTargetStatus[Status])</f>
        <v>BLOCKED</v>
      </c>
      <c r="J460" s="25" t="b">
        <v>0</v>
      </c>
    </row>
    <row r="461" spans="1:10">
      <c r="A461" s="41" t="s">
        <v>4109</v>
      </c>
      <c r="B461" s="41" t="str">
        <f>_xlfn.TEXTAFTER(
 _xlfn.TEXTBEFORE(tblCostChecklist[[#This Row],[RequirementID]],".",-2),
 "cost."
)</f>
        <v>building.shop@1</v>
      </c>
      <c r="C461" s="41" t="str">
        <f>_xlfn.XLOOKUP(tblCostChecklist[[#This Row],[TargetID]],tblTargets[TargetID],tblTargets[DisplayName],"")</f>
        <v>Shop Lv 1</v>
      </c>
      <c r="D461" s="41" t="str">
        <f>_xlfn.XLOOKUP(tblCostChecklist[[#This Row],[TargetID]],tblTargets[TargetID],tblTargets[TargetType],"")</f>
        <v>BUILDING</v>
      </c>
      <c r="E461" s="41" t="s">
        <v>708</v>
      </c>
      <c r="F461" s="41">
        <v>1</v>
      </c>
      <c r="G461" s="41">
        <f>_xlfn.XLOOKUP(
 tblCostChecklist[[#This Row],[RequirementID]],
 tblCost[RequirementID],
 tblCost[QuantityRequired],
 ""
)</f>
        <v>1</v>
      </c>
      <c r="H4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v>
      </c>
      <c r="I461" s="41" t="str">
        <f>_xlfn.XLOOKUP(tblCostChecklist[[#This Row],[TargetID]],tblTargetStatus[TargetID],tblTargetStatus[Status])</f>
        <v>BLOCKED</v>
      </c>
      <c r="J461" s="25" t="b">
        <v>0</v>
      </c>
    </row>
    <row r="462" spans="1:10">
      <c r="A462" s="41" t="s">
        <v>4110</v>
      </c>
      <c r="B462" s="41" t="str">
        <f>_xlfn.TEXTAFTER(
 _xlfn.TEXTBEFORE(tblCostChecklist[[#This Row],[RequirementID]],".",-2),
 "cost."
)</f>
        <v>building.shop@1</v>
      </c>
      <c r="C462" s="41" t="str">
        <f>_xlfn.XLOOKUP(tblCostChecklist[[#This Row],[TargetID]],tblTargets[TargetID],tblTargets[DisplayName],"")</f>
        <v>Shop Lv 1</v>
      </c>
      <c r="D462" s="41" t="str">
        <f>_xlfn.XLOOKUP(tblCostChecklist[[#This Row],[TargetID]],tblTargets[TargetID],tblTargets[TargetType],"")</f>
        <v>BUILDING</v>
      </c>
      <c r="E462" s="41" t="s">
        <v>666</v>
      </c>
      <c r="F462" s="41">
        <v>1</v>
      </c>
      <c r="G462" s="41">
        <f>_xlfn.XLOOKUP(
 tblCostChecklist[[#This Row],[RequirementID]],
 tblCost[RequirementID],
 tblCost[QuantityRequired],
 ""
)</f>
        <v>100</v>
      </c>
      <c r="H4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v>
      </c>
      <c r="I462" s="41" t="str">
        <f>_xlfn.XLOOKUP(tblCostChecklist[[#This Row],[TargetID]],tblTargetStatus[TargetID],tblTargetStatus[Status])</f>
        <v>BLOCKED</v>
      </c>
      <c r="J462" s="25" t="b">
        <v>0</v>
      </c>
    </row>
    <row r="463" spans="1:10">
      <c r="A463" s="41" t="s">
        <v>4111</v>
      </c>
      <c r="B463" s="41" t="str">
        <f>_xlfn.TEXTAFTER(
 _xlfn.TEXTBEFORE(tblCostChecklist[[#This Row],[RequirementID]],".",-2),
 "cost."
)</f>
        <v>building.shop@1</v>
      </c>
      <c r="C463" s="41" t="str">
        <f>_xlfn.XLOOKUP(tblCostChecklist[[#This Row],[TargetID]],tblTargets[TargetID],tblTargets[DisplayName],"")</f>
        <v>Shop Lv 1</v>
      </c>
      <c r="D463" s="41" t="str">
        <f>_xlfn.XLOOKUP(tblCostChecklist[[#This Row],[TargetID]],tblTargets[TargetID],tblTargets[TargetType],"")</f>
        <v>BUILDING</v>
      </c>
      <c r="E463" s="41" t="s">
        <v>723</v>
      </c>
      <c r="F463" s="41">
        <v>1</v>
      </c>
      <c r="G463" s="41">
        <f>_xlfn.XLOOKUP(
 tblCostChecklist[[#This Row],[RequirementID]],
 tblCost[RequirementID],
 tblCost[QuantityRequired],
 ""
)</f>
        <v>20</v>
      </c>
      <c r="H4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v>
      </c>
      <c r="I463" s="41" t="str">
        <f>_xlfn.XLOOKUP(tblCostChecklist[[#This Row],[TargetID]],tblTargetStatus[TargetID],tblTargetStatus[Status])</f>
        <v>BLOCKED</v>
      </c>
      <c r="J463" s="25" t="b">
        <v>0</v>
      </c>
    </row>
    <row r="464" spans="1:10">
      <c r="A464" s="41" t="s">
        <v>4112</v>
      </c>
      <c r="B464" s="41" t="str">
        <f>_xlfn.TEXTAFTER(
 _xlfn.TEXTBEFORE(tblCostChecklist[[#This Row],[RequirementID]],".",-2),
 "cost."
)</f>
        <v>building.shop@1</v>
      </c>
      <c r="C464" s="41" t="str">
        <f>_xlfn.XLOOKUP(tblCostChecklist[[#This Row],[TargetID]],tblTargets[TargetID],tblTargets[DisplayName],"")</f>
        <v>Shop Lv 1</v>
      </c>
      <c r="D464" s="41" t="str">
        <f>_xlfn.XLOOKUP(tblCostChecklist[[#This Row],[TargetID]],tblTargets[TargetID],tblTargets[TargetType],"")</f>
        <v>BUILDING</v>
      </c>
      <c r="E464" s="41" t="s">
        <v>717</v>
      </c>
      <c r="F464" s="41">
        <v>1</v>
      </c>
      <c r="G464" s="41">
        <f>_xlfn.XLOOKUP(
 tblCostChecklist[[#This Row],[RequirementID]],
 tblCost[RequirementID],
 tblCost[QuantityRequired],
 ""
)</f>
        <v>20</v>
      </c>
      <c r="H4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v>
      </c>
      <c r="I464" s="41" t="str">
        <f>_xlfn.XLOOKUP(tblCostChecklist[[#This Row],[TargetID]],tblTargetStatus[TargetID],tblTargetStatus[Status])</f>
        <v>BLOCKED</v>
      </c>
      <c r="J464" s="25" t="b">
        <v>0</v>
      </c>
    </row>
    <row r="465" spans="1:10">
      <c r="A465" s="41" t="s">
        <v>4113</v>
      </c>
      <c r="B465" s="41" t="str">
        <f>_xlfn.TEXTAFTER(
 _xlfn.TEXTBEFORE(tblCostChecklist[[#This Row],[RequirementID]],".",-2),
 "cost."
)</f>
        <v>building.shop@2</v>
      </c>
      <c r="C465" s="41" t="str">
        <f>_xlfn.XLOOKUP(tblCostChecklist[[#This Row],[TargetID]],tblTargets[TargetID],tblTargets[DisplayName],"")</f>
        <v>Shop Lv 2</v>
      </c>
      <c r="D465" s="41" t="str">
        <f>_xlfn.XLOOKUP(tblCostChecklist[[#This Row],[TargetID]],tblTargets[TargetID],tblTargets[TargetType],"")</f>
        <v>BUILDING</v>
      </c>
      <c r="E465" s="41" t="s">
        <v>708</v>
      </c>
      <c r="F465" s="41">
        <v>1</v>
      </c>
      <c r="G465" s="41">
        <f>_xlfn.XLOOKUP(
 tblCostChecklist[[#This Row],[RequirementID]],
 tblCost[RequirementID],
 tblCost[QuantityRequired],
 ""
)</f>
        <v>2</v>
      </c>
      <c r="H4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100</v>
      </c>
      <c r="I465" s="41" t="str">
        <f>_xlfn.XLOOKUP(tblCostChecklist[[#This Row],[TargetID]],tblTargetStatus[TargetID],tblTargetStatus[Status])</f>
        <v>BLOCKED</v>
      </c>
      <c r="J465" s="25" t="b">
        <v>0</v>
      </c>
    </row>
    <row r="466" spans="1:10">
      <c r="A466" s="41" t="s">
        <v>4114</v>
      </c>
      <c r="B466" s="41" t="str">
        <f>_xlfn.TEXTAFTER(
 _xlfn.TEXTBEFORE(tblCostChecklist[[#This Row],[RequirementID]],".",-2),
 "cost."
)</f>
        <v>building.shop@2</v>
      </c>
      <c r="C466" s="41" t="str">
        <f>_xlfn.XLOOKUP(tblCostChecklist[[#This Row],[TargetID]],tblTargets[TargetID],tblTargets[DisplayName],"")</f>
        <v>Shop Lv 2</v>
      </c>
      <c r="D466" s="41" t="str">
        <f>_xlfn.XLOOKUP(tblCostChecklist[[#This Row],[TargetID]],tblTargets[TargetID],tblTargets[TargetType],"")</f>
        <v>BUILDING</v>
      </c>
      <c r="E466" s="41" t="s">
        <v>666</v>
      </c>
      <c r="F466" s="41">
        <v>1</v>
      </c>
      <c r="G466" s="41">
        <f>_xlfn.XLOOKUP(
 tblCostChecklist[[#This Row],[RequirementID]],
 tblCost[RequirementID],
 tblCost[QuantityRequired],
 ""
)</f>
        <v>400</v>
      </c>
      <c r="H4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100</v>
      </c>
      <c r="I466" s="41" t="str">
        <f>_xlfn.XLOOKUP(tblCostChecklist[[#This Row],[TargetID]],tblTargetStatus[TargetID],tblTargetStatus[Status])</f>
        <v>BLOCKED</v>
      </c>
      <c r="J466" s="25" t="b">
        <v>0</v>
      </c>
    </row>
    <row r="467" spans="1:10">
      <c r="A467" s="41" t="s">
        <v>4115</v>
      </c>
      <c r="B467" s="41" t="str">
        <f>_xlfn.TEXTAFTER(
 _xlfn.TEXTBEFORE(tblCostChecklist[[#This Row],[RequirementID]],".",-2),
 "cost."
)</f>
        <v>building.shop@2</v>
      </c>
      <c r="C467" s="41" t="str">
        <f>_xlfn.XLOOKUP(tblCostChecklist[[#This Row],[TargetID]],tblTargets[TargetID],tblTargets[DisplayName],"")</f>
        <v>Shop Lv 2</v>
      </c>
      <c r="D467" s="41" t="str">
        <f>_xlfn.XLOOKUP(tblCostChecklist[[#This Row],[TargetID]],tblTargets[TargetID],tblTargets[TargetType],"")</f>
        <v>BUILDING</v>
      </c>
      <c r="E467" s="41" t="s">
        <v>723</v>
      </c>
      <c r="F467" s="41">
        <v>1</v>
      </c>
      <c r="G467" s="41">
        <f>_xlfn.XLOOKUP(
 tblCostChecklist[[#This Row],[RequirementID]],
 tblCost[RequirementID],
 tblCost[QuantityRequired],
 ""
)</f>
        <v>80</v>
      </c>
      <c r="H4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100</v>
      </c>
      <c r="I467" s="41" t="str">
        <f>_xlfn.XLOOKUP(tblCostChecklist[[#This Row],[TargetID]],tblTargetStatus[TargetID],tblTargetStatus[Status])</f>
        <v>BLOCKED</v>
      </c>
      <c r="J467" s="25" t="b">
        <v>0</v>
      </c>
    </row>
    <row r="468" spans="1:10">
      <c r="A468" s="41" t="s">
        <v>4116</v>
      </c>
      <c r="B468" s="41" t="str">
        <f>_xlfn.TEXTAFTER(
 _xlfn.TEXTBEFORE(tblCostChecklist[[#This Row],[RequirementID]],".",-2),
 "cost."
)</f>
        <v>building.shop@2</v>
      </c>
      <c r="C468" s="41" t="str">
        <f>_xlfn.XLOOKUP(tblCostChecklist[[#This Row],[TargetID]],tblTargets[TargetID],tblTargets[DisplayName],"")</f>
        <v>Shop Lv 2</v>
      </c>
      <c r="D468" s="41" t="str">
        <f>_xlfn.XLOOKUP(tblCostChecklist[[#This Row],[TargetID]],tblTargets[TargetID],tblTargets[TargetType],"")</f>
        <v>BUILDING</v>
      </c>
      <c r="E468" s="41" t="s">
        <v>717</v>
      </c>
      <c r="F468" s="41">
        <v>1</v>
      </c>
      <c r="G468" s="41">
        <f>_xlfn.XLOOKUP(
 tblCostChecklist[[#This Row],[RequirementID]],
 tblCost[RequirementID],
 tblCost[QuantityRequired],
 ""
)</f>
        <v>80</v>
      </c>
      <c r="H4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100</v>
      </c>
      <c r="I468" s="41" t="str">
        <f>_xlfn.XLOOKUP(tblCostChecklist[[#This Row],[TargetID]],tblTargetStatus[TargetID],tblTargetStatus[Status])</f>
        <v>BLOCKED</v>
      </c>
      <c r="J468" s="25" t="b">
        <v>0</v>
      </c>
    </row>
    <row r="469" spans="1:10">
      <c r="A469" s="41" t="s">
        <v>4117</v>
      </c>
      <c r="B469" s="41" t="str">
        <f>_xlfn.TEXTAFTER(
 _xlfn.TEXTBEFORE(tblCostChecklist[[#This Row],[RequirementID]],".",-2),
 "cost."
)</f>
        <v>building.shop@3</v>
      </c>
      <c r="C469" s="41" t="str">
        <f>_xlfn.XLOOKUP(tblCostChecklist[[#This Row],[TargetID]],tblTargets[TargetID],tblTargets[DisplayName],"")</f>
        <v>Shop Lv 3</v>
      </c>
      <c r="D469" s="41" t="str">
        <f>_xlfn.XLOOKUP(tblCostChecklist[[#This Row],[TargetID]],tblTargets[TargetID],tblTargets[TargetType],"")</f>
        <v>BUILDING</v>
      </c>
      <c r="E469" s="41" t="s">
        <v>708</v>
      </c>
      <c r="F469" s="41">
        <v>1</v>
      </c>
      <c r="G469" s="41">
        <f>_xlfn.XLOOKUP(
 tblCostChecklist[[#This Row],[RequirementID]],
 tblCost[RequirementID],
 tblCost[QuantityRequired],
 ""
)</f>
        <v>3</v>
      </c>
      <c r="H4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101</v>
      </c>
      <c r="I469" s="41" t="str">
        <f>_xlfn.XLOOKUP(tblCostChecklist[[#This Row],[TargetID]],tblTargetStatus[TargetID],tblTargetStatus[Status])</f>
        <v>BLOCKED</v>
      </c>
      <c r="J469" s="25" t="b">
        <v>0</v>
      </c>
    </row>
    <row r="470" spans="1:10">
      <c r="A470" s="41" t="s">
        <v>4118</v>
      </c>
      <c r="B470" s="41" t="str">
        <f>_xlfn.TEXTAFTER(
 _xlfn.TEXTBEFORE(tblCostChecklist[[#This Row],[RequirementID]],".",-2),
 "cost."
)</f>
        <v>building.shop@3</v>
      </c>
      <c r="C470" s="41" t="str">
        <f>_xlfn.XLOOKUP(tblCostChecklist[[#This Row],[TargetID]],tblTargets[TargetID],tblTargets[DisplayName],"")</f>
        <v>Shop Lv 3</v>
      </c>
      <c r="D470" s="41" t="str">
        <f>_xlfn.XLOOKUP(tblCostChecklist[[#This Row],[TargetID]],tblTargets[TargetID],tblTargets[TargetType],"")</f>
        <v>BUILDING</v>
      </c>
      <c r="E470" s="41" t="s">
        <v>666</v>
      </c>
      <c r="F470" s="41">
        <v>1</v>
      </c>
      <c r="G470" s="41">
        <f>_xlfn.XLOOKUP(
 tblCostChecklist[[#This Row],[RequirementID]],
 tblCost[RequirementID],
 tblCost[QuantityRequired],
 ""
)</f>
        <v>800</v>
      </c>
      <c r="H4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101</v>
      </c>
      <c r="I470" s="41" t="str">
        <f>_xlfn.XLOOKUP(tblCostChecklist[[#This Row],[TargetID]],tblTargetStatus[TargetID],tblTargetStatus[Status])</f>
        <v>BLOCKED</v>
      </c>
      <c r="J470" s="25" t="b">
        <v>0</v>
      </c>
    </row>
    <row r="471" spans="1:10">
      <c r="A471" s="41" t="s">
        <v>4119</v>
      </c>
      <c r="B471" s="41" t="str">
        <f>_xlfn.TEXTAFTER(
 _xlfn.TEXTBEFORE(tblCostChecklist[[#This Row],[RequirementID]],".",-2),
 "cost."
)</f>
        <v>building.shop@3</v>
      </c>
      <c r="C471" s="41" t="str">
        <f>_xlfn.XLOOKUP(tblCostChecklist[[#This Row],[TargetID]],tblTargets[TargetID],tblTargets[DisplayName],"")</f>
        <v>Shop Lv 3</v>
      </c>
      <c r="D471" s="41" t="str">
        <f>_xlfn.XLOOKUP(tblCostChecklist[[#This Row],[TargetID]],tblTargets[TargetID],tblTargets[TargetType],"")</f>
        <v>BUILDING</v>
      </c>
      <c r="E471" s="41" t="s">
        <v>658</v>
      </c>
      <c r="F471" s="41">
        <v>1</v>
      </c>
      <c r="G471" s="41">
        <f>_xlfn.XLOOKUP(
 tblCostChecklist[[#This Row],[RequirementID]],
 tblCost[RequirementID],
 tblCost[QuantityRequired],
 ""
)</f>
        <v>400</v>
      </c>
      <c r="H4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101</v>
      </c>
      <c r="I471" s="41" t="str">
        <f>_xlfn.XLOOKUP(tblCostChecklist[[#This Row],[TargetID]],tblTargetStatus[TargetID],tblTargetStatus[Status])</f>
        <v>BLOCKED</v>
      </c>
      <c r="J471" s="25" t="b">
        <v>0</v>
      </c>
    </row>
    <row r="472" spans="1:10">
      <c r="A472" s="41" t="s">
        <v>4120</v>
      </c>
      <c r="B472" s="41" t="str">
        <f>_xlfn.TEXTAFTER(
 _xlfn.TEXTBEFORE(tblCostChecklist[[#This Row],[RequirementID]],".",-2),
 "cost."
)</f>
        <v>building.shop@3</v>
      </c>
      <c r="C472" s="41" t="str">
        <f>_xlfn.XLOOKUP(tblCostChecklist[[#This Row],[TargetID]],tblTargets[TargetID],tblTargets[DisplayName],"")</f>
        <v>Shop Lv 3</v>
      </c>
      <c r="D472" s="41" t="str">
        <f>_xlfn.XLOOKUP(tblCostChecklist[[#This Row],[TargetID]],tblTargets[TargetID],tblTargets[TargetType],"")</f>
        <v>BUILDING</v>
      </c>
      <c r="E472" s="41" t="s">
        <v>717</v>
      </c>
      <c r="F472" s="41">
        <v>1</v>
      </c>
      <c r="G472" s="41">
        <f>_xlfn.XLOOKUP(
 tblCostChecklist[[#This Row],[RequirementID]],
 tblCost[RequirementID],
 tblCost[QuantityRequired],
 ""
)</f>
        <v>200</v>
      </c>
      <c r="H4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101</v>
      </c>
      <c r="I472" s="41" t="str">
        <f>_xlfn.XLOOKUP(tblCostChecklist[[#This Row],[TargetID]],tblTargetStatus[TargetID],tblTargetStatus[Status])</f>
        <v>BLOCKED</v>
      </c>
      <c r="J472" s="25" t="b">
        <v>0</v>
      </c>
    </row>
    <row r="473" spans="1:10">
      <c r="A473" s="41" t="s">
        <v>4121</v>
      </c>
      <c r="B473" s="41" t="str">
        <f>_xlfn.TEXTAFTER(
 _xlfn.TEXTBEFORE(tblCostChecklist[[#This Row],[RequirementID]],".",-2),
 "cost."
)</f>
        <v>building.smithy@1</v>
      </c>
      <c r="C473" s="41" t="str">
        <f>_xlfn.XLOOKUP(tblCostChecklist[[#This Row],[TargetID]],tblTargets[TargetID],tblTargets[DisplayName],"")</f>
        <v>Smithy Lv 1</v>
      </c>
      <c r="D473" s="41" t="str">
        <f>_xlfn.XLOOKUP(tblCostChecklist[[#This Row],[TargetID]],tblTargets[TargetID],tblTargets[TargetType],"")</f>
        <v>BUILDING</v>
      </c>
      <c r="E473" s="41" t="s">
        <v>708</v>
      </c>
      <c r="F473" s="41">
        <v>1</v>
      </c>
      <c r="G473" s="41">
        <f>_xlfn.XLOOKUP(
 tblCostChecklist[[#This Row],[RequirementID]],
 tblCost[RequirementID],
 tblCost[QuantityRequired],
 ""
)</f>
        <v>1</v>
      </c>
      <c r="H4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473" s="41" t="str">
        <f>_xlfn.XLOOKUP(tblCostChecklist[[#This Row],[TargetID]],tblTargetStatus[TargetID],tblTargetStatus[Status])</f>
        <v>BLOCKED</v>
      </c>
      <c r="J473" s="25" t="b">
        <v>0</v>
      </c>
    </row>
    <row r="474" spans="1:10">
      <c r="A474" s="41" t="s">
        <v>4122</v>
      </c>
      <c r="B474" s="41" t="str">
        <f>_xlfn.TEXTAFTER(
 _xlfn.TEXTBEFORE(tblCostChecklist[[#This Row],[RequirementID]],".",-2),
 "cost."
)</f>
        <v>building.smithy@1</v>
      </c>
      <c r="C474" s="41" t="str">
        <f>_xlfn.XLOOKUP(tblCostChecklist[[#This Row],[TargetID]],tblTargets[TargetID],tblTargets[DisplayName],"")</f>
        <v>Smithy Lv 1</v>
      </c>
      <c r="D474" s="41" t="str">
        <f>_xlfn.XLOOKUP(tblCostChecklist[[#This Row],[TargetID]],tblTargets[TargetID],tblTargets[TargetType],"")</f>
        <v>BUILDING</v>
      </c>
      <c r="E474" s="41" t="s">
        <v>666</v>
      </c>
      <c r="F474" s="41">
        <v>1</v>
      </c>
      <c r="G474" s="41">
        <f>_xlfn.XLOOKUP(
 tblCostChecklist[[#This Row],[RequirementID]],
 tblCost[RequirementID],
 tblCost[QuantityRequired],
 ""
)</f>
        <v>240</v>
      </c>
      <c r="H4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474" s="41" t="str">
        <f>_xlfn.XLOOKUP(tblCostChecklist[[#This Row],[TargetID]],tblTargetStatus[TargetID],tblTargetStatus[Status])</f>
        <v>BLOCKED</v>
      </c>
      <c r="J474" s="25" t="b">
        <v>0</v>
      </c>
    </row>
    <row r="475" spans="1:10">
      <c r="A475" s="41" t="s">
        <v>4123</v>
      </c>
      <c r="B475" s="41" t="str">
        <f>_xlfn.TEXTAFTER(
 _xlfn.TEXTBEFORE(tblCostChecklist[[#This Row],[RequirementID]],".",-2),
 "cost."
)</f>
        <v>building.smithy@1</v>
      </c>
      <c r="C475" s="41" t="str">
        <f>_xlfn.XLOOKUP(tblCostChecklist[[#This Row],[TargetID]],tblTargets[TargetID],tblTargets[DisplayName],"")</f>
        <v>Smithy Lv 1</v>
      </c>
      <c r="D475" s="41" t="str">
        <f>_xlfn.XLOOKUP(tblCostChecklist[[#This Row],[TargetID]],tblTargets[TargetID],tblTargets[TargetType],"")</f>
        <v>BUILDING</v>
      </c>
      <c r="E475" s="41" t="s">
        <v>723</v>
      </c>
      <c r="F475" s="41">
        <v>1</v>
      </c>
      <c r="G475" s="41">
        <f>_xlfn.XLOOKUP(
 tblCostChecklist[[#This Row],[RequirementID]],
 tblCost[RequirementID],
 tblCost[QuantityRequired],
 ""
)</f>
        <v>120</v>
      </c>
      <c r="H4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475" s="41" t="str">
        <f>_xlfn.XLOOKUP(tblCostChecklist[[#This Row],[TargetID]],tblTargetStatus[TargetID],tblTargetStatus[Status])</f>
        <v>BLOCKED</v>
      </c>
      <c r="J475" s="25" t="b">
        <v>0</v>
      </c>
    </row>
    <row r="476" spans="1:10">
      <c r="A476" s="41" t="s">
        <v>4124</v>
      </c>
      <c r="B476" s="41" t="str">
        <f>_xlfn.TEXTAFTER(
 _xlfn.TEXTBEFORE(tblCostChecklist[[#This Row],[RequirementID]],".",-2),
 "cost."
)</f>
        <v>building.smithy@1</v>
      </c>
      <c r="C476" s="41" t="str">
        <f>_xlfn.XLOOKUP(tblCostChecklist[[#This Row],[TargetID]],tblTargets[TargetID],tblTargets[DisplayName],"")</f>
        <v>Smithy Lv 1</v>
      </c>
      <c r="D476" s="41" t="str">
        <f>_xlfn.XLOOKUP(tblCostChecklist[[#This Row],[TargetID]],tblTargets[TargetID],tblTargets[TargetType],"")</f>
        <v>BUILDING</v>
      </c>
      <c r="E476" s="41" t="s">
        <v>717</v>
      </c>
      <c r="F476" s="41">
        <v>1</v>
      </c>
      <c r="G476" s="41">
        <f>_xlfn.XLOOKUP(
 tblCostChecklist[[#This Row],[RequirementID]],
 tblCost[RequirementID],
 tblCost[QuantityRequired],
 ""
)</f>
        <v>120</v>
      </c>
      <c r="H4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476" s="41" t="str">
        <f>_xlfn.XLOOKUP(tblCostChecklist[[#This Row],[TargetID]],tblTargetStatus[TargetID],tblTargetStatus[Status])</f>
        <v>BLOCKED</v>
      </c>
      <c r="J476" s="25" t="b">
        <v>0</v>
      </c>
    </row>
    <row r="477" spans="1:10">
      <c r="A477" s="41" t="s">
        <v>4125</v>
      </c>
      <c r="B477" s="41" t="str">
        <f>_xlfn.TEXTAFTER(
 _xlfn.TEXTBEFORE(tblCostChecklist[[#This Row],[RequirementID]],".",-2),
 "cost."
)</f>
        <v>building.smithy@1</v>
      </c>
      <c r="C477" s="41" t="str">
        <f>_xlfn.XLOOKUP(tblCostChecklist[[#This Row],[TargetID]],tblTargets[TargetID],tblTargets[DisplayName],"")</f>
        <v>Smithy Lv 1</v>
      </c>
      <c r="D477" s="41" t="str">
        <f>_xlfn.XLOOKUP(tblCostChecklist[[#This Row],[TargetID]],tblTargets[TargetID],tblTargets[TargetType],"")</f>
        <v>BUILDING</v>
      </c>
      <c r="E477" s="41" t="s">
        <v>716</v>
      </c>
      <c r="F477" s="41">
        <v>1</v>
      </c>
      <c r="G477" s="41">
        <f>_xlfn.XLOOKUP(
 tblCostChecklist[[#This Row],[RequirementID]],
 tblCost[RequirementID],
 tblCost[QuantityRequired],
 ""
)</f>
        <v>20</v>
      </c>
      <c r="H4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477" s="41" t="str">
        <f>_xlfn.XLOOKUP(tblCostChecklist[[#This Row],[TargetID]],tblTargetStatus[TargetID],tblTargetStatus[Status])</f>
        <v>BLOCKED</v>
      </c>
      <c r="J477" s="25" t="b">
        <v>0</v>
      </c>
    </row>
    <row r="478" spans="1:10">
      <c r="A478" s="41" t="s">
        <v>4126</v>
      </c>
      <c r="B478" s="41" t="str">
        <f>_xlfn.TEXTAFTER(
 _xlfn.TEXTBEFORE(tblCostChecklist[[#This Row],[RequirementID]],".",-2),
 "cost."
)</f>
        <v>building.smithy@2</v>
      </c>
      <c r="C478" s="41" t="str">
        <f>_xlfn.XLOOKUP(tblCostChecklist[[#This Row],[TargetID]],tblTargets[TargetID],tblTargets[DisplayName],"")</f>
        <v>Smithy Lv 2</v>
      </c>
      <c r="D478" s="41" t="str">
        <f>_xlfn.XLOOKUP(tblCostChecklist[[#This Row],[TargetID]],tblTargets[TargetID],tblTargets[TargetType],"")</f>
        <v>BUILDING</v>
      </c>
      <c r="E478" s="41" t="s">
        <v>708</v>
      </c>
      <c r="F478" s="41">
        <v>1</v>
      </c>
      <c r="G478" s="41">
        <f>_xlfn.XLOOKUP(
 tblCostChecklist[[#This Row],[RequirementID]],
 tblCost[RequirementID],
 tblCost[QuantityRequired],
 ""
)</f>
        <v>2</v>
      </c>
      <c r="H4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41</v>
      </c>
      <c r="I478" s="41" t="str">
        <f>_xlfn.XLOOKUP(tblCostChecklist[[#This Row],[TargetID]],tblTargetStatus[TargetID],tblTargetStatus[Status])</f>
        <v>BLOCKED</v>
      </c>
      <c r="J478" s="25" t="b">
        <v>0</v>
      </c>
    </row>
    <row r="479" spans="1:10">
      <c r="A479" s="41" t="s">
        <v>4127</v>
      </c>
      <c r="B479" s="41" t="str">
        <f>_xlfn.TEXTAFTER(
 _xlfn.TEXTBEFORE(tblCostChecklist[[#This Row],[RequirementID]],".",-2),
 "cost."
)</f>
        <v>building.smithy@2</v>
      </c>
      <c r="C479" s="41" t="str">
        <f>_xlfn.XLOOKUP(tblCostChecklist[[#This Row],[TargetID]],tblTargets[TargetID],tblTargets[DisplayName],"")</f>
        <v>Smithy Lv 2</v>
      </c>
      <c r="D479" s="41" t="str">
        <f>_xlfn.XLOOKUP(tblCostChecklist[[#This Row],[TargetID]],tblTargets[TargetID],tblTargets[TargetType],"")</f>
        <v>BUILDING</v>
      </c>
      <c r="E479" s="41" t="s">
        <v>666</v>
      </c>
      <c r="F479" s="41">
        <v>1</v>
      </c>
      <c r="G479" s="41">
        <f>_xlfn.XLOOKUP(
 tblCostChecklist[[#This Row],[RequirementID]],
 tblCost[RequirementID],
 tblCost[QuantityRequired],
 ""
)</f>
        <v>280</v>
      </c>
      <c r="H4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41</v>
      </c>
      <c r="I479" s="41" t="str">
        <f>_xlfn.XLOOKUP(tblCostChecklist[[#This Row],[TargetID]],tblTargetStatus[TargetID],tblTargetStatus[Status])</f>
        <v>BLOCKED</v>
      </c>
      <c r="J479" s="25" t="b">
        <v>0</v>
      </c>
    </row>
    <row r="480" spans="1:10">
      <c r="A480" s="41" t="s">
        <v>4128</v>
      </c>
      <c r="B480" s="41" t="str">
        <f>_xlfn.TEXTAFTER(
 _xlfn.TEXTBEFORE(tblCostChecklist[[#This Row],[RequirementID]],".",-2),
 "cost."
)</f>
        <v>building.smithy@2</v>
      </c>
      <c r="C480" s="41" t="str">
        <f>_xlfn.XLOOKUP(tblCostChecklist[[#This Row],[TargetID]],tblTargets[TargetID],tblTargets[DisplayName],"")</f>
        <v>Smithy Lv 2</v>
      </c>
      <c r="D480" s="41" t="str">
        <f>_xlfn.XLOOKUP(tblCostChecklist[[#This Row],[TargetID]],tblTargets[TargetID],tblTargets[TargetType],"")</f>
        <v>BUILDING</v>
      </c>
      <c r="E480" s="41" t="s">
        <v>723</v>
      </c>
      <c r="F480" s="41">
        <v>1</v>
      </c>
      <c r="G480" s="41">
        <f>_xlfn.XLOOKUP(
 tblCostChecklist[[#This Row],[RequirementID]],
 tblCost[RequirementID],
 tblCost[QuantityRequired],
 ""
)</f>
        <v>140</v>
      </c>
      <c r="H4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41</v>
      </c>
      <c r="I480" s="41" t="str">
        <f>_xlfn.XLOOKUP(tblCostChecklist[[#This Row],[TargetID]],tblTargetStatus[TargetID],tblTargetStatus[Status])</f>
        <v>BLOCKED</v>
      </c>
      <c r="J480" s="25" t="b">
        <v>0</v>
      </c>
    </row>
    <row r="481" spans="1:10">
      <c r="A481" s="41" t="s">
        <v>4129</v>
      </c>
      <c r="B481" s="41" t="str">
        <f>_xlfn.TEXTAFTER(
 _xlfn.TEXTBEFORE(tblCostChecklist[[#This Row],[RequirementID]],".",-2),
 "cost."
)</f>
        <v>building.smithy@2</v>
      </c>
      <c r="C481" s="41" t="str">
        <f>_xlfn.XLOOKUP(tblCostChecklist[[#This Row],[TargetID]],tblTargets[TargetID],tblTargets[DisplayName],"")</f>
        <v>Smithy Lv 2</v>
      </c>
      <c r="D481" s="41" t="str">
        <f>_xlfn.XLOOKUP(tblCostChecklist[[#This Row],[TargetID]],tblTargets[TargetID],tblTargets[TargetType],"")</f>
        <v>BUILDING</v>
      </c>
      <c r="E481" s="41" t="s">
        <v>717</v>
      </c>
      <c r="F481" s="41">
        <v>1</v>
      </c>
      <c r="G481" s="41">
        <f>_xlfn.XLOOKUP(
 tblCostChecklist[[#This Row],[RequirementID]],
 tblCost[RequirementID],
 tblCost[QuantityRequired],
 ""
)</f>
        <v>140</v>
      </c>
      <c r="H4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41</v>
      </c>
      <c r="I481" s="41" t="str">
        <f>_xlfn.XLOOKUP(tblCostChecklist[[#This Row],[TargetID]],tblTargetStatus[TargetID],tblTargetStatus[Status])</f>
        <v>BLOCKED</v>
      </c>
      <c r="J481" s="25" t="b">
        <v>0</v>
      </c>
    </row>
    <row r="482" spans="1:10">
      <c r="A482" s="41" t="s">
        <v>4130</v>
      </c>
      <c r="B482" s="41" t="str">
        <f>_xlfn.TEXTAFTER(
 _xlfn.TEXTBEFORE(tblCostChecklist[[#This Row],[RequirementID]],".",-2),
 "cost."
)</f>
        <v>building.smithy@2</v>
      </c>
      <c r="C482" s="41" t="str">
        <f>_xlfn.XLOOKUP(tblCostChecklist[[#This Row],[TargetID]],tblTargets[TargetID],tblTargets[DisplayName],"")</f>
        <v>Smithy Lv 2</v>
      </c>
      <c r="D482" s="41" t="str">
        <f>_xlfn.XLOOKUP(tblCostChecklist[[#This Row],[TargetID]],tblTargets[TargetID],tblTargets[TargetType],"")</f>
        <v>BUILDING</v>
      </c>
      <c r="E482" s="41" t="s">
        <v>716</v>
      </c>
      <c r="F482" s="41">
        <v>1</v>
      </c>
      <c r="G482" s="41">
        <f>_xlfn.XLOOKUP(
 tblCostChecklist[[#This Row],[RequirementID]],
 tblCost[RequirementID],
 tblCost[QuantityRequired],
 ""
)</f>
        <v>40</v>
      </c>
      <c r="H4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41</v>
      </c>
      <c r="I482" s="41" t="str">
        <f>_xlfn.XLOOKUP(tblCostChecklist[[#This Row],[TargetID]],tblTargetStatus[TargetID],tblTargetStatus[Status])</f>
        <v>BLOCKED</v>
      </c>
      <c r="J482" s="25" t="b">
        <v>0</v>
      </c>
    </row>
    <row r="483" spans="1:10">
      <c r="A483" s="41" t="s">
        <v>4131</v>
      </c>
      <c r="B483" s="41" t="str">
        <f>_xlfn.TEXTAFTER(
 _xlfn.TEXTBEFORE(tblCostChecklist[[#This Row],[RequirementID]],".",-2),
 "cost."
)</f>
        <v>building.smithy@3</v>
      </c>
      <c r="C483" s="41" t="str">
        <f>_xlfn.XLOOKUP(tblCostChecklist[[#This Row],[TargetID]],tblTargets[TargetID],tblTargets[DisplayName],"")</f>
        <v>Smithy Lv 3</v>
      </c>
      <c r="D483" s="41" t="str">
        <f>_xlfn.XLOOKUP(tblCostChecklist[[#This Row],[TargetID]],tblTargets[TargetID],tblTargets[TargetType],"")</f>
        <v>BUILDING</v>
      </c>
      <c r="E483" s="41" t="s">
        <v>708</v>
      </c>
      <c r="F483" s="41">
        <v>1</v>
      </c>
      <c r="G483" s="41">
        <f>_xlfn.XLOOKUP(
 tblCostChecklist[[#This Row],[RequirementID]],
 tblCost[RequirementID],
 tblCost[QuantityRequired],
 ""
)</f>
        <v>4</v>
      </c>
      <c r="H4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42</v>
      </c>
      <c r="I483" s="41" t="str">
        <f>_xlfn.XLOOKUP(tblCostChecklist[[#This Row],[TargetID]],tblTargetStatus[TargetID],tblTargetStatus[Status])</f>
        <v>BLOCKED</v>
      </c>
      <c r="J483" s="25" t="b">
        <v>0</v>
      </c>
    </row>
    <row r="484" spans="1:10">
      <c r="A484" s="41" t="s">
        <v>4132</v>
      </c>
      <c r="B484" s="41" t="str">
        <f>_xlfn.TEXTAFTER(
 _xlfn.TEXTBEFORE(tblCostChecklist[[#This Row],[RequirementID]],".",-2),
 "cost."
)</f>
        <v>building.smithy@3</v>
      </c>
      <c r="C484" s="41" t="str">
        <f>_xlfn.XLOOKUP(tblCostChecklist[[#This Row],[TargetID]],tblTargets[TargetID],tblTargets[DisplayName],"")</f>
        <v>Smithy Lv 3</v>
      </c>
      <c r="D484" s="41" t="str">
        <f>_xlfn.XLOOKUP(tblCostChecklist[[#This Row],[TargetID]],tblTargets[TargetID],tblTargets[TargetType],"")</f>
        <v>BUILDING</v>
      </c>
      <c r="E484" s="41" t="s">
        <v>666</v>
      </c>
      <c r="F484" s="41">
        <v>1</v>
      </c>
      <c r="G484" s="41">
        <f>_xlfn.XLOOKUP(
 tblCostChecklist[[#This Row],[RequirementID]],
 tblCost[RequirementID],
 tblCost[QuantityRequired],
 ""
)</f>
        <v>500</v>
      </c>
      <c r="H4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42</v>
      </c>
      <c r="I484" s="41" t="str">
        <f>_xlfn.XLOOKUP(tblCostChecklist[[#This Row],[TargetID]],tblTargetStatus[TargetID],tblTargetStatus[Status])</f>
        <v>BLOCKED</v>
      </c>
      <c r="J484" s="25" t="b">
        <v>0</v>
      </c>
    </row>
    <row r="485" spans="1:10">
      <c r="A485" s="41" t="s">
        <v>4133</v>
      </c>
      <c r="B485" s="41" t="str">
        <f>_xlfn.TEXTAFTER(
 _xlfn.TEXTBEFORE(tblCostChecklist[[#This Row],[RequirementID]],".",-2),
 "cost."
)</f>
        <v>building.smithy@3</v>
      </c>
      <c r="C485" s="41" t="str">
        <f>_xlfn.XLOOKUP(tblCostChecklist[[#This Row],[TargetID]],tblTargets[TargetID],tblTargets[DisplayName],"")</f>
        <v>Smithy Lv 3</v>
      </c>
      <c r="D485" s="41" t="str">
        <f>_xlfn.XLOOKUP(tblCostChecklist[[#This Row],[TargetID]],tblTargets[TargetID],tblTargets[TargetType],"")</f>
        <v>BUILDING</v>
      </c>
      <c r="E485" s="41" t="s">
        <v>658</v>
      </c>
      <c r="F485" s="41">
        <v>1</v>
      </c>
      <c r="G485" s="41">
        <f>_xlfn.XLOOKUP(
 tblCostChecklist[[#This Row],[RequirementID]],
 tblCost[RequirementID],
 tblCost[QuantityRequired],
 ""
)</f>
        <v>400</v>
      </c>
      <c r="H4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42</v>
      </c>
      <c r="I485" s="41" t="str">
        <f>_xlfn.XLOOKUP(tblCostChecklist[[#This Row],[TargetID]],tblTargetStatus[TargetID],tblTargetStatus[Status])</f>
        <v>BLOCKED</v>
      </c>
      <c r="J485" s="25" t="b">
        <v>0</v>
      </c>
    </row>
    <row r="486" spans="1:10">
      <c r="A486" s="41" t="s">
        <v>4134</v>
      </c>
      <c r="B486" s="41" t="str">
        <f>_xlfn.TEXTAFTER(
 _xlfn.TEXTBEFORE(tblCostChecklist[[#This Row],[RequirementID]],".",-2),
 "cost."
)</f>
        <v>building.smithy@3</v>
      </c>
      <c r="C486" s="41" t="str">
        <f>_xlfn.XLOOKUP(tblCostChecklist[[#This Row],[TargetID]],tblTargets[TargetID],tblTargets[DisplayName],"")</f>
        <v>Smithy Lv 3</v>
      </c>
      <c r="D486" s="41" t="str">
        <f>_xlfn.XLOOKUP(tblCostChecklist[[#This Row],[TargetID]],tblTargets[TargetID],tblTargets[TargetType],"")</f>
        <v>BUILDING</v>
      </c>
      <c r="E486" s="41" t="s">
        <v>717</v>
      </c>
      <c r="F486" s="41">
        <v>1</v>
      </c>
      <c r="G486" s="41">
        <f>_xlfn.XLOOKUP(
 tblCostChecklist[[#This Row],[RequirementID]],
 tblCost[RequirementID],
 tblCost[QuantityRequired],
 ""
)</f>
        <v>200</v>
      </c>
      <c r="H4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42</v>
      </c>
      <c r="I486" s="41" t="str">
        <f>_xlfn.XLOOKUP(tblCostChecklist[[#This Row],[TargetID]],tblTargetStatus[TargetID],tblTargetStatus[Status])</f>
        <v>BLOCKED</v>
      </c>
      <c r="J486" s="25" t="b">
        <v>0</v>
      </c>
    </row>
    <row r="487" spans="1:10">
      <c r="A487" s="41" t="s">
        <v>4135</v>
      </c>
      <c r="B487" s="41" t="str">
        <f>_xlfn.TEXTAFTER(
 _xlfn.TEXTBEFORE(tblCostChecklist[[#This Row],[RequirementID]],".",-2),
 "cost."
)</f>
        <v>building.smithy@3</v>
      </c>
      <c r="C487" s="41" t="str">
        <f>_xlfn.XLOOKUP(tblCostChecklist[[#This Row],[TargetID]],tblTargets[TargetID],tblTargets[DisplayName],"")</f>
        <v>Smithy Lv 3</v>
      </c>
      <c r="D487" s="41" t="str">
        <f>_xlfn.XLOOKUP(tblCostChecklist[[#This Row],[TargetID]],tblTargets[TargetID],tblTargets[TargetType],"")</f>
        <v>BUILDING</v>
      </c>
      <c r="E487" s="41" t="s">
        <v>716</v>
      </c>
      <c r="F487" s="41">
        <v>1</v>
      </c>
      <c r="G487" s="41">
        <f>_xlfn.XLOOKUP(
 tblCostChecklist[[#This Row],[RequirementID]],
 tblCost[RequirementID],
 tblCost[QuantityRequired],
 ""
)</f>
        <v>60</v>
      </c>
      <c r="H4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42</v>
      </c>
      <c r="I487" s="41" t="str">
        <f>_xlfn.XLOOKUP(tblCostChecklist[[#This Row],[TargetID]],tblTargetStatus[TargetID],tblTargetStatus[Status])</f>
        <v>BLOCKED</v>
      </c>
      <c r="J487" s="25" t="b">
        <v>0</v>
      </c>
    </row>
    <row r="488" spans="1:10">
      <c r="A488" s="41" t="s">
        <v>4136</v>
      </c>
      <c r="B488" s="41" t="str">
        <f>_xlfn.TEXTAFTER(
 _xlfn.TEXTBEFORE(tblCostChecklist[[#This Row],[RequirementID]],".",-2),
 "cost."
)</f>
        <v>building.station@1</v>
      </c>
      <c r="C488" s="41" t="str">
        <f>_xlfn.XLOOKUP(tblCostChecklist[[#This Row],[TargetID]],tblTargets[TargetID],tblTargets[DisplayName],"")</f>
        <v>Station Lv 1</v>
      </c>
      <c r="D488" s="41" t="str">
        <f>_xlfn.XLOOKUP(tblCostChecklist[[#This Row],[TargetID]],tblTargets[TargetID],tblTargets[TargetType],"")</f>
        <v>BUILDING</v>
      </c>
      <c r="E488" s="41" t="s">
        <v>708</v>
      </c>
      <c r="F488" s="41">
        <v>1</v>
      </c>
      <c r="G488" s="41">
        <f>_xlfn.XLOOKUP(
 tblCostChecklist[[#This Row],[RequirementID]],
 tblCost[RequirementID],
 tblCost[QuantityRequired],
 ""
)</f>
        <v>10</v>
      </c>
      <c r="H4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88" s="41" t="str">
        <f>_xlfn.XLOOKUP(tblCostChecklist[[#This Row],[TargetID]],tblTargetStatus[TargetID],tblTargetStatus[Status])</f>
        <v>BLOCKED</v>
      </c>
      <c r="J488" s="25" t="b">
        <v>0</v>
      </c>
    </row>
    <row r="489" spans="1:10">
      <c r="A489" s="41" t="s">
        <v>4137</v>
      </c>
      <c r="B489" s="41" t="str">
        <f>_xlfn.TEXTAFTER(
 _xlfn.TEXTBEFORE(tblCostChecklist[[#This Row],[RequirementID]],".",-2),
 "cost."
)</f>
        <v>building.station@1</v>
      </c>
      <c r="C489" s="41" t="str">
        <f>_xlfn.XLOOKUP(tblCostChecklist[[#This Row],[TargetID]],tblTargets[TargetID],tblTargets[DisplayName],"")</f>
        <v>Station Lv 1</v>
      </c>
      <c r="D489" s="41" t="str">
        <f>_xlfn.XLOOKUP(tblCostChecklist[[#This Row],[TargetID]],tblTargets[TargetID],tblTargets[TargetType],"")</f>
        <v>BUILDING</v>
      </c>
      <c r="E489" s="41" t="s">
        <v>666</v>
      </c>
      <c r="F489" s="41">
        <v>1</v>
      </c>
      <c r="G489" s="41">
        <f>_xlfn.XLOOKUP(
 tblCostChecklist[[#This Row],[RequirementID]],
 tblCost[RequirementID],
 tblCost[QuantityRequired],
 ""
)</f>
        <v>1000</v>
      </c>
      <c r="H4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89" s="41" t="str">
        <f>_xlfn.XLOOKUP(tblCostChecklist[[#This Row],[TargetID]],tblTargetStatus[TargetID],tblTargetStatus[Status])</f>
        <v>BLOCKED</v>
      </c>
      <c r="J489" s="25" t="b">
        <v>0</v>
      </c>
    </row>
    <row r="490" spans="1:10">
      <c r="A490" s="41" t="s">
        <v>4138</v>
      </c>
      <c r="B490" s="41" t="str">
        <f>_xlfn.TEXTAFTER(
 _xlfn.TEXTBEFORE(tblCostChecklist[[#This Row],[RequirementID]],".",-2),
 "cost."
)</f>
        <v>building.station@1</v>
      </c>
      <c r="C490" s="41" t="str">
        <f>_xlfn.XLOOKUP(tblCostChecklist[[#This Row],[TargetID]],tblTargets[TargetID],tblTargets[DisplayName],"")</f>
        <v>Station Lv 1</v>
      </c>
      <c r="D490" s="41" t="str">
        <f>_xlfn.XLOOKUP(tblCostChecklist[[#This Row],[TargetID]],tblTargets[TargetID],tblTargets[TargetType],"")</f>
        <v>BUILDING</v>
      </c>
      <c r="E490" s="41" t="s">
        <v>658</v>
      </c>
      <c r="F490" s="41">
        <v>1</v>
      </c>
      <c r="G490" s="41">
        <f>_xlfn.XLOOKUP(
 tblCostChecklist[[#This Row],[RequirementID]],
 tblCost[RequirementID],
 tblCost[QuantityRequired],
 ""
)</f>
        <v>8000</v>
      </c>
      <c r="H4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0" s="41" t="str">
        <f>_xlfn.XLOOKUP(tblCostChecklist[[#This Row],[TargetID]],tblTargetStatus[TargetID],tblTargetStatus[Status])</f>
        <v>BLOCKED</v>
      </c>
      <c r="J490" s="25" t="b">
        <v>0</v>
      </c>
    </row>
    <row r="491" spans="1:10">
      <c r="A491" s="41" t="s">
        <v>4139</v>
      </c>
      <c r="B491" s="41" t="str">
        <f>_xlfn.TEXTAFTER(
 _xlfn.TEXTBEFORE(tblCostChecklist[[#This Row],[RequirementID]],".",-2),
 "cost."
)</f>
        <v>building.station@1</v>
      </c>
      <c r="C491" s="41" t="str">
        <f>_xlfn.XLOOKUP(tblCostChecklist[[#This Row],[TargetID]],tblTargets[TargetID],tblTargets[DisplayName],"")</f>
        <v>Station Lv 1</v>
      </c>
      <c r="D491" s="41" t="str">
        <f>_xlfn.XLOOKUP(tblCostChecklist[[#This Row],[TargetID]],tblTargets[TargetID],tblTargets[TargetType],"")</f>
        <v>BUILDING</v>
      </c>
      <c r="E491" s="41" t="s">
        <v>701</v>
      </c>
      <c r="F491" s="41">
        <v>1</v>
      </c>
      <c r="G491" s="41">
        <f>_xlfn.XLOOKUP(
 tblCostChecklist[[#This Row],[RequirementID]],
 tblCost[RequirementID],
 tblCost[QuantityRequired],
 ""
)</f>
        <v>800</v>
      </c>
      <c r="H4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1" s="41" t="str">
        <f>_xlfn.XLOOKUP(tblCostChecklist[[#This Row],[TargetID]],tblTargetStatus[TargetID],tblTargetStatus[Status])</f>
        <v>BLOCKED</v>
      </c>
      <c r="J491" s="25" t="b">
        <v>0</v>
      </c>
    </row>
    <row r="492" spans="1:10">
      <c r="A492" s="41" t="s">
        <v>4140</v>
      </c>
      <c r="B492" s="41" t="str">
        <f>_xlfn.TEXTAFTER(
 _xlfn.TEXTBEFORE(tblCostChecklist[[#This Row],[RequirementID]],".",-2),
 "cost."
)</f>
        <v>building.station@1</v>
      </c>
      <c r="C492" s="41" t="str">
        <f>_xlfn.XLOOKUP(tblCostChecklist[[#This Row],[TargetID]],tblTargets[TargetID],tblTargets[DisplayName],"")</f>
        <v>Station Lv 1</v>
      </c>
      <c r="D492" s="41" t="str">
        <f>_xlfn.XLOOKUP(tblCostChecklist[[#This Row],[TargetID]],tblTargets[TargetID],tblTargets[TargetType],"")</f>
        <v>BUILDING</v>
      </c>
      <c r="E492" s="41" t="s">
        <v>717</v>
      </c>
      <c r="F492" s="41">
        <v>1</v>
      </c>
      <c r="G492" s="41">
        <f>_xlfn.XLOOKUP(
 tblCostChecklist[[#This Row],[RequirementID]],
 tblCost[RequirementID],
 tblCost[QuantityRequired],
 ""
)</f>
        <v>500</v>
      </c>
      <c r="H4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2" s="41" t="str">
        <f>_xlfn.XLOOKUP(tblCostChecklist[[#This Row],[TargetID]],tblTargetStatus[TargetID],tblTargetStatus[Status])</f>
        <v>BLOCKED</v>
      </c>
      <c r="J492" s="25" t="b">
        <v>0</v>
      </c>
    </row>
    <row r="493" spans="1:10">
      <c r="A493" s="41" t="s">
        <v>4141</v>
      </c>
      <c r="B493" s="41" t="str">
        <f>_xlfn.TEXTAFTER(
 _xlfn.TEXTBEFORE(tblCostChecklist[[#This Row],[RequirementID]],".",-2),
 "cost."
)</f>
        <v>building.station@1</v>
      </c>
      <c r="C493" s="41" t="str">
        <f>_xlfn.XLOOKUP(tblCostChecklist[[#This Row],[TargetID]],tblTargets[TargetID],tblTargets[DisplayName],"")</f>
        <v>Station Lv 1</v>
      </c>
      <c r="D493" s="41" t="str">
        <f>_xlfn.XLOOKUP(tblCostChecklist[[#This Row],[TargetID]],tblTargets[TargetID],tblTargets[TargetType],"")</f>
        <v>BUILDING</v>
      </c>
      <c r="E493" s="41" t="s">
        <v>716</v>
      </c>
      <c r="F493" s="41">
        <v>1</v>
      </c>
      <c r="G493" s="41">
        <f>_xlfn.XLOOKUP(
 tblCostChecklist[[#This Row],[RequirementID]],
 tblCost[RequirementID],
 tblCost[QuantityRequired],
 ""
)</f>
        <v>1000</v>
      </c>
      <c r="H4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3" s="41" t="str">
        <f>_xlfn.XLOOKUP(tblCostChecklist[[#This Row],[TargetID]],tblTargetStatus[TargetID],tblTargetStatus[Status])</f>
        <v>BLOCKED</v>
      </c>
      <c r="J493" s="25" t="b">
        <v>0</v>
      </c>
    </row>
    <row r="494" spans="1:10">
      <c r="A494" s="41" t="s">
        <v>4142</v>
      </c>
      <c r="B494" s="41" t="str">
        <f>_xlfn.TEXTAFTER(
 _xlfn.TEXTBEFORE(tblCostChecklist[[#This Row],[RequirementID]],".",-2),
 "cost."
)</f>
        <v>building.station@1</v>
      </c>
      <c r="C494" s="41" t="str">
        <f>_xlfn.XLOOKUP(tblCostChecklist[[#This Row],[TargetID]],tblTargets[TargetID],tblTargets[DisplayName],"")</f>
        <v>Station Lv 1</v>
      </c>
      <c r="D494" s="41" t="str">
        <f>_xlfn.XLOOKUP(tblCostChecklist[[#This Row],[TargetID]],tblTargets[TargetID],tblTargets[TargetType],"")</f>
        <v>BUILDING</v>
      </c>
      <c r="E494" s="41" t="s">
        <v>680</v>
      </c>
      <c r="F494" s="41">
        <v>1</v>
      </c>
      <c r="G494" s="41">
        <f>_xlfn.XLOOKUP(
 tblCostChecklist[[#This Row],[RequirementID]],
 tblCost[RequirementID],
 tblCost[QuantityRequired],
 ""
)</f>
        <v>1</v>
      </c>
      <c r="H4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4" s="41" t="str">
        <f>_xlfn.XLOOKUP(tblCostChecklist[[#This Row],[TargetID]],tblTargetStatus[TargetID],tblTargetStatus[Status])</f>
        <v>BLOCKED</v>
      </c>
      <c r="J494" s="25" t="b">
        <v>0</v>
      </c>
    </row>
    <row r="495" spans="1:10">
      <c r="A495" s="41" t="s">
        <v>4143</v>
      </c>
      <c r="B495" s="41" t="str">
        <f>_xlfn.TEXTAFTER(
 _xlfn.TEXTBEFORE(tblCostChecklist[[#This Row],[RequirementID]],".",-2),
 "cost."
)</f>
        <v>building.station@1</v>
      </c>
      <c r="C495" s="41" t="str">
        <f>_xlfn.XLOOKUP(tblCostChecklist[[#This Row],[TargetID]],tblTargets[TargetID],tblTargets[DisplayName],"")</f>
        <v>Station Lv 1</v>
      </c>
      <c r="D495" s="41" t="str">
        <f>_xlfn.XLOOKUP(tblCostChecklist[[#This Row],[TargetID]],tblTargets[TargetID],tblTargets[TargetType],"")</f>
        <v>BUILDING</v>
      </c>
      <c r="E495" s="41" t="s">
        <v>682</v>
      </c>
      <c r="F495" s="41">
        <v>1</v>
      </c>
      <c r="G495" s="41">
        <f>_xlfn.XLOOKUP(
 tblCostChecklist[[#This Row],[RequirementID]],
 tblCost[RequirementID],
 tblCost[QuantityRequired],
 ""
)</f>
        <v>10</v>
      </c>
      <c r="H4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5" s="41" t="str">
        <f>_xlfn.XLOOKUP(tblCostChecklist[[#This Row],[TargetID]],tblTargetStatus[TargetID],tblTargetStatus[Status])</f>
        <v>BLOCKED</v>
      </c>
      <c r="J495" s="25" t="b">
        <v>0</v>
      </c>
    </row>
    <row r="496" spans="1:10">
      <c r="A496" s="41" t="s">
        <v>4144</v>
      </c>
      <c r="B496" s="41" t="str">
        <f>_xlfn.TEXTAFTER(
 _xlfn.TEXTBEFORE(tblCostChecklist[[#This Row],[RequirementID]],".",-2),
 "cost."
)</f>
        <v>building.station@1</v>
      </c>
      <c r="C496" s="41" t="str">
        <f>_xlfn.XLOOKUP(tblCostChecklist[[#This Row],[TargetID]],tblTargets[TargetID],tblTargets[DisplayName],"")</f>
        <v>Station Lv 1</v>
      </c>
      <c r="D496" s="41" t="str">
        <f>_xlfn.XLOOKUP(tblCostChecklist[[#This Row],[TargetID]],tblTargets[TargetID],tblTargets[TargetType],"")</f>
        <v>BUILDING</v>
      </c>
      <c r="E496" s="41" t="s">
        <v>662</v>
      </c>
      <c r="F496" s="41">
        <v>1</v>
      </c>
      <c r="G496" s="41">
        <f>_xlfn.XLOOKUP(
 tblCostChecklist[[#This Row],[RequirementID]],
 tblCost[RequirementID],
 tblCost[QuantityRequired],
 ""
)</f>
        <v>20</v>
      </c>
      <c r="H4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6" s="41" t="str">
        <f>_xlfn.XLOOKUP(tblCostChecklist[[#This Row],[TargetID]],tblTargetStatus[TargetID],tblTargetStatus[Status])</f>
        <v>BLOCKED</v>
      </c>
      <c r="J496" s="25" t="b">
        <v>0</v>
      </c>
    </row>
    <row r="497" spans="1:10">
      <c r="A497" s="41" t="s">
        <v>4145</v>
      </c>
      <c r="B497" s="41" t="str">
        <f>_xlfn.TEXTAFTER(
 _xlfn.TEXTBEFORE(tblCostChecklist[[#This Row],[RequirementID]],".",-2),
 "cost."
)</f>
        <v>building.tailor@1</v>
      </c>
      <c r="C497" s="41" t="str">
        <f>_xlfn.XLOOKUP(tblCostChecklist[[#This Row],[TargetID]],tblTargets[TargetID],tblTargets[DisplayName],"")</f>
        <v>Tailor Lv 1</v>
      </c>
      <c r="D497" s="41" t="str">
        <f>_xlfn.XLOOKUP(tblCostChecklist[[#This Row],[TargetID]],tblTargets[TargetID],tblTargets[TargetType],"")</f>
        <v>BUILDING</v>
      </c>
      <c r="E497" s="41" t="s">
        <v>708</v>
      </c>
      <c r="F497" s="41">
        <v>1</v>
      </c>
      <c r="G497" s="41">
        <f>_xlfn.XLOOKUP(
 tblCostChecklist[[#This Row],[RequirementID]],
 tblCost[RequirementID],
 tblCost[QuantityRequired],
 ""
)</f>
        <v>4</v>
      </c>
      <c r="H4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497" s="41" t="str">
        <f>_xlfn.XLOOKUP(tblCostChecklist[[#This Row],[TargetID]],tblTargetStatus[TargetID],tblTargetStatus[Status])</f>
        <v>BLOCKED</v>
      </c>
      <c r="J497" s="25" t="b">
        <v>0</v>
      </c>
    </row>
    <row r="498" spans="1:10">
      <c r="A498" s="41" t="s">
        <v>4146</v>
      </c>
      <c r="B498" s="41" t="str">
        <f>_xlfn.TEXTAFTER(
 _xlfn.TEXTBEFORE(tblCostChecklist[[#This Row],[RequirementID]],".",-2),
 "cost."
)</f>
        <v>building.tailor@1</v>
      </c>
      <c r="C498" s="41" t="str">
        <f>_xlfn.XLOOKUP(tblCostChecklist[[#This Row],[TargetID]],tblTargets[TargetID],tblTargets[DisplayName],"")</f>
        <v>Tailor Lv 1</v>
      </c>
      <c r="D498" s="41" t="str">
        <f>_xlfn.XLOOKUP(tblCostChecklist[[#This Row],[TargetID]],tblTargets[TargetID],tblTargets[TargetType],"")</f>
        <v>BUILDING</v>
      </c>
      <c r="E498" s="41" t="s">
        <v>666</v>
      </c>
      <c r="F498" s="41">
        <v>1</v>
      </c>
      <c r="G498" s="41">
        <f>_xlfn.XLOOKUP(
 tblCostChecklist[[#This Row],[RequirementID]],
 tblCost[RequirementID],
 tblCost[QuantityRequired],
 ""
)</f>
        <v>600</v>
      </c>
      <c r="H4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498" s="41" t="str">
        <f>_xlfn.XLOOKUP(tblCostChecklist[[#This Row],[TargetID]],tblTargetStatus[TargetID],tblTargetStatus[Status])</f>
        <v>BLOCKED</v>
      </c>
      <c r="J498" s="25" t="b">
        <v>0</v>
      </c>
    </row>
    <row r="499" spans="1:10">
      <c r="A499" s="41" t="s">
        <v>4147</v>
      </c>
      <c r="B499" s="41" t="str">
        <f>_xlfn.TEXTAFTER(
 _xlfn.TEXTBEFORE(tblCostChecklist[[#This Row],[RequirementID]],".",-2),
 "cost."
)</f>
        <v>building.tailor@1</v>
      </c>
      <c r="C499" s="41" t="str">
        <f>_xlfn.XLOOKUP(tblCostChecklist[[#This Row],[TargetID]],tblTargets[TargetID],tblTargets[DisplayName],"")</f>
        <v>Tailor Lv 1</v>
      </c>
      <c r="D499" s="41" t="str">
        <f>_xlfn.XLOOKUP(tblCostChecklist[[#This Row],[TargetID]],tblTargets[TargetID],tblTargets[TargetType],"")</f>
        <v>BUILDING</v>
      </c>
      <c r="E499" s="41" t="s">
        <v>658</v>
      </c>
      <c r="F499" s="41">
        <v>1</v>
      </c>
      <c r="G499" s="41">
        <f>_xlfn.XLOOKUP(
 tblCostChecklist[[#This Row],[RequirementID]],
 tblCost[RequirementID],
 tblCost[QuantityRequired],
 ""
)</f>
        <v>600</v>
      </c>
      <c r="H4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499" s="41" t="str">
        <f>_xlfn.XLOOKUP(tblCostChecklist[[#This Row],[TargetID]],tblTargetStatus[TargetID],tblTargetStatus[Status])</f>
        <v>BLOCKED</v>
      </c>
      <c r="J499" s="25" t="b">
        <v>0</v>
      </c>
    </row>
    <row r="500" spans="1:10">
      <c r="A500" s="41" t="s">
        <v>4148</v>
      </c>
      <c r="B500" s="41" t="str">
        <f>_xlfn.TEXTAFTER(
 _xlfn.TEXTBEFORE(tblCostChecklist[[#This Row],[RequirementID]],".",-2),
 "cost."
)</f>
        <v>building.tailor@1</v>
      </c>
      <c r="C500" s="41" t="str">
        <f>_xlfn.XLOOKUP(tblCostChecklist[[#This Row],[TargetID]],tblTargets[TargetID],tblTargets[DisplayName],"")</f>
        <v>Tailor Lv 1</v>
      </c>
      <c r="D500" s="41" t="str">
        <f>_xlfn.XLOOKUP(tblCostChecklist[[#This Row],[TargetID]],tblTargets[TargetID],tblTargets[TargetType],"")</f>
        <v>BUILDING</v>
      </c>
      <c r="E500" s="41" t="s">
        <v>717</v>
      </c>
      <c r="F500" s="41">
        <v>1</v>
      </c>
      <c r="G500" s="41">
        <f>_xlfn.XLOOKUP(
 tblCostChecklist[[#This Row],[RequirementID]],
 tblCost[RequirementID],
 tblCost[QuantityRequired],
 ""
)</f>
        <v>300</v>
      </c>
      <c r="H5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500" s="41" t="str">
        <f>_xlfn.XLOOKUP(tblCostChecklist[[#This Row],[TargetID]],tblTargetStatus[TargetID],tblTargetStatus[Status])</f>
        <v>BLOCKED</v>
      </c>
      <c r="J500" s="25" t="b">
        <v>0</v>
      </c>
    </row>
    <row r="501" spans="1:10">
      <c r="A501" s="41" t="s">
        <v>4149</v>
      </c>
      <c r="B501" s="41" t="str">
        <f>_xlfn.TEXTAFTER(
 _xlfn.TEXTBEFORE(tblCostChecklist[[#This Row],[RequirementID]],".",-2),
 "cost."
)</f>
        <v>building.tailor@1</v>
      </c>
      <c r="C501" s="41" t="str">
        <f>_xlfn.XLOOKUP(tblCostChecklist[[#This Row],[TargetID]],tblTargets[TargetID],tblTargets[DisplayName],"")</f>
        <v>Tailor Lv 1</v>
      </c>
      <c r="D501" s="41" t="str">
        <f>_xlfn.XLOOKUP(tblCostChecklist[[#This Row],[TargetID]],tblTargets[TargetID],tblTargets[TargetType],"")</f>
        <v>BUILDING</v>
      </c>
      <c r="E501" s="41" t="s">
        <v>711</v>
      </c>
      <c r="F501" s="41">
        <v>1</v>
      </c>
      <c r="G501" s="41">
        <f>_xlfn.XLOOKUP(
 tblCostChecklist[[#This Row],[RequirementID]],
 tblCost[RequirementID],
 tblCost[QuantityRequired],
 ""
)</f>
        <v>10</v>
      </c>
      <c r="H5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501" s="41" t="str">
        <f>_xlfn.XLOOKUP(tblCostChecklist[[#This Row],[TargetID]],tblTargetStatus[TargetID],tblTargetStatus[Status])</f>
        <v>BLOCKED</v>
      </c>
      <c r="J501" s="25" t="b">
        <v>0</v>
      </c>
    </row>
    <row r="502" spans="1:10">
      <c r="A502" s="41" t="s">
        <v>4150</v>
      </c>
      <c r="B502" s="41" t="str">
        <f>_xlfn.TEXTAFTER(
 _xlfn.TEXTBEFORE(tblCostChecklist[[#This Row],[RequirementID]],".",-2),
 "cost."
)</f>
        <v>building.tailor@1</v>
      </c>
      <c r="C502" s="41" t="str">
        <f>_xlfn.XLOOKUP(tblCostChecklist[[#This Row],[TargetID]],tblTargets[TargetID],tblTargets[DisplayName],"")</f>
        <v>Tailor Lv 1</v>
      </c>
      <c r="D502" s="41" t="str">
        <f>_xlfn.XLOOKUP(tblCostChecklist[[#This Row],[TargetID]],tblTargets[TargetID],tblTargets[TargetType],"")</f>
        <v>BUILDING</v>
      </c>
      <c r="E502" s="41" t="s">
        <v>697</v>
      </c>
      <c r="F502" s="41">
        <v>1</v>
      </c>
      <c r="G502" s="41">
        <f>_xlfn.XLOOKUP(
 tblCostChecklist[[#This Row],[RequirementID]],
 tblCost[RequirementID],
 tblCost[QuantityRequired],
 ""
)</f>
        <v>10</v>
      </c>
      <c r="H5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502" s="41" t="str">
        <f>_xlfn.XLOOKUP(tblCostChecklist[[#This Row],[TargetID]],tblTargetStatus[TargetID],tblTargetStatus[Status])</f>
        <v>BLOCKED</v>
      </c>
      <c r="J502" s="25" t="b">
        <v>0</v>
      </c>
    </row>
    <row r="503" spans="1:10">
      <c r="A503" s="41" t="s">
        <v>4151</v>
      </c>
      <c r="B503" s="41" t="str">
        <f>_xlfn.TEXTAFTER(
 _xlfn.TEXTBEFORE(tblCostChecklist[[#This Row],[RequirementID]],".",-2),
 "cost."
)</f>
        <v>building.tailor@2</v>
      </c>
      <c r="C503" s="41" t="str">
        <f>_xlfn.XLOOKUP(tblCostChecklist[[#This Row],[TargetID]],tblTargets[TargetID],tblTargets[DisplayName],"")</f>
        <v>Tailor Lv 2</v>
      </c>
      <c r="D503" s="41" t="str">
        <f>_xlfn.XLOOKUP(tblCostChecklist[[#This Row],[TargetID]],tblTargets[TargetID],tblTargets[TargetType],"")</f>
        <v>BUILDING</v>
      </c>
      <c r="E503" s="41" t="s">
        <v>708</v>
      </c>
      <c r="F503" s="41">
        <v>1</v>
      </c>
      <c r="G503" s="41">
        <f>_xlfn.XLOOKUP(
 tblCostChecklist[[#This Row],[RequirementID]],
 tblCost[RequirementID],
 tblCost[QuantityRequired],
 ""
)</f>
        <v>6</v>
      </c>
      <c r="H5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3" s="41" t="str">
        <f>_xlfn.XLOOKUP(tblCostChecklist[[#This Row],[TargetID]],tblTargetStatus[TargetID],tblTargetStatus[Status])</f>
        <v>BLOCKED</v>
      </c>
      <c r="J503" s="25" t="b">
        <v>0</v>
      </c>
    </row>
    <row r="504" spans="1:10">
      <c r="A504" s="41" t="s">
        <v>4152</v>
      </c>
      <c r="B504" s="41" t="str">
        <f>_xlfn.TEXTAFTER(
 _xlfn.TEXTBEFORE(tblCostChecklist[[#This Row],[RequirementID]],".",-2),
 "cost."
)</f>
        <v>building.tailor@2</v>
      </c>
      <c r="C504" s="41" t="str">
        <f>_xlfn.XLOOKUP(tblCostChecklist[[#This Row],[TargetID]],tblTargets[TargetID],tblTargets[DisplayName],"")</f>
        <v>Tailor Lv 2</v>
      </c>
      <c r="D504" s="41" t="str">
        <f>_xlfn.XLOOKUP(tblCostChecklist[[#This Row],[TargetID]],tblTargets[TargetID],tblTargets[TargetType],"")</f>
        <v>BUILDING</v>
      </c>
      <c r="E504" s="41" t="s">
        <v>666</v>
      </c>
      <c r="F504" s="41">
        <v>1</v>
      </c>
      <c r="G504" s="41">
        <f>_xlfn.XLOOKUP(
 tblCostChecklist[[#This Row],[RequirementID]],
 tblCost[RequirementID],
 tblCost[QuantityRequired],
 ""
)</f>
        <v>800</v>
      </c>
      <c r="H5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4" s="41" t="str">
        <f>_xlfn.XLOOKUP(tblCostChecklist[[#This Row],[TargetID]],tblTargetStatus[TargetID],tblTargetStatus[Status])</f>
        <v>BLOCKED</v>
      </c>
      <c r="J504" s="25" t="b">
        <v>0</v>
      </c>
    </row>
    <row r="505" spans="1:10">
      <c r="A505" s="41" t="s">
        <v>4153</v>
      </c>
      <c r="B505" s="41" t="str">
        <f>_xlfn.TEXTAFTER(
 _xlfn.TEXTBEFORE(tblCostChecklist[[#This Row],[RequirementID]],".",-2),
 "cost."
)</f>
        <v>building.tailor@2</v>
      </c>
      <c r="C505" s="41" t="str">
        <f>_xlfn.XLOOKUP(tblCostChecklist[[#This Row],[TargetID]],tblTargets[TargetID],tblTargets[DisplayName],"")</f>
        <v>Tailor Lv 2</v>
      </c>
      <c r="D505" s="41" t="str">
        <f>_xlfn.XLOOKUP(tblCostChecklist[[#This Row],[TargetID]],tblTargets[TargetID],tblTargets[TargetType],"")</f>
        <v>BUILDING</v>
      </c>
      <c r="E505" s="41" t="s">
        <v>701</v>
      </c>
      <c r="F505" s="41">
        <v>1</v>
      </c>
      <c r="G505" s="41">
        <f>_xlfn.XLOOKUP(
 tblCostChecklist[[#This Row],[RequirementID]],
 tblCost[RequirementID],
 tblCost[QuantityRequired],
 ""
)</f>
        <v>800</v>
      </c>
      <c r="H5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5" s="41" t="str">
        <f>_xlfn.XLOOKUP(tblCostChecklist[[#This Row],[TargetID]],tblTargetStatus[TargetID],tblTargetStatus[Status])</f>
        <v>BLOCKED</v>
      </c>
      <c r="J505" s="25" t="b">
        <v>0</v>
      </c>
    </row>
    <row r="506" spans="1:10">
      <c r="A506" s="41" t="s">
        <v>4154</v>
      </c>
      <c r="B506" s="41" t="str">
        <f>_xlfn.TEXTAFTER(
 _xlfn.TEXTBEFORE(tblCostChecklist[[#This Row],[RequirementID]],".",-2),
 "cost."
)</f>
        <v>building.tailor@2</v>
      </c>
      <c r="C506" s="41" t="str">
        <f>_xlfn.XLOOKUP(tblCostChecklist[[#This Row],[TargetID]],tblTargets[TargetID],tblTargets[DisplayName],"")</f>
        <v>Tailor Lv 2</v>
      </c>
      <c r="D506" s="41" t="str">
        <f>_xlfn.XLOOKUP(tblCostChecklist[[#This Row],[TargetID]],tblTargets[TargetID],tblTargets[TargetType],"")</f>
        <v>BUILDING</v>
      </c>
      <c r="E506" s="41" t="s">
        <v>717</v>
      </c>
      <c r="F506" s="41">
        <v>1</v>
      </c>
      <c r="G506" s="41">
        <f>_xlfn.XLOOKUP(
 tblCostChecklist[[#This Row],[RequirementID]],
 tblCost[RequirementID],
 tblCost[QuantityRequired],
 ""
)</f>
        <v>400</v>
      </c>
      <c r="H5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6" s="41" t="str">
        <f>_xlfn.XLOOKUP(tblCostChecklist[[#This Row],[TargetID]],tblTargetStatus[TargetID],tblTargetStatus[Status])</f>
        <v>BLOCKED</v>
      </c>
      <c r="J506" s="25" t="b">
        <v>0</v>
      </c>
    </row>
    <row r="507" spans="1:10">
      <c r="A507" s="41" t="s">
        <v>4155</v>
      </c>
      <c r="B507" s="41" t="str">
        <f>_xlfn.TEXTAFTER(
 _xlfn.TEXTBEFORE(tblCostChecklist[[#This Row],[RequirementID]],".",-2),
 "cost."
)</f>
        <v>building.tailor@2</v>
      </c>
      <c r="C507" s="41" t="str">
        <f>_xlfn.XLOOKUP(tblCostChecklist[[#This Row],[TargetID]],tblTargets[TargetID],tblTargets[DisplayName],"")</f>
        <v>Tailor Lv 2</v>
      </c>
      <c r="D507" s="41" t="str">
        <f>_xlfn.XLOOKUP(tblCostChecklist[[#This Row],[TargetID]],tblTargets[TargetID],tblTargets[TargetType],"")</f>
        <v>BUILDING</v>
      </c>
      <c r="E507" s="41" t="s">
        <v>711</v>
      </c>
      <c r="F507" s="41">
        <v>1</v>
      </c>
      <c r="G507" s="41">
        <f>_xlfn.XLOOKUP(
 tblCostChecklist[[#This Row],[RequirementID]],
 tblCost[RequirementID],
 tblCost[QuantityRequired],
 ""
)</f>
        <v>20</v>
      </c>
      <c r="H5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7" s="41" t="str">
        <f>_xlfn.XLOOKUP(tblCostChecklist[[#This Row],[TargetID]],tblTargetStatus[TargetID],tblTargetStatus[Status])</f>
        <v>BLOCKED</v>
      </c>
      <c r="J507" s="25" t="b">
        <v>0</v>
      </c>
    </row>
    <row r="508" spans="1:10">
      <c r="A508" s="41" t="s">
        <v>4156</v>
      </c>
      <c r="B508" s="41" t="str">
        <f>_xlfn.TEXTAFTER(
 _xlfn.TEXTBEFORE(tblCostChecklist[[#This Row],[RequirementID]],".",-2),
 "cost."
)</f>
        <v>building.tailor@2</v>
      </c>
      <c r="C508" s="41" t="str">
        <f>_xlfn.XLOOKUP(tblCostChecklist[[#This Row],[TargetID]],tblTargets[TargetID],tblTargets[DisplayName],"")</f>
        <v>Tailor Lv 2</v>
      </c>
      <c r="D508" s="41" t="str">
        <f>_xlfn.XLOOKUP(tblCostChecklist[[#This Row],[TargetID]],tblTargets[TargetID],tblTargets[TargetType],"")</f>
        <v>BUILDING</v>
      </c>
      <c r="E508" s="41" t="s">
        <v>674</v>
      </c>
      <c r="F508" s="41">
        <v>1</v>
      </c>
      <c r="G508" s="41">
        <f>_xlfn.XLOOKUP(
 tblCostChecklist[[#This Row],[RequirementID]],
 tblCost[RequirementID],
 tblCost[QuantityRequired],
 ""
)</f>
        <v>20</v>
      </c>
      <c r="H5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8" s="41" t="str">
        <f>_xlfn.XLOOKUP(tblCostChecklist[[#This Row],[TargetID]],tblTargetStatus[TargetID],tblTargetStatus[Status])</f>
        <v>BLOCKED</v>
      </c>
      <c r="J508" s="25" t="b">
        <v>0</v>
      </c>
    </row>
    <row r="509" spans="1:10">
      <c r="A509" s="41" t="s">
        <v>4157</v>
      </c>
      <c r="B509" s="41" t="str">
        <f>_xlfn.TEXTAFTER(
 _xlfn.TEXTBEFORE(tblCostChecklist[[#This Row],[RequirementID]],".",-2),
 "cost."
)</f>
        <v>building.tailor@3</v>
      </c>
      <c r="C509" s="41" t="str">
        <f>_xlfn.XLOOKUP(tblCostChecklist[[#This Row],[TargetID]],tblTargets[TargetID],tblTargets[DisplayName],"")</f>
        <v>Tailor Lv 3</v>
      </c>
      <c r="D509" s="41" t="str">
        <f>_xlfn.XLOOKUP(tblCostChecklist[[#This Row],[TargetID]],tblTargets[TargetID],tblTargets[TargetType],"")</f>
        <v>BUILDING</v>
      </c>
      <c r="E509" s="41" t="s">
        <v>708</v>
      </c>
      <c r="F509" s="41">
        <v>1</v>
      </c>
      <c r="G509" s="41">
        <f>_xlfn.XLOOKUP(
 tblCostChecklist[[#This Row],[RequirementID]],
 tblCost[RequirementID],
 tblCost[QuantityRequired],
 ""
)</f>
        <v>8</v>
      </c>
      <c r="H5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09" s="41" t="str">
        <f>_xlfn.XLOOKUP(tblCostChecklist[[#This Row],[TargetID]],tblTargetStatus[TargetID],tblTargetStatus[Status])</f>
        <v>BLOCKED</v>
      </c>
      <c r="J509" s="25" t="b">
        <v>0</v>
      </c>
    </row>
    <row r="510" spans="1:10">
      <c r="A510" s="41" t="s">
        <v>4158</v>
      </c>
      <c r="B510" s="41" t="str">
        <f>_xlfn.TEXTAFTER(
 _xlfn.TEXTBEFORE(tblCostChecklist[[#This Row],[RequirementID]],".",-2),
 "cost."
)</f>
        <v>building.tailor@3</v>
      </c>
      <c r="C510" s="41" t="str">
        <f>_xlfn.XLOOKUP(tblCostChecklist[[#This Row],[TargetID]],tblTargets[TargetID],tblTargets[DisplayName],"")</f>
        <v>Tailor Lv 3</v>
      </c>
      <c r="D510" s="41" t="str">
        <f>_xlfn.XLOOKUP(tblCostChecklist[[#This Row],[TargetID]],tblTargets[TargetID],tblTargets[TargetType],"")</f>
        <v>BUILDING</v>
      </c>
      <c r="E510" s="41" t="s">
        <v>666</v>
      </c>
      <c r="F510" s="41">
        <v>1</v>
      </c>
      <c r="G510" s="41">
        <f>_xlfn.XLOOKUP(
 tblCostChecklist[[#This Row],[RequirementID]],
 tblCost[RequirementID],
 tblCost[QuantityRequired],
 ""
)</f>
        <v>1000</v>
      </c>
      <c r="H5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10" s="41" t="str">
        <f>_xlfn.XLOOKUP(tblCostChecklist[[#This Row],[TargetID]],tblTargetStatus[TargetID],tblTargetStatus[Status])</f>
        <v>BLOCKED</v>
      </c>
      <c r="J510" s="25" t="b">
        <v>0</v>
      </c>
    </row>
    <row r="511" spans="1:10">
      <c r="A511" s="41" t="s">
        <v>4159</v>
      </c>
      <c r="B511" s="41" t="str">
        <f>_xlfn.TEXTAFTER(
 _xlfn.TEXTBEFORE(tblCostChecklist[[#This Row],[RequirementID]],".",-2),
 "cost."
)</f>
        <v>building.tailor@3</v>
      </c>
      <c r="C511" s="41" t="str">
        <f>_xlfn.XLOOKUP(tblCostChecklist[[#This Row],[TargetID]],tblTargets[TargetID],tblTargets[DisplayName],"")</f>
        <v>Tailor Lv 3</v>
      </c>
      <c r="D511" s="41" t="str">
        <f>_xlfn.XLOOKUP(tblCostChecklist[[#This Row],[TargetID]],tblTargets[TargetID],tblTargets[TargetType],"")</f>
        <v>BUILDING</v>
      </c>
      <c r="E511" s="41" t="s">
        <v>701</v>
      </c>
      <c r="F511" s="41">
        <v>1</v>
      </c>
      <c r="G511" s="41">
        <f>_xlfn.XLOOKUP(
 tblCostChecklist[[#This Row],[RequirementID]],
 tblCost[RequirementID],
 tblCost[QuantityRequired],
 ""
)</f>
        <v>1000</v>
      </c>
      <c r="H5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11" s="41" t="str">
        <f>_xlfn.XLOOKUP(tblCostChecklist[[#This Row],[TargetID]],tblTargetStatus[TargetID],tblTargetStatus[Status])</f>
        <v>BLOCKED</v>
      </c>
      <c r="J511" s="25" t="b">
        <v>0</v>
      </c>
    </row>
    <row r="512" spans="1:10">
      <c r="A512" s="41" t="s">
        <v>4160</v>
      </c>
      <c r="B512" s="41" t="str">
        <f>_xlfn.TEXTAFTER(
 _xlfn.TEXTBEFORE(tblCostChecklist[[#This Row],[RequirementID]],".",-2),
 "cost."
)</f>
        <v>building.tailor@3</v>
      </c>
      <c r="C512" s="41" t="str">
        <f>_xlfn.XLOOKUP(tblCostChecklist[[#This Row],[TargetID]],tblTargets[TargetID],tblTargets[DisplayName],"")</f>
        <v>Tailor Lv 3</v>
      </c>
      <c r="D512" s="41" t="str">
        <f>_xlfn.XLOOKUP(tblCostChecklist[[#This Row],[TargetID]],tblTargets[TargetID],tblTargets[TargetType],"")</f>
        <v>BUILDING</v>
      </c>
      <c r="E512" s="41" t="s">
        <v>717</v>
      </c>
      <c r="F512" s="41">
        <v>1</v>
      </c>
      <c r="G512" s="41">
        <f>_xlfn.XLOOKUP(
 tblCostChecklist[[#This Row],[RequirementID]],
 tblCost[RequirementID],
 tblCost[QuantityRequired],
 ""
)</f>
        <v>500</v>
      </c>
      <c r="H5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12" s="41" t="str">
        <f>_xlfn.XLOOKUP(tblCostChecklist[[#This Row],[TargetID]],tblTargetStatus[TargetID],tblTargetStatus[Status])</f>
        <v>BLOCKED</v>
      </c>
      <c r="J512" s="25" t="b">
        <v>0</v>
      </c>
    </row>
    <row r="513" spans="1:10">
      <c r="A513" s="41" t="s">
        <v>4161</v>
      </c>
      <c r="B513" s="41" t="str">
        <f>_xlfn.TEXTAFTER(
 _xlfn.TEXTBEFORE(tblCostChecklist[[#This Row],[RequirementID]],".",-2),
 "cost."
)</f>
        <v>building.tailor@3</v>
      </c>
      <c r="C513" s="41" t="str">
        <f>_xlfn.XLOOKUP(tblCostChecklist[[#This Row],[TargetID]],tblTargets[TargetID],tblTargets[DisplayName],"")</f>
        <v>Tailor Lv 3</v>
      </c>
      <c r="D513" s="41" t="str">
        <f>_xlfn.XLOOKUP(tblCostChecklist[[#This Row],[TargetID]],tblTargets[TargetID],tblTargets[TargetType],"")</f>
        <v>BUILDING</v>
      </c>
      <c r="E513" s="41" t="s">
        <v>716</v>
      </c>
      <c r="F513" s="41">
        <v>1</v>
      </c>
      <c r="G513" s="41">
        <f>_xlfn.XLOOKUP(
 tblCostChecklist[[#This Row],[RequirementID]],
 tblCost[RequirementID],
 tblCost[QuantityRequired],
 ""
)</f>
        <v>100</v>
      </c>
      <c r="H5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13" s="41" t="str">
        <f>_xlfn.XLOOKUP(tblCostChecklist[[#This Row],[TargetID]],tblTargetStatus[TargetID],tblTargetStatus[Status])</f>
        <v>BLOCKED</v>
      </c>
      <c r="J513" s="25" t="b">
        <v>0</v>
      </c>
    </row>
    <row r="514" spans="1:10">
      <c r="A514" s="41" t="s">
        <v>4162</v>
      </c>
      <c r="B514" s="41" t="str">
        <f>_xlfn.TEXTAFTER(
 _xlfn.TEXTBEFORE(tblCostChecklist[[#This Row],[RequirementID]],".",-2),
 "cost."
)</f>
        <v>building.tailor@3</v>
      </c>
      <c r="C514" s="41" t="str">
        <f>_xlfn.XLOOKUP(tblCostChecklist[[#This Row],[TargetID]],tblTargets[TargetID],tblTargets[DisplayName],"")</f>
        <v>Tailor Lv 3</v>
      </c>
      <c r="D514" s="41" t="str">
        <f>_xlfn.XLOOKUP(tblCostChecklist[[#This Row],[TargetID]],tblTargets[TargetID],tblTargets[TargetType],"")</f>
        <v>BUILDING</v>
      </c>
      <c r="E514" s="41" t="s">
        <v>711</v>
      </c>
      <c r="F514" s="41">
        <v>1</v>
      </c>
      <c r="G514" s="41">
        <f>_xlfn.XLOOKUP(
 tblCostChecklist[[#This Row],[RequirementID]],
 tblCost[RequirementID],
 tblCost[QuantityRequired],
 ""
)</f>
        <v>30</v>
      </c>
      <c r="H5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14" s="41" t="str">
        <f>_xlfn.XLOOKUP(tblCostChecklist[[#This Row],[TargetID]],tblTargetStatus[TargetID],tblTargetStatus[Status])</f>
        <v>BLOCKED</v>
      </c>
      <c r="J514" s="25" t="b">
        <v>0</v>
      </c>
    </row>
    <row r="515" spans="1:10">
      <c r="A515" s="41" t="s">
        <v>4163</v>
      </c>
      <c r="B515" s="41" t="str">
        <f>_xlfn.TEXTAFTER(
 _xlfn.TEXTBEFORE(tblCostChecklist[[#This Row],[RequirementID]],".",-2),
 "cost."
)</f>
        <v>building.train@1</v>
      </c>
      <c r="C515" s="41" t="str">
        <f>_xlfn.XLOOKUP(tblCostChecklist[[#This Row],[TargetID]],tblTargets[TargetID],tblTargets[DisplayName],"")</f>
        <v>Train Lv 1</v>
      </c>
      <c r="D515" s="41" t="str">
        <f>_xlfn.XLOOKUP(tblCostChecklist[[#This Row],[TargetID]],tblTargets[TargetID],tblTargets[TargetType],"")</f>
        <v>BUILDING</v>
      </c>
      <c r="E515" s="41" t="s">
        <v>708</v>
      </c>
      <c r="F515" s="41">
        <v>1</v>
      </c>
      <c r="G515" s="41">
        <f>_xlfn.XLOOKUP(
 tblCostChecklist[[#This Row],[RequirementID]],
 tblCost[RequirementID],
 tblCost[QuantityRequired],
 ""
)</f>
        <v>10</v>
      </c>
      <c r="H5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15" s="41" t="str">
        <f>_xlfn.XLOOKUP(tblCostChecklist[[#This Row],[TargetID]],tblTargetStatus[TargetID],tblTargetStatus[Status])</f>
        <v>BLOCKED</v>
      </c>
      <c r="J515" s="25" t="b">
        <v>0</v>
      </c>
    </row>
    <row r="516" spans="1:10">
      <c r="A516" s="41" t="s">
        <v>4164</v>
      </c>
      <c r="B516" s="41" t="str">
        <f>_xlfn.TEXTAFTER(
 _xlfn.TEXTBEFORE(tblCostChecklist[[#This Row],[RequirementID]],".",-2),
 "cost."
)</f>
        <v>building.train@1</v>
      </c>
      <c r="C516" s="41" t="str">
        <f>_xlfn.XLOOKUP(tblCostChecklist[[#This Row],[TargetID]],tblTargets[TargetID],tblTargets[DisplayName],"")</f>
        <v>Train Lv 1</v>
      </c>
      <c r="D516" s="41" t="str">
        <f>_xlfn.XLOOKUP(tblCostChecklist[[#This Row],[TargetID]],tblTargets[TargetID],tblTargets[TargetType],"")</f>
        <v>BUILDING</v>
      </c>
      <c r="E516" s="41" t="s">
        <v>666</v>
      </c>
      <c r="F516" s="41">
        <v>1</v>
      </c>
      <c r="G516" s="41">
        <f>_xlfn.XLOOKUP(
 tblCostChecklist[[#This Row],[RequirementID]],
 tblCost[RequirementID],
 tblCost[QuantityRequired],
 ""
)</f>
        <v>2000</v>
      </c>
      <c r="H5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16" s="41" t="str">
        <f>_xlfn.XLOOKUP(tblCostChecklist[[#This Row],[TargetID]],tblTargetStatus[TargetID],tblTargetStatus[Status])</f>
        <v>BLOCKED</v>
      </c>
      <c r="J516" s="25" t="b">
        <v>0</v>
      </c>
    </row>
    <row r="517" spans="1:10">
      <c r="A517" s="41" t="s">
        <v>4165</v>
      </c>
      <c r="B517" s="41" t="str">
        <f>_xlfn.TEXTAFTER(
 _xlfn.TEXTBEFORE(tblCostChecklist[[#This Row],[RequirementID]],".",-2),
 "cost."
)</f>
        <v>building.train@1</v>
      </c>
      <c r="C517" s="41" t="str">
        <f>_xlfn.XLOOKUP(tblCostChecklist[[#This Row],[TargetID]],tblTargets[TargetID],tblTargets[DisplayName],"")</f>
        <v>Train Lv 1</v>
      </c>
      <c r="D517" s="41" t="str">
        <f>_xlfn.XLOOKUP(tblCostChecklist[[#This Row],[TargetID]],tblTargets[TargetID],tblTargets[TargetType],"")</f>
        <v>BUILDING</v>
      </c>
      <c r="E517" s="41" t="s">
        <v>716</v>
      </c>
      <c r="F517" s="41">
        <v>1</v>
      </c>
      <c r="G517" s="41">
        <f>_xlfn.XLOOKUP(
 tblCostChecklist[[#This Row],[RequirementID]],
 tblCost[RequirementID],
 tblCost[QuantityRequired],
 ""
)</f>
        <v>3000</v>
      </c>
      <c r="H5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17" s="41" t="str">
        <f>_xlfn.XLOOKUP(tblCostChecklist[[#This Row],[TargetID]],tblTargetStatus[TargetID],tblTargetStatus[Status])</f>
        <v>BLOCKED</v>
      </c>
      <c r="J517" s="25" t="b">
        <v>0</v>
      </c>
    </row>
    <row r="518" spans="1:10">
      <c r="A518" s="41" t="s">
        <v>4166</v>
      </c>
      <c r="B518" s="41" t="str">
        <f>_xlfn.TEXTAFTER(
 _xlfn.TEXTBEFORE(tblCostChecklist[[#This Row],[RequirementID]],".",-2),
 "cost."
)</f>
        <v>building.train@1</v>
      </c>
      <c r="C518" s="41" t="str">
        <f>_xlfn.XLOOKUP(tblCostChecklist[[#This Row],[TargetID]],tblTargets[TargetID],tblTargets[DisplayName],"")</f>
        <v>Train Lv 1</v>
      </c>
      <c r="D518" s="41" t="str">
        <f>_xlfn.XLOOKUP(tblCostChecklist[[#This Row],[TargetID]],tblTargets[TargetID],tblTargets[TargetType],"")</f>
        <v>BUILDING</v>
      </c>
      <c r="E518" s="41" t="s">
        <v>693</v>
      </c>
      <c r="F518" s="41">
        <v>1</v>
      </c>
      <c r="G518" s="41">
        <f>_xlfn.XLOOKUP(
 tblCostChecklist[[#This Row],[RequirementID]],
 tblCost[RequirementID],
 tblCost[QuantityRequired],
 ""
)</f>
        <v>100</v>
      </c>
      <c r="H5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18" s="41" t="str">
        <f>_xlfn.XLOOKUP(tblCostChecklist[[#This Row],[TargetID]],tblTargetStatus[TargetID],tblTargetStatus[Status])</f>
        <v>BLOCKED</v>
      </c>
      <c r="J518" s="25" t="b">
        <v>0</v>
      </c>
    </row>
    <row r="519" spans="1:10">
      <c r="A519" s="41" t="s">
        <v>4167</v>
      </c>
      <c r="B519" s="41" t="str">
        <f>_xlfn.TEXTAFTER(
 _xlfn.TEXTBEFORE(tblCostChecklist[[#This Row],[RequirementID]],".",-2),
 "cost."
)</f>
        <v>building.train@1</v>
      </c>
      <c r="C519" s="41" t="str">
        <f>_xlfn.XLOOKUP(tblCostChecklist[[#This Row],[TargetID]],tblTargets[TargetID],tblTargets[DisplayName],"")</f>
        <v>Train Lv 1</v>
      </c>
      <c r="D519" s="41" t="str">
        <f>_xlfn.XLOOKUP(tblCostChecklist[[#This Row],[TargetID]],tblTargets[TargetID],tblTargets[TargetType],"")</f>
        <v>BUILDING</v>
      </c>
      <c r="E519" s="41" t="s">
        <v>686</v>
      </c>
      <c r="F519" s="41">
        <v>1</v>
      </c>
      <c r="G519" s="41">
        <f>_xlfn.XLOOKUP(
 tblCostChecklist[[#This Row],[RequirementID]],
 tblCost[RequirementID],
 tblCost[QuantityRequired],
 ""
)</f>
        <v>80</v>
      </c>
      <c r="H5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19" s="41" t="str">
        <f>_xlfn.XLOOKUP(tblCostChecklist[[#This Row],[TargetID]],tblTargetStatus[TargetID],tblTargetStatus[Status])</f>
        <v>BLOCKED</v>
      </c>
      <c r="J519" s="25" t="b">
        <v>0</v>
      </c>
    </row>
    <row r="520" spans="1:10">
      <c r="A520" s="41" t="s">
        <v>4168</v>
      </c>
      <c r="B520" s="41" t="str">
        <f>_xlfn.TEXTAFTER(
 _xlfn.TEXTBEFORE(tblCostChecklist[[#This Row],[RequirementID]],".",-2),
 "cost."
)</f>
        <v>building.train@1</v>
      </c>
      <c r="C520" s="41" t="str">
        <f>_xlfn.XLOOKUP(tblCostChecklist[[#This Row],[TargetID]],tblTargets[TargetID],tblTargets[DisplayName],"")</f>
        <v>Train Lv 1</v>
      </c>
      <c r="D520" s="41" t="str">
        <f>_xlfn.XLOOKUP(tblCostChecklist[[#This Row],[TargetID]],tblTargets[TargetID],tblTargets[TargetType],"")</f>
        <v>BUILDING</v>
      </c>
      <c r="E520" s="41" t="s">
        <v>674</v>
      </c>
      <c r="F520" s="41">
        <v>1</v>
      </c>
      <c r="G520" s="41">
        <f>_xlfn.XLOOKUP(
 tblCostChecklist[[#This Row],[RequirementID]],
 tblCost[RequirementID],
 tblCost[QuantityRequired],
 ""
)</f>
        <v>10</v>
      </c>
      <c r="H5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20" s="41" t="str">
        <f>_xlfn.XLOOKUP(tblCostChecklist[[#This Row],[TargetID]],tblTargetStatus[TargetID],tblTargetStatus[Status])</f>
        <v>BLOCKED</v>
      </c>
      <c r="J520" s="25" t="b">
        <v>0</v>
      </c>
    </row>
    <row r="521" spans="1:10">
      <c r="A521" s="41" t="s">
        <v>4169</v>
      </c>
      <c r="B521" s="41" t="str">
        <f>_xlfn.TEXTAFTER(
 _xlfn.TEXTBEFORE(tblCostChecklist[[#This Row],[RequirementID]],".",-2),
 "cost."
)</f>
        <v>building.train@1</v>
      </c>
      <c r="C521" s="41" t="str">
        <f>_xlfn.XLOOKUP(tblCostChecklist[[#This Row],[TargetID]],tblTargets[TargetID],tblTargets[DisplayName],"")</f>
        <v>Train Lv 1</v>
      </c>
      <c r="D521" s="41" t="str">
        <f>_xlfn.XLOOKUP(tblCostChecklist[[#This Row],[TargetID]],tblTargets[TargetID],tblTargets[TargetType],"")</f>
        <v>BUILDING</v>
      </c>
      <c r="E521" s="41" t="s">
        <v>662</v>
      </c>
      <c r="F521" s="41">
        <v>1</v>
      </c>
      <c r="G521" s="41">
        <f>_xlfn.XLOOKUP(
 tblCostChecklist[[#This Row],[RequirementID]],
 tblCost[RequirementID],
 tblCost[QuantityRequired],
 ""
)</f>
        <v>100</v>
      </c>
      <c r="H5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21" s="41" t="str">
        <f>_xlfn.XLOOKUP(tblCostChecklist[[#This Row],[TargetID]],tblTargetStatus[TargetID],tblTargetStatus[Status])</f>
        <v>BLOCKED</v>
      </c>
      <c r="J521" s="25" t="b">
        <v>0</v>
      </c>
    </row>
    <row r="522" spans="1:10">
      <c r="A522" s="41" t="s">
        <v>4170</v>
      </c>
      <c r="B522" s="41" t="str">
        <f>_xlfn.TEXTAFTER(
 _xlfn.TEXTBEFORE(tblCostChecklist[[#This Row],[RequirementID]],".",-2),
 "cost."
)</f>
        <v>building.train@2</v>
      </c>
      <c r="C522" s="41" t="str">
        <f>_xlfn.XLOOKUP(tblCostChecklist[[#This Row],[TargetID]],tblTargets[TargetID],tblTargets[DisplayName],"")</f>
        <v>Train Lv 2</v>
      </c>
      <c r="D522" s="41" t="str">
        <f>_xlfn.XLOOKUP(tblCostChecklist[[#This Row],[TargetID]],tblTargets[TargetID],tblTargets[TargetType],"")</f>
        <v>BUILDING</v>
      </c>
      <c r="E522" s="41" t="s">
        <v>708</v>
      </c>
      <c r="F522" s="41">
        <v>1</v>
      </c>
      <c r="G522" s="41">
        <f>_xlfn.XLOOKUP(
 tblCostChecklist[[#This Row],[RequirementID]],
 tblCost[RequirementID],
 tblCost[QuantityRequired],
 ""
)</f>
        <v>10</v>
      </c>
      <c r="H5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2" s="41" t="str">
        <f>_xlfn.XLOOKUP(tblCostChecklist[[#This Row],[TargetID]],tblTargetStatus[TargetID],tblTargetStatus[Status])</f>
        <v>BLOCKED</v>
      </c>
      <c r="J522" s="25" t="b">
        <v>0</v>
      </c>
    </row>
    <row r="523" spans="1:10">
      <c r="A523" s="41" t="s">
        <v>4171</v>
      </c>
      <c r="B523" s="41" t="str">
        <f>_xlfn.TEXTAFTER(
 _xlfn.TEXTBEFORE(tblCostChecklist[[#This Row],[RequirementID]],".",-2),
 "cost."
)</f>
        <v>building.train@2</v>
      </c>
      <c r="C523" s="41" t="str">
        <f>_xlfn.XLOOKUP(tblCostChecklist[[#This Row],[TargetID]],tblTargets[TargetID],tblTargets[DisplayName],"")</f>
        <v>Train Lv 2</v>
      </c>
      <c r="D523" s="41" t="str">
        <f>_xlfn.XLOOKUP(tblCostChecklist[[#This Row],[TargetID]],tblTargets[TargetID],tblTargets[TargetType],"")</f>
        <v>BUILDING</v>
      </c>
      <c r="E523" s="41" t="s">
        <v>666</v>
      </c>
      <c r="F523" s="41">
        <v>1</v>
      </c>
      <c r="G523" s="41">
        <f>_xlfn.XLOOKUP(
 tblCostChecklist[[#This Row],[RequirementID]],
 tblCost[RequirementID],
 tblCost[QuantityRequired],
 ""
)</f>
        <v>2000</v>
      </c>
      <c r="H5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3" s="41" t="str">
        <f>_xlfn.XLOOKUP(tblCostChecklist[[#This Row],[TargetID]],tblTargetStatus[TargetID],tblTargetStatus[Status])</f>
        <v>BLOCKED</v>
      </c>
      <c r="J523" s="25" t="b">
        <v>0</v>
      </c>
    </row>
    <row r="524" spans="1:10">
      <c r="A524" s="41" t="s">
        <v>4172</v>
      </c>
      <c r="B524" s="41" t="str">
        <f>_xlfn.TEXTAFTER(
 _xlfn.TEXTBEFORE(tblCostChecklist[[#This Row],[RequirementID]],".",-2),
 "cost."
)</f>
        <v>building.train@2</v>
      </c>
      <c r="C524" s="41" t="str">
        <f>_xlfn.XLOOKUP(tblCostChecklist[[#This Row],[TargetID]],tblTargets[TargetID],tblTargets[DisplayName],"")</f>
        <v>Train Lv 2</v>
      </c>
      <c r="D524" s="41" t="str">
        <f>_xlfn.XLOOKUP(tblCostChecklist[[#This Row],[TargetID]],tblTargets[TargetID],tblTargets[TargetType],"")</f>
        <v>BUILDING</v>
      </c>
      <c r="E524" s="41" t="s">
        <v>716</v>
      </c>
      <c r="F524" s="41">
        <v>1</v>
      </c>
      <c r="G524" s="41">
        <f>_xlfn.XLOOKUP(
 tblCostChecklist[[#This Row],[RequirementID]],
 tblCost[RequirementID],
 tblCost[QuantityRequired],
 ""
)</f>
        <v>1000</v>
      </c>
      <c r="H5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4" s="41" t="str">
        <f>_xlfn.XLOOKUP(tblCostChecklist[[#This Row],[TargetID]],tblTargetStatus[TargetID],tblTargetStatus[Status])</f>
        <v>BLOCKED</v>
      </c>
      <c r="J524" s="25" t="b">
        <v>0</v>
      </c>
    </row>
    <row r="525" spans="1:10">
      <c r="A525" s="41" t="s">
        <v>4173</v>
      </c>
      <c r="B525" s="41" t="str">
        <f>_xlfn.TEXTAFTER(
 _xlfn.TEXTBEFORE(tblCostChecklist[[#This Row],[RequirementID]],".",-2),
 "cost."
)</f>
        <v>building.train@2</v>
      </c>
      <c r="C525" s="41" t="str">
        <f>_xlfn.XLOOKUP(tblCostChecklist[[#This Row],[TargetID]],tblTargets[TargetID],tblTargets[DisplayName],"")</f>
        <v>Train Lv 2</v>
      </c>
      <c r="D525" s="41" t="str">
        <f>_xlfn.XLOOKUP(tblCostChecklist[[#This Row],[TargetID]],tblTargets[TargetID],tblTargets[TargetType],"")</f>
        <v>BUILDING</v>
      </c>
      <c r="E525" s="41" t="s">
        <v>686</v>
      </c>
      <c r="F525" s="41">
        <v>1</v>
      </c>
      <c r="G525" s="41">
        <f>_xlfn.XLOOKUP(
 tblCostChecklist[[#This Row],[RequirementID]],
 tblCost[RequirementID],
 tblCost[QuantityRequired],
 ""
)</f>
        <v>40</v>
      </c>
      <c r="H5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5" s="41" t="str">
        <f>_xlfn.XLOOKUP(tblCostChecklist[[#This Row],[TargetID]],tblTargetStatus[TargetID],tblTargetStatus[Status])</f>
        <v>BLOCKED</v>
      </c>
      <c r="J525" s="25" t="b">
        <v>0</v>
      </c>
    </row>
    <row r="526" spans="1:10">
      <c r="A526" s="41" t="s">
        <v>4174</v>
      </c>
      <c r="B526" s="41" t="str">
        <f>_xlfn.TEXTAFTER(
 _xlfn.TEXTBEFORE(tblCostChecklist[[#This Row],[RequirementID]],".",-2),
 "cost."
)</f>
        <v>building.train@2</v>
      </c>
      <c r="C526" s="41" t="str">
        <f>_xlfn.XLOOKUP(tblCostChecklist[[#This Row],[TargetID]],tblTargets[TargetID],tblTargets[DisplayName],"")</f>
        <v>Train Lv 2</v>
      </c>
      <c r="D526" s="41" t="str">
        <f>_xlfn.XLOOKUP(tblCostChecklist[[#This Row],[TargetID]],tblTargets[TargetID],tblTargets[TargetType],"")</f>
        <v>BUILDING</v>
      </c>
      <c r="E526" s="41" t="s">
        <v>687</v>
      </c>
      <c r="F526" s="41">
        <v>1</v>
      </c>
      <c r="G526" s="41">
        <f>_xlfn.XLOOKUP(
 tblCostChecklist[[#This Row],[RequirementID]],
 tblCost[RequirementID],
 tblCost[QuantityRequired],
 ""
)</f>
        <v>30</v>
      </c>
      <c r="H5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6" s="41" t="str">
        <f>_xlfn.XLOOKUP(tblCostChecklist[[#This Row],[TargetID]],tblTargetStatus[TargetID],tblTargetStatus[Status])</f>
        <v>BLOCKED</v>
      </c>
      <c r="J526" s="25" t="b">
        <v>0</v>
      </c>
    </row>
    <row r="527" spans="1:10">
      <c r="A527" s="41" t="s">
        <v>4175</v>
      </c>
      <c r="B527" s="41" t="str">
        <f>_xlfn.TEXTAFTER(
 _xlfn.TEXTBEFORE(tblCostChecklist[[#This Row],[RequirementID]],".",-2),
 "cost."
)</f>
        <v>building.train@2</v>
      </c>
      <c r="C527" s="41" t="str">
        <f>_xlfn.XLOOKUP(tblCostChecklist[[#This Row],[TargetID]],tblTargets[TargetID],tblTargets[DisplayName],"")</f>
        <v>Train Lv 2</v>
      </c>
      <c r="D527" s="41" t="str">
        <f>_xlfn.XLOOKUP(tblCostChecklist[[#This Row],[TargetID]],tblTargets[TargetID],tblTargets[TargetType],"")</f>
        <v>BUILDING</v>
      </c>
      <c r="E527" s="41" t="s">
        <v>662</v>
      </c>
      <c r="F527" s="41">
        <v>1</v>
      </c>
      <c r="G527" s="41">
        <f>_xlfn.XLOOKUP(
 tblCostChecklist[[#This Row],[RequirementID]],
 tblCost[RequirementID],
 tblCost[QuantityRequired],
 ""
)</f>
        <v>40</v>
      </c>
      <c r="H5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7" s="41" t="str">
        <f>_xlfn.XLOOKUP(tblCostChecklist[[#This Row],[TargetID]],tblTargetStatus[TargetID],tblTargetStatus[Status])</f>
        <v>BLOCKED</v>
      </c>
      <c r="J527" s="25" t="b">
        <v>0</v>
      </c>
    </row>
    <row r="528" spans="1:10">
      <c r="A528" s="41" t="s">
        <v>4176</v>
      </c>
      <c r="B528" s="41" t="str">
        <f>_xlfn.TEXTAFTER(
 _xlfn.TEXTBEFORE(tblCostChecklist[[#This Row],[RequirementID]],".",-2),
 "cost."
)</f>
        <v>building.train_freight_carriage@1</v>
      </c>
      <c r="C528" s="41" t="str">
        <f>_xlfn.XLOOKUP(tblCostChecklist[[#This Row],[TargetID]],tblTargets[TargetID],tblTargets[DisplayName],"")</f>
        <v>Train: Freight Carriage Lv 1</v>
      </c>
      <c r="D528" s="41" t="str">
        <f>_xlfn.XLOOKUP(tblCostChecklist[[#This Row],[TargetID]],tblTargets[TargetID],tblTargets[TargetType],"")</f>
        <v>BUILDING</v>
      </c>
      <c r="E528" s="41" t="s">
        <v>708</v>
      </c>
      <c r="F528" s="41">
        <v>1</v>
      </c>
      <c r="G528" s="41">
        <f>_xlfn.XLOOKUP(
 tblCostChecklist[[#This Row],[RequirementID]],
 tblCost[RequirementID],
 tblCost[QuantityRequired],
 ""
)</f>
        <v>2</v>
      </c>
      <c r="H528"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28" s="41" t="str">
        <f>_xlfn.XLOOKUP(tblCostChecklist[[#This Row],[TargetID]],tblTargetStatus[TargetID],tblTargetStatus[Status])</f>
        <v>BLOCKED</v>
      </c>
      <c r="J528" s="25" t="b">
        <v>0</v>
      </c>
    </row>
    <row r="529" spans="1:10">
      <c r="A529" s="41" t="s">
        <v>4177</v>
      </c>
      <c r="B529" s="41" t="str">
        <f>_xlfn.TEXTAFTER(
 _xlfn.TEXTBEFORE(tblCostChecklist[[#This Row],[RequirementID]],".",-2),
 "cost."
)</f>
        <v>building.train_freight_carriage@1</v>
      </c>
      <c r="C529" s="41" t="str">
        <f>_xlfn.XLOOKUP(tblCostChecklist[[#This Row],[TargetID]],tblTargets[TargetID],tblTargets[DisplayName],"")</f>
        <v>Train: Freight Carriage Lv 1</v>
      </c>
      <c r="D529" s="41" t="str">
        <f>_xlfn.XLOOKUP(tblCostChecklist[[#This Row],[TargetID]],tblTargets[TargetID],tblTargets[TargetType],"")</f>
        <v>BUILDING</v>
      </c>
      <c r="E529" s="41" t="s">
        <v>666</v>
      </c>
      <c r="F529" s="41">
        <v>1</v>
      </c>
      <c r="G529" s="41">
        <f>_xlfn.XLOOKUP(
 tblCostChecklist[[#This Row],[RequirementID]],
 tblCost[RequirementID],
 tblCost[QuantityRequired],
 ""
)</f>
        <v>500</v>
      </c>
      <c r="H529"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29" s="41" t="str">
        <f>_xlfn.XLOOKUP(tblCostChecklist[[#This Row],[TargetID]],tblTargetStatus[TargetID],tblTargetStatus[Status])</f>
        <v>BLOCKED</v>
      </c>
      <c r="J529" s="25" t="b">
        <v>0</v>
      </c>
    </row>
    <row r="530" spans="1:10">
      <c r="A530" s="41" t="s">
        <v>4178</v>
      </c>
      <c r="B530" s="41" t="str">
        <f>_xlfn.TEXTAFTER(
 _xlfn.TEXTBEFORE(tblCostChecklist[[#This Row],[RequirementID]],".",-2),
 "cost."
)</f>
        <v>building.train_freight_carriage@1</v>
      </c>
      <c r="C530" s="41" t="str">
        <f>_xlfn.XLOOKUP(tblCostChecklist[[#This Row],[TargetID]],tblTargets[TargetID],tblTargets[DisplayName],"")</f>
        <v>Train: Freight Carriage Lv 1</v>
      </c>
      <c r="D530" s="41" t="str">
        <f>_xlfn.XLOOKUP(tblCostChecklist[[#This Row],[TargetID]],tblTargets[TargetID],tblTargets[TargetType],"")</f>
        <v>BUILDING</v>
      </c>
      <c r="E530" s="41" t="s">
        <v>701</v>
      </c>
      <c r="F530" s="41">
        <v>1</v>
      </c>
      <c r="G530" s="41">
        <f>_xlfn.XLOOKUP(
 tblCostChecklist[[#This Row],[RequirementID]],
 tblCost[RequirementID],
 tblCost[QuantityRequired],
 ""
)</f>
        <v>500</v>
      </c>
      <c r="H530"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0" s="41" t="str">
        <f>_xlfn.XLOOKUP(tblCostChecklist[[#This Row],[TargetID]],tblTargetStatus[TargetID],tblTargetStatus[Status])</f>
        <v>BLOCKED</v>
      </c>
      <c r="J530" s="25" t="b">
        <v>0</v>
      </c>
    </row>
    <row r="531" spans="1:10">
      <c r="A531" s="41" t="s">
        <v>4179</v>
      </c>
      <c r="B531" s="41" t="str">
        <f>_xlfn.TEXTAFTER(
 _xlfn.TEXTBEFORE(tblCostChecklist[[#This Row],[RequirementID]],".",-2),
 "cost."
)</f>
        <v>building.train_freight_carriage@1</v>
      </c>
      <c r="C531" s="41" t="str">
        <f>_xlfn.XLOOKUP(tblCostChecklist[[#This Row],[TargetID]],tblTargets[TargetID],tblTargets[DisplayName],"")</f>
        <v>Train: Freight Carriage Lv 1</v>
      </c>
      <c r="D531" s="41" t="str">
        <f>_xlfn.XLOOKUP(tblCostChecklist[[#This Row],[TargetID]],tblTargets[TargetID],tblTargets[TargetType],"")</f>
        <v>BUILDING</v>
      </c>
      <c r="E531" s="41" t="s">
        <v>716</v>
      </c>
      <c r="F531" s="41">
        <v>1</v>
      </c>
      <c r="G531" s="41">
        <f>_xlfn.XLOOKUP(
 tblCostChecklist[[#This Row],[RequirementID]],
 tblCost[RequirementID],
 tblCost[QuantityRequired],
 ""
)</f>
        <v>250</v>
      </c>
      <c r="H531"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1" s="41" t="str">
        <f>_xlfn.XLOOKUP(tblCostChecklist[[#This Row],[TargetID]],tblTargetStatus[TargetID],tblTargetStatus[Status])</f>
        <v>BLOCKED</v>
      </c>
      <c r="J531" s="25" t="b">
        <v>0</v>
      </c>
    </row>
    <row r="532" spans="1:10">
      <c r="A532" s="41" t="s">
        <v>4180</v>
      </c>
      <c r="B532" s="41" t="str">
        <f>_xlfn.TEXTAFTER(
 _xlfn.TEXTBEFORE(tblCostChecklist[[#This Row],[RequirementID]],".",-2),
 "cost."
)</f>
        <v>building.train_freight_carriage@1</v>
      </c>
      <c r="C532" s="41" t="str">
        <f>_xlfn.XLOOKUP(tblCostChecklist[[#This Row],[TargetID]],tblTargets[TargetID],tblTargets[DisplayName],"")</f>
        <v>Train: Freight Carriage Lv 1</v>
      </c>
      <c r="D532" s="41" t="str">
        <f>_xlfn.XLOOKUP(tblCostChecklist[[#This Row],[TargetID]],tblTargets[TargetID],tblTargets[TargetType],"")</f>
        <v>BUILDING</v>
      </c>
      <c r="E532" s="41" t="s">
        <v>686</v>
      </c>
      <c r="F532" s="41">
        <v>1</v>
      </c>
      <c r="G532" s="41">
        <f>_xlfn.XLOOKUP(
 tblCostChecklist[[#This Row],[RequirementID]],
 tblCost[RequirementID],
 tblCost[QuantityRequired],
 ""
)</f>
        <v>12</v>
      </c>
      <c r="H532"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2" s="41" t="str">
        <f>_xlfn.XLOOKUP(tblCostChecklist[[#This Row],[TargetID]],tblTargetStatus[TargetID],tblTargetStatus[Status])</f>
        <v>BLOCKED</v>
      </c>
      <c r="J532" s="25" t="b">
        <v>0</v>
      </c>
    </row>
    <row r="533" spans="1:10">
      <c r="A533" s="41" t="s">
        <v>4181</v>
      </c>
      <c r="B533" s="41" t="str">
        <f>_xlfn.TEXTAFTER(
 _xlfn.TEXTBEFORE(tblCostChecklist[[#This Row],[RequirementID]],".",-2),
 "cost."
)</f>
        <v>building.train_freight_carriage@1</v>
      </c>
      <c r="C533" s="41" t="str">
        <f>_xlfn.XLOOKUP(tblCostChecklist[[#This Row],[TargetID]],tblTargets[TargetID],tblTargets[DisplayName],"")</f>
        <v>Train: Freight Carriage Lv 1</v>
      </c>
      <c r="D533" s="41" t="str">
        <f>_xlfn.XLOOKUP(tblCostChecklist[[#This Row],[TargetID]],tblTargets[TargetID],tblTargets[TargetType],"")</f>
        <v>BUILDING</v>
      </c>
      <c r="E533" s="41" t="s">
        <v>662</v>
      </c>
      <c r="F533" s="41">
        <v>1</v>
      </c>
      <c r="G533" s="41">
        <f>_xlfn.XLOOKUP(
 tblCostChecklist[[#This Row],[RequirementID]],
 tblCost[RequirementID],
 tblCost[QuantityRequired],
 ""
)</f>
        <v>15</v>
      </c>
      <c r="H533"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3" s="41" t="str">
        <f>_xlfn.XLOOKUP(tblCostChecklist[[#This Row],[TargetID]],tblTargetStatus[TargetID],tblTargetStatus[Status])</f>
        <v>BLOCKED</v>
      </c>
      <c r="J533" s="25" t="b">
        <v>0</v>
      </c>
    </row>
    <row r="534" spans="1:10">
      <c r="A534" s="41" t="s">
        <v>4182</v>
      </c>
      <c r="B534" s="41" t="str">
        <f>_xlfn.TEXTAFTER(
 _xlfn.TEXTBEFORE(tblCostChecklist[[#This Row],[RequirementID]],".",-2),
 "cost."
)</f>
        <v>building.train_freight_carriage@2</v>
      </c>
      <c r="C534" s="41" t="str">
        <f>_xlfn.XLOOKUP(tblCostChecklist[[#This Row],[TargetID]],tblTargets[TargetID],tblTargets[DisplayName],"")</f>
        <v>Train: Freight Carriage Lv 2</v>
      </c>
      <c r="D534" s="41" t="str">
        <f>_xlfn.XLOOKUP(tblCostChecklist[[#This Row],[TargetID]],tblTargets[TargetID],tblTargets[TargetType],"")</f>
        <v>BUILDING</v>
      </c>
      <c r="E534" s="41" t="s">
        <v>708</v>
      </c>
      <c r="F534" s="41">
        <v>1</v>
      </c>
      <c r="G534" s="41">
        <f>_xlfn.XLOOKUP(
 tblCostChecklist[[#This Row],[RequirementID]],
 tblCost[RequirementID],
 tblCost[QuantityRequired],
 ""
)</f>
        <v>2</v>
      </c>
      <c r="H534"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4" s="41" t="str">
        <f>_xlfn.XLOOKUP(tblCostChecklist[[#This Row],[TargetID]],tblTargetStatus[TargetID],tblTargetStatus[Status])</f>
        <v>BLOCKED</v>
      </c>
      <c r="J534" s="25" t="b">
        <v>0</v>
      </c>
    </row>
    <row r="535" spans="1:10">
      <c r="A535" s="41" t="s">
        <v>4183</v>
      </c>
      <c r="B535" s="41" t="str">
        <f>_xlfn.TEXTAFTER(
 _xlfn.TEXTBEFORE(tblCostChecklist[[#This Row],[RequirementID]],".",-2),
 "cost."
)</f>
        <v>building.train_freight_carriage@2</v>
      </c>
      <c r="C535" s="41" t="str">
        <f>_xlfn.XLOOKUP(tblCostChecklist[[#This Row],[TargetID]],tblTargets[TargetID],tblTargets[DisplayName],"")</f>
        <v>Train: Freight Carriage Lv 2</v>
      </c>
      <c r="D535" s="41" t="str">
        <f>_xlfn.XLOOKUP(tblCostChecklist[[#This Row],[TargetID]],tblTargets[TargetID],tblTargets[TargetType],"")</f>
        <v>BUILDING</v>
      </c>
      <c r="E535" s="41" t="s">
        <v>666</v>
      </c>
      <c r="F535" s="41">
        <v>1</v>
      </c>
      <c r="G535" s="41">
        <f>_xlfn.XLOOKUP(
 tblCostChecklist[[#This Row],[RequirementID]],
 tblCost[RequirementID],
 tblCost[QuantityRequired],
 ""
)</f>
        <v>500</v>
      </c>
      <c r="H535"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5" s="41" t="str">
        <f>_xlfn.XLOOKUP(tblCostChecklist[[#This Row],[TargetID]],tblTargetStatus[TargetID],tblTargetStatus[Status])</f>
        <v>BLOCKED</v>
      </c>
      <c r="J535" s="25" t="b">
        <v>0</v>
      </c>
    </row>
    <row r="536" spans="1:10">
      <c r="A536" s="41" t="s">
        <v>4184</v>
      </c>
      <c r="B536" s="41" t="str">
        <f>_xlfn.TEXTAFTER(
 _xlfn.TEXTBEFORE(tblCostChecklist[[#This Row],[RequirementID]],".",-2),
 "cost."
)</f>
        <v>building.train_freight_carriage@2</v>
      </c>
      <c r="C536" s="41" t="str">
        <f>_xlfn.XLOOKUP(tblCostChecklist[[#This Row],[TargetID]],tblTargets[TargetID],tblTargets[DisplayName],"")</f>
        <v>Train: Freight Carriage Lv 2</v>
      </c>
      <c r="D536" s="41" t="str">
        <f>_xlfn.XLOOKUP(tblCostChecklist[[#This Row],[TargetID]],tblTargets[TargetID],tblTargets[TargetType],"")</f>
        <v>BUILDING</v>
      </c>
      <c r="E536" s="41" t="s">
        <v>701</v>
      </c>
      <c r="F536" s="41">
        <v>1</v>
      </c>
      <c r="G536" s="41">
        <f>_xlfn.XLOOKUP(
 tblCostChecklist[[#This Row],[RequirementID]],
 tblCost[RequirementID],
 tblCost[QuantityRequired],
 ""
)</f>
        <v>500</v>
      </c>
      <c r="H536"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6" s="41" t="str">
        <f>_xlfn.XLOOKUP(tblCostChecklist[[#This Row],[TargetID]],tblTargetStatus[TargetID],tblTargetStatus[Status])</f>
        <v>BLOCKED</v>
      </c>
      <c r="J536" s="25" t="b">
        <v>0</v>
      </c>
    </row>
    <row r="537" spans="1:10">
      <c r="A537" s="41" t="s">
        <v>4185</v>
      </c>
      <c r="B537" s="41" t="str">
        <f>_xlfn.TEXTAFTER(
 _xlfn.TEXTBEFORE(tblCostChecklist[[#This Row],[RequirementID]],".",-2),
 "cost."
)</f>
        <v>building.train_freight_carriage@2</v>
      </c>
      <c r="C537" s="41" t="str">
        <f>_xlfn.XLOOKUP(tblCostChecklist[[#This Row],[TargetID]],tblTargets[TargetID],tblTargets[DisplayName],"")</f>
        <v>Train: Freight Carriage Lv 2</v>
      </c>
      <c r="D537" s="41" t="str">
        <f>_xlfn.XLOOKUP(tblCostChecklist[[#This Row],[TargetID]],tblTargets[TargetID],tblTargets[TargetType],"")</f>
        <v>BUILDING</v>
      </c>
      <c r="E537" s="41" t="s">
        <v>716</v>
      </c>
      <c r="F537" s="41">
        <v>1</v>
      </c>
      <c r="G537" s="41">
        <f>_xlfn.XLOOKUP(
 tblCostChecklist[[#This Row],[RequirementID]],
 tblCost[RequirementID],
 tblCost[QuantityRequired],
 ""
)</f>
        <v>250</v>
      </c>
      <c r="H537"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7" s="41" t="str">
        <f>_xlfn.XLOOKUP(tblCostChecklist[[#This Row],[TargetID]],tblTargetStatus[TargetID],tblTargetStatus[Status])</f>
        <v>BLOCKED</v>
      </c>
      <c r="J537" s="25" t="b">
        <v>0</v>
      </c>
    </row>
    <row r="538" spans="1:10">
      <c r="A538" s="41" t="s">
        <v>4186</v>
      </c>
      <c r="B538" s="41" t="str">
        <f>_xlfn.TEXTAFTER(
 _xlfn.TEXTBEFORE(tblCostChecklist[[#This Row],[RequirementID]],".",-2),
 "cost."
)</f>
        <v>building.train_freight_carriage@2</v>
      </c>
      <c r="C538" s="41" t="str">
        <f>_xlfn.XLOOKUP(tblCostChecklist[[#This Row],[TargetID]],tblTargets[TargetID],tblTargets[DisplayName],"")</f>
        <v>Train: Freight Carriage Lv 2</v>
      </c>
      <c r="D538" s="41" t="str">
        <f>_xlfn.XLOOKUP(tblCostChecklist[[#This Row],[TargetID]],tblTargets[TargetID],tblTargets[TargetType],"")</f>
        <v>BUILDING</v>
      </c>
      <c r="E538" s="41" t="s">
        <v>686</v>
      </c>
      <c r="F538" s="41">
        <v>1</v>
      </c>
      <c r="G538" s="41">
        <f>_xlfn.XLOOKUP(
 tblCostChecklist[[#This Row],[RequirementID]],
 tblCost[RequirementID],
 tblCost[QuantityRequired],
 ""
)</f>
        <v>12</v>
      </c>
      <c r="H538"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8" s="41" t="str">
        <f>_xlfn.XLOOKUP(tblCostChecklist[[#This Row],[TargetID]],tblTargetStatus[TargetID],tblTargetStatus[Status])</f>
        <v>BLOCKED</v>
      </c>
      <c r="J538" s="25" t="b">
        <v>0</v>
      </c>
    </row>
    <row r="539" spans="1:10">
      <c r="A539" s="41" t="s">
        <v>4187</v>
      </c>
      <c r="B539" s="41" t="str">
        <f>_xlfn.TEXTAFTER(
 _xlfn.TEXTBEFORE(tblCostChecklist[[#This Row],[RequirementID]],".",-2),
 "cost."
)</f>
        <v>building.train_passenger_carriage@1</v>
      </c>
      <c r="C539" s="41" t="str">
        <f>_xlfn.XLOOKUP(tblCostChecklist[[#This Row],[TargetID]],tblTargets[TargetID],tblTargets[DisplayName],"")</f>
        <v>Train: Passenger Carriage Lv 1</v>
      </c>
      <c r="D539" s="41" t="str">
        <f>_xlfn.XLOOKUP(tblCostChecklist[[#This Row],[TargetID]],tblTargets[TargetID],tblTargets[TargetType],"")</f>
        <v>BUILDING</v>
      </c>
      <c r="E539" s="41" t="s">
        <v>708</v>
      </c>
      <c r="F539" s="41">
        <v>1</v>
      </c>
      <c r="G539" s="41">
        <f>_xlfn.XLOOKUP(
 tblCostChecklist[[#This Row],[RequirementID]],
 tblCost[RequirementID],
 tblCost[QuantityRequired],
 ""
)</f>
        <v>2</v>
      </c>
      <c r="H539"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9" s="41" t="str">
        <f>_xlfn.XLOOKUP(tblCostChecklist[[#This Row],[TargetID]],tblTargetStatus[TargetID],tblTargetStatus[Status])</f>
        <v>BLOCKED</v>
      </c>
      <c r="J539" s="25" t="b">
        <v>0</v>
      </c>
    </row>
    <row r="540" spans="1:10">
      <c r="A540" s="41" t="s">
        <v>4188</v>
      </c>
      <c r="B540" s="41" t="str">
        <f>_xlfn.TEXTAFTER(
 _xlfn.TEXTBEFORE(tblCostChecklist[[#This Row],[RequirementID]],".",-2),
 "cost."
)</f>
        <v>building.train_passenger_carriage@1</v>
      </c>
      <c r="C540" s="41" t="str">
        <f>_xlfn.XLOOKUP(tblCostChecklist[[#This Row],[TargetID]],tblTargets[TargetID],tblTargets[DisplayName],"")</f>
        <v>Train: Passenger Carriage Lv 1</v>
      </c>
      <c r="D540" s="41" t="str">
        <f>_xlfn.XLOOKUP(tblCostChecklist[[#This Row],[TargetID]],tblTargets[TargetID],tblTargets[TargetType],"")</f>
        <v>BUILDING</v>
      </c>
      <c r="E540" s="41" t="s">
        <v>666</v>
      </c>
      <c r="F540" s="41">
        <v>1</v>
      </c>
      <c r="G540" s="41">
        <f>_xlfn.XLOOKUP(
 tblCostChecklist[[#This Row],[RequirementID]],
 tblCost[RequirementID],
 tblCost[QuantityRequired],
 ""
)</f>
        <v>500</v>
      </c>
      <c r="H540"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0" s="41" t="str">
        <f>_xlfn.XLOOKUP(tblCostChecklist[[#This Row],[TargetID]],tblTargetStatus[TargetID],tblTargetStatus[Status])</f>
        <v>BLOCKED</v>
      </c>
      <c r="J540" s="25" t="b">
        <v>0</v>
      </c>
    </row>
    <row r="541" spans="1:10">
      <c r="A541" s="41" t="s">
        <v>4189</v>
      </c>
      <c r="B541" s="41" t="str">
        <f>_xlfn.TEXTAFTER(
 _xlfn.TEXTBEFORE(tblCostChecklist[[#This Row],[RequirementID]],".",-2),
 "cost."
)</f>
        <v>building.train_passenger_carriage@1</v>
      </c>
      <c r="C541" s="41" t="str">
        <f>_xlfn.XLOOKUP(tblCostChecklist[[#This Row],[TargetID]],tblTargets[TargetID],tblTargets[DisplayName],"")</f>
        <v>Train: Passenger Carriage Lv 1</v>
      </c>
      <c r="D541" s="41" t="str">
        <f>_xlfn.XLOOKUP(tblCostChecklist[[#This Row],[TargetID]],tblTargets[TargetID],tblTargets[TargetType],"")</f>
        <v>BUILDING</v>
      </c>
      <c r="E541" s="41" t="s">
        <v>701</v>
      </c>
      <c r="F541" s="41">
        <v>1</v>
      </c>
      <c r="G541" s="41">
        <f>_xlfn.XLOOKUP(
 tblCostChecklist[[#This Row],[RequirementID]],
 tblCost[RequirementID],
 tblCost[QuantityRequired],
 ""
)</f>
        <v>600</v>
      </c>
      <c r="H541"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1" s="41" t="str">
        <f>_xlfn.XLOOKUP(tblCostChecklist[[#This Row],[TargetID]],tblTargetStatus[TargetID],tblTargetStatus[Status])</f>
        <v>BLOCKED</v>
      </c>
      <c r="J541" s="25" t="b">
        <v>0</v>
      </c>
    </row>
    <row r="542" spans="1:10">
      <c r="A542" s="41" t="s">
        <v>4190</v>
      </c>
      <c r="B542" s="41" t="str">
        <f>_xlfn.TEXTAFTER(
 _xlfn.TEXTBEFORE(tblCostChecklist[[#This Row],[RequirementID]],".",-2),
 "cost."
)</f>
        <v>building.train_passenger_carriage@1</v>
      </c>
      <c r="C542" s="41" t="str">
        <f>_xlfn.XLOOKUP(tblCostChecklist[[#This Row],[TargetID]],tblTargets[TargetID],tblTargets[DisplayName],"")</f>
        <v>Train: Passenger Carriage Lv 1</v>
      </c>
      <c r="D542" s="41" t="str">
        <f>_xlfn.XLOOKUP(tblCostChecklist[[#This Row],[TargetID]],tblTargets[TargetID],tblTargets[TargetType],"")</f>
        <v>BUILDING</v>
      </c>
      <c r="E542" s="41" t="s">
        <v>716</v>
      </c>
      <c r="F542" s="41">
        <v>1</v>
      </c>
      <c r="G542" s="41">
        <f>_xlfn.XLOOKUP(
 tblCostChecklist[[#This Row],[RequirementID]],
 tblCost[RequirementID],
 tblCost[QuantityRequired],
 ""
)</f>
        <v>200</v>
      </c>
      <c r="H542"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2" s="41" t="str">
        <f>_xlfn.XLOOKUP(tblCostChecklist[[#This Row],[TargetID]],tblTargetStatus[TargetID],tblTargetStatus[Status])</f>
        <v>BLOCKED</v>
      </c>
      <c r="J542" s="25" t="b">
        <v>0</v>
      </c>
    </row>
    <row r="543" spans="1:10">
      <c r="A543" s="41" t="s">
        <v>4191</v>
      </c>
      <c r="B543" s="41" t="str">
        <f>_xlfn.TEXTAFTER(
 _xlfn.TEXTBEFORE(tblCostChecklist[[#This Row],[RequirementID]],".",-2),
 "cost."
)</f>
        <v>building.train_passenger_carriage@1</v>
      </c>
      <c r="C543" s="41" t="str">
        <f>_xlfn.XLOOKUP(tblCostChecklist[[#This Row],[TargetID]],tblTargets[TargetID],tblTargets[DisplayName],"")</f>
        <v>Train: Passenger Carriage Lv 1</v>
      </c>
      <c r="D543" s="41" t="str">
        <f>_xlfn.XLOOKUP(tblCostChecklist[[#This Row],[TargetID]],tblTargets[TargetID],tblTargets[TargetType],"")</f>
        <v>BUILDING</v>
      </c>
      <c r="E543" s="41" t="s">
        <v>686</v>
      </c>
      <c r="F543" s="41">
        <v>1</v>
      </c>
      <c r="G543" s="41">
        <f>_xlfn.XLOOKUP(
 tblCostChecklist[[#This Row],[RequirementID]],
 tblCost[RequirementID],
 tblCost[QuantityRequired],
 ""
)</f>
        <v>12</v>
      </c>
      <c r="H543"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3" s="41" t="str">
        <f>_xlfn.XLOOKUP(tblCostChecklist[[#This Row],[TargetID]],tblTargetStatus[TargetID],tblTargetStatus[Status])</f>
        <v>BLOCKED</v>
      </c>
      <c r="J543" s="25" t="b">
        <v>0</v>
      </c>
    </row>
    <row r="544" spans="1:10">
      <c r="A544" s="41" t="s">
        <v>4192</v>
      </c>
      <c r="B544" s="41" t="str">
        <f>_xlfn.TEXTAFTER(
 _xlfn.TEXTBEFORE(tblCostChecklist[[#This Row],[RequirementID]],".",-2),
 "cost."
)</f>
        <v>building.train_passenger_carriage@1</v>
      </c>
      <c r="C544" s="41" t="str">
        <f>_xlfn.XLOOKUP(tblCostChecklist[[#This Row],[TargetID]],tblTargets[TargetID],tblTargets[DisplayName],"")</f>
        <v>Train: Passenger Carriage Lv 1</v>
      </c>
      <c r="D544" s="41" t="str">
        <f>_xlfn.XLOOKUP(tblCostChecklist[[#This Row],[TargetID]],tblTargets[TargetID],tblTargets[TargetType],"")</f>
        <v>BUILDING</v>
      </c>
      <c r="E544" s="41" t="s">
        <v>674</v>
      </c>
      <c r="F544" s="41">
        <v>1</v>
      </c>
      <c r="G544" s="41">
        <f>_xlfn.XLOOKUP(
 tblCostChecklist[[#This Row],[RequirementID]],
 tblCost[RequirementID],
 tblCost[QuantityRequired],
 ""
)</f>
        <v>12</v>
      </c>
      <c r="H544"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4" s="41" t="str">
        <f>_xlfn.XLOOKUP(tblCostChecklist[[#This Row],[TargetID]],tblTargetStatus[TargetID],tblTargetStatus[Status])</f>
        <v>BLOCKED</v>
      </c>
      <c r="J544" s="25" t="b">
        <v>0</v>
      </c>
    </row>
    <row r="545" spans="1:10">
      <c r="A545" s="41" t="s">
        <v>4193</v>
      </c>
      <c r="B545" s="41" t="str">
        <f>_xlfn.TEXTAFTER(
 _xlfn.TEXTBEFORE(tblCostChecklist[[#This Row],[RequirementID]],".",-2),
 "cost."
)</f>
        <v>building.train_passenger_carriage@1</v>
      </c>
      <c r="C545" s="41" t="str">
        <f>_xlfn.XLOOKUP(tblCostChecklist[[#This Row],[TargetID]],tblTargets[TargetID],tblTargets[DisplayName],"")</f>
        <v>Train: Passenger Carriage Lv 1</v>
      </c>
      <c r="D545" s="41" t="str">
        <f>_xlfn.XLOOKUP(tblCostChecklist[[#This Row],[TargetID]],tblTargets[TargetID],tblTargets[TargetType],"")</f>
        <v>BUILDING</v>
      </c>
      <c r="E545" s="41" t="s">
        <v>662</v>
      </c>
      <c r="F545" s="41">
        <v>1</v>
      </c>
      <c r="G545" s="41">
        <f>_xlfn.XLOOKUP(
 tblCostChecklist[[#This Row],[RequirementID]],
 tblCost[RequirementID],
 tblCost[QuantityRequired],
 ""
)</f>
        <v>15</v>
      </c>
      <c r="H545"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5" s="41" t="str">
        <f>_xlfn.XLOOKUP(tblCostChecklist[[#This Row],[TargetID]],tblTargetStatus[TargetID],tblTargetStatus[Status])</f>
        <v>BLOCKED</v>
      </c>
      <c r="J545" s="25" t="b">
        <v>0</v>
      </c>
    </row>
    <row r="546" spans="1:10">
      <c r="A546" s="41" t="s">
        <v>4194</v>
      </c>
      <c r="B546" s="41" t="str">
        <f>_xlfn.TEXTAFTER(
 _xlfn.TEXTBEFORE(tblCostChecklist[[#This Row],[RequirementID]],".",-2),
 "cost."
)</f>
        <v>building.train_passenger_carriage@2</v>
      </c>
      <c r="C546" s="41" t="str">
        <f>_xlfn.XLOOKUP(tblCostChecklist[[#This Row],[TargetID]],tblTargets[TargetID],tblTargets[DisplayName],"")</f>
        <v>Train: Passenger Carriage Lv 2</v>
      </c>
      <c r="D546" s="41" t="str">
        <f>_xlfn.XLOOKUP(tblCostChecklist[[#This Row],[TargetID]],tblTargets[TargetID],tblTargets[TargetType],"")</f>
        <v>BUILDING</v>
      </c>
      <c r="E546" s="41" t="s">
        <v>708</v>
      </c>
      <c r="F546" s="41">
        <v>1</v>
      </c>
      <c r="G546" s="41">
        <f>_xlfn.XLOOKUP(
 tblCostChecklist[[#This Row],[RequirementID]],
 tblCost[RequirementID],
 tblCost[QuantityRequired],
 ""
)</f>
        <v>2</v>
      </c>
      <c r="H546"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6" s="41" t="str">
        <f>_xlfn.XLOOKUP(tblCostChecklist[[#This Row],[TargetID]],tblTargetStatus[TargetID],tblTargetStatus[Status])</f>
        <v>BLOCKED</v>
      </c>
      <c r="J546" s="25" t="b">
        <v>0</v>
      </c>
    </row>
    <row r="547" spans="1:10">
      <c r="A547" s="41" t="s">
        <v>4195</v>
      </c>
      <c r="B547" s="41" t="str">
        <f>_xlfn.TEXTAFTER(
 _xlfn.TEXTBEFORE(tblCostChecklist[[#This Row],[RequirementID]],".",-2),
 "cost."
)</f>
        <v>building.train_passenger_carriage@2</v>
      </c>
      <c r="C547" s="41" t="str">
        <f>_xlfn.XLOOKUP(tblCostChecklist[[#This Row],[TargetID]],tblTargets[TargetID],tblTargets[DisplayName],"")</f>
        <v>Train: Passenger Carriage Lv 2</v>
      </c>
      <c r="D547" s="41" t="str">
        <f>_xlfn.XLOOKUP(tblCostChecklist[[#This Row],[TargetID]],tblTargets[TargetID],tblTargets[TargetType],"")</f>
        <v>BUILDING</v>
      </c>
      <c r="E547" s="41" t="s">
        <v>666</v>
      </c>
      <c r="F547" s="41">
        <v>1</v>
      </c>
      <c r="G547" s="41">
        <f>_xlfn.XLOOKUP(
 tblCostChecklist[[#This Row],[RequirementID]],
 tblCost[RequirementID],
 tblCost[QuantityRequired],
 ""
)</f>
        <v>500</v>
      </c>
      <c r="H547"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7" s="41" t="str">
        <f>_xlfn.XLOOKUP(tblCostChecklist[[#This Row],[TargetID]],tblTargetStatus[TargetID],tblTargetStatus[Status])</f>
        <v>BLOCKED</v>
      </c>
      <c r="J547" s="25" t="b">
        <v>0</v>
      </c>
    </row>
    <row r="548" spans="1:10">
      <c r="A548" s="41" t="s">
        <v>4196</v>
      </c>
      <c r="B548" s="41" t="str">
        <f>_xlfn.TEXTAFTER(
 _xlfn.TEXTBEFORE(tblCostChecklist[[#This Row],[RequirementID]],".",-2),
 "cost."
)</f>
        <v>building.train_passenger_carriage@2</v>
      </c>
      <c r="C548" s="41" t="str">
        <f>_xlfn.XLOOKUP(tblCostChecklist[[#This Row],[TargetID]],tblTargets[TargetID],tblTargets[DisplayName],"")</f>
        <v>Train: Passenger Carriage Lv 2</v>
      </c>
      <c r="D548" s="41" t="str">
        <f>_xlfn.XLOOKUP(tblCostChecklist[[#This Row],[TargetID]],tblTargets[TargetID],tblTargets[TargetType],"")</f>
        <v>BUILDING</v>
      </c>
      <c r="E548" s="41" t="s">
        <v>701</v>
      </c>
      <c r="F548" s="41">
        <v>1</v>
      </c>
      <c r="G548" s="41">
        <f>_xlfn.XLOOKUP(
 tblCostChecklist[[#This Row],[RequirementID]],
 tblCost[RequirementID],
 tblCost[QuantityRequired],
 ""
)</f>
        <v>600</v>
      </c>
      <c r="H548"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8" s="41" t="str">
        <f>_xlfn.XLOOKUP(tblCostChecklist[[#This Row],[TargetID]],tblTargetStatus[TargetID],tblTargetStatus[Status])</f>
        <v>BLOCKED</v>
      </c>
      <c r="J548" s="25" t="b">
        <v>0</v>
      </c>
    </row>
    <row r="549" spans="1:10">
      <c r="A549" s="41" t="s">
        <v>4197</v>
      </c>
      <c r="B549" s="41" t="str">
        <f>_xlfn.TEXTAFTER(
 _xlfn.TEXTBEFORE(tblCostChecklist[[#This Row],[RequirementID]],".",-2),
 "cost."
)</f>
        <v>building.train_passenger_carriage@2</v>
      </c>
      <c r="C549" s="41" t="str">
        <f>_xlfn.XLOOKUP(tblCostChecklist[[#This Row],[TargetID]],tblTargets[TargetID],tblTargets[DisplayName],"")</f>
        <v>Train: Passenger Carriage Lv 2</v>
      </c>
      <c r="D549" s="41" t="str">
        <f>_xlfn.XLOOKUP(tblCostChecklist[[#This Row],[TargetID]],tblTargets[TargetID],tblTargets[TargetType],"")</f>
        <v>BUILDING</v>
      </c>
      <c r="E549" s="41" t="s">
        <v>716</v>
      </c>
      <c r="F549" s="41">
        <v>1</v>
      </c>
      <c r="G549" s="41">
        <f>_xlfn.XLOOKUP(
 tblCostChecklist[[#This Row],[RequirementID]],
 tblCost[RequirementID],
 tblCost[QuantityRequired],
 ""
)</f>
        <v>200</v>
      </c>
      <c r="H549"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9" s="41" t="str">
        <f>_xlfn.XLOOKUP(tblCostChecklist[[#This Row],[TargetID]],tblTargetStatus[TargetID],tblTargetStatus[Status])</f>
        <v>BLOCKED</v>
      </c>
      <c r="J549" s="25" t="b">
        <v>0</v>
      </c>
    </row>
    <row r="550" spans="1:10">
      <c r="A550" s="41" t="s">
        <v>4198</v>
      </c>
      <c r="B550" s="41" t="str">
        <f>_xlfn.TEXTAFTER(
 _xlfn.TEXTBEFORE(tblCostChecklist[[#This Row],[RequirementID]],".",-2),
 "cost."
)</f>
        <v>building.train_passenger_carriage@2</v>
      </c>
      <c r="C550" s="41" t="str">
        <f>_xlfn.XLOOKUP(tblCostChecklist[[#This Row],[TargetID]],tblTargets[TargetID],tblTargets[DisplayName],"")</f>
        <v>Train: Passenger Carriage Lv 2</v>
      </c>
      <c r="D550" s="41" t="str">
        <f>_xlfn.XLOOKUP(tblCostChecklist[[#This Row],[TargetID]],tblTargets[TargetID],tblTargets[TargetType],"")</f>
        <v>BUILDING</v>
      </c>
      <c r="E550" s="41" t="s">
        <v>686</v>
      </c>
      <c r="F550" s="41">
        <v>1</v>
      </c>
      <c r="G550" s="41">
        <f>_xlfn.XLOOKUP(
 tblCostChecklist[[#This Row],[RequirementID]],
 tblCost[RequirementID],
 tblCost[QuantityRequired],
 ""
)</f>
        <v>12</v>
      </c>
      <c r="H550"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50" s="41" t="str">
        <f>_xlfn.XLOOKUP(tblCostChecklist[[#This Row],[TargetID]],tblTargetStatus[TargetID],tblTargetStatus[Status])</f>
        <v>BLOCKED</v>
      </c>
      <c r="J550" s="25" t="b">
        <v>0</v>
      </c>
    </row>
    <row r="551" spans="1:10">
      <c r="A551" s="41" t="s">
        <v>4199</v>
      </c>
      <c r="B551" s="41" t="str">
        <f>_xlfn.TEXTAFTER(
 _xlfn.TEXTBEFORE(tblCostChecklist[[#This Row],[RequirementID]],".",-2),
 "cost."
)</f>
        <v>building.train_passenger_carriage@2</v>
      </c>
      <c r="C551" s="41" t="str">
        <f>_xlfn.XLOOKUP(tblCostChecklist[[#This Row],[TargetID]],tblTargets[TargetID],tblTargets[DisplayName],"")</f>
        <v>Train: Passenger Carriage Lv 2</v>
      </c>
      <c r="D551" s="41" t="str">
        <f>_xlfn.XLOOKUP(tblCostChecklist[[#This Row],[TargetID]],tblTargets[TargetID],tblTargets[TargetType],"")</f>
        <v>BUILDING</v>
      </c>
      <c r="E551" s="41" t="s">
        <v>674</v>
      </c>
      <c r="F551" s="41">
        <v>1</v>
      </c>
      <c r="G551" s="41">
        <f>_xlfn.XLOOKUP(
 tblCostChecklist[[#This Row],[RequirementID]],
 tblCost[RequirementID],
 tblCost[QuantityRequired],
 ""
)</f>
        <v>12</v>
      </c>
      <c r="H551"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51" s="41" t="str">
        <f>_xlfn.XLOOKUP(tblCostChecklist[[#This Row],[TargetID]],tblTargetStatus[TargetID],tblTargetStatus[Status])</f>
        <v>BLOCKED</v>
      </c>
      <c r="J551" s="25" t="b">
        <v>0</v>
      </c>
    </row>
    <row r="552" spans="1:10">
      <c r="A552" s="41" t="s">
        <v>4200</v>
      </c>
      <c r="B552" s="41" t="str">
        <f>_xlfn.TEXTAFTER(
 _xlfn.TEXTBEFORE(tblCostChecklist[[#This Row],[RequirementID]],".",-2),
 "cost."
)</f>
        <v>building.warehouse@1</v>
      </c>
      <c r="C552" s="41" t="str">
        <f>_xlfn.XLOOKUP(tblCostChecklist[[#This Row],[TargetID]],tblTargets[TargetID],tblTargets[DisplayName],"")</f>
        <v>Warehouse Lv 1</v>
      </c>
      <c r="D552" s="41" t="str">
        <f>_xlfn.XLOOKUP(tblCostChecklist[[#This Row],[TargetID]],tblTargets[TargetID],tblTargets[TargetType],"")</f>
        <v>BUILDING</v>
      </c>
      <c r="E552" s="41" t="s">
        <v>708</v>
      </c>
      <c r="F552" s="41">
        <v>1</v>
      </c>
      <c r="G552" s="41">
        <f>_xlfn.XLOOKUP(
 tblCostChecklist[[#This Row],[RequirementID]],
 tblCost[RequirementID],
 tblCost[QuantityRequired],
 ""
)</f>
        <v>1</v>
      </c>
      <c r="H5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v>
      </c>
      <c r="I552" s="41" t="str">
        <f>_xlfn.XLOOKUP(tblCostChecklist[[#This Row],[TargetID]],tblTargetStatus[TargetID],tblTargetStatus[Status])</f>
        <v>BLOCKED</v>
      </c>
      <c r="J552" s="25" t="b">
        <v>0</v>
      </c>
    </row>
    <row r="553" spans="1:10">
      <c r="A553" s="41" t="s">
        <v>4201</v>
      </c>
      <c r="B553" s="41" t="str">
        <f>_xlfn.TEXTAFTER(
 _xlfn.TEXTBEFORE(tblCostChecklist[[#This Row],[RequirementID]],".",-2),
 "cost."
)</f>
        <v>building.warehouse@1</v>
      </c>
      <c r="C553" s="41" t="str">
        <f>_xlfn.XLOOKUP(tblCostChecklist[[#This Row],[TargetID]],tblTargets[TargetID],tblTargets[DisplayName],"")</f>
        <v>Warehouse Lv 1</v>
      </c>
      <c r="D553" s="41" t="str">
        <f>_xlfn.XLOOKUP(tblCostChecklist[[#This Row],[TargetID]],tblTargets[TargetID],tblTargets[TargetType],"")</f>
        <v>BUILDING</v>
      </c>
      <c r="E553" s="41" t="s">
        <v>666</v>
      </c>
      <c r="F553" s="41">
        <v>1</v>
      </c>
      <c r="G553" s="41">
        <f>_xlfn.XLOOKUP(
 tblCostChecklist[[#This Row],[RequirementID]],
 tblCost[RequirementID],
 tblCost[QuantityRequired],
 ""
)</f>
        <v>100</v>
      </c>
      <c r="H5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v>
      </c>
      <c r="I553" s="41" t="str">
        <f>_xlfn.XLOOKUP(tblCostChecklist[[#This Row],[TargetID]],tblTargetStatus[TargetID],tblTargetStatus[Status])</f>
        <v>BLOCKED</v>
      </c>
      <c r="J553" s="25" t="b">
        <v>0</v>
      </c>
    </row>
    <row r="554" spans="1:10">
      <c r="A554" s="41" t="s">
        <v>4202</v>
      </c>
      <c r="B554" s="41" t="str">
        <f>_xlfn.TEXTAFTER(
 _xlfn.TEXTBEFORE(tblCostChecklist[[#This Row],[RequirementID]],".",-2),
 "cost."
)</f>
        <v>building.warehouse@1</v>
      </c>
      <c r="C554" s="41" t="str">
        <f>_xlfn.XLOOKUP(tblCostChecklist[[#This Row],[TargetID]],tblTargets[TargetID],tblTargets[DisplayName],"")</f>
        <v>Warehouse Lv 1</v>
      </c>
      <c r="D554" s="41" t="str">
        <f>_xlfn.XLOOKUP(tblCostChecklist[[#This Row],[TargetID]],tblTargets[TargetID],tblTargets[TargetType],"")</f>
        <v>BUILDING</v>
      </c>
      <c r="E554" s="41" t="s">
        <v>723</v>
      </c>
      <c r="F554" s="41">
        <v>1</v>
      </c>
      <c r="G554" s="41">
        <f>_xlfn.XLOOKUP(
 tblCostChecklist[[#This Row],[RequirementID]],
 tblCost[RequirementID],
 tblCost[QuantityRequired],
 ""
)</f>
        <v>60</v>
      </c>
      <c r="H5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v>
      </c>
      <c r="I554" s="41" t="str">
        <f>_xlfn.XLOOKUP(tblCostChecklist[[#This Row],[TargetID]],tblTargetStatus[TargetID],tblTargetStatus[Status])</f>
        <v>BLOCKED</v>
      </c>
      <c r="J554" s="25" t="b">
        <v>0</v>
      </c>
    </row>
    <row r="555" spans="1:10">
      <c r="A555" s="41" t="s">
        <v>4203</v>
      </c>
      <c r="B555" s="41" t="str">
        <f>_xlfn.TEXTAFTER(
 _xlfn.TEXTBEFORE(tblCostChecklist[[#This Row],[RequirementID]],".",-2),
 "cost."
)</f>
        <v>building.warehouse@1</v>
      </c>
      <c r="C555" s="41" t="str">
        <f>_xlfn.XLOOKUP(tblCostChecklist[[#This Row],[TargetID]],tblTargets[TargetID],tblTargets[DisplayName],"")</f>
        <v>Warehouse Lv 1</v>
      </c>
      <c r="D555" s="41" t="str">
        <f>_xlfn.XLOOKUP(tblCostChecklist[[#This Row],[TargetID]],tblTargets[TargetID],tblTargets[TargetType],"")</f>
        <v>BUILDING</v>
      </c>
      <c r="E555" s="41" t="s">
        <v>717</v>
      </c>
      <c r="F555" s="41">
        <v>1</v>
      </c>
      <c r="G555" s="41">
        <f>_xlfn.XLOOKUP(
 tblCostChecklist[[#This Row],[RequirementID]],
 tblCost[RequirementID],
 tblCost[QuantityRequired],
 ""
)</f>
        <v>60</v>
      </c>
      <c r="H5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v>
      </c>
      <c r="I555" s="41" t="str">
        <f>_xlfn.XLOOKUP(tblCostChecklist[[#This Row],[TargetID]],tblTargetStatus[TargetID],tblTargetStatus[Status])</f>
        <v>BLOCKED</v>
      </c>
      <c r="J555" s="25" t="b">
        <v>0</v>
      </c>
    </row>
    <row r="556" spans="1:10">
      <c r="A556" s="41" t="s">
        <v>4204</v>
      </c>
      <c r="B556" s="41" t="str">
        <f>_xlfn.TEXTAFTER(
 _xlfn.TEXTBEFORE(tblCostChecklist[[#This Row],[RequirementID]],".",-2),
 "cost."
)</f>
        <v>building.warehouse@2</v>
      </c>
      <c r="C556" s="41" t="str">
        <f>_xlfn.XLOOKUP(tblCostChecklist[[#This Row],[TargetID]],tblTargets[TargetID],tblTargets[DisplayName],"")</f>
        <v>Warehouse Lv 2</v>
      </c>
      <c r="D556" s="41" t="str">
        <f>_xlfn.XLOOKUP(tblCostChecklist[[#This Row],[TargetID]],tblTargets[TargetID],tblTargets[TargetType],"")</f>
        <v>BUILDING</v>
      </c>
      <c r="E556" s="41" t="s">
        <v>708</v>
      </c>
      <c r="F556" s="41">
        <v>1</v>
      </c>
      <c r="G556" s="41">
        <f>_xlfn.XLOOKUP(
 tblCostChecklist[[#This Row],[RequirementID]],
 tblCost[RequirementID],
 tblCost[QuantityRequired],
 ""
)</f>
        <v>2</v>
      </c>
      <c r="H5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94</v>
      </c>
      <c r="I556" s="41" t="str">
        <f>_xlfn.XLOOKUP(tblCostChecklist[[#This Row],[TargetID]],tblTargetStatus[TargetID],tblTargetStatus[Status])</f>
        <v>BLOCKED</v>
      </c>
      <c r="J556" s="25" t="b">
        <v>0</v>
      </c>
    </row>
    <row r="557" spans="1:10">
      <c r="A557" s="41" t="s">
        <v>4205</v>
      </c>
      <c r="B557" s="41" t="str">
        <f>_xlfn.TEXTAFTER(
 _xlfn.TEXTBEFORE(tblCostChecklist[[#This Row],[RequirementID]],".",-2),
 "cost."
)</f>
        <v>building.warehouse@2</v>
      </c>
      <c r="C557" s="41" t="str">
        <f>_xlfn.XLOOKUP(tblCostChecklist[[#This Row],[TargetID]],tblTargets[TargetID],tblTargets[DisplayName],"")</f>
        <v>Warehouse Lv 2</v>
      </c>
      <c r="D557" s="41" t="str">
        <f>_xlfn.XLOOKUP(tblCostChecklist[[#This Row],[TargetID]],tblTargets[TargetID],tblTargets[TargetType],"")</f>
        <v>BUILDING</v>
      </c>
      <c r="E557" s="41" t="s">
        <v>666</v>
      </c>
      <c r="F557" s="41">
        <v>1</v>
      </c>
      <c r="G557" s="41">
        <f>_xlfn.XLOOKUP(
 tblCostChecklist[[#This Row],[RequirementID]],
 tblCost[RequirementID],
 tblCost[QuantityRequired],
 ""
)</f>
        <v>200</v>
      </c>
      <c r="H5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94</v>
      </c>
      <c r="I557" s="41" t="str">
        <f>_xlfn.XLOOKUP(tblCostChecklist[[#This Row],[TargetID]],tblTargetStatus[TargetID],tblTargetStatus[Status])</f>
        <v>BLOCKED</v>
      </c>
      <c r="J557" s="25" t="b">
        <v>0</v>
      </c>
    </row>
    <row r="558" spans="1:10">
      <c r="A558" s="41" t="s">
        <v>4206</v>
      </c>
      <c r="B558" s="41" t="str">
        <f>_xlfn.TEXTAFTER(
 _xlfn.TEXTBEFORE(tblCostChecklist[[#This Row],[RequirementID]],".",-2),
 "cost."
)</f>
        <v>building.warehouse@2</v>
      </c>
      <c r="C558" s="41" t="str">
        <f>_xlfn.XLOOKUP(tblCostChecklist[[#This Row],[TargetID]],tblTargets[TargetID],tblTargets[DisplayName],"")</f>
        <v>Warehouse Lv 2</v>
      </c>
      <c r="D558" s="41" t="str">
        <f>_xlfn.XLOOKUP(tblCostChecklist[[#This Row],[TargetID]],tblTargets[TargetID],tblTargets[TargetType],"")</f>
        <v>BUILDING</v>
      </c>
      <c r="E558" s="41" t="s">
        <v>723</v>
      </c>
      <c r="F558" s="41">
        <v>1</v>
      </c>
      <c r="G558" s="41">
        <f>_xlfn.XLOOKUP(
 tblCostChecklist[[#This Row],[RequirementID]],
 tblCost[RequirementID],
 tblCost[QuantityRequired],
 ""
)</f>
        <v>80</v>
      </c>
      <c r="H5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94</v>
      </c>
      <c r="I558" s="41" t="str">
        <f>_xlfn.XLOOKUP(tblCostChecklist[[#This Row],[TargetID]],tblTargetStatus[TargetID],tblTargetStatus[Status])</f>
        <v>BLOCKED</v>
      </c>
      <c r="J558" s="25" t="b">
        <v>0</v>
      </c>
    </row>
    <row r="559" spans="1:10">
      <c r="A559" s="41" t="s">
        <v>4207</v>
      </c>
      <c r="B559" s="41" t="str">
        <f>_xlfn.TEXTAFTER(
 _xlfn.TEXTBEFORE(tblCostChecklist[[#This Row],[RequirementID]],".",-2),
 "cost."
)</f>
        <v>building.warehouse@2</v>
      </c>
      <c r="C559" s="41" t="str">
        <f>_xlfn.XLOOKUP(tblCostChecklist[[#This Row],[TargetID]],tblTargets[TargetID],tblTargets[DisplayName],"")</f>
        <v>Warehouse Lv 2</v>
      </c>
      <c r="D559" s="41" t="str">
        <f>_xlfn.XLOOKUP(tblCostChecklist[[#This Row],[TargetID]],tblTargets[TargetID],tblTargets[TargetType],"")</f>
        <v>BUILDING</v>
      </c>
      <c r="E559" s="41" t="s">
        <v>717</v>
      </c>
      <c r="F559" s="41">
        <v>1</v>
      </c>
      <c r="G559" s="41">
        <f>_xlfn.XLOOKUP(
 tblCostChecklist[[#This Row],[RequirementID]],
 tblCost[RequirementID],
 tblCost[QuantityRequired],
 ""
)</f>
        <v>80</v>
      </c>
      <c r="H5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94</v>
      </c>
      <c r="I559" s="41" t="str">
        <f>_xlfn.XLOOKUP(tblCostChecklist[[#This Row],[TargetID]],tblTargetStatus[TargetID],tblTargetStatus[Status])</f>
        <v>BLOCKED</v>
      </c>
      <c r="J559" s="25" t="b">
        <v>0</v>
      </c>
    </row>
    <row r="560" spans="1:10">
      <c r="A560" s="41" t="s">
        <v>4208</v>
      </c>
      <c r="B560" s="41" t="str">
        <f>_xlfn.TEXTAFTER(
 _xlfn.TEXTBEFORE(tblCostChecklist[[#This Row],[RequirementID]],".",-2),
 "cost."
)</f>
        <v>building.warehouse@3</v>
      </c>
      <c r="C560" s="41" t="str">
        <f>_xlfn.XLOOKUP(tblCostChecklist[[#This Row],[TargetID]],tblTargets[TargetID],tblTargets[DisplayName],"")</f>
        <v>Warehouse Lv 3</v>
      </c>
      <c r="D560" s="41" t="str">
        <f>_xlfn.XLOOKUP(tblCostChecklist[[#This Row],[TargetID]],tblTargets[TargetID],tblTargets[TargetType],"")</f>
        <v>BUILDING</v>
      </c>
      <c r="E560" s="41" t="s">
        <v>708</v>
      </c>
      <c r="F560" s="41">
        <v>1</v>
      </c>
      <c r="G560" s="41">
        <f>_xlfn.XLOOKUP(
 tblCostChecklist[[#This Row],[RequirementID]],
 tblCost[RequirementID],
 tblCost[QuantityRequired],
 ""
)</f>
        <v>3</v>
      </c>
      <c r="H5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95</v>
      </c>
      <c r="I560" s="41" t="str">
        <f>_xlfn.XLOOKUP(tblCostChecklist[[#This Row],[TargetID]],tblTargetStatus[TargetID],tblTargetStatus[Status])</f>
        <v>BLOCKED</v>
      </c>
      <c r="J560" s="25" t="b">
        <v>0</v>
      </c>
    </row>
    <row r="561" spans="1:10">
      <c r="A561" s="41" t="s">
        <v>4209</v>
      </c>
      <c r="B561" s="41" t="str">
        <f>_xlfn.TEXTAFTER(
 _xlfn.TEXTBEFORE(tblCostChecklist[[#This Row],[RequirementID]],".",-2),
 "cost."
)</f>
        <v>building.warehouse@3</v>
      </c>
      <c r="C561" s="41" t="str">
        <f>_xlfn.XLOOKUP(tblCostChecklist[[#This Row],[TargetID]],tblTargets[TargetID],tblTargets[DisplayName],"")</f>
        <v>Warehouse Lv 3</v>
      </c>
      <c r="D561" s="41" t="str">
        <f>_xlfn.XLOOKUP(tblCostChecklist[[#This Row],[TargetID]],tblTargets[TargetID],tblTargets[TargetType],"")</f>
        <v>BUILDING</v>
      </c>
      <c r="E561" s="41" t="s">
        <v>666</v>
      </c>
      <c r="F561" s="41">
        <v>1</v>
      </c>
      <c r="G561" s="41">
        <f>_xlfn.XLOOKUP(
 tblCostChecklist[[#This Row],[RequirementID]],
 tblCost[RequirementID],
 tblCost[QuantityRequired],
 ""
)</f>
        <v>300</v>
      </c>
      <c r="H5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95</v>
      </c>
      <c r="I561" s="41" t="str">
        <f>_xlfn.XLOOKUP(tblCostChecklist[[#This Row],[TargetID]],tblTargetStatus[TargetID],tblTargetStatus[Status])</f>
        <v>BLOCKED</v>
      </c>
      <c r="J561" s="25" t="b">
        <v>0</v>
      </c>
    </row>
    <row r="562" spans="1:10">
      <c r="A562" s="41" t="s">
        <v>4210</v>
      </c>
      <c r="B562" s="41" t="str">
        <f>_xlfn.TEXTAFTER(
 _xlfn.TEXTBEFORE(tblCostChecklist[[#This Row],[RequirementID]],".",-2),
 "cost."
)</f>
        <v>building.warehouse@3</v>
      </c>
      <c r="C562" s="41" t="str">
        <f>_xlfn.XLOOKUP(tblCostChecklist[[#This Row],[TargetID]],tblTargets[TargetID],tblTargets[DisplayName],"")</f>
        <v>Warehouse Lv 3</v>
      </c>
      <c r="D562" s="41" t="str">
        <f>_xlfn.XLOOKUP(tblCostChecklist[[#This Row],[TargetID]],tblTargets[TargetID],tblTargets[TargetType],"")</f>
        <v>BUILDING</v>
      </c>
      <c r="E562" s="41" t="s">
        <v>658</v>
      </c>
      <c r="F562" s="41">
        <v>1</v>
      </c>
      <c r="G562" s="41">
        <f>_xlfn.XLOOKUP(
 tblCostChecklist[[#This Row],[RequirementID]],
 tblCost[RequirementID],
 tblCost[QuantityRequired],
 ""
)</f>
        <v>200</v>
      </c>
      <c r="H5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95</v>
      </c>
      <c r="I562" s="41" t="str">
        <f>_xlfn.XLOOKUP(tblCostChecklist[[#This Row],[TargetID]],tblTargetStatus[TargetID],tblTargetStatus[Status])</f>
        <v>BLOCKED</v>
      </c>
      <c r="J562" s="25" t="b">
        <v>0</v>
      </c>
    </row>
    <row r="563" spans="1:10">
      <c r="A563" s="41" t="s">
        <v>4211</v>
      </c>
      <c r="B563" s="41" t="str">
        <f>_xlfn.TEXTAFTER(
 _xlfn.TEXTBEFORE(tblCostChecklist[[#This Row],[RequirementID]],".",-2),
 "cost."
)</f>
        <v>building.warehouse@3</v>
      </c>
      <c r="C563" s="41" t="str">
        <f>_xlfn.XLOOKUP(tblCostChecklist[[#This Row],[TargetID]],tblTargets[TargetID],tblTargets[DisplayName],"")</f>
        <v>Warehouse Lv 3</v>
      </c>
      <c r="D563" s="41" t="str">
        <f>_xlfn.XLOOKUP(tblCostChecklist[[#This Row],[TargetID]],tblTargets[TargetID],tblTargets[TargetType],"")</f>
        <v>BUILDING</v>
      </c>
      <c r="E563" s="41" t="s">
        <v>717</v>
      </c>
      <c r="F563" s="41">
        <v>1</v>
      </c>
      <c r="G563" s="41">
        <f>_xlfn.XLOOKUP(
 tblCostChecklist[[#This Row],[RequirementID]],
 tblCost[RequirementID],
 tblCost[QuantityRequired],
 ""
)</f>
        <v>100</v>
      </c>
      <c r="H5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95</v>
      </c>
      <c r="I563" s="41" t="str">
        <f>_xlfn.XLOOKUP(tblCostChecklist[[#This Row],[TargetID]],tblTargetStatus[TargetID],tblTargetStatus[Status])</f>
        <v>BLOCKED</v>
      </c>
      <c r="J563" s="25" t="b">
        <v>0</v>
      </c>
    </row>
    <row r="564" spans="1:10">
      <c r="A564" s="41" t="s">
        <v>4212</v>
      </c>
      <c r="B564" s="41" t="str">
        <f>_xlfn.TEXTAFTER(
 _xlfn.TEXTBEFORE(tblCostChecklist[[#This Row],[RequirementID]],".",-2),
 "cost."
)</f>
        <v>building.warehouse@4</v>
      </c>
      <c r="C564" s="41" t="str">
        <f>_xlfn.XLOOKUP(tblCostChecklist[[#This Row],[TargetID]],tblTargets[TargetID],tblTargets[DisplayName],"")</f>
        <v>Warehouse Lv 4</v>
      </c>
      <c r="D564" s="41" t="str">
        <f>_xlfn.XLOOKUP(tblCostChecklist[[#This Row],[TargetID]],tblTargets[TargetID],tblTargets[TargetType],"")</f>
        <v>BUILDING</v>
      </c>
      <c r="E564" s="41" t="s">
        <v>708</v>
      </c>
      <c r="F564" s="41">
        <v>1</v>
      </c>
      <c r="G564" s="41">
        <f>_xlfn.XLOOKUP(
 tblCostChecklist[[#This Row],[RequirementID]],
 tblCost[RequirementID],
 tblCost[QuantityRequired],
 ""
)</f>
        <v>4</v>
      </c>
      <c r="H5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96</v>
      </c>
      <c r="I564" s="41" t="str">
        <f>_xlfn.XLOOKUP(tblCostChecklist[[#This Row],[TargetID]],tblTargetStatus[TargetID],tblTargetStatus[Status])</f>
        <v>BLOCKED</v>
      </c>
      <c r="J564" s="25" t="b">
        <v>0</v>
      </c>
    </row>
    <row r="565" spans="1:10">
      <c r="A565" s="41" t="s">
        <v>4213</v>
      </c>
      <c r="B565" s="41" t="str">
        <f>_xlfn.TEXTAFTER(
 _xlfn.TEXTBEFORE(tblCostChecklist[[#This Row],[RequirementID]],".",-2),
 "cost."
)</f>
        <v>building.warehouse@4</v>
      </c>
      <c r="C565" s="41" t="str">
        <f>_xlfn.XLOOKUP(tblCostChecklist[[#This Row],[TargetID]],tblTargets[TargetID],tblTargets[DisplayName],"")</f>
        <v>Warehouse Lv 4</v>
      </c>
      <c r="D565" s="41" t="str">
        <f>_xlfn.XLOOKUP(tblCostChecklist[[#This Row],[TargetID]],tblTargets[TargetID],tblTargets[TargetType],"")</f>
        <v>BUILDING</v>
      </c>
      <c r="E565" s="41" t="s">
        <v>666</v>
      </c>
      <c r="F565" s="41">
        <v>1</v>
      </c>
      <c r="G565" s="41">
        <f>_xlfn.XLOOKUP(
 tblCostChecklist[[#This Row],[RequirementID]],
 tblCost[RequirementID],
 tblCost[QuantityRequired],
 ""
)</f>
        <v>400</v>
      </c>
      <c r="H5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96</v>
      </c>
      <c r="I565" s="41" t="str">
        <f>_xlfn.XLOOKUP(tblCostChecklist[[#This Row],[TargetID]],tblTargetStatus[TargetID],tblTargetStatus[Status])</f>
        <v>BLOCKED</v>
      </c>
      <c r="J565" s="25" t="b">
        <v>0</v>
      </c>
    </row>
    <row r="566" spans="1:10">
      <c r="A566" s="41" t="s">
        <v>4214</v>
      </c>
      <c r="B566" s="41" t="str">
        <f>_xlfn.TEXTAFTER(
 _xlfn.TEXTBEFORE(tblCostChecklist[[#This Row],[RequirementID]],".",-2),
 "cost."
)</f>
        <v>building.warehouse@4</v>
      </c>
      <c r="C566" s="41" t="str">
        <f>_xlfn.XLOOKUP(tblCostChecklist[[#This Row],[TargetID]],tblTargets[TargetID],tblTargets[DisplayName],"")</f>
        <v>Warehouse Lv 4</v>
      </c>
      <c r="D566" s="41" t="str">
        <f>_xlfn.XLOOKUP(tblCostChecklist[[#This Row],[TargetID]],tblTargets[TargetID],tblTargets[TargetType],"")</f>
        <v>BUILDING</v>
      </c>
      <c r="E566" s="41" t="s">
        <v>658</v>
      </c>
      <c r="F566" s="41">
        <v>1</v>
      </c>
      <c r="G566" s="41">
        <f>_xlfn.XLOOKUP(
 tblCostChecklist[[#This Row],[RequirementID]],
 tblCost[RequirementID],
 tblCost[QuantityRequired],
 ""
)</f>
        <v>280</v>
      </c>
      <c r="H5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96</v>
      </c>
      <c r="I566" s="41" t="str">
        <f>_xlfn.XLOOKUP(tblCostChecklist[[#This Row],[TargetID]],tblTargetStatus[TargetID],tblTargetStatus[Status])</f>
        <v>BLOCKED</v>
      </c>
      <c r="J566" s="25" t="b">
        <v>0</v>
      </c>
    </row>
    <row r="567" spans="1:10">
      <c r="A567" s="41" t="s">
        <v>4215</v>
      </c>
      <c r="B567" s="41" t="str">
        <f>_xlfn.TEXTAFTER(
 _xlfn.TEXTBEFORE(tblCostChecklist[[#This Row],[RequirementID]],".",-2),
 "cost."
)</f>
        <v>building.warehouse@4</v>
      </c>
      <c r="C567" s="41" t="str">
        <f>_xlfn.XLOOKUP(tblCostChecklist[[#This Row],[TargetID]],tblTargets[TargetID],tblTargets[DisplayName],"")</f>
        <v>Warehouse Lv 4</v>
      </c>
      <c r="D567" s="41" t="str">
        <f>_xlfn.XLOOKUP(tblCostChecklist[[#This Row],[TargetID]],tblTargets[TargetID],tblTargets[TargetType],"")</f>
        <v>BUILDING</v>
      </c>
      <c r="E567" s="41" t="s">
        <v>717</v>
      </c>
      <c r="F567" s="41">
        <v>1</v>
      </c>
      <c r="G567" s="41">
        <f>_xlfn.XLOOKUP(
 tblCostChecklist[[#This Row],[RequirementID]],
 tblCost[RequirementID],
 tblCost[QuantityRequired],
 ""
)</f>
        <v>140</v>
      </c>
      <c r="H5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96</v>
      </c>
      <c r="I567" s="41" t="str">
        <f>_xlfn.XLOOKUP(tblCostChecklist[[#This Row],[TargetID]],tblTargetStatus[TargetID],tblTargetStatus[Status])</f>
        <v>BLOCKED</v>
      </c>
      <c r="J567" s="25" t="b">
        <v>0</v>
      </c>
    </row>
    <row r="568" spans="1:10">
      <c r="A568" s="41" t="s">
        <v>4216</v>
      </c>
      <c r="B568" s="41" t="str">
        <f>_xlfn.TEXTAFTER(
 _xlfn.TEXTBEFORE(tblCostChecklist[[#This Row],[RequirementID]],".",-2),
 "cost."
)</f>
        <v>building.warehouse@5</v>
      </c>
      <c r="C568" s="41" t="str">
        <f>_xlfn.XLOOKUP(tblCostChecklist[[#This Row],[TargetID]],tblTargets[TargetID],tblTargets[DisplayName],"")</f>
        <v>Warehouse Lv 5</v>
      </c>
      <c r="D568" s="41" t="str">
        <f>_xlfn.XLOOKUP(tblCostChecklist[[#This Row],[TargetID]],tblTargets[TargetID],tblTargets[TargetType],"")</f>
        <v>BUILDING</v>
      </c>
      <c r="E568" s="41" t="s">
        <v>708</v>
      </c>
      <c r="F568" s="41">
        <v>1</v>
      </c>
      <c r="G568" s="41">
        <f>_xlfn.XLOOKUP(
 tblCostChecklist[[#This Row],[RequirementID]],
 tblCost[RequirementID],
 tblCost[QuantityRequired],
 ""
)</f>
        <v>5</v>
      </c>
      <c r="H5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97</v>
      </c>
      <c r="I568" s="41" t="str">
        <f>_xlfn.XLOOKUP(tblCostChecklist[[#This Row],[TargetID]],tblTargetStatus[TargetID],tblTargetStatus[Status])</f>
        <v>BLOCKED</v>
      </c>
      <c r="J568" s="25" t="b">
        <v>0</v>
      </c>
    </row>
    <row r="569" spans="1:10">
      <c r="A569" s="41" t="s">
        <v>4217</v>
      </c>
      <c r="B569" s="41" t="str">
        <f>_xlfn.TEXTAFTER(
 _xlfn.TEXTBEFORE(tblCostChecklist[[#This Row],[RequirementID]],".",-2),
 "cost."
)</f>
        <v>building.warehouse@5</v>
      </c>
      <c r="C569" s="41" t="str">
        <f>_xlfn.XLOOKUP(tblCostChecklist[[#This Row],[TargetID]],tblTargets[TargetID],tblTargets[DisplayName],"")</f>
        <v>Warehouse Lv 5</v>
      </c>
      <c r="D569" s="41" t="str">
        <f>_xlfn.XLOOKUP(tblCostChecklist[[#This Row],[TargetID]],tblTargets[TargetID],tblTargets[TargetType],"")</f>
        <v>BUILDING</v>
      </c>
      <c r="E569" s="41" t="s">
        <v>666</v>
      </c>
      <c r="F569" s="41">
        <v>1</v>
      </c>
      <c r="G569" s="41">
        <f>_xlfn.XLOOKUP(
 tblCostChecklist[[#This Row],[RequirementID]],
 tblCost[RequirementID],
 tblCost[QuantityRequired],
 ""
)</f>
        <v>500</v>
      </c>
      <c r="H5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97</v>
      </c>
      <c r="I569" s="41" t="str">
        <f>_xlfn.XLOOKUP(tblCostChecklist[[#This Row],[TargetID]],tblTargetStatus[TargetID],tblTargetStatus[Status])</f>
        <v>BLOCKED</v>
      </c>
      <c r="J569" s="25" t="b">
        <v>0</v>
      </c>
    </row>
    <row r="570" spans="1:10">
      <c r="A570" s="41" t="s">
        <v>4218</v>
      </c>
      <c r="B570" s="41" t="str">
        <f>_xlfn.TEXTAFTER(
 _xlfn.TEXTBEFORE(tblCostChecklist[[#This Row],[RequirementID]],".",-2),
 "cost."
)</f>
        <v>building.warehouse@5</v>
      </c>
      <c r="C570" s="41" t="str">
        <f>_xlfn.XLOOKUP(tblCostChecklist[[#This Row],[TargetID]],tblTargets[TargetID],tblTargets[DisplayName],"")</f>
        <v>Warehouse Lv 5</v>
      </c>
      <c r="D570" s="41" t="str">
        <f>_xlfn.XLOOKUP(tblCostChecklist[[#This Row],[TargetID]],tblTargets[TargetID],tblTargets[TargetType],"")</f>
        <v>BUILDING</v>
      </c>
      <c r="E570" s="41" t="s">
        <v>658</v>
      </c>
      <c r="F570" s="41">
        <v>1</v>
      </c>
      <c r="G570" s="41">
        <f>_xlfn.XLOOKUP(
 tblCostChecklist[[#This Row],[RequirementID]],
 tblCost[RequirementID],
 tblCost[QuantityRequired],
 ""
)</f>
        <v>360</v>
      </c>
      <c r="H5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97</v>
      </c>
      <c r="I570" s="41" t="str">
        <f>_xlfn.XLOOKUP(tblCostChecklist[[#This Row],[TargetID]],tblTargetStatus[TargetID],tblTargetStatus[Status])</f>
        <v>BLOCKED</v>
      </c>
      <c r="J570" s="25" t="b">
        <v>0</v>
      </c>
    </row>
    <row r="571" spans="1:10">
      <c r="A571" s="41" t="s">
        <v>4219</v>
      </c>
      <c r="B571" s="41" t="str">
        <f>_xlfn.TEXTAFTER(
 _xlfn.TEXTBEFORE(tblCostChecklist[[#This Row],[RequirementID]],".",-2),
 "cost."
)</f>
        <v>building.warehouse@5</v>
      </c>
      <c r="C571" s="41" t="str">
        <f>_xlfn.XLOOKUP(tblCostChecklist[[#This Row],[TargetID]],tblTargets[TargetID],tblTargets[DisplayName],"")</f>
        <v>Warehouse Lv 5</v>
      </c>
      <c r="D571" s="41" t="str">
        <f>_xlfn.XLOOKUP(tblCostChecklist[[#This Row],[TargetID]],tblTargets[TargetID],tblTargets[TargetType],"")</f>
        <v>BUILDING</v>
      </c>
      <c r="E571" s="41" t="s">
        <v>717</v>
      </c>
      <c r="F571" s="41">
        <v>1</v>
      </c>
      <c r="G571" s="41">
        <f>_xlfn.XLOOKUP(
 tblCostChecklist[[#This Row],[RequirementID]],
 tblCost[RequirementID],
 tblCost[QuantityRequired],
 ""
)</f>
        <v>180</v>
      </c>
      <c r="H5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97</v>
      </c>
      <c r="I571" s="41" t="str">
        <f>_xlfn.XLOOKUP(tblCostChecklist[[#This Row],[TargetID]],tblTargetStatus[TargetID],tblTargetStatus[Status])</f>
        <v>BLOCKED</v>
      </c>
      <c r="J571" s="25" t="b">
        <v>0</v>
      </c>
    </row>
    <row r="572" spans="1:10">
      <c r="A572" s="41" t="s">
        <v>4220</v>
      </c>
      <c r="B572" s="41" t="str">
        <f>_xlfn.TEXTAFTER(
 _xlfn.TEXTBEFORE(tblCostChecklist[[#This Row],[RequirementID]],".",-2),
 "cost."
)</f>
        <v>building.warehouse@6</v>
      </c>
      <c r="C572" s="41" t="str">
        <f>_xlfn.XLOOKUP(tblCostChecklist[[#This Row],[TargetID]],tblTargets[TargetID],tblTargets[DisplayName],"")</f>
        <v>Warehouse Lv 6</v>
      </c>
      <c r="D572" s="41" t="str">
        <f>_xlfn.XLOOKUP(tblCostChecklist[[#This Row],[TargetID]],tblTargets[TargetID],tblTargets[TargetType],"")</f>
        <v>BUILDING</v>
      </c>
      <c r="E572" s="41" t="s">
        <v>708</v>
      </c>
      <c r="F572" s="41">
        <v>1</v>
      </c>
      <c r="G572" s="41">
        <f>_xlfn.XLOOKUP(
 tblCostChecklist[[#This Row],[RequirementID]],
 tblCost[RequirementID],
 tblCost[QuantityRequired],
 ""
)</f>
        <v>6</v>
      </c>
      <c r="H5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98</v>
      </c>
      <c r="I572" s="41" t="str">
        <f>_xlfn.XLOOKUP(tblCostChecklist[[#This Row],[TargetID]],tblTargetStatus[TargetID],tblTargetStatus[Status])</f>
        <v>BLOCKED</v>
      </c>
      <c r="J572" s="25" t="b">
        <v>0</v>
      </c>
    </row>
    <row r="573" spans="1:10">
      <c r="A573" s="41" t="s">
        <v>4221</v>
      </c>
      <c r="B573" s="41" t="str">
        <f>_xlfn.TEXTAFTER(
 _xlfn.TEXTBEFORE(tblCostChecklist[[#This Row],[RequirementID]],".",-2),
 "cost."
)</f>
        <v>building.warehouse@6</v>
      </c>
      <c r="C573" s="41" t="str">
        <f>_xlfn.XLOOKUP(tblCostChecklist[[#This Row],[TargetID]],tblTargets[TargetID],tblTargets[DisplayName],"")</f>
        <v>Warehouse Lv 6</v>
      </c>
      <c r="D573" s="41" t="str">
        <f>_xlfn.XLOOKUP(tblCostChecklist[[#This Row],[TargetID]],tblTargets[TargetID],tblTargets[TargetType],"")</f>
        <v>BUILDING</v>
      </c>
      <c r="E573" s="41" t="s">
        <v>666</v>
      </c>
      <c r="F573" s="41">
        <v>1</v>
      </c>
      <c r="G573" s="41">
        <f>_xlfn.XLOOKUP(
 tblCostChecklist[[#This Row],[RequirementID]],
 tblCost[RequirementID],
 tblCost[QuantityRequired],
 ""
)</f>
        <v>600</v>
      </c>
      <c r="H5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98</v>
      </c>
      <c r="I573" s="41" t="str">
        <f>_xlfn.XLOOKUP(tblCostChecklist[[#This Row],[TargetID]],tblTargetStatus[TargetID],tblTargetStatus[Status])</f>
        <v>BLOCKED</v>
      </c>
      <c r="J573" s="25" t="b">
        <v>0</v>
      </c>
    </row>
    <row r="574" spans="1:10">
      <c r="A574" s="41" t="s">
        <v>4222</v>
      </c>
      <c r="B574" s="41" t="str">
        <f>_xlfn.TEXTAFTER(
 _xlfn.TEXTBEFORE(tblCostChecklist[[#This Row],[RequirementID]],".",-2),
 "cost."
)</f>
        <v>building.warehouse@6</v>
      </c>
      <c r="C574" s="41" t="str">
        <f>_xlfn.XLOOKUP(tblCostChecklist[[#This Row],[TargetID]],tblTargets[TargetID],tblTargets[DisplayName],"")</f>
        <v>Warehouse Lv 6</v>
      </c>
      <c r="D574" s="41" t="str">
        <f>_xlfn.XLOOKUP(tblCostChecklist[[#This Row],[TargetID]],tblTargets[TargetID],tblTargets[TargetType],"")</f>
        <v>BUILDING</v>
      </c>
      <c r="E574" s="41" t="s">
        <v>658</v>
      </c>
      <c r="F574" s="41">
        <v>1</v>
      </c>
      <c r="G574" s="41">
        <f>_xlfn.XLOOKUP(
 tblCostChecklist[[#This Row],[RequirementID]],
 tblCost[RequirementID],
 tblCost[QuantityRequired],
 ""
)</f>
        <v>440</v>
      </c>
      <c r="H5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98</v>
      </c>
      <c r="I574" s="41" t="str">
        <f>_xlfn.XLOOKUP(tblCostChecklist[[#This Row],[TargetID]],tblTargetStatus[TargetID],tblTargetStatus[Status])</f>
        <v>BLOCKED</v>
      </c>
      <c r="J574" s="25" t="b">
        <v>0</v>
      </c>
    </row>
    <row r="575" spans="1:10">
      <c r="A575" s="41" t="s">
        <v>4223</v>
      </c>
      <c r="B575" s="41" t="str">
        <f>_xlfn.TEXTAFTER(
 _xlfn.TEXTBEFORE(tblCostChecklist[[#This Row],[RequirementID]],".",-2),
 "cost."
)</f>
        <v>building.warehouse@6</v>
      </c>
      <c r="C575" s="41" t="str">
        <f>_xlfn.XLOOKUP(tblCostChecklist[[#This Row],[TargetID]],tblTargets[TargetID],tblTargets[DisplayName],"")</f>
        <v>Warehouse Lv 6</v>
      </c>
      <c r="D575" s="41" t="str">
        <f>_xlfn.XLOOKUP(tblCostChecklist[[#This Row],[TargetID]],tblTargets[TargetID],tblTargets[TargetType],"")</f>
        <v>BUILDING</v>
      </c>
      <c r="E575" s="41" t="s">
        <v>717</v>
      </c>
      <c r="F575" s="41">
        <v>1</v>
      </c>
      <c r="G575" s="41">
        <f>_xlfn.XLOOKUP(
 tblCostChecklist[[#This Row],[RequirementID]],
 tblCost[RequirementID],
 tblCost[QuantityRequired],
 ""
)</f>
        <v>220</v>
      </c>
      <c r="H5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98</v>
      </c>
      <c r="I575" s="41" t="str">
        <f>_xlfn.XLOOKUP(tblCostChecklist[[#This Row],[TargetID]],tblTargetStatus[TargetID],tblTargetStatus[Status])</f>
        <v>BLOCKED</v>
      </c>
      <c r="J575" s="25" t="b">
        <v>0</v>
      </c>
    </row>
    <row r="576" spans="1:10">
      <c r="A576" s="41" t="s">
        <v>4224</v>
      </c>
      <c r="B576" s="41" t="str">
        <f>_xlfn.TEXTAFTER(
 _xlfn.TEXTBEFORE(tblCostChecklist[[#This Row],[RequirementID]],".",-2),
 "cost."
)</f>
        <v>building.warehouse@6</v>
      </c>
      <c r="C576" s="41" t="str">
        <f>_xlfn.XLOOKUP(tblCostChecklist[[#This Row],[TargetID]],tblTargets[TargetID],tblTargets[DisplayName],"")</f>
        <v>Warehouse Lv 6</v>
      </c>
      <c r="D576" s="41" t="str">
        <f>_xlfn.XLOOKUP(tblCostChecklist[[#This Row],[TargetID]],tblTargets[TargetID],tblTargets[TargetType],"")</f>
        <v>BUILDING</v>
      </c>
      <c r="E576" s="41" t="s">
        <v>716</v>
      </c>
      <c r="F576" s="41">
        <v>1</v>
      </c>
      <c r="G576" s="41">
        <f>_xlfn.XLOOKUP(
 tblCostChecklist[[#This Row],[RequirementID]],
 tblCost[RequirementID],
 tblCost[QuantityRequired],
 ""
)</f>
        <v>20</v>
      </c>
      <c r="H5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98</v>
      </c>
      <c r="I576" s="41" t="str">
        <f>_xlfn.XLOOKUP(tblCostChecklist[[#This Row],[TargetID]],tblTargetStatus[TargetID],tblTargetStatus[Status])</f>
        <v>BLOCKED</v>
      </c>
      <c r="J576" s="25" t="b">
        <v>0</v>
      </c>
    </row>
    <row r="577" spans="1:10">
      <c r="A577" s="41" t="s">
        <v>4225</v>
      </c>
      <c r="B577" s="41" t="str">
        <f>_xlfn.TEXTAFTER(
 _xlfn.TEXTBEFORE(tblCostChecklist[[#This Row],[RequirementID]],".",-2),
 "cost."
)</f>
        <v>building.warehouse@7</v>
      </c>
      <c r="C577" s="41" t="str">
        <f>_xlfn.XLOOKUP(tblCostChecklist[[#This Row],[TargetID]],tblTargets[TargetID],tblTargets[DisplayName],"")</f>
        <v>Warehouse Lv 7</v>
      </c>
      <c r="D577" s="41" t="str">
        <f>_xlfn.XLOOKUP(tblCostChecklist[[#This Row],[TargetID]],tblTargets[TargetID],tblTargets[TargetType],"")</f>
        <v>BUILDING</v>
      </c>
      <c r="E577" s="41" t="s">
        <v>708</v>
      </c>
      <c r="F577" s="41">
        <v>1</v>
      </c>
      <c r="G577" s="41">
        <f>_xlfn.XLOOKUP(
 tblCostChecklist[[#This Row],[RequirementID]],
 tblCost[RequirementID],
 tblCost[QuantityRequired],
 ""
)</f>
        <v>7</v>
      </c>
      <c r="H5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v>
      </c>
      <c r="I577" s="41" t="str">
        <f>_xlfn.XLOOKUP(tblCostChecklist[[#This Row],[TargetID]],tblTargetStatus[TargetID],tblTargetStatus[Status])</f>
        <v>BLOCKED</v>
      </c>
      <c r="J577" s="25" t="b">
        <v>0</v>
      </c>
    </row>
    <row r="578" spans="1:10">
      <c r="A578" s="41" t="s">
        <v>4226</v>
      </c>
      <c r="B578" s="41" t="str">
        <f>_xlfn.TEXTAFTER(
 _xlfn.TEXTBEFORE(tblCostChecklist[[#This Row],[RequirementID]],".",-2),
 "cost."
)</f>
        <v>building.warehouse@7</v>
      </c>
      <c r="C578" s="41" t="str">
        <f>_xlfn.XLOOKUP(tblCostChecklist[[#This Row],[TargetID]],tblTargets[TargetID],tblTargets[DisplayName],"")</f>
        <v>Warehouse Lv 7</v>
      </c>
      <c r="D578" s="41" t="str">
        <f>_xlfn.XLOOKUP(tblCostChecklist[[#This Row],[TargetID]],tblTargets[TargetID],tblTargets[TargetType],"")</f>
        <v>BUILDING</v>
      </c>
      <c r="E578" s="41" t="s">
        <v>666</v>
      </c>
      <c r="F578" s="41">
        <v>1</v>
      </c>
      <c r="G578" s="41">
        <f>_xlfn.XLOOKUP(
 tblCostChecklist[[#This Row],[RequirementID]],
 tblCost[RequirementID],
 tblCost[QuantityRequired],
 ""
)</f>
        <v>700</v>
      </c>
      <c r="H5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v>
      </c>
      <c r="I578" s="41" t="str">
        <f>_xlfn.XLOOKUP(tblCostChecklist[[#This Row],[TargetID]],tblTargetStatus[TargetID],tblTargetStatus[Status])</f>
        <v>BLOCKED</v>
      </c>
      <c r="J578" s="25" t="b">
        <v>0</v>
      </c>
    </row>
    <row r="579" spans="1:10">
      <c r="A579" s="41" t="s">
        <v>4227</v>
      </c>
      <c r="B579" s="41" t="str">
        <f>_xlfn.TEXTAFTER(
 _xlfn.TEXTBEFORE(tblCostChecklist[[#This Row],[RequirementID]],".",-2),
 "cost."
)</f>
        <v>building.warehouse@7</v>
      </c>
      <c r="C579" s="41" t="str">
        <f>_xlfn.XLOOKUP(tblCostChecklist[[#This Row],[TargetID]],tblTargets[TargetID],tblTargets[DisplayName],"")</f>
        <v>Warehouse Lv 7</v>
      </c>
      <c r="D579" s="41" t="str">
        <f>_xlfn.XLOOKUP(tblCostChecklist[[#This Row],[TargetID]],tblTargets[TargetID],tblTargets[TargetType],"")</f>
        <v>BUILDING</v>
      </c>
      <c r="E579" s="41" t="s">
        <v>658</v>
      </c>
      <c r="F579" s="41">
        <v>1</v>
      </c>
      <c r="G579" s="41">
        <f>_xlfn.XLOOKUP(
 tblCostChecklist[[#This Row],[RequirementID]],
 tblCost[RequirementID],
 tblCost[QuantityRequired],
 ""
)</f>
        <v>520</v>
      </c>
      <c r="H5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v>
      </c>
      <c r="I579" s="41" t="str">
        <f>_xlfn.XLOOKUP(tblCostChecklist[[#This Row],[TargetID]],tblTargetStatus[TargetID],tblTargetStatus[Status])</f>
        <v>BLOCKED</v>
      </c>
      <c r="J579" s="25" t="b">
        <v>0</v>
      </c>
    </row>
    <row r="580" spans="1:10">
      <c r="A580" s="41" t="s">
        <v>4228</v>
      </c>
      <c r="B580" s="41" t="str">
        <f>_xlfn.TEXTAFTER(
 _xlfn.TEXTBEFORE(tblCostChecklist[[#This Row],[RequirementID]],".",-2),
 "cost."
)</f>
        <v>building.warehouse@7</v>
      </c>
      <c r="C580" s="41" t="str">
        <f>_xlfn.XLOOKUP(tblCostChecklist[[#This Row],[TargetID]],tblTargets[TargetID],tblTargets[DisplayName],"")</f>
        <v>Warehouse Lv 7</v>
      </c>
      <c r="D580" s="41" t="str">
        <f>_xlfn.XLOOKUP(tblCostChecklist[[#This Row],[TargetID]],tblTargets[TargetID],tblTargets[TargetType],"")</f>
        <v>BUILDING</v>
      </c>
      <c r="E580" s="41" t="s">
        <v>717</v>
      </c>
      <c r="F580" s="41">
        <v>1</v>
      </c>
      <c r="G580" s="41">
        <f>_xlfn.XLOOKUP(
 tblCostChecklist[[#This Row],[RequirementID]],
 tblCost[RequirementID],
 tblCost[QuantityRequired],
 ""
)</f>
        <v>260</v>
      </c>
      <c r="H5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v>
      </c>
      <c r="I580" s="41" t="str">
        <f>_xlfn.XLOOKUP(tblCostChecklist[[#This Row],[TargetID]],tblTargetStatus[TargetID],tblTargetStatus[Status])</f>
        <v>BLOCKED</v>
      </c>
      <c r="J580" s="25" t="b">
        <v>0</v>
      </c>
    </row>
    <row r="581" spans="1:10">
      <c r="A581" s="41" t="s">
        <v>4229</v>
      </c>
      <c r="B581" s="41" t="str">
        <f>_xlfn.TEXTAFTER(
 _xlfn.TEXTBEFORE(tblCostChecklist[[#This Row],[RequirementID]],".",-2),
 "cost."
)</f>
        <v>building.warehouse@7</v>
      </c>
      <c r="C581" s="41" t="str">
        <f>_xlfn.XLOOKUP(tblCostChecklist[[#This Row],[TargetID]],tblTargets[TargetID],tblTargets[DisplayName],"")</f>
        <v>Warehouse Lv 7</v>
      </c>
      <c r="D581" s="41" t="str">
        <f>_xlfn.XLOOKUP(tblCostChecklist[[#This Row],[TargetID]],tblTargets[TargetID],tblTargets[TargetType],"")</f>
        <v>BUILDING</v>
      </c>
      <c r="E581" s="41" t="s">
        <v>716</v>
      </c>
      <c r="F581" s="41">
        <v>1</v>
      </c>
      <c r="G581" s="41">
        <f>_xlfn.XLOOKUP(
 tblCostChecklist[[#This Row],[RequirementID]],
 tblCost[RequirementID],
 tblCost[QuantityRequired],
 ""
)</f>
        <v>30</v>
      </c>
      <c r="H5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v>
      </c>
      <c r="I581" s="41" t="str">
        <f>_xlfn.XLOOKUP(tblCostChecklist[[#This Row],[TargetID]],tblTargetStatus[TargetID],tblTargetStatus[Status])</f>
        <v>BLOCKED</v>
      </c>
      <c r="J581" s="25" t="b">
        <v>0</v>
      </c>
    </row>
    <row r="582" spans="1:10">
      <c r="A582" s="41" t="s">
        <v>4230</v>
      </c>
      <c r="B582" s="41" t="str">
        <f>_xlfn.TEXTAFTER(
 _xlfn.TEXTBEFORE(tblCostChecklist[[#This Row],[RequirementID]],".",-2),
 "cost."
)</f>
        <v>building.windmill@1</v>
      </c>
      <c r="C582" s="41" t="str">
        <f>_xlfn.XLOOKUP(tblCostChecklist[[#This Row],[TargetID]],tblTargets[TargetID],tblTargets[DisplayName],"")</f>
        <v>Windmill Lv 1</v>
      </c>
      <c r="D582" s="41" t="str">
        <f>_xlfn.XLOOKUP(tblCostChecklist[[#This Row],[TargetID]],tblTargets[TargetID],tblTargets[TargetType],"")</f>
        <v>BUILDING</v>
      </c>
      <c r="E582" s="41" t="s">
        <v>708</v>
      </c>
      <c r="F582" s="41">
        <v>1</v>
      </c>
      <c r="G582" s="41">
        <f>_xlfn.XLOOKUP(
 tblCostChecklist[[#This Row],[RequirementID]],
 tblCost[RequirementID],
 tblCost[QuantityRequired],
 ""
)</f>
        <v>1</v>
      </c>
      <c r="H5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v>
      </c>
      <c r="I582" s="41" t="str">
        <f>_xlfn.XLOOKUP(tblCostChecklist[[#This Row],[TargetID]],tblTargetStatus[TargetID],tblTargetStatus[Status])</f>
        <v>BLOCKED</v>
      </c>
      <c r="J582" s="25" t="b">
        <v>0</v>
      </c>
    </row>
    <row r="583" spans="1:10">
      <c r="A583" s="41" t="s">
        <v>4231</v>
      </c>
      <c r="B583" s="41" t="str">
        <f>_xlfn.TEXTAFTER(
 _xlfn.TEXTBEFORE(tblCostChecklist[[#This Row],[RequirementID]],".",-2),
 "cost."
)</f>
        <v>building.windmill@1</v>
      </c>
      <c r="C583" s="41" t="str">
        <f>_xlfn.XLOOKUP(tblCostChecklist[[#This Row],[TargetID]],tblTargets[TargetID],tblTargets[DisplayName],"")</f>
        <v>Windmill Lv 1</v>
      </c>
      <c r="D583" s="41" t="str">
        <f>_xlfn.XLOOKUP(tblCostChecklist[[#This Row],[TargetID]],tblTargets[TargetID],tblTargets[TargetType],"")</f>
        <v>BUILDING</v>
      </c>
      <c r="E583" s="41" t="s">
        <v>666</v>
      </c>
      <c r="F583" s="41">
        <v>1</v>
      </c>
      <c r="G583" s="41">
        <f>_xlfn.XLOOKUP(
 tblCostChecklist[[#This Row],[RequirementID]],
 tblCost[RequirementID],
 tblCost[QuantityRequired],
 ""
)</f>
        <v>300</v>
      </c>
      <c r="H5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v>
      </c>
      <c r="I583" s="41" t="str">
        <f>_xlfn.XLOOKUP(tblCostChecklist[[#This Row],[TargetID]],tblTargetStatus[TargetID],tblTargetStatus[Status])</f>
        <v>BLOCKED</v>
      </c>
      <c r="J583" s="25" t="b">
        <v>0</v>
      </c>
    </row>
    <row r="584" spans="1:10">
      <c r="A584" s="41" t="s">
        <v>4232</v>
      </c>
      <c r="B584" s="41" t="str">
        <f>_xlfn.TEXTAFTER(
 _xlfn.TEXTBEFORE(tblCostChecklist[[#This Row],[RequirementID]],".",-2),
 "cost."
)</f>
        <v>building.windmill@1</v>
      </c>
      <c r="C584" s="41" t="str">
        <f>_xlfn.XLOOKUP(tblCostChecklist[[#This Row],[TargetID]],tblTargets[TargetID],tblTargets[DisplayName],"")</f>
        <v>Windmill Lv 1</v>
      </c>
      <c r="D584" s="41" t="str">
        <f>_xlfn.XLOOKUP(tblCostChecklist[[#This Row],[TargetID]],tblTargets[TargetID],tblTargets[TargetType],"")</f>
        <v>BUILDING</v>
      </c>
      <c r="E584" s="41" t="s">
        <v>723</v>
      </c>
      <c r="F584" s="41">
        <v>1</v>
      </c>
      <c r="G584" s="41">
        <f>_xlfn.XLOOKUP(
 tblCostChecklist[[#This Row],[RequirementID]],
 tblCost[RequirementID],
 tblCost[QuantityRequired],
 ""
)</f>
        <v>150</v>
      </c>
      <c r="H5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v>
      </c>
      <c r="I584" s="41" t="str">
        <f>_xlfn.XLOOKUP(tblCostChecklist[[#This Row],[TargetID]],tblTargetStatus[TargetID],tblTargetStatus[Status])</f>
        <v>BLOCKED</v>
      </c>
      <c r="J584" s="25" t="b">
        <v>0</v>
      </c>
    </row>
    <row r="585" spans="1:10">
      <c r="A585" s="41" t="s">
        <v>4233</v>
      </c>
      <c r="B585" s="41" t="str">
        <f>_xlfn.TEXTAFTER(
 _xlfn.TEXTBEFORE(tblCostChecklist[[#This Row],[RequirementID]],".",-2),
 "cost."
)</f>
        <v>building.windmill@1</v>
      </c>
      <c r="C585" s="41" t="str">
        <f>_xlfn.XLOOKUP(tblCostChecklist[[#This Row],[TargetID]],tblTargets[TargetID],tblTargets[DisplayName],"")</f>
        <v>Windmill Lv 1</v>
      </c>
      <c r="D585" s="41" t="str">
        <f>_xlfn.XLOOKUP(tblCostChecklist[[#This Row],[TargetID]],tblTargets[TargetID],tblTargets[TargetType],"")</f>
        <v>BUILDING</v>
      </c>
      <c r="E585" s="41" t="s">
        <v>717</v>
      </c>
      <c r="F585" s="41">
        <v>1</v>
      </c>
      <c r="G585" s="41">
        <f>_xlfn.XLOOKUP(
 tblCostChecklist[[#This Row],[RequirementID]],
 tblCost[RequirementID],
 tblCost[QuantityRequired],
 ""
)</f>
        <v>150</v>
      </c>
      <c r="H5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v>
      </c>
      <c r="I585" s="41" t="str">
        <f>_xlfn.XLOOKUP(tblCostChecklist[[#This Row],[TargetID]],tblTargetStatus[TargetID],tblTargetStatus[Status])</f>
        <v>BLOCKED</v>
      </c>
      <c r="J585" s="25" t="b">
        <v>0</v>
      </c>
    </row>
    <row r="586" spans="1:10">
      <c r="A586" s="41" t="s">
        <v>4234</v>
      </c>
      <c r="B586" s="41" t="str">
        <f>_xlfn.TEXTAFTER(
 _xlfn.TEXTBEFORE(tblCostChecklist[[#This Row],[RequirementID]],".",-2),
 "cost."
)</f>
        <v>building.windmill@1</v>
      </c>
      <c r="C586" s="41" t="str">
        <f>_xlfn.XLOOKUP(tblCostChecklist[[#This Row],[TargetID]],tblTargets[TargetID],tblTargets[DisplayName],"")</f>
        <v>Windmill Lv 1</v>
      </c>
      <c r="D586" s="41" t="str">
        <f>_xlfn.XLOOKUP(tblCostChecklist[[#This Row],[TargetID]],tblTargets[TargetID],tblTargets[TargetType],"")</f>
        <v>BUILDING</v>
      </c>
      <c r="E586" s="41" t="s">
        <v>716</v>
      </c>
      <c r="F586" s="41">
        <v>1</v>
      </c>
      <c r="G586" s="41">
        <f>_xlfn.XLOOKUP(
 tblCostChecklist[[#This Row],[RequirementID]],
 tblCost[RequirementID],
 tblCost[QuantityRequired],
 ""
)</f>
        <v>40</v>
      </c>
      <c r="H5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v>
      </c>
      <c r="I586" s="41" t="str">
        <f>_xlfn.XLOOKUP(tblCostChecklist[[#This Row],[TargetID]],tblTargetStatus[TargetID],tblTargetStatus[Status])</f>
        <v>BLOCKED</v>
      </c>
      <c r="J586" s="25" t="b">
        <v>0</v>
      </c>
    </row>
    <row r="587" spans="1:10">
      <c r="A587" s="41" t="s">
        <v>4235</v>
      </c>
      <c r="B587" s="41" t="str">
        <f>_xlfn.TEXTAFTER(
 _xlfn.TEXTBEFORE(tblCostChecklist[[#This Row],[RequirementID]],".",-2),
 "cost."
)</f>
        <v>building.windmill@2</v>
      </c>
      <c r="C587" s="41" t="str">
        <f>_xlfn.XLOOKUP(tblCostChecklist[[#This Row],[TargetID]],tblTargets[TargetID],tblTargets[DisplayName],"")</f>
        <v>Windmill Lv 2</v>
      </c>
      <c r="D587" s="41" t="str">
        <f>_xlfn.XLOOKUP(tblCostChecklist[[#This Row],[TargetID]],tblTargets[TargetID],tblTargets[TargetType],"")</f>
        <v>BUILDING</v>
      </c>
      <c r="E587" s="41" t="s">
        <v>708</v>
      </c>
      <c r="F587" s="41">
        <v>1</v>
      </c>
      <c r="G587" s="41">
        <f>_xlfn.XLOOKUP(
 tblCostChecklist[[#This Row],[RequirementID]],
 tblCost[RequirementID],
 tblCost[QuantityRequired],
 ""
)</f>
        <v>3</v>
      </c>
      <c r="H5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15</v>
      </c>
      <c r="I587" s="41" t="str">
        <f>_xlfn.XLOOKUP(tblCostChecklist[[#This Row],[TargetID]],tblTargetStatus[TargetID],tblTargetStatus[Status])</f>
        <v>BLOCKED</v>
      </c>
      <c r="J587" s="25" t="b">
        <v>0</v>
      </c>
    </row>
    <row r="588" spans="1:10">
      <c r="A588" s="41" t="s">
        <v>4236</v>
      </c>
      <c r="B588" s="41" t="str">
        <f>_xlfn.TEXTAFTER(
 _xlfn.TEXTBEFORE(tblCostChecklist[[#This Row],[RequirementID]],".",-2),
 "cost."
)</f>
        <v>building.windmill@2</v>
      </c>
      <c r="C588" s="41" t="str">
        <f>_xlfn.XLOOKUP(tblCostChecklist[[#This Row],[TargetID]],tblTargets[TargetID],tblTargets[DisplayName],"")</f>
        <v>Windmill Lv 2</v>
      </c>
      <c r="D588" s="41" t="str">
        <f>_xlfn.XLOOKUP(tblCostChecklist[[#This Row],[TargetID]],tblTargets[TargetID],tblTargets[TargetType],"")</f>
        <v>BUILDING</v>
      </c>
      <c r="E588" s="41" t="s">
        <v>666</v>
      </c>
      <c r="F588" s="41">
        <v>1</v>
      </c>
      <c r="G588" s="41">
        <f>_xlfn.XLOOKUP(
 tblCostChecklist[[#This Row],[RequirementID]],
 tblCost[RequirementID],
 tblCost[QuantityRequired],
 ""
)</f>
        <v>500</v>
      </c>
      <c r="H5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15</v>
      </c>
      <c r="I588" s="41" t="str">
        <f>_xlfn.XLOOKUP(tblCostChecklist[[#This Row],[TargetID]],tblTargetStatus[TargetID],tblTargetStatus[Status])</f>
        <v>BLOCKED</v>
      </c>
      <c r="J588" s="25" t="b">
        <v>0</v>
      </c>
    </row>
    <row r="589" spans="1:10">
      <c r="A589" s="41" t="s">
        <v>4237</v>
      </c>
      <c r="B589" s="41" t="str">
        <f>_xlfn.TEXTAFTER(
 _xlfn.TEXTBEFORE(tblCostChecklist[[#This Row],[RequirementID]],".",-2),
 "cost."
)</f>
        <v>building.windmill@2</v>
      </c>
      <c r="C589" s="41" t="str">
        <f>_xlfn.XLOOKUP(tblCostChecklist[[#This Row],[TargetID]],tblTargets[TargetID],tblTargets[DisplayName],"")</f>
        <v>Windmill Lv 2</v>
      </c>
      <c r="D589" s="41" t="str">
        <f>_xlfn.XLOOKUP(tblCostChecklist[[#This Row],[TargetID]],tblTargets[TargetID],tblTargets[TargetType],"")</f>
        <v>BUILDING</v>
      </c>
      <c r="E589" s="41" t="s">
        <v>658</v>
      </c>
      <c r="F589" s="41">
        <v>1</v>
      </c>
      <c r="G589" s="41">
        <f>_xlfn.XLOOKUP(
 tblCostChecklist[[#This Row],[RequirementID]],
 tblCost[RequirementID],
 tblCost[QuantityRequired],
 ""
)</f>
        <v>400</v>
      </c>
      <c r="H5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15</v>
      </c>
      <c r="I589" s="41" t="str">
        <f>_xlfn.XLOOKUP(tblCostChecklist[[#This Row],[TargetID]],tblTargetStatus[TargetID],tblTargetStatus[Status])</f>
        <v>BLOCKED</v>
      </c>
      <c r="J589" s="25" t="b">
        <v>0</v>
      </c>
    </row>
    <row r="590" spans="1:10">
      <c r="A590" s="41" t="s">
        <v>4238</v>
      </c>
      <c r="B590" s="41" t="str">
        <f>_xlfn.TEXTAFTER(
 _xlfn.TEXTBEFORE(tblCostChecklist[[#This Row],[RequirementID]],".",-2),
 "cost."
)</f>
        <v>building.windmill@2</v>
      </c>
      <c r="C590" s="41" t="str">
        <f>_xlfn.XLOOKUP(tblCostChecklist[[#This Row],[TargetID]],tblTargets[TargetID],tblTargets[DisplayName],"")</f>
        <v>Windmill Lv 2</v>
      </c>
      <c r="D590" s="41" t="str">
        <f>_xlfn.XLOOKUP(tblCostChecklist[[#This Row],[TargetID]],tblTargets[TargetID],tblTargets[TargetType],"")</f>
        <v>BUILDING</v>
      </c>
      <c r="E590" s="41" t="s">
        <v>717</v>
      </c>
      <c r="F590" s="41">
        <v>1</v>
      </c>
      <c r="G590" s="41">
        <f>_xlfn.XLOOKUP(
 tblCostChecklist[[#This Row],[RequirementID]],
 tblCost[RequirementID],
 tblCost[QuantityRequired],
 ""
)</f>
        <v>200</v>
      </c>
      <c r="H5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15</v>
      </c>
      <c r="I590" s="41" t="str">
        <f>_xlfn.XLOOKUP(tblCostChecklist[[#This Row],[TargetID]],tblTargetStatus[TargetID],tblTargetStatus[Status])</f>
        <v>BLOCKED</v>
      </c>
      <c r="J590" s="25" t="b">
        <v>0</v>
      </c>
    </row>
    <row r="591" spans="1:10">
      <c r="A591" s="41" t="s">
        <v>4239</v>
      </c>
      <c r="B591" s="41" t="str">
        <f>_xlfn.TEXTAFTER(
 _xlfn.TEXTBEFORE(tblCostChecklist[[#This Row],[RequirementID]],".",-2),
 "cost."
)</f>
        <v>building.windmill@2</v>
      </c>
      <c r="C591" s="41" t="str">
        <f>_xlfn.XLOOKUP(tblCostChecklist[[#This Row],[TargetID]],tblTargets[TargetID],tblTargets[DisplayName],"")</f>
        <v>Windmill Lv 2</v>
      </c>
      <c r="D591" s="41" t="str">
        <f>_xlfn.XLOOKUP(tblCostChecklist[[#This Row],[TargetID]],tblTargets[TargetID],tblTargets[TargetType],"")</f>
        <v>BUILDING</v>
      </c>
      <c r="E591" s="41" t="s">
        <v>690</v>
      </c>
      <c r="F591" s="41">
        <v>1</v>
      </c>
      <c r="G591" s="41">
        <f>_xlfn.XLOOKUP(
 tblCostChecklist[[#This Row],[RequirementID]],
 tblCost[RequirementID],
 tblCost[QuantityRequired],
 ""
)</f>
        <v>30</v>
      </c>
      <c r="H5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15</v>
      </c>
      <c r="I591" s="41" t="str">
        <f>_xlfn.XLOOKUP(tblCostChecklist[[#This Row],[TargetID]],tblTargetStatus[TargetID],tblTargetStatus[Status])</f>
        <v>BLOCKED</v>
      </c>
      <c r="J591" s="25" t="b">
        <v>0</v>
      </c>
    </row>
    <row r="592" spans="1:10">
      <c r="A592" s="41" t="s">
        <v>4240</v>
      </c>
      <c r="B592" s="41" t="str">
        <f>_xlfn.TEXTAFTER(
 _xlfn.TEXTBEFORE(tblCostChecklist[[#This Row],[RequirementID]],".",-2),
 "cost."
)</f>
        <v>building.workshop@1</v>
      </c>
      <c r="C592" s="41" t="str">
        <f>_xlfn.XLOOKUP(tblCostChecklist[[#This Row],[TargetID]],tblTargets[TargetID],tblTargets[DisplayName],"")</f>
        <v>Workshop Lv 1</v>
      </c>
      <c r="D592" s="41" t="str">
        <f>_xlfn.XLOOKUP(tblCostChecklist[[#This Row],[TargetID]],tblTargets[TargetID],tblTargets[TargetType],"")</f>
        <v>BUILDING</v>
      </c>
      <c r="E592" s="41" t="s">
        <v>708</v>
      </c>
      <c r="F592" s="41">
        <v>1</v>
      </c>
      <c r="G592" s="41">
        <f>_xlfn.XLOOKUP(
 tblCostChecklist[[#This Row],[RequirementID]],
 tblCost[RequirementID],
 tblCost[QuantityRequired],
 ""
)</f>
        <v>1</v>
      </c>
      <c r="H5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30</v>
      </c>
      <c r="I592" s="41" t="str">
        <f>_xlfn.XLOOKUP(tblCostChecklist[[#This Row],[TargetID]],tblTargetStatus[TargetID],tblTargetStatus[Status])</f>
        <v>BLOCKED</v>
      </c>
      <c r="J592" s="25" t="b">
        <v>0</v>
      </c>
    </row>
    <row r="593" spans="1:10">
      <c r="A593" s="41" t="s">
        <v>4241</v>
      </c>
      <c r="B593" s="41" t="str">
        <f>_xlfn.TEXTAFTER(
 _xlfn.TEXTBEFORE(tblCostChecklist[[#This Row],[RequirementID]],".",-2),
 "cost."
)</f>
        <v>building.workshop@1</v>
      </c>
      <c r="C593" s="41" t="str">
        <f>_xlfn.XLOOKUP(tblCostChecklist[[#This Row],[TargetID]],tblTargets[TargetID],tblTargets[DisplayName],"")</f>
        <v>Workshop Lv 1</v>
      </c>
      <c r="D593" s="41" t="str">
        <f>_xlfn.XLOOKUP(tblCostChecklist[[#This Row],[TargetID]],tblTargets[TargetID],tblTargets[TargetType],"")</f>
        <v>BUILDING</v>
      </c>
      <c r="E593" s="41" t="s">
        <v>666</v>
      </c>
      <c r="F593" s="41">
        <v>1</v>
      </c>
      <c r="G593" s="41">
        <f>_xlfn.XLOOKUP(
 tblCostChecklist[[#This Row],[RequirementID]],
 tblCost[RequirementID],
 tblCost[QuantityRequired],
 ""
)</f>
        <v>20</v>
      </c>
      <c r="H5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30</v>
      </c>
      <c r="I593" s="41" t="str">
        <f>_xlfn.XLOOKUP(tblCostChecklist[[#This Row],[TargetID]],tblTargetStatus[TargetID],tblTargetStatus[Status])</f>
        <v>BLOCKED</v>
      </c>
      <c r="J593" s="25" t="b">
        <v>0</v>
      </c>
    </row>
    <row r="594" spans="1:10">
      <c r="A594" s="41" t="s">
        <v>4242</v>
      </c>
      <c r="B594" s="41" t="str">
        <f>_xlfn.TEXTAFTER(
 _xlfn.TEXTBEFORE(tblCostChecklist[[#This Row],[RequirementID]],".",-2),
 "cost."
)</f>
        <v>building.workshop@1</v>
      </c>
      <c r="C594" s="41" t="str">
        <f>_xlfn.XLOOKUP(tblCostChecklist[[#This Row],[TargetID]],tblTargets[TargetID],tblTargets[DisplayName],"")</f>
        <v>Workshop Lv 1</v>
      </c>
      <c r="D594" s="41" t="str">
        <f>_xlfn.XLOOKUP(tblCostChecklist[[#This Row],[TargetID]],tblTargets[TargetID],tblTargets[TargetType],"")</f>
        <v>BUILDING</v>
      </c>
      <c r="E594" s="41" t="s">
        <v>723</v>
      </c>
      <c r="F594" s="41">
        <v>1</v>
      </c>
      <c r="G594" s="41">
        <f>_xlfn.XLOOKUP(
 tblCostChecklist[[#This Row],[RequirementID]],
 tblCost[RequirementID],
 tblCost[QuantityRequired],
 ""
)</f>
        <v>10</v>
      </c>
      <c r="H5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30</v>
      </c>
      <c r="I594" s="41" t="str">
        <f>_xlfn.XLOOKUP(tblCostChecklist[[#This Row],[TargetID]],tblTargetStatus[TargetID],tblTargetStatus[Status])</f>
        <v>BLOCKED</v>
      </c>
      <c r="J594" s="25" t="b">
        <v>0</v>
      </c>
    </row>
    <row r="595" spans="1:10">
      <c r="A595" s="41" t="s">
        <v>4243</v>
      </c>
      <c r="B595" s="41" t="str">
        <f>_xlfn.TEXTAFTER(
 _xlfn.TEXTBEFORE(tblCostChecklist[[#This Row],[RequirementID]],".",-2),
 "cost."
)</f>
        <v>building.workshop@1</v>
      </c>
      <c r="C595" s="41" t="str">
        <f>_xlfn.XLOOKUP(tblCostChecklist[[#This Row],[TargetID]],tblTargets[TargetID],tblTargets[DisplayName],"")</f>
        <v>Workshop Lv 1</v>
      </c>
      <c r="D595" s="41" t="str">
        <f>_xlfn.XLOOKUP(tblCostChecklist[[#This Row],[TargetID]],tblTargets[TargetID],tblTargets[TargetType],"")</f>
        <v>BUILDING</v>
      </c>
      <c r="E595" s="41" t="s">
        <v>717</v>
      </c>
      <c r="F595" s="41">
        <v>1</v>
      </c>
      <c r="G595" s="41">
        <f>_xlfn.XLOOKUP(
 tblCostChecklist[[#This Row],[RequirementID]],
 tblCost[RequirementID],
 tblCost[QuantityRequired],
 ""
)</f>
        <v>10</v>
      </c>
      <c r="H5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30</v>
      </c>
      <c r="I595" s="41" t="str">
        <f>_xlfn.XLOOKUP(tblCostChecklist[[#This Row],[TargetID]],tblTargetStatus[TargetID],tblTargetStatus[Status])</f>
        <v>BLOCKED</v>
      </c>
      <c r="J595" s="25" t="b">
        <v>0</v>
      </c>
    </row>
    <row r="596" spans="1:10">
      <c r="A596" s="41" t="s">
        <v>4244</v>
      </c>
      <c r="B596" s="41" t="str">
        <f>_xlfn.TEXTAFTER(
 _xlfn.TEXTBEFORE(tblCostChecklist[[#This Row],[RequirementID]],".",-2),
 "cost."
)</f>
        <v>building.workshop@2</v>
      </c>
      <c r="C596" s="41" t="str">
        <f>_xlfn.XLOOKUP(tblCostChecklist[[#This Row],[TargetID]],tblTargets[TargetID],tblTargets[DisplayName],"")</f>
        <v>Workshop Lv 2</v>
      </c>
      <c r="D596" s="41" t="str">
        <f>_xlfn.XLOOKUP(tblCostChecklist[[#This Row],[TargetID]],tblTargets[TargetID],tblTargets[TargetType],"")</f>
        <v>BUILDING</v>
      </c>
      <c r="E596" s="41" t="s">
        <v>708</v>
      </c>
      <c r="F596" s="41">
        <v>1</v>
      </c>
      <c r="G596" s="41">
        <f>_xlfn.XLOOKUP(
 tblCostChecklist[[#This Row],[RequirementID]],
 tblCost[RequirementID],
 tblCost[QuantityRequired],
 ""
)</f>
        <v>2</v>
      </c>
      <c r="H5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31</v>
      </c>
      <c r="I596" s="41" t="str">
        <f>_xlfn.XLOOKUP(tblCostChecklist[[#This Row],[TargetID]],tblTargetStatus[TargetID],tblTargetStatus[Status])</f>
        <v>BLOCKED</v>
      </c>
      <c r="J596" s="25" t="b">
        <v>0</v>
      </c>
    </row>
    <row r="597" spans="1:10">
      <c r="A597" s="41" t="s">
        <v>4245</v>
      </c>
      <c r="B597" s="41" t="str">
        <f>_xlfn.TEXTAFTER(
 _xlfn.TEXTBEFORE(tblCostChecklist[[#This Row],[RequirementID]],".",-2),
 "cost."
)</f>
        <v>building.workshop@2</v>
      </c>
      <c r="C597" s="41" t="str">
        <f>_xlfn.XLOOKUP(tblCostChecklist[[#This Row],[TargetID]],tblTargets[TargetID],tblTargets[DisplayName],"")</f>
        <v>Workshop Lv 2</v>
      </c>
      <c r="D597" s="41" t="str">
        <f>_xlfn.XLOOKUP(tblCostChecklist[[#This Row],[TargetID]],tblTargets[TargetID],tblTargets[TargetType],"")</f>
        <v>BUILDING</v>
      </c>
      <c r="E597" s="41" t="s">
        <v>666</v>
      </c>
      <c r="F597" s="41">
        <v>1</v>
      </c>
      <c r="G597" s="41">
        <f>_xlfn.XLOOKUP(
 tblCostChecklist[[#This Row],[RequirementID]],
 tblCost[RequirementID],
 tblCost[QuantityRequired],
 ""
)</f>
        <v>80</v>
      </c>
      <c r="H5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31</v>
      </c>
      <c r="I597" s="41" t="str">
        <f>_xlfn.XLOOKUP(tblCostChecklist[[#This Row],[TargetID]],tblTargetStatus[TargetID],tblTargetStatus[Status])</f>
        <v>BLOCKED</v>
      </c>
      <c r="J597" s="25" t="b">
        <v>0</v>
      </c>
    </row>
    <row r="598" spans="1:10">
      <c r="A598" s="41" t="s">
        <v>4246</v>
      </c>
      <c r="B598" s="41" t="str">
        <f>_xlfn.TEXTAFTER(
 _xlfn.TEXTBEFORE(tblCostChecklist[[#This Row],[RequirementID]],".",-2),
 "cost."
)</f>
        <v>building.workshop@2</v>
      </c>
      <c r="C598" s="41" t="str">
        <f>_xlfn.XLOOKUP(tblCostChecklist[[#This Row],[TargetID]],tblTargets[TargetID],tblTargets[DisplayName],"")</f>
        <v>Workshop Lv 2</v>
      </c>
      <c r="D598" s="41" t="str">
        <f>_xlfn.XLOOKUP(tblCostChecklist[[#This Row],[TargetID]],tblTargets[TargetID],tblTargets[TargetType],"")</f>
        <v>BUILDING</v>
      </c>
      <c r="E598" s="41" t="s">
        <v>723</v>
      </c>
      <c r="F598" s="41">
        <v>1</v>
      </c>
      <c r="G598" s="41">
        <f>_xlfn.XLOOKUP(
 tblCostChecklist[[#This Row],[RequirementID]],
 tblCost[RequirementID],
 tblCost[QuantityRequired],
 ""
)</f>
        <v>40</v>
      </c>
      <c r="H5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31</v>
      </c>
      <c r="I598" s="41" t="str">
        <f>_xlfn.XLOOKUP(tblCostChecklist[[#This Row],[TargetID]],tblTargetStatus[TargetID],tblTargetStatus[Status])</f>
        <v>BLOCKED</v>
      </c>
      <c r="J598" s="25" t="b">
        <v>0</v>
      </c>
    </row>
    <row r="599" spans="1:10">
      <c r="A599" s="41" t="s">
        <v>4247</v>
      </c>
      <c r="B599" s="41" t="str">
        <f>_xlfn.TEXTAFTER(
 _xlfn.TEXTBEFORE(tblCostChecklist[[#This Row],[RequirementID]],".",-2),
 "cost."
)</f>
        <v>building.workshop@2</v>
      </c>
      <c r="C599" s="41" t="str">
        <f>_xlfn.XLOOKUP(tblCostChecklist[[#This Row],[TargetID]],tblTargets[TargetID],tblTargets[DisplayName],"")</f>
        <v>Workshop Lv 2</v>
      </c>
      <c r="D599" s="41" t="str">
        <f>_xlfn.XLOOKUP(tblCostChecklist[[#This Row],[TargetID]],tblTargets[TargetID],tblTargets[TargetType],"")</f>
        <v>BUILDING</v>
      </c>
      <c r="E599" s="41" t="s">
        <v>717</v>
      </c>
      <c r="F599" s="41">
        <v>1</v>
      </c>
      <c r="G599" s="41">
        <f>_xlfn.XLOOKUP(
 tblCostChecklist[[#This Row],[RequirementID]],
 tblCost[RequirementID],
 tblCost[QuantityRequired],
 ""
)</f>
        <v>40</v>
      </c>
      <c r="H5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31</v>
      </c>
      <c r="I599" s="41" t="str">
        <f>_xlfn.XLOOKUP(tblCostChecklist[[#This Row],[TargetID]],tblTargetStatus[TargetID],tblTargetStatus[Status])</f>
        <v>BLOCKED</v>
      </c>
      <c r="J599" s="25" t="b">
        <v>0</v>
      </c>
    </row>
    <row r="600" spans="1:10">
      <c r="A600" s="41" t="s">
        <v>4248</v>
      </c>
      <c r="B600" s="41" t="str">
        <f>_xlfn.TEXTAFTER(
 _xlfn.TEXTBEFORE(tblCostChecklist[[#This Row],[RequirementID]],".",-2),
 "cost."
)</f>
        <v>building.workshop@3</v>
      </c>
      <c r="C600" s="41" t="str">
        <f>_xlfn.XLOOKUP(tblCostChecklist[[#This Row],[TargetID]],tblTargets[TargetID],tblTargets[DisplayName],"")</f>
        <v>Workshop Lv 3</v>
      </c>
      <c r="D600" s="41" t="str">
        <f>_xlfn.XLOOKUP(tblCostChecklist[[#This Row],[TargetID]],tblTargets[TargetID],tblTargets[TargetType],"")</f>
        <v>BUILDING</v>
      </c>
      <c r="E600" s="41" t="s">
        <v>708</v>
      </c>
      <c r="F600" s="41">
        <v>1</v>
      </c>
      <c r="G600" s="41">
        <f>_xlfn.XLOOKUP(
 tblCostChecklist[[#This Row],[RequirementID]],
 tblCost[RequirementID],
 tblCost[QuantityRequired],
 ""
)</f>
        <v>3</v>
      </c>
      <c r="H6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32</v>
      </c>
      <c r="I600" s="41" t="str">
        <f>_xlfn.XLOOKUP(tblCostChecklist[[#This Row],[TargetID]],tblTargetStatus[TargetID],tblTargetStatus[Status])</f>
        <v>BLOCKED</v>
      </c>
      <c r="J600" s="25" t="b">
        <v>0</v>
      </c>
    </row>
    <row r="601" spans="1:10">
      <c r="A601" s="41" t="s">
        <v>4249</v>
      </c>
      <c r="B601" s="41" t="str">
        <f>_xlfn.TEXTAFTER(
 _xlfn.TEXTBEFORE(tblCostChecklist[[#This Row],[RequirementID]],".",-2),
 "cost."
)</f>
        <v>building.workshop@3</v>
      </c>
      <c r="C601" s="41" t="str">
        <f>_xlfn.XLOOKUP(tblCostChecklist[[#This Row],[TargetID]],tblTargets[TargetID],tblTargets[DisplayName],"")</f>
        <v>Workshop Lv 3</v>
      </c>
      <c r="D601" s="41" t="str">
        <f>_xlfn.XLOOKUP(tblCostChecklist[[#This Row],[TargetID]],tblTargets[TargetID],tblTargets[TargetType],"")</f>
        <v>BUILDING</v>
      </c>
      <c r="E601" s="41" t="s">
        <v>666</v>
      </c>
      <c r="F601" s="41">
        <v>1</v>
      </c>
      <c r="G601" s="41">
        <f>_xlfn.XLOOKUP(
 tblCostChecklist[[#This Row],[RequirementID]],
 tblCost[RequirementID],
 tblCost[QuantityRequired],
 ""
)</f>
        <v>160</v>
      </c>
      <c r="H6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32</v>
      </c>
      <c r="I601" s="41" t="str">
        <f>_xlfn.XLOOKUP(tblCostChecklist[[#This Row],[TargetID]],tblTargetStatus[TargetID],tblTargetStatus[Status])</f>
        <v>BLOCKED</v>
      </c>
      <c r="J601" s="25" t="b">
        <v>0</v>
      </c>
    </row>
    <row r="602" spans="1:10">
      <c r="A602" s="41" t="s">
        <v>4250</v>
      </c>
      <c r="B602" s="41" t="str">
        <f>_xlfn.TEXTAFTER(
 _xlfn.TEXTBEFORE(tblCostChecklist[[#This Row],[RequirementID]],".",-2),
 "cost."
)</f>
        <v>building.workshop@3</v>
      </c>
      <c r="C602" s="41" t="str">
        <f>_xlfn.XLOOKUP(tblCostChecklist[[#This Row],[TargetID]],tblTargets[TargetID],tblTargets[DisplayName],"")</f>
        <v>Workshop Lv 3</v>
      </c>
      <c r="D602" s="41" t="str">
        <f>_xlfn.XLOOKUP(tblCostChecklist[[#This Row],[TargetID]],tblTargets[TargetID],tblTargets[TargetType],"")</f>
        <v>BUILDING</v>
      </c>
      <c r="E602" s="41" t="s">
        <v>658</v>
      </c>
      <c r="F602" s="41">
        <v>1</v>
      </c>
      <c r="G602" s="41">
        <f>_xlfn.XLOOKUP(
 tblCostChecklist[[#This Row],[RequirementID]],
 tblCost[RequirementID],
 tblCost[QuantityRequired],
 ""
)</f>
        <v>160</v>
      </c>
      <c r="H6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32</v>
      </c>
      <c r="I602" s="41" t="str">
        <f>_xlfn.XLOOKUP(tblCostChecklist[[#This Row],[TargetID]],tblTargetStatus[TargetID],tblTargetStatus[Status])</f>
        <v>BLOCKED</v>
      </c>
      <c r="J602" s="25" t="b">
        <v>0</v>
      </c>
    </row>
    <row r="603" spans="1:10">
      <c r="A603" s="41" t="s">
        <v>4251</v>
      </c>
      <c r="B603" s="41" t="str">
        <f>_xlfn.TEXTAFTER(
 _xlfn.TEXTBEFORE(tblCostChecklist[[#This Row],[RequirementID]],".",-2),
 "cost."
)</f>
        <v>building.workshop@3</v>
      </c>
      <c r="C603" s="41" t="str">
        <f>_xlfn.XLOOKUP(tblCostChecklist[[#This Row],[TargetID]],tblTargets[TargetID],tblTargets[DisplayName],"")</f>
        <v>Workshop Lv 3</v>
      </c>
      <c r="D603" s="41" t="str">
        <f>_xlfn.XLOOKUP(tblCostChecklist[[#This Row],[TargetID]],tblTargets[TargetID],tblTargets[TargetType],"")</f>
        <v>BUILDING</v>
      </c>
      <c r="E603" s="41" t="s">
        <v>717</v>
      </c>
      <c r="F603" s="41">
        <v>1</v>
      </c>
      <c r="G603" s="41">
        <f>_xlfn.XLOOKUP(
 tblCostChecklist[[#This Row],[RequirementID]],
 tblCost[RequirementID],
 tblCost[QuantityRequired],
 ""
)</f>
        <v>80</v>
      </c>
      <c r="H6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32</v>
      </c>
      <c r="I603" s="41" t="str">
        <f>_xlfn.XLOOKUP(tblCostChecklist[[#This Row],[TargetID]],tblTargetStatus[TargetID],tblTargetStatus[Status])</f>
        <v>BLOCKED</v>
      </c>
      <c r="J603" s="25" t="b">
        <v>0</v>
      </c>
    </row>
    <row r="604" spans="1:10">
      <c r="A604" s="41" t="s">
        <v>4252</v>
      </c>
      <c r="B604" s="41" t="str">
        <f>_xlfn.TEXTAFTER(
 _xlfn.TEXTBEFORE(tblCostChecklist[[#This Row],[RequirementID]],".",-2),
 "cost."
)</f>
        <v>building.workshop@4</v>
      </c>
      <c r="C604" s="41" t="str">
        <f>_xlfn.XLOOKUP(tblCostChecklist[[#This Row],[TargetID]],tblTargets[TargetID],tblTargets[DisplayName],"")</f>
        <v>Workshop Lv 4</v>
      </c>
      <c r="D604" s="41" t="str">
        <f>_xlfn.XLOOKUP(tblCostChecklist[[#This Row],[TargetID]],tblTargets[TargetID],tblTargets[TargetType],"")</f>
        <v>BUILDING</v>
      </c>
      <c r="E604" s="41" t="s">
        <v>708</v>
      </c>
      <c r="F604" s="41">
        <v>1</v>
      </c>
      <c r="G604" s="41">
        <f>_xlfn.XLOOKUP(
 tblCostChecklist[[#This Row],[RequirementID]],
 tblCost[RequirementID],
 tblCost[QuantityRequired],
 ""
)</f>
        <v>4</v>
      </c>
      <c r="H6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33</v>
      </c>
      <c r="I604" s="41" t="str">
        <f>_xlfn.XLOOKUP(tblCostChecklist[[#This Row],[TargetID]],tblTargetStatus[TargetID],tblTargetStatus[Status])</f>
        <v>BLOCKED</v>
      </c>
      <c r="J604" s="25" t="b">
        <v>0</v>
      </c>
    </row>
    <row r="605" spans="1:10">
      <c r="A605" s="41" t="s">
        <v>4253</v>
      </c>
      <c r="B605" s="41" t="str">
        <f>_xlfn.TEXTAFTER(
 _xlfn.TEXTBEFORE(tblCostChecklist[[#This Row],[RequirementID]],".",-2),
 "cost."
)</f>
        <v>building.workshop@4</v>
      </c>
      <c r="C605" s="41" t="str">
        <f>_xlfn.XLOOKUP(tblCostChecklist[[#This Row],[TargetID]],tblTargets[TargetID],tblTargets[DisplayName],"")</f>
        <v>Workshop Lv 4</v>
      </c>
      <c r="D605" s="41" t="str">
        <f>_xlfn.XLOOKUP(tblCostChecklist[[#This Row],[TargetID]],tblTargets[TargetID],tblTargets[TargetType],"")</f>
        <v>BUILDING</v>
      </c>
      <c r="E605" s="41" t="s">
        <v>666</v>
      </c>
      <c r="F605" s="41">
        <v>1</v>
      </c>
      <c r="G605" s="41">
        <f>_xlfn.XLOOKUP(
 tblCostChecklist[[#This Row],[RequirementID]],
 tblCost[RequirementID],
 tblCost[QuantityRequired],
 ""
)</f>
        <v>500</v>
      </c>
      <c r="H6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33</v>
      </c>
      <c r="I605" s="41" t="str">
        <f>_xlfn.XLOOKUP(tblCostChecklist[[#This Row],[TargetID]],tblTargetStatus[TargetID],tblTargetStatus[Status])</f>
        <v>BLOCKED</v>
      </c>
      <c r="J605" s="25" t="b">
        <v>0</v>
      </c>
    </row>
    <row r="606" spans="1:10">
      <c r="A606" s="41" t="s">
        <v>4254</v>
      </c>
      <c r="B606" s="41" t="str">
        <f>_xlfn.TEXTAFTER(
 _xlfn.TEXTBEFORE(tblCostChecklist[[#This Row],[RequirementID]],".",-2),
 "cost."
)</f>
        <v>building.workshop@4</v>
      </c>
      <c r="C606" s="41" t="str">
        <f>_xlfn.XLOOKUP(tblCostChecklist[[#This Row],[TargetID]],tblTargets[TargetID],tblTargets[DisplayName],"")</f>
        <v>Workshop Lv 4</v>
      </c>
      <c r="D606" s="41" t="str">
        <f>_xlfn.XLOOKUP(tblCostChecklist[[#This Row],[TargetID]],tblTargets[TargetID],tblTargets[TargetType],"")</f>
        <v>BUILDING</v>
      </c>
      <c r="E606" s="41" t="s">
        <v>658</v>
      </c>
      <c r="F606" s="41">
        <v>1</v>
      </c>
      <c r="G606" s="41">
        <f>_xlfn.XLOOKUP(
 tblCostChecklist[[#This Row],[RequirementID]],
 tblCost[RequirementID],
 tblCost[QuantityRequired],
 ""
)</f>
        <v>500</v>
      </c>
      <c r="H6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33</v>
      </c>
      <c r="I606" s="41" t="str">
        <f>_xlfn.XLOOKUP(tblCostChecklist[[#This Row],[TargetID]],tblTargetStatus[TargetID],tblTargetStatus[Status])</f>
        <v>BLOCKED</v>
      </c>
      <c r="J606" s="25" t="b">
        <v>0</v>
      </c>
    </row>
    <row r="607" spans="1:10">
      <c r="A607" s="41" t="s">
        <v>4255</v>
      </c>
      <c r="B607" s="41" t="str">
        <f>_xlfn.TEXTAFTER(
 _xlfn.TEXTBEFORE(tblCostChecklist[[#This Row],[RequirementID]],".",-2),
 "cost."
)</f>
        <v>building.workshop@4</v>
      </c>
      <c r="C607" s="41" t="str">
        <f>_xlfn.XLOOKUP(tblCostChecklist[[#This Row],[TargetID]],tblTargets[TargetID],tblTargets[DisplayName],"")</f>
        <v>Workshop Lv 4</v>
      </c>
      <c r="D607" s="41" t="str">
        <f>_xlfn.XLOOKUP(tblCostChecklist[[#This Row],[TargetID]],tblTargets[TargetID],tblTargets[TargetType],"")</f>
        <v>BUILDING</v>
      </c>
      <c r="E607" s="41" t="s">
        <v>717</v>
      </c>
      <c r="F607" s="41">
        <v>1</v>
      </c>
      <c r="G607" s="41">
        <f>_xlfn.XLOOKUP(
 tblCostChecklist[[#This Row],[RequirementID]],
 tblCost[RequirementID],
 tblCost[QuantityRequired],
 ""
)</f>
        <v>250</v>
      </c>
      <c r="H6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33</v>
      </c>
      <c r="I607" s="41" t="str">
        <f>_xlfn.XLOOKUP(tblCostChecklist[[#This Row],[TargetID]],tblTargetStatus[TargetID],tblTargetStatus[Status])</f>
        <v>BLOCKED</v>
      </c>
      <c r="J607" s="25" t="b">
        <v>0</v>
      </c>
    </row>
    <row r="608" spans="1:10">
      <c r="A608" s="41" t="s">
        <v>4256</v>
      </c>
      <c r="B608" s="41" t="str">
        <f>_xlfn.TEXTAFTER(
 _xlfn.TEXTBEFORE(tblCostChecklist[[#This Row],[RequirementID]],".",-2),
 "cost."
)</f>
        <v>building.workshop@4</v>
      </c>
      <c r="C608" s="41" t="str">
        <f>_xlfn.XLOOKUP(tblCostChecklist[[#This Row],[TargetID]],tblTargets[TargetID],tblTargets[DisplayName],"")</f>
        <v>Workshop Lv 4</v>
      </c>
      <c r="D608" s="41" t="str">
        <f>_xlfn.XLOOKUP(tblCostChecklist[[#This Row],[TargetID]],tblTargets[TargetID],tblTargets[TargetType],"")</f>
        <v>BUILDING</v>
      </c>
      <c r="E608" s="41" t="s">
        <v>716</v>
      </c>
      <c r="F608" s="41">
        <v>1</v>
      </c>
      <c r="G608" s="41">
        <f>_xlfn.XLOOKUP(
 tblCostChecklist[[#This Row],[RequirementID]],
 tblCost[RequirementID],
 tblCost[QuantityRequired],
 ""
)</f>
        <v>20</v>
      </c>
      <c r="H6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33</v>
      </c>
      <c r="I608" s="41" t="str">
        <f>_xlfn.XLOOKUP(tblCostChecklist[[#This Row],[TargetID]],tblTargetStatus[TargetID],tblTargetStatus[Status])</f>
        <v>BLOCKED</v>
      </c>
      <c r="J608" s="25" t="b">
        <v>0</v>
      </c>
    </row>
    <row r="609" spans="1:10">
      <c r="A609" s="41" t="s">
        <v>4257</v>
      </c>
      <c r="B609" s="41" t="str">
        <f>_xlfn.TEXTAFTER(
 _xlfn.TEXTBEFORE(tblCostChecklist[[#This Row],[RequirementID]],".",-2),
 "cost."
)</f>
        <v>building.workshop@5</v>
      </c>
      <c r="C609" s="41" t="str">
        <f>_xlfn.XLOOKUP(tblCostChecklist[[#This Row],[TargetID]],tblTargets[TargetID],tblTargets[DisplayName],"")</f>
        <v>Workshop Lv 5</v>
      </c>
      <c r="D609" s="41" t="str">
        <f>_xlfn.XLOOKUP(tblCostChecklist[[#This Row],[TargetID]],tblTargets[TargetID],tblTargets[TargetType],"")</f>
        <v>BUILDING</v>
      </c>
      <c r="E609" s="41" t="s">
        <v>708</v>
      </c>
      <c r="F609" s="41">
        <v>1</v>
      </c>
      <c r="G609" s="41">
        <f>_xlfn.XLOOKUP(
 tblCostChecklist[[#This Row],[RequirementID]],
 tblCost[RequirementID],
 tblCost[QuantityRequired],
 ""
)</f>
        <v>5</v>
      </c>
      <c r="H6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34</v>
      </c>
      <c r="I609" s="41" t="str">
        <f>_xlfn.XLOOKUP(tblCostChecklist[[#This Row],[TargetID]],tblTargetStatus[TargetID],tblTargetStatus[Status])</f>
        <v>BLOCKED</v>
      </c>
      <c r="J609" s="25" t="b">
        <v>0</v>
      </c>
    </row>
    <row r="610" spans="1:10">
      <c r="A610" s="41" t="s">
        <v>4258</v>
      </c>
      <c r="B610" s="41" t="str">
        <f>_xlfn.TEXTAFTER(
 _xlfn.TEXTBEFORE(tblCostChecklist[[#This Row],[RequirementID]],".",-2),
 "cost."
)</f>
        <v>building.workshop@5</v>
      </c>
      <c r="C610" s="41" t="str">
        <f>_xlfn.XLOOKUP(tblCostChecklist[[#This Row],[TargetID]],tblTargets[TargetID],tblTargets[DisplayName],"")</f>
        <v>Workshop Lv 5</v>
      </c>
      <c r="D610" s="41" t="str">
        <f>_xlfn.XLOOKUP(tblCostChecklist[[#This Row],[TargetID]],tblTargets[TargetID],tblTargets[TargetType],"")</f>
        <v>BUILDING</v>
      </c>
      <c r="E610" s="41" t="s">
        <v>666</v>
      </c>
      <c r="F610" s="41">
        <v>1</v>
      </c>
      <c r="G610" s="41">
        <f>_xlfn.XLOOKUP(
 tblCostChecklist[[#This Row],[RequirementID]],
 tblCost[RequirementID],
 tblCost[QuantityRequired],
 ""
)</f>
        <v>1000</v>
      </c>
      <c r="H6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34</v>
      </c>
      <c r="I610" s="41" t="str">
        <f>_xlfn.XLOOKUP(tblCostChecklist[[#This Row],[TargetID]],tblTargetStatus[TargetID],tblTargetStatus[Status])</f>
        <v>BLOCKED</v>
      </c>
      <c r="J610" s="25" t="b">
        <v>0</v>
      </c>
    </row>
    <row r="611" spans="1:10">
      <c r="A611" s="41" t="s">
        <v>4259</v>
      </c>
      <c r="B611" s="41" t="str">
        <f>_xlfn.TEXTAFTER(
 _xlfn.TEXTBEFORE(tblCostChecklist[[#This Row],[RequirementID]],".",-2),
 "cost."
)</f>
        <v>building.workshop@5</v>
      </c>
      <c r="C611" s="41" t="str">
        <f>_xlfn.XLOOKUP(tblCostChecklist[[#This Row],[TargetID]],tblTargets[TargetID],tblTargets[DisplayName],"")</f>
        <v>Workshop Lv 5</v>
      </c>
      <c r="D611" s="41" t="str">
        <f>_xlfn.XLOOKUP(tblCostChecklist[[#This Row],[TargetID]],tblTargets[TargetID],tblTargets[TargetType],"")</f>
        <v>BUILDING</v>
      </c>
      <c r="E611" s="41" t="s">
        <v>658</v>
      </c>
      <c r="F611" s="41">
        <v>1</v>
      </c>
      <c r="G611" s="41">
        <f>_xlfn.XLOOKUP(
 tblCostChecklist[[#This Row],[RequirementID]],
 tblCost[RequirementID],
 tblCost[QuantityRequired],
 ""
)</f>
        <v>600</v>
      </c>
      <c r="H6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34</v>
      </c>
      <c r="I611" s="41" t="str">
        <f>_xlfn.XLOOKUP(tblCostChecklist[[#This Row],[TargetID]],tblTargetStatus[TargetID],tblTargetStatus[Status])</f>
        <v>BLOCKED</v>
      </c>
      <c r="J611" s="25" t="b">
        <v>0</v>
      </c>
    </row>
    <row r="612" spans="1:10">
      <c r="A612" s="41" t="s">
        <v>4260</v>
      </c>
      <c r="B612" s="41" t="str">
        <f>_xlfn.TEXTAFTER(
 _xlfn.TEXTBEFORE(tblCostChecklist[[#This Row],[RequirementID]],".",-2),
 "cost."
)</f>
        <v>building.workshop@5</v>
      </c>
      <c r="C612" s="41" t="str">
        <f>_xlfn.XLOOKUP(tblCostChecklist[[#This Row],[TargetID]],tblTargets[TargetID],tblTargets[DisplayName],"")</f>
        <v>Workshop Lv 5</v>
      </c>
      <c r="D612" s="41" t="str">
        <f>_xlfn.XLOOKUP(tblCostChecklist[[#This Row],[TargetID]],tblTargets[TargetID],tblTargets[TargetType],"")</f>
        <v>BUILDING</v>
      </c>
      <c r="E612" s="41" t="s">
        <v>717</v>
      </c>
      <c r="F612" s="41">
        <v>1</v>
      </c>
      <c r="G612" s="41">
        <f>_xlfn.XLOOKUP(
 tblCostChecklist[[#This Row],[RequirementID]],
 tblCost[RequirementID],
 tblCost[QuantityRequired],
 ""
)</f>
        <v>300</v>
      </c>
      <c r="H6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34</v>
      </c>
      <c r="I612" s="41" t="str">
        <f>_xlfn.XLOOKUP(tblCostChecklist[[#This Row],[TargetID]],tblTargetStatus[TargetID],tblTargetStatus[Status])</f>
        <v>BLOCKED</v>
      </c>
      <c r="J612" s="25" t="b">
        <v>0</v>
      </c>
    </row>
    <row r="613" spans="1:10">
      <c r="A613" s="41" t="s">
        <v>4261</v>
      </c>
      <c r="B613" s="41" t="str">
        <f>_xlfn.TEXTAFTER(
 _xlfn.TEXTBEFORE(tblCostChecklist[[#This Row],[RequirementID]],".",-2),
 "cost."
)</f>
        <v>building.workshop@5</v>
      </c>
      <c r="C613" s="41" t="str">
        <f>_xlfn.XLOOKUP(tblCostChecklist[[#This Row],[TargetID]],tblTargets[TargetID],tblTargets[DisplayName],"")</f>
        <v>Workshop Lv 5</v>
      </c>
      <c r="D613" s="41" t="str">
        <f>_xlfn.XLOOKUP(tblCostChecklist[[#This Row],[TargetID]],tblTargets[TargetID],tblTargets[TargetType],"")</f>
        <v>BUILDING</v>
      </c>
      <c r="E613" s="41" t="s">
        <v>716</v>
      </c>
      <c r="F613" s="41">
        <v>1</v>
      </c>
      <c r="G613" s="41">
        <f>_xlfn.XLOOKUP(
 tblCostChecklist[[#This Row],[RequirementID]],
 tblCost[RequirementID],
 tblCost[QuantityRequired],
 ""
)</f>
        <v>40</v>
      </c>
      <c r="H6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34</v>
      </c>
      <c r="I613" s="41" t="str">
        <f>_xlfn.XLOOKUP(tblCostChecklist[[#This Row],[TargetID]],tblTargetStatus[TargetID],tblTargetStatus[Status])</f>
        <v>BLOCKED</v>
      </c>
      <c r="J613" s="25" t="b">
        <v>0</v>
      </c>
    </row>
    <row r="614" spans="1:10">
      <c r="A614" s="41" t="s">
        <v>4262</v>
      </c>
      <c r="B614" s="41" t="str">
        <f>_xlfn.TEXTAFTER(
 _xlfn.TEXTBEFORE(tblCostChecklist[[#This Row],[RequirementID]],".",-2),
 "cost."
)</f>
        <v>tech.airship.titanium_longerons</v>
      </c>
      <c r="C614" s="41" t="str">
        <f>_xlfn.XLOOKUP(tblCostChecklist[[#This Row],[TargetID]],tblTargets[TargetID],tblTargets[DisplayName],"")</f>
        <v>Airship - Titanium Longerons</v>
      </c>
      <c r="D614" s="41" t="str">
        <f>_xlfn.XLOOKUP(tblCostChecklist[[#This Row],[TargetID]],tblTargets[TargetID],tblTargets[TargetType],"")</f>
        <v>TECH</v>
      </c>
      <c r="E614" s="41" t="s">
        <v>655</v>
      </c>
      <c r="F614" s="41">
        <v>1</v>
      </c>
      <c r="G614" s="41">
        <f>_xlfn.XLOOKUP(
 tblCostChecklist[[#This Row],[RequirementID]],
 tblCost[RequirementID],
 tblCost[QuantityRequired],
 ""
)</f>
        <v>10</v>
      </c>
      <c r="H6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4" s="41" t="str">
        <f>_xlfn.XLOOKUP(tblCostChecklist[[#This Row],[TargetID]],tblTargetStatus[TargetID],tblTargetStatus[Status])</f>
        <v>BLOCKED</v>
      </c>
      <c r="J614" s="25" t="b">
        <v>0</v>
      </c>
    </row>
    <row r="615" spans="1:10">
      <c r="A615" s="41" t="s">
        <v>4263</v>
      </c>
      <c r="B615" s="41" t="str">
        <f>_xlfn.TEXTAFTER(
 _xlfn.TEXTBEFORE(tblCostChecklist[[#This Row],[RequirementID]],".",-2),
 "cost."
)</f>
        <v>tech.airship.titanium_longerons</v>
      </c>
      <c r="C615" s="41" t="str">
        <f>_xlfn.XLOOKUP(tblCostChecklist[[#This Row],[TargetID]],tblTargets[TargetID],tblTargets[DisplayName],"")</f>
        <v>Airship - Titanium Longerons</v>
      </c>
      <c r="D615" s="41" t="str">
        <f>_xlfn.XLOOKUP(tblCostChecklist[[#This Row],[TargetID]],tblTargets[TargetID],tblTargets[TargetType],"")</f>
        <v>TECH</v>
      </c>
      <c r="E615" s="41" t="s">
        <v>662</v>
      </c>
      <c r="F615" s="41">
        <v>1</v>
      </c>
      <c r="G615" s="41">
        <f>_xlfn.XLOOKUP(
 tblCostChecklist[[#This Row],[RequirementID]],
 tblCost[RequirementID],
 tblCost[QuantityRequired],
 ""
)</f>
        <v>30</v>
      </c>
      <c r="H6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5" s="41" t="str">
        <f>_xlfn.XLOOKUP(tblCostChecklist[[#This Row],[TargetID]],tblTargetStatus[TargetID],tblTargetStatus[Status])</f>
        <v>BLOCKED</v>
      </c>
      <c r="J615" s="25" t="b">
        <v>0</v>
      </c>
    </row>
    <row r="616" spans="1:10">
      <c r="A616" s="41" t="s">
        <v>4264</v>
      </c>
      <c r="B616" s="41" t="str">
        <f>_xlfn.TEXTAFTER(
 _xlfn.TEXTBEFORE(tblCostChecklist[[#This Row],[RequirementID]],".",-2),
 "cost."
)</f>
        <v>tech.airship.titanium_longerons</v>
      </c>
      <c r="C616" s="41" t="str">
        <f>_xlfn.XLOOKUP(tblCostChecklist[[#This Row],[TargetID]],tblTargets[TargetID],tblTargets[DisplayName],"")</f>
        <v>Airship - Titanium Longerons</v>
      </c>
      <c r="D616" s="41" t="str">
        <f>_xlfn.XLOOKUP(tblCostChecklist[[#This Row],[TargetID]],tblTargets[TargetID],tblTargets[TargetType],"")</f>
        <v>TECH</v>
      </c>
      <c r="E616" s="41" t="s">
        <v>666</v>
      </c>
      <c r="F616" s="41">
        <v>1</v>
      </c>
      <c r="G616" s="41">
        <f>_xlfn.XLOOKUP(
 tblCostChecklist[[#This Row],[RequirementID]],
 tblCost[RequirementID],
 tblCost[QuantityRequired],
 ""
)</f>
        <v>1000</v>
      </c>
      <c r="H6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6" s="41" t="str">
        <f>_xlfn.XLOOKUP(tblCostChecklist[[#This Row],[TargetID]],tblTargetStatus[TargetID],tblTargetStatus[Status])</f>
        <v>BLOCKED</v>
      </c>
      <c r="J616" s="25" t="b">
        <v>0</v>
      </c>
    </row>
    <row r="617" spans="1:10">
      <c r="A617" s="41" t="s">
        <v>4265</v>
      </c>
      <c r="B617" s="41" t="str">
        <f>_xlfn.TEXTAFTER(
 _xlfn.TEXTBEFORE(tblCostChecklist[[#This Row],[RequirementID]],".",-2),
 "cost."
)</f>
        <v>tech.airship.titanium_longerons</v>
      </c>
      <c r="C617" s="41" t="str">
        <f>_xlfn.XLOOKUP(tblCostChecklist[[#This Row],[TargetID]],tblTargets[TargetID],tblTargets[DisplayName],"")</f>
        <v>Airship - Titanium Longerons</v>
      </c>
      <c r="D617" s="41" t="str">
        <f>_xlfn.XLOOKUP(tblCostChecklist[[#This Row],[TargetID]],tblTargets[TargetID],tblTargets[TargetType],"")</f>
        <v>TECH</v>
      </c>
      <c r="E617" s="41" t="s">
        <v>705</v>
      </c>
      <c r="F617" s="41">
        <v>1</v>
      </c>
      <c r="G617" s="41">
        <f>_xlfn.XLOOKUP(
 tblCostChecklist[[#This Row],[RequirementID]],
 tblCost[RequirementID],
 tblCost[QuantityRequired],
 ""
)</f>
        <v>20</v>
      </c>
      <c r="H6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7" s="41" t="str">
        <f>_xlfn.XLOOKUP(tblCostChecklist[[#This Row],[TargetID]],tblTargetStatus[TargetID],tblTargetStatus[Status])</f>
        <v>BLOCKED</v>
      </c>
      <c r="J617" s="25" t="b">
        <v>0</v>
      </c>
    </row>
    <row r="618" spans="1:10">
      <c r="A618" s="41" t="s">
        <v>4266</v>
      </c>
      <c r="B618" s="41" t="str">
        <f>_xlfn.TEXTAFTER(
 _xlfn.TEXTBEFORE(tblCostChecklist[[#This Row],[RequirementID]],".",-2),
 "cost."
)</f>
        <v>tech.airship.titanium_longerons</v>
      </c>
      <c r="C618" s="41" t="str">
        <f>_xlfn.XLOOKUP(tblCostChecklist[[#This Row],[TargetID]],tblTargets[TargetID],tblTargets[DisplayName],"")</f>
        <v>Airship - Titanium Longerons</v>
      </c>
      <c r="D618" s="41" t="str">
        <f>_xlfn.XLOOKUP(tblCostChecklist[[#This Row],[TargetID]],tblTargets[TargetID],tblTargets[TargetType],"")</f>
        <v>TECH</v>
      </c>
      <c r="E618" s="41" t="s">
        <v>708</v>
      </c>
      <c r="F618" s="41">
        <v>1</v>
      </c>
      <c r="G618" s="41">
        <f>_xlfn.XLOOKUP(
 tblCostChecklist[[#This Row],[RequirementID]],
 tblCost[RequirementID],
 tblCost[QuantityRequired],
 ""
)</f>
        <v>5</v>
      </c>
      <c r="H6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8" s="41" t="str">
        <f>_xlfn.XLOOKUP(tblCostChecklist[[#This Row],[TargetID]],tblTargetStatus[TargetID],tblTargetStatus[Status])</f>
        <v>BLOCKED</v>
      </c>
      <c r="J618" s="25" t="b">
        <v>0</v>
      </c>
    </row>
    <row r="619" spans="1:10">
      <c r="A619" s="41" t="s">
        <v>4267</v>
      </c>
      <c r="B619" s="41" t="str">
        <f>_xlfn.TEXTAFTER(
 _xlfn.TEXTBEFORE(tblCostChecklist[[#This Row],[RequirementID]],".",-2),
 "cost."
)</f>
        <v>tech.airship.titanium_longerons</v>
      </c>
      <c r="C619" s="41" t="str">
        <f>_xlfn.XLOOKUP(tblCostChecklist[[#This Row],[TargetID]],tblTargets[TargetID],tblTargets[DisplayName],"")</f>
        <v>Airship - Titanium Longerons</v>
      </c>
      <c r="D619" s="41" t="str">
        <f>_xlfn.XLOOKUP(tblCostChecklist[[#This Row],[TargetID]],tblTargets[TargetID],tblTargets[TargetType],"")</f>
        <v>TECH</v>
      </c>
      <c r="E619" s="41" t="s">
        <v>955</v>
      </c>
      <c r="F619" s="41">
        <v>1</v>
      </c>
      <c r="G619" s="41">
        <f>_xlfn.XLOOKUP(
 tblCostChecklist[[#This Row],[RequirementID]],
 tblCost[RequirementID],
 tblCost[QuantityRequired],
 ""
)</f>
        <v>30</v>
      </c>
      <c r="H6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9" s="41" t="str">
        <f>_xlfn.XLOOKUP(tblCostChecklist[[#This Row],[TargetID]],tblTargetStatus[TargetID],tblTargetStatus[Status])</f>
        <v>BLOCKED</v>
      </c>
      <c r="J619" s="25" t="b">
        <v>0</v>
      </c>
    </row>
    <row r="620" spans="1:10">
      <c r="A620" s="41" t="s">
        <v>4268</v>
      </c>
      <c r="B620" s="41" t="str">
        <f>_xlfn.TEXTAFTER(
 _xlfn.TEXTBEFORE(tblCostChecklist[[#This Row],[RequirementID]],".",-2),
 "cost."
)</f>
        <v>tech.alchemists_hut.greek_grenade</v>
      </c>
      <c r="C620" s="41" t="str">
        <f>_xlfn.XLOOKUP(tblCostChecklist[[#This Row],[TargetID]],tblTargets[TargetID],tblTargets[DisplayName],"")</f>
        <v>Alchemists Hut - Greek Grenade</v>
      </c>
      <c r="D620" s="41" t="str">
        <f>_xlfn.XLOOKUP(tblCostChecklist[[#This Row],[TargetID]],tblTargets[TargetID],tblTargets[TargetType],"")</f>
        <v>TECH</v>
      </c>
      <c r="E620" s="41" t="s">
        <v>664</v>
      </c>
      <c r="F620" s="41">
        <v>1</v>
      </c>
      <c r="G620" s="41">
        <f>_xlfn.XLOOKUP(
 tblCostChecklist[[#This Row],[RequirementID]],
 tblCost[RequirementID],
 tblCost[QuantityRequired],
 ""
)</f>
        <v>40</v>
      </c>
      <c r="H6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0" s="41" t="str">
        <f>_xlfn.XLOOKUP(tblCostChecklist[[#This Row],[TargetID]],tblTargetStatus[TargetID],tblTargetStatus[Status])</f>
        <v>BLOCKED</v>
      </c>
      <c r="J620" s="25" t="b">
        <v>0</v>
      </c>
    </row>
    <row r="621" spans="1:10">
      <c r="A621" s="41" t="s">
        <v>4269</v>
      </c>
      <c r="B621" s="41" t="str">
        <f>_xlfn.TEXTAFTER(
 _xlfn.TEXTBEFORE(tblCostChecklist[[#This Row],[RequirementID]],".",-2),
 "cost."
)</f>
        <v>tech.alchemists_hut.greek_grenade</v>
      </c>
      <c r="C621" s="41" t="str">
        <f>_xlfn.XLOOKUP(tblCostChecklist[[#This Row],[TargetID]],tblTargets[TargetID],tblTargets[DisplayName],"")</f>
        <v>Alchemists Hut - Greek Grenade</v>
      </c>
      <c r="D621" s="41" t="str">
        <f>_xlfn.XLOOKUP(tblCostChecklist[[#This Row],[TargetID]],tblTargets[TargetID],tblTargets[TargetType],"")</f>
        <v>TECH</v>
      </c>
      <c r="E621" s="41" t="s">
        <v>666</v>
      </c>
      <c r="F621" s="41">
        <v>1</v>
      </c>
      <c r="G621" s="41">
        <f>_xlfn.XLOOKUP(
 tblCostChecklist[[#This Row],[RequirementID]],
 tblCost[RequirementID],
 tblCost[QuantityRequired],
 ""
)</f>
        <v>300</v>
      </c>
      <c r="H6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1" s="41" t="str">
        <f>_xlfn.XLOOKUP(tblCostChecklist[[#This Row],[TargetID]],tblTargetStatus[TargetID],tblTargetStatus[Status])</f>
        <v>BLOCKED</v>
      </c>
      <c r="J621" s="25" t="b">
        <v>0</v>
      </c>
    </row>
    <row r="622" spans="1:10">
      <c r="A622" s="41" t="s">
        <v>4270</v>
      </c>
      <c r="B622" s="41" t="str">
        <f>_xlfn.TEXTAFTER(
 _xlfn.TEXTBEFORE(tblCostChecklist[[#This Row],[RequirementID]],".",-2),
 "cost."
)</f>
        <v>tech.alchemists_hut.greek_grenade</v>
      </c>
      <c r="C622" s="41" t="str">
        <f>_xlfn.XLOOKUP(tblCostChecklist[[#This Row],[TargetID]],tblTargets[TargetID],tblTargets[DisplayName],"")</f>
        <v>Alchemists Hut - Greek Grenade</v>
      </c>
      <c r="D622" s="41" t="str">
        <f>_xlfn.XLOOKUP(tblCostChecklist[[#This Row],[TargetID]],tblTargets[TargetID],tblTargets[TargetType],"")</f>
        <v>TECH</v>
      </c>
      <c r="E622" s="41" t="s">
        <v>674</v>
      </c>
      <c r="F622" s="41">
        <v>1</v>
      </c>
      <c r="G622" s="41">
        <f>_xlfn.XLOOKUP(
 tblCostChecklist[[#This Row],[RequirementID]],
 tblCost[RequirementID],
 tblCost[QuantityRequired],
 ""
)</f>
        <v>10</v>
      </c>
      <c r="H6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2" s="41" t="str">
        <f>_xlfn.XLOOKUP(tblCostChecklist[[#This Row],[TargetID]],tblTargetStatus[TargetID],tblTargetStatus[Status])</f>
        <v>BLOCKED</v>
      </c>
      <c r="J622" s="25" t="b">
        <v>0</v>
      </c>
    </row>
    <row r="623" spans="1:10">
      <c r="A623" s="41" t="s">
        <v>4271</v>
      </c>
      <c r="B623" s="41" t="str">
        <f>_xlfn.TEXTAFTER(
 _xlfn.TEXTBEFORE(tblCostChecklist[[#This Row],[RequirementID]],".",-2),
 "cost."
)</f>
        <v>tech.alchemists_hut.greek_grenade</v>
      </c>
      <c r="C623" s="41" t="str">
        <f>_xlfn.XLOOKUP(tblCostChecklist[[#This Row],[TargetID]],tblTargets[TargetID],tblTargets[DisplayName],"")</f>
        <v>Alchemists Hut - Greek Grenade</v>
      </c>
      <c r="D623" s="41" t="str">
        <f>_xlfn.XLOOKUP(tblCostChecklist[[#This Row],[TargetID]],tblTargets[TargetID],tblTargets[TargetType],"")</f>
        <v>TECH</v>
      </c>
      <c r="E623" s="41" t="s">
        <v>695</v>
      </c>
      <c r="F623" s="41">
        <v>1</v>
      </c>
      <c r="G623" s="41">
        <f>_xlfn.XLOOKUP(
 tblCostChecklist[[#This Row],[RequirementID]],
 tblCost[RequirementID],
 tblCost[QuantityRequired],
 ""
)</f>
        <v>10</v>
      </c>
      <c r="H6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3" s="41" t="str">
        <f>_xlfn.XLOOKUP(tblCostChecklist[[#This Row],[TargetID]],tblTargetStatus[TargetID],tblTargetStatus[Status])</f>
        <v>BLOCKED</v>
      </c>
      <c r="J623" s="25" t="b">
        <v>0</v>
      </c>
    </row>
    <row r="624" spans="1:10">
      <c r="A624" s="41" t="s">
        <v>4272</v>
      </c>
      <c r="B624" s="41" t="str">
        <f>_xlfn.TEXTAFTER(
 _xlfn.TEXTBEFORE(tblCostChecklist[[#This Row],[RequirementID]],".",-2),
 "cost."
)</f>
        <v>tech.alchemists_hut.greek_grenade</v>
      </c>
      <c r="C624" s="41" t="str">
        <f>_xlfn.XLOOKUP(tblCostChecklist[[#This Row],[TargetID]],tblTargets[TargetID],tblTargets[DisplayName],"")</f>
        <v>Alchemists Hut - Greek Grenade</v>
      </c>
      <c r="D624" s="41" t="str">
        <f>_xlfn.XLOOKUP(tblCostChecklist[[#This Row],[TargetID]],tblTargets[TargetID],tblTargets[TargetType],"")</f>
        <v>TECH</v>
      </c>
      <c r="E624" s="41" t="s">
        <v>696</v>
      </c>
      <c r="F624" s="41">
        <v>1</v>
      </c>
      <c r="G624" s="41">
        <f>_xlfn.XLOOKUP(
 tblCostChecklist[[#This Row],[RequirementID]],
 tblCost[RequirementID],
 tblCost[QuantityRequired],
 ""
)</f>
        <v>20</v>
      </c>
      <c r="H6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4" s="41" t="str">
        <f>_xlfn.XLOOKUP(tblCostChecklist[[#This Row],[TargetID]],tblTargetStatus[TargetID],tblTargetStatus[Status])</f>
        <v>BLOCKED</v>
      </c>
      <c r="J624" s="25" t="b">
        <v>0</v>
      </c>
    </row>
    <row r="625" spans="1:10">
      <c r="A625" s="41" t="s">
        <v>4273</v>
      </c>
      <c r="B625" s="41" t="str">
        <f>_xlfn.TEXTAFTER(
 _xlfn.TEXTBEFORE(tblCostChecklist[[#This Row],[RequirementID]],".",-2),
 "cost."
)</f>
        <v>tech.alchemists_hut.greek_grenade</v>
      </c>
      <c r="C625" s="41" t="str">
        <f>_xlfn.XLOOKUP(tblCostChecklist[[#This Row],[TargetID]],tblTargets[TargetID],tblTargets[DisplayName],"")</f>
        <v>Alchemists Hut - Greek Grenade</v>
      </c>
      <c r="D625" s="41" t="str">
        <f>_xlfn.XLOOKUP(tblCostChecklist[[#This Row],[TargetID]],tblTargets[TargetID],tblTargets[TargetType],"")</f>
        <v>TECH</v>
      </c>
      <c r="E625" s="41" t="s">
        <v>708</v>
      </c>
      <c r="F625" s="41">
        <v>1</v>
      </c>
      <c r="G625" s="41">
        <f>_xlfn.XLOOKUP(
 tblCostChecklist[[#This Row],[RequirementID]],
 tblCost[RequirementID],
 tblCost[QuantityRequired],
 ""
)</f>
        <v>1</v>
      </c>
      <c r="H6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5" s="41" t="str">
        <f>_xlfn.XLOOKUP(tblCostChecklist[[#This Row],[TargetID]],tblTargetStatus[TargetID],tblTargetStatus[Status])</f>
        <v>BLOCKED</v>
      </c>
      <c r="J625" s="25" t="b">
        <v>0</v>
      </c>
    </row>
    <row r="626" spans="1:10">
      <c r="A626" s="41" t="s">
        <v>4274</v>
      </c>
      <c r="B626" s="41" t="str">
        <f>_xlfn.TEXTAFTER(
 _xlfn.TEXTBEFORE(tblCostChecklist[[#This Row],[RequirementID]],".",-2),
 "cost."
)</f>
        <v>tech.alchemists_hut.synthetic_fertilizer</v>
      </c>
      <c r="C626" s="41" t="str">
        <f>_xlfn.XLOOKUP(tblCostChecklist[[#This Row],[TargetID]],tblTargets[TargetID],tblTargets[DisplayName],"")</f>
        <v>Alchemists Hut - Synthetic Fertilizer</v>
      </c>
      <c r="D626" s="41" t="str">
        <f>_xlfn.XLOOKUP(tblCostChecklist[[#This Row],[TargetID]],tblTargets[TargetID],tblTargets[TargetType],"")</f>
        <v>TECH</v>
      </c>
      <c r="E626" s="41" t="s">
        <v>662</v>
      </c>
      <c r="F626" s="41">
        <v>1</v>
      </c>
      <c r="G626" s="41">
        <f>_xlfn.XLOOKUP(
 tblCostChecklist[[#This Row],[RequirementID]],
 tblCost[RequirementID],
 tblCost[QuantityRequired],
 ""
)</f>
        <v>15</v>
      </c>
      <c r="H6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6" s="41" t="str">
        <f>_xlfn.XLOOKUP(tblCostChecklist[[#This Row],[TargetID]],tblTargetStatus[TargetID],tblTargetStatus[Status])</f>
        <v>BLOCKED</v>
      </c>
      <c r="J626" s="25" t="b">
        <v>0</v>
      </c>
    </row>
    <row r="627" spans="1:10">
      <c r="A627" s="41" t="s">
        <v>4275</v>
      </c>
      <c r="B627" s="41" t="str">
        <f>_xlfn.TEXTAFTER(
 _xlfn.TEXTBEFORE(tblCostChecklist[[#This Row],[RequirementID]],".",-2),
 "cost."
)</f>
        <v>tech.alchemists_hut.synthetic_fertilizer</v>
      </c>
      <c r="C627" s="41" t="str">
        <f>_xlfn.XLOOKUP(tblCostChecklist[[#This Row],[TargetID]],tblTargets[TargetID],tblTargets[DisplayName],"")</f>
        <v>Alchemists Hut - Synthetic Fertilizer</v>
      </c>
      <c r="D627" s="41" t="str">
        <f>_xlfn.XLOOKUP(tblCostChecklist[[#This Row],[TargetID]],tblTargets[TargetID],tblTargets[TargetType],"")</f>
        <v>TECH</v>
      </c>
      <c r="E627" s="41" t="s">
        <v>663</v>
      </c>
      <c r="F627" s="41">
        <v>1</v>
      </c>
      <c r="G627" s="41">
        <f>_xlfn.XLOOKUP(
 tblCostChecklist[[#This Row],[RequirementID]],
 tblCost[RequirementID],
 tblCost[QuantityRequired],
 ""
)</f>
        <v>100</v>
      </c>
      <c r="H6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7" s="41" t="str">
        <f>_xlfn.XLOOKUP(tblCostChecklist[[#This Row],[TargetID]],tblTargetStatus[TargetID],tblTargetStatus[Status])</f>
        <v>BLOCKED</v>
      </c>
      <c r="J627" s="25" t="b">
        <v>0</v>
      </c>
    </row>
    <row r="628" spans="1:10">
      <c r="A628" s="41" t="s">
        <v>4276</v>
      </c>
      <c r="B628" s="41" t="str">
        <f>_xlfn.TEXTAFTER(
 _xlfn.TEXTBEFORE(tblCostChecklist[[#This Row],[RequirementID]],".",-2),
 "cost."
)</f>
        <v>tech.alchemists_hut.synthetic_fertilizer</v>
      </c>
      <c r="C628" s="41" t="str">
        <f>_xlfn.XLOOKUP(tblCostChecklist[[#This Row],[TargetID]],tblTargets[TargetID],tblTargets[DisplayName],"")</f>
        <v>Alchemists Hut - Synthetic Fertilizer</v>
      </c>
      <c r="D628" s="41" t="str">
        <f>_xlfn.XLOOKUP(tblCostChecklist[[#This Row],[TargetID]],tblTargets[TargetID],tblTargets[TargetType],"")</f>
        <v>TECH</v>
      </c>
      <c r="E628" s="41" t="s">
        <v>664</v>
      </c>
      <c r="F628" s="41">
        <v>1</v>
      </c>
      <c r="G628" s="41">
        <f>_xlfn.XLOOKUP(
 tblCostChecklist[[#This Row],[RequirementID]],
 tblCost[RequirementID],
 tblCost[QuantityRequired],
 ""
)</f>
        <v>50</v>
      </c>
      <c r="H6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8" s="41" t="str">
        <f>_xlfn.XLOOKUP(tblCostChecklist[[#This Row],[TargetID]],tblTargetStatus[TargetID],tblTargetStatus[Status])</f>
        <v>BLOCKED</v>
      </c>
      <c r="J628" s="25" t="b">
        <v>0</v>
      </c>
    </row>
    <row r="629" spans="1:10">
      <c r="A629" s="41" t="s">
        <v>4277</v>
      </c>
      <c r="B629" s="41" t="str">
        <f>_xlfn.TEXTAFTER(
 _xlfn.TEXTBEFORE(tblCostChecklist[[#This Row],[RequirementID]],".",-2),
 "cost."
)</f>
        <v>tech.alchemists_hut.synthetic_fertilizer</v>
      </c>
      <c r="C629" s="41" t="str">
        <f>_xlfn.XLOOKUP(tblCostChecklist[[#This Row],[TargetID]],tblTargets[TargetID],tblTargets[DisplayName],"")</f>
        <v>Alchemists Hut - Synthetic Fertilizer</v>
      </c>
      <c r="D629" s="41" t="str">
        <f>_xlfn.XLOOKUP(tblCostChecklist[[#This Row],[TargetID]],tblTargets[TargetID],tblTargets[TargetType],"")</f>
        <v>TECH</v>
      </c>
      <c r="E629" s="41" t="s">
        <v>666</v>
      </c>
      <c r="F629" s="41">
        <v>1</v>
      </c>
      <c r="G629" s="41">
        <f>_xlfn.XLOOKUP(
 tblCostChecklist[[#This Row],[RequirementID]],
 tblCost[RequirementID],
 tblCost[QuantityRequired],
 ""
)</f>
        <v>300</v>
      </c>
      <c r="H6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9" s="41" t="str">
        <f>_xlfn.XLOOKUP(tblCostChecklist[[#This Row],[TargetID]],tblTargetStatus[TargetID],tblTargetStatus[Status])</f>
        <v>BLOCKED</v>
      </c>
      <c r="J629" s="25" t="b">
        <v>0</v>
      </c>
    </row>
    <row r="630" spans="1:10">
      <c r="A630" s="41" t="s">
        <v>4278</v>
      </c>
      <c r="B630" s="41" t="str">
        <f>_xlfn.TEXTAFTER(
 _xlfn.TEXTBEFORE(tblCostChecklist[[#This Row],[RequirementID]],".",-2),
 "cost."
)</f>
        <v>tech.alchemists_hut.synthetic_fertilizer</v>
      </c>
      <c r="C630" s="41" t="str">
        <f>_xlfn.XLOOKUP(tblCostChecklist[[#This Row],[TargetID]],tblTargets[TargetID],tblTargets[DisplayName],"")</f>
        <v>Alchemists Hut - Synthetic Fertilizer</v>
      </c>
      <c r="D630" s="41" t="str">
        <f>_xlfn.XLOOKUP(tblCostChecklist[[#This Row],[TargetID]],tblTargets[TargetID],tblTargets[TargetType],"")</f>
        <v>TECH</v>
      </c>
      <c r="E630" s="41" t="s">
        <v>705</v>
      </c>
      <c r="F630" s="41">
        <v>1</v>
      </c>
      <c r="G630" s="41">
        <f>_xlfn.XLOOKUP(
 tblCostChecklist[[#This Row],[RequirementID]],
 tblCost[RequirementID],
 tblCost[QuantityRequired],
 ""
)</f>
        <v>10</v>
      </c>
      <c r="H6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0" s="41" t="str">
        <f>_xlfn.XLOOKUP(tblCostChecklist[[#This Row],[TargetID]],tblTargetStatus[TargetID],tblTargetStatus[Status])</f>
        <v>BLOCKED</v>
      </c>
      <c r="J630" s="25" t="b">
        <v>0</v>
      </c>
    </row>
    <row r="631" spans="1:10">
      <c r="A631" s="41" t="s">
        <v>4279</v>
      </c>
      <c r="B631" s="41" t="str">
        <f>_xlfn.TEXTAFTER(
 _xlfn.TEXTBEFORE(tblCostChecklist[[#This Row],[RequirementID]],".",-2),
 "cost."
)</f>
        <v>tech.alchemists_hut.synthetic_fertilizer</v>
      </c>
      <c r="C631" s="41" t="str">
        <f>_xlfn.XLOOKUP(tblCostChecklist[[#This Row],[TargetID]],tblTargets[TargetID],tblTargets[DisplayName],"")</f>
        <v>Alchemists Hut - Synthetic Fertilizer</v>
      </c>
      <c r="D631" s="41" t="str">
        <f>_xlfn.XLOOKUP(tblCostChecklist[[#This Row],[TargetID]],tblTargets[TargetID],tblTargets[TargetType],"")</f>
        <v>TECH</v>
      </c>
      <c r="E631" s="41" t="s">
        <v>708</v>
      </c>
      <c r="F631" s="41">
        <v>1</v>
      </c>
      <c r="G631" s="41">
        <f>_xlfn.XLOOKUP(
 tblCostChecklist[[#This Row],[RequirementID]],
 tblCost[RequirementID],
 tblCost[QuantityRequired],
 ""
)</f>
        <v>1</v>
      </c>
      <c r="H6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1" s="41" t="str">
        <f>_xlfn.XLOOKUP(tblCostChecklist[[#This Row],[TargetID]],tblTargetStatus[TargetID],tblTargetStatus[Status])</f>
        <v>BLOCKED</v>
      </c>
      <c r="J631" s="25" t="b">
        <v>0</v>
      </c>
    </row>
    <row r="632" spans="1:10">
      <c r="A632" s="41" t="s">
        <v>4280</v>
      </c>
      <c r="B632" s="41" t="str">
        <f>_xlfn.TEXTAFTER(
 _xlfn.TEXTBEFORE(tblCostChecklist[[#This Row],[RequirementID]],".",-2),
 "cost."
)</f>
        <v>tech.alchemists_hut.balm</v>
      </c>
      <c r="C632" s="41" t="str">
        <f>_xlfn.XLOOKUP(tblCostChecklist[[#This Row],[TargetID]],tblTargets[TargetID],tblTargets[DisplayName],"")</f>
        <v>Alchemists Hut - Balm</v>
      </c>
      <c r="D632" s="41" t="str">
        <f>_xlfn.XLOOKUP(tblCostChecklist[[#This Row],[TargetID]],tblTargets[TargetID],tblTargets[TargetType],"")</f>
        <v>TECH</v>
      </c>
      <c r="E632" s="41" t="s">
        <v>929</v>
      </c>
      <c r="F632" s="41">
        <v>1</v>
      </c>
      <c r="G632" s="41">
        <f>_xlfn.XLOOKUP(
 tblCostChecklist[[#This Row],[RequirementID]],
 tblCost[RequirementID],
 tblCost[QuantityRequired],
 ""
)</f>
        <v>9</v>
      </c>
      <c r="H6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2" s="41" t="str">
        <f>_xlfn.XLOOKUP(tblCostChecklist[[#This Row],[TargetID]],tblTargetStatus[TargetID],tblTargetStatus[Status])</f>
        <v>BLOCKED</v>
      </c>
      <c r="J632" s="25" t="b">
        <v>0</v>
      </c>
    </row>
    <row r="633" spans="1:10">
      <c r="A633" s="41" t="s">
        <v>4281</v>
      </c>
      <c r="B633" s="41" t="str">
        <f>_xlfn.TEXTAFTER(
 _xlfn.TEXTBEFORE(tblCostChecklist[[#This Row],[RequirementID]],".",-2),
 "cost."
)</f>
        <v>tech.alchemists_hut.balm</v>
      </c>
      <c r="C633" s="41" t="str">
        <f>_xlfn.XLOOKUP(tblCostChecklist[[#This Row],[TargetID]],tblTargets[TargetID],tblTargets[DisplayName],"")</f>
        <v>Alchemists Hut - Balm</v>
      </c>
      <c r="D633" s="41" t="str">
        <f>_xlfn.XLOOKUP(tblCostChecklist[[#This Row],[TargetID]],tblTargets[TargetID],tblTargets[TargetType],"")</f>
        <v>TECH</v>
      </c>
      <c r="E633" s="41" t="s">
        <v>666</v>
      </c>
      <c r="F633" s="41">
        <v>1</v>
      </c>
      <c r="G633" s="41">
        <f>_xlfn.XLOOKUP(
 tblCostChecklist[[#This Row],[RequirementID]],
 tblCost[RequirementID],
 tblCost[QuantityRequired],
 ""
)</f>
        <v>300</v>
      </c>
      <c r="H6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3" s="41" t="str">
        <f>_xlfn.XLOOKUP(tblCostChecklist[[#This Row],[TargetID]],tblTargetStatus[TargetID],tblTargetStatus[Status])</f>
        <v>BLOCKED</v>
      </c>
      <c r="J633" s="25" t="b">
        <v>0</v>
      </c>
    </row>
    <row r="634" spans="1:10">
      <c r="A634" s="41" t="s">
        <v>4282</v>
      </c>
      <c r="B634" s="41" t="str">
        <f>_xlfn.TEXTAFTER(
 _xlfn.TEXTBEFORE(tblCostChecklist[[#This Row],[RequirementID]],".",-2),
 "cost."
)</f>
        <v>tech.alchemists_hut.balm</v>
      </c>
      <c r="C634" s="41" t="str">
        <f>_xlfn.XLOOKUP(tblCostChecklist[[#This Row],[TargetID]],tblTargets[TargetID],tblTargets[DisplayName],"")</f>
        <v>Alchemists Hut - Balm</v>
      </c>
      <c r="D634" s="41" t="str">
        <f>_xlfn.XLOOKUP(tblCostChecklist[[#This Row],[TargetID]],tblTargets[TargetID],tblTargets[TargetType],"")</f>
        <v>TECH</v>
      </c>
      <c r="E634" s="41" t="s">
        <v>674</v>
      </c>
      <c r="F634" s="41">
        <v>1</v>
      </c>
      <c r="G634" s="41">
        <f>_xlfn.XLOOKUP(
 tblCostChecklist[[#This Row],[RequirementID]],
 tblCost[RequirementID],
 tblCost[QuantityRequired],
 ""
)</f>
        <v>10</v>
      </c>
      <c r="H6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4" s="41" t="str">
        <f>_xlfn.XLOOKUP(tblCostChecklist[[#This Row],[TargetID]],tblTargetStatus[TargetID],tblTargetStatus[Status])</f>
        <v>BLOCKED</v>
      </c>
      <c r="J634" s="25" t="b">
        <v>0</v>
      </c>
    </row>
    <row r="635" spans="1:10">
      <c r="A635" s="41" t="s">
        <v>4283</v>
      </c>
      <c r="B635" s="41" t="str">
        <f>_xlfn.TEXTAFTER(
 _xlfn.TEXTBEFORE(tblCostChecklist[[#This Row],[RequirementID]],".",-2),
 "cost."
)</f>
        <v>tech.alchemists_hut.balm</v>
      </c>
      <c r="C635" s="41" t="str">
        <f>_xlfn.XLOOKUP(tblCostChecklist[[#This Row],[TargetID]],tblTargets[TargetID],tblTargets[DisplayName],"")</f>
        <v>Alchemists Hut - Balm</v>
      </c>
      <c r="D635" s="41" t="str">
        <f>_xlfn.XLOOKUP(tblCostChecklist[[#This Row],[TargetID]],tblTargets[TargetID],tblTargets[TargetType],"")</f>
        <v>TECH</v>
      </c>
      <c r="E635" s="41" t="s">
        <v>677</v>
      </c>
      <c r="F635" s="41">
        <v>1</v>
      </c>
      <c r="G635" s="41">
        <f>_xlfn.XLOOKUP(
 tblCostChecklist[[#This Row],[RequirementID]],
 tblCost[RequirementID],
 tblCost[QuantityRequired],
 ""
)</f>
        <v>10</v>
      </c>
      <c r="H6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5" s="41" t="str">
        <f>_xlfn.XLOOKUP(tblCostChecklist[[#This Row],[TargetID]],tblTargetStatus[TargetID],tblTargetStatus[Status])</f>
        <v>BLOCKED</v>
      </c>
      <c r="J635" s="25" t="b">
        <v>0</v>
      </c>
    </row>
    <row r="636" spans="1:10">
      <c r="A636" s="41" t="s">
        <v>4284</v>
      </c>
      <c r="B636" s="41" t="str">
        <f>_xlfn.TEXTAFTER(
 _xlfn.TEXTBEFORE(tblCostChecklist[[#This Row],[RequirementID]],".",-2),
 "cost."
)</f>
        <v>tech.alchemists_hut.balm</v>
      </c>
      <c r="C636" s="41" t="str">
        <f>_xlfn.XLOOKUP(tblCostChecklist[[#This Row],[TargetID]],tblTargets[TargetID],tblTargets[DisplayName],"")</f>
        <v>Alchemists Hut - Balm</v>
      </c>
      <c r="D636" s="41" t="str">
        <f>_xlfn.XLOOKUP(tblCostChecklist[[#This Row],[TargetID]],tblTargets[TargetID],tblTargets[TargetType],"")</f>
        <v>TECH</v>
      </c>
      <c r="E636" s="41" t="s">
        <v>679</v>
      </c>
      <c r="F636" s="41">
        <v>1</v>
      </c>
      <c r="G636" s="41">
        <f>_xlfn.XLOOKUP(
 tblCostChecklist[[#This Row],[RequirementID]],
 tblCost[RequirementID],
 tblCost[QuantityRequired],
 ""
)</f>
        <v>30</v>
      </c>
      <c r="H6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6" s="41" t="str">
        <f>_xlfn.XLOOKUP(tblCostChecklist[[#This Row],[TargetID]],tblTargetStatus[TargetID],tblTargetStatus[Status])</f>
        <v>BLOCKED</v>
      </c>
      <c r="J636" s="25" t="b">
        <v>0</v>
      </c>
    </row>
    <row r="637" spans="1:10">
      <c r="A637" s="41" t="s">
        <v>4285</v>
      </c>
      <c r="B637" s="41" t="str">
        <f>_xlfn.TEXTAFTER(
 _xlfn.TEXTBEFORE(tblCostChecklist[[#This Row],[RequirementID]],".",-2),
 "cost."
)</f>
        <v>tech.alchemists_hut.balm</v>
      </c>
      <c r="C637" s="41" t="str">
        <f>_xlfn.XLOOKUP(tblCostChecklist[[#This Row],[TargetID]],tblTargets[TargetID],tblTargets[DisplayName],"")</f>
        <v>Alchemists Hut - Balm</v>
      </c>
      <c r="D637" s="41" t="str">
        <f>_xlfn.XLOOKUP(tblCostChecklist[[#This Row],[TargetID]],tblTargets[TargetID],tblTargets[TargetType],"")</f>
        <v>TECH</v>
      </c>
      <c r="E637" s="41" t="s">
        <v>695</v>
      </c>
      <c r="F637" s="41">
        <v>1</v>
      </c>
      <c r="G637" s="41">
        <f>_xlfn.XLOOKUP(
 tblCostChecklist[[#This Row],[RequirementID]],
 tblCost[RequirementID],
 tblCost[QuantityRequired],
 ""
)</f>
        <v>5</v>
      </c>
      <c r="H6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7" s="41" t="str">
        <f>_xlfn.XLOOKUP(tblCostChecklist[[#This Row],[TargetID]],tblTargetStatus[TargetID],tblTargetStatus[Status])</f>
        <v>BLOCKED</v>
      </c>
      <c r="J637" s="25" t="b">
        <v>0</v>
      </c>
    </row>
    <row r="638" spans="1:10">
      <c r="A638" s="41" t="s">
        <v>4286</v>
      </c>
      <c r="B638" s="41" t="str">
        <f>_xlfn.TEXTAFTER(
 _xlfn.TEXTBEFORE(tblCostChecklist[[#This Row],[RequirementID]],".",-2),
 "cost."
)</f>
        <v>tech.alchemists_hut.balm</v>
      </c>
      <c r="C638" s="41" t="str">
        <f>_xlfn.XLOOKUP(tblCostChecklist[[#This Row],[TargetID]],tblTargets[TargetID],tblTargets[DisplayName],"")</f>
        <v>Alchemists Hut - Balm</v>
      </c>
      <c r="D638" s="41" t="str">
        <f>_xlfn.XLOOKUP(tblCostChecklist[[#This Row],[TargetID]],tblTargets[TargetID],tblTargets[TargetType],"")</f>
        <v>TECH</v>
      </c>
      <c r="E638" s="41" t="s">
        <v>708</v>
      </c>
      <c r="F638" s="41">
        <v>1</v>
      </c>
      <c r="G638" s="41">
        <f>_xlfn.XLOOKUP(
 tblCostChecklist[[#This Row],[RequirementID]],
 tblCost[RequirementID],
 tblCost[QuantityRequired],
 ""
)</f>
        <v>1</v>
      </c>
      <c r="H6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8" s="41" t="str">
        <f>_xlfn.XLOOKUP(tblCostChecklist[[#This Row],[TargetID]],tblTargetStatus[TargetID],tblTargetStatus[Status])</f>
        <v>BLOCKED</v>
      </c>
      <c r="J638" s="25" t="b">
        <v>0</v>
      </c>
    </row>
    <row r="639" spans="1:10">
      <c r="A639" s="41" t="s">
        <v>4287</v>
      </c>
      <c r="B639" s="41" t="str">
        <f>_xlfn.TEXTAFTER(
 _xlfn.TEXTBEFORE(tblCostChecklist[[#This Row],[RequirementID]],".",-2),
 "cost."
)</f>
        <v>tech.alchemists_hut.potion_of_mental_power</v>
      </c>
      <c r="C639" s="41" t="str">
        <f>_xlfn.XLOOKUP(tblCostChecklist[[#This Row],[TargetID]],tblTargets[TargetID],tblTargets[DisplayName],"")</f>
        <v>Alchemists Hut - Potion Of Mental Power</v>
      </c>
      <c r="D639" s="41" t="str">
        <f>_xlfn.XLOOKUP(tblCostChecklist[[#This Row],[TargetID]],tblTargets[TargetID],tblTargets[TargetType],"")</f>
        <v>TECH</v>
      </c>
      <c r="E639" s="41" t="s">
        <v>929</v>
      </c>
      <c r="F639" s="41">
        <v>1</v>
      </c>
      <c r="G639" s="41">
        <f>_xlfn.XLOOKUP(
 tblCostChecklist[[#This Row],[RequirementID]],
 tblCost[RequirementID],
 tblCost[QuantityRequired],
 ""
)</f>
        <v>15</v>
      </c>
      <c r="H6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9" s="41" t="str">
        <f>_xlfn.XLOOKUP(tblCostChecklist[[#This Row],[TargetID]],tblTargetStatus[TargetID],tblTargetStatus[Status])</f>
        <v>BLOCKED</v>
      </c>
      <c r="J639" s="25" t="b">
        <v>0</v>
      </c>
    </row>
    <row r="640" spans="1:10">
      <c r="A640" s="41" t="s">
        <v>4288</v>
      </c>
      <c r="B640" s="41" t="str">
        <f>_xlfn.TEXTAFTER(
 _xlfn.TEXTBEFORE(tblCostChecklist[[#This Row],[RequirementID]],".",-2),
 "cost."
)</f>
        <v>tech.alchemists_hut.potion_of_mental_power</v>
      </c>
      <c r="C640" s="41" t="str">
        <f>_xlfn.XLOOKUP(tblCostChecklist[[#This Row],[TargetID]],tblTargets[TargetID],tblTargets[DisplayName],"")</f>
        <v>Alchemists Hut - Potion Of Mental Power</v>
      </c>
      <c r="D640" s="41" t="str">
        <f>_xlfn.XLOOKUP(tblCostChecklist[[#This Row],[TargetID]],tblTargets[TargetID],tblTargets[TargetType],"")</f>
        <v>TECH</v>
      </c>
      <c r="E640" s="41" t="s">
        <v>666</v>
      </c>
      <c r="F640" s="41">
        <v>1</v>
      </c>
      <c r="G640" s="41">
        <f>_xlfn.XLOOKUP(
 tblCostChecklist[[#This Row],[RequirementID]],
 tblCost[RequirementID],
 tblCost[QuantityRequired],
 ""
)</f>
        <v>300</v>
      </c>
      <c r="H6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0" s="41" t="str">
        <f>_xlfn.XLOOKUP(tblCostChecklist[[#This Row],[TargetID]],tblTargetStatus[TargetID],tblTargetStatus[Status])</f>
        <v>BLOCKED</v>
      </c>
      <c r="J640" s="25" t="b">
        <v>0</v>
      </c>
    </row>
    <row r="641" spans="1:10">
      <c r="A641" s="41" t="s">
        <v>4289</v>
      </c>
      <c r="B641" s="41" t="str">
        <f>_xlfn.TEXTAFTER(
 _xlfn.TEXTBEFORE(tblCostChecklist[[#This Row],[RequirementID]],".",-2),
 "cost."
)</f>
        <v>tech.alchemists_hut.potion_of_mental_power</v>
      </c>
      <c r="C641" s="41" t="str">
        <f>_xlfn.XLOOKUP(tblCostChecklist[[#This Row],[TargetID]],tblTargets[TargetID],tblTargets[DisplayName],"")</f>
        <v>Alchemists Hut - Potion Of Mental Power</v>
      </c>
      <c r="D641" s="41" t="str">
        <f>_xlfn.XLOOKUP(tblCostChecklist[[#This Row],[TargetID]],tblTargets[TargetID],tblTargets[TargetType],"")</f>
        <v>TECH</v>
      </c>
      <c r="E641" s="41" t="s">
        <v>935</v>
      </c>
      <c r="F641" s="41">
        <v>1</v>
      </c>
      <c r="G641" s="41">
        <f>_xlfn.XLOOKUP(
 tblCostChecklist[[#This Row],[RequirementID]],
 tblCost[RequirementID],
 tblCost[QuantityRequired],
 ""
)</f>
        <v>20</v>
      </c>
      <c r="H6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1" s="41" t="str">
        <f>_xlfn.XLOOKUP(tblCostChecklist[[#This Row],[TargetID]],tblTargetStatus[TargetID],tblTargetStatus[Status])</f>
        <v>BLOCKED</v>
      </c>
      <c r="J641" s="25" t="b">
        <v>0</v>
      </c>
    </row>
    <row r="642" spans="1:10">
      <c r="A642" s="41" t="s">
        <v>4290</v>
      </c>
      <c r="B642" s="41" t="str">
        <f>_xlfn.TEXTAFTER(
 _xlfn.TEXTBEFORE(tblCostChecklist[[#This Row],[RequirementID]],".",-2),
 "cost."
)</f>
        <v>tech.alchemists_hut.potion_of_mental_power</v>
      </c>
      <c r="C642" s="41" t="str">
        <f>_xlfn.XLOOKUP(tblCostChecklist[[#This Row],[TargetID]],tblTargets[TargetID],tblTargets[DisplayName],"")</f>
        <v>Alchemists Hut - Potion Of Mental Power</v>
      </c>
      <c r="D642" s="41" t="str">
        <f>_xlfn.XLOOKUP(tblCostChecklist[[#This Row],[TargetID]],tblTargets[TargetID],tblTargets[TargetType],"")</f>
        <v>TECH</v>
      </c>
      <c r="E642" s="41" t="s">
        <v>674</v>
      </c>
      <c r="F642" s="41">
        <v>1</v>
      </c>
      <c r="G642" s="41">
        <f>_xlfn.XLOOKUP(
 tblCostChecklist[[#This Row],[RequirementID]],
 tblCost[RequirementID],
 tblCost[QuantityRequired],
 ""
)</f>
        <v>10</v>
      </c>
      <c r="H6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2" s="41" t="str">
        <f>_xlfn.XLOOKUP(tblCostChecklist[[#This Row],[TargetID]],tblTargetStatus[TargetID],tblTargetStatus[Status])</f>
        <v>BLOCKED</v>
      </c>
      <c r="J642" s="25" t="b">
        <v>0</v>
      </c>
    </row>
    <row r="643" spans="1:10">
      <c r="A643" s="41" t="s">
        <v>4291</v>
      </c>
      <c r="B643" s="41" t="str">
        <f>_xlfn.TEXTAFTER(
 _xlfn.TEXTBEFORE(tblCostChecklist[[#This Row],[RequirementID]],".",-2),
 "cost."
)</f>
        <v>tech.alchemists_hut.potion_of_mental_power</v>
      </c>
      <c r="C643" s="41" t="str">
        <f>_xlfn.XLOOKUP(tblCostChecklist[[#This Row],[TargetID]],tblTargets[TargetID],tblTargets[DisplayName],"")</f>
        <v>Alchemists Hut - Potion Of Mental Power</v>
      </c>
      <c r="D643" s="41" t="str">
        <f>_xlfn.XLOOKUP(tblCostChecklist[[#This Row],[TargetID]],tblTargets[TargetID],tblTargets[TargetType],"")</f>
        <v>TECH</v>
      </c>
      <c r="E643" s="41" t="s">
        <v>677</v>
      </c>
      <c r="F643" s="41">
        <v>1</v>
      </c>
      <c r="G643" s="41">
        <f>_xlfn.XLOOKUP(
 tblCostChecklist[[#This Row],[RequirementID]],
 tblCost[RequirementID],
 tblCost[QuantityRequired],
 ""
)</f>
        <v>10</v>
      </c>
      <c r="H6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3" s="41" t="str">
        <f>_xlfn.XLOOKUP(tblCostChecklist[[#This Row],[TargetID]],tblTargetStatus[TargetID],tblTargetStatus[Status])</f>
        <v>BLOCKED</v>
      </c>
      <c r="J643" s="25" t="b">
        <v>0</v>
      </c>
    </row>
    <row r="644" spans="1:10">
      <c r="A644" s="41" t="s">
        <v>4292</v>
      </c>
      <c r="B644" s="41" t="str">
        <f>_xlfn.TEXTAFTER(
 _xlfn.TEXTBEFORE(tblCostChecklist[[#This Row],[RequirementID]],".",-2),
 "cost."
)</f>
        <v>tech.alchemists_hut.potion_of_mental_power</v>
      </c>
      <c r="C644" s="41" t="str">
        <f>_xlfn.XLOOKUP(tblCostChecklist[[#This Row],[TargetID]],tblTargets[TargetID],tblTargets[DisplayName],"")</f>
        <v>Alchemists Hut - Potion Of Mental Power</v>
      </c>
      <c r="D644" s="41" t="str">
        <f>_xlfn.XLOOKUP(tblCostChecklist[[#This Row],[TargetID]],tblTargets[TargetID],tblTargets[TargetType],"")</f>
        <v>TECH</v>
      </c>
      <c r="E644" s="41" t="s">
        <v>679</v>
      </c>
      <c r="F644" s="41">
        <v>1</v>
      </c>
      <c r="G644" s="41">
        <f>_xlfn.XLOOKUP(
 tblCostChecklist[[#This Row],[RequirementID]],
 tblCost[RequirementID],
 tblCost[QuantityRequired],
 ""
)</f>
        <v>10</v>
      </c>
      <c r="H6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4" s="41" t="str">
        <f>_xlfn.XLOOKUP(tblCostChecklist[[#This Row],[TargetID]],tblTargetStatus[TargetID],tblTargetStatus[Status])</f>
        <v>BLOCKED</v>
      </c>
      <c r="J644" s="25" t="b">
        <v>0</v>
      </c>
    </row>
    <row r="645" spans="1:10">
      <c r="A645" s="41" t="s">
        <v>4293</v>
      </c>
      <c r="B645" s="41" t="str">
        <f>_xlfn.TEXTAFTER(
 _xlfn.TEXTBEFORE(tblCostChecklist[[#This Row],[RequirementID]],".",-2),
 "cost."
)</f>
        <v>tech.alchemists_hut.potion_of_mental_power</v>
      </c>
      <c r="C645" s="41" t="str">
        <f>_xlfn.XLOOKUP(tblCostChecklist[[#This Row],[TargetID]],tblTargets[TargetID],tblTargets[DisplayName],"")</f>
        <v>Alchemists Hut - Potion Of Mental Power</v>
      </c>
      <c r="D645" s="41" t="str">
        <f>_xlfn.XLOOKUP(tblCostChecklist[[#This Row],[TargetID]],tblTargets[TargetID],tblTargets[TargetType],"")</f>
        <v>TECH</v>
      </c>
      <c r="E645" s="41" t="s">
        <v>705</v>
      </c>
      <c r="F645" s="41">
        <v>1</v>
      </c>
      <c r="G645" s="41">
        <f>_xlfn.XLOOKUP(
 tblCostChecklist[[#This Row],[RequirementID]],
 tblCost[RequirementID],
 tblCost[QuantityRequired],
 ""
)</f>
        <v>10</v>
      </c>
      <c r="H6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5" s="41" t="str">
        <f>_xlfn.XLOOKUP(tblCostChecklist[[#This Row],[TargetID]],tblTargetStatus[TargetID],tblTargetStatus[Status])</f>
        <v>BLOCKED</v>
      </c>
      <c r="J645" s="25" t="b">
        <v>0</v>
      </c>
    </row>
    <row r="646" spans="1:10">
      <c r="A646" s="41" t="s">
        <v>4294</v>
      </c>
      <c r="B646" s="41" t="str">
        <f>_xlfn.TEXTAFTER(
 _xlfn.TEXTBEFORE(tblCostChecklist[[#This Row],[RequirementID]],".",-2),
 "cost."
)</f>
        <v>tech.alchemists_hut.potion_of_mental_power</v>
      </c>
      <c r="C646" s="41" t="str">
        <f>_xlfn.XLOOKUP(tblCostChecklist[[#This Row],[TargetID]],tblTargets[TargetID],tblTargets[DisplayName],"")</f>
        <v>Alchemists Hut - Potion Of Mental Power</v>
      </c>
      <c r="D646" s="41" t="str">
        <f>_xlfn.XLOOKUP(tblCostChecklist[[#This Row],[TargetID]],tblTargets[TargetID],tblTargets[TargetType],"")</f>
        <v>TECH</v>
      </c>
      <c r="E646" s="41" t="s">
        <v>708</v>
      </c>
      <c r="F646" s="41">
        <v>1</v>
      </c>
      <c r="G646" s="41">
        <f>_xlfn.XLOOKUP(
 tblCostChecklist[[#This Row],[RequirementID]],
 tblCost[RequirementID],
 tblCost[QuantityRequired],
 ""
)</f>
        <v>1</v>
      </c>
      <c r="H6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6" s="41" t="str">
        <f>_xlfn.XLOOKUP(tblCostChecklist[[#This Row],[TargetID]],tblTargetStatus[TargetID],tblTargetStatus[Status])</f>
        <v>BLOCKED</v>
      </c>
      <c r="J646" s="25" t="b">
        <v>0</v>
      </c>
    </row>
    <row r="647" spans="1:10">
      <c r="A647" s="41" t="s">
        <v>4295</v>
      </c>
      <c r="B647" s="41" t="str">
        <f>_xlfn.TEXTAFTER(
 _xlfn.TEXTBEFORE(tblCostChecklist[[#This Row],[RequirementID]],".",-2),
 "cost."
)</f>
        <v>tech.alchemists_hut.mercury</v>
      </c>
      <c r="C647" s="41" t="str">
        <f>_xlfn.XLOOKUP(tblCostChecklist[[#This Row],[TargetID]],tblTargets[TargetID],tblTargets[DisplayName],"")</f>
        <v>Alchemists Hut - Mercury</v>
      </c>
      <c r="D647" s="41" t="str">
        <f>_xlfn.XLOOKUP(tblCostChecklist[[#This Row],[TargetID]],tblTargets[TargetID],tblTargets[TargetType],"")</f>
        <v>TECH</v>
      </c>
      <c r="E647" s="41" t="s">
        <v>663</v>
      </c>
      <c r="F647" s="41">
        <v>1</v>
      </c>
      <c r="G647" s="41">
        <f>_xlfn.XLOOKUP(
 tblCostChecklist[[#This Row],[RequirementID]],
 tblCost[RequirementID],
 tblCost[QuantityRequired],
 ""
)</f>
        <v>100</v>
      </c>
      <c r="H6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7" s="41" t="str">
        <f>_xlfn.XLOOKUP(tblCostChecklist[[#This Row],[TargetID]],tblTargetStatus[TargetID],tblTargetStatus[Status])</f>
        <v>BLOCKED</v>
      </c>
      <c r="J647" s="25" t="b">
        <v>0</v>
      </c>
    </row>
    <row r="648" spans="1:10">
      <c r="A648" s="41" t="s">
        <v>4296</v>
      </c>
      <c r="B648" s="41" t="str">
        <f>_xlfn.TEXTAFTER(
 _xlfn.TEXTBEFORE(tblCostChecklist[[#This Row],[RequirementID]],".",-2),
 "cost."
)</f>
        <v>tech.alchemists_hut.mercury</v>
      </c>
      <c r="C648" s="41" t="str">
        <f>_xlfn.XLOOKUP(tblCostChecklist[[#This Row],[TargetID]],tblTargets[TargetID],tblTargets[DisplayName],"")</f>
        <v>Alchemists Hut - Mercury</v>
      </c>
      <c r="D648" s="41" t="str">
        <f>_xlfn.XLOOKUP(tblCostChecklist[[#This Row],[TargetID]],tblTargets[TargetID],tblTargets[TargetType],"")</f>
        <v>TECH</v>
      </c>
      <c r="E648" s="41" t="s">
        <v>929</v>
      </c>
      <c r="F648" s="41">
        <v>1</v>
      </c>
      <c r="G648" s="41">
        <f>_xlfn.XLOOKUP(
 tblCostChecklist[[#This Row],[RequirementID]],
 tblCost[RequirementID],
 tblCost[QuantityRequired],
 ""
)</f>
        <v>30</v>
      </c>
      <c r="H6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8" s="41" t="str">
        <f>_xlfn.XLOOKUP(tblCostChecklist[[#This Row],[TargetID]],tblTargetStatus[TargetID],tblTargetStatus[Status])</f>
        <v>BLOCKED</v>
      </c>
      <c r="J648" s="25" t="b">
        <v>0</v>
      </c>
    </row>
    <row r="649" spans="1:10">
      <c r="A649" s="41" t="s">
        <v>4297</v>
      </c>
      <c r="B649" s="41" t="str">
        <f>_xlfn.TEXTAFTER(
 _xlfn.TEXTBEFORE(tblCostChecklist[[#This Row],[RequirementID]],".",-2),
 "cost."
)</f>
        <v>tech.alchemists_hut.mercury</v>
      </c>
      <c r="C649" s="41" t="str">
        <f>_xlfn.XLOOKUP(tblCostChecklist[[#This Row],[TargetID]],tblTargets[TargetID],tblTargets[DisplayName],"")</f>
        <v>Alchemists Hut - Mercury</v>
      </c>
      <c r="D649" s="41" t="str">
        <f>_xlfn.XLOOKUP(tblCostChecklist[[#This Row],[TargetID]],tblTargets[TargetID],tblTargets[TargetType],"")</f>
        <v>TECH</v>
      </c>
      <c r="E649" s="41" t="s">
        <v>666</v>
      </c>
      <c r="F649" s="41">
        <v>1</v>
      </c>
      <c r="G649" s="41">
        <f>_xlfn.XLOOKUP(
 tblCostChecklist[[#This Row],[RequirementID]],
 tblCost[RequirementID],
 tblCost[QuantityRequired],
 ""
)</f>
        <v>400</v>
      </c>
      <c r="H6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9" s="41" t="str">
        <f>_xlfn.XLOOKUP(tblCostChecklist[[#This Row],[TargetID]],tblTargetStatus[TargetID],tblTargetStatus[Status])</f>
        <v>BLOCKED</v>
      </c>
      <c r="J649" s="25" t="b">
        <v>0</v>
      </c>
    </row>
    <row r="650" spans="1:10">
      <c r="A650" s="41" t="s">
        <v>4298</v>
      </c>
      <c r="B650" s="41" t="str">
        <f>_xlfn.TEXTAFTER(
 _xlfn.TEXTBEFORE(tblCostChecklist[[#This Row],[RequirementID]],".",-2),
 "cost."
)</f>
        <v>tech.alchemists_hut.mercury</v>
      </c>
      <c r="C650" s="41" t="str">
        <f>_xlfn.XLOOKUP(tblCostChecklist[[#This Row],[TargetID]],tblTargets[TargetID],tblTargets[DisplayName],"")</f>
        <v>Alchemists Hut - Mercury</v>
      </c>
      <c r="D650" s="41" t="str">
        <f>_xlfn.XLOOKUP(tblCostChecklist[[#This Row],[TargetID]],tblTargets[TargetID],tblTargets[TargetType],"")</f>
        <v>TECH</v>
      </c>
      <c r="E650" s="41" t="s">
        <v>674</v>
      </c>
      <c r="F650" s="41">
        <v>1</v>
      </c>
      <c r="G650" s="41">
        <f>_xlfn.XLOOKUP(
 tblCostChecklist[[#This Row],[RequirementID]],
 tblCost[RequirementID],
 tblCost[QuantityRequired],
 ""
)</f>
        <v>10</v>
      </c>
      <c r="H6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50" s="41" t="str">
        <f>_xlfn.XLOOKUP(tblCostChecklist[[#This Row],[TargetID]],tblTargetStatus[TargetID],tblTargetStatus[Status])</f>
        <v>BLOCKED</v>
      </c>
      <c r="J650" s="25" t="b">
        <v>0</v>
      </c>
    </row>
    <row r="651" spans="1:10">
      <c r="A651" s="41" t="s">
        <v>4299</v>
      </c>
      <c r="B651" s="41" t="str">
        <f>_xlfn.TEXTAFTER(
 _xlfn.TEXTBEFORE(tblCostChecklist[[#This Row],[RequirementID]],".",-2),
 "cost."
)</f>
        <v>tech.alchemists_hut.mercury</v>
      </c>
      <c r="C651" s="41" t="str">
        <f>_xlfn.XLOOKUP(tblCostChecklist[[#This Row],[TargetID]],tblTargets[TargetID],tblTargets[DisplayName],"")</f>
        <v>Alchemists Hut - Mercury</v>
      </c>
      <c r="D651" s="41" t="str">
        <f>_xlfn.XLOOKUP(tblCostChecklist[[#This Row],[TargetID]],tblTargets[TargetID],tblTargets[TargetType],"")</f>
        <v>TECH</v>
      </c>
      <c r="E651" s="41" t="s">
        <v>677</v>
      </c>
      <c r="F651" s="41">
        <v>1</v>
      </c>
      <c r="G651" s="41">
        <f>_xlfn.XLOOKUP(
 tblCostChecklist[[#This Row],[RequirementID]],
 tblCost[RequirementID],
 tblCost[QuantityRequired],
 ""
)</f>
        <v>10</v>
      </c>
      <c r="H6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51" s="41" t="str">
        <f>_xlfn.XLOOKUP(tblCostChecklist[[#This Row],[TargetID]],tblTargetStatus[TargetID],tblTargetStatus[Status])</f>
        <v>BLOCKED</v>
      </c>
      <c r="J651" s="25" t="b">
        <v>0</v>
      </c>
    </row>
    <row r="652" spans="1:10">
      <c r="A652" s="41" t="s">
        <v>4300</v>
      </c>
      <c r="B652" s="41" t="str">
        <f>_xlfn.TEXTAFTER(
 _xlfn.TEXTBEFORE(tblCostChecklist[[#This Row],[RequirementID]],".",-2),
 "cost."
)</f>
        <v>tech.alchemists_hut.mercury</v>
      </c>
      <c r="C652" s="41" t="str">
        <f>_xlfn.XLOOKUP(tblCostChecklist[[#This Row],[TargetID]],tblTargets[TargetID],tblTargets[DisplayName],"")</f>
        <v>Alchemists Hut - Mercury</v>
      </c>
      <c r="D652" s="41" t="str">
        <f>_xlfn.XLOOKUP(tblCostChecklist[[#This Row],[TargetID]],tblTargets[TargetID],tblTargets[TargetType],"")</f>
        <v>TECH</v>
      </c>
      <c r="E652" s="41" t="s">
        <v>705</v>
      </c>
      <c r="F652" s="41">
        <v>1</v>
      </c>
      <c r="G652" s="41">
        <f>_xlfn.XLOOKUP(
 tblCostChecklist[[#This Row],[RequirementID]],
 tblCost[RequirementID],
 tblCost[QuantityRequired],
 ""
)</f>
        <v>10</v>
      </c>
      <c r="H6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52" s="41" t="str">
        <f>_xlfn.XLOOKUP(tblCostChecklist[[#This Row],[TargetID]],tblTargetStatus[TargetID],tblTargetStatus[Status])</f>
        <v>BLOCKED</v>
      </c>
      <c r="J652" s="25" t="b">
        <v>0</v>
      </c>
    </row>
    <row r="653" spans="1:10">
      <c r="A653" s="41" t="s">
        <v>4301</v>
      </c>
      <c r="B653" s="41" t="str">
        <f>_xlfn.TEXTAFTER(
 _xlfn.TEXTBEFORE(tblCostChecklist[[#This Row],[RequirementID]],".",-2),
 "cost."
)</f>
        <v>tech.alchemists_hut.mercury</v>
      </c>
      <c r="C653" s="41" t="str">
        <f>_xlfn.XLOOKUP(tblCostChecklist[[#This Row],[TargetID]],tblTargets[TargetID],tblTargets[DisplayName],"")</f>
        <v>Alchemists Hut - Mercury</v>
      </c>
      <c r="D653" s="41" t="str">
        <f>_xlfn.XLOOKUP(tblCostChecklist[[#This Row],[TargetID]],tblTargets[TargetID],tblTargets[TargetType],"")</f>
        <v>TECH</v>
      </c>
      <c r="E653" s="41" t="s">
        <v>708</v>
      </c>
      <c r="F653" s="41">
        <v>1</v>
      </c>
      <c r="G653" s="41">
        <f>_xlfn.XLOOKUP(
 tblCostChecklist[[#This Row],[RequirementID]],
 tblCost[RequirementID],
 tblCost[QuantityRequired],
 ""
)</f>
        <v>1</v>
      </c>
      <c r="H6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53" s="41" t="str">
        <f>_xlfn.XLOOKUP(tblCostChecklist[[#This Row],[TargetID]],tblTargetStatus[TargetID],tblTargetStatus[Status])</f>
        <v>BLOCKED</v>
      </c>
      <c r="J653" s="25" t="b">
        <v>0</v>
      </c>
    </row>
    <row r="654" spans="1:10">
      <c r="A654" s="41" t="s">
        <v>4302</v>
      </c>
      <c r="B654" s="41" t="str">
        <f>_xlfn.TEXTAFTER(
 _xlfn.TEXTBEFORE(tblCostChecklist[[#This Row],[RequirementID]],".",-2),
 "cost."
)</f>
        <v>tech.alchemists_hut.gold_ingot</v>
      </c>
      <c r="C654" s="41" t="str">
        <f>_xlfn.XLOOKUP(tblCostChecklist[[#This Row],[TargetID]],tblTargets[TargetID],tblTargets[DisplayName],"")</f>
        <v>Alchemists Hut - Gold Ingot</v>
      </c>
      <c r="D654" s="41" t="str">
        <f>_xlfn.XLOOKUP(tblCostChecklist[[#This Row],[TargetID]],tblTargets[TargetID],tblTargets[TargetType],"")</f>
        <v>TECH</v>
      </c>
      <c r="E654" s="41" t="s">
        <v>655</v>
      </c>
      <c r="F654" s="41">
        <v>1</v>
      </c>
      <c r="G654" s="41">
        <f>_xlfn.XLOOKUP(
 tblCostChecklist[[#This Row],[RequirementID]],
 tblCost[RequirementID],
 tblCost[QuantityRequired],
 ""
)</f>
        <v>20</v>
      </c>
      <c r="H6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4" s="41" t="str">
        <f>_xlfn.XLOOKUP(tblCostChecklist[[#This Row],[TargetID]],tblTargetStatus[TargetID],tblTargetStatus[Status])</f>
        <v>BLOCKED</v>
      </c>
      <c r="J654" s="25" t="b">
        <v>0</v>
      </c>
    </row>
    <row r="655" spans="1:10">
      <c r="A655" s="41" t="s">
        <v>4303</v>
      </c>
      <c r="B655" s="41" t="str">
        <f>_xlfn.TEXTAFTER(
 _xlfn.TEXTBEFORE(tblCostChecklist[[#This Row],[RequirementID]],".",-2),
 "cost."
)</f>
        <v>tech.alchemists_hut.gold_ingot</v>
      </c>
      <c r="C655" s="41" t="str">
        <f>_xlfn.XLOOKUP(tblCostChecklist[[#This Row],[TargetID]],tblTargets[TargetID],tblTargets[DisplayName],"")</f>
        <v>Alchemists Hut - Gold Ingot</v>
      </c>
      <c r="D655" s="41" t="str">
        <f>_xlfn.XLOOKUP(tblCostChecklist[[#This Row],[TargetID]],tblTargets[TargetID],tblTargets[TargetType],"")</f>
        <v>TECH</v>
      </c>
      <c r="E655" s="41" t="s">
        <v>663</v>
      </c>
      <c r="F655" s="41">
        <v>1</v>
      </c>
      <c r="G655" s="41">
        <f>_xlfn.XLOOKUP(
 tblCostChecklist[[#This Row],[RequirementID]],
 tblCost[RequirementID],
 tblCost[QuantityRequired],
 ""
)</f>
        <v>100</v>
      </c>
      <c r="H6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5" s="41" t="str">
        <f>_xlfn.XLOOKUP(tblCostChecklist[[#This Row],[TargetID]],tblTargetStatus[TargetID],tblTargetStatus[Status])</f>
        <v>BLOCKED</v>
      </c>
      <c r="J655" s="25" t="b">
        <v>0</v>
      </c>
    </row>
    <row r="656" spans="1:10">
      <c r="A656" s="41" t="s">
        <v>4304</v>
      </c>
      <c r="B656" s="41" t="str">
        <f>_xlfn.TEXTAFTER(
 _xlfn.TEXTBEFORE(tblCostChecklist[[#This Row],[RequirementID]],".",-2),
 "cost."
)</f>
        <v>tech.alchemists_hut.gold_ingot</v>
      </c>
      <c r="C656" s="41" t="str">
        <f>_xlfn.XLOOKUP(tblCostChecklist[[#This Row],[TargetID]],tblTargets[TargetID],tblTargets[DisplayName],"")</f>
        <v>Alchemists Hut - Gold Ingot</v>
      </c>
      <c r="D656" s="41" t="str">
        <f>_xlfn.XLOOKUP(tblCostChecklist[[#This Row],[TargetID]],tblTargets[TargetID],tblTargets[TargetType],"")</f>
        <v>TECH</v>
      </c>
      <c r="E656" s="41" t="s">
        <v>677</v>
      </c>
      <c r="F656" s="41">
        <v>1</v>
      </c>
      <c r="G656" s="41">
        <f>_xlfn.XLOOKUP(
 tblCostChecklist[[#This Row],[RequirementID]],
 tblCost[RequirementID],
 tblCost[QuantityRequired],
 ""
)</f>
        <v>10</v>
      </c>
      <c r="H6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6" s="41" t="str">
        <f>_xlfn.XLOOKUP(tblCostChecklist[[#This Row],[TargetID]],tblTargetStatus[TargetID],tblTargetStatus[Status])</f>
        <v>BLOCKED</v>
      </c>
      <c r="J656" s="25" t="b">
        <v>0</v>
      </c>
    </row>
    <row r="657" spans="1:10">
      <c r="A657" s="41" t="s">
        <v>4305</v>
      </c>
      <c r="B657" s="41" t="str">
        <f>_xlfn.TEXTAFTER(
 _xlfn.TEXTBEFORE(tblCostChecklist[[#This Row],[RequirementID]],".",-2),
 "cost."
)</f>
        <v>tech.alchemists_hut.gold_ingot</v>
      </c>
      <c r="C657" s="41" t="str">
        <f>_xlfn.XLOOKUP(tblCostChecklist[[#This Row],[TargetID]],tblTargets[TargetID],tblTargets[DisplayName],"")</f>
        <v>Alchemists Hut - Gold Ingot</v>
      </c>
      <c r="D657" s="41" t="str">
        <f>_xlfn.XLOOKUP(tblCostChecklist[[#This Row],[TargetID]],tblTargets[TargetID],tblTargets[TargetType],"")</f>
        <v>TECH</v>
      </c>
      <c r="E657" s="41" t="s">
        <v>680</v>
      </c>
      <c r="F657" s="41">
        <v>1</v>
      </c>
      <c r="G657" s="41">
        <f>_xlfn.XLOOKUP(
 tblCostChecklist[[#This Row],[RequirementID]],
 tblCost[RequirementID],
 tblCost[QuantityRequired],
 ""
)</f>
        <v>20</v>
      </c>
      <c r="H6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7" s="41" t="str">
        <f>_xlfn.XLOOKUP(tblCostChecklist[[#This Row],[TargetID]],tblTargetStatus[TargetID],tblTargetStatus[Status])</f>
        <v>BLOCKED</v>
      </c>
      <c r="J657" s="25" t="b">
        <v>0</v>
      </c>
    </row>
    <row r="658" spans="1:10">
      <c r="A658" s="41" t="s">
        <v>4306</v>
      </c>
      <c r="B658" s="41" t="str">
        <f>_xlfn.TEXTAFTER(
 _xlfn.TEXTBEFORE(tblCostChecklist[[#This Row],[RequirementID]],".",-2),
 "cost."
)</f>
        <v>tech.alchemists_hut.gold_ingot</v>
      </c>
      <c r="C658" s="41" t="str">
        <f>_xlfn.XLOOKUP(tblCostChecklist[[#This Row],[TargetID]],tblTargets[TargetID],tblTargets[DisplayName],"")</f>
        <v>Alchemists Hut - Gold Ingot</v>
      </c>
      <c r="D658" s="41" t="str">
        <f>_xlfn.XLOOKUP(tblCostChecklist[[#This Row],[TargetID]],tblTargets[TargetID],tblTargets[TargetType],"")</f>
        <v>TECH</v>
      </c>
      <c r="E658" s="41" t="s">
        <v>687</v>
      </c>
      <c r="F658" s="41">
        <v>1</v>
      </c>
      <c r="G658" s="41">
        <f>_xlfn.XLOOKUP(
 tblCostChecklist[[#This Row],[RequirementID]],
 tblCost[RequirementID],
 tblCost[QuantityRequired],
 ""
)</f>
        <v>15</v>
      </c>
      <c r="H6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8" s="41" t="str">
        <f>_xlfn.XLOOKUP(tblCostChecklist[[#This Row],[TargetID]],tblTargetStatus[TargetID],tblTargetStatus[Status])</f>
        <v>BLOCKED</v>
      </c>
      <c r="J658" s="25" t="b">
        <v>0</v>
      </c>
    </row>
    <row r="659" spans="1:10">
      <c r="A659" s="41" t="s">
        <v>4307</v>
      </c>
      <c r="B659" s="41" t="str">
        <f>_xlfn.TEXTAFTER(
 _xlfn.TEXTBEFORE(tblCostChecklist[[#This Row],[RequirementID]],".",-2),
 "cost."
)</f>
        <v>tech.alchemists_hut.gold_ingot</v>
      </c>
      <c r="C659" s="41" t="str">
        <f>_xlfn.XLOOKUP(tblCostChecklist[[#This Row],[TargetID]],tblTargets[TargetID],tblTargets[DisplayName],"")</f>
        <v>Alchemists Hut - Gold Ingot</v>
      </c>
      <c r="D659" s="41" t="str">
        <f>_xlfn.XLOOKUP(tblCostChecklist[[#This Row],[TargetID]],tblTargets[TargetID],tblTargets[TargetType],"")</f>
        <v>TECH</v>
      </c>
      <c r="E659" s="41" t="s">
        <v>708</v>
      </c>
      <c r="F659" s="41">
        <v>1</v>
      </c>
      <c r="G659" s="41">
        <f>_xlfn.XLOOKUP(
 tblCostChecklist[[#This Row],[RequirementID]],
 tblCost[RequirementID],
 tblCost[QuantityRequired],
 ""
)</f>
        <v>3</v>
      </c>
      <c r="H6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9" s="41" t="str">
        <f>_xlfn.XLOOKUP(tblCostChecklist[[#This Row],[TargetID]],tblTargetStatus[TargetID],tblTargetStatus[Status])</f>
        <v>BLOCKED</v>
      </c>
      <c r="J659" s="25" t="b">
        <v>0</v>
      </c>
    </row>
    <row r="660" spans="1:10">
      <c r="A660" s="41" t="s">
        <v>4308</v>
      </c>
      <c r="B660" s="41" t="str">
        <f>_xlfn.TEXTAFTER(
 _xlfn.TEXTBEFORE(tblCostChecklist[[#This Row],[RequirementID]],".",-2),
 "cost."
)</f>
        <v>tech.alchemists_hut.madness_grenade</v>
      </c>
      <c r="C660" s="41" t="str">
        <f>_xlfn.XLOOKUP(tblCostChecklist[[#This Row],[TargetID]],tblTargets[TargetID],tblTargets[DisplayName],"")</f>
        <v>Alchemists Hut - Madness Grenade</v>
      </c>
      <c r="D660" s="41" t="str">
        <f>_xlfn.XLOOKUP(tblCostChecklist[[#This Row],[TargetID]],tblTargets[TargetID],tblTargets[TargetType],"")</f>
        <v>TECH</v>
      </c>
      <c r="E660" s="41" t="s">
        <v>655</v>
      </c>
      <c r="F660" s="41">
        <v>1</v>
      </c>
      <c r="G660" s="41">
        <f>_xlfn.XLOOKUP(
 tblCostChecklist[[#This Row],[RequirementID]],
 tblCost[RequirementID],
 tblCost[QuantityRequired],
 ""
)</f>
        <v>5</v>
      </c>
      <c r="H6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0" s="41" t="str">
        <f>_xlfn.XLOOKUP(tblCostChecklist[[#This Row],[TargetID]],tblTargetStatus[TargetID],tblTargetStatus[Status])</f>
        <v>BLOCKED</v>
      </c>
      <c r="J660" s="25" t="b">
        <v>0</v>
      </c>
    </row>
    <row r="661" spans="1:10">
      <c r="A661" s="41" t="s">
        <v>4309</v>
      </c>
      <c r="B661" s="41" t="str">
        <f>_xlfn.TEXTAFTER(
 _xlfn.TEXTBEFORE(tblCostChecklist[[#This Row],[RequirementID]],".",-2),
 "cost."
)</f>
        <v>tech.alchemists_hut.madness_grenade</v>
      </c>
      <c r="C661" s="41" t="str">
        <f>_xlfn.XLOOKUP(tblCostChecklist[[#This Row],[TargetID]],tblTargets[TargetID],tblTargets[DisplayName],"")</f>
        <v>Alchemists Hut - Madness Grenade</v>
      </c>
      <c r="D661" s="41" t="str">
        <f>_xlfn.XLOOKUP(tblCostChecklist[[#This Row],[TargetID]],tblTargets[TargetID],tblTargets[TargetType],"")</f>
        <v>TECH</v>
      </c>
      <c r="E661" s="41" t="s">
        <v>666</v>
      </c>
      <c r="F661" s="41">
        <v>1</v>
      </c>
      <c r="G661" s="41">
        <f>_xlfn.XLOOKUP(
 tblCostChecklist[[#This Row],[RequirementID]],
 tblCost[RequirementID],
 tblCost[QuantityRequired],
 ""
)</f>
        <v>300</v>
      </c>
      <c r="H6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1" s="41" t="str">
        <f>_xlfn.XLOOKUP(tblCostChecklist[[#This Row],[TargetID]],tblTargetStatus[TargetID],tblTargetStatus[Status])</f>
        <v>BLOCKED</v>
      </c>
      <c r="J661" s="25" t="b">
        <v>0</v>
      </c>
    </row>
    <row r="662" spans="1:10">
      <c r="A662" s="41" t="s">
        <v>4310</v>
      </c>
      <c r="B662" s="41" t="str">
        <f>_xlfn.TEXTAFTER(
 _xlfn.TEXTBEFORE(tblCostChecklist[[#This Row],[RequirementID]],".",-2),
 "cost."
)</f>
        <v>tech.alchemists_hut.madness_grenade</v>
      </c>
      <c r="C662" s="41" t="str">
        <f>_xlfn.XLOOKUP(tblCostChecklist[[#This Row],[TargetID]],tblTargets[TargetID],tblTargets[DisplayName],"")</f>
        <v>Alchemists Hut - Madness Grenade</v>
      </c>
      <c r="D662" s="41" t="str">
        <f>_xlfn.XLOOKUP(tblCostChecklist[[#This Row],[TargetID]],tblTargets[TargetID],tblTargets[TargetType],"")</f>
        <v>TECH</v>
      </c>
      <c r="E662" s="41" t="s">
        <v>674</v>
      </c>
      <c r="F662" s="41">
        <v>1</v>
      </c>
      <c r="G662" s="41">
        <f>_xlfn.XLOOKUP(
 tblCostChecklist[[#This Row],[RequirementID]],
 tblCost[RequirementID],
 tblCost[QuantityRequired],
 ""
)</f>
        <v>10</v>
      </c>
      <c r="H6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2" s="41" t="str">
        <f>_xlfn.XLOOKUP(tblCostChecklist[[#This Row],[TargetID]],tblTargetStatus[TargetID],tblTargetStatus[Status])</f>
        <v>BLOCKED</v>
      </c>
      <c r="J662" s="25" t="b">
        <v>0</v>
      </c>
    </row>
    <row r="663" spans="1:10">
      <c r="A663" s="41" t="s">
        <v>4311</v>
      </c>
      <c r="B663" s="41" t="str">
        <f>_xlfn.TEXTAFTER(
 _xlfn.TEXTBEFORE(tblCostChecklist[[#This Row],[RequirementID]],".",-2),
 "cost."
)</f>
        <v>tech.alchemists_hut.madness_grenade</v>
      </c>
      <c r="C663" s="41" t="str">
        <f>_xlfn.XLOOKUP(tblCostChecklist[[#This Row],[TargetID]],tblTargets[TargetID],tblTargets[DisplayName],"")</f>
        <v>Alchemists Hut - Madness Grenade</v>
      </c>
      <c r="D663" s="41" t="str">
        <f>_xlfn.XLOOKUP(tblCostChecklist[[#This Row],[TargetID]],tblTargets[TargetID],tblTargets[TargetType],"")</f>
        <v>TECH</v>
      </c>
      <c r="E663" s="41" t="s">
        <v>677</v>
      </c>
      <c r="F663" s="41">
        <v>1</v>
      </c>
      <c r="G663" s="41">
        <f>_xlfn.XLOOKUP(
 tblCostChecklist[[#This Row],[RequirementID]],
 tblCost[RequirementID],
 tblCost[QuantityRequired],
 ""
)</f>
        <v>10</v>
      </c>
      <c r="H6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3" s="41" t="str">
        <f>_xlfn.XLOOKUP(tblCostChecklist[[#This Row],[TargetID]],tblTargetStatus[TargetID],tblTargetStatus[Status])</f>
        <v>BLOCKED</v>
      </c>
      <c r="J663" s="25" t="b">
        <v>0</v>
      </c>
    </row>
    <row r="664" spans="1:10">
      <c r="A664" s="41" t="s">
        <v>4312</v>
      </c>
      <c r="B664" s="41" t="str">
        <f>_xlfn.TEXTAFTER(
 _xlfn.TEXTBEFORE(tblCostChecklist[[#This Row],[RequirementID]],".",-2),
 "cost."
)</f>
        <v>tech.alchemists_hut.madness_grenade</v>
      </c>
      <c r="C664" s="41" t="str">
        <f>_xlfn.XLOOKUP(tblCostChecklist[[#This Row],[TargetID]],tblTargets[TargetID],tblTargets[DisplayName],"")</f>
        <v>Alchemists Hut - Madness Grenade</v>
      </c>
      <c r="D664" s="41" t="str">
        <f>_xlfn.XLOOKUP(tblCostChecklist[[#This Row],[TargetID]],tblTargets[TargetID],tblTargets[TargetType],"")</f>
        <v>TECH</v>
      </c>
      <c r="E664" s="41" t="s">
        <v>678</v>
      </c>
      <c r="F664" s="41">
        <v>1</v>
      </c>
      <c r="G664" s="41">
        <f>_xlfn.XLOOKUP(
 tblCostChecklist[[#This Row],[RequirementID]],
 tblCost[RequirementID],
 tblCost[QuantityRequired],
 ""
)</f>
        <v>100</v>
      </c>
      <c r="H6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4" s="41" t="str">
        <f>_xlfn.XLOOKUP(tblCostChecklist[[#This Row],[TargetID]],tblTargetStatus[TargetID],tblTargetStatus[Status])</f>
        <v>BLOCKED</v>
      </c>
      <c r="J664" s="25" t="b">
        <v>0</v>
      </c>
    </row>
    <row r="665" spans="1:10">
      <c r="A665" s="41" t="s">
        <v>4313</v>
      </c>
      <c r="B665" s="41" t="str">
        <f>_xlfn.TEXTAFTER(
 _xlfn.TEXTBEFORE(tblCostChecklist[[#This Row],[RequirementID]],".",-2),
 "cost."
)</f>
        <v>tech.alchemists_hut.madness_grenade</v>
      </c>
      <c r="C665" s="41" t="str">
        <f>_xlfn.XLOOKUP(tblCostChecklist[[#This Row],[TargetID]],tblTargets[TargetID],tblTargets[DisplayName],"")</f>
        <v>Alchemists Hut - Madness Grenade</v>
      </c>
      <c r="D665" s="41" t="str">
        <f>_xlfn.XLOOKUP(tblCostChecklist[[#This Row],[TargetID]],tblTargets[TargetID],tblTargets[TargetType],"")</f>
        <v>TECH</v>
      </c>
      <c r="E665" s="41" t="s">
        <v>679</v>
      </c>
      <c r="F665" s="41">
        <v>1</v>
      </c>
      <c r="G665" s="41">
        <f>_xlfn.XLOOKUP(
 tblCostChecklist[[#This Row],[RequirementID]],
 tblCost[RequirementID],
 tblCost[QuantityRequired],
 ""
)</f>
        <v>10</v>
      </c>
      <c r="H6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5" s="41" t="str">
        <f>_xlfn.XLOOKUP(tblCostChecklist[[#This Row],[TargetID]],tblTargetStatus[TargetID],tblTargetStatus[Status])</f>
        <v>BLOCKED</v>
      </c>
      <c r="J665" s="25" t="b">
        <v>0</v>
      </c>
    </row>
    <row r="666" spans="1:10">
      <c r="A666" s="41" t="s">
        <v>4314</v>
      </c>
      <c r="B666" s="41" t="str">
        <f>_xlfn.TEXTAFTER(
 _xlfn.TEXTBEFORE(tblCostChecklist[[#This Row],[RequirementID]],".",-2),
 "cost."
)</f>
        <v>tech.alchemists_hut.madness_grenade</v>
      </c>
      <c r="C666" s="41" t="str">
        <f>_xlfn.XLOOKUP(tblCostChecklist[[#This Row],[TargetID]],tblTargets[TargetID],tblTargets[DisplayName],"")</f>
        <v>Alchemists Hut - Madness Grenade</v>
      </c>
      <c r="D666" s="41" t="str">
        <f>_xlfn.XLOOKUP(tblCostChecklist[[#This Row],[TargetID]],tblTargets[TargetID],tblTargets[TargetType],"")</f>
        <v>TECH</v>
      </c>
      <c r="E666" s="41" t="s">
        <v>687</v>
      </c>
      <c r="F666" s="41">
        <v>1</v>
      </c>
      <c r="G666" s="41">
        <f>_xlfn.XLOOKUP(
 tblCostChecklist[[#This Row],[RequirementID]],
 tblCost[RequirementID],
 tblCost[QuantityRequired],
 ""
)</f>
        <v>10</v>
      </c>
      <c r="H6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6" s="41" t="str">
        <f>_xlfn.XLOOKUP(tblCostChecklist[[#This Row],[TargetID]],tblTargetStatus[TargetID],tblTargetStatus[Status])</f>
        <v>BLOCKED</v>
      </c>
      <c r="J666" s="25" t="b">
        <v>0</v>
      </c>
    </row>
    <row r="667" spans="1:10">
      <c r="A667" s="41" t="s">
        <v>4315</v>
      </c>
      <c r="B667" s="41" t="str">
        <f>_xlfn.TEXTAFTER(
 _xlfn.TEXTBEFORE(tblCostChecklist[[#This Row],[RequirementID]],".",-2),
 "cost."
)</f>
        <v>tech.alchemists_hut.madness_grenade</v>
      </c>
      <c r="C667" s="41" t="str">
        <f>_xlfn.XLOOKUP(tblCostChecklist[[#This Row],[TargetID]],tblTargets[TargetID],tblTargets[DisplayName],"")</f>
        <v>Alchemists Hut - Madness Grenade</v>
      </c>
      <c r="D667" s="41" t="str">
        <f>_xlfn.XLOOKUP(tblCostChecklist[[#This Row],[TargetID]],tblTargets[TargetID],tblTargets[TargetType],"")</f>
        <v>TECH</v>
      </c>
      <c r="E667" s="41" t="s">
        <v>708</v>
      </c>
      <c r="F667" s="41">
        <v>1</v>
      </c>
      <c r="G667" s="41">
        <f>_xlfn.XLOOKUP(
 tblCostChecklist[[#This Row],[RequirementID]],
 tblCost[RequirementID],
 tblCost[QuantityRequired],
 ""
)</f>
        <v>1</v>
      </c>
      <c r="H6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7" s="41" t="str">
        <f>_xlfn.XLOOKUP(tblCostChecklist[[#This Row],[TargetID]],tblTargetStatus[TargetID],tblTargetStatus[Status])</f>
        <v>BLOCKED</v>
      </c>
      <c r="J667" s="25" t="b">
        <v>0</v>
      </c>
    </row>
    <row r="668" spans="1:10">
      <c r="A668" s="41" t="s">
        <v>4316</v>
      </c>
      <c r="B668" s="41" t="str">
        <f>_xlfn.TEXTAFTER(
 _xlfn.TEXTBEFORE(tblCostChecklist[[#This Row],[RequirementID]],".",-2),
 "cost."
)</f>
        <v>tech.alchemists_hut.potion_of_healing</v>
      </c>
      <c r="C668" s="41" t="str">
        <f>_xlfn.XLOOKUP(tblCostChecklist[[#This Row],[TargetID]],tblTargets[TargetID],tblTargets[DisplayName],"")</f>
        <v>Alchemists Hut - Potion Of Healing</v>
      </c>
      <c r="D668" s="41" t="str">
        <f>_xlfn.XLOOKUP(tblCostChecklist[[#This Row],[TargetID]],tblTargets[TargetID],tblTargets[TargetType],"")</f>
        <v>TECH</v>
      </c>
      <c r="E668" s="41" t="s">
        <v>666</v>
      </c>
      <c r="F668" s="41">
        <v>1</v>
      </c>
      <c r="G668" s="41">
        <f>_xlfn.XLOOKUP(
 tblCostChecklist[[#This Row],[RequirementID]],
 tblCost[RequirementID],
 tblCost[QuantityRequired],
 ""
)</f>
        <v>300</v>
      </c>
      <c r="H6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8" s="41" t="str">
        <f>_xlfn.XLOOKUP(tblCostChecklist[[#This Row],[TargetID]],tblTargetStatus[TargetID],tblTargetStatus[Status])</f>
        <v>BLOCKED</v>
      </c>
      <c r="J668" s="25" t="b">
        <v>0</v>
      </c>
    </row>
    <row r="669" spans="1:10">
      <c r="A669" s="41" t="s">
        <v>4317</v>
      </c>
      <c r="B669" s="41" t="str">
        <f>_xlfn.TEXTAFTER(
 _xlfn.TEXTBEFORE(tblCostChecklist[[#This Row],[RequirementID]],".",-2),
 "cost."
)</f>
        <v>tech.alchemists_hut.potion_of_healing</v>
      </c>
      <c r="C669" s="41" t="str">
        <f>_xlfn.XLOOKUP(tblCostChecklist[[#This Row],[TargetID]],tblTargets[TargetID],tblTargets[DisplayName],"")</f>
        <v>Alchemists Hut - Potion Of Healing</v>
      </c>
      <c r="D669" s="41" t="str">
        <f>_xlfn.XLOOKUP(tblCostChecklist[[#This Row],[TargetID]],tblTargets[TargetID],tblTargets[TargetType],"")</f>
        <v>TECH</v>
      </c>
      <c r="E669" s="41" t="s">
        <v>667</v>
      </c>
      <c r="F669" s="41">
        <v>1</v>
      </c>
      <c r="G669" s="41">
        <f>_xlfn.XLOOKUP(
 tblCostChecklist[[#This Row],[RequirementID]],
 tblCost[RequirementID],
 tblCost[QuantityRequired],
 ""
)</f>
        <v>50</v>
      </c>
      <c r="H6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9" s="41" t="str">
        <f>_xlfn.XLOOKUP(tblCostChecklist[[#This Row],[TargetID]],tblTargetStatus[TargetID],tblTargetStatus[Status])</f>
        <v>BLOCKED</v>
      </c>
      <c r="J669" s="25" t="b">
        <v>0</v>
      </c>
    </row>
    <row r="670" spans="1:10">
      <c r="A670" s="41" t="s">
        <v>4318</v>
      </c>
      <c r="B670" s="41" t="str">
        <f>_xlfn.TEXTAFTER(
 _xlfn.TEXTBEFORE(tblCostChecklist[[#This Row],[RequirementID]],".",-2),
 "cost."
)</f>
        <v>tech.alchemists_hut.potion_of_healing</v>
      </c>
      <c r="C670" s="41" t="str">
        <f>_xlfn.XLOOKUP(tblCostChecklist[[#This Row],[TargetID]],tblTargets[TargetID],tblTargets[DisplayName],"")</f>
        <v>Alchemists Hut - Potion Of Healing</v>
      </c>
      <c r="D670" s="41" t="str">
        <f>_xlfn.XLOOKUP(tblCostChecklist[[#This Row],[TargetID]],tblTargets[TargetID],tblTargets[TargetType],"")</f>
        <v>TECH</v>
      </c>
      <c r="E670" s="41" t="s">
        <v>674</v>
      </c>
      <c r="F670" s="41">
        <v>1</v>
      </c>
      <c r="G670" s="41">
        <f>_xlfn.XLOOKUP(
 tblCostChecklist[[#This Row],[RequirementID]],
 tblCost[RequirementID],
 tblCost[QuantityRequired],
 ""
)</f>
        <v>10</v>
      </c>
      <c r="H6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0" s="41" t="str">
        <f>_xlfn.XLOOKUP(tblCostChecklist[[#This Row],[TargetID]],tblTargetStatus[TargetID],tblTargetStatus[Status])</f>
        <v>BLOCKED</v>
      </c>
      <c r="J670" s="25" t="b">
        <v>0</v>
      </c>
    </row>
    <row r="671" spans="1:10">
      <c r="A671" s="41" t="s">
        <v>4319</v>
      </c>
      <c r="B671" s="41" t="str">
        <f>_xlfn.TEXTAFTER(
 _xlfn.TEXTBEFORE(tblCostChecklist[[#This Row],[RequirementID]],".",-2),
 "cost."
)</f>
        <v>tech.alchemists_hut.potion_of_healing</v>
      </c>
      <c r="C671" s="41" t="str">
        <f>_xlfn.XLOOKUP(tblCostChecklist[[#This Row],[TargetID]],tblTargets[TargetID],tblTargets[DisplayName],"")</f>
        <v>Alchemists Hut - Potion Of Healing</v>
      </c>
      <c r="D671" s="41" t="str">
        <f>_xlfn.XLOOKUP(tblCostChecklist[[#This Row],[TargetID]],tblTargets[TargetID],tblTargets[TargetType],"")</f>
        <v>TECH</v>
      </c>
      <c r="E671" s="41" t="s">
        <v>696</v>
      </c>
      <c r="F671" s="41">
        <v>1</v>
      </c>
      <c r="G671" s="41">
        <f>_xlfn.XLOOKUP(
 tblCostChecklist[[#This Row],[RequirementID]],
 tblCost[RequirementID],
 tblCost[QuantityRequired],
 ""
)</f>
        <v>15</v>
      </c>
      <c r="H6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1" s="41" t="str">
        <f>_xlfn.XLOOKUP(tblCostChecklist[[#This Row],[TargetID]],tblTargetStatus[TargetID],tblTargetStatus[Status])</f>
        <v>BLOCKED</v>
      </c>
      <c r="J671" s="25" t="b">
        <v>0</v>
      </c>
    </row>
    <row r="672" spans="1:10">
      <c r="A672" s="41" t="s">
        <v>4320</v>
      </c>
      <c r="B672" s="41" t="str">
        <f>_xlfn.TEXTAFTER(
 _xlfn.TEXTBEFORE(tblCostChecklist[[#This Row],[RequirementID]],".",-2),
 "cost."
)</f>
        <v>tech.alchemists_hut.potion_of_healing</v>
      </c>
      <c r="C672" s="41" t="str">
        <f>_xlfn.XLOOKUP(tblCostChecklist[[#This Row],[TargetID]],tblTargets[TargetID],tblTargets[DisplayName],"")</f>
        <v>Alchemists Hut - Potion Of Healing</v>
      </c>
      <c r="D672" s="41" t="str">
        <f>_xlfn.XLOOKUP(tblCostChecklist[[#This Row],[TargetID]],tblTargets[TargetID],tblTargets[TargetType],"")</f>
        <v>TECH</v>
      </c>
      <c r="E672" s="41" t="s">
        <v>705</v>
      </c>
      <c r="F672" s="41">
        <v>1</v>
      </c>
      <c r="G672" s="41">
        <f>_xlfn.XLOOKUP(
 tblCostChecklist[[#This Row],[RequirementID]],
 tblCost[RequirementID],
 tblCost[QuantityRequired],
 ""
)</f>
        <v>15</v>
      </c>
      <c r="H6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2" s="41" t="str">
        <f>_xlfn.XLOOKUP(tblCostChecklist[[#This Row],[TargetID]],tblTargetStatus[TargetID],tblTargetStatus[Status])</f>
        <v>BLOCKED</v>
      </c>
      <c r="J672" s="25" t="b">
        <v>0</v>
      </c>
    </row>
    <row r="673" spans="1:10">
      <c r="A673" s="41" t="s">
        <v>4321</v>
      </c>
      <c r="B673" s="41" t="str">
        <f>_xlfn.TEXTAFTER(
 _xlfn.TEXTBEFORE(tblCostChecklist[[#This Row],[RequirementID]],".",-2),
 "cost."
)</f>
        <v>tech.alchemists_hut.potion_of_healing</v>
      </c>
      <c r="C673" s="41" t="str">
        <f>_xlfn.XLOOKUP(tblCostChecklist[[#This Row],[TargetID]],tblTargets[TargetID],tblTargets[DisplayName],"")</f>
        <v>Alchemists Hut - Potion Of Healing</v>
      </c>
      <c r="D673" s="41" t="str">
        <f>_xlfn.XLOOKUP(tblCostChecklist[[#This Row],[TargetID]],tblTargets[TargetID],tblTargets[TargetType],"")</f>
        <v>TECH</v>
      </c>
      <c r="E673" s="41" t="s">
        <v>708</v>
      </c>
      <c r="F673" s="41">
        <v>1</v>
      </c>
      <c r="G673" s="41">
        <f>_xlfn.XLOOKUP(
 tblCostChecklist[[#This Row],[RequirementID]],
 tblCost[RequirementID],
 tblCost[QuantityRequired],
 ""
)</f>
        <v>1</v>
      </c>
      <c r="H6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3" s="41" t="str">
        <f>_xlfn.XLOOKUP(tblCostChecklist[[#This Row],[TargetID]],tblTargetStatus[TargetID],tblTargetStatus[Status])</f>
        <v>BLOCKED</v>
      </c>
      <c r="J673" s="25" t="b">
        <v>0</v>
      </c>
    </row>
    <row r="674" spans="1:10">
      <c r="A674" s="41" t="s">
        <v>4322</v>
      </c>
      <c r="B674" s="41" t="str">
        <f>_xlfn.TEXTAFTER(
 _xlfn.TEXTBEFORE(tblCostChecklist[[#This Row],[RequirementID]],".",-2),
 "cost."
)</f>
        <v>tech.alchemists_hut.potion_of_energy</v>
      </c>
      <c r="C674" s="41" t="str">
        <f>_xlfn.XLOOKUP(tblCostChecklist[[#This Row],[TargetID]],tblTargets[TargetID],tblTargets[DisplayName],"")</f>
        <v>Alchemists Hut - Potion Of Energy</v>
      </c>
      <c r="D674" s="41" t="str">
        <f>_xlfn.XLOOKUP(tblCostChecklist[[#This Row],[TargetID]],tblTargets[TargetID],tblTargets[TargetType],"")</f>
        <v>TECH</v>
      </c>
      <c r="E674" s="41" t="s">
        <v>666</v>
      </c>
      <c r="F674" s="41">
        <v>1</v>
      </c>
      <c r="G674" s="41">
        <f>_xlfn.XLOOKUP(
 tblCostChecklist[[#This Row],[RequirementID]],
 tblCost[RequirementID],
 tblCost[QuantityRequired],
 ""
)</f>
        <v>300</v>
      </c>
      <c r="H6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4" s="41" t="str">
        <f>_xlfn.XLOOKUP(tblCostChecklist[[#This Row],[TargetID]],tblTargetStatus[TargetID],tblTargetStatus[Status])</f>
        <v>BLOCKED</v>
      </c>
      <c r="J674" s="25" t="b">
        <v>0</v>
      </c>
    </row>
    <row r="675" spans="1:10">
      <c r="A675" s="41" t="s">
        <v>4323</v>
      </c>
      <c r="B675" s="41" t="str">
        <f>_xlfn.TEXTAFTER(
 _xlfn.TEXTBEFORE(tblCostChecklist[[#This Row],[RequirementID]],".",-2),
 "cost."
)</f>
        <v>tech.alchemists_hut.potion_of_energy</v>
      </c>
      <c r="C675" s="41" t="str">
        <f>_xlfn.XLOOKUP(tblCostChecklist[[#This Row],[TargetID]],tblTargets[TargetID],tblTargets[DisplayName],"")</f>
        <v>Alchemists Hut - Potion Of Energy</v>
      </c>
      <c r="D675" s="41" t="str">
        <f>_xlfn.XLOOKUP(tblCostChecklist[[#This Row],[TargetID]],tblTargets[TargetID],tblTargets[TargetType],"")</f>
        <v>TECH</v>
      </c>
      <c r="E675" s="41" t="s">
        <v>667</v>
      </c>
      <c r="F675" s="41">
        <v>1</v>
      </c>
      <c r="G675" s="41">
        <f>_xlfn.XLOOKUP(
 tblCostChecklist[[#This Row],[RequirementID]],
 tblCost[RequirementID],
 tblCost[QuantityRequired],
 ""
)</f>
        <v>50</v>
      </c>
      <c r="H6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5" s="41" t="str">
        <f>_xlfn.XLOOKUP(tblCostChecklist[[#This Row],[TargetID]],tblTargetStatus[TargetID],tblTargetStatus[Status])</f>
        <v>BLOCKED</v>
      </c>
      <c r="J675" s="25" t="b">
        <v>0</v>
      </c>
    </row>
    <row r="676" spans="1:10">
      <c r="A676" s="41" t="s">
        <v>4324</v>
      </c>
      <c r="B676" s="41" t="str">
        <f>_xlfn.TEXTAFTER(
 _xlfn.TEXTBEFORE(tblCostChecklist[[#This Row],[RequirementID]],".",-2),
 "cost."
)</f>
        <v>tech.alchemists_hut.potion_of_energy</v>
      </c>
      <c r="C676" s="41" t="str">
        <f>_xlfn.XLOOKUP(tblCostChecklist[[#This Row],[TargetID]],tblTargets[TargetID],tblTargets[DisplayName],"")</f>
        <v>Alchemists Hut - Potion Of Energy</v>
      </c>
      <c r="D676" s="41" t="str">
        <f>_xlfn.XLOOKUP(tblCostChecklist[[#This Row],[TargetID]],tblTargets[TargetID],tblTargets[TargetType],"")</f>
        <v>TECH</v>
      </c>
      <c r="E676" s="41" t="s">
        <v>674</v>
      </c>
      <c r="F676" s="41">
        <v>1</v>
      </c>
      <c r="G676" s="41">
        <f>_xlfn.XLOOKUP(
 tblCostChecklist[[#This Row],[RequirementID]],
 tblCost[RequirementID],
 tblCost[QuantityRequired],
 ""
)</f>
        <v>10</v>
      </c>
      <c r="H6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6" s="41" t="str">
        <f>_xlfn.XLOOKUP(tblCostChecklist[[#This Row],[TargetID]],tblTargetStatus[TargetID],tblTargetStatus[Status])</f>
        <v>BLOCKED</v>
      </c>
      <c r="J676" s="25" t="b">
        <v>0</v>
      </c>
    </row>
    <row r="677" spans="1:10">
      <c r="A677" s="41" t="s">
        <v>4325</v>
      </c>
      <c r="B677" s="41" t="str">
        <f>_xlfn.TEXTAFTER(
 _xlfn.TEXTBEFORE(tblCostChecklist[[#This Row],[RequirementID]],".",-2),
 "cost."
)</f>
        <v>tech.alchemists_hut.potion_of_energy</v>
      </c>
      <c r="C677" s="41" t="str">
        <f>_xlfn.XLOOKUP(tblCostChecklist[[#This Row],[TargetID]],tblTargets[TargetID],tblTargets[DisplayName],"")</f>
        <v>Alchemists Hut - Potion Of Energy</v>
      </c>
      <c r="D677" s="41" t="str">
        <f>_xlfn.XLOOKUP(tblCostChecklist[[#This Row],[TargetID]],tblTargets[TargetID],tblTargets[TargetType],"")</f>
        <v>TECH</v>
      </c>
      <c r="E677" s="41" t="s">
        <v>696</v>
      </c>
      <c r="F677" s="41">
        <v>1</v>
      </c>
      <c r="G677" s="41">
        <f>_xlfn.XLOOKUP(
 tblCostChecklist[[#This Row],[RequirementID]],
 tblCost[RequirementID],
 tblCost[QuantityRequired],
 ""
)</f>
        <v>15</v>
      </c>
      <c r="H6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7" s="41" t="str">
        <f>_xlfn.XLOOKUP(tblCostChecklist[[#This Row],[TargetID]],tblTargetStatus[TargetID],tblTargetStatus[Status])</f>
        <v>BLOCKED</v>
      </c>
      <c r="J677" s="25" t="b">
        <v>0</v>
      </c>
    </row>
    <row r="678" spans="1:10">
      <c r="A678" s="41" t="s">
        <v>4326</v>
      </c>
      <c r="B678" s="41" t="str">
        <f>_xlfn.TEXTAFTER(
 _xlfn.TEXTBEFORE(tblCostChecklist[[#This Row],[RequirementID]],".",-2),
 "cost."
)</f>
        <v>tech.alchemists_hut.potion_of_energy</v>
      </c>
      <c r="C678" s="41" t="str">
        <f>_xlfn.XLOOKUP(tblCostChecklist[[#This Row],[TargetID]],tblTargets[TargetID],tblTargets[DisplayName],"")</f>
        <v>Alchemists Hut - Potion Of Energy</v>
      </c>
      <c r="D678" s="41" t="str">
        <f>_xlfn.XLOOKUP(tblCostChecklist[[#This Row],[TargetID]],tblTargets[TargetID],tblTargets[TargetType],"")</f>
        <v>TECH</v>
      </c>
      <c r="E678" s="41" t="s">
        <v>705</v>
      </c>
      <c r="F678" s="41">
        <v>1</v>
      </c>
      <c r="G678" s="41">
        <f>_xlfn.XLOOKUP(
 tblCostChecklist[[#This Row],[RequirementID]],
 tblCost[RequirementID],
 tblCost[QuantityRequired],
 ""
)</f>
        <v>15</v>
      </c>
      <c r="H6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8" s="41" t="str">
        <f>_xlfn.XLOOKUP(tblCostChecklist[[#This Row],[TargetID]],tblTargetStatus[TargetID],tblTargetStatus[Status])</f>
        <v>BLOCKED</v>
      </c>
      <c r="J678" s="25" t="b">
        <v>0</v>
      </c>
    </row>
    <row r="679" spans="1:10">
      <c r="A679" s="41" t="s">
        <v>4327</v>
      </c>
      <c r="B679" s="41" t="str">
        <f>_xlfn.TEXTAFTER(
 _xlfn.TEXTBEFORE(tblCostChecklist[[#This Row],[RequirementID]],".",-2),
 "cost."
)</f>
        <v>tech.alchemists_hut.potion_of_energy</v>
      </c>
      <c r="C679" s="41" t="str">
        <f>_xlfn.XLOOKUP(tblCostChecklist[[#This Row],[TargetID]],tblTargets[TargetID],tblTargets[DisplayName],"")</f>
        <v>Alchemists Hut - Potion Of Energy</v>
      </c>
      <c r="D679" s="41" t="str">
        <f>_xlfn.XLOOKUP(tblCostChecklist[[#This Row],[TargetID]],tblTargets[TargetID],tblTargets[TargetType],"")</f>
        <v>TECH</v>
      </c>
      <c r="E679" s="41" t="s">
        <v>708</v>
      </c>
      <c r="F679" s="41">
        <v>1</v>
      </c>
      <c r="G679" s="41">
        <f>_xlfn.XLOOKUP(
 tblCostChecklist[[#This Row],[RequirementID]],
 tblCost[RequirementID],
 tblCost[QuantityRequired],
 ""
)</f>
        <v>1</v>
      </c>
      <c r="H6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9" s="41" t="str">
        <f>_xlfn.XLOOKUP(tblCostChecklist[[#This Row],[TargetID]],tblTargetStatus[TargetID],tblTargetStatus[Status])</f>
        <v>BLOCKED</v>
      </c>
      <c r="J679" s="25" t="b">
        <v>0</v>
      </c>
    </row>
    <row r="680" spans="1:10">
      <c r="A680" s="41" t="s">
        <v>4328</v>
      </c>
      <c r="B680" s="41" t="str">
        <f>_xlfn.TEXTAFTER(
 _xlfn.TEXTBEFORE(tblCostChecklist[[#This Row],[RequirementID]],".",-2),
 "cost."
)</f>
        <v>tech.alchemists_hut.potion_berserker_rage</v>
      </c>
      <c r="C680" s="41" t="str">
        <f>_xlfn.XLOOKUP(tblCostChecklist[[#This Row],[TargetID]],tblTargets[TargetID],tblTargets[DisplayName],"")</f>
        <v>Alchemists Hut - Potion Berserker Rage</v>
      </c>
      <c r="D680" s="41" t="str">
        <f>_xlfn.XLOOKUP(tblCostChecklist[[#This Row],[TargetID]],tblTargets[TargetID],tblTargets[TargetType],"")</f>
        <v>TECH</v>
      </c>
      <c r="E680" s="41" t="s">
        <v>666</v>
      </c>
      <c r="F680" s="41">
        <v>1</v>
      </c>
      <c r="G680" s="41">
        <f>_xlfn.XLOOKUP(
 tblCostChecklist[[#This Row],[RequirementID]],
 tblCost[RequirementID],
 tblCost[QuantityRequired],
 ""
)</f>
        <v>500</v>
      </c>
      <c r="H6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0" s="41" t="str">
        <f>_xlfn.XLOOKUP(tblCostChecklist[[#This Row],[TargetID]],tblTargetStatus[TargetID],tblTargetStatus[Status])</f>
        <v>BLOCKED</v>
      </c>
      <c r="J680" s="25" t="b">
        <v>0</v>
      </c>
    </row>
    <row r="681" spans="1:10">
      <c r="A681" s="41" t="s">
        <v>4329</v>
      </c>
      <c r="B681" s="41" t="str">
        <f>_xlfn.TEXTAFTER(
 _xlfn.TEXTBEFORE(tblCostChecklist[[#This Row],[RequirementID]],".",-2),
 "cost."
)</f>
        <v>tech.alchemists_hut.potion_berserker_rage</v>
      </c>
      <c r="C681" s="41" t="str">
        <f>_xlfn.XLOOKUP(tblCostChecklist[[#This Row],[TargetID]],tblTargets[TargetID],tblTargets[DisplayName],"")</f>
        <v>Alchemists Hut - Potion Berserker Rage</v>
      </c>
      <c r="D681" s="41" t="str">
        <f>_xlfn.XLOOKUP(tblCostChecklist[[#This Row],[TargetID]],tblTargets[TargetID],tblTargets[TargetType],"")</f>
        <v>TECH</v>
      </c>
      <c r="E681" s="41" t="s">
        <v>674</v>
      </c>
      <c r="F681" s="41">
        <v>1</v>
      </c>
      <c r="G681" s="41">
        <f>_xlfn.XLOOKUP(
 tblCostChecklist[[#This Row],[RequirementID]],
 tblCost[RequirementID],
 tblCost[QuantityRequired],
 ""
)</f>
        <v>10</v>
      </c>
      <c r="H6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1" s="41" t="str">
        <f>_xlfn.XLOOKUP(tblCostChecklist[[#This Row],[TargetID]],tblTargetStatus[TargetID],tblTargetStatus[Status])</f>
        <v>BLOCKED</v>
      </c>
      <c r="J681" s="25" t="b">
        <v>0</v>
      </c>
    </row>
    <row r="682" spans="1:10">
      <c r="A682" s="41" t="s">
        <v>4330</v>
      </c>
      <c r="B682" s="41" t="str">
        <f>_xlfn.TEXTAFTER(
 _xlfn.TEXTBEFORE(tblCostChecklist[[#This Row],[RequirementID]],".",-2),
 "cost."
)</f>
        <v>tech.alchemists_hut.potion_berserker_rage</v>
      </c>
      <c r="C682" s="41" t="str">
        <f>_xlfn.XLOOKUP(tblCostChecklist[[#This Row],[TargetID]],tblTargets[TargetID],tblTargets[DisplayName],"")</f>
        <v>Alchemists Hut - Potion Berserker Rage</v>
      </c>
      <c r="D682" s="41" t="str">
        <f>_xlfn.XLOOKUP(tblCostChecklist[[#This Row],[TargetID]],tblTargets[TargetID],tblTargets[TargetType],"")</f>
        <v>TECH</v>
      </c>
      <c r="E682" s="41" t="s">
        <v>940</v>
      </c>
      <c r="F682" s="41">
        <v>1</v>
      </c>
      <c r="G682" s="41">
        <f>_xlfn.XLOOKUP(
 tblCostChecklist[[#This Row],[RequirementID]],
 tblCost[RequirementID],
 tblCost[QuantityRequired],
 ""
)</f>
        <v>10</v>
      </c>
      <c r="H6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2" s="41" t="str">
        <f>_xlfn.XLOOKUP(tblCostChecklist[[#This Row],[TargetID]],tblTargetStatus[TargetID],tblTargetStatus[Status])</f>
        <v>BLOCKED</v>
      </c>
      <c r="J682" s="25" t="b">
        <v>0</v>
      </c>
    </row>
    <row r="683" spans="1:10">
      <c r="A683" s="41" t="s">
        <v>4331</v>
      </c>
      <c r="B683" s="41" t="str">
        <f>_xlfn.TEXTAFTER(
 _xlfn.TEXTBEFORE(tblCostChecklist[[#This Row],[RequirementID]],".",-2),
 "cost."
)</f>
        <v>tech.alchemists_hut.potion_berserker_rage</v>
      </c>
      <c r="C683" s="41" t="str">
        <f>_xlfn.XLOOKUP(tblCostChecklist[[#This Row],[TargetID]],tblTargets[TargetID],tblTargets[DisplayName],"")</f>
        <v>Alchemists Hut - Potion Berserker Rage</v>
      </c>
      <c r="D683" s="41" t="str">
        <f>_xlfn.XLOOKUP(tblCostChecklist[[#This Row],[TargetID]],tblTargets[TargetID],tblTargets[TargetType],"")</f>
        <v>TECH</v>
      </c>
      <c r="E683" s="41" t="s">
        <v>696</v>
      </c>
      <c r="F683" s="41">
        <v>1</v>
      </c>
      <c r="G683" s="41">
        <f>_xlfn.XLOOKUP(
 tblCostChecklist[[#This Row],[RequirementID]],
 tblCost[RequirementID],
 tblCost[QuantityRequired],
 ""
)</f>
        <v>20</v>
      </c>
      <c r="H6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3" s="41" t="str">
        <f>_xlfn.XLOOKUP(tblCostChecklist[[#This Row],[TargetID]],tblTargetStatus[TargetID],tblTargetStatus[Status])</f>
        <v>BLOCKED</v>
      </c>
      <c r="J683" s="25" t="b">
        <v>0</v>
      </c>
    </row>
    <row r="684" spans="1:10">
      <c r="A684" s="41" t="s">
        <v>4332</v>
      </c>
      <c r="B684" s="41" t="str">
        <f>_xlfn.TEXTAFTER(
 _xlfn.TEXTBEFORE(tblCostChecklist[[#This Row],[RequirementID]],".",-2),
 "cost."
)</f>
        <v>tech.alchemists_hut.potion_berserker_rage</v>
      </c>
      <c r="C684" s="41" t="str">
        <f>_xlfn.XLOOKUP(tblCostChecklist[[#This Row],[TargetID]],tblTargets[TargetID],tblTargets[DisplayName],"")</f>
        <v>Alchemists Hut - Potion Berserker Rage</v>
      </c>
      <c r="D684" s="41" t="str">
        <f>_xlfn.XLOOKUP(tblCostChecklist[[#This Row],[TargetID]],tblTargets[TargetID],tblTargets[TargetType],"")</f>
        <v>TECH</v>
      </c>
      <c r="E684" s="41" t="s">
        <v>705</v>
      </c>
      <c r="F684" s="41">
        <v>1</v>
      </c>
      <c r="G684" s="41">
        <f>_xlfn.XLOOKUP(
 tblCostChecklist[[#This Row],[RequirementID]],
 tblCost[RequirementID],
 tblCost[QuantityRequired],
 ""
)</f>
        <v>20</v>
      </c>
      <c r="H6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4" s="41" t="str">
        <f>_xlfn.XLOOKUP(tblCostChecklist[[#This Row],[TargetID]],tblTargetStatus[TargetID],tblTargetStatus[Status])</f>
        <v>BLOCKED</v>
      </c>
      <c r="J684" s="25" t="b">
        <v>0</v>
      </c>
    </row>
    <row r="685" spans="1:10">
      <c r="A685" s="41" t="s">
        <v>4333</v>
      </c>
      <c r="B685" s="41" t="str">
        <f>_xlfn.TEXTAFTER(
 _xlfn.TEXTBEFORE(tblCostChecklist[[#This Row],[RequirementID]],".",-2),
 "cost."
)</f>
        <v>tech.alchemists_hut.potion_berserker_rage</v>
      </c>
      <c r="C685" s="41" t="str">
        <f>_xlfn.XLOOKUP(tblCostChecklist[[#This Row],[TargetID]],tblTargets[TargetID],tblTargets[DisplayName],"")</f>
        <v>Alchemists Hut - Potion Berserker Rage</v>
      </c>
      <c r="D685" s="41" t="str">
        <f>_xlfn.XLOOKUP(tblCostChecklist[[#This Row],[TargetID]],tblTargets[TargetID],tblTargets[TargetType],"")</f>
        <v>TECH</v>
      </c>
      <c r="E685" s="41" t="s">
        <v>708</v>
      </c>
      <c r="F685" s="41">
        <v>1</v>
      </c>
      <c r="G685" s="41">
        <f>_xlfn.XLOOKUP(
 tblCostChecklist[[#This Row],[RequirementID]],
 tblCost[RequirementID],
 tblCost[QuantityRequired],
 ""
)</f>
        <v>3</v>
      </c>
      <c r="H6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5" s="41" t="str">
        <f>_xlfn.XLOOKUP(tblCostChecklist[[#This Row],[TargetID]],tblTargetStatus[TargetID],tblTargetStatus[Status])</f>
        <v>BLOCKED</v>
      </c>
      <c r="J685" s="25" t="b">
        <v>0</v>
      </c>
    </row>
    <row r="686" spans="1:10">
      <c r="A686" s="41" t="s">
        <v>4334</v>
      </c>
      <c r="B686" s="41" t="str">
        <f>_xlfn.TEXTAFTER(
 _xlfn.TEXTBEFORE(tblCostChecklist[[#This Row],[RequirementID]],".",-2),
 "cost."
)</f>
        <v>tech.alchemists_hut.potion_berserker_rage</v>
      </c>
      <c r="C686" s="41" t="str">
        <f>_xlfn.XLOOKUP(tblCostChecklist[[#This Row],[TargetID]],tblTargets[TargetID],tblTargets[DisplayName],"")</f>
        <v>Alchemists Hut - Potion Berserker Rage</v>
      </c>
      <c r="D686" s="41" t="str">
        <f>_xlfn.XLOOKUP(tblCostChecklist[[#This Row],[TargetID]],tblTargets[TargetID],tblTargets[TargetType],"")</f>
        <v>TECH</v>
      </c>
      <c r="E686" s="41" t="s">
        <v>715</v>
      </c>
      <c r="F686" s="41">
        <v>1</v>
      </c>
      <c r="G686" s="41">
        <f>_xlfn.XLOOKUP(
 tblCostChecklist[[#This Row],[RequirementID]],
 tblCost[RequirementID],
 tblCost[QuantityRequired],
 ""
)</f>
        <v>3</v>
      </c>
      <c r="H6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6" s="41" t="str">
        <f>_xlfn.XLOOKUP(tblCostChecklist[[#This Row],[TargetID]],tblTargetStatus[TargetID],tblTargetStatus[Status])</f>
        <v>BLOCKED</v>
      </c>
      <c r="J686" s="25" t="b">
        <v>0</v>
      </c>
    </row>
    <row r="687" spans="1:10">
      <c r="A687" s="41" t="s">
        <v>4335</v>
      </c>
      <c r="B687" s="41" t="str">
        <f>_xlfn.TEXTAFTER(
 _xlfn.TEXTBEFORE(tblCostChecklist[[#This Row],[RequirementID]],".",-2),
 "cost."
)</f>
        <v>tech.alchemists_hut.potion_of_healing_lvl_2</v>
      </c>
      <c r="C687" s="41" t="str">
        <f>_xlfn.XLOOKUP(tblCostChecklist[[#This Row],[TargetID]],tblTargets[TargetID],tblTargets[DisplayName],"")</f>
        <v>Alchemists Hut - Potion Of Healing Lvl 2</v>
      </c>
      <c r="D687" s="41" t="str">
        <f>_xlfn.XLOOKUP(tblCostChecklist[[#This Row],[TargetID]],tblTargets[TargetID],tblTargets[TargetType],"")</f>
        <v>TECH</v>
      </c>
      <c r="E687" s="41" t="s">
        <v>928</v>
      </c>
      <c r="F687" s="41">
        <v>1</v>
      </c>
      <c r="G687" s="41">
        <f>_xlfn.XLOOKUP(
 tblCostChecklist[[#This Row],[RequirementID]],
 tblCost[RequirementID],
 tblCost[QuantityRequired],
 ""
)</f>
        <v>15</v>
      </c>
      <c r="H6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7" s="41" t="str">
        <f>_xlfn.XLOOKUP(tblCostChecklist[[#This Row],[TargetID]],tblTargetStatus[TargetID],tblTargetStatus[Status])</f>
        <v>BLOCKED</v>
      </c>
      <c r="J687" s="25" t="b">
        <v>0</v>
      </c>
    </row>
    <row r="688" spans="1:10">
      <c r="A688" s="41" t="s">
        <v>4336</v>
      </c>
      <c r="B688" s="41" t="str">
        <f>_xlfn.TEXTAFTER(
 _xlfn.TEXTBEFORE(tblCostChecklist[[#This Row],[RequirementID]],".",-2),
 "cost."
)</f>
        <v>tech.alchemists_hut.potion_of_healing_lvl_2</v>
      </c>
      <c r="C688" s="41" t="str">
        <f>_xlfn.XLOOKUP(tblCostChecklist[[#This Row],[TargetID]],tblTargets[TargetID],tblTargets[DisplayName],"")</f>
        <v>Alchemists Hut - Potion Of Healing Lvl 2</v>
      </c>
      <c r="D688" s="41" t="str">
        <f>_xlfn.XLOOKUP(tblCostChecklist[[#This Row],[TargetID]],tblTargets[TargetID],tblTargets[TargetType],"")</f>
        <v>TECH</v>
      </c>
      <c r="E688" s="41" t="s">
        <v>666</v>
      </c>
      <c r="F688" s="41">
        <v>1</v>
      </c>
      <c r="G688" s="41">
        <f>_xlfn.XLOOKUP(
 tblCostChecklist[[#This Row],[RequirementID]],
 tblCost[RequirementID],
 tblCost[QuantityRequired],
 ""
)</f>
        <v>500</v>
      </c>
      <c r="H6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8" s="41" t="str">
        <f>_xlfn.XLOOKUP(tblCostChecklist[[#This Row],[TargetID]],tblTargetStatus[TargetID],tblTargetStatus[Status])</f>
        <v>BLOCKED</v>
      </c>
      <c r="J688" s="25" t="b">
        <v>0</v>
      </c>
    </row>
    <row r="689" spans="1:10">
      <c r="A689" s="41" t="s">
        <v>4337</v>
      </c>
      <c r="B689" s="41" t="str">
        <f>_xlfn.TEXTAFTER(
 _xlfn.TEXTBEFORE(tblCostChecklist[[#This Row],[RequirementID]],".",-2),
 "cost."
)</f>
        <v>tech.alchemists_hut.potion_of_healing_lvl_2</v>
      </c>
      <c r="C689" s="41" t="str">
        <f>_xlfn.XLOOKUP(tblCostChecklist[[#This Row],[TargetID]],tblTargets[TargetID],tblTargets[DisplayName],"")</f>
        <v>Alchemists Hut - Potion Of Healing Lvl 2</v>
      </c>
      <c r="D689" s="41" t="str">
        <f>_xlfn.XLOOKUP(tblCostChecklist[[#This Row],[TargetID]],tblTargets[TargetID],tblTargets[TargetType],"")</f>
        <v>TECH</v>
      </c>
      <c r="E689" s="41" t="s">
        <v>940</v>
      </c>
      <c r="F689" s="41">
        <v>1</v>
      </c>
      <c r="G689" s="41">
        <f>_xlfn.XLOOKUP(
 tblCostChecklist[[#This Row],[RequirementID]],
 tblCost[RequirementID],
 tblCost[QuantityRequired],
 ""
)</f>
        <v>10</v>
      </c>
      <c r="H6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9" s="41" t="str">
        <f>_xlfn.XLOOKUP(tblCostChecklist[[#This Row],[TargetID]],tblTargetStatus[TargetID],tblTargetStatus[Status])</f>
        <v>BLOCKED</v>
      </c>
      <c r="J689" s="25" t="b">
        <v>0</v>
      </c>
    </row>
    <row r="690" spans="1:10">
      <c r="A690" s="41" t="s">
        <v>4338</v>
      </c>
      <c r="B690" s="41" t="str">
        <f>_xlfn.TEXTAFTER(
 _xlfn.TEXTBEFORE(tblCostChecklist[[#This Row],[RequirementID]],".",-2),
 "cost."
)</f>
        <v>tech.alchemists_hut.potion_of_healing_lvl_2</v>
      </c>
      <c r="C690" s="41" t="str">
        <f>_xlfn.XLOOKUP(tblCostChecklist[[#This Row],[TargetID]],tblTargets[TargetID],tblTargets[DisplayName],"")</f>
        <v>Alchemists Hut - Potion Of Healing Lvl 2</v>
      </c>
      <c r="D690" s="41" t="str">
        <f>_xlfn.XLOOKUP(tblCostChecklist[[#This Row],[TargetID]],tblTargets[TargetID],tblTargets[TargetType],"")</f>
        <v>TECH</v>
      </c>
      <c r="E690" s="41" t="s">
        <v>696</v>
      </c>
      <c r="F690" s="41">
        <v>1</v>
      </c>
      <c r="G690" s="41">
        <f>_xlfn.XLOOKUP(
 tblCostChecklist[[#This Row],[RequirementID]],
 tblCost[RequirementID],
 tblCost[QuantityRequired],
 ""
)</f>
        <v>20</v>
      </c>
      <c r="H6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0" s="41" t="str">
        <f>_xlfn.XLOOKUP(tblCostChecklist[[#This Row],[TargetID]],tblTargetStatus[TargetID],tblTargetStatus[Status])</f>
        <v>BLOCKED</v>
      </c>
      <c r="J690" s="25" t="b">
        <v>0</v>
      </c>
    </row>
    <row r="691" spans="1:10">
      <c r="A691" s="41" t="s">
        <v>4339</v>
      </c>
      <c r="B691" s="41" t="str">
        <f>_xlfn.TEXTAFTER(
 _xlfn.TEXTBEFORE(tblCostChecklist[[#This Row],[RequirementID]],".",-2),
 "cost."
)</f>
        <v>tech.alchemists_hut.potion_of_healing_lvl_2</v>
      </c>
      <c r="C691" s="41" t="str">
        <f>_xlfn.XLOOKUP(tblCostChecklist[[#This Row],[TargetID]],tblTargets[TargetID],tblTargets[DisplayName],"")</f>
        <v>Alchemists Hut - Potion Of Healing Lvl 2</v>
      </c>
      <c r="D691" s="41" t="str">
        <f>_xlfn.XLOOKUP(tblCostChecklist[[#This Row],[TargetID]],tblTargets[TargetID],tblTargets[TargetType],"")</f>
        <v>TECH</v>
      </c>
      <c r="E691" s="41" t="s">
        <v>944</v>
      </c>
      <c r="F691" s="41">
        <v>1</v>
      </c>
      <c r="G691" s="41">
        <f>_xlfn.XLOOKUP(
 tblCostChecklist[[#This Row],[RequirementID]],
 tblCost[RequirementID],
 tblCost[QuantityRequired],
 ""
)</f>
        <v>12</v>
      </c>
      <c r="H6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1" s="41" t="str">
        <f>_xlfn.XLOOKUP(tblCostChecklist[[#This Row],[TargetID]],tblTargetStatus[TargetID],tblTargetStatus[Status])</f>
        <v>BLOCKED</v>
      </c>
      <c r="J691" s="25" t="b">
        <v>0</v>
      </c>
    </row>
    <row r="692" spans="1:10">
      <c r="A692" s="41" t="s">
        <v>4340</v>
      </c>
      <c r="B692" s="41" t="str">
        <f>_xlfn.TEXTAFTER(
 _xlfn.TEXTBEFORE(tblCostChecklist[[#This Row],[RequirementID]],".",-2),
 "cost."
)</f>
        <v>tech.alchemists_hut.potion_of_healing_lvl_2</v>
      </c>
      <c r="C692" s="41" t="str">
        <f>_xlfn.XLOOKUP(tblCostChecklist[[#This Row],[TargetID]],tblTargets[TargetID],tblTargets[DisplayName],"")</f>
        <v>Alchemists Hut - Potion Of Healing Lvl 2</v>
      </c>
      <c r="D692" s="41" t="str">
        <f>_xlfn.XLOOKUP(tblCostChecklist[[#This Row],[TargetID]],tblTargets[TargetID],tblTargets[TargetType],"")</f>
        <v>TECH</v>
      </c>
      <c r="E692" s="41" t="s">
        <v>705</v>
      </c>
      <c r="F692" s="41">
        <v>1</v>
      </c>
      <c r="G692" s="41">
        <f>_xlfn.XLOOKUP(
 tblCostChecklist[[#This Row],[RequirementID]],
 tblCost[RequirementID],
 tblCost[QuantityRequired],
 ""
)</f>
        <v>20</v>
      </c>
      <c r="H6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2" s="41" t="str">
        <f>_xlfn.XLOOKUP(tblCostChecklist[[#This Row],[TargetID]],tblTargetStatus[TargetID],tblTargetStatus[Status])</f>
        <v>BLOCKED</v>
      </c>
      <c r="J692" s="25" t="b">
        <v>0</v>
      </c>
    </row>
    <row r="693" spans="1:10">
      <c r="A693" s="41" t="s">
        <v>4341</v>
      </c>
      <c r="B693" s="41" t="str">
        <f>_xlfn.TEXTAFTER(
 _xlfn.TEXTBEFORE(tblCostChecklist[[#This Row],[RequirementID]],".",-2),
 "cost."
)</f>
        <v>tech.alchemists_hut.potion_of_healing_lvl_2</v>
      </c>
      <c r="C693" s="41" t="str">
        <f>_xlfn.XLOOKUP(tblCostChecklist[[#This Row],[TargetID]],tblTargets[TargetID],tblTargets[DisplayName],"")</f>
        <v>Alchemists Hut - Potion Of Healing Lvl 2</v>
      </c>
      <c r="D693" s="41" t="str">
        <f>_xlfn.XLOOKUP(tblCostChecklist[[#This Row],[TargetID]],tblTargets[TargetID],tblTargets[TargetType],"")</f>
        <v>TECH</v>
      </c>
      <c r="E693" s="41" t="s">
        <v>708</v>
      </c>
      <c r="F693" s="41">
        <v>1</v>
      </c>
      <c r="G693" s="41">
        <f>_xlfn.XLOOKUP(
 tblCostChecklist[[#This Row],[RequirementID]],
 tblCost[RequirementID],
 tblCost[QuantityRequired],
 ""
)</f>
        <v>3</v>
      </c>
      <c r="H6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3" s="41" t="str">
        <f>_xlfn.XLOOKUP(tblCostChecklist[[#This Row],[TargetID]],tblTargetStatus[TargetID],tblTargetStatus[Status])</f>
        <v>BLOCKED</v>
      </c>
      <c r="J693" s="25" t="b">
        <v>0</v>
      </c>
    </row>
    <row r="694" spans="1:10">
      <c r="A694" s="41" t="s">
        <v>4342</v>
      </c>
      <c r="B694" s="41" t="str">
        <f>_xlfn.TEXTAFTER(
 _xlfn.TEXTBEFORE(tblCostChecklist[[#This Row],[RequirementID]],".",-2),
 "cost."
)</f>
        <v>tech.alchemists_hut.potion_ambrosia</v>
      </c>
      <c r="C694" s="41" t="str">
        <f>_xlfn.XLOOKUP(tblCostChecklist[[#This Row],[TargetID]],tblTargets[TargetID],tblTargets[DisplayName],"")</f>
        <v>Alchemists Hut - Potion Ambrosia</v>
      </c>
      <c r="D694" s="41" t="str">
        <f>_xlfn.XLOOKUP(tblCostChecklist[[#This Row],[TargetID]],tblTargets[TargetID],tblTargets[TargetType],"")</f>
        <v>TECH</v>
      </c>
      <c r="E694" s="41" t="s">
        <v>928</v>
      </c>
      <c r="F694" s="41">
        <v>1</v>
      </c>
      <c r="G694" s="41">
        <f>_xlfn.XLOOKUP(
 tblCostChecklist[[#This Row],[RequirementID]],
 tblCost[RequirementID],
 tblCost[QuantityRequired],
 ""
)</f>
        <v>20</v>
      </c>
      <c r="H6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4" s="41" t="str">
        <f>_xlfn.XLOOKUP(tblCostChecklist[[#This Row],[TargetID]],tblTargetStatus[TargetID],tblTargetStatus[Status])</f>
        <v>BLOCKED</v>
      </c>
      <c r="J694" s="25" t="b">
        <v>0</v>
      </c>
    </row>
    <row r="695" spans="1:10">
      <c r="A695" s="41" t="s">
        <v>4343</v>
      </c>
      <c r="B695" s="41" t="str">
        <f>_xlfn.TEXTAFTER(
 _xlfn.TEXTBEFORE(tblCostChecklist[[#This Row],[RequirementID]],".",-2),
 "cost."
)</f>
        <v>tech.alchemists_hut.potion_ambrosia</v>
      </c>
      <c r="C695" s="41" t="str">
        <f>_xlfn.XLOOKUP(tblCostChecklist[[#This Row],[TargetID]],tblTargets[TargetID],tblTargets[DisplayName],"")</f>
        <v>Alchemists Hut - Potion Ambrosia</v>
      </c>
      <c r="D695" s="41" t="str">
        <f>_xlfn.XLOOKUP(tblCostChecklist[[#This Row],[TargetID]],tblTargets[TargetID],tblTargets[TargetType],"")</f>
        <v>TECH</v>
      </c>
      <c r="E695" s="41" t="s">
        <v>666</v>
      </c>
      <c r="F695" s="41">
        <v>1</v>
      </c>
      <c r="G695" s="41">
        <f>_xlfn.XLOOKUP(
 tblCostChecklist[[#This Row],[RequirementID]],
 tblCost[RequirementID],
 tblCost[QuantityRequired],
 ""
)</f>
        <v>1000</v>
      </c>
      <c r="H6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5" s="41" t="str">
        <f>_xlfn.XLOOKUP(tblCostChecklist[[#This Row],[TargetID]],tblTargetStatus[TargetID],tblTargetStatus[Status])</f>
        <v>BLOCKED</v>
      </c>
      <c r="J695" s="25" t="b">
        <v>0</v>
      </c>
    </row>
    <row r="696" spans="1:10">
      <c r="A696" s="41" t="s">
        <v>4344</v>
      </c>
      <c r="B696" s="41" t="str">
        <f>_xlfn.TEXTAFTER(
 _xlfn.TEXTBEFORE(tblCostChecklist[[#This Row],[RequirementID]],".",-2),
 "cost."
)</f>
        <v>tech.alchemists_hut.potion_ambrosia</v>
      </c>
      <c r="C696" s="41" t="str">
        <f>_xlfn.XLOOKUP(tblCostChecklist[[#This Row],[TargetID]],tblTargets[TargetID],tblTargets[DisplayName],"")</f>
        <v>Alchemists Hut - Potion Ambrosia</v>
      </c>
      <c r="D696" s="41" t="str">
        <f>_xlfn.XLOOKUP(tblCostChecklist[[#This Row],[TargetID]],tblTargets[TargetID],tblTargets[TargetType],"")</f>
        <v>TECH</v>
      </c>
      <c r="E696" s="41" t="s">
        <v>940</v>
      </c>
      <c r="F696" s="41">
        <v>1</v>
      </c>
      <c r="G696" s="41">
        <f>_xlfn.XLOOKUP(
 tblCostChecklist[[#This Row],[RequirementID]],
 tblCost[RequirementID],
 tblCost[QuantityRequired],
 ""
)</f>
        <v>15</v>
      </c>
      <c r="H6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6" s="41" t="str">
        <f>_xlfn.XLOOKUP(tblCostChecklist[[#This Row],[TargetID]],tblTargetStatus[TargetID],tblTargetStatus[Status])</f>
        <v>BLOCKED</v>
      </c>
      <c r="J696" s="25" t="b">
        <v>0</v>
      </c>
    </row>
    <row r="697" spans="1:10">
      <c r="A697" s="41" t="s">
        <v>4345</v>
      </c>
      <c r="B697" s="41" t="str">
        <f>_xlfn.TEXTAFTER(
 _xlfn.TEXTBEFORE(tblCostChecklist[[#This Row],[RequirementID]],".",-2),
 "cost."
)</f>
        <v>tech.alchemists_hut.potion_ambrosia</v>
      </c>
      <c r="C697" s="41" t="str">
        <f>_xlfn.XLOOKUP(tblCostChecklist[[#This Row],[TargetID]],tblTargets[TargetID],tblTargets[DisplayName],"")</f>
        <v>Alchemists Hut - Potion Ambrosia</v>
      </c>
      <c r="D697" s="41" t="str">
        <f>_xlfn.XLOOKUP(tblCostChecklist[[#This Row],[TargetID]],tblTargets[TargetID],tblTargets[TargetType],"")</f>
        <v>TECH</v>
      </c>
      <c r="E697" s="41" t="s">
        <v>696</v>
      </c>
      <c r="F697" s="41">
        <v>1</v>
      </c>
      <c r="G697" s="41">
        <f>_xlfn.XLOOKUP(
 tblCostChecklist[[#This Row],[RequirementID]],
 tblCost[RequirementID],
 tblCost[QuantityRequired],
 ""
)</f>
        <v>30</v>
      </c>
      <c r="H6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7" s="41" t="str">
        <f>_xlfn.XLOOKUP(tblCostChecklist[[#This Row],[TargetID]],tblTargetStatus[TargetID],tblTargetStatus[Status])</f>
        <v>BLOCKED</v>
      </c>
      <c r="J697" s="25" t="b">
        <v>0</v>
      </c>
    </row>
    <row r="698" spans="1:10">
      <c r="A698" s="41" t="s">
        <v>4346</v>
      </c>
      <c r="B698" s="41" t="str">
        <f>_xlfn.TEXTAFTER(
 _xlfn.TEXTBEFORE(tblCostChecklist[[#This Row],[RequirementID]],".",-2),
 "cost."
)</f>
        <v>tech.alchemists_hut.potion_ambrosia</v>
      </c>
      <c r="C698" s="41" t="str">
        <f>_xlfn.XLOOKUP(tblCostChecklist[[#This Row],[TargetID]],tblTargets[TargetID],tblTargets[DisplayName],"")</f>
        <v>Alchemists Hut - Potion Ambrosia</v>
      </c>
      <c r="D698" s="41" t="str">
        <f>_xlfn.XLOOKUP(tblCostChecklist[[#This Row],[TargetID]],tblTargets[TargetID],tblTargets[TargetType],"")</f>
        <v>TECH</v>
      </c>
      <c r="E698" s="41" t="s">
        <v>945</v>
      </c>
      <c r="F698" s="41">
        <v>1</v>
      </c>
      <c r="G698" s="41">
        <f>_xlfn.XLOOKUP(
 tblCostChecklist[[#This Row],[RequirementID]],
 tblCost[RequirementID],
 tblCost[QuantityRequired],
 ""
)</f>
        <v>12</v>
      </c>
      <c r="H6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8" s="41" t="str">
        <f>_xlfn.XLOOKUP(tblCostChecklist[[#This Row],[TargetID]],tblTargetStatus[TargetID],tblTargetStatus[Status])</f>
        <v>BLOCKED</v>
      </c>
      <c r="J698" s="25" t="b">
        <v>0</v>
      </c>
    </row>
    <row r="699" spans="1:10">
      <c r="A699" s="41" t="s">
        <v>4347</v>
      </c>
      <c r="B699" s="41" t="str">
        <f>_xlfn.TEXTAFTER(
 _xlfn.TEXTBEFORE(tblCostChecklist[[#This Row],[RequirementID]],".",-2),
 "cost."
)</f>
        <v>tech.alchemists_hut.potion_ambrosia</v>
      </c>
      <c r="C699" s="41" t="str">
        <f>_xlfn.XLOOKUP(tblCostChecklist[[#This Row],[TargetID]],tblTargets[TargetID],tblTargets[DisplayName],"")</f>
        <v>Alchemists Hut - Potion Ambrosia</v>
      </c>
      <c r="D699" s="41" t="str">
        <f>_xlfn.XLOOKUP(tblCostChecklist[[#This Row],[TargetID]],tblTargets[TargetID],tblTargets[TargetType],"")</f>
        <v>TECH</v>
      </c>
      <c r="E699" s="41" t="s">
        <v>705</v>
      </c>
      <c r="F699" s="41">
        <v>1</v>
      </c>
      <c r="G699" s="41">
        <f>_xlfn.XLOOKUP(
 tblCostChecklist[[#This Row],[RequirementID]],
 tblCost[RequirementID],
 tblCost[QuantityRequired],
 ""
)</f>
        <v>30</v>
      </c>
      <c r="H6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9" s="41" t="str">
        <f>_xlfn.XLOOKUP(tblCostChecklist[[#This Row],[TargetID]],tblTargetStatus[TargetID],tblTargetStatus[Status])</f>
        <v>BLOCKED</v>
      </c>
      <c r="J699" s="25" t="b">
        <v>0</v>
      </c>
    </row>
    <row r="700" spans="1:10">
      <c r="A700" s="41" t="s">
        <v>4348</v>
      </c>
      <c r="B700" s="41" t="str">
        <f>_xlfn.TEXTAFTER(
 _xlfn.TEXTBEFORE(tblCostChecklist[[#This Row],[RequirementID]],".",-2),
 "cost."
)</f>
        <v>tech.alchemists_hut.potion_ambrosia</v>
      </c>
      <c r="C700" s="41" t="str">
        <f>_xlfn.XLOOKUP(tblCostChecklist[[#This Row],[TargetID]],tblTargets[TargetID],tblTargets[DisplayName],"")</f>
        <v>Alchemists Hut - Potion Ambrosia</v>
      </c>
      <c r="D700" s="41" t="str">
        <f>_xlfn.XLOOKUP(tblCostChecklist[[#This Row],[TargetID]],tblTargets[TargetID],tblTargets[TargetType],"")</f>
        <v>TECH</v>
      </c>
      <c r="E700" s="41" t="s">
        <v>708</v>
      </c>
      <c r="F700" s="41">
        <v>1</v>
      </c>
      <c r="G700" s="41">
        <f>_xlfn.XLOOKUP(
 tblCostChecklist[[#This Row],[RequirementID]],
 tblCost[RequirementID],
 tblCost[QuantityRequired],
 ""
)</f>
        <v>5</v>
      </c>
      <c r="H7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0" s="41" t="str">
        <f>_xlfn.XLOOKUP(tblCostChecklist[[#This Row],[TargetID]],tblTargetStatus[TargetID],tblTargetStatus[Status])</f>
        <v>BLOCKED</v>
      </c>
      <c r="J700" s="25" t="b">
        <v>0</v>
      </c>
    </row>
    <row r="701" spans="1:10">
      <c r="A701" s="41" t="s">
        <v>4349</v>
      </c>
      <c r="B701" s="41" t="str">
        <f>_xlfn.TEXTAFTER(
 _xlfn.TEXTBEFORE(tblCostChecklist[[#This Row],[RequirementID]],".",-2),
 "cost."
)</f>
        <v>tech.alchemists_hut.conveyor_lvl_1</v>
      </c>
      <c r="C701" s="41" t="str">
        <f>_xlfn.XLOOKUP(tblCostChecklist[[#This Row],[TargetID]],tblTargets[TargetID],tblTargets[DisplayName],"")</f>
        <v>Alchemists Hut - Conveyor Lvl 1</v>
      </c>
      <c r="D701" s="41" t="str">
        <f>_xlfn.XLOOKUP(tblCostChecklist[[#This Row],[TargetID]],tblTargets[TargetID],tblTargets[TargetType],"")</f>
        <v>TECH</v>
      </c>
      <c r="E701" s="41" t="s">
        <v>662</v>
      </c>
      <c r="F701" s="41">
        <v>1</v>
      </c>
      <c r="G701" s="41">
        <f>_xlfn.XLOOKUP(
 tblCostChecklist[[#This Row],[RequirementID]],
 tblCost[RequirementID],
 tblCost[QuantityRequired],
 ""
)</f>
        <v>10</v>
      </c>
      <c r="H7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1" s="41" t="str">
        <f>_xlfn.XLOOKUP(tblCostChecklist[[#This Row],[TargetID]],tblTargetStatus[TargetID],tblTargetStatus[Status])</f>
        <v>BLOCKED</v>
      </c>
      <c r="J701" s="25" t="b">
        <v>0</v>
      </c>
    </row>
    <row r="702" spans="1:10">
      <c r="A702" s="41" t="s">
        <v>4350</v>
      </c>
      <c r="B702" s="41" t="str">
        <f>_xlfn.TEXTAFTER(
 _xlfn.TEXTBEFORE(tblCostChecklist[[#This Row],[RequirementID]],".",-2),
 "cost."
)</f>
        <v>tech.alchemists_hut.conveyor_lvl_1</v>
      </c>
      <c r="C702" s="41" t="str">
        <f>_xlfn.XLOOKUP(tblCostChecklist[[#This Row],[TargetID]],tblTargets[TargetID],tblTargets[DisplayName],"")</f>
        <v>Alchemists Hut - Conveyor Lvl 1</v>
      </c>
      <c r="D702" s="41" t="str">
        <f>_xlfn.XLOOKUP(tblCostChecklist[[#This Row],[TargetID]],tblTargets[TargetID],tblTargets[TargetType],"")</f>
        <v>TECH</v>
      </c>
      <c r="E702" s="41" t="s">
        <v>666</v>
      </c>
      <c r="F702" s="41">
        <v>1</v>
      </c>
      <c r="G702" s="41">
        <f>_xlfn.XLOOKUP(
 tblCostChecklist[[#This Row],[RequirementID]],
 tblCost[RequirementID],
 tblCost[QuantityRequired],
 ""
)</f>
        <v>400</v>
      </c>
      <c r="H7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2" s="41" t="str">
        <f>_xlfn.XLOOKUP(tblCostChecklist[[#This Row],[TargetID]],tblTargetStatus[TargetID],tblTargetStatus[Status])</f>
        <v>BLOCKED</v>
      </c>
      <c r="J702" s="25" t="b">
        <v>0</v>
      </c>
    </row>
    <row r="703" spans="1:10">
      <c r="A703" s="41" t="s">
        <v>4351</v>
      </c>
      <c r="B703" s="41" t="str">
        <f>_xlfn.TEXTAFTER(
 _xlfn.TEXTBEFORE(tblCostChecklist[[#This Row],[RequirementID]],".",-2),
 "cost."
)</f>
        <v>tech.alchemists_hut.conveyor_lvl_1</v>
      </c>
      <c r="C703" s="41" t="str">
        <f>_xlfn.XLOOKUP(tblCostChecklist[[#This Row],[TargetID]],tblTargets[TargetID],tblTargets[DisplayName],"")</f>
        <v>Alchemists Hut - Conveyor Lvl 1</v>
      </c>
      <c r="D703" s="41" t="str">
        <f>_xlfn.XLOOKUP(tblCostChecklist[[#This Row],[TargetID]],tblTargets[TargetID],tblTargets[TargetType],"")</f>
        <v>TECH</v>
      </c>
      <c r="E703" s="41" t="s">
        <v>931</v>
      </c>
      <c r="F703" s="41">
        <v>1</v>
      </c>
      <c r="G703" s="41">
        <f>_xlfn.XLOOKUP(
 tblCostChecklist[[#This Row],[RequirementID]],
 tblCost[RequirementID],
 tblCost[QuantityRequired],
 ""
)</f>
        <v>40</v>
      </c>
      <c r="H7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3" s="41" t="str">
        <f>_xlfn.XLOOKUP(tblCostChecklist[[#This Row],[TargetID]],tblTargetStatus[TargetID],tblTargetStatus[Status])</f>
        <v>BLOCKED</v>
      </c>
      <c r="J703" s="25" t="b">
        <v>0</v>
      </c>
    </row>
    <row r="704" spans="1:10">
      <c r="A704" s="41" t="s">
        <v>4352</v>
      </c>
      <c r="B704" s="41" t="str">
        <f>_xlfn.TEXTAFTER(
 _xlfn.TEXTBEFORE(tblCostChecklist[[#This Row],[RequirementID]],".",-2),
 "cost."
)</f>
        <v>tech.alchemists_hut.conveyor_lvl_1</v>
      </c>
      <c r="C704" s="41" t="str">
        <f>_xlfn.XLOOKUP(tblCostChecklist[[#This Row],[TargetID]],tblTargets[TargetID],tblTargets[DisplayName],"")</f>
        <v>Alchemists Hut - Conveyor Lvl 1</v>
      </c>
      <c r="D704" s="41" t="str">
        <f>_xlfn.XLOOKUP(tblCostChecklist[[#This Row],[TargetID]],tblTargets[TargetID],tblTargets[TargetType],"")</f>
        <v>TECH</v>
      </c>
      <c r="E704" s="41" t="s">
        <v>686</v>
      </c>
      <c r="F704" s="41">
        <v>1</v>
      </c>
      <c r="G704" s="41">
        <f>_xlfn.XLOOKUP(
 tblCostChecklist[[#This Row],[RequirementID]],
 tblCost[RequirementID],
 tblCost[QuantityRequired],
 ""
)</f>
        <v>10</v>
      </c>
      <c r="H7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4" s="41" t="str">
        <f>_xlfn.XLOOKUP(tblCostChecklist[[#This Row],[TargetID]],tblTargetStatus[TargetID],tblTargetStatus[Status])</f>
        <v>BLOCKED</v>
      </c>
      <c r="J704" s="25" t="b">
        <v>0</v>
      </c>
    </row>
    <row r="705" spans="1:10">
      <c r="A705" s="41" t="s">
        <v>4353</v>
      </c>
      <c r="B705" s="41" t="str">
        <f>_xlfn.TEXTAFTER(
 _xlfn.TEXTBEFORE(tblCostChecklist[[#This Row],[RequirementID]],".",-2),
 "cost."
)</f>
        <v>tech.alchemists_hut.conveyor_lvl_1</v>
      </c>
      <c r="C705" s="41" t="str">
        <f>_xlfn.XLOOKUP(tblCostChecklist[[#This Row],[TargetID]],tblTargets[TargetID],tblTargets[DisplayName],"")</f>
        <v>Alchemists Hut - Conveyor Lvl 1</v>
      </c>
      <c r="D705" s="41" t="str">
        <f>_xlfn.XLOOKUP(tblCostChecklist[[#This Row],[TargetID]],tblTargets[TargetID],tblTargets[TargetType],"")</f>
        <v>TECH</v>
      </c>
      <c r="E705" s="41" t="s">
        <v>693</v>
      </c>
      <c r="F705" s="41">
        <v>1</v>
      </c>
      <c r="G705" s="41">
        <f>_xlfn.XLOOKUP(
 tblCostChecklist[[#This Row],[RequirementID]],
 tblCost[RequirementID],
 tblCost[QuantityRequired],
 ""
)</f>
        <v>20</v>
      </c>
      <c r="H7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5" s="41" t="str">
        <f>_xlfn.XLOOKUP(tblCostChecklist[[#This Row],[TargetID]],tblTargetStatus[TargetID],tblTargetStatus[Status])</f>
        <v>BLOCKED</v>
      </c>
      <c r="J705" s="25" t="b">
        <v>0</v>
      </c>
    </row>
    <row r="706" spans="1:10">
      <c r="A706" s="41" t="s">
        <v>4354</v>
      </c>
      <c r="B706" s="41" t="str">
        <f>_xlfn.TEXTAFTER(
 _xlfn.TEXTBEFORE(tblCostChecklist[[#This Row],[RequirementID]],".",-2),
 "cost."
)</f>
        <v>tech.alchemists_hut.conveyor_lvl_1</v>
      </c>
      <c r="C706" s="41" t="str">
        <f>_xlfn.XLOOKUP(tblCostChecklist[[#This Row],[TargetID]],tblTargets[TargetID],tblTargets[DisplayName],"")</f>
        <v>Alchemists Hut - Conveyor Lvl 1</v>
      </c>
      <c r="D706" s="41" t="str">
        <f>_xlfn.XLOOKUP(tblCostChecklist[[#This Row],[TargetID]],tblTargets[TargetID],tblTargets[TargetType],"")</f>
        <v>TECH</v>
      </c>
      <c r="E706" s="41" t="s">
        <v>708</v>
      </c>
      <c r="F706" s="41">
        <v>1</v>
      </c>
      <c r="G706" s="41">
        <f>_xlfn.XLOOKUP(
 tblCostChecklist[[#This Row],[RequirementID]],
 tblCost[RequirementID],
 tblCost[QuantityRequired],
 ""
)</f>
        <v>2</v>
      </c>
      <c r="H7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6" s="41" t="str">
        <f>_xlfn.XLOOKUP(tblCostChecklist[[#This Row],[TargetID]],tblTargetStatus[TargetID],tblTargetStatus[Status])</f>
        <v>BLOCKED</v>
      </c>
      <c r="J706" s="25" t="b">
        <v>0</v>
      </c>
    </row>
    <row r="707" spans="1:10">
      <c r="A707" s="41" t="s">
        <v>4355</v>
      </c>
      <c r="B707" s="41" t="str">
        <f>_xlfn.TEXTAFTER(
 _xlfn.TEXTBEFORE(tblCostChecklist[[#This Row],[RequirementID]],".",-2),
 "cost."
)</f>
        <v>tech.alchemists_hut.conveyor_lvl_2</v>
      </c>
      <c r="C707" s="41" t="str">
        <f>_xlfn.XLOOKUP(tblCostChecklist[[#This Row],[TargetID]],tblTargets[TargetID],tblTargets[DisplayName],"")</f>
        <v>Alchemists Hut - Conveyor Lvl 2</v>
      </c>
      <c r="D707" s="41" t="str">
        <f>_xlfn.XLOOKUP(tblCostChecklist[[#This Row],[TargetID]],tblTargets[TargetID],tblTargets[TargetType],"")</f>
        <v>TECH</v>
      </c>
      <c r="E707" s="41" t="s">
        <v>662</v>
      </c>
      <c r="F707" s="41">
        <v>1</v>
      </c>
      <c r="G707" s="41">
        <f>_xlfn.XLOOKUP(
 tblCostChecklist[[#This Row],[RequirementID]],
 tblCost[RequirementID],
 tblCost[QuantityRequired],
 ""
)</f>
        <v>15</v>
      </c>
      <c r="H7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7" s="41" t="str">
        <f>_xlfn.XLOOKUP(tblCostChecklist[[#This Row],[TargetID]],tblTargetStatus[TargetID],tblTargetStatus[Status])</f>
        <v>BLOCKED</v>
      </c>
      <c r="J707" s="25" t="b">
        <v>0</v>
      </c>
    </row>
    <row r="708" spans="1:10">
      <c r="A708" s="41" t="s">
        <v>4356</v>
      </c>
      <c r="B708" s="41" t="str">
        <f>_xlfn.TEXTAFTER(
 _xlfn.TEXTBEFORE(tblCostChecklist[[#This Row],[RequirementID]],".",-2),
 "cost."
)</f>
        <v>tech.alchemists_hut.conveyor_lvl_2</v>
      </c>
      <c r="C708" s="41" t="str">
        <f>_xlfn.XLOOKUP(tblCostChecklist[[#This Row],[TargetID]],tblTargets[TargetID],tblTargets[DisplayName],"")</f>
        <v>Alchemists Hut - Conveyor Lvl 2</v>
      </c>
      <c r="D708" s="41" t="str">
        <f>_xlfn.XLOOKUP(tblCostChecklist[[#This Row],[TargetID]],tblTargets[TargetID],tblTargets[TargetType],"")</f>
        <v>TECH</v>
      </c>
      <c r="E708" s="41" t="s">
        <v>666</v>
      </c>
      <c r="F708" s="41">
        <v>1</v>
      </c>
      <c r="G708" s="41">
        <f>_xlfn.XLOOKUP(
 tblCostChecklist[[#This Row],[RequirementID]],
 tblCost[RequirementID],
 tblCost[QuantityRequired],
 ""
)</f>
        <v>500</v>
      </c>
      <c r="H7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8" s="41" t="str">
        <f>_xlfn.XLOOKUP(tblCostChecklist[[#This Row],[TargetID]],tblTargetStatus[TargetID],tblTargetStatus[Status])</f>
        <v>BLOCKED</v>
      </c>
      <c r="J708" s="25" t="b">
        <v>0</v>
      </c>
    </row>
    <row r="709" spans="1:10">
      <c r="A709" s="41" t="s">
        <v>4357</v>
      </c>
      <c r="B709" s="41" t="str">
        <f>_xlfn.TEXTAFTER(
 _xlfn.TEXTBEFORE(tblCostChecklist[[#This Row],[RequirementID]],".",-2),
 "cost."
)</f>
        <v>tech.alchemists_hut.conveyor_lvl_2</v>
      </c>
      <c r="C709" s="41" t="str">
        <f>_xlfn.XLOOKUP(tblCostChecklist[[#This Row],[TargetID]],tblTargets[TargetID],tblTargets[DisplayName],"")</f>
        <v>Alchemists Hut - Conveyor Lvl 2</v>
      </c>
      <c r="D709" s="41" t="str">
        <f>_xlfn.XLOOKUP(tblCostChecklist[[#This Row],[TargetID]],tblTargets[TargetID],tblTargets[TargetType],"")</f>
        <v>TECH</v>
      </c>
      <c r="E709" s="41" t="s">
        <v>931</v>
      </c>
      <c r="F709" s="41">
        <v>1</v>
      </c>
      <c r="G709" s="41">
        <f>_xlfn.XLOOKUP(
 tblCostChecklist[[#This Row],[RequirementID]],
 tblCost[RequirementID],
 tblCost[QuantityRequired],
 ""
)</f>
        <v>60</v>
      </c>
      <c r="H7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9" s="41" t="str">
        <f>_xlfn.XLOOKUP(tblCostChecklist[[#This Row],[TargetID]],tblTargetStatus[TargetID],tblTargetStatus[Status])</f>
        <v>BLOCKED</v>
      </c>
      <c r="J709" s="25" t="b">
        <v>0</v>
      </c>
    </row>
    <row r="710" spans="1:10">
      <c r="A710" s="41" t="s">
        <v>4358</v>
      </c>
      <c r="B710" s="41" t="str">
        <f>_xlfn.TEXTAFTER(
 _xlfn.TEXTBEFORE(tblCostChecklist[[#This Row],[RequirementID]],".",-2),
 "cost."
)</f>
        <v>tech.alchemists_hut.conveyor_lvl_2</v>
      </c>
      <c r="C710" s="41" t="str">
        <f>_xlfn.XLOOKUP(tblCostChecklist[[#This Row],[TargetID]],tblTargets[TargetID],tblTargets[DisplayName],"")</f>
        <v>Alchemists Hut - Conveyor Lvl 2</v>
      </c>
      <c r="D710" s="41" t="str">
        <f>_xlfn.XLOOKUP(tblCostChecklist[[#This Row],[TargetID]],tblTargets[TargetID],tblTargets[TargetType],"")</f>
        <v>TECH</v>
      </c>
      <c r="E710" s="41" t="s">
        <v>686</v>
      </c>
      <c r="F710" s="41">
        <v>1</v>
      </c>
      <c r="G710" s="41">
        <f>_xlfn.XLOOKUP(
 tblCostChecklist[[#This Row],[RequirementID]],
 tblCost[RequirementID],
 tblCost[QuantityRequired],
 ""
)</f>
        <v>15</v>
      </c>
      <c r="H7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0" s="41" t="str">
        <f>_xlfn.XLOOKUP(tblCostChecklist[[#This Row],[TargetID]],tblTargetStatus[TargetID],tblTargetStatus[Status])</f>
        <v>BLOCKED</v>
      </c>
      <c r="J710" s="25" t="b">
        <v>0</v>
      </c>
    </row>
    <row r="711" spans="1:10">
      <c r="A711" s="41" t="s">
        <v>4359</v>
      </c>
      <c r="B711" s="41" t="str">
        <f>_xlfn.TEXTAFTER(
 _xlfn.TEXTBEFORE(tblCostChecklist[[#This Row],[RequirementID]],".",-2),
 "cost."
)</f>
        <v>tech.alchemists_hut.conveyor_lvl_2</v>
      </c>
      <c r="C711" s="41" t="str">
        <f>_xlfn.XLOOKUP(tblCostChecklist[[#This Row],[TargetID]],tblTargets[TargetID],tblTargets[DisplayName],"")</f>
        <v>Alchemists Hut - Conveyor Lvl 2</v>
      </c>
      <c r="D711" s="41" t="str">
        <f>_xlfn.XLOOKUP(tblCostChecklist[[#This Row],[TargetID]],tblTargets[TargetID],tblTargets[TargetType],"")</f>
        <v>TECH</v>
      </c>
      <c r="E711" s="41" t="s">
        <v>693</v>
      </c>
      <c r="F711" s="41">
        <v>1</v>
      </c>
      <c r="G711" s="41">
        <f>_xlfn.XLOOKUP(
 tblCostChecklist[[#This Row],[RequirementID]],
 tblCost[RequirementID],
 tblCost[QuantityRequired],
 ""
)</f>
        <v>30</v>
      </c>
      <c r="H7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1" s="41" t="str">
        <f>_xlfn.XLOOKUP(tblCostChecklist[[#This Row],[TargetID]],tblTargetStatus[TargetID],tblTargetStatus[Status])</f>
        <v>BLOCKED</v>
      </c>
      <c r="J711" s="25" t="b">
        <v>0</v>
      </c>
    </row>
    <row r="712" spans="1:10">
      <c r="A712" s="41" t="s">
        <v>4360</v>
      </c>
      <c r="B712" s="41" t="str">
        <f>_xlfn.TEXTAFTER(
 _xlfn.TEXTBEFORE(tblCostChecklist[[#This Row],[RequirementID]],".",-2),
 "cost."
)</f>
        <v>tech.alchemists_hut.conveyor_lvl_2</v>
      </c>
      <c r="C712" s="41" t="str">
        <f>_xlfn.XLOOKUP(tblCostChecklist[[#This Row],[TargetID]],tblTargets[TargetID],tblTargets[DisplayName],"")</f>
        <v>Alchemists Hut - Conveyor Lvl 2</v>
      </c>
      <c r="D712" s="41" t="str">
        <f>_xlfn.XLOOKUP(tblCostChecklist[[#This Row],[TargetID]],tblTargets[TargetID],tblTargets[TargetType],"")</f>
        <v>TECH</v>
      </c>
      <c r="E712" s="41" t="s">
        <v>708</v>
      </c>
      <c r="F712" s="41">
        <v>1</v>
      </c>
      <c r="G712" s="41">
        <f>_xlfn.XLOOKUP(
 tblCostChecklist[[#This Row],[RequirementID]],
 tblCost[RequirementID],
 tblCost[QuantityRequired],
 ""
)</f>
        <v>3</v>
      </c>
      <c r="H7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2" s="41" t="str">
        <f>_xlfn.XLOOKUP(tblCostChecklist[[#This Row],[TargetID]],tblTargetStatus[TargetID],tblTargetStatus[Status])</f>
        <v>BLOCKED</v>
      </c>
      <c r="J712" s="25" t="b">
        <v>0</v>
      </c>
    </row>
    <row r="713" spans="1:10">
      <c r="A713" s="41" t="s">
        <v>4361</v>
      </c>
      <c r="B713" s="41" t="str">
        <f>_xlfn.TEXTAFTER(
 _xlfn.TEXTBEFORE(tblCostChecklist[[#This Row],[RequirementID]],".",-2),
 "cost."
)</f>
        <v>tech.alchemists_hut.galvanization</v>
      </c>
      <c r="C713" s="41" t="str">
        <f>_xlfn.XLOOKUP(tblCostChecklist[[#This Row],[TargetID]],tblTargets[TargetID],tblTargets[DisplayName],"")</f>
        <v>Alchemists Hut - Galvanization</v>
      </c>
      <c r="D713" s="41" t="str">
        <f>_xlfn.XLOOKUP(tblCostChecklist[[#This Row],[TargetID]],tblTargets[TargetID],tblTargets[TargetType],"")</f>
        <v>TECH</v>
      </c>
      <c r="E713" s="41" t="s">
        <v>662</v>
      </c>
      <c r="F713" s="41">
        <v>1</v>
      </c>
      <c r="G713" s="41">
        <f>_xlfn.XLOOKUP(
 tblCostChecklist[[#This Row],[RequirementID]],
 tblCost[RequirementID],
 tblCost[QuantityRequired],
 ""
)</f>
        <v>30</v>
      </c>
      <c r="H7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3" s="41" t="str">
        <f>_xlfn.XLOOKUP(tblCostChecklist[[#This Row],[TargetID]],tblTargetStatus[TargetID],tblTargetStatus[Status])</f>
        <v>BLOCKED</v>
      </c>
      <c r="J713" s="25" t="b">
        <v>0</v>
      </c>
    </row>
    <row r="714" spans="1:10">
      <c r="A714" s="41" t="s">
        <v>4362</v>
      </c>
      <c r="B714" s="41" t="str">
        <f>_xlfn.TEXTAFTER(
 _xlfn.TEXTBEFORE(tblCostChecklist[[#This Row],[RequirementID]],".",-2),
 "cost."
)</f>
        <v>tech.alchemists_hut.galvanization</v>
      </c>
      <c r="C714" s="41" t="str">
        <f>_xlfn.XLOOKUP(tblCostChecklist[[#This Row],[TargetID]],tblTargets[TargetID],tblTargets[DisplayName],"")</f>
        <v>Alchemists Hut - Galvanization</v>
      </c>
      <c r="D714" s="41" t="str">
        <f>_xlfn.XLOOKUP(tblCostChecklist[[#This Row],[TargetID]],tblTargets[TargetID],tblTargets[TargetType],"")</f>
        <v>TECH</v>
      </c>
      <c r="E714" s="41" t="s">
        <v>928</v>
      </c>
      <c r="F714" s="41">
        <v>1</v>
      </c>
      <c r="G714" s="41">
        <f>_xlfn.XLOOKUP(
 tblCostChecklist[[#This Row],[RequirementID]],
 tblCost[RequirementID],
 tblCost[QuantityRequired],
 ""
)</f>
        <v>20</v>
      </c>
      <c r="H7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4" s="41" t="str">
        <f>_xlfn.XLOOKUP(tblCostChecklist[[#This Row],[TargetID]],tblTargetStatus[TargetID],tblTargetStatus[Status])</f>
        <v>BLOCKED</v>
      </c>
      <c r="J714" s="25" t="b">
        <v>0</v>
      </c>
    </row>
    <row r="715" spans="1:10">
      <c r="A715" s="41" t="s">
        <v>4363</v>
      </c>
      <c r="B715" s="41" t="str">
        <f>_xlfn.TEXTAFTER(
 _xlfn.TEXTBEFORE(tblCostChecklist[[#This Row],[RequirementID]],".",-2),
 "cost."
)</f>
        <v>tech.alchemists_hut.galvanization</v>
      </c>
      <c r="C715" s="41" t="str">
        <f>_xlfn.XLOOKUP(tblCostChecklist[[#This Row],[TargetID]],tblTargets[TargetID],tblTargets[DisplayName],"")</f>
        <v>Alchemists Hut - Galvanization</v>
      </c>
      <c r="D715" s="41" t="str">
        <f>_xlfn.XLOOKUP(tblCostChecklist[[#This Row],[TargetID]],tblTargets[TargetID],tblTargets[TargetType],"")</f>
        <v>TECH</v>
      </c>
      <c r="E715" s="41" t="s">
        <v>680</v>
      </c>
      <c r="F715" s="41">
        <v>1</v>
      </c>
      <c r="G715" s="41">
        <f>_xlfn.XLOOKUP(
 tblCostChecklist[[#This Row],[RequirementID]],
 tblCost[RequirementID],
 tblCost[QuantityRequired],
 ""
)</f>
        <v>25</v>
      </c>
      <c r="H7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5" s="41" t="str">
        <f>_xlfn.XLOOKUP(tblCostChecklist[[#This Row],[TargetID]],tblTargetStatus[TargetID],tblTargetStatus[Status])</f>
        <v>BLOCKED</v>
      </c>
      <c r="J715" s="25" t="b">
        <v>0</v>
      </c>
    </row>
    <row r="716" spans="1:10">
      <c r="A716" s="41" t="s">
        <v>4364</v>
      </c>
      <c r="B716" s="41" t="str">
        <f>_xlfn.TEXTAFTER(
 _xlfn.TEXTBEFORE(tblCostChecklist[[#This Row],[RequirementID]],".",-2),
 "cost."
)</f>
        <v>tech.alchemists_hut.galvanization</v>
      </c>
      <c r="C716" s="41" t="str">
        <f>_xlfn.XLOOKUP(tblCostChecklist[[#This Row],[TargetID]],tblTargets[TargetID],tblTargets[DisplayName],"")</f>
        <v>Alchemists Hut - Galvanization</v>
      </c>
      <c r="D716" s="41" t="str">
        <f>_xlfn.XLOOKUP(tblCostChecklist[[#This Row],[TargetID]],tblTargets[TargetID],tblTargets[TargetType],"")</f>
        <v>TECH</v>
      </c>
      <c r="E716" s="41" t="s">
        <v>705</v>
      </c>
      <c r="F716" s="41">
        <v>1</v>
      </c>
      <c r="G716" s="41">
        <f>_xlfn.XLOOKUP(
 tblCostChecklist[[#This Row],[RequirementID]],
 tblCost[RequirementID],
 tblCost[QuantityRequired],
 ""
)</f>
        <v>40</v>
      </c>
      <c r="H7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6" s="41" t="str">
        <f>_xlfn.XLOOKUP(tblCostChecklist[[#This Row],[TargetID]],tblTargetStatus[TargetID],tblTargetStatus[Status])</f>
        <v>BLOCKED</v>
      </c>
      <c r="J716" s="25" t="b">
        <v>0</v>
      </c>
    </row>
    <row r="717" spans="1:10">
      <c r="A717" s="41" t="s">
        <v>4365</v>
      </c>
      <c r="B717" s="41" t="str">
        <f>_xlfn.TEXTAFTER(
 _xlfn.TEXTBEFORE(tblCostChecklist[[#This Row],[RequirementID]],".",-2),
 "cost."
)</f>
        <v>tech.alchemists_hut.galvanization</v>
      </c>
      <c r="C717" s="41" t="str">
        <f>_xlfn.XLOOKUP(tblCostChecklist[[#This Row],[TargetID]],tblTargets[TargetID],tblTargets[DisplayName],"")</f>
        <v>Alchemists Hut - Galvanization</v>
      </c>
      <c r="D717" s="41" t="str">
        <f>_xlfn.XLOOKUP(tblCostChecklist[[#This Row],[TargetID]],tblTargets[TargetID],tblTargets[TargetType],"")</f>
        <v>TECH</v>
      </c>
      <c r="E717" s="41" t="s">
        <v>708</v>
      </c>
      <c r="F717" s="41">
        <v>1</v>
      </c>
      <c r="G717" s="41">
        <f>_xlfn.XLOOKUP(
 tblCostChecklist[[#This Row],[RequirementID]],
 tblCost[RequirementID],
 tblCost[QuantityRequired],
 ""
)</f>
        <v>2</v>
      </c>
      <c r="H7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7" s="41" t="str">
        <f>_xlfn.XLOOKUP(tblCostChecklist[[#This Row],[TargetID]],tblTargetStatus[TargetID],tblTargetStatus[Status])</f>
        <v>BLOCKED</v>
      </c>
      <c r="J717" s="25" t="b">
        <v>0</v>
      </c>
    </row>
    <row r="718" spans="1:10">
      <c r="A718" s="41" t="s">
        <v>4366</v>
      </c>
      <c r="B718" s="41" t="str">
        <f>_xlfn.TEXTAFTER(
 _xlfn.TEXTBEFORE(tblCostChecklist[[#This Row],[RequirementID]],".",-2),
 "cost."
)</f>
        <v>tech.alchemists_hut.metamorphosis</v>
      </c>
      <c r="C718" s="41" t="str">
        <f>_xlfn.XLOOKUP(tblCostChecklist[[#This Row],[TargetID]],tblTargets[TargetID],tblTargets[DisplayName],"")</f>
        <v>Alchemists Hut - Metamorphosis</v>
      </c>
      <c r="D718" s="41" t="str">
        <f>_xlfn.XLOOKUP(tblCostChecklist[[#This Row],[TargetID]],tblTargets[TargetID],tblTargets[TargetType],"")</f>
        <v>TECH</v>
      </c>
      <c r="E718" s="41" t="s">
        <v>666</v>
      </c>
      <c r="F718" s="41">
        <v>1</v>
      </c>
      <c r="G718" s="41">
        <f>_xlfn.XLOOKUP(
 tblCostChecklist[[#This Row],[RequirementID]],
 tblCost[RequirementID],
 tblCost[QuantityRequired],
 ""
)</f>
        <v>300</v>
      </c>
      <c r="H7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18" s="41" t="str">
        <f>_xlfn.XLOOKUP(tblCostChecklist[[#This Row],[TargetID]],tblTargetStatus[TargetID],tblTargetStatus[Status])</f>
        <v>BLOCKED</v>
      </c>
      <c r="J718" s="25" t="b">
        <v>0</v>
      </c>
    </row>
    <row r="719" spans="1:10">
      <c r="A719" s="41" t="s">
        <v>4367</v>
      </c>
      <c r="B719" s="41" t="str">
        <f>_xlfn.TEXTAFTER(
 _xlfn.TEXTBEFORE(tblCostChecklist[[#This Row],[RequirementID]],".",-2),
 "cost."
)</f>
        <v>tech.alchemists_hut.metamorphosis</v>
      </c>
      <c r="C719" s="41" t="str">
        <f>_xlfn.XLOOKUP(tblCostChecklist[[#This Row],[TargetID]],tblTargets[TargetID],tblTargets[DisplayName],"")</f>
        <v>Alchemists Hut - Metamorphosis</v>
      </c>
      <c r="D719" s="41" t="str">
        <f>_xlfn.XLOOKUP(tblCostChecklist[[#This Row],[TargetID]],tblTargets[TargetID],tblTargets[TargetType],"")</f>
        <v>TECH</v>
      </c>
      <c r="E719" s="41" t="s">
        <v>677</v>
      </c>
      <c r="F719" s="41">
        <v>1</v>
      </c>
      <c r="G719" s="41">
        <f>_xlfn.XLOOKUP(
 tblCostChecklist[[#This Row],[RequirementID]],
 tblCost[RequirementID],
 tblCost[QuantityRequired],
 ""
)</f>
        <v>5</v>
      </c>
      <c r="H7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19" s="41" t="str">
        <f>_xlfn.XLOOKUP(tblCostChecklist[[#This Row],[TargetID]],tblTargetStatus[TargetID],tblTargetStatus[Status])</f>
        <v>BLOCKED</v>
      </c>
      <c r="J719" s="25" t="b">
        <v>0</v>
      </c>
    </row>
    <row r="720" spans="1:10">
      <c r="A720" s="41" t="s">
        <v>4368</v>
      </c>
      <c r="B720" s="41" t="str">
        <f>_xlfn.TEXTAFTER(
 _xlfn.TEXTBEFORE(tblCostChecklist[[#This Row],[RequirementID]],".",-2),
 "cost."
)</f>
        <v>tech.alchemists_hut.metamorphosis</v>
      </c>
      <c r="C720" s="41" t="str">
        <f>_xlfn.XLOOKUP(tblCostChecklist[[#This Row],[TargetID]],tblTargets[TargetID],tblTargets[DisplayName],"")</f>
        <v>Alchemists Hut - Metamorphosis</v>
      </c>
      <c r="D720" s="41" t="str">
        <f>_xlfn.XLOOKUP(tblCostChecklist[[#This Row],[TargetID]],tblTargets[TargetID],tblTargets[TargetType],"")</f>
        <v>TECH</v>
      </c>
      <c r="E720" s="41" t="s">
        <v>940</v>
      </c>
      <c r="F720" s="41">
        <v>1</v>
      </c>
      <c r="G720" s="41">
        <f>_xlfn.XLOOKUP(
 tblCostChecklist[[#This Row],[RequirementID]],
 tblCost[RequirementID],
 tblCost[QuantityRequired],
 ""
)</f>
        <v>15</v>
      </c>
      <c r="H7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20" s="41" t="str">
        <f>_xlfn.XLOOKUP(tblCostChecklist[[#This Row],[TargetID]],tblTargetStatus[TargetID],tblTargetStatus[Status])</f>
        <v>BLOCKED</v>
      </c>
      <c r="J720" s="25" t="b">
        <v>0</v>
      </c>
    </row>
    <row r="721" spans="1:10">
      <c r="A721" s="41" t="s">
        <v>4369</v>
      </c>
      <c r="B721" s="41" t="str">
        <f>_xlfn.TEXTAFTER(
 _xlfn.TEXTBEFORE(tblCostChecklist[[#This Row],[RequirementID]],".",-2),
 "cost."
)</f>
        <v>tech.alchemists_hut.metamorphosis</v>
      </c>
      <c r="C721" s="41" t="str">
        <f>_xlfn.XLOOKUP(tblCostChecklist[[#This Row],[TargetID]],tblTargets[TargetID],tblTargets[DisplayName],"")</f>
        <v>Alchemists Hut - Metamorphosis</v>
      </c>
      <c r="D721" s="41" t="str">
        <f>_xlfn.XLOOKUP(tblCostChecklist[[#This Row],[TargetID]],tblTargets[TargetID],tblTargets[TargetType],"")</f>
        <v>TECH</v>
      </c>
      <c r="E721" s="41" t="s">
        <v>687</v>
      </c>
      <c r="F721" s="41">
        <v>1</v>
      </c>
      <c r="G721" s="41">
        <f>_xlfn.XLOOKUP(
 tblCostChecklist[[#This Row],[RequirementID]],
 tblCost[RequirementID],
 tblCost[QuantityRequired],
 ""
)</f>
        <v>5</v>
      </c>
      <c r="H7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21" s="41" t="str">
        <f>_xlfn.XLOOKUP(tblCostChecklist[[#This Row],[TargetID]],tblTargetStatus[TargetID],tblTargetStatus[Status])</f>
        <v>BLOCKED</v>
      </c>
      <c r="J721" s="25" t="b">
        <v>0</v>
      </c>
    </row>
    <row r="722" spans="1:10">
      <c r="A722" s="41" t="s">
        <v>4370</v>
      </c>
      <c r="B722" s="41" t="str">
        <f>_xlfn.TEXTAFTER(
 _xlfn.TEXTBEFORE(tblCostChecklist[[#This Row],[RequirementID]],".",-2),
 "cost."
)</f>
        <v>tech.alchemists_hut.metamorphosis</v>
      </c>
      <c r="C722" s="41" t="str">
        <f>_xlfn.XLOOKUP(tblCostChecklist[[#This Row],[TargetID]],tblTargets[TargetID],tblTargets[DisplayName],"")</f>
        <v>Alchemists Hut - Metamorphosis</v>
      </c>
      <c r="D722" s="41" t="str">
        <f>_xlfn.XLOOKUP(tblCostChecklist[[#This Row],[TargetID]],tblTargets[TargetID],tblTargets[TargetType],"")</f>
        <v>TECH</v>
      </c>
      <c r="E722" s="41" t="s">
        <v>705</v>
      </c>
      <c r="F722" s="41">
        <v>1</v>
      </c>
      <c r="G722" s="41">
        <f>_xlfn.XLOOKUP(
 tblCostChecklist[[#This Row],[RequirementID]],
 tblCost[RequirementID],
 tblCost[QuantityRequired],
 ""
)</f>
        <v>15</v>
      </c>
      <c r="H7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22" s="41" t="str">
        <f>_xlfn.XLOOKUP(tblCostChecklist[[#This Row],[TargetID]],tblTargetStatus[TargetID],tblTargetStatus[Status])</f>
        <v>BLOCKED</v>
      </c>
      <c r="J722" s="25" t="b">
        <v>0</v>
      </c>
    </row>
    <row r="723" spans="1:10">
      <c r="A723" s="41" t="s">
        <v>4371</v>
      </c>
      <c r="B723" s="41" t="str">
        <f>_xlfn.TEXTAFTER(
 _xlfn.TEXTBEFORE(tblCostChecklist[[#This Row],[RequirementID]],".",-2),
 "cost."
)</f>
        <v>tech.alchemists_hut.metamorphosis</v>
      </c>
      <c r="C723" s="41" t="str">
        <f>_xlfn.XLOOKUP(tblCostChecklist[[#This Row],[TargetID]],tblTargets[TargetID],tblTargets[DisplayName],"")</f>
        <v>Alchemists Hut - Metamorphosis</v>
      </c>
      <c r="D723" s="41" t="str">
        <f>_xlfn.XLOOKUP(tblCostChecklist[[#This Row],[TargetID]],tblTargets[TargetID],tblTargets[TargetType],"")</f>
        <v>TECH</v>
      </c>
      <c r="E723" s="41" t="s">
        <v>708</v>
      </c>
      <c r="F723" s="41">
        <v>1</v>
      </c>
      <c r="G723" s="41">
        <f>_xlfn.XLOOKUP(
 tblCostChecklist[[#This Row],[RequirementID]],
 tblCost[RequirementID],
 tblCost[QuantityRequired],
 ""
)</f>
        <v>3</v>
      </c>
      <c r="H7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23" s="41" t="str">
        <f>_xlfn.XLOOKUP(tblCostChecklist[[#This Row],[TargetID]],tblTargetStatus[TargetID],tblTargetStatus[Status])</f>
        <v>BLOCKED</v>
      </c>
      <c r="J723" s="25" t="b">
        <v>0</v>
      </c>
    </row>
    <row r="724" spans="1:10">
      <c r="A724" s="41" t="s">
        <v>4372</v>
      </c>
      <c r="B724" s="41" t="str">
        <f>_xlfn.TEXTAFTER(
 _xlfn.TEXTBEFORE(tblCostChecklist[[#This Row],[RequirementID]],".",-2),
 "cost."
)</f>
        <v>tech.alchemists_hut.advanced_fertilizer</v>
      </c>
      <c r="C724" s="41" t="str">
        <f>_xlfn.XLOOKUP(tblCostChecklist[[#This Row],[TargetID]],tblTargets[TargetID],tblTargets[DisplayName],"")</f>
        <v>Alchemists Hut - Advanced Fertilizer</v>
      </c>
      <c r="D724" s="41" t="str">
        <f>_xlfn.XLOOKUP(tblCostChecklist[[#This Row],[TargetID]],tblTargets[TargetID],tblTargets[TargetType],"")</f>
        <v>TECH</v>
      </c>
      <c r="E724" s="41" t="s">
        <v>662</v>
      </c>
      <c r="F724" s="41">
        <v>1</v>
      </c>
      <c r="G724" s="41">
        <f>_xlfn.XLOOKUP(
 tblCostChecklist[[#This Row],[RequirementID]],
 tblCost[RequirementID],
 tblCost[QuantityRequired],
 ""
)</f>
        <v>30</v>
      </c>
      <c r="H7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4" s="41" t="str">
        <f>_xlfn.XLOOKUP(tblCostChecklist[[#This Row],[TargetID]],tblTargetStatus[TargetID],tblTargetStatus[Status])</f>
        <v>BLOCKED</v>
      </c>
      <c r="J724" s="25" t="b">
        <v>0</v>
      </c>
    </row>
    <row r="725" spans="1:10">
      <c r="A725" s="41" t="s">
        <v>4373</v>
      </c>
      <c r="B725" s="41" t="str">
        <f>_xlfn.TEXTAFTER(
 _xlfn.TEXTBEFORE(tblCostChecklist[[#This Row],[RequirementID]],".",-2),
 "cost."
)</f>
        <v>tech.alchemists_hut.advanced_fertilizer</v>
      </c>
      <c r="C725" s="41" t="str">
        <f>_xlfn.XLOOKUP(tblCostChecklist[[#This Row],[TargetID]],tblTargets[TargetID],tblTargets[DisplayName],"")</f>
        <v>Alchemists Hut - Advanced Fertilizer</v>
      </c>
      <c r="D725" s="41" t="str">
        <f>_xlfn.XLOOKUP(tblCostChecklist[[#This Row],[TargetID]],tblTargets[TargetID],tblTargets[TargetType],"")</f>
        <v>TECH</v>
      </c>
      <c r="E725" s="41" t="s">
        <v>928</v>
      </c>
      <c r="F725" s="41">
        <v>1</v>
      </c>
      <c r="G725" s="41">
        <f>_xlfn.XLOOKUP(
 tblCostChecklist[[#This Row],[RequirementID]],
 tblCost[RequirementID],
 tblCost[QuantityRequired],
 ""
)</f>
        <v>20</v>
      </c>
      <c r="H7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5" s="41" t="str">
        <f>_xlfn.XLOOKUP(tblCostChecklist[[#This Row],[TargetID]],tblTargetStatus[TargetID],tblTargetStatus[Status])</f>
        <v>BLOCKED</v>
      </c>
      <c r="J725" s="25" t="b">
        <v>0</v>
      </c>
    </row>
    <row r="726" spans="1:10">
      <c r="A726" s="41" t="s">
        <v>4374</v>
      </c>
      <c r="B726" s="41" t="str">
        <f>_xlfn.TEXTAFTER(
 _xlfn.TEXTBEFORE(tblCostChecklist[[#This Row],[RequirementID]],".",-2),
 "cost."
)</f>
        <v>tech.alchemists_hut.advanced_fertilizer</v>
      </c>
      <c r="C726" s="41" t="str">
        <f>_xlfn.XLOOKUP(tblCostChecklist[[#This Row],[TargetID]],tblTargets[TargetID],tblTargets[DisplayName],"")</f>
        <v>Alchemists Hut - Advanced Fertilizer</v>
      </c>
      <c r="D726" s="41" t="str">
        <f>_xlfn.XLOOKUP(tblCostChecklist[[#This Row],[TargetID]],tblTargets[TargetID],tblTargets[TargetType],"")</f>
        <v>TECH</v>
      </c>
      <c r="E726" s="41" t="s">
        <v>664</v>
      </c>
      <c r="F726" s="41">
        <v>1</v>
      </c>
      <c r="G726" s="41">
        <f>_xlfn.XLOOKUP(
 tblCostChecklist[[#This Row],[RequirementID]],
 tblCost[RequirementID],
 tblCost[QuantityRequired],
 ""
)</f>
        <v>100</v>
      </c>
      <c r="H7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6" s="41" t="str">
        <f>_xlfn.XLOOKUP(tblCostChecklist[[#This Row],[TargetID]],tblTargetStatus[TargetID],tblTargetStatus[Status])</f>
        <v>BLOCKED</v>
      </c>
      <c r="J726" s="25" t="b">
        <v>0</v>
      </c>
    </row>
    <row r="727" spans="1:10">
      <c r="A727" s="41" t="s">
        <v>4375</v>
      </c>
      <c r="B727" s="41" t="str">
        <f>_xlfn.TEXTAFTER(
 _xlfn.TEXTBEFORE(tblCostChecklist[[#This Row],[RequirementID]],".",-2),
 "cost."
)</f>
        <v>tech.alchemists_hut.advanced_fertilizer</v>
      </c>
      <c r="C727" s="41" t="str">
        <f>_xlfn.XLOOKUP(tblCostChecklist[[#This Row],[TargetID]],tblTargets[TargetID],tblTargets[DisplayName],"")</f>
        <v>Alchemists Hut - Advanced Fertilizer</v>
      </c>
      <c r="D727" s="41" t="str">
        <f>_xlfn.XLOOKUP(tblCostChecklist[[#This Row],[TargetID]],tblTargets[TargetID],tblTargets[TargetType],"")</f>
        <v>TECH</v>
      </c>
      <c r="E727" s="41" t="s">
        <v>666</v>
      </c>
      <c r="F727" s="41">
        <v>1</v>
      </c>
      <c r="G727" s="41">
        <f>_xlfn.XLOOKUP(
 tblCostChecklist[[#This Row],[RequirementID]],
 tblCost[RequirementID],
 tblCost[QuantityRequired],
 ""
)</f>
        <v>800</v>
      </c>
      <c r="H7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7" s="41" t="str">
        <f>_xlfn.XLOOKUP(tblCostChecklist[[#This Row],[TargetID]],tblTargetStatus[TargetID],tblTargetStatus[Status])</f>
        <v>BLOCKED</v>
      </c>
      <c r="J727" s="25" t="b">
        <v>0</v>
      </c>
    </row>
    <row r="728" spans="1:10">
      <c r="A728" s="41" t="s">
        <v>4376</v>
      </c>
      <c r="B728" s="41" t="str">
        <f>_xlfn.TEXTAFTER(
 _xlfn.TEXTBEFORE(tblCostChecklist[[#This Row],[RequirementID]],".",-2),
 "cost."
)</f>
        <v>tech.alchemists_hut.advanced_fertilizer</v>
      </c>
      <c r="C728" s="41" t="str">
        <f>_xlfn.XLOOKUP(tblCostChecklist[[#This Row],[TargetID]],tblTargets[TargetID],tblTargets[DisplayName],"")</f>
        <v>Alchemists Hut - Advanced Fertilizer</v>
      </c>
      <c r="D728" s="41" t="str">
        <f>_xlfn.XLOOKUP(tblCostChecklist[[#This Row],[TargetID]],tblTargets[TargetID],tblTargets[TargetType],"")</f>
        <v>TECH</v>
      </c>
      <c r="E728" s="41" t="s">
        <v>932</v>
      </c>
      <c r="F728" s="41">
        <v>1</v>
      </c>
      <c r="G728" s="41">
        <f>_xlfn.XLOOKUP(
 tblCostChecklist[[#This Row],[RequirementID]],
 tblCost[RequirementID],
 tblCost[QuantityRequired],
 ""
)</f>
        <v>50</v>
      </c>
      <c r="H7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8" s="41" t="str">
        <f>_xlfn.XLOOKUP(tblCostChecklist[[#This Row],[TargetID]],tblTargetStatus[TargetID],tblTargetStatus[Status])</f>
        <v>BLOCKED</v>
      </c>
      <c r="J728" s="25" t="b">
        <v>0</v>
      </c>
    </row>
    <row r="729" spans="1:10">
      <c r="A729" s="41" t="s">
        <v>4377</v>
      </c>
      <c r="B729" s="41" t="str">
        <f>_xlfn.TEXTAFTER(
 _xlfn.TEXTBEFORE(tblCostChecklist[[#This Row],[RequirementID]],".",-2),
 "cost."
)</f>
        <v>tech.alchemists_hut.advanced_fertilizer</v>
      </c>
      <c r="C729" s="41" t="str">
        <f>_xlfn.XLOOKUP(tblCostChecklist[[#This Row],[TargetID]],tblTargets[TargetID],tblTargets[DisplayName],"")</f>
        <v>Alchemists Hut - Advanced Fertilizer</v>
      </c>
      <c r="D729" s="41" t="str">
        <f>_xlfn.XLOOKUP(tblCostChecklist[[#This Row],[TargetID]],tblTargets[TargetID],tblTargets[TargetType],"")</f>
        <v>TECH</v>
      </c>
      <c r="E729" s="41" t="s">
        <v>674</v>
      </c>
      <c r="F729" s="41">
        <v>1</v>
      </c>
      <c r="G729" s="41">
        <f>_xlfn.XLOOKUP(
 tblCostChecklist[[#This Row],[RequirementID]],
 tblCost[RequirementID],
 tblCost[QuantityRequired],
 ""
)</f>
        <v>20</v>
      </c>
      <c r="H7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9" s="41" t="str">
        <f>_xlfn.XLOOKUP(tblCostChecklist[[#This Row],[TargetID]],tblTargetStatus[TargetID],tblTargetStatus[Status])</f>
        <v>BLOCKED</v>
      </c>
      <c r="J729" s="25" t="b">
        <v>0</v>
      </c>
    </row>
    <row r="730" spans="1:10">
      <c r="A730" s="41" t="s">
        <v>4378</v>
      </c>
      <c r="B730" s="41" t="str">
        <f>_xlfn.TEXTAFTER(
 _xlfn.TEXTBEFORE(tblCostChecklist[[#This Row],[RequirementID]],".",-2),
 "cost."
)</f>
        <v>tech.alchemists_hut.advanced_fertilizer</v>
      </c>
      <c r="C730" s="41" t="str">
        <f>_xlfn.XLOOKUP(tblCostChecklist[[#This Row],[TargetID]],tblTargets[TargetID],tblTargets[DisplayName],"")</f>
        <v>Alchemists Hut - Advanced Fertilizer</v>
      </c>
      <c r="D730" s="41" t="str">
        <f>_xlfn.XLOOKUP(tblCostChecklist[[#This Row],[TargetID]],tblTargets[TargetID],tblTargets[TargetType],"")</f>
        <v>TECH</v>
      </c>
      <c r="E730" s="41" t="s">
        <v>705</v>
      </c>
      <c r="F730" s="41">
        <v>1</v>
      </c>
      <c r="G730" s="41">
        <f>_xlfn.XLOOKUP(
 tblCostChecklist[[#This Row],[RequirementID]],
 tblCost[RequirementID],
 tblCost[QuantityRequired],
 ""
)</f>
        <v>20</v>
      </c>
      <c r="H7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0" s="41" t="str">
        <f>_xlfn.XLOOKUP(tblCostChecklist[[#This Row],[TargetID]],tblTargetStatus[TargetID],tblTargetStatus[Status])</f>
        <v>BLOCKED</v>
      </c>
      <c r="J730" s="25" t="b">
        <v>0</v>
      </c>
    </row>
    <row r="731" spans="1:10">
      <c r="A731" s="41" t="s">
        <v>4379</v>
      </c>
      <c r="B731" s="41" t="str">
        <f>_xlfn.TEXTAFTER(
 _xlfn.TEXTBEFORE(tblCostChecklist[[#This Row],[RequirementID]],".",-2),
 "cost."
)</f>
        <v>tech.alchemists_hut.advanced_fertilizer</v>
      </c>
      <c r="C731" s="41" t="str">
        <f>_xlfn.XLOOKUP(tblCostChecklist[[#This Row],[TargetID]],tblTargets[TargetID],tblTargets[DisplayName],"")</f>
        <v>Alchemists Hut - Advanced Fertilizer</v>
      </c>
      <c r="D731" s="41" t="str">
        <f>_xlfn.XLOOKUP(tblCostChecklist[[#This Row],[TargetID]],tblTargets[TargetID],tblTargets[TargetType],"")</f>
        <v>TECH</v>
      </c>
      <c r="E731" s="41" t="s">
        <v>708</v>
      </c>
      <c r="F731" s="41">
        <v>1</v>
      </c>
      <c r="G731" s="41">
        <f>_xlfn.XLOOKUP(
 tblCostChecklist[[#This Row],[RequirementID]],
 tblCost[RequirementID],
 tblCost[QuantityRequired],
 ""
)</f>
        <v>5</v>
      </c>
      <c r="H7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1" s="41" t="str">
        <f>_xlfn.XLOOKUP(tblCostChecklist[[#This Row],[TargetID]],tblTargetStatus[TargetID],tblTargetStatus[Status])</f>
        <v>BLOCKED</v>
      </c>
      <c r="J731" s="25" t="b">
        <v>0</v>
      </c>
    </row>
    <row r="732" spans="1:10">
      <c r="A732" s="41" t="s">
        <v>4380</v>
      </c>
      <c r="B732" s="41" t="str">
        <f>_xlfn.TEXTAFTER(
 _xlfn.TEXTBEFORE(tblCostChecklist[[#This Row],[RequirementID]],".",-2),
 "cost."
)</f>
        <v>tech.alchemists_hut.advanced_fertilizer</v>
      </c>
      <c r="C732" s="41" t="str">
        <f>_xlfn.XLOOKUP(tblCostChecklist[[#This Row],[TargetID]],tblTargets[TargetID],tblTargets[DisplayName],"")</f>
        <v>Alchemists Hut - Advanced Fertilizer</v>
      </c>
      <c r="D732" s="41" t="str">
        <f>_xlfn.XLOOKUP(tblCostChecklist[[#This Row],[TargetID]],tblTargets[TargetID],tblTargets[TargetType],"")</f>
        <v>TECH</v>
      </c>
      <c r="E732" s="41" t="s">
        <v>720</v>
      </c>
      <c r="F732" s="41">
        <v>1</v>
      </c>
      <c r="G732" s="41">
        <f>_xlfn.XLOOKUP(
 tblCostChecklist[[#This Row],[RequirementID]],
 tblCost[RequirementID],
 tblCost[QuantityRequired],
 ""
)</f>
        <v>10</v>
      </c>
      <c r="H7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2" s="41" t="str">
        <f>_xlfn.XLOOKUP(tblCostChecklist[[#This Row],[TargetID]],tblTargetStatus[TargetID],tblTargetStatus[Status])</f>
        <v>BLOCKED</v>
      </c>
      <c r="J732" s="25" t="b">
        <v>0</v>
      </c>
    </row>
    <row r="733" spans="1:10">
      <c r="A733" s="41" t="s">
        <v>4381</v>
      </c>
      <c r="B733" s="41" t="str">
        <f>_xlfn.TEXTAFTER(
 _xlfn.TEXTBEFORE(tblCostChecklist[[#This Row],[RequirementID]],".",-2),
 "cost."
)</f>
        <v>tech.bridge.koi_fish</v>
      </c>
      <c r="C733" s="41" t="str">
        <f>_xlfn.XLOOKUP(tblCostChecklist[[#This Row],[TargetID]],tblTargets[TargetID],tblTargets[DisplayName],"")</f>
        <v>Bridge - Koi Fish</v>
      </c>
      <c r="D733" s="41" t="str">
        <f>_xlfn.XLOOKUP(tblCostChecklist[[#This Row],[TargetID]],tblTargets[TargetID],tblTargets[TargetType],"")</f>
        <v>TECH</v>
      </c>
      <c r="E733" s="41" t="s">
        <v>680</v>
      </c>
      <c r="F733" s="41">
        <v>1</v>
      </c>
      <c r="G733" s="41">
        <f>_xlfn.XLOOKUP(
 tblCostChecklist[[#This Row],[RequirementID]],
 tblCost[RequirementID],
 tblCost[QuantityRequired],
 ""
)</f>
        <v>20</v>
      </c>
      <c r="H7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3" s="41" t="str">
        <f>_xlfn.XLOOKUP(tblCostChecklist[[#This Row],[TargetID]],tblTargetStatus[TargetID],tblTargetStatus[Status])</f>
        <v>BLOCKED</v>
      </c>
      <c r="J733" s="25" t="b">
        <v>0</v>
      </c>
    </row>
    <row r="734" spans="1:10">
      <c r="A734" s="41" t="s">
        <v>4382</v>
      </c>
      <c r="B734" s="41" t="str">
        <f>_xlfn.TEXTAFTER(
 _xlfn.TEXTBEFORE(tblCostChecklist[[#This Row],[RequirementID]],".",-2),
 "cost."
)</f>
        <v>tech.bridge.koi_fish</v>
      </c>
      <c r="C734" s="41" t="str">
        <f>_xlfn.XLOOKUP(tblCostChecklist[[#This Row],[TargetID]],tblTargets[TargetID],tblTargets[DisplayName],"")</f>
        <v>Bridge - Koi Fish</v>
      </c>
      <c r="D734" s="41" t="str">
        <f>_xlfn.XLOOKUP(tblCostChecklist[[#This Row],[TargetID]],tblTargets[TargetID],tblTargets[TargetType],"")</f>
        <v>TECH</v>
      </c>
      <c r="E734" s="41" t="s">
        <v>697</v>
      </c>
      <c r="F734" s="41">
        <v>1</v>
      </c>
      <c r="G734" s="41">
        <f>_xlfn.XLOOKUP(
 tblCostChecklist[[#This Row],[RequirementID]],
 tblCost[RequirementID],
 tblCost[QuantityRequired],
 ""
)</f>
        <v>20</v>
      </c>
      <c r="H7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4" s="41" t="str">
        <f>_xlfn.XLOOKUP(tblCostChecklist[[#This Row],[TargetID]],tblTargetStatus[TargetID],tblTargetStatus[Status])</f>
        <v>BLOCKED</v>
      </c>
      <c r="J734" s="25" t="b">
        <v>0</v>
      </c>
    </row>
    <row r="735" spans="1:10">
      <c r="A735" s="41" t="s">
        <v>4383</v>
      </c>
      <c r="B735" s="41" t="str">
        <f>_xlfn.TEXTAFTER(
 _xlfn.TEXTBEFORE(tblCostChecklist[[#This Row],[RequirementID]],".",-2),
 "cost."
)</f>
        <v>tech.bridge.koi_fish</v>
      </c>
      <c r="C735" s="41" t="str">
        <f>_xlfn.XLOOKUP(tblCostChecklist[[#This Row],[TargetID]],tblTargets[TargetID],tblTargets[DisplayName],"")</f>
        <v>Bridge - Koi Fish</v>
      </c>
      <c r="D735" s="41" t="str">
        <f>_xlfn.XLOOKUP(tblCostChecklist[[#This Row],[TargetID]],tblTargets[TargetID],tblTargets[TargetType],"")</f>
        <v>TECH</v>
      </c>
      <c r="E735" s="41" t="s">
        <v>708</v>
      </c>
      <c r="F735" s="41">
        <v>1</v>
      </c>
      <c r="G735" s="41">
        <f>_xlfn.XLOOKUP(
 tblCostChecklist[[#This Row],[RequirementID]],
 tblCost[RequirementID],
 tblCost[QuantityRequired],
 ""
)</f>
        <v>20</v>
      </c>
      <c r="H7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5" s="41" t="str">
        <f>_xlfn.XLOOKUP(tblCostChecklist[[#This Row],[TargetID]],tblTargetStatus[TargetID],tblTargetStatus[Status])</f>
        <v>BLOCKED</v>
      </c>
      <c r="J735" s="25" t="b">
        <v>0</v>
      </c>
    </row>
    <row r="736" spans="1:10">
      <c r="A736" s="41" t="s">
        <v>4384</v>
      </c>
      <c r="B736" s="41" t="str">
        <f>_xlfn.TEXTAFTER(
 _xlfn.TEXTBEFORE(tblCostChecklist[[#This Row],[RequirementID]],".",-2),
 "cost."
)</f>
        <v>tech.bridge.koi_fish</v>
      </c>
      <c r="C736" s="41" t="str">
        <f>_xlfn.XLOOKUP(tblCostChecklist[[#This Row],[TargetID]],tblTargets[TargetID],tblTargets[DisplayName],"")</f>
        <v>Bridge - Koi Fish</v>
      </c>
      <c r="D736" s="41" t="str">
        <f>_xlfn.XLOOKUP(tblCostChecklist[[#This Row],[TargetID]],tblTargets[TargetID],tblTargets[TargetType],"")</f>
        <v>TECH</v>
      </c>
      <c r="E736" s="41" t="s">
        <v>948</v>
      </c>
      <c r="F736" s="41">
        <v>1</v>
      </c>
      <c r="G736" s="41">
        <f>_xlfn.XLOOKUP(
 tblCostChecklist[[#This Row],[RequirementID]],
 tblCost[RequirementID],
 tblCost[QuantityRequired],
 ""
)</f>
        <v>20</v>
      </c>
      <c r="H7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6" s="41" t="str">
        <f>_xlfn.XLOOKUP(tblCostChecklist[[#This Row],[TargetID]],tblTargetStatus[TargetID],tblTargetStatus[Status])</f>
        <v>BLOCKED</v>
      </c>
      <c r="J736" s="25" t="b">
        <v>0</v>
      </c>
    </row>
    <row r="737" spans="1:10">
      <c r="A737" s="41" t="s">
        <v>4385</v>
      </c>
      <c r="B737" s="41" t="str">
        <f>_xlfn.TEXTAFTER(
 _xlfn.TEXTBEFORE(tblCostChecklist[[#This Row],[RequirementID]],".",-2),
 "cost."
)</f>
        <v>tech.bridge.koi_fish</v>
      </c>
      <c r="C737" s="41" t="str">
        <f>_xlfn.XLOOKUP(tblCostChecklist[[#This Row],[TargetID]],tblTargets[TargetID],tblTargets[DisplayName],"")</f>
        <v>Bridge - Koi Fish</v>
      </c>
      <c r="D737" s="41" t="str">
        <f>_xlfn.XLOOKUP(tblCostChecklist[[#This Row],[TargetID]],tblTargets[TargetID],tblTargets[TargetType],"")</f>
        <v>TECH</v>
      </c>
      <c r="E737" s="41" t="s">
        <v>956</v>
      </c>
      <c r="F737" s="41">
        <v>1</v>
      </c>
      <c r="G737" s="41">
        <f>_xlfn.XLOOKUP(
 tblCostChecklist[[#This Row],[RequirementID]],
 tblCost[RequirementID],
 tblCost[QuantityRequired],
 ""
)</f>
        <v>20</v>
      </c>
      <c r="H7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7" s="41" t="str">
        <f>_xlfn.XLOOKUP(tblCostChecklist[[#This Row],[TargetID]],tblTargetStatus[TargetID],tblTargetStatus[Status])</f>
        <v>BLOCKED</v>
      </c>
      <c r="J737" s="25" t="b">
        <v>0</v>
      </c>
    </row>
    <row r="738" spans="1:10">
      <c r="A738" s="41" t="s">
        <v>4386</v>
      </c>
      <c r="B738" s="41" t="str">
        <f>_xlfn.TEXTAFTER(
 _xlfn.TEXTBEFORE(tblCostChecklist[[#This Row],[RequirementID]],".",-2),
 "cost."
)</f>
        <v>tech.bridge.koi_fish</v>
      </c>
      <c r="C738" s="41" t="str">
        <f>_xlfn.XLOOKUP(tblCostChecklist[[#This Row],[TargetID]],tblTargets[TargetID],tblTargets[DisplayName],"")</f>
        <v>Bridge - Koi Fish</v>
      </c>
      <c r="D738" s="41" t="str">
        <f>_xlfn.XLOOKUP(tblCostChecklist[[#This Row],[TargetID]],tblTargets[TargetID],tblTargets[TargetType],"")</f>
        <v>TECH</v>
      </c>
      <c r="E738" s="41" t="s">
        <v>722</v>
      </c>
      <c r="F738" s="41">
        <v>1</v>
      </c>
      <c r="G738" s="41">
        <f>_xlfn.XLOOKUP(
 tblCostChecklist[[#This Row],[RequirementID]],
 tblCost[RequirementID],
 tblCost[QuantityRequired],
 ""
)</f>
        <v>20</v>
      </c>
      <c r="H7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8" s="41" t="str">
        <f>_xlfn.XLOOKUP(tblCostChecklist[[#This Row],[TargetID]],tblTargetStatus[TargetID],tblTargetStatus[Status])</f>
        <v>BLOCKED</v>
      </c>
      <c r="J738" s="25" t="b">
        <v>0</v>
      </c>
    </row>
    <row r="739" spans="1:10">
      <c r="A739" s="41" t="s">
        <v>4387</v>
      </c>
      <c r="B739" s="41" t="str">
        <f>_xlfn.TEXTAFTER(
 _xlfn.TEXTBEFORE(tblCostChecklist[[#This Row],[RequirementID]],".",-2),
 "cost."
)</f>
        <v>tech.bridge.salmon_farming</v>
      </c>
      <c r="C739" s="41" t="str">
        <f>_xlfn.XLOOKUP(tblCostChecklist[[#This Row],[TargetID]],tblTargets[TargetID],tblTargets[DisplayName],"")</f>
        <v>Bridge - Salmon Farming</v>
      </c>
      <c r="D739" s="41" t="str">
        <f>_xlfn.XLOOKUP(tblCostChecklist[[#This Row],[TargetID]],tblTargets[TargetID],tblTargets[TargetType],"")</f>
        <v>TECH</v>
      </c>
      <c r="E739" s="41" t="s">
        <v>662</v>
      </c>
      <c r="F739" s="41">
        <v>1</v>
      </c>
      <c r="G739" s="41">
        <f>_xlfn.XLOOKUP(
 tblCostChecklist[[#This Row],[RequirementID]],
 tblCost[RequirementID],
 tblCost[QuantityRequired],
 ""
)</f>
        <v>20</v>
      </c>
      <c r="H7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9" s="41" t="str">
        <f>_xlfn.XLOOKUP(tblCostChecklist[[#This Row],[TargetID]],tblTargetStatus[TargetID],tblTargetStatus[Status])</f>
        <v>BLOCKED</v>
      </c>
      <c r="J739" s="25" t="b">
        <v>0</v>
      </c>
    </row>
    <row r="740" spans="1:10">
      <c r="A740" s="41" t="s">
        <v>4388</v>
      </c>
      <c r="B740" s="41" t="str">
        <f>_xlfn.TEXTAFTER(
 _xlfn.TEXTBEFORE(tblCostChecklist[[#This Row],[RequirementID]],".",-2),
 "cost."
)</f>
        <v>tech.bridge.salmon_farming</v>
      </c>
      <c r="C740" s="41" t="str">
        <f>_xlfn.XLOOKUP(tblCostChecklist[[#This Row],[TargetID]],tblTargets[TargetID],tblTargets[DisplayName],"")</f>
        <v>Bridge - Salmon Farming</v>
      </c>
      <c r="D740" s="41" t="str">
        <f>_xlfn.XLOOKUP(tblCostChecklist[[#This Row],[TargetID]],tblTargets[TargetID],tblTargets[TargetType],"")</f>
        <v>TECH</v>
      </c>
      <c r="E740" s="41" t="s">
        <v>934</v>
      </c>
      <c r="F740" s="41">
        <v>1</v>
      </c>
      <c r="G740" s="41">
        <f>_xlfn.XLOOKUP(
 tblCostChecklist[[#This Row],[RequirementID]],
 tblCost[RequirementID],
 tblCost[QuantityRequired],
 ""
)</f>
        <v>40</v>
      </c>
      <c r="H7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0" s="41" t="str">
        <f>_xlfn.XLOOKUP(tblCostChecklist[[#This Row],[TargetID]],tblTargetStatus[TargetID],tblTargetStatus[Status])</f>
        <v>BLOCKED</v>
      </c>
      <c r="J740" s="25" t="b">
        <v>0</v>
      </c>
    </row>
    <row r="741" spans="1:10">
      <c r="A741" s="41" t="s">
        <v>4389</v>
      </c>
      <c r="B741" s="41" t="str">
        <f>_xlfn.TEXTAFTER(
 _xlfn.TEXTBEFORE(tblCostChecklist[[#This Row],[RequirementID]],".",-2),
 "cost."
)</f>
        <v>tech.bridge.salmon_farming</v>
      </c>
      <c r="C741" s="41" t="str">
        <f>_xlfn.XLOOKUP(tblCostChecklist[[#This Row],[TargetID]],tblTargets[TargetID],tblTargets[DisplayName],"")</f>
        <v>Bridge - Salmon Farming</v>
      </c>
      <c r="D741" s="41" t="str">
        <f>_xlfn.XLOOKUP(tblCostChecklist[[#This Row],[TargetID]],tblTargets[TargetID],tblTargets[TargetType],"")</f>
        <v>TECH</v>
      </c>
      <c r="E741" s="41" t="s">
        <v>674</v>
      </c>
      <c r="F741" s="41">
        <v>1</v>
      </c>
      <c r="G741" s="41">
        <f>_xlfn.XLOOKUP(
 tblCostChecklist[[#This Row],[RequirementID]],
 tblCost[RequirementID],
 tblCost[QuantityRequired],
 ""
)</f>
        <v>20</v>
      </c>
      <c r="H7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1" s="41" t="str">
        <f>_xlfn.XLOOKUP(tblCostChecklist[[#This Row],[TargetID]],tblTargetStatus[TargetID],tblTargetStatus[Status])</f>
        <v>BLOCKED</v>
      </c>
      <c r="J741" s="25" t="b">
        <v>0</v>
      </c>
    </row>
    <row r="742" spans="1:10">
      <c r="A742" s="41" t="s">
        <v>4390</v>
      </c>
      <c r="B742" s="41" t="str">
        <f>_xlfn.TEXTAFTER(
 _xlfn.TEXTBEFORE(tblCostChecklist[[#This Row],[RequirementID]],".",-2),
 "cost."
)</f>
        <v>tech.bridge.salmon_farming</v>
      </c>
      <c r="C742" s="41" t="str">
        <f>_xlfn.XLOOKUP(tblCostChecklist[[#This Row],[TargetID]],tblTargets[TargetID],tblTargets[DisplayName],"")</f>
        <v>Bridge - Salmon Farming</v>
      </c>
      <c r="D742" s="41" t="str">
        <f>_xlfn.XLOOKUP(tblCostChecklist[[#This Row],[TargetID]],tblTargets[TargetID],tblTargets[TargetType],"")</f>
        <v>TECH</v>
      </c>
      <c r="E742" s="41" t="s">
        <v>942</v>
      </c>
      <c r="F742" s="41">
        <v>1</v>
      </c>
      <c r="G742" s="41">
        <f>_xlfn.XLOOKUP(
 tblCostChecklist[[#This Row],[RequirementID]],
 tblCost[RequirementID],
 tblCost[QuantityRequired],
 ""
)</f>
        <v>10</v>
      </c>
      <c r="H7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2" s="41" t="str">
        <f>_xlfn.XLOOKUP(tblCostChecklist[[#This Row],[TargetID]],tblTargetStatus[TargetID],tblTargetStatus[Status])</f>
        <v>BLOCKED</v>
      </c>
      <c r="J742" s="25" t="b">
        <v>0</v>
      </c>
    </row>
    <row r="743" spans="1:10">
      <c r="A743" s="41" t="s">
        <v>4391</v>
      </c>
      <c r="B743" s="41" t="str">
        <f>_xlfn.TEXTAFTER(
 _xlfn.TEXTBEFORE(tblCostChecklist[[#This Row],[RequirementID]],".",-2),
 "cost."
)</f>
        <v>tech.bridge.salmon_farming</v>
      </c>
      <c r="C743" s="41" t="str">
        <f>_xlfn.XLOOKUP(tblCostChecklist[[#This Row],[TargetID]],tblTargets[TargetID],tblTargets[DisplayName],"")</f>
        <v>Bridge - Salmon Farming</v>
      </c>
      <c r="D743" s="41" t="str">
        <f>_xlfn.XLOOKUP(tblCostChecklist[[#This Row],[TargetID]],tblTargets[TargetID],tblTargets[TargetType],"")</f>
        <v>TECH</v>
      </c>
      <c r="E743" s="41" t="s">
        <v>708</v>
      </c>
      <c r="F743" s="41">
        <v>1</v>
      </c>
      <c r="G743" s="41">
        <f>_xlfn.XLOOKUP(
 tblCostChecklist[[#This Row],[RequirementID]],
 tblCost[RequirementID],
 tblCost[QuantityRequired],
 ""
)</f>
        <v>15</v>
      </c>
      <c r="H7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3" s="41" t="str">
        <f>_xlfn.XLOOKUP(tblCostChecklist[[#This Row],[TargetID]],tblTargetStatus[TargetID],tblTargetStatus[Status])</f>
        <v>BLOCKED</v>
      </c>
      <c r="J743" s="25" t="b">
        <v>0</v>
      </c>
    </row>
    <row r="744" spans="1:10">
      <c r="A744" s="41" t="s">
        <v>4392</v>
      </c>
      <c r="B744" s="41" t="str">
        <f>_xlfn.TEXTAFTER(
 _xlfn.TEXTBEFORE(tblCostChecklist[[#This Row],[RequirementID]],".",-2),
 "cost."
)</f>
        <v>tech.bridge.salmon_farming</v>
      </c>
      <c r="C744" s="41" t="str">
        <f>_xlfn.XLOOKUP(tblCostChecklist[[#This Row],[TargetID]],tblTargets[TargetID],tblTargets[DisplayName],"")</f>
        <v>Bridge - Salmon Farming</v>
      </c>
      <c r="D744" s="41" t="str">
        <f>_xlfn.XLOOKUP(tblCostChecklist[[#This Row],[TargetID]],tblTargets[TargetID],tblTargets[TargetType],"")</f>
        <v>TECH</v>
      </c>
      <c r="E744" s="41" t="s">
        <v>948</v>
      </c>
      <c r="F744" s="41">
        <v>1</v>
      </c>
      <c r="G744" s="41">
        <f>_xlfn.XLOOKUP(
 tblCostChecklist[[#This Row],[RequirementID]],
 tblCost[RequirementID],
 tblCost[QuantityRequired],
 ""
)</f>
        <v>20</v>
      </c>
      <c r="H7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4" s="41" t="str">
        <f>_xlfn.XLOOKUP(tblCostChecklist[[#This Row],[TargetID]],tblTargetStatus[TargetID],tblTargetStatus[Status])</f>
        <v>BLOCKED</v>
      </c>
      <c r="J744" s="25" t="b">
        <v>0</v>
      </c>
    </row>
    <row r="745" spans="1:10">
      <c r="A745" s="41" t="s">
        <v>4393</v>
      </c>
      <c r="B745" s="41" t="str">
        <f>_xlfn.TEXTAFTER(
 _xlfn.TEXTBEFORE(tblCostChecklist[[#This Row],[RequirementID]],".",-2),
 "cost."
)</f>
        <v>tech.bridge.salmon_farming</v>
      </c>
      <c r="C745" s="41" t="str">
        <f>_xlfn.XLOOKUP(tblCostChecklist[[#This Row],[TargetID]],tblTargets[TargetID],tblTargets[DisplayName],"")</f>
        <v>Bridge - Salmon Farming</v>
      </c>
      <c r="D745" s="41" t="str">
        <f>_xlfn.XLOOKUP(tblCostChecklist[[#This Row],[TargetID]],tblTargets[TargetID],tblTargets[TargetType],"")</f>
        <v>TECH</v>
      </c>
      <c r="E745" s="41" t="s">
        <v>717</v>
      </c>
      <c r="F745" s="41">
        <v>1</v>
      </c>
      <c r="G745" s="41">
        <f>_xlfn.XLOOKUP(
 tblCostChecklist[[#This Row],[RequirementID]],
 tblCost[RequirementID],
 tblCost[QuantityRequired],
 ""
)</f>
        <v>400</v>
      </c>
      <c r="H7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5" s="41" t="str">
        <f>_xlfn.XLOOKUP(tblCostChecklist[[#This Row],[TargetID]],tblTargetStatus[TargetID],tblTargetStatus[Status])</f>
        <v>BLOCKED</v>
      </c>
      <c r="J745" s="25" t="b">
        <v>0</v>
      </c>
    </row>
    <row r="746" spans="1:10">
      <c r="A746" s="41" t="s">
        <v>4394</v>
      </c>
      <c r="B746" s="41" t="str">
        <f>_xlfn.TEXTAFTER(
 _xlfn.TEXTBEFORE(tblCostChecklist[[#This Row],[RequirementID]],".",-2),
 "cost."
)</f>
        <v>tech.dairy.classical_music_for_the_farm</v>
      </c>
      <c r="C746" s="41" t="str">
        <f>_xlfn.XLOOKUP(tblCostChecklist[[#This Row],[TargetID]],tblTargets[TargetID],tblTargets[DisplayName],"")</f>
        <v>Dairy - Classical Music For The Farm</v>
      </c>
      <c r="D746" s="41" t="str">
        <f>_xlfn.XLOOKUP(tblCostChecklist[[#This Row],[TargetID]],tblTargets[TargetID],tblTargets[TargetType],"")</f>
        <v>TECH</v>
      </c>
      <c r="E746" s="41" t="s">
        <v>662</v>
      </c>
      <c r="F746" s="41">
        <v>1</v>
      </c>
      <c r="G746" s="41">
        <f>_xlfn.XLOOKUP(
 tblCostChecklist[[#This Row],[RequirementID]],
 tblCost[RequirementID],
 tblCost[QuantityRequired],
 ""
)</f>
        <v>20</v>
      </c>
      <c r="H7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6" s="41" t="str">
        <f>_xlfn.XLOOKUP(tblCostChecklist[[#This Row],[TargetID]],tblTargetStatus[TargetID],tblTargetStatus[Status])</f>
        <v>BLOCKED</v>
      </c>
      <c r="J746" s="25" t="b">
        <v>0</v>
      </c>
    </row>
    <row r="747" spans="1:10">
      <c r="A747" s="41" t="s">
        <v>4395</v>
      </c>
      <c r="B747" s="41" t="str">
        <f>_xlfn.TEXTAFTER(
 _xlfn.TEXTBEFORE(tblCostChecklist[[#This Row],[RequirementID]],".",-2),
 "cost."
)</f>
        <v>tech.dairy.classical_music_for_the_farm</v>
      </c>
      <c r="C747" s="41" t="str">
        <f>_xlfn.XLOOKUP(tblCostChecklist[[#This Row],[TargetID]],tblTargets[TargetID],tblTargets[DisplayName],"")</f>
        <v>Dairy - Classical Music For The Farm</v>
      </c>
      <c r="D747" s="41" t="str">
        <f>_xlfn.XLOOKUP(tblCostChecklist[[#This Row],[TargetID]],tblTargets[TargetID],tblTargets[TargetType],"")</f>
        <v>TECH</v>
      </c>
      <c r="E747" s="41" t="s">
        <v>666</v>
      </c>
      <c r="F747" s="41">
        <v>1</v>
      </c>
      <c r="G747" s="41">
        <f>_xlfn.XLOOKUP(
 tblCostChecklist[[#This Row],[RequirementID]],
 tblCost[RequirementID],
 tblCost[QuantityRequired],
 ""
)</f>
        <v>500</v>
      </c>
      <c r="H7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7" s="41" t="str">
        <f>_xlfn.XLOOKUP(tblCostChecklist[[#This Row],[TargetID]],tblTargetStatus[TargetID],tblTargetStatus[Status])</f>
        <v>BLOCKED</v>
      </c>
      <c r="J747" s="25" t="b">
        <v>0</v>
      </c>
    </row>
    <row r="748" spans="1:10">
      <c r="A748" s="41" t="s">
        <v>4396</v>
      </c>
      <c r="B748" s="41" t="str">
        <f>_xlfn.TEXTAFTER(
 _xlfn.TEXTBEFORE(tblCostChecklist[[#This Row],[RequirementID]],".",-2),
 "cost."
)</f>
        <v>tech.dairy.classical_music_for_the_farm</v>
      </c>
      <c r="C748" s="41" t="str">
        <f>_xlfn.XLOOKUP(tblCostChecklist[[#This Row],[TargetID]],tblTargets[TargetID],tblTargets[DisplayName],"")</f>
        <v>Dairy - Classical Music For The Farm</v>
      </c>
      <c r="D748" s="41" t="str">
        <f>_xlfn.XLOOKUP(tblCostChecklist[[#This Row],[TargetID]],tblTargets[TargetID],tblTargets[TargetType],"")</f>
        <v>TECH</v>
      </c>
      <c r="E748" s="41" t="s">
        <v>674</v>
      </c>
      <c r="F748" s="41">
        <v>1</v>
      </c>
      <c r="G748" s="41">
        <f>_xlfn.XLOOKUP(
 tblCostChecklist[[#This Row],[RequirementID]],
 tblCost[RequirementID],
 tblCost[QuantityRequired],
 ""
)</f>
        <v>20</v>
      </c>
      <c r="H7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8" s="41" t="str">
        <f>_xlfn.XLOOKUP(tblCostChecklist[[#This Row],[TargetID]],tblTargetStatus[TargetID],tblTargetStatus[Status])</f>
        <v>BLOCKED</v>
      </c>
      <c r="J748" s="25" t="b">
        <v>0</v>
      </c>
    </row>
    <row r="749" spans="1:10">
      <c r="A749" s="41" t="s">
        <v>4397</v>
      </c>
      <c r="B749" s="41" t="str">
        <f>_xlfn.TEXTAFTER(
 _xlfn.TEXTBEFORE(tblCostChecklist[[#This Row],[RequirementID]],".",-2),
 "cost."
)</f>
        <v>tech.dairy.classical_music_for_the_farm</v>
      </c>
      <c r="C749" s="41" t="str">
        <f>_xlfn.XLOOKUP(tblCostChecklist[[#This Row],[TargetID]],tblTargets[TargetID],tblTargets[DisplayName],"")</f>
        <v>Dairy - Classical Music For The Farm</v>
      </c>
      <c r="D749" s="41" t="str">
        <f>_xlfn.XLOOKUP(tblCostChecklist[[#This Row],[TargetID]],tblTargets[TargetID],tblTargets[TargetType],"")</f>
        <v>TECH</v>
      </c>
      <c r="E749" s="41" t="s">
        <v>939</v>
      </c>
      <c r="F749" s="41">
        <v>1</v>
      </c>
      <c r="G749" s="41">
        <f>_xlfn.XLOOKUP(
 tblCostChecklist[[#This Row],[RequirementID]],
 tblCost[RequirementID],
 tblCost[QuantityRequired],
 ""
)</f>
        <v>4</v>
      </c>
      <c r="H7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9" s="41" t="str">
        <f>_xlfn.XLOOKUP(tblCostChecklist[[#This Row],[TargetID]],tblTargetStatus[TargetID],tblTargetStatus[Status])</f>
        <v>BLOCKED</v>
      </c>
      <c r="J749" s="25" t="b">
        <v>0</v>
      </c>
    </row>
    <row r="750" spans="1:10">
      <c r="A750" s="41" t="s">
        <v>4398</v>
      </c>
      <c r="B750" s="41" t="str">
        <f>_xlfn.TEXTAFTER(
 _xlfn.TEXTBEFORE(tblCostChecklist[[#This Row],[RequirementID]],".",-2),
 "cost."
)</f>
        <v>tech.dairy.classical_music_for_the_farm</v>
      </c>
      <c r="C750" s="41" t="str">
        <f>_xlfn.XLOOKUP(tblCostChecklist[[#This Row],[TargetID]],tblTargets[TargetID],tblTargets[DisplayName],"")</f>
        <v>Dairy - Classical Music For The Farm</v>
      </c>
      <c r="D750" s="41" t="str">
        <f>_xlfn.XLOOKUP(tblCostChecklist[[#This Row],[TargetID]],tblTargets[TargetID],tblTargets[TargetType],"")</f>
        <v>TECH</v>
      </c>
      <c r="E750" s="41" t="s">
        <v>686</v>
      </c>
      <c r="F750" s="41">
        <v>1</v>
      </c>
      <c r="G750" s="41">
        <f>_xlfn.XLOOKUP(
 tblCostChecklist[[#This Row],[RequirementID]],
 tblCost[RequirementID],
 tblCost[QuantityRequired],
 ""
)</f>
        <v>15</v>
      </c>
      <c r="H7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0" s="41" t="str">
        <f>_xlfn.XLOOKUP(tblCostChecklist[[#This Row],[TargetID]],tblTargetStatus[TargetID],tblTargetStatus[Status])</f>
        <v>BLOCKED</v>
      </c>
      <c r="J750" s="25" t="b">
        <v>0</v>
      </c>
    </row>
    <row r="751" spans="1:10">
      <c r="A751" s="41" t="s">
        <v>4399</v>
      </c>
      <c r="B751" s="41" t="str">
        <f>_xlfn.TEXTAFTER(
 _xlfn.TEXTBEFORE(tblCostChecklist[[#This Row],[RequirementID]],".",-2),
 "cost."
)</f>
        <v>tech.dairy.classical_music_for_the_farm</v>
      </c>
      <c r="C751" s="41" t="str">
        <f>_xlfn.XLOOKUP(tblCostChecklist[[#This Row],[TargetID]],tblTargets[TargetID],tblTargets[DisplayName],"")</f>
        <v>Dairy - Classical Music For The Farm</v>
      </c>
      <c r="D751" s="41" t="str">
        <f>_xlfn.XLOOKUP(tblCostChecklist[[#This Row],[TargetID]],tblTargets[TargetID],tblTargets[TargetType],"")</f>
        <v>TECH</v>
      </c>
      <c r="E751" s="41" t="s">
        <v>689</v>
      </c>
      <c r="F751" s="41">
        <v>1</v>
      </c>
      <c r="G751" s="41">
        <f>_xlfn.XLOOKUP(
 tblCostChecklist[[#This Row],[RequirementID]],
 tblCost[RequirementID],
 tblCost[QuantityRequired],
 ""
)</f>
        <v>20</v>
      </c>
      <c r="H7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1" s="41" t="str">
        <f>_xlfn.XLOOKUP(tblCostChecklist[[#This Row],[TargetID]],tblTargetStatus[TargetID],tblTargetStatus[Status])</f>
        <v>BLOCKED</v>
      </c>
      <c r="J751" s="25" t="b">
        <v>0</v>
      </c>
    </row>
    <row r="752" spans="1:10">
      <c r="A752" s="41" t="s">
        <v>4400</v>
      </c>
      <c r="B752" s="41" t="str">
        <f>_xlfn.TEXTAFTER(
 _xlfn.TEXTBEFORE(tblCostChecklist[[#This Row],[RequirementID]],".",-2),
 "cost."
)</f>
        <v>tech.dairy.classical_music_for_the_farm</v>
      </c>
      <c r="C752" s="41" t="str">
        <f>_xlfn.XLOOKUP(tblCostChecklist[[#This Row],[TargetID]],tblTargets[TargetID],tblTargets[DisplayName],"")</f>
        <v>Dairy - Classical Music For The Farm</v>
      </c>
      <c r="D752" s="41" t="str">
        <f>_xlfn.XLOOKUP(tblCostChecklist[[#This Row],[TargetID]],tblTargets[TargetID],tblTargets[TargetType],"")</f>
        <v>TECH</v>
      </c>
      <c r="E752" s="41" t="s">
        <v>703</v>
      </c>
      <c r="F752" s="41">
        <v>1</v>
      </c>
      <c r="G752" s="41">
        <f>_xlfn.XLOOKUP(
 tblCostChecklist[[#This Row],[RequirementID]],
 tblCost[RequirementID],
 tblCost[QuantityRequired],
 ""
)</f>
        <v>20</v>
      </c>
      <c r="H7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2" s="41" t="str">
        <f>_xlfn.XLOOKUP(tblCostChecklist[[#This Row],[TargetID]],tblTargetStatus[TargetID],tblTargetStatus[Status])</f>
        <v>BLOCKED</v>
      </c>
      <c r="J752" s="25" t="b">
        <v>0</v>
      </c>
    </row>
    <row r="753" spans="1:10">
      <c r="A753" s="41" t="s">
        <v>4401</v>
      </c>
      <c r="B753" s="41" t="str">
        <f>_xlfn.TEXTAFTER(
 _xlfn.TEXTBEFORE(tblCostChecklist[[#This Row],[RequirementID]],".",-2),
 "cost."
)</f>
        <v>tech.dairy.classical_music_for_the_farm</v>
      </c>
      <c r="C753" s="41" t="str">
        <f>_xlfn.XLOOKUP(tblCostChecklist[[#This Row],[TargetID]],tblTargets[TargetID],tblTargets[DisplayName],"")</f>
        <v>Dairy - Classical Music For The Farm</v>
      </c>
      <c r="D753" s="41" t="str">
        <f>_xlfn.XLOOKUP(tblCostChecklist[[#This Row],[TargetID]],tblTargets[TargetID],tblTargets[TargetType],"")</f>
        <v>TECH</v>
      </c>
      <c r="E753" s="41" t="s">
        <v>708</v>
      </c>
      <c r="F753" s="41">
        <v>1</v>
      </c>
      <c r="G753" s="41">
        <f>_xlfn.XLOOKUP(
 tblCostChecklist[[#This Row],[RequirementID]],
 tblCost[RequirementID],
 tblCost[QuantityRequired],
 ""
)</f>
        <v>3</v>
      </c>
      <c r="H7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3" s="41" t="str">
        <f>_xlfn.XLOOKUP(tblCostChecklist[[#This Row],[TargetID]],tblTargetStatus[TargetID],tblTargetStatus[Status])</f>
        <v>BLOCKED</v>
      </c>
      <c r="J753" s="25" t="b">
        <v>0</v>
      </c>
    </row>
    <row r="754" spans="1:10">
      <c r="A754" s="41" t="s">
        <v>4402</v>
      </c>
      <c r="B754" s="41" t="str">
        <f>_xlfn.TEXTAFTER(
 _xlfn.TEXTBEFORE(tblCostChecklist[[#This Row],[RequirementID]],".",-2),
 "cost."
)</f>
        <v>tech.dairy.big_data_farming</v>
      </c>
      <c r="C754" s="41" t="str">
        <f>_xlfn.XLOOKUP(tblCostChecklist[[#This Row],[TargetID]],tblTargets[TargetID],tblTargets[DisplayName],"")</f>
        <v>Dairy - Big Data Farming</v>
      </c>
      <c r="D754" s="41" t="str">
        <f>_xlfn.XLOOKUP(tblCostChecklist[[#This Row],[TargetID]],tblTargets[TargetID],tblTargets[TargetType],"")</f>
        <v>TECH</v>
      </c>
      <c r="E754" s="41" t="s">
        <v>662</v>
      </c>
      <c r="F754" s="41">
        <v>1</v>
      </c>
      <c r="G754" s="41">
        <f>_xlfn.XLOOKUP(
 tblCostChecklist[[#This Row],[RequirementID]],
 tblCost[RequirementID],
 tblCost[QuantityRequired],
 ""
)</f>
        <v>32</v>
      </c>
      <c r="H7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4" s="41" t="str">
        <f>_xlfn.XLOOKUP(tblCostChecklist[[#This Row],[TargetID]],tblTargetStatus[TargetID],tblTargetStatus[Status])</f>
        <v>BLOCKED</v>
      </c>
      <c r="J754" s="25" t="b">
        <v>0</v>
      </c>
    </row>
    <row r="755" spans="1:10">
      <c r="A755" s="41" t="s">
        <v>4403</v>
      </c>
      <c r="B755" s="41" t="str">
        <f>_xlfn.TEXTAFTER(
 _xlfn.TEXTBEFORE(tblCostChecklist[[#This Row],[RequirementID]],".",-2),
 "cost."
)</f>
        <v>tech.dairy.big_data_farming</v>
      </c>
      <c r="C755" s="41" t="str">
        <f>_xlfn.XLOOKUP(tblCostChecklist[[#This Row],[TargetID]],tblTargets[TargetID],tblTargets[DisplayName],"")</f>
        <v>Dairy - Big Data Farming</v>
      </c>
      <c r="D755" s="41" t="str">
        <f>_xlfn.XLOOKUP(tblCostChecklist[[#This Row],[TargetID]],tblTargets[TargetID],tblTargets[TargetType],"")</f>
        <v>TECH</v>
      </c>
      <c r="E755" s="41" t="s">
        <v>666</v>
      </c>
      <c r="F755" s="41">
        <v>1</v>
      </c>
      <c r="G755" s="41">
        <f>_xlfn.XLOOKUP(
 tblCostChecklist[[#This Row],[RequirementID]],
 tblCost[RequirementID],
 tblCost[QuantityRequired],
 ""
)</f>
        <v>1000</v>
      </c>
      <c r="H7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5" s="41" t="str">
        <f>_xlfn.XLOOKUP(tblCostChecklist[[#This Row],[TargetID]],tblTargetStatus[TargetID],tblTargetStatus[Status])</f>
        <v>BLOCKED</v>
      </c>
      <c r="J755" s="25" t="b">
        <v>0</v>
      </c>
    </row>
    <row r="756" spans="1:10">
      <c r="A756" s="41" t="s">
        <v>4404</v>
      </c>
      <c r="B756" s="41" t="str">
        <f>_xlfn.TEXTAFTER(
 _xlfn.TEXTBEFORE(tblCostChecklist[[#This Row],[RequirementID]],".",-2),
 "cost."
)</f>
        <v>tech.dairy.big_data_farming</v>
      </c>
      <c r="C756" s="41" t="str">
        <f>_xlfn.XLOOKUP(tblCostChecklist[[#This Row],[TargetID]],tblTargets[TargetID],tblTargets[DisplayName],"")</f>
        <v>Dairy - Big Data Farming</v>
      </c>
      <c r="D756" s="41" t="str">
        <f>_xlfn.XLOOKUP(tblCostChecklist[[#This Row],[TargetID]],tblTargets[TargetID],tblTargets[TargetType],"")</f>
        <v>TECH</v>
      </c>
      <c r="E756" s="41" t="s">
        <v>686</v>
      </c>
      <c r="F756" s="41">
        <v>1</v>
      </c>
      <c r="G756" s="41">
        <f>_xlfn.XLOOKUP(
 tblCostChecklist[[#This Row],[RequirementID]],
 tblCost[RequirementID],
 tblCost[QuantityRequired],
 ""
)</f>
        <v>20</v>
      </c>
      <c r="H7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6" s="41" t="str">
        <f>_xlfn.XLOOKUP(tblCostChecklist[[#This Row],[TargetID]],tblTargetStatus[TargetID],tblTargetStatus[Status])</f>
        <v>BLOCKED</v>
      </c>
      <c r="J756" s="25" t="b">
        <v>0</v>
      </c>
    </row>
    <row r="757" spans="1:10">
      <c r="A757" s="41" t="s">
        <v>4405</v>
      </c>
      <c r="B757" s="41" t="str">
        <f>_xlfn.TEXTAFTER(
 _xlfn.TEXTBEFORE(tblCostChecklist[[#This Row],[RequirementID]],".",-2),
 "cost."
)</f>
        <v>tech.dairy.big_data_farming</v>
      </c>
      <c r="C757" s="41" t="str">
        <f>_xlfn.XLOOKUP(tblCostChecklist[[#This Row],[TargetID]],tblTargets[TargetID],tblTargets[DisplayName],"")</f>
        <v>Dairy - Big Data Farming</v>
      </c>
      <c r="D757" s="41" t="str">
        <f>_xlfn.XLOOKUP(tblCostChecklist[[#This Row],[TargetID]],tblTargets[TargetID],tblTargets[TargetType],"")</f>
        <v>TECH</v>
      </c>
      <c r="E757" s="41" t="s">
        <v>689</v>
      </c>
      <c r="F757" s="41">
        <v>1</v>
      </c>
      <c r="G757" s="41">
        <f>_xlfn.XLOOKUP(
 tblCostChecklist[[#This Row],[RequirementID]],
 tblCost[RequirementID],
 tblCost[QuantityRequired],
 ""
)</f>
        <v>20</v>
      </c>
      <c r="H7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7" s="41" t="str">
        <f>_xlfn.XLOOKUP(tblCostChecklist[[#This Row],[TargetID]],tblTargetStatus[TargetID],tblTargetStatus[Status])</f>
        <v>BLOCKED</v>
      </c>
      <c r="J757" s="25" t="b">
        <v>0</v>
      </c>
    </row>
    <row r="758" spans="1:10">
      <c r="A758" s="41" t="s">
        <v>4406</v>
      </c>
      <c r="B758" s="41" t="str">
        <f>_xlfn.TEXTAFTER(
 _xlfn.TEXTBEFORE(tblCostChecklist[[#This Row],[RequirementID]],".",-2),
 "cost."
)</f>
        <v>tech.dairy.big_data_farming</v>
      </c>
      <c r="C758" s="41" t="str">
        <f>_xlfn.XLOOKUP(tblCostChecklist[[#This Row],[TargetID]],tblTargets[TargetID],tblTargets[DisplayName],"")</f>
        <v>Dairy - Big Data Farming</v>
      </c>
      <c r="D758" s="41" t="str">
        <f>_xlfn.XLOOKUP(tblCostChecklist[[#This Row],[TargetID]],tblTargets[TargetID],tblTargets[TargetType],"")</f>
        <v>TECH</v>
      </c>
      <c r="E758" s="41" t="s">
        <v>697</v>
      </c>
      <c r="F758" s="41">
        <v>1</v>
      </c>
      <c r="G758" s="41">
        <f>_xlfn.XLOOKUP(
 tblCostChecklist[[#This Row],[RequirementID]],
 tblCost[RequirementID],
 tblCost[QuantityRequired],
 ""
)</f>
        <v>40</v>
      </c>
      <c r="H7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8" s="41" t="str">
        <f>_xlfn.XLOOKUP(tblCostChecklist[[#This Row],[TargetID]],tblTargetStatus[TargetID],tblTargetStatus[Status])</f>
        <v>BLOCKED</v>
      </c>
      <c r="J758" s="25" t="b">
        <v>0</v>
      </c>
    </row>
    <row r="759" spans="1:10">
      <c r="A759" s="41" t="s">
        <v>4407</v>
      </c>
      <c r="B759" s="41" t="str">
        <f>_xlfn.TEXTAFTER(
 _xlfn.TEXTBEFORE(tblCostChecklist[[#This Row],[RequirementID]],".",-2),
 "cost."
)</f>
        <v>tech.dairy.big_data_farming</v>
      </c>
      <c r="C759" s="41" t="str">
        <f>_xlfn.XLOOKUP(tblCostChecklist[[#This Row],[TargetID]],tblTargets[TargetID],tblTargets[DisplayName],"")</f>
        <v>Dairy - Big Data Farming</v>
      </c>
      <c r="D759" s="41" t="str">
        <f>_xlfn.XLOOKUP(tblCostChecklist[[#This Row],[TargetID]],tblTargets[TargetID],tblTargets[TargetType],"")</f>
        <v>TECH</v>
      </c>
      <c r="E759" s="41" t="s">
        <v>703</v>
      </c>
      <c r="F759" s="41">
        <v>1</v>
      </c>
      <c r="G759" s="41">
        <f>_xlfn.XLOOKUP(
 tblCostChecklist[[#This Row],[RequirementID]],
 tblCost[RequirementID],
 tblCost[QuantityRequired],
 ""
)</f>
        <v>20</v>
      </c>
      <c r="H7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9" s="41" t="str">
        <f>_xlfn.XLOOKUP(tblCostChecklist[[#This Row],[TargetID]],tblTargetStatus[TargetID],tblTargetStatus[Status])</f>
        <v>BLOCKED</v>
      </c>
      <c r="J759" s="25" t="b">
        <v>0</v>
      </c>
    </row>
    <row r="760" spans="1:10">
      <c r="A760" s="41" t="s">
        <v>4408</v>
      </c>
      <c r="B760" s="41" t="str">
        <f>_xlfn.TEXTAFTER(
 _xlfn.TEXTBEFORE(tblCostChecklist[[#This Row],[RequirementID]],".",-2),
 "cost."
)</f>
        <v>tech.dairy.big_data_farming</v>
      </c>
      <c r="C760" s="41" t="str">
        <f>_xlfn.XLOOKUP(tblCostChecklist[[#This Row],[TargetID]],tblTargets[TargetID],tblTargets[DisplayName],"")</f>
        <v>Dairy - Big Data Farming</v>
      </c>
      <c r="D760" s="41" t="str">
        <f>_xlfn.XLOOKUP(tblCostChecklist[[#This Row],[TargetID]],tblTargets[TargetID],tblTargets[TargetType],"")</f>
        <v>TECH</v>
      </c>
      <c r="E760" s="41" t="s">
        <v>708</v>
      </c>
      <c r="F760" s="41">
        <v>1</v>
      </c>
      <c r="G760" s="41">
        <f>_xlfn.XLOOKUP(
 tblCostChecklist[[#This Row],[RequirementID]],
 tblCost[RequirementID],
 tblCost[QuantityRequired],
 ""
)</f>
        <v>5</v>
      </c>
      <c r="H7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0" s="41" t="str">
        <f>_xlfn.XLOOKUP(tblCostChecklist[[#This Row],[TargetID]],tblTargetStatus[TargetID],tblTargetStatus[Status])</f>
        <v>BLOCKED</v>
      </c>
      <c r="J760" s="25" t="b">
        <v>0</v>
      </c>
    </row>
    <row r="761" spans="1:10">
      <c r="A761" s="41" t="s">
        <v>4409</v>
      </c>
      <c r="B761" s="41" t="str">
        <f>_xlfn.TEXTAFTER(
 _xlfn.TEXTBEFORE(tblCostChecklist[[#This Row],[RequirementID]],".",-2),
 "cost."
)</f>
        <v>tech.dairy.big_data_farming</v>
      </c>
      <c r="C761" s="41" t="str">
        <f>_xlfn.XLOOKUP(tblCostChecklist[[#This Row],[TargetID]],tblTargets[TargetID],tblTargets[DisplayName],"")</f>
        <v>Dairy - Big Data Farming</v>
      </c>
      <c r="D761" s="41" t="str">
        <f>_xlfn.XLOOKUP(tblCostChecklist[[#This Row],[TargetID]],tblTargets[TargetID],tblTargets[TargetType],"")</f>
        <v>TECH</v>
      </c>
      <c r="E761" s="41" t="s">
        <v>955</v>
      </c>
      <c r="F761" s="41">
        <v>1</v>
      </c>
      <c r="G761" s="41">
        <f>_xlfn.XLOOKUP(
 tblCostChecklist[[#This Row],[RequirementID]],
 tblCost[RequirementID],
 tblCost[QuantityRequired],
 ""
)</f>
        <v>20</v>
      </c>
      <c r="H7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1" s="41" t="str">
        <f>_xlfn.XLOOKUP(tblCostChecklist[[#This Row],[TargetID]],tblTargetStatus[TargetID],tblTargetStatus[Status])</f>
        <v>BLOCKED</v>
      </c>
      <c r="J761" s="25" t="b">
        <v>0</v>
      </c>
    </row>
    <row r="762" spans="1:10">
      <c r="A762" s="41" t="s">
        <v>4410</v>
      </c>
      <c r="B762" s="41" t="str">
        <f>_xlfn.TEXTAFTER(
 _xlfn.TEXTBEFORE(tblCostChecklist[[#This Row],[RequirementID]],".",-2),
 "cost."
)</f>
        <v>tech.dairy.big_data_farming</v>
      </c>
      <c r="C762" s="41" t="str">
        <f>_xlfn.XLOOKUP(tblCostChecklist[[#This Row],[TargetID]],tblTargets[TargetID],tblTargets[DisplayName],"")</f>
        <v>Dairy - Big Data Farming</v>
      </c>
      <c r="D762" s="41" t="str">
        <f>_xlfn.XLOOKUP(tblCostChecklist[[#This Row],[TargetID]],tblTargets[TargetID],tblTargets[TargetType],"")</f>
        <v>TECH</v>
      </c>
      <c r="E762" s="41" t="s">
        <v>958</v>
      </c>
      <c r="F762" s="41">
        <v>1</v>
      </c>
      <c r="G762" s="41">
        <f>_xlfn.XLOOKUP(
 tblCostChecklist[[#This Row],[RequirementID]],
 tblCost[RequirementID],
 tblCost[QuantityRequired],
 ""
)</f>
        <v>10</v>
      </c>
      <c r="H7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2" s="41" t="str">
        <f>_xlfn.XLOOKUP(tblCostChecklist[[#This Row],[TargetID]],tblTargetStatus[TargetID],tblTargetStatus[Status])</f>
        <v>BLOCKED</v>
      </c>
      <c r="J762" s="25" t="b">
        <v>0</v>
      </c>
    </row>
    <row r="763" spans="1:10">
      <c r="A763" s="41" t="s">
        <v>4411</v>
      </c>
      <c r="B763" s="41" t="str">
        <f>_xlfn.TEXTAFTER(
 _xlfn.TEXTBEFORE(tblCostChecklist[[#This Row],[RequirementID]],".",-2),
 "cost."
)</f>
        <v>tech.dungeon.great_hall</v>
      </c>
      <c r="C763" s="41" t="str">
        <f>_xlfn.XLOOKUP(tblCostChecklist[[#This Row],[TargetID]],tblTargets[TargetID],tblTargets[DisplayName],"")</f>
        <v>Dungeon - Great Hall</v>
      </c>
      <c r="D763" s="41" t="str">
        <f>_xlfn.XLOOKUP(tblCostChecklist[[#This Row],[TargetID]],tblTargets[TargetID],tblTargets[TargetType],"")</f>
        <v>TECH</v>
      </c>
      <c r="E763" s="41" t="s">
        <v>666</v>
      </c>
      <c r="F763" s="41">
        <v>1</v>
      </c>
      <c r="G763" s="41">
        <f>_xlfn.XLOOKUP(
 tblCostChecklist[[#This Row],[RequirementID]],
 tblCost[RequirementID],
 tblCost[QuantityRequired],
 ""
)</f>
        <v>300</v>
      </c>
      <c r="H7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3" s="41" t="str">
        <f>_xlfn.XLOOKUP(tblCostChecklist[[#This Row],[TargetID]],tblTargetStatus[TargetID],tblTargetStatus[Status])</f>
        <v>BLOCKED</v>
      </c>
      <c r="J763" s="25" t="b">
        <v>0</v>
      </c>
    </row>
    <row r="764" spans="1:10">
      <c r="A764" s="41" t="s">
        <v>4412</v>
      </c>
      <c r="B764" s="41" t="str">
        <f>_xlfn.TEXTAFTER(
 _xlfn.TEXTBEFORE(tblCostChecklist[[#This Row],[RequirementID]],".",-2),
 "cost."
)</f>
        <v>tech.dungeon.great_hall</v>
      </c>
      <c r="C764" s="41" t="str">
        <f>_xlfn.XLOOKUP(tblCostChecklist[[#This Row],[TargetID]],tblTargets[TargetID],tblTargets[DisplayName],"")</f>
        <v>Dungeon - Great Hall</v>
      </c>
      <c r="D764" s="41" t="str">
        <f>_xlfn.XLOOKUP(tblCostChecklist[[#This Row],[TargetID]],tblTargets[TargetID],tblTargets[TargetType],"")</f>
        <v>TECH</v>
      </c>
      <c r="E764" s="41" t="s">
        <v>671</v>
      </c>
      <c r="F764" s="41">
        <v>1</v>
      </c>
      <c r="G764" s="41">
        <f>_xlfn.XLOOKUP(
 tblCostChecklist[[#This Row],[RequirementID]],
 tblCost[RequirementID],
 tblCost[QuantityRequired],
 ""
)</f>
        <v>30</v>
      </c>
      <c r="H7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4" s="41" t="str">
        <f>_xlfn.XLOOKUP(tblCostChecklist[[#This Row],[TargetID]],tblTargetStatus[TargetID],tblTargetStatus[Status])</f>
        <v>BLOCKED</v>
      </c>
      <c r="J764" s="25" t="b">
        <v>0</v>
      </c>
    </row>
    <row r="765" spans="1:10">
      <c r="A765" s="41" t="s">
        <v>4413</v>
      </c>
      <c r="B765" s="41" t="str">
        <f>_xlfn.TEXTAFTER(
 _xlfn.TEXTBEFORE(tblCostChecklist[[#This Row],[RequirementID]],".",-2),
 "cost."
)</f>
        <v>tech.dungeon.great_hall</v>
      </c>
      <c r="C765" s="41" t="str">
        <f>_xlfn.XLOOKUP(tblCostChecklist[[#This Row],[TargetID]],tblTargets[TargetID],tblTargets[DisplayName],"")</f>
        <v>Dungeon - Great Hall</v>
      </c>
      <c r="D765" s="41" t="str">
        <f>_xlfn.XLOOKUP(tblCostChecklist[[#This Row],[TargetID]],tblTargets[TargetID],tblTargets[TargetType],"")</f>
        <v>TECH</v>
      </c>
      <c r="E765" s="41" t="s">
        <v>716</v>
      </c>
      <c r="F765" s="41">
        <v>1</v>
      </c>
      <c r="G765" s="41">
        <f>_xlfn.XLOOKUP(
 tblCostChecklist[[#This Row],[RequirementID]],
 tblCost[RequirementID],
 tblCost[QuantityRequired],
 ""
)</f>
        <v>100</v>
      </c>
      <c r="H7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5" s="41" t="str">
        <f>_xlfn.XLOOKUP(tblCostChecklist[[#This Row],[TargetID]],tblTargetStatus[TargetID],tblTargetStatus[Status])</f>
        <v>BLOCKED</v>
      </c>
      <c r="J765" s="25" t="b">
        <v>0</v>
      </c>
    </row>
    <row r="766" spans="1:10">
      <c r="A766" s="41" t="s">
        <v>4414</v>
      </c>
      <c r="B766" s="41" t="str">
        <f>_xlfn.TEXTAFTER(
 _xlfn.TEXTBEFORE(tblCostChecklist[[#This Row],[RequirementID]],".",-2),
 "cost."
)</f>
        <v>tech.dungeon.great_hall</v>
      </c>
      <c r="C766" s="41" t="str">
        <f>_xlfn.XLOOKUP(tblCostChecklist[[#This Row],[TargetID]],tblTargets[TargetID],tblTargets[DisplayName],"")</f>
        <v>Dungeon - Great Hall</v>
      </c>
      <c r="D766" s="41" t="str">
        <f>_xlfn.XLOOKUP(tblCostChecklist[[#This Row],[TargetID]],tblTargets[TargetID],tblTargets[TargetType],"")</f>
        <v>TECH</v>
      </c>
      <c r="E766" s="41" t="s">
        <v>717</v>
      </c>
      <c r="F766" s="41">
        <v>1</v>
      </c>
      <c r="G766" s="41">
        <f>_xlfn.XLOOKUP(
 tblCostChecklist[[#This Row],[RequirementID]],
 tblCost[RequirementID],
 tblCost[QuantityRequired],
 ""
)</f>
        <v>50</v>
      </c>
      <c r="H7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6" s="41" t="str">
        <f>_xlfn.XLOOKUP(tblCostChecklist[[#This Row],[TargetID]],tblTargetStatus[TargetID],tblTargetStatus[Status])</f>
        <v>BLOCKED</v>
      </c>
      <c r="J766" s="25" t="b">
        <v>0</v>
      </c>
    </row>
    <row r="767" spans="1:10">
      <c r="A767" s="41" t="s">
        <v>4415</v>
      </c>
      <c r="B767" s="41" t="str">
        <f>_xlfn.TEXTAFTER(
 _xlfn.TEXTBEFORE(tblCostChecklist[[#This Row],[RequirementID]],".",-2),
 "cost."
)</f>
        <v>tech.dungeon.great_hall</v>
      </c>
      <c r="C767" s="41" t="str">
        <f>_xlfn.XLOOKUP(tblCostChecklist[[#This Row],[TargetID]],tblTargets[TargetID],tblTargets[DisplayName],"")</f>
        <v>Dungeon - Great Hall</v>
      </c>
      <c r="D767" s="41" t="str">
        <f>_xlfn.XLOOKUP(tblCostChecklist[[#This Row],[TargetID]],tblTargets[TargetID],tblTargets[TargetType],"")</f>
        <v>TECH</v>
      </c>
      <c r="E767" s="41" t="s">
        <v>723</v>
      </c>
      <c r="F767" s="41">
        <v>1</v>
      </c>
      <c r="G767" s="41">
        <f>_xlfn.XLOOKUP(
 tblCostChecklist[[#This Row],[RequirementID]],
 tblCost[RequirementID],
 tblCost[QuantityRequired],
 ""
)</f>
        <v>200</v>
      </c>
      <c r="H7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7" s="41" t="str">
        <f>_xlfn.XLOOKUP(tblCostChecklist[[#This Row],[TargetID]],tblTargetStatus[TargetID],tblTargetStatus[Status])</f>
        <v>BLOCKED</v>
      </c>
      <c r="J767" s="25" t="b">
        <v>0</v>
      </c>
    </row>
    <row r="768" spans="1:10">
      <c r="A768" s="41" t="s">
        <v>4416</v>
      </c>
      <c r="B768" s="41" t="str">
        <f>_xlfn.TEXTAFTER(
 _xlfn.TEXTBEFORE(tblCostChecklist[[#This Row],[RequirementID]],".",-2),
 "cost."
)</f>
        <v>tech.fermentory.pasteurization</v>
      </c>
      <c r="C768" s="41" t="str">
        <f>_xlfn.XLOOKUP(tblCostChecklist[[#This Row],[TargetID]],tblTargets[TargetID],tblTargets[DisplayName],"")</f>
        <v>Fermentory - Pasteurization</v>
      </c>
      <c r="D768" s="41" t="str">
        <f>_xlfn.XLOOKUP(tblCostChecklist[[#This Row],[TargetID]],tblTargets[TargetID],tblTargets[TargetType],"")</f>
        <v>TECH</v>
      </c>
      <c r="E768" s="41" t="s">
        <v>926</v>
      </c>
      <c r="F768" s="41">
        <v>1</v>
      </c>
      <c r="G768" s="41">
        <f>_xlfn.XLOOKUP(
 tblCostChecklist[[#This Row],[RequirementID]],
 tblCost[RequirementID],
 tblCost[QuantityRequired],
 ""
)</f>
        <v>20</v>
      </c>
      <c r="H7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8" s="41" t="str">
        <f>_xlfn.XLOOKUP(tblCostChecklist[[#This Row],[TargetID]],tblTargetStatus[TargetID],tblTargetStatus[Status])</f>
        <v>BLOCKED</v>
      </c>
      <c r="J768" s="25" t="b">
        <v>0</v>
      </c>
    </row>
    <row r="769" spans="1:10">
      <c r="A769" s="41" t="s">
        <v>4417</v>
      </c>
      <c r="B769" s="41" t="str">
        <f>_xlfn.TEXTAFTER(
 _xlfn.TEXTBEFORE(tblCostChecklist[[#This Row],[RequirementID]],".",-2),
 "cost."
)</f>
        <v>tech.fermentory.pasteurization</v>
      </c>
      <c r="C769" s="41" t="str">
        <f>_xlfn.XLOOKUP(tblCostChecklist[[#This Row],[TargetID]],tblTargets[TargetID],tblTargets[DisplayName],"")</f>
        <v>Fermentory - Pasteurization</v>
      </c>
      <c r="D769" s="41" t="str">
        <f>_xlfn.XLOOKUP(tblCostChecklist[[#This Row],[TargetID]],tblTargets[TargetID],tblTargets[TargetType],"")</f>
        <v>TECH</v>
      </c>
      <c r="E769" s="41" t="s">
        <v>662</v>
      </c>
      <c r="F769" s="41">
        <v>1</v>
      </c>
      <c r="G769" s="41">
        <f>_xlfn.XLOOKUP(
 tblCostChecklist[[#This Row],[RequirementID]],
 tblCost[RequirementID],
 tblCost[QuantityRequired],
 ""
)</f>
        <v>40</v>
      </c>
      <c r="H7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9" s="41" t="str">
        <f>_xlfn.XLOOKUP(tblCostChecklist[[#This Row],[TargetID]],tblTargetStatus[TargetID],tblTargetStatus[Status])</f>
        <v>BLOCKED</v>
      </c>
      <c r="J769" s="25" t="b">
        <v>0</v>
      </c>
    </row>
    <row r="770" spans="1:10">
      <c r="A770" s="41" t="s">
        <v>4418</v>
      </c>
      <c r="B770" s="41" t="str">
        <f>_xlfn.TEXTAFTER(
 _xlfn.TEXTBEFORE(tblCostChecklist[[#This Row],[RequirementID]],".",-2),
 "cost."
)</f>
        <v>tech.fermentory.pasteurization</v>
      </c>
      <c r="C770" s="41" t="str">
        <f>_xlfn.XLOOKUP(tblCostChecklist[[#This Row],[TargetID]],tblTargets[TargetID],tblTargets[DisplayName],"")</f>
        <v>Fermentory - Pasteurization</v>
      </c>
      <c r="D770" s="41" t="str">
        <f>_xlfn.XLOOKUP(tblCostChecklist[[#This Row],[TargetID]],tblTargets[TargetID],tblTargets[TargetType],"")</f>
        <v>TECH</v>
      </c>
      <c r="E770" s="41" t="s">
        <v>928</v>
      </c>
      <c r="F770" s="41">
        <v>1</v>
      </c>
      <c r="G770" s="41">
        <f>_xlfn.XLOOKUP(
 tblCostChecklist[[#This Row],[RequirementID]],
 tblCost[RequirementID],
 tblCost[QuantityRequired],
 ""
)</f>
        <v>20</v>
      </c>
      <c r="H7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0" s="41" t="str">
        <f>_xlfn.XLOOKUP(tblCostChecklist[[#This Row],[TargetID]],tblTargetStatus[TargetID],tblTargetStatus[Status])</f>
        <v>BLOCKED</v>
      </c>
      <c r="J770" s="25" t="b">
        <v>0</v>
      </c>
    </row>
    <row r="771" spans="1:10">
      <c r="A771" s="41" t="s">
        <v>4419</v>
      </c>
      <c r="B771" s="41" t="str">
        <f>_xlfn.TEXTAFTER(
 _xlfn.TEXTBEFORE(tblCostChecklist[[#This Row],[RequirementID]],".",-2),
 "cost."
)</f>
        <v>tech.fermentory.pasteurization</v>
      </c>
      <c r="C771" s="41" t="str">
        <f>_xlfn.XLOOKUP(tblCostChecklist[[#This Row],[TargetID]],tblTargets[TargetID],tblTargets[DisplayName],"")</f>
        <v>Fermentory - Pasteurization</v>
      </c>
      <c r="D771" s="41" t="str">
        <f>_xlfn.XLOOKUP(tblCostChecklist[[#This Row],[TargetID]],tblTargets[TargetID],tblTargets[TargetType],"")</f>
        <v>TECH</v>
      </c>
      <c r="E771" s="41" t="s">
        <v>666</v>
      </c>
      <c r="F771" s="41">
        <v>1</v>
      </c>
      <c r="G771" s="41">
        <f>_xlfn.XLOOKUP(
 tblCostChecklist[[#This Row],[RequirementID]],
 tblCost[RequirementID],
 tblCost[QuantityRequired],
 ""
)</f>
        <v>1000</v>
      </c>
      <c r="H7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1" s="41" t="str">
        <f>_xlfn.XLOOKUP(tblCostChecklist[[#This Row],[TargetID]],tblTargetStatus[TargetID],tblTargetStatus[Status])</f>
        <v>BLOCKED</v>
      </c>
      <c r="J771" s="25" t="b">
        <v>0</v>
      </c>
    </row>
    <row r="772" spans="1:10">
      <c r="A772" s="41" t="s">
        <v>4420</v>
      </c>
      <c r="B772" s="41" t="str">
        <f>_xlfn.TEXTAFTER(
 _xlfn.TEXTBEFORE(tblCostChecklist[[#This Row],[RequirementID]],".",-2),
 "cost."
)</f>
        <v>tech.fermentory.pasteurization</v>
      </c>
      <c r="C772" s="41" t="str">
        <f>_xlfn.XLOOKUP(tblCostChecklist[[#This Row],[TargetID]],tblTargets[TargetID],tblTargets[DisplayName],"")</f>
        <v>Fermentory - Pasteurization</v>
      </c>
      <c r="D772" s="41" t="str">
        <f>_xlfn.XLOOKUP(tblCostChecklist[[#This Row],[TargetID]],tblTargets[TargetID],tblTargets[TargetType],"")</f>
        <v>TECH</v>
      </c>
      <c r="E772" s="41" t="s">
        <v>670</v>
      </c>
      <c r="F772" s="41">
        <v>1</v>
      </c>
      <c r="G772" s="41">
        <f>_xlfn.XLOOKUP(
 tblCostChecklist[[#This Row],[RequirementID]],
 tblCost[RequirementID],
 tblCost[QuantityRequired],
 ""
)</f>
        <v>10</v>
      </c>
      <c r="H7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2" s="41" t="str">
        <f>_xlfn.XLOOKUP(tblCostChecklist[[#This Row],[TargetID]],tblTargetStatus[TargetID],tblTargetStatus[Status])</f>
        <v>BLOCKED</v>
      </c>
      <c r="J772" s="25" t="b">
        <v>0</v>
      </c>
    </row>
    <row r="773" spans="1:10">
      <c r="A773" s="41" t="s">
        <v>4421</v>
      </c>
      <c r="B773" s="41" t="str">
        <f>_xlfn.TEXTAFTER(
 _xlfn.TEXTBEFORE(tblCostChecklist[[#This Row],[RequirementID]],".",-2),
 "cost."
)</f>
        <v>tech.fermentory.pasteurization</v>
      </c>
      <c r="C773" s="41" t="str">
        <f>_xlfn.XLOOKUP(tblCostChecklist[[#This Row],[TargetID]],tblTargets[TargetID],tblTargets[DisplayName],"")</f>
        <v>Fermentory - Pasteurization</v>
      </c>
      <c r="D773" s="41" t="str">
        <f>_xlfn.XLOOKUP(tblCostChecklist[[#This Row],[TargetID]],tblTargets[TargetID],tblTargets[TargetType],"")</f>
        <v>TECH</v>
      </c>
      <c r="E773" s="41" t="s">
        <v>674</v>
      </c>
      <c r="F773" s="41">
        <v>1</v>
      </c>
      <c r="G773" s="41">
        <f>_xlfn.XLOOKUP(
 tblCostChecklist[[#This Row],[RequirementID]],
 tblCost[RequirementID],
 tblCost[QuantityRequired],
 ""
)</f>
        <v>30</v>
      </c>
      <c r="H7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3" s="41" t="str">
        <f>_xlfn.XLOOKUP(tblCostChecklist[[#This Row],[TargetID]],tblTargetStatus[TargetID],tblTargetStatus[Status])</f>
        <v>BLOCKED</v>
      </c>
      <c r="J773" s="25" t="b">
        <v>0</v>
      </c>
    </row>
    <row r="774" spans="1:10">
      <c r="A774" s="41" t="s">
        <v>4422</v>
      </c>
      <c r="B774" s="41" t="str">
        <f>_xlfn.TEXTAFTER(
 _xlfn.TEXTBEFORE(tblCostChecklist[[#This Row],[RequirementID]],".",-2),
 "cost."
)</f>
        <v>tech.fermentory.pasteurization</v>
      </c>
      <c r="C774" s="41" t="str">
        <f>_xlfn.XLOOKUP(tblCostChecklist[[#This Row],[TargetID]],tblTargets[TargetID],tblTargets[DisplayName],"")</f>
        <v>Fermentory - Pasteurization</v>
      </c>
      <c r="D774" s="41" t="str">
        <f>_xlfn.XLOOKUP(tblCostChecklist[[#This Row],[TargetID]],tblTargets[TargetID],tblTargets[TargetType],"")</f>
        <v>TECH</v>
      </c>
      <c r="E774" s="41" t="s">
        <v>708</v>
      </c>
      <c r="F774" s="41">
        <v>1</v>
      </c>
      <c r="G774" s="41">
        <f>_xlfn.XLOOKUP(
 tblCostChecklist[[#This Row],[RequirementID]],
 tblCost[RequirementID],
 tblCost[QuantityRequired],
 ""
)</f>
        <v>10</v>
      </c>
      <c r="H7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4" s="41" t="str">
        <f>_xlfn.XLOOKUP(tblCostChecklist[[#This Row],[TargetID]],tblTargetStatus[TargetID],tblTargetStatus[Status])</f>
        <v>BLOCKED</v>
      </c>
      <c r="J774" s="25" t="b">
        <v>0</v>
      </c>
    </row>
    <row r="775" spans="1:10">
      <c r="A775" s="41" t="s">
        <v>4423</v>
      </c>
      <c r="B775" s="41" t="str">
        <f>_xlfn.TEXTAFTER(
 _xlfn.TEXTBEFORE(tblCostChecklist[[#This Row],[RequirementID]],".",-2),
 "cost."
)</f>
        <v>tech.fermentory.pasteurization</v>
      </c>
      <c r="C775" s="41" t="str">
        <f>_xlfn.XLOOKUP(tblCostChecklist[[#This Row],[TargetID]],tblTargets[TargetID],tblTargets[DisplayName],"")</f>
        <v>Fermentory - Pasteurization</v>
      </c>
      <c r="D775" s="41" t="str">
        <f>_xlfn.XLOOKUP(tblCostChecklist[[#This Row],[TargetID]],tblTargets[TargetID],tblTargets[TargetType],"")</f>
        <v>TECH</v>
      </c>
      <c r="E775" s="41" t="s">
        <v>716</v>
      </c>
      <c r="F775" s="41">
        <v>1</v>
      </c>
      <c r="G775" s="41">
        <f>_xlfn.XLOOKUP(
 tblCostChecklist[[#This Row],[RequirementID]],
 tblCost[RequirementID],
 tblCost[QuantityRequired],
 ""
)</f>
        <v>200</v>
      </c>
      <c r="H7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5" s="41" t="str">
        <f>_xlfn.XLOOKUP(tblCostChecklist[[#This Row],[TargetID]],tblTargetStatus[TargetID],tblTargetStatus[Status])</f>
        <v>BLOCKED</v>
      </c>
      <c r="J775" s="25" t="b">
        <v>0</v>
      </c>
    </row>
    <row r="776" spans="1:10">
      <c r="A776" s="41" t="s">
        <v>4424</v>
      </c>
      <c r="B776" s="41" t="str">
        <f>_xlfn.TEXTAFTER(
 _xlfn.TEXTBEFORE(tblCostChecklist[[#This Row],[RequirementID]],".",-2),
 "cost."
)</f>
        <v>tech.field.seed_drill</v>
      </c>
      <c r="C776" s="41" t="str">
        <f>_xlfn.XLOOKUP(tblCostChecklist[[#This Row],[TargetID]],tblTargets[TargetID],tblTargets[DisplayName],"")</f>
        <v>Field - Seed Drill</v>
      </c>
      <c r="D776" s="41" t="str">
        <f>_xlfn.XLOOKUP(tblCostChecklist[[#This Row],[TargetID]],tblTargets[TargetID],tblTargets[TargetType],"")</f>
        <v>TECH</v>
      </c>
      <c r="E776" s="41" t="s">
        <v>662</v>
      </c>
      <c r="F776" s="41">
        <v>1</v>
      </c>
      <c r="G776" s="41">
        <f>_xlfn.XLOOKUP(
 tblCostChecklist[[#This Row],[RequirementID]],
 tblCost[RequirementID],
 tblCost[QuantityRequired],
 ""
)</f>
        <v>10</v>
      </c>
      <c r="H7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6" s="41" t="str">
        <f>_xlfn.XLOOKUP(tblCostChecklist[[#This Row],[TargetID]],tblTargetStatus[TargetID],tblTargetStatus[Status])</f>
        <v>BLOCKED</v>
      </c>
      <c r="J776" s="25" t="b">
        <v>0</v>
      </c>
    </row>
    <row r="777" spans="1:10">
      <c r="A777" s="41" t="s">
        <v>4425</v>
      </c>
      <c r="B777" s="41" t="str">
        <f>_xlfn.TEXTAFTER(
 _xlfn.TEXTBEFORE(tblCostChecklist[[#This Row],[RequirementID]],".",-2),
 "cost."
)</f>
        <v>tech.field.seed_drill</v>
      </c>
      <c r="C777" s="41" t="str">
        <f>_xlfn.XLOOKUP(tblCostChecklist[[#This Row],[TargetID]],tblTargets[TargetID],tblTargets[DisplayName],"")</f>
        <v>Field - Seed Drill</v>
      </c>
      <c r="D777" s="41" t="str">
        <f>_xlfn.XLOOKUP(tblCostChecklist[[#This Row],[TargetID]],tblTargets[TargetID],tblTargets[TargetType],"")</f>
        <v>TECH</v>
      </c>
      <c r="E777" s="41" t="s">
        <v>666</v>
      </c>
      <c r="F777" s="41">
        <v>1</v>
      </c>
      <c r="G777" s="41">
        <f>_xlfn.XLOOKUP(
 tblCostChecklist[[#This Row],[RequirementID]],
 tblCost[RequirementID],
 tblCost[QuantityRequired],
 ""
)</f>
        <v>400</v>
      </c>
      <c r="H7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7" s="41" t="str">
        <f>_xlfn.XLOOKUP(tblCostChecklist[[#This Row],[TargetID]],tblTargetStatus[TargetID],tblTargetStatus[Status])</f>
        <v>BLOCKED</v>
      </c>
      <c r="J777" s="25" t="b">
        <v>0</v>
      </c>
    </row>
    <row r="778" spans="1:10">
      <c r="A778" s="41" t="s">
        <v>4426</v>
      </c>
      <c r="B778" s="41" t="str">
        <f>_xlfn.TEXTAFTER(
 _xlfn.TEXTBEFORE(tblCostChecklist[[#This Row],[RequirementID]],".",-2),
 "cost."
)</f>
        <v>tech.field.seed_drill</v>
      </c>
      <c r="C778" s="41" t="str">
        <f>_xlfn.XLOOKUP(tblCostChecklist[[#This Row],[TargetID]],tblTargets[TargetID],tblTargets[DisplayName],"")</f>
        <v>Field - Seed Drill</v>
      </c>
      <c r="D778" s="41" t="str">
        <f>_xlfn.XLOOKUP(tblCostChecklist[[#This Row],[TargetID]],tblTargets[TargetID],tblTargets[TargetType],"")</f>
        <v>TECH</v>
      </c>
      <c r="E778" s="41" t="s">
        <v>931</v>
      </c>
      <c r="F778" s="41">
        <v>1</v>
      </c>
      <c r="G778" s="41">
        <f>_xlfn.XLOOKUP(
 tblCostChecklist[[#This Row],[RequirementID]],
 tblCost[RequirementID],
 tblCost[QuantityRequired],
 ""
)</f>
        <v>40</v>
      </c>
      <c r="H7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8" s="41" t="str">
        <f>_xlfn.XLOOKUP(tblCostChecklist[[#This Row],[TargetID]],tblTargetStatus[TargetID],tblTargetStatus[Status])</f>
        <v>BLOCKED</v>
      </c>
      <c r="J778" s="25" t="b">
        <v>0</v>
      </c>
    </row>
    <row r="779" spans="1:10">
      <c r="A779" s="41" t="s">
        <v>4427</v>
      </c>
      <c r="B779" s="41" t="str">
        <f>_xlfn.TEXTAFTER(
 _xlfn.TEXTBEFORE(tblCostChecklist[[#This Row],[RequirementID]],".",-2),
 "cost."
)</f>
        <v>tech.field.seed_drill</v>
      </c>
      <c r="C779" s="41" t="str">
        <f>_xlfn.XLOOKUP(tblCostChecklist[[#This Row],[TargetID]],tblTargets[TargetID],tblTargets[DisplayName],"")</f>
        <v>Field - Seed Drill</v>
      </c>
      <c r="D779" s="41" t="str">
        <f>_xlfn.XLOOKUP(tblCostChecklist[[#This Row],[TargetID]],tblTargets[TargetID],tblTargets[TargetType],"")</f>
        <v>TECH</v>
      </c>
      <c r="E779" s="41" t="s">
        <v>686</v>
      </c>
      <c r="F779" s="41">
        <v>1</v>
      </c>
      <c r="G779" s="41">
        <f>_xlfn.XLOOKUP(
 tblCostChecklist[[#This Row],[RequirementID]],
 tblCost[RequirementID],
 tblCost[QuantityRequired],
 ""
)</f>
        <v>10</v>
      </c>
      <c r="H7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9" s="41" t="str">
        <f>_xlfn.XLOOKUP(tblCostChecklist[[#This Row],[TargetID]],tblTargetStatus[TargetID],tblTargetStatus[Status])</f>
        <v>BLOCKED</v>
      </c>
      <c r="J779" s="25" t="b">
        <v>0</v>
      </c>
    </row>
    <row r="780" spans="1:10">
      <c r="A780" s="41" t="s">
        <v>4428</v>
      </c>
      <c r="B780" s="41" t="str">
        <f>_xlfn.TEXTAFTER(
 _xlfn.TEXTBEFORE(tblCostChecklist[[#This Row],[RequirementID]],".",-2),
 "cost."
)</f>
        <v>tech.field.seed_drill</v>
      </c>
      <c r="C780" s="41" t="str">
        <f>_xlfn.XLOOKUP(tblCostChecklist[[#This Row],[TargetID]],tblTargets[TargetID],tblTargets[DisplayName],"")</f>
        <v>Field - Seed Drill</v>
      </c>
      <c r="D780" s="41" t="str">
        <f>_xlfn.XLOOKUP(tblCostChecklist[[#This Row],[TargetID]],tblTargets[TargetID],tblTargets[TargetType],"")</f>
        <v>TECH</v>
      </c>
      <c r="E780" s="41" t="s">
        <v>693</v>
      </c>
      <c r="F780" s="41">
        <v>1</v>
      </c>
      <c r="G780" s="41">
        <f>_xlfn.XLOOKUP(
 tblCostChecklist[[#This Row],[RequirementID]],
 tblCost[RequirementID],
 tblCost[QuantityRequired],
 ""
)</f>
        <v>20</v>
      </c>
      <c r="H7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0" s="41" t="str">
        <f>_xlfn.XLOOKUP(tblCostChecklist[[#This Row],[TargetID]],tblTargetStatus[TargetID],tblTargetStatus[Status])</f>
        <v>BLOCKED</v>
      </c>
      <c r="J780" s="25" t="b">
        <v>0</v>
      </c>
    </row>
    <row r="781" spans="1:10">
      <c r="A781" s="41" t="s">
        <v>4429</v>
      </c>
      <c r="B781" s="41" t="str">
        <f>_xlfn.TEXTAFTER(
 _xlfn.TEXTBEFORE(tblCostChecklist[[#This Row],[RequirementID]],".",-2),
 "cost."
)</f>
        <v>tech.field.seed_drill</v>
      </c>
      <c r="C781" s="41" t="str">
        <f>_xlfn.XLOOKUP(tblCostChecklist[[#This Row],[TargetID]],tblTargets[TargetID],tblTargets[DisplayName],"")</f>
        <v>Field - Seed Drill</v>
      </c>
      <c r="D781" s="41" t="str">
        <f>_xlfn.XLOOKUP(tblCostChecklist[[#This Row],[TargetID]],tblTargets[TargetID],tblTargets[TargetType],"")</f>
        <v>TECH</v>
      </c>
      <c r="E781" s="41" t="s">
        <v>708</v>
      </c>
      <c r="F781" s="41">
        <v>1</v>
      </c>
      <c r="G781" s="41">
        <f>_xlfn.XLOOKUP(
 tblCostChecklist[[#This Row],[RequirementID]],
 tblCost[RequirementID],
 tblCost[QuantityRequired],
 ""
)</f>
        <v>2</v>
      </c>
      <c r="H7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1" s="41" t="str">
        <f>_xlfn.XLOOKUP(tblCostChecklist[[#This Row],[TargetID]],tblTargetStatus[TargetID],tblTargetStatus[Status])</f>
        <v>BLOCKED</v>
      </c>
      <c r="J781" s="25" t="b">
        <v>0</v>
      </c>
    </row>
    <row r="782" spans="1:10">
      <c r="A782" s="41" t="s">
        <v>4430</v>
      </c>
      <c r="B782" s="41" t="str">
        <f>_xlfn.TEXTAFTER(
 _xlfn.TEXTBEFORE(tblCostChecklist[[#This Row],[RequirementID]],".",-2),
 "cost."
)</f>
        <v>tech.field.combine_harvester</v>
      </c>
      <c r="C782" s="41" t="str">
        <f>_xlfn.XLOOKUP(tblCostChecklist[[#This Row],[TargetID]],tblTargets[TargetID],tblTargets[DisplayName],"")</f>
        <v>Field - Combine Harvester</v>
      </c>
      <c r="D782" s="41" t="str">
        <f>_xlfn.XLOOKUP(tblCostChecklist[[#This Row],[TargetID]],tblTargets[TargetID],tblTargets[TargetType],"")</f>
        <v>TECH</v>
      </c>
      <c r="E782" s="41" t="s">
        <v>662</v>
      </c>
      <c r="F782" s="41">
        <v>1</v>
      </c>
      <c r="G782" s="41">
        <f>_xlfn.XLOOKUP(
 tblCostChecklist[[#This Row],[RequirementID]],
 tblCost[RequirementID],
 tblCost[QuantityRequired],
 ""
)</f>
        <v>30</v>
      </c>
      <c r="H7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2" s="41" t="str">
        <f>_xlfn.XLOOKUP(tblCostChecklist[[#This Row],[TargetID]],tblTargetStatus[TargetID],tblTargetStatus[Status])</f>
        <v>BLOCKED</v>
      </c>
      <c r="J782" s="25" t="b">
        <v>0</v>
      </c>
    </row>
    <row r="783" spans="1:10">
      <c r="A783" s="41" t="s">
        <v>4431</v>
      </c>
      <c r="B783" s="41" t="str">
        <f>_xlfn.TEXTAFTER(
 _xlfn.TEXTBEFORE(tblCostChecklist[[#This Row],[RequirementID]],".",-2),
 "cost."
)</f>
        <v>tech.field.combine_harvester</v>
      </c>
      <c r="C783" s="41" t="str">
        <f>_xlfn.XLOOKUP(tblCostChecklist[[#This Row],[TargetID]],tblTargets[TargetID],tblTargets[DisplayName],"")</f>
        <v>Field - Combine Harvester</v>
      </c>
      <c r="D783" s="41" t="str">
        <f>_xlfn.XLOOKUP(tblCostChecklist[[#This Row],[TargetID]],tblTargets[TargetID],tblTargets[TargetType],"")</f>
        <v>TECH</v>
      </c>
      <c r="E783" s="41" t="s">
        <v>666</v>
      </c>
      <c r="F783" s="41">
        <v>1</v>
      </c>
      <c r="G783" s="41">
        <f>_xlfn.XLOOKUP(
 tblCostChecklist[[#This Row],[RequirementID]],
 tblCost[RequirementID],
 tblCost[QuantityRequired],
 ""
)</f>
        <v>600</v>
      </c>
      <c r="H7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3" s="41" t="str">
        <f>_xlfn.XLOOKUP(tblCostChecklist[[#This Row],[TargetID]],tblTargetStatus[TargetID],tblTargetStatus[Status])</f>
        <v>BLOCKED</v>
      </c>
      <c r="J783" s="25" t="b">
        <v>0</v>
      </c>
    </row>
    <row r="784" spans="1:10">
      <c r="A784" s="41" t="s">
        <v>4432</v>
      </c>
      <c r="B784" s="41" t="str">
        <f>_xlfn.TEXTAFTER(
 _xlfn.TEXTBEFORE(tblCostChecklist[[#This Row],[RequirementID]],".",-2),
 "cost."
)</f>
        <v>tech.field.combine_harvester</v>
      </c>
      <c r="C784" s="41" t="str">
        <f>_xlfn.XLOOKUP(tblCostChecklist[[#This Row],[TargetID]],tblTargets[TargetID],tblTargets[DisplayName],"")</f>
        <v>Field - Combine Harvester</v>
      </c>
      <c r="D784" s="41" t="str">
        <f>_xlfn.XLOOKUP(tblCostChecklist[[#This Row],[TargetID]],tblTargets[TargetID],tblTargets[TargetType],"")</f>
        <v>TECH</v>
      </c>
      <c r="E784" s="41" t="s">
        <v>931</v>
      </c>
      <c r="F784" s="41">
        <v>1</v>
      </c>
      <c r="G784" s="41">
        <f>_xlfn.XLOOKUP(
 tblCostChecklist[[#This Row],[RequirementID]],
 tblCost[RequirementID],
 tblCost[QuantityRequired],
 ""
)</f>
        <v>60</v>
      </c>
      <c r="H7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4" s="41" t="str">
        <f>_xlfn.XLOOKUP(tblCostChecklist[[#This Row],[TargetID]],tblTargetStatus[TargetID],tblTargetStatus[Status])</f>
        <v>BLOCKED</v>
      </c>
      <c r="J784" s="25" t="b">
        <v>0</v>
      </c>
    </row>
    <row r="785" spans="1:10">
      <c r="A785" s="41" t="s">
        <v>4433</v>
      </c>
      <c r="B785" s="41" t="str">
        <f>_xlfn.TEXTAFTER(
 _xlfn.TEXTBEFORE(tblCostChecklist[[#This Row],[RequirementID]],".",-2),
 "cost."
)</f>
        <v>tech.field.combine_harvester</v>
      </c>
      <c r="C785" s="41" t="str">
        <f>_xlfn.XLOOKUP(tblCostChecklist[[#This Row],[TargetID]],tblTargets[TargetID],tblTargets[DisplayName],"")</f>
        <v>Field - Combine Harvester</v>
      </c>
      <c r="D785" s="41" t="str">
        <f>_xlfn.XLOOKUP(tblCostChecklist[[#This Row],[TargetID]],tblTargets[TargetID],tblTargets[TargetType],"")</f>
        <v>TECH</v>
      </c>
      <c r="E785" s="41" t="s">
        <v>686</v>
      </c>
      <c r="F785" s="41">
        <v>1</v>
      </c>
      <c r="G785" s="41">
        <f>_xlfn.XLOOKUP(
 tblCostChecklist[[#This Row],[RequirementID]],
 tblCost[RequirementID],
 tblCost[QuantityRequired],
 ""
)</f>
        <v>10</v>
      </c>
      <c r="H7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5" s="41" t="str">
        <f>_xlfn.XLOOKUP(tblCostChecklist[[#This Row],[TargetID]],tblTargetStatus[TargetID],tblTargetStatus[Status])</f>
        <v>BLOCKED</v>
      </c>
      <c r="J785" s="25" t="b">
        <v>0</v>
      </c>
    </row>
    <row r="786" spans="1:10">
      <c r="A786" s="41" t="s">
        <v>4434</v>
      </c>
      <c r="B786" s="41" t="str">
        <f>_xlfn.TEXTAFTER(
 _xlfn.TEXTBEFORE(tblCostChecklist[[#This Row],[RequirementID]],".",-2),
 "cost."
)</f>
        <v>tech.field.combine_harvester</v>
      </c>
      <c r="C786" s="41" t="str">
        <f>_xlfn.XLOOKUP(tblCostChecklist[[#This Row],[TargetID]],tblTargets[TargetID],tblTargets[DisplayName],"")</f>
        <v>Field - Combine Harvester</v>
      </c>
      <c r="D786" s="41" t="str">
        <f>_xlfn.XLOOKUP(tblCostChecklist[[#This Row],[TargetID]],tblTargets[TargetID],tblTargets[TargetType],"")</f>
        <v>TECH</v>
      </c>
      <c r="E786" s="41" t="s">
        <v>708</v>
      </c>
      <c r="F786" s="41">
        <v>1</v>
      </c>
      <c r="G786" s="41">
        <f>_xlfn.XLOOKUP(
 tblCostChecklist[[#This Row],[RequirementID]],
 tblCost[RequirementID],
 tblCost[QuantityRequired],
 ""
)</f>
        <v>4</v>
      </c>
      <c r="H7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6" s="41" t="str">
        <f>_xlfn.XLOOKUP(tblCostChecklist[[#This Row],[TargetID]],tblTargetStatus[TargetID],tblTargetStatus[Status])</f>
        <v>BLOCKED</v>
      </c>
      <c r="J786" s="25" t="b">
        <v>0</v>
      </c>
    </row>
    <row r="787" spans="1:10">
      <c r="A787" s="41" t="s">
        <v>4435</v>
      </c>
      <c r="B787" s="41" t="str">
        <f>_xlfn.TEXTAFTER(
 _xlfn.TEXTBEFORE(tblCostChecklist[[#This Row],[RequirementID]],".",-2),
 "cost."
)</f>
        <v>tech.field.combine_harvester</v>
      </c>
      <c r="C787" s="41" t="str">
        <f>_xlfn.XLOOKUP(tblCostChecklist[[#This Row],[TargetID]],tblTargets[TargetID],tblTargets[DisplayName],"")</f>
        <v>Field - Combine Harvester</v>
      </c>
      <c r="D787" s="41" t="str">
        <f>_xlfn.XLOOKUP(tblCostChecklist[[#This Row],[TargetID]],tblTargets[TargetID],tblTargets[TargetType],"")</f>
        <v>TECH</v>
      </c>
      <c r="E787" s="41" t="s">
        <v>911</v>
      </c>
      <c r="F787" s="41">
        <v>1</v>
      </c>
      <c r="G787" s="41">
        <f>_xlfn.XLOOKUP(
 tblCostChecklist[[#This Row],[RequirementID]],
 tblCost[RequirementID],
 tblCost[QuantityRequired],
 ""
)</f>
        <v>10</v>
      </c>
      <c r="H7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7" s="41" t="str">
        <f>_xlfn.XLOOKUP(tblCostChecklist[[#This Row],[TargetID]],tblTargetStatus[TargetID],tblTargetStatus[Status])</f>
        <v>BLOCKED</v>
      </c>
      <c r="J787" s="25" t="b">
        <v>0</v>
      </c>
    </row>
    <row r="788" spans="1:10">
      <c r="A788" s="41" t="s">
        <v>4436</v>
      </c>
      <c r="B788" s="41" t="str">
        <f>_xlfn.TEXTAFTER(
 _xlfn.TEXTBEFORE(tblCostChecklist[[#This Row],[RequirementID]],".",-2),
 "cost."
)</f>
        <v>tech.field.soybean</v>
      </c>
      <c r="C788" s="41" t="str">
        <f>_xlfn.XLOOKUP(tblCostChecklist[[#This Row],[TargetID]],tblTargets[TargetID],tblTargets[DisplayName],"")</f>
        <v>Field - Soybean</v>
      </c>
      <c r="D788" s="41" t="str">
        <f>_xlfn.XLOOKUP(tblCostChecklist[[#This Row],[TargetID]],tblTargets[TargetID],tblTargets[TargetType],"")</f>
        <v>TECH</v>
      </c>
      <c r="E788" s="41" t="s">
        <v>666</v>
      </c>
      <c r="F788" s="41">
        <v>1</v>
      </c>
      <c r="G788" s="41">
        <f>_xlfn.XLOOKUP(
 tblCostChecklist[[#This Row],[RequirementID]],
 tblCost[RequirementID],
 tblCost[QuantityRequired],
 ""
)</f>
        <v>800</v>
      </c>
      <c r="H7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8" s="41" t="str">
        <f>_xlfn.XLOOKUP(tblCostChecklist[[#This Row],[TargetID]],tblTargetStatus[TargetID],tblTargetStatus[Status])</f>
        <v>BLOCKED</v>
      </c>
      <c r="J788" s="25" t="b">
        <v>0</v>
      </c>
    </row>
    <row r="789" spans="1:10">
      <c r="A789" s="41" t="s">
        <v>4437</v>
      </c>
      <c r="B789" s="41" t="str">
        <f>_xlfn.TEXTAFTER(
 _xlfn.TEXTBEFORE(tblCostChecklist[[#This Row],[RequirementID]],".",-2),
 "cost."
)</f>
        <v>tech.field.soybean</v>
      </c>
      <c r="C789" s="41" t="str">
        <f>_xlfn.XLOOKUP(tblCostChecklist[[#This Row],[TargetID]],tblTargets[TargetID],tblTargets[DisplayName],"")</f>
        <v>Field - Soybean</v>
      </c>
      <c r="D789" s="41" t="str">
        <f>_xlfn.XLOOKUP(tblCostChecklist[[#This Row],[TargetID]],tblTargets[TargetID],tblTargets[TargetType],"")</f>
        <v>TECH</v>
      </c>
      <c r="E789" s="41" t="s">
        <v>933</v>
      </c>
      <c r="F789" s="41">
        <v>1</v>
      </c>
      <c r="G789" s="41">
        <f>_xlfn.XLOOKUP(
 tblCostChecklist[[#This Row],[RequirementID]],
 tblCost[RequirementID],
 tblCost[QuantityRequired],
 ""
)</f>
        <v>20</v>
      </c>
      <c r="H7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9" s="41" t="str">
        <f>_xlfn.XLOOKUP(tblCostChecklist[[#This Row],[TargetID]],tblTargetStatus[TargetID],tblTargetStatus[Status])</f>
        <v>BLOCKED</v>
      </c>
      <c r="J789" s="25" t="b">
        <v>0</v>
      </c>
    </row>
    <row r="790" spans="1:10">
      <c r="A790" s="41" t="s">
        <v>4438</v>
      </c>
      <c r="B790" s="41" t="str">
        <f>_xlfn.TEXTAFTER(
 _xlfn.TEXTBEFORE(tblCostChecklist[[#This Row],[RequirementID]],".",-2),
 "cost."
)</f>
        <v>tech.field.soybean</v>
      </c>
      <c r="C790" s="41" t="str">
        <f>_xlfn.XLOOKUP(tblCostChecklist[[#This Row],[TargetID]],tblTargets[TargetID],tblTargets[DisplayName],"")</f>
        <v>Field - Soybean</v>
      </c>
      <c r="D790" s="41" t="str">
        <f>_xlfn.XLOOKUP(tblCostChecklist[[#This Row],[TargetID]],tblTargets[TargetID],tblTargets[TargetType],"")</f>
        <v>TECH</v>
      </c>
      <c r="E790" s="41" t="s">
        <v>943</v>
      </c>
      <c r="F790" s="41">
        <v>1</v>
      </c>
      <c r="G790" s="41">
        <f>_xlfn.XLOOKUP(
 tblCostChecklist[[#This Row],[RequirementID]],
 tblCost[RequirementID],
 tblCost[QuantityRequired],
 ""
)</f>
        <v>20</v>
      </c>
      <c r="H7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0" s="41" t="str">
        <f>_xlfn.XLOOKUP(tblCostChecklist[[#This Row],[TargetID]],tblTargetStatus[TargetID],tblTargetStatus[Status])</f>
        <v>BLOCKED</v>
      </c>
      <c r="J790" s="25" t="b">
        <v>0</v>
      </c>
    </row>
    <row r="791" spans="1:10">
      <c r="A791" s="41" t="s">
        <v>4439</v>
      </c>
      <c r="B791" s="41" t="str">
        <f>_xlfn.TEXTAFTER(
 _xlfn.TEXTBEFORE(tblCostChecklist[[#This Row],[RequirementID]],".",-2),
 "cost."
)</f>
        <v>tech.field.soybean</v>
      </c>
      <c r="C791" s="41" t="str">
        <f>_xlfn.XLOOKUP(tblCostChecklist[[#This Row],[TargetID]],tblTargets[TargetID],tblTargets[DisplayName],"")</f>
        <v>Field - Soybean</v>
      </c>
      <c r="D791" s="41" t="str">
        <f>_xlfn.XLOOKUP(tblCostChecklist[[#This Row],[TargetID]],tblTargets[TargetID],tblTargets[TargetType],"")</f>
        <v>TECH</v>
      </c>
      <c r="E791" s="41" t="s">
        <v>696</v>
      </c>
      <c r="F791" s="41">
        <v>1</v>
      </c>
      <c r="G791" s="41">
        <f>_xlfn.XLOOKUP(
 tblCostChecklist[[#This Row],[RequirementID]],
 tblCost[RequirementID],
 tblCost[QuantityRequired],
 ""
)</f>
        <v>20</v>
      </c>
      <c r="H7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1" s="41" t="str">
        <f>_xlfn.XLOOKUP(tblCostChecklist[[#This Row],[TargetID]],tblTargetStatus[TargetID],tblTargetStatus[Status])</f>
        <v>BLOCKED</v>
      </c>
      <c r="J791" s="25" t="b">
        <v>0</v>
      </c>
    </row>
    <row r="792" spans="1:10">
      <c r="A792" s="41" t="s">
        <v>4440</v>
      </c>
      <c r="B792" s="41" t="str">
        <f>_xlfn.TEXTAFTER(
 _xlfn.TEXTBEFORE(tblCostChecklist[[#This Row],[RequirementID]],".",-2),
 "cost."
)</f>
        <v>tech.field.soybean</v>
      </c>
      <c r="C792" s="41" t="str">
        <f>_xlfn.XLOOKUP(tblCostChecklist[[#This Row],[TargetID]],tblTargets[TargetID],tblTargets[DisplayName],"")</f>
        <v>Field - Soybean</v>
      </c>
      <c r="D792" s="41" t="str">
        <f>_xlfn.XLOOKUP(tblCostChecklist[[#This Row],[TargetID]],tblTargets[TargetID],tblTargets[TargetType],"")</f>
        <v>TECH</v>
      </c>
      <c r="E792" s="41" t="s">
        <v>708</v>
      </c>
      <c r="F792" s="41">
        <v>1</v>
      </c>
      <c r="G792" s="41">
        <f>_xlfn.XLOOKUP(
 tblCostChecklist[[#This Row],[RequirementID]],
 tblCost[RequirementID],
 tblCost[QuantityRequired],
 ""
)</f>
        <v>5</v>
      </c>
      <c r="H7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2" s="41" t="str">
        <f>_xlfn.XLOOKUP(tblCostChecklist[[#This Row],[TargetID]],tblTargetStatus[TargetID],tblTargetStatus[Status])</f>
        <v>BLOCKED</v>
      </c>
      <c r="J792" s="25" t="b">
        <v>0</v>
      </c>
    </row>
    <row r="793" spans="1:10">
      <c r="A793" s="41" t="s">
        <v>4441</v>
      </c>
      <c r="B793" s="41" t="str">
        <f>_xlfn.TEXTAFTER(
 _xlfn.TEXTBEFORE(tblCostChecklist[[#This Row],[RequirementID]],".",-2),
 "cost."
)</f>
        <v>tech.field.soybean</v>
      </c>
      <c r="C793" s="41" t="str">
        <f>_xlfn.XLOOKUP(tblCostChecklist[[#This Row],[TargetID]],tblTargets[TargetID],tblTargets[DisplayName],"")</f>
        <v>Field - Soybean</v>
      </c>
      <c r="D793" s="41" t="str">
        <f>_xlfn.XLOOKUP(tblCostChecklist[[#This Row],[TargetID]],tblTargets[TargetID],tblTargets[TargetType],"")</f>
        <v>TECH</v>
      </c>
      <c r="E793" s="41" t="s">
        <v>716</v>
      </c>
      <c r="F793" s="41">
        <v>1</v>
      </c>
      <c r="G793" s="41">
        <f>_xlfn.XLOOKUP(
 tblCostChecklist[[#This Row],[RequirementID]],
 tblCost[RequirementID],
 tblCost[QuantityRequired],
 ""
)</f>
        <v>200</v>
      </c>
      <c r="H7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3" s="41" t="str">
        <f>_xlfn.XLOOKUP(tblCostChecklist[[#This Row],[TargetID]],tblTargetStatus[TargetID],tblTargetStatus[Status])</f>
        <v>BLOCKED</v>
      </c>
      <c r="J793" s="25" t="b">
        <v>0</v>
      </c>
    </row>
    <row r="794" spans="1:10">
      <c r="A794" s="41" t="s">
        <v>4442</v>
      </c>
      <c r="B794" s="41" t="str">
        <f>_xlfn.TEXTAFTER(
 _xlfn.TEXTBEFORE(tblCostChecklist[[#This Row],[RequirementID]],".",-2),
 "cost."
)</f>
        <v>tech.field.soybean</v>
      </c>
      <c r="C794" s="41" t="str">
        <f>_xlfn.XLOOKUP(tblCostChecklist[[#This Row],[TargetID]],tblTargets[TargetID],tblTargets[DisplayName],"")</f>
        <v>Field - Soybean</v>
      </c>
      <c r="D794" s="41" t="str">
        <f>_xlfn.XLOOKUP(tblCostChecklist[[#This Row],[TargetID]],tblTargets[TargetID],tblTargets[TargetType],"")</f>
        <v>TECH</v>
      </c>
      <c r="E794" s="41" t="s">
        <v>719</v>
      </c>
      <c r="F794" s="41">
        <v>1</v>
      </c>
      <c r="G794" s="41">
        <f>_xlfn.XLOOKUP(
 tblCostChecklist[[#This Row],[RequirementID]],
 tblCost[RequirementID],
 tblCost[QuantityRequired],
 ""
)</f>
        <v>20</v>
      </c>
      <c r="H7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4" s="41" t="str">
        <f>_xlfn.XLOOKUP(tblCostChecklist[[#This Row],[TargetID]],tblTargetStatus[TargetID],tblTargetStatus[Status])</f>
        <v>BLOCKED</v>
      </c>
      <c r="J794" s="25" t="b">
        <v>0</v>
      </c>
    </row>
    <row r="795" spans="1:10">
      <c r="A795" s="41" t="s">
        <v>4443</v>
      </c>
      <c r="B795" s="41" t="str">
        <f>_xlfn.TEXTAFTER(
 _xlfn.TEXTBEFORE(tblCostChecklist[[#This Row],[RequirementID]],".",-2),
 "cost."
)</f>
        <v>tech.field.soybean</v>
      </c>
      <c r="C795" s="41" t="str">
        <f>_xlfn.XLOOKUP(tblCostChecklist[[#This Row],[TargetID]],tblTargets[TargetID],tblTargets[DisplayName],"")</f>
        <v>Field - Soybean</v>
      </c>
      <c r="D795" s="41" t="str">
        <f>_xlfn.XLOOKUP(tblCostChecklist[[#This Row],[TargetID]],tblTargets[TargetID],tblTargets[TargetType],"")</f>
        <v>TECH</v>
      </c>
      <c r="E795" s="41" t="s">
        <v>723</v>
      </c>
      <c r="F795" s="41">
        <v>1</v>
      </c>
      <c r="G795" s="41">
        <f>_xlfn.XLOOKUP(
 tblCostChecklist[[#This Row],[RequirementID]],
 tblCost[RequirementID],
 tblCost[QuantityRequired],
 ""
)</f>
        <v>500</v>
      </c>
      <c r="H7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5" s="41" t="str">
        <f>_xlfn.XLOOKUP(tblCostChecklist[[#This Row],[TargetID]],tblTargetStatus[TargetID],tblTargetStatus[Status])</f>
        <v>BLOCKED</v>
      </c>
      <c r="J795" s="25" t="b">
        <v>0</v>
      </c>
    </row>
    <row r="796" spans="1:10">
      <c r="A796" s="41" t="s">
        <v>4444</v>
      </c>
      <c r="B796" s="41" t="str">
        <f>_xlfn.TEXTAFTER(
 _xlfn.TEXTBEFORE(tblCostChecklist[[#This Row],[RequirementID]],".",-2),
 "cost."
)</f>
        <v>tech.food_stall.quintessence_of_taste</v>
      </c>
      <c r="C796" s="41" t="str">
        <f>_xlfn.XLOOKUP(tblCostChecklist[[#This Row],[TargetID]],tblTargets[TargetID],tblTargets[DisplayName],"")</f>
        <v>Food Stall - Quintessence Of Taste</v>
      </c>
      <c r="D796" s="41" t="str">
        <f>_xlfn.XLOOKUP(tblCostChecklist[[#This Row],[TargetID]],tblTargets[TargetID],tblTargets[TargetType],"")</f>
        <v>TECH</v>
      </c>
      <c r="E796" s="41" t="s">
        <v>659</v>
      </c>
      <c r="F796" s="41">
        <v>1</v>
      </c>
      <c r="G796" s="41">
        <f>_xlfn.XLOOKUP(
 tblCostChecklist[[#This Row],[RequirementID]],
 tblCost[RequirementID],
 tblCost[QuantityRequired],
 ""
)</f>
        <v>10</v>
      </c>
      <c r="H7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6" s="41" t="str">
        <f>_xlfn.XLOOKUP(tblCostChecklist[[#This Row],[TargetID]],tblTargetStatus[TargetID],tblTargetStatus[Status])</f>
        <v>BLOCKED</v>
      </c>
      <c r="J796" s="25" t="b">
        <v>0</v>
      </c>
    </row>
    <row r="797" spans="1:10">
      <c r="A797" s="41" t="s">
        <v>4445</v>
      </c>
      <c r="B797" s="41" t="str">
        <f>_xlfn.TEXTAFTER(
 _xlfn.TEXTBEFORE(tblCostChecklist[[#This Row],[RequirementID]],".",-2),
 "cost."
)</f>
        <v>tech.food_stall.quintessence_of_taste</v>
      </c>
      <c r="C797" s="41" t="str">
        <f>_xlfn.XLOOKUP(tblCostChecklist[[#This Row],[TargetID]],tblTargets[TargetID],tblTargets[DisplayName],"")</f>
        <v>Food Stall - Quintessence Of Taste</v>
      </c>
      <c r="D797" s="41" t="str">
        <f>_xlfn.XLOOKUP(tblCostChecklist[[#This Row],[TargetID]],tblTargets[TargetID],tblTargets[TargetType],"")</f>
        <v>TECH</v>
      </c>
      <c r="E797" s="41" t="s">
        <v>662</v>
      </c>
      <c r="F797" s="41">
        <v>1</v>
      </c>
      <c r="G797" s="41">
        <f>_xlfn.XLOOKUP(
 tblCostChecklist[[#This Row],[RequirementID]],
 tblCost[RequirementID],
 tblCost[QuantityRequired],
 ""
)</f>
        <v>10</v>
      </c>
      <c r="H7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7" s="41" t="str">
        <f>_xlfn.XLOOKUP(tblCostChecklist[[#This Row],[TargetID]],tblTargetStatus[TargetID],tblTargetStatus[Status])</f>
        <v>BLOCKED</v>
      </c>
      <c r="J797" s="25" t="b">
        <v>0</v>
      </c>
    </row>
    <row r="798" spans="1:10">
      <c r="A798" s="41" t="s">
        <v>4446</v>
      </c>
      <c r="B798" s="41" t="str">
        <f>_xlfn.TEXTAFTER(
 _xlfn.TEXTBEFORE(tblCostChecklist[[#This Row],[RequirementID]],".",-2),
 "cost."
)</f>
        <v>tech.food_stall.quintessence_of_taste</v>
      </c>
      <c r="C798" s="41" t="str">
        <f>_xlfn.XLOOKUP(tblCostChecklist[[#This Row],[TargetID]],tblTargets[TargetID],tblTargets[DisplayName],"")</f>
        <v>Food Stall - Quintessence Of Taste</v>
      </c>
      <c r="D798" s="41" t="str">
        <f>_xlfn.XLOOKUP(tblCostChecklist[[#This Row],[TargetID]],tblTargets[TargetID],tblTargets[TargetType],"")</f>
        <v>TECH</v>
      </c>
      <c r="E798" s="41" t="s">
        <v>666</v>
      </c>
      <c r="F798" s="41">
        <v>1</v>
      </c>
      <c r="G798" s="41">
        <f>_xlfn.XLOOKUP(
 tblCostChecklist[[#This Row],[RequirementID]],
 tblCost[RequirementID],
 tblCost[QuantityRequired],
 ""
)</f>
        <v>300</v>
      </c>
      <c r="H7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8" s="41" t="str">
        <f>_xlfn.XLOOKUP(tblCostChecklist[[#This Row],[TargetID]],tblTargetStatus[TargetID],tblTargetStatus[Status])</f>
        <v>BLOCKED</v>
      </c>
      <c r="J798" s="25" t="b">
        <v>0</v>
      </c>
    </row>
    <row r="799" spans="1:10">
      <c r="A799" s="41" t="s">
        <v>4447</v>
      </c>
      <c r="B799" s="41" t="str">
        <f>_xlfn.TEXTAFTER(
 _xlfn.TEXTBEFORE(tblCostChecklist[[#This Row],[RequirementID]],".",-2),
 "cost."
)</f>
        <v>tech.food_stall.quintessence_of_taste</v>
      </c>
      <c r="C799" s="41" t="str">
        <f>_xlfn.XLOOKUP(tblCostChecklist[[#This Row],[TargetID]],tblTargets[TargetID],tblTargets[DisplayName],"")</f>
        <v>Food Stall - Quintessence Of Taste</v>
      </c>
      <c r="D799" s="41" t="str">
        <f>_xlfn.XLOOKUP(tblCostChecklist[[#This Row],[TargetID]],tblTargets[TargetID],tblTargets[TargetType],"")</f>
        <v>TECH</v>
      </c>
      <c r="E799" s="41" t="s">
        <v>938</v>
      </c>
      <c r="F799" s="41">
        <v>1</v>
      </c>
      <c r="G799" s="41">
        <f>_xlfn.XLOOKUP(
 tblCostChecklist[[#This Row],[RequirementID]],
 tblCost[RequirementID],
 tblCost[QuantityRequired],
 ""
)</f>
        <v>10</v>
      </c>
      <c r="H7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9" s="41" t="str">
        <f>_xlfn.XLOOKUP(tblCostChecklist[[#This Row],[TargetID]],tblTargetStatus[TargetID],tblTargetStatus[Status])</f>
        <v>BLOCKED</v>
      </c>
      <c r="J799" s="25" t="b">
        <v>0</v>
      </c>
    </row>
    <row r="800" spans="1:10">
      <c r="A800" s="41" t="s">
        <v>4448</v>
      </c>
      <c r="B800" s="41" t="str">
        <f>_xlfn.TEXTAFTER(
 _xlfn.TEXTBEFORE(tblCostChecklist[[#This Row],[RequirementID]],".",-2),
 "cost."
)</f>
        <v>tech.food_stall.quintessence_of_taste</v>
      </c>
      <c r="C800" s="41" t="str">
        <f>_xlfn.XLOOKUP(tblCostChecklist[[#This Row],[TargetID]],tblTargets[TargetID],tblTargets[DisplayName],"")</f>
        <v>Food Stall - Quintessence Of Taste</v>
      </c>
      <c r="D800" s="41" t="str">
        <f>_xlfn.XLOOKUP(tblCostChecklist[[#This Row],[TargetID]],tblTargets[TargetID],tblTargets[TargetType],"")</f>
        <v>TECH</v>
      </c>
      <c r="E800" s="41" t="s">
        <v>708</v>
      </c>
      <c r="F800" s="41">
        <v>1</v>
      </c>
      <c r="G800" s="41">
        <f>_xlfn.XLOOKUP(
 tblCostChecklist[[#This Row],[RequirementID]],
 tblCost[RequirementID],
 tblCost[QuantityRequired],
 ""
)</f>
        <v>1</v>
      </c>
      <c r="H8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0" s="41" t="str">
        <f>_xlfn.XLOOKUP(tblCostChecklist[[#This Row],[TargetID]],tblTargetStatus[TargetID],tblTargetStatus[Status])</f>
        <v>BLOCKED</v>
      </c>
      <c r="J800" s="25" t="b">
        <v>0</v>
      </c>
    </row>
    <row r="801" spans="1:10">
      <c r="A801" s="41" t="s">
        <v>4449</v>
      </c>
      <c r="B801" s="41" t="str">
        <f>_xlfn.TEXTAFTER(
 _xlfn.TEXTBEFORE(tblCostChecklist[[#This Row],[RequirementID]],".",-2),
 "cost."
)</f>
        <v>tech.food_stall.quintessence_of_taste</v>
      </c>
      <c r="C801" s="41" t="str">
        <f>_xlfn.XLOOKUP(tblCostChecklist[[#This Row],[TargetID]],tblTargets[TargetID],tblTargets[DisplayName],"")</f>
        <v>Food Stall - Quintessence Of Taste</v>
      </c>
      <c r="D801" s="41" t="str">
        <f>_xlfn.XLOOKUP(tblCostChecklist[[#This Row],[TargetID]],tblTargets[TargetID],tblTargets[TargetType],"")</f>
        <v>TECH</v>
      </c>
      <c r="E801" s="41" t="s">
        <v>715</v>
      </c>
      <c r="F801" s="41">
        <v>1</v>
      </c>
      <c r="G801" s="41">
        <f>_xlfn.XLOOKUP(
 tblCostChecklist[[#This Row],[RequirementID]],
 tblCost[RequirementID],
 tblCost[QuantityRequired],
 ""
)</f>
        <v>1</v>
      </c>
      <c r="H8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1" s="41" t="str">
        <f>_xlfn.XLOOKUP(tblCostChecklist[[#This Row],[TargetID]],tblTargetStatus[TargetID],tblTargetStatus[Status])</f>
        <v>BLOCKED</v>
      </c>
      <c r="J801" s="25" t="b">
        <v>0</v>
      </c>
    </row>
    <row r="802" spans="1:10">
      <c r="A802" s="41" t="s">
        <v>4450</v>
      </c>
      <c r="B802" s="41" t="str">
        <f>_xlfn.TEXTAFTER(
 _xlfn.TEXTBEFORE(tblCostChecklist[[#This Row],[RequirementID]],".",-2),
 "cost."
)</f>
        <v>tech.food_stall.jam</v>
      </c>
      <c r="C802" s="41" t="str">
        <f>_xlfn.XLOOKUP(tblCostChecklist[[#This Row],[TargetID]],tblTargets[TargetID],tblTargets[DisplayName],"")</f>
        <v>Food Stall - Jam</v>
      </c>
      <c r="D802" s="41" t="str">
        <f>_xlfn.XLOOKUP(tblCostChecklist[[#This Row],[TargetID]],tblTargets[TargetID],tblTargets[TargetType],"")</f>
        <v>TECH</v>
      </c>
      <c r="E802" s="41" t="s">
        <v>666</v>
      </c>
      <c r="F802" s="41">
        <v>1</v>
      </c>
      <c r="G802" s="41">
        <f>_xlfn.XLOOKUP(
 tblCostChecklist[[#This Row],[RequirementID]],
 tblCost[RequirementID],
 tblCost[QuantityRequired],
 ""
)</f>
        <v>400</v>
      </c>
      <c r="H8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2" s="41" t="str">
        <f>_xlfn.XLOOKUP(tblCostChecklist[[#This Row],[TargetID]],tblTargetStatus[TargetID],tblTargetStatus[Status])</f>
        <v>BLOCKED</v>
      </c>
      <c r="J802" s="25" t="b">
        <v>0</v>
      </c>
    </row>
    <row r="803" spans="1:10">
      <c r="A803" s="41" t="s">
        <v>4451</v>
      </c>
      <c r="B803" s="41" t="str">
        <f>_xlfn.TEXTAFTER(
 _xlfn.TEXTBEFORE(tblCostChecklist[[#This Row],[RequirementID]],".",-2),
 "cost."
)</f>
        <v>tech.food_stall.jam</v>
      </c>
      <c r="C803" s="41" t="str">
        <f>_xlfn.XLOOKUP(tblCostChecklist[[#This Row],[TargetID]],tblTargets[TargetID],tblTargets[DisplayName],"")</f>
        <v>Food Stall - Jam</v>
      </c>
      <c r="D803" s="41" t="str">
        <f>_xlfn.XLOOKUP(tblCostChecklist[[#This Row],[TargetID]],tblTargets[TargetID],tblTargets[TargetType],"")</f>
        <v>TECH</v>
      </c>
      <c r="E803" s="41" t="s">
        <v>674</v>
      </c>
      <c r="F803" s="41">
        <v>1</v>
      </c>
      <c r="G803" s="41">
        <f>_xlfn.XLOOKUP(
 tblCostChecklist[[#This Row],[RequirementID]],
 tblCost[RequirementID],
 tblCost[QuantityRequired],
 ""
)</f>
        <v>5</v>
      </c>
      <c r="H8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3" s="41" t="str">
        <f>_xlfn.XLOOKUP(tblCostChecklist[[#This Row],[TargetID]],tblTargetStatus[TargetID],tblTargetStatus[Status])</f>
        <v>BLOCKED</v>
      </c>
      <c r="J803" s="25" t="b">
        <v>0</v>
      </c>
    </row>
    <row r="804" spans="1:10">
      <c r="A804" s="41" t="s">
        <v>4452</v>
      </c>
      <c r="B804" s="41" t="str">
        <f>_xlfn.TEXTAFTER(
 _xlfn.TEXTBEFORE(tblCostChecklist[[#This Row],[RequirementID]],".",-2),
 "cost."
)</f>
        <v>tech.food_stall.jam</v>
      </c>
      <c r="C804" s="41" t="str">
        <f>_xlfn.XLOOKUP(tblCostChecklist[[#This Row],[TargetID]],tblTargets[TargetID],tblTargets[DisplayName],"")</f>
        <v>Food Stall - Jam</v>
      </c>
      <c r="D804" s="41" t="str">
        <f>_xlfn.XLOOKUP(tblCostChecklist[[#This Row],[TargetID]],tblTargets[TargetID],tblTargets[TargetType],"")</f>
        <v>TECH</v>
      </c>
      <c r="E804" s="41" t="s">
        <v>677</v>
      </c>
      <c r="F804" s="41">
        <v>1</v>
      </c>
      <c r="G804" s="41">
        <f>_xlfn.XLOOKUP(
 tblCostChecklist[[#This Row],[RequirementID]],
 tblCost[RequirementID],
 tblCost[QuantityRequired],
 ""
)</f>
        <v>10</v>
      </c>
      <c r="H8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4" s="41" t="str">
        <f>_xlfn.XLOOKUP(tblCostChecklist[[#This Row],[TargetID]],tblTargetStatus[TargetID],tblTargetStatus[Status])</f>
        <v>BLOCKED</v>
      </c>
      <c r="J804" s="25" t="b">
        <v>0</v>
      </c>
    </row>
    <row r="805" spans="1:10">
      <c r="A805" s="41" t="s">
        <v>4453</v>
      </c>
      <c r="B805" s="41" t="str">
        <f>_xlfn.TEXTAFTER(
 _xlfn.TEXTBEFORE(tblCostChecklist[[#This Row],[RequirementID]],".",-2),
 "cost."
)</f>
        <v>tech.food_stall.jam</v>
      </c>
      <c r="C805" s="41" t="str">
        <f>_xlfn.XLOOKUP(tblCostChecklist[[#This Row],[TargetID]],tblTargets[TargetID],tblTargets[DisplayName],"")</f>
        <v>Food Stall - Jam</v>
      </c>
      <c r="D805" s="41" t="str">
        <f>_xlfn.XLOOKUP(tblCostChecklist[[#This Row],[TargetID]],tblTargets[TargetID],tblTargets[TargetType],"")</f>
        <v>TECH</v>
      </c>
      <c r="E805" s="41" t="s">
        <v>708</v>
      </c>
      <c r="F805" s="41">
        <v>1</v>
      </c>
      <c r="G805" s="41">
        <f>_xlfn.XLOOKUP(
 tblCostChecklist[[#This Row],[RequirementID]],
 tblCost[RequirementID],
 tblCost[QuantityRequired],
 ""
)</f>
        <v>2</v>
      </c>
      <c r="H8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5" s="41" t="str">
        <f>_xlfn.XLOOKUP(tblCostChecklist[[#This Row],[TargetID]],tblTargetStatus[TargetID],tblTargetStatus[Status])</f>
        <v>BLOCKED</v>
      </c>
      <c r="J805" s="25" t="b">
        <v>0</v>
      </c>
    </row>
    <row r="806" spans="1:10">
      <c r="A806" s="41" t="s">
        <v>4454</v>
      </c>
      <c r="B806" s="41" t="str">
        <f>_xlfn.TEXTAFTER(
 _xlfn.TEXTBEFORE(tblCostChecklist[[#This Row],[RequirementID]],".",-2),
 "cost."
)</f>
        <v>tech.food_stall.jam</v>
      </c>
      <c r="C806" s="41" t="str">
        <f>_xlfn.XLOOKUP(tblCostChecklist[[#This Row],[TargetID]],tblTargets[TargetID],tblTargets[DisplayName],"")</f>
        <v>Food Stall - Jam</v>
      </c>
      <c r="D806" s="41" t="str">
        <f>_xlfn.XLOOKUP(tblCostChecklist[[#This Row],[TargetID]],tblTargets[TargetID],tblTargets[TargetType],"")</f>
        <v>TECH</v>
      </c>
      <c r="E806" s="41" t="s">
        <v>951</v>
      </c>
      <c r="F806" s="41">
        <v>1</v>
      </c>
      <c r="G806" s="41">
        <f>_xlfn.XLOOKUP(
 tblCostChecklist[[#This Row],[RequirementID]],
 tblCost[RequirementID],
 tblCost[QuantityRequired],
 ""
)</f>
        <v>20</v>
      </c>
      <c r="H8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6" s="41" t="str">
        <f>_xlfn.XLOOKUP(tblCostChecklist[[#This Row],[TargetID]],tblTargetStatus[TargetID],tblTargetStatus[Status])</f>
        <v>BLOCKED</v>
      </c>
      <c r="J806" s="25" t="b">
        <v>0</v>
      </c>
    </row>
    <row r="807" spans="1:10">
      <c r="A807" s="41" t="s">
        <v>4455</v>
      </c>
      <c r="B807" s="41" t="str">
        <f>_xlfn.TEXTAFTER(
 _xlfn.TEXTBEFORE(tblCostChecklist[[#This Row],[RequirementID]],".",-2),
 "cost."
)</f>
        <v>tech.food_stall.mayonnaise</v>
      </c>
      <c r="C807" s="41" t="str">
        <f>_xlfn.XLOOKUP(tblCostChecklist[[#This Row],[TargetID]],tblTargets[TargetID],tblTargets[DisplayName],"")</f>
        <v>Food Stall - Mayonnaise</v>
      </c>
      <c r="D807" s="41" t="str">
        <f>_xlfn.XLOOKUP(tblCostChecklist[[#This Row],[TargetID]],tblTargets[TargetID],tblTargets[TargetType],"")</f>
        <v>TECH</v>
      </c>
      <c r="E807" s="41" t="s">
        <v>662</v>
      </c>
      <c r="F807" s="41">
        <v>1</v>
      </c>
      <c r="G807" s="41">
        <f>_xlfn.XLOOKUP(
 tblCostChecklist[[#This Row],[RequirementID]],
 tblCost[RequirementID],
 tblCost[QuantityRequired],
 ""
)</f>
        <v>15</v>
      </c>
      <c r="H8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7" s="41" t="str">
        <f>_xlfn.XLOOKUP(tblCostChecklist[[#This Row],[TargetID]],tblTargetStatus[TargetID],tblTargetStatus[Status])</f>
        <v>BLOCKED</v>
      </c>
      <c r="J807" s="25" t="b">
        <v>0</v>
      </c>
    </row>
    <row r="808" spans="1:10">
      <c r="A808" s="41" t="s">
        <v>4456</v>
      </c>
      <c r="B808" s="41" t="str">
        <f>_xlfn.TEXTAFTER(
 _xlfn.TEXTBEFORE(tblCostChecklist[[#This Row],[RequirementID]],".",-2),
 "cost."
)</f>
        <v>tech.food_stall.mayonnaise</v>
      </c>
      <c r="C808" s="41" t="str">
        <f>_xlfn.XLOOKUP(tblCostChecklist[[#This Row],[TargetID]],tblTargets[TargetID],tblTargets[DisplayName],"")</f>
        <v>Food Stall - Mayonnaise</v>
      </c>
      <c r="D808" s="41" t="str">
        <f>_xlfn.XLOOKUP(tblCostChecklist[[#This Row],[TargetID]],tblTargets[TargetID],tblTargets[TargetType],"")</f>
        <v>TECH</v>
      </c>
      <c r="E808" s="41" t="s">
        <v>666</v>
      </c>
      <c r="F808" s="41">
        <v>1</v>
      </c>
      <c r="G808" s="41">
        <f>_xlfn.XLOOKUP(
 tblCostChecklist[[#This Row],[RequirementID]],
 tblCost[RequirementID],
 tblCost[QuantityRequired],
 ""
)</f>
        <v>400</v>
      </c>
      <c r="H8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8" s="41" t="str">
        <f>_xlfn.XLOOKUP(tblCostChecklist[[#This Row],[TargetID]],tblTargetStatus[TargetID],tblTargetStatus[Status])</f>
        <v>BLOCKED</v>
      </c>
      <c r="J808" s="25" t="b">
        <v>0</v>
      </c>
    </row>
    <row r="809" spans="1:10">
      <c r="A809" s="41" t="s">
        <v>4457</v>
      </c>
      <c r="B809" s="41" t="str">
        <f>_xlfn.TEXTAFTER(
 _xlfn.TEXTBEFORE(tblCostChecklist[[#This Row],[RequirementID]],".",-2),
 "cost."
)</f>
        <v>tech.food_stall.mayonnaise</v>
      </c>
      <c r="C809" s="41" t="str">
        <f>_xlfn.XLOOKUP(tblCostChecklist[[#This Row],[TargetID]],tblTargets[TargetID],tblTargets[DisplayName],"")</f>
        <v>Food Stall - Mayonnaise</v>
      </c>
      <c r="D809" s="41" t="str">
        <f>_xlfn.XLOOKUP(tblCostChecklist[[#This Row],[TargetID]],tblTargets[TargetID],tblTargets[TargetType],"")</f>
        <v>TECH</v>
      </c>
      <c r="E809" s="41" t="s">
        <v>669</v>
      </c>
      <c r="F809" s="41">
        <v>1</v>
      </c>
      <c r="G809" s="41">
        <f>_xlfn.XLOOKUP(
 tblCostChecklist[[#This Row],[RequirementID]],
 tblCost[RequirementID],
 tblCost[QuantityRequired],
 ""
)</f>
        <v>25</v>
      </c>
      <c r="H8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9" s="41" t="str">
        <f>_xlfn.XLOOKUP(tblCostChecklist[[#This Row],[TargetID]],tblTargetStatus[TargetID],tblTargetStatus[Status])</f>
        <v>BLOCKED</v>
      </c>
      <c r="J809" s="25" t="b">
        <v>0</v>
      </c>
    </row>
    <row r="810" spans="1:10">
      <c r="A810" s="41" t="s">
        <v>4458</v>
      </c>
      <c r="B810" s="41" t="str">
        <f>_xlfn.TEXTAFTER(
 _xlfn.TEXTBEFORE(tblCostChecklist[[#This Row],[RequirementID]],".",-2),
 "cost."
)</f>
        <v>tech.food_stall.mayonnaise</v>
      </c>
      <c r="C810" s="41" t="str">
        <f>_xlfn.XLOOKUP(tblCostChecklist[[#This Row],[TargetID]],tblTargets[TargetID],tblTargets[DisplayName],"")</f>
        <v>Food Stall - Mayonnaise</v>
      </c>
      <c r="D810" s="41" t="str">
        <f>_xlfn.XLOOKUP(tblCostChecklist[[#This Row],[TargetID]],tblTargets[TargetID],tblTargets[TargetType],"")</f>
        <v>TECH</v>
      </c>
      <c r="E810" s="41" t="s">
        <v>674</v>
      </c>
      <c r="F810" s="41">
        <v>1</v>
      </c>
      <c r="G810" s="41">
        <f>_xlfn.XLOOKUP(
 tblCostChecklist[[#This Row],[RequirementID]],
 tblCost[RequirementID],
 tblCost[QuantityRequired],
 ""
)</f>
        <v>1</v>
      </c>
      <c r="H8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0" s="41" t="str">
        <f>_xlfn.XLOOKUP(tblCostChecklist[[#This Row],[TargetID]],tblTargetStatus[TargetID],tblTargetStatus[Status])</f>
        <v>BLOCKED</v>
      </c>
      <c r="J810" s="25" t="b">
        <v>0</v>
      </c>
    </row>
    <row r="811" spans="1:10">
      <c r="A811" s="41" t="s">
        <v>4459</v>
      </c>
      <c r="B811" s="41" t="str">
        <f>_xlfn.TEXTAFTER(
 _xlfn.TEXTBEFORE(tblCostChecklist[[#This Row],[RequirementID]],".",-2),
 "cost."
)</f>
        <v>tech.food_stall.mayonnaise</v>
      </c>
      <c r="C811" s="41" t="str">
        <f>_xlfn.XLOOKUP(tblCostChecklist[[#This Row],[TargetID]],tblTargets[TargetID],tblTargets[DisplayName],"")</f>
        <v>Food Stall - Mayonnaise</v>
      </c>
      <c r="D811" s="41" t="str">
        <f>_xlfn.XLOOKUP(tblCostChecklist[[#This Row],[TargetID]],tblTargets[TargetID],tblTargets[TargetType],"")</f>
        <v>TECH</v>
      </c>
      <c r="E811" s="41" t="s">
        <v>695</v>
      </c>
      <c r="F811" s="41">
        <v>1</v>
      </c>
      <c r="G811" s="41">
        <f>_xlfn.XLOOKUP(
 tblCostChecklist[[#This Row],[RequirementID]],
 tblCost[RequirementID],
 tblCost[QuantityRequired],
 ""
)</f>
        <v>10</v>
      </c>
      <c r="H8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1" s="41" t="str">
        <f>_xlfn.XLOOKUP(tblCostChecklist[[#This Row],[TargetID]],tblTargetStatus[TargetID],tblTargetStatus[Status])</f>
        <v>BLOCKED</v>
      </c>
      <c r="J811" s="25" t="b">
        <v>0</v>
      </c>
    </row>
    <row r="812" spans="1:10">
      <c r="A812" s="41" t="s">
        <v>4460</v>
      </c>
      <c r="B812" s="41" t="str">
        <f>_xlfn.TEXTAFTER(
 _xlfn.TEXTBEFORE(tblCostChecklist[[#This Row],[RequirementID]],".",-2),
 "cost."
)</f>
        <v>tech.food_stall.mayonnaise</v>
      </c>
      <c r="C812" s="41" t="str">
        <f>_xlfn.XLOOKUP(tblCostChecklist[[#This Row],[TargetID]],tblTargets[TargetID],tblTargets[DisplayName],"")</f>
        <v>Food Stall - Mayonnaise</v>
      </c>
      <c r="D812" s="41" t="str">
        <f>_xlfn.XLOOKUP(tblCostChecklist[[#This Row],[TargetID]],tblTargets[TargetID],tblTargets[TargetType],"")</f>
        <v>TECH</v>
      </c>
      <c r="E812" s="41" t="s">
        <v>708</v>
      </c>
      <c r="F812" s="41">
        <v>1</v>
      </c>
      <c r="G812" s="41">
        <f>_xlfn.XLOOKUP(
 tblCostChecklist[[#This Row],[RequirementID]],
 tblCost[RequirementID],
 tblCost[QuantityRequired],
 ""
)</f>
        <v>2</v>
      </c>
      <c r="H8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2" s="41" t="str">
        <f>_xlfn.XLOOKUP(tblCostChecklist[[#This Row],[TargetID]],tblTargetStatus[TargetID],tblTargetStatus[Status])</f>
        <v>BLOCKED</v>
      </c>
      <c r="J812" s="25" t="b">
        <v>0</v>
      </c>
    </row>
    <row r="813" spans="1:10">
      <c r="A813" s="41" t="s">
        <v>4461</v>
      </c>
      <c r="B813" s="41" t="str">
        <f>_xlfn.TEXTAFTER(
 _xlfn.TEXTBEFORE(tblCostChecklist[[#This Row],[RequirementID]],".",-2),
 "cost."
)</f>
        <v>tech.food_stall.mandra_cola</v>
      </c>
      <c r="C813" s="41" t="str">
        <f>_xlfn.XLOOKUP(tblCostChecklist[[#This Row],[TargetID]],tblTargets[TargetID],tblTargets[DisplayName],"")</f>
        <v>Food Stall - Mandra Cola</v>
      </c>
      <c r="D813" s="41" t="str">
        <f>_xlfn.XLOOKUP(tblCostChecklist[[#This Row],[TargetID]],tblTargets[TargetID],tblTargets[TargetType],"")</f>
        <v>TECH</v>
      </c>
      <c r="E813" s="41" t="s">
        <v>659</v>
      </c>
      <c r="F813" s="41">
        <v>1</v>
      </c>
      <c r="G813" s="41">
        <f>_xlfn.XLOOKUP(
 tblCostChecklist[[#This Row],[RequirementID]],
 tblCost[RequirementID],
 tblCost[QuantityRequired],
 ""
)</f>
        <v>20</v>
      </c>
      <c r="H8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3" s="41" t="str">
        <f>_xlfn.XLOOKUP(tblCostChecklist[[#This Row],[TargetID]],tblTargetStatus[TargetID],tblTargetStatus[Status])</f>
        <v>BLOCKED</v>
      </c>
      <c r="J813" s="25" t="b">
        <v>0</v>
      </c>
    </row>
    <row r="814" spans="1:10">
      <c r="A814" s="41" t="s">
        <v>4462</v>
      </c>
      <c r="B814" s="41" t="str">
        <f>_xlfn.TEXTAFTER(
 _xlfn.TEXTBEFORE(tblCostChecklist[[#This Row],[RequirementID]],".",-2),
 "cost."
)</f>
        <v>tech.food_stall.mandra_cola</v>
      </c>
      <c r="C814" s="41" t="str">
        <f>_xlfn.XLOOKUP(tblCostChecklist[[#This Row],[TargetID]],tblTargets[TargetID],tblTargets[DisplayName],"")</f>
        <v>Food Stall - Mandra Cola</v>
      </c>
      <c r="D814" s="41" t="str">
        <f>_xlfn.XLOOKUP(tblCostChecklist[[#This Row],[TargetID]],tblTargets[TargetID],tblTargets[TargetType],"")</f>
        <v>TECH</v>
      </c>
      <c r="E814" s="41" t="s">
        <v>662</v>
      </c>
      <c r="F814" s="41">
        <v>1</v>
      </c>
      <c r="G814" s="41">
        <f>_xlfn.XLOOKUP(
 tblCostChecklist[[#This Row],[RequirementID]],
 tblCost[RequirementID],
 tblCost[QuantityRequired],
 ""
)</f>
        <v>15</v>
      </c>
      <c r="H8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4" s="41" t="str">
        <f>_xlfn.XLOOKUP(tblCostChecklist[[#This Row],[TargetID]],tblTargetStatus[TargetID],tblTargetStatus[Status])</f>
        <v>BLOCKED</v>
      </c>
      <c r="J814" s="25" t="b">
        <v>0</v>
      </c>
    </row>
    <row r="815" spans="1:10">
      <c r="A815" s="41" t="s">
        <v>4463</v>
      </c>
      <c r="B815" s="41" t="str">
        <f>_xlfn.TEXTAFTER(
 _xlfn.TEXTBEFORE(tblCostChecklist[[#This Row],[RequirementID]],".",-2),
 "cost."
)</f>
        <v>tech.food_stall.mandra_cola</v>
      </c>
      <c r="C815" s="41" t="str">
        <f>_xlfn.XLOOKUP(tblCostChecklist[[#This Row],[TargetID]],tblTargets[TargetID],tblTargets[DisplayName],"")</f>
        <v>Food Stall - Mandra Cola</v>
      </c>
      <c r="D815" s="41" t="str">
        <f>_xlfn.XLOOKUP(tblCostChecklist[[#This Row],[TargetID]],tblTargets[TargetID],tblTargets[TargetType],"")</f>
        <v>TECH</v>
      </c>
      <c r="E815" s="41" t="s">
        <v>666</v>
      </c>
      <c r="F815" s="41">
        <v>1</v>
      </c>
      <c r="G815" s="41">
        <f>_xlfn.XLOOKUP(
 tblCostChecklist[[#This Row],[RequirementID]],
 tblCost[RequirementID],
 tblCost[QuantityRequired],
 ""
)</f>
        <v>400</v>
      </c>
      <c r="H8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5" s="41" t="str">
        <f>_xlfn.XLOOKUP(tblCostChecklist[[#This Row],[TargetID]],tblTargetStatus[TargetID],tblTargetStatus[Status])</f>
        <v>BLOCKED</v>
      </c>
      <c r="J815" s="25" t="b">
        <v>0</v>
      </c>
    </row>
    <row r="816" spans="1:10">
      <c r="A816" s="41" t="s">
        <v>4464</v>
      </c>
      <c r="B816" s="41" t="str">
        <f>_xlfn.TEXTAFTER(
 _xlfn.TEXTBEFORE(tblCostChecklist[[#This Row],[RequirementID]],".",-2),
 "cost."
)</f>
        <v>tech.food_stall.mandra_cola</v>
      </c>
      <c r="C816" s="41" t="str">
        <f>_xlfn.XLOOKUP(tblCostChecklist[[#This Row],[TargetID]],tblTargets[TargetID],tblTargets[DisplayName],"")</f>
        <v>Food Stall - Mandra Cola</v>
      </c>
      <c r="D816" s="41" t="str">
        <f>_xlfn.XLOOKUP(tblCostChecklist[[#This Row],[TargetID]],tblTargets[TargetID],tblTargets[TargetType],"")</f>
        <v>TECH</v>
      </c>
      <c r="E816" s="41" t="s">
        <v>674</v>
      </c>
      <c r="F816" s="41">
        <v>1</v>
      </c>
      <c r="G816" s="41">
        <f>_xlfn.XLOOKUP(
 tblCostChecklist[[#This Row],[RequirementID]],
 tblCost[RequirementID],
 tblCost[QuantityRequired],
 ""
)</f>
        <v>5</v>
      </c>
      <c r="H8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6" s="41" t="str">
        <f>_xlfn.XLOOKUP(tblCostChecklist[[#This Row],[TargetID]],tblTargetStatus[TargetID],tblTargetStatus[Status])</f>
        <v>BLOCKED</v>
      </c>
      <c r="J816" s="25" t="b">
        <v>0</v>
      </c>
    </row>
    <row r="817" spans="1:10">
      <c r="A817" s="41" t="s">
        <v>4465</v>
      </c>
      <c r="B817" s="41" t="str">
        <f>_xlfn.TEXTAFTER(
 _xlfn.TEXTBEFORE(tblCostChecklist[[#This Row],[RequirementID]],".",-2),
 "cost."
)</f>
        <v>tech.food_stall.mandra_cola</v>
      </c>
      <c r="C817" s="41" t="str">
        <f>_xlfn.XLOOKUP(tblCostChecklist[[#This Row],[TargetID]],tblTargets[TargetID],tblTargets[DisplayName],"")</f>
        <v>Food Stall - Mandra Cola</v>
      </c>
      <c r="D817" s="41" t="str">
        <f>_xlfn.XLOOKUP(tblCostChecklist[[#This Row],[TargetID]],tblTargets[TargetID],tblTargets[TargetType],"")</f>
        <v>TECH</v>
      </c>
      <c r="E817" s="41" t="s">
        <v>938</v>
      </c>
      <c r="F817" s="41">
        <v>1</v>
      </c>
      <c r="G817" s="41">
        <f>_xlfn.XLOOKUP(
 tblCostChecklist[[#This Row],[RequirementID]],
 tblCost[RequirementID],
 tblCost[QuantityRequired],
 ""
)</f>
        <v>10</v>
      </c>
      <c r="H8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7" s="41" t="str">
        <f>_xlfn.XLOOKUP(tblCostChecklist[[#This Row],[TargetID]],tblTargetStatus[TargetID],tblTargetStatus[Status])</f>
        <v>BLOCKED</v>
      </c>
      <c r="J817" s="25" t="b">
        <v>0</v>
      </c>
    </row>
    <row r="818" spans="1:10">
      <c r="A818" s="41" t="s">
        <v>4466</v>
      </c>
      <c r="B818" s="41" t="str">
        <f>_xlfn.TEXTAFTER(
 _xlfn.TEXTBEFORE(tblCostChecklist[[#This Row],[RequirementID]],".",-2),
 "cost."
)</f>
        <v>tech.food_stall.mandra_cola</v>
      </c>
      <c r="C818" s="41" t="str">
        <f>_xlfn.XLOOKUP(tblCostChecklist[[#This Row],[TargetID]],tblTargets[TargetID],tblTargets[DisplayName],"")</f>
        <v>Food Stall - Mandra Cola</v>
      </c>
      <c r="D818" s="41" t="str">
        <f>_xlfn.XLOOKUP(tblCostChecklist[[#This Row],[TargetID]],tblTargets[TargetID],tblTargets[TargetType],"")</f>
        <v>TECH</v>
      </c>
      <c r="E818" s="41" t="s">
        <v>940</v>
      </c>
      <c r="F818" s="41">
        <v>1</v>
      </c>
      <c r="G818" s="41">
        <f>_xlfn.XLOOKUP(
 tblCostChecklist[[#This Row],[RequirementID]],
 tblCost[RequirementID],
 tblCost[QuantityRequired],
 ""
)</f>
        <v>20</v>
      </c>
      <c r="H8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8" s="41" t="str">
        <f>_xlfn.XLOOKUP(tblCostChecklist[[#This Row],[TargetID]],tblTargetStatus[TargetID],tblTargetStatus[Status])</f>
        <v>BLOCKED</v>
      </c>
      <c r="J818" s="25" t="b">
        <v>0</v>
      </c>
    </row>
    <row r="819" spans="1:10">
      <c r="A819" s="41" t="s">
        <v>4467</v>
      </c>
      <c r="B819" s="41" t="str">
        <f>_xlfn.TEXTAFTER(
 _xlfn.TEXTBEFORE(tblCostChecklist[[#This Row],[RequirementID]],".",-2),
 "cost."
)</f>
        <v>tech.food_stall.mandra_cola</v>
      </c>
      <c r="C819" s="41" t="str">
        <f>_xlfn.XLOOKUP(tblCostChecklist[[#This Row],[TargetID]],tblTargets[TargetID],tblTargets[DisplayName],"")</f>
        <v>Food Stall - Mandra Cola</v>
      </c>
      <c r="D819" s="41" t="str">
        <f>_xlfn.XLOOKUP(tblCostChecklist[[#This Row],[TargetID]],tblTargets[TargetID],tblTargets[TargetType],"")</f>
        <v>TECH</v>
      </c>
      <c r="E819" s="41" t="s">
        <v>708</v>
      </c>
      <c r="F819" s="41">
        <v>1</v>
      </c>
      <c r="G819" s="41">
        <f>_xlfn.XLOOKUP(
 tblCostChecklist[[#This Row],[RequirementID]],
 tblCost[RequirementID],
 tblCost[QuantityRequired],
 ""
)</f>
        <v>2</v>
      </c>
      <c r="H8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9" s="41" t="str">
        <f>_xlfn.XLOOKUP(tblCostChecklist[[#This Row],[TargetID]],tblTargetStatus[TargetID],tblTargetStatus[Status])</f>
        <v>BLOCKED</v>
      </c>
      <c r="J819" s="25" t="b">
        <v>0</v>
      </c>
    </row>
    <row r="820" spans="1:10">
      <c r="A820" s="41" t="s">
        <v>4468</v>
      </c>
      <c r="B820" s="41" t="str">
        <f>_xlfn.TEXTAFTER(
 _xlfn.TEXTBEFORE(tblCostChecklist[[#This Row],[RequirementID]],".",-2),
 "cost."
)</f>
        <v>tech.food_stall.inarizushi</v>
      </c>
      <c r="C820" s="41" t="str">
        <f>_xlfn.XLOOKUP(tblCostChecklist[[#This Row],[TargetID]],tblTargets[TargetID],tblTargets[DisplayName],"")</f>
        <v>Food Stall - Inarizushi</v>
      </c>
      <c r="D820" s="41" t="str">
        <f>_xlfn.XLOOKUP(tblCostChecklist[[#This Row],[TargetID]],tblTargets[TargetID],tblTargets[TargetType],"")</f>
        <v>TECH</v>
      </c>
      <c r="E820" s="41" t="s">
        <v>666</v>
      </c>
      <c r="F820" s="41">
        <v>1</v>
      </c>
      <c r="G820" s="41">
        <f>_xlfn.XLOOKUP(
 tblCostChecklist[[#This Row],[RequirementID]],
 tblCost[RequirementID],
 tblCost[QuantityRequired],
 ""
)</f>
        <v>400</v>
      </c>
      <c r="H8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0" s="41" t="str">
        <f>_xlfn.XLOOKUP(tblCostChecklist[[#This Row],[TargetID]],tblTargetStatus[TargetID],tblTargetStatus[Status])</f>
        <v>BLOCKED</v>
      </c>
      <c r="J820" s="25" t="b">
        <v>0</v>
      </c>
    </row>
    <row r="821" spans="1:10">
      <c r="A821" s="41" t="s">
        <v>4469</v>
      </c>
      <c r="B821" s="41" t="str">
        <f>_xlfn.TEXTAFTER(
 _xlfn.TEXTBEFORE(tblCostChecklist[[#This Row],[RequirementID]],".",-2),
 "cost."
)</f>
        <v>tech.food_stall.inarizushi</v>
      </c>
      <c r="C821" s="41" t="str">
        <f>_xlfn.XLOOKUP(tblCostChecklist[[#This Row],[TargetID]],tblTargets[TargetID],tblTargets[DisplayName],"")</f>
        <v>Food Stall - Inarizushi</v>
      </c>
      <c r="D821" s="41" t="str">
        <f>_xlfn.XLOOKUP(tblCostChecklist[[#This Row],[TargetID]],tblTargets[TargetID],tblTargets[TargetType],"")</f>
        <v>TECH</v>
      </c>
      <c r="E821" s="41" t="s">
        <v>677</v>
      </c>
      <c r="F821" s="41">
        <v>1</v>
      </c>
      <c r="G821" s="41">
        <f>_xlfn.XLOOKUP(
 tblCostChecklist[[#This Row],[RequirementID]],
 tblCost[RequirementID],
 tblCost[QuantityRequired],
 ""
)</f>
        <v>13</v>
      </c>
      <c r="H8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1" s="41" t="str">
        <f>_xlfn.XLOOKUP(tblCostChecklist[[#This Row],[TargetID]],tblTargetStatus[TargetID],tblTargetStatus[Status])</f>
        <v>BLOCKED</v>
      </c>
      <c r="J821" s="25" t="b">
        <v>0</v>
      </c>
    </row>
    <row r="822" spans="1:10">
      <c r="A822" s="41" t="s">
        <v>4470</v>
      </c>
      <c r="B822" s="41" t="str">
        <f>_xlfn.TEXTAFTER(
 _xlfn.TEXTBEFORE(tblCostChecklist[[#This Row],[RequirementID]],".",-2),
 "cost."
)</f>
        <v>tech.food_stall.inarizushi</v>
      </c>
      <c r="C822" s="41" t="str">
        <f>_xlfn.XLOOKUP(tblCostChecklist[[#This Row],[TargetID]],tblTargets[TargetID],tblTargets[DisplayName],"")</f>
        <v>Food Stall - Inarizushi</v>
      </c>
      <c r="D822" s="41" t="str">
        <f>_xlfn.XLOOKUP(tblCostChecklist[[#This Row],[TargetID]],tblTargets[TargetID],tblTargets[TargetType],"")</f>
        <v>TECH</v>
      </c>
      <c r="E822" s="41" t="s">
        <v>708</v>
      </c>
      <c r="F822" s="41">
        <v>1</v>
      </c>
      <c r="G822" s="41">
        <f>_xlfn.XLOOKUP(
 tblCostChecklist[[#This Row],[RequirementID]],
 tblCost[RequirementID],
 tblCost[QuantityRequired],
 ""
)</f>
        <v>2</v>
      </c>
      <c r="H8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2" s="41" t="str">
        <f>_xlfn.XLOOKUP(tblCostChecklist[[#This Row],[TargetID]],tblTargetStatus[TargetID],tblTargetStatus[Status])</f>
        <v>BLOCKED</v>
      </c>
      <c r="J822" s="25" t="b">
        <v>0</v>
      </c>
    </row>
    <row r="823" spans="1:10">
      <c r="A823" s="41" t="s">
        <v>4471</v>
      </c>
      <c r="B823" s="41" t="str">
        <f>_xlfn.TEXTAFTER(
 _xlfn.TEXTBEFORE(tblCostChecklist[[#This Row],[RequirementID]],".",-2),
 "cost."
)</f>
        <v>tech.food_stall.inarizushi</v>
      </c>
      <c r="C823" s="41" t="str">
        <f>_xlfn.XLOOKUP(tblCostChecklist[[#This Row],[TargetID]],tblTargets[TargetID],tblTargets[DisplayName],"")</f>
        <v>Food Stall - Inarizushi</v>
      </c>
      <c r="D823" s="41" t="str">
        <f>_xlfn.XLOOKUP(tblCostChecklist[[#This Row],[TargetID]],tblTargets[TargetID],tblTargets[TargetType],"")</f>
        <v>TECH</v>
      </c>
      <c r="E823" s="41" t="s">
        <v>713</v>
      </c>
      <c r="F823" s="41">
        <v>1</v>
      </c>
      <c r="G823" s="41">
        <f>_xlfn.XLOOKUP(
 tblCostChecklist[[#This Row],[RequirementID]],
 tblCost[RequirementID],
 tblCost[QuantityRequired],
 ""
)</f>
        <v>8</v>
      </c>
      <c r="H8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3" s="41" t="str">
        <f>_xlfn.XLOOKUP(tblCostChecklist[[#This Row],[TargetID]],tblTargetStatus[TargetID],tblTargetStatus[Status])</f>
        <v>BLOCKED</v>
      </c>
      <c r="J823" s="25" t="b">
        <v>0</v>
      </c>
    </row>
    <row r="824" spans="1:10">
      <c r="A824" s="41" t="s">
        <v>4472</v>
      </c>
      <c r="B824" s="41" t="str">
        <f>_xlfn.TEXTAFTER(
 _xlfn.TEXTBEFORE(tblCostChecklist[[#This Row],[RequirementID]],".",-2),
 "cost."
)</f>
        <v>tech.food_stall.inarizushi</v>
      </c>
      <c r="C824" s="41" t="str">
        <f>_xlfn.XLOOKUP(tblCostChecklist[[#This Row],[TargetID]],tblTargets[TargetID],tblTargets[DisplayName],"")</f>
        <v>Food Stall - Inarizushi</v>
      </c>
      <c r="D824" s="41" t="str">
        <f>_xlfn.XLOOKUP(tblCostChecklist[[#This Row],[TargetID]],tblTargets[TargetID],tblTargets[TargetType],"")</f>
        <v>TECH</v>
      </c>
      <c r="E824" s="41" t="s">
        <v>954</v>
      </c>
      <c r="F824" s="41">
        <v>1</v>
      </c>
      <c r="G824" s="41">
        <f>_xlfn.XLOOKUP(
 tblCostChecklist[[#This Row],[RequirementID]],
 tblCost[RequirementID],
 tblCost[QuantityRequired],
 ""
)</f>
        <v>10</v>
      </c>
      <c r="H8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4" s="41" t="str">
        <f>_xlfn.XLOOKUP(tblCostChecklist[[#This Row],[TargetID]],tblTargetStatus[TargetID],tblTargetStatus[Status])</f>
        <v>BLOCKED</v>
      </c>
      <c r="J824" s="25" t="b">
        <v>0</v>
      </c>
    </row>
    <row r="825" spans="1:10">
      <c r="A825" s="41" t="s">
        <v>4473</v>
      </c>
      <c r="B825" s="41" t="str">
        <f>_xlfn.TEXTAFTER(
 _xlfn.TEXTBEFORE(tblCostChecklist[[#This Row],[RequirementID]],".",-2),
 "cost."
)</f>
        <v>tech.food_stall.conveyor_belt_sushi</v>
      </c>
      <c r="C825" s="41" t="str">
        <f>_xlfn.XLOOKUP(tblCostChecklist[[#This Row],[TargetID]],tblTargets[TargetID],tblTargets[DisplayName],"")</f>
        <v>Food Stall - Conveyor Belt Sushi</v>
      </c>
      <c r="D825" s="41" t="str">
        <f>_xlfn.XLOOKUP(tblCostChecklist[[#This Row],[TargetID]],tblTargets[TargetID],tblTargets[TargetType],"")</f>
        <v>TECH</v>
      </c>
      <c r="E825" s="41" t="s">
        <v>662</v>
      </c>
      <c r="F825" s="41">
        <v>1</v>
      </c>
      <c r="G825" s="41">
        <f>_xlfn.XLOOKUP(
 tblCostChecklist[[#This Row],[RequirementID]],
 tblCost[RequirementID],
 tblCost[QuantityRequired],
 ""
)</f>
        <v>10</v>
      </c>
      <c r="H8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5" s="41" t="str">
        <f>_xlfn.XLOOKUP(tblCostChecklist[[#This Row],[TargetID]],tblTargetStatus[TargetID],tblTargetStatus[Status])</f>
        <v>BLOCKED</v>
      </c>
      <c r="J825" s="25" t="b">
        <v>0</v>
      </c>
    </row>
    <row r="826" spans="1:10">
      <c r="A826" s="41" t="s">
        <v>4474</v>
      </c>
      <c r="B826" s="41" t="str">
        <f>_xlfn.TEXTAFTER(
 _xlfn.TEXTBEFORE(tblCostChecklist[[#This Row],[RequirementID]],".",-2),
 "cost."
)</f>
        <v>tech.food_stall.conveyor_belt_sushi</v>
      </c>
      <c r="C826" s="41" t="str">
        <f>_xlfn.XLOOKUP(tblCostChecklist[[#This Row],[TargetID]],tblTargets[TargetID],tblTargets[DisplayName],"")</f>
        <v>Food Stall - Conveyor Belt Sushi</v>
      </c>
      <c r="D826" s="41" t="str">
        <f>_xlfn.XLOOKUP(tblCostChecklist[[#This Row],[TargetID]],tblTargets[TargetID],tblTargets[TargetType],"")</f>
        <v>TECH</v>
      </c>
      <c r="E826" s="41" t="s">
        <v>666</v>
      </c>
      <c r="F826" s="41">
        <v>1</v>
      </c>
      <c r="G826" s="41">
        <f>_xlfn.XLOOKUP(
 tblCostChecklist[[#This Row],[RequirementID]],
 tblCost[RequirementID],
 tblCost[QuantityRequired],
 ""
)</f>
        <v>300</v>
      </c>
      <c r="H8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6" s="41" t="str">
        <f>_xlfn.XLOOKUP(tblCostChecklist[[#This Row],[TargetID]],tblTargetStatus[TargetID],tblTargetStatus[Status])</f>
        <v>BLOCKED</v>
      </c>
      <c r="J826" s="25" t="b">
        <v>0</v>
      </c>
    </row>
    <row r="827" spans="1:10">
      <c r="A827" s="41" t="s">
        <v>4475</v>
      </c>
      <c r="B827" s="41" t="str">
        <f>_xlfn.TEXTAFTER(
 _xlfn.TEXTBEFORE(tblCostChecklist[[#This Row],[RequirementID]],".",-2),
 "cost."
)</f>
        <v>tech.food_stall.conveyor_belt_sushi</v>
      </c>
      <c r="C827" s="41" t="str">
        <f>_xlfn.XLOOKUP(tblCostChecklist[[#This Row],[TargetID]],tblTargets[TargetID],tblTargets[DisplayName],"")</f>
        <v>Food Stall - Conveyor Belt Sushi</v>
      </c>
      <c r="D827" s="41" t="str">
        <f>_xlfn.XLOOKUP(tblCostChecklist[[#This Row],[TargetID]],tblTargets[TargetID],tblTargets[TargetType],"")</f>
        <v>TECH</v>
      </c>
      <c r="E827" s="41" t="s">
        <v>931</v>
      </c>
      <c r="F827" s="41">
        <v>1</v>
      </c>
      <c r="G827" s="41">
        <f>_xlfn.XLOOKUP(
 tblCostChecklist[[#This Row],[RequirementID]],
 tblCost[RequirementID],
 tblCost[QuantityRequired],
 ""
)</f>
        <v>40</v>
      </c>
      <c r="H8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7" s="41" t="str">
        <f>_xlfn.XLOOKUP(tblCostChecklist[[#This Row],[TargetID]],tblTargetStatus[TargetID],tblTargetStatus[Status])</f>
        <v>BLOCKED</v>
      </c>
      <c r="J827" s="25" t="b">
        <v>0</v>
      </c>
    </row>
    <row r="828" spans="1:10">
      <c r="A828" s="41" t="s">
        <v>4476</v>
      </c>
      <c r="B828" s="41" t="str">
        <f>_xlfn.TEXTAFTER(
 _xlfn.TEXTBEFORE(tblCostChecklist[[#This Row],[RequirementID]],".",-2),
 "cost."
)</f>
        <v>tech.food_stall.conveyor_belt_sushi</v>
      </c>
      <c r="C828" s="41" t="str">
        <f>_xlfn.XLOOKUP(tblCostChecklist[[#This Row],[TargetID]],tblTargets[TargetID],tblTargets[DisplayName],"")</f>
        <v>Food Stall - Conveyor Belt Sushi</v>
      </c>
      <c r="D828" s="41" t="str">
        <f>_xlfn.XLOOKUP(tblCostChecklist[[#This Row],[TargetID]],tblTargets[TargetID],tblTargets[TargetType],"")</f>
        <v>TECH</v>
      </c>
      <c r="E828" s="41" t="s">
        <v>686</v>
      </c>
      <c r="F828" s="41">
        <v>1</v>
      </c>
      <c r="G828" s="41">
        <f>_xlfn.XLOOKUP(
 tblCostChecklist[[#This Row],[RequirementID]],
 tblCost[RequirementID],
 tblCost[QuantityRequired],
 ""
)</f>
        <v>5</v>
      </c>
      <c r="H8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8" s="41" t="str">
        <f>_xlfn.XLOOKUP(tblCostChecklist[[#This Row],[TargetID]],tblTargetStatus[TargetID],tblTargetStatus[Status])</f>
        <v>BLOCKED</v>
      </c>
      <c r="J828" s="25" t="b">
        <v>0</v>
      </c>
    </row>
    <row r="829" spans="1:10">
      <c r="A829" s="41" t="s">
        <v>4477</v>
      </c>
      <c r="B829" s="41" t="str">
        <f>_xlfn.TEXTAFTER(
 _xlfn.TEXTBEFORE(tblCostChecklist[[#This Row],[RequirementID]],".",-2),
 "cost."
)</f>
        <v>tech.food_stall.conveyor_belt_sushi</v>
      </c>
      <c r="C829" s="41" t="str">
        <f>_xlfn.XLOOKUP(tblCostChecklist[[#This Row],[TargetID]],tblTargets[TargetID],tblTargets[DisplayName],"")</f>
        <v>Food Stall - Conveyor Belt Sushi</v>
      </c>
      <c r="D829" s="41" t="str">
        <f>_xlfn.XLOOKUP(tblCostChecklist[[#This Row],[TargetID]],tblTargets[TargetID],tblTargets[TargetType],"")</f>
        <v>TECH</v>
      </c>
      <c r="E829" s="41" t="s">
        <v>708</v>
      </c>
      <c r="F829" s="41">
        <v>1</v>
      </c>
      <c r="G829" s="41">
        <f>_xlfn.XLOOKUP(
 tblCostChecklist[[#This Row],[RequirementID]],
 tblCost[RequirementID],
 tblCost[QuantityRequired],
 ""
)</f>
        <v>2</v>
      </c>
      <c r="H8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9" s="41" t="str">
        <f>_xlfn.XLOOKUP(tblCostChecklist[[#This Row],[TargetID]],tblTargetStatus[TargetID],tblTargetStatus[Status])</f>
        <v>BLOCKED</v>
      </c>
      <c r="J829" s="25" t="b">
        <v>0</v>
      </c>
    </row>
    <row r="830" spans="1:10">
      <c r="A830" s="41" t="s">
        <v>4478</v>
      </c>
      <c r="B830" s="41" t="str">
        <f>_xlfn.TEXTAFTER(
 _xlfn.TEXTBEFORE(tblCostChecklist[[#This Row],[RequirementID]],".",-2),
 "cost."
)</f>
        <v>tech.food_stall.conveyor_belt_sushi</v>
      </c>
      <c r="C830" s="41" t="str">
        <f>_xlfn.XLOOKUP(tblCostChecklist[[#This Row],[TargetID]],tblTargets[TargetID],tblTargets[DisplayName],"")</f>
        <v>Food Stall - Conveyor Belt Sushi</v>
      </c>
      <c r="D830" s="41" t="str">
        <f>_xlfn.XLOOKUP(tblCostChecklist[[#This Row],[TargetID]],tblTargets[TargetID],tblTargets[TargetType],"")</f>
        <v>TECH</v>
      </c>
      <c r="E830" s="41" t="s">
        <v>716</v>
      </c>
      <c r="F830" s="41">
        <v>1</v>
      </c>
      <c r="G830" s="41">
        <f>_xlfn.XLOOKUP(
 tblCostChecklist[[#This Row],[RequirementID]],
 tblCost[RequirementID],
 tblCost[QuantityRequired],
 ""
)</f>
        <v>20</v>
      </c>
      <c r="H8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0" s="41" t="str">
        <f>_xlfn.XLOOKUP(tblCostChecklist[[#This Row],[TargetID]],tblTargetStatus[TargetID],tblTargetStatus[Status])</f>
        <v>BLOCKED</v>
      </c>
      <c r="J830" s="25" t="b">
        <v>0</v>
      </c>
    </row>
    <row r="831" spans="1:10">
      <c r="A831" s="41" t="s">
        <v>4479</v>
      </c>
      <c r="B831" s="41" t="str">
        <f>_xlfn.TEXTAFTER(
 _xlfn.TEXTBEFORE(tblCostChecklist[[#This Row],[RequirementID]],".",-2),
 "cost."
)</f>
        <v>tech.food_stall.miso_soup</v>
      </c>
      <c r="C831" s="41" t="str">
        <f>_xlfn.XLOOKUP(tblCostChecklist[[#This Row],[TargetID]],tblTargets[TargetID],tblTargets[DisplayName],"")</f>
        <v>Food Stall - Miso Soup</v>
      </c>
      <c r="D831" s="41" t="str">
        <f>_xlfn.XLOOKUP(tblCostChecklist[[#This Row],[TargetID]],tblTargets[TargetID],tblTargets[TargetType],"")</f>
        <v>TECH</v>
      </c>
      <c r="E831" s="41" t="s">
        <v>666</v>
      </c>
      <c r="F831" s="41">
        <v>1</v>
      </c>
      <c r="G831" s="41">
        <f>_xlfn.XLOOKUP(
 tblCostChecklist[[#This Row],[RequirementID]],
 tblCost[RequirementID],
 tblCost[QuantityRequired],
 ""
)</f>
        <v>500</v>
      </c>
      <c r="H8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1" s="41" t="str">
        <f>_xlfn.XLOOKUP(tblCostChecklist[[#This Row],[TargetID]],tblTargetStatus[TargetID],tblTargetStatus[Status])</f>
        <v>BLOCKED</v>
      </c>
      <c r="J831" s="25" t="b">
        <v>0</v>
      </c>
    </row>
    <row r="832" spans="1:10">
      <c r="A832" s="41" t="s">
        <v>4480</v>
      </c>
      <c r="B832" s="41" t="str">
        <f>_xlfn.TEXTAFTER(
 _xlfn.TEXTBEFORE(tblCostChecklist[[#This Row],[RequirementID]],".",-2),
 "cost."
)</f>
        <v>tech.food_stall.miso_soup</v>
      </c>
      <c r="C832" s="41" t="str">
        <f>_xlfn.XLOOKUP(tblCostChecklist[[#This Row],[TargetID]],tblTargets[TargetID],tblTargets[DisplayName],"")</f>
        <v>Food Stall - Miso Soup</v>
      </c>
      <c r="D832" s="41" t="str">
        <f>_xlfn.XLOOKUP(tblCostChecklist[[#This Row],[TargetID]],tblTargets[TargetID],tblTargets[TargetType],"")</f>
        <v>TECH</v>
      </c>
      <c r="E832" s="41" t="s">
        <v>931</v>
      </c>
      <c r="F832" s="41">
        <v>1</v>
      </c>
      <c r="G832" s="41">
        <f>_xlfn.XLOOKUP(
 tblCostChecklist[[#This Row],[RequirementID]],
 tblCost[RequirementID],
 tblCost[QuantityRequired],
 ""
)</f>
        <v>20</v>
      </c>
      <c r="H8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2" s="41" t="str">
        <f>_xlfn.XLOOKUP(tblCostChecklist[[#This Row],[TargetID]],tblTargetStatus[TargetID],tblTargetStatus[Status])</f>
        <v>BLOCKED</v>
      </c>
      <c r="J832" s="25" t="b">
        <v>0</v>
      </c>
    </row>
    <row r="833" spans="1:10">
      <c r="A833" s="41" t="s">
        <v>4481</v>
      </c>
      <c r="B833" s="41" t="str">
        <f>_xlfn.TEXTAFTER(
 _xlfn.TEXTBEFORE(tblCostChecklist[[#This Row],[RequirementID]],".",-2),
 "cost."
)</f>
        <v>tech.food_stall.miso_soup</v>
      </c>
      <c r="C833" s="41" t="str">
        <f>_xlfn.XLOOKUP(tblCostChecklist[[#This Row],[TargetID]],tblTargets[TargetID],tblTargets[DisplayName],"")</f>
        <v>Food Stall - Miso Soup</v>
      </c>
      <c r="D833" s="41" t="str">
        <f>_xlfn.XLOOKUP(tblCostChecklist[[#This Row],[TargetID]],tblTargets[TargetID],tblTargets[TargetType],"")</f>
        <v>TECH</v>
      </c>
      <c r="E833" s="41" t="s">
        <v>677</v>
      </c>
      <c r="F833" s="41">
        <v>1</v>
      </c>
      <c r="G833" s="41">
        <f>_xlfn.XLOOKUP(
 tblCostChecklist[[#This Row],[RequirementID]],
 tblCost[RequirementID],
 tblCost[QuantityRequired],
 ""
)</f>
        <v>10</v>
      </c>
      <c r="H8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3" s="41" t="str">
        <f>_xlfn.XLOOKUP(tblCostChecklist[[#This Row],[TargetID]],tblTargetStatus[TargetID],tblTargetStatus[Status])</f>
        <v>BLOCKED</v>
      </c>
      <c r="J833" s="25" t="b">
        <v>0</v>
      </c>
    </row>
    <row r="834" spans="1:10">
      <c r="A834" s="41" t="s">
        <v>4482</v>
      </c>
      <c r="B834" s="41" t="str">
        <f>_xlfn.TEXTAFTER(
 _xlfn.TEXTBEFORE(tblCostChecklist[[#This Row],[RequirementID]],".",-2),
 "cost."
)</f>
        <v>tech.food_stall.miso_soup</v>
      </c>
      <c r="C834" s="41" t="str">
        <f>_xlfn.XLOOKUP(tblCostChecklist[[#This Row],[TargetID]],tblTargets[TargetID],tblTargets[DisplayName],"")</f>
        <v>Food Stall - Miso Soup</v>
      </c>
      <c r="D834" s="41" t="str">
        <f>_xlfn.XLOOKUP(tblCostChecklist[[#This Row],[TargetID]],tblTargets[TargetID],tblTargets[TargetType],"")</f>
        <v>TECH</v>
      </c>
      <c r="E834" s="41" t="s">
        <v>941</v>
      </c>
      <c r="F834" s="41">
        <v>1</v>
      </c>
      <c r="G834" s="41">
        <f>_xlfn.XLOOKUP(
 tblCostChecklist[[#This Row],[RequirementID]],
 tblCost[RequirementID],
 tblCost[QuantityRequired],
 ""
)</f>
        <v>10</v>
      </c>
      <c r="H8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4" s="41" t="str">
        <f>_xlfn.XLOOKUP(tblCostChecklist[[#This Row],[TargetID]],tblTargetStatus[TargetID],tblTargetStatus[Status])</f>
        <v>BLOCKED</v>
      </c>
      <c r="J834" s="25" t="b">
        <v>0</v>
      </c>
    </row>
    <row r="835" spans="1:10">
      <c r="A835" s="41" t="s">
        <v>4483</v>
      </c>
      <c r="B835" s="41" t="str">
        <f>_xlfn.TEXTAFTER(
 _xlfn.TEXTBEFORE(tblCostChecklist[[#This Row],[RequirementID]],".",-2),
 "cost."
)</f>
        <v>tech.food_stall.miso_soup</v>
      </c>
      <c r="C835" s="41" t="str">
        <f>_xlfn.XLOOKUP(tblCostChecklist[[#This Row],[TargetID]],tblTargets[TargetID],tblTargets[DisplayName],"")</f>
        <v>Food Stall - Miso Soup</v>
      </c>
      <c r="D835" s="41" t="str">
        <f>_xlfn.XLOOKUP(tblCostChecklist[[#This Row],[TargetID]],tblTargets[TargetID],tblTargets[TargetType],"")</f>
        <v>TECH</v>
      </c>
      <c r="E835" s="41" t="s">
        <v>708</v>
      </c>
      <c r="F835" s="41">
        <v>1</v>
      </c>
      <c r="G835" s="41">
        <f>_xlfn.XLOOKUP(
 tblCostChecklist[[#This Row],[RequirementID]],
 tblCost[RequirementID],
 tblCost[QuantityRequired],
 ""
)</f>
        <v>5</v>
      </c>
      <c r="H8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5" s="41" t="str">
        <f>_xlfn.XLOOKUP(tblCostChecklist[[#This Row],[TargetID]],tblTargetStatus[TargetID],tblTargetStatus[Status])</f>
        <v>BLOCKED</v>
      </c>
      <c r="J835" s="25" t="b">
        <v>0</v>
      </c>
    </row>
    <row r="836" spans="1:10">
      <c r="A836" s="41" t="s">
        <v>4484</v>
      </c>
      <c r="B836" s="41" t="str">
        <f>_xlfn.TEXTAFTER(
 _xlfn.TEXTBEFORE(tblCostChecklist[[#This Row],[RequirementID]],".",-2),
 "cost."
)</f>
        <v>tech.food_stall.miso_soup</v>
      </c>
      <c r="C836" s="41" t="str">
        <f>_xlfn.XLOOKUP(tblCostChecklist[[#This Row],[TargetID]],tblTargets[TargetID],tblTargets[DisplayName],"")</f>
        <v>Food Stall - Miso Soup</v>
      </c>
      <c r="D836" s="41" t="str">
        <f>_xlfn.XLOOKUP(tblCostChecklist[[#This Row],[TargetID]],tblTargets[TargetID],tblTargets[TargetType],"")</f>
        <v>TECH</v>
      </c>
      <c r="E836" s="41" t="s">
        <v>718</v>
      </c>
      <c r="F836" s="41">
        <v>1</v>
      </c>
      <c r="G836" s="41">
        <f>_xlfn.XLOOKUP(
 tblCostChecklist[[#This Row],[RequirementID]],
 tblCost[RequirementID],
 tblCost[QuantityRequired],
 ""
)</f>
        <v>10</v>
      </c>
      <c r="H8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6" s="41" t="str">
        <f>_xlfn.XLOOKUP(tblCostChecklist[[#This Row],[TargetID]],tblTargetStatus[TargetID],tblTargetStatus[Status])</f>
        <v>BLOCKED</v>
      </c>
      <c r="J836" s="25" t="b">
        <v>0</v>
      </c>
    </row>
    <row r="837" spans="1:10">
      <c r="A837" s="41" t="s">
        <v>4485</v>
      </c>
      <c r="B837" s="41" t="str">
        <f>_xlfn.TEXTAFTER(
 _xlfn.TEXTBEFORE(tblCostChecklist[[#This Row],[RequirementID]],".",-2),
 "cost."
)</f>
        <v>tech.food_stall.miso_soup</v>
      </c>
      <c r="C837" s="41" t="str">
        <f>_xlfn.XLOOKUP(tblCostChecklist[[#This Row],[TargetID]],tblTargets[TargetID],tblTargets[DisplayName],"")</f>
        <v>Food Stall - Miso Soup</v>
      </c>
      <c r="D837" s="41" t="str">
        <f>_xlfn.XLOOKUP(tblCostChecklist[[#This Row],[TargetID]],tblTargets[TargetID],tblTargets[TargetType],"")</f>
        <v>TECH</v>
      </c>
      <c r="E837" s="41" t="s">
        <v>954</v>
      </c>
      <c r="F837" s="41">
        <v>1</v>
      </c>
      <c r="G837" s="41">
        <f>_xlfn.XLOOKUP(
 tblCostChecklist[[#This Row],[RequirementID]],
 tblCost[RequirementID],
 tblCost[QuantityRequired],
 ""
)</f>
        <v>10</v>
      </c>
      <c r="H8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7" s="41" t="str">
        <f>_xlfn.XLOOKUP(tblCostChecklist[[#This Row],[TargetID]],tblTargetStatus[TargetID],tblTargetStatus[Status])</f>
        <v>BLOCKED</v>
      </c>
      <c r="J837" s="25" t="b">
        <v>0</v>
      </c>
    </row>
    <row r="838" spans="1:10">
      <c r="A838" s="41" t="s">
        <v>4486</v>
      </c>
      <c r="B838" s="41" t="str">
        <f>_xlfn.TEXTAFTER(
 _xlfn.TEXTBEFORE(tblCostChecklist[[#This Row],[RequirementID]],".",-2),
 "cost."
)</f>
        <v>tech.furnace.meteoric_steel</v>
      </c>
      <c r="C838" s="41" t="str">
        <f>_xlfn.XLOOKUP(tblCostChecklist[[#This Row],[TargetID]],tblTargets[TargetID],tblTargets[DisplayName],"")</f>
        <v>Furnace - Meteoric Steel</v>
      </c>
      <c r="D838" s="41" t="str">
        <f>_xlfn.XLOOKUP(tblCostChecklist[[#This Row],[TargetID]],tblTargets[TargetID],tblTargets[TargetType],"")</f>
        <v>TECH</v>
      </c>
      <c r="E838" s="41" t="s">
        <v>662</v>
      </c>
      <c r="F838" s="41">
        <v>1</v>
      </c>
      <c r="G838" s="41">
        <f>_xlfn.XLOOKUP(
 tblCostChecklist[[#This Row],[RequirementID]],
 tblCost[RequirementID],
 tblCost[QuantityRequired],
 ""
)</f>
        <v>15</v>
      </c>
      <c r="H8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8" s="41" t="str">
        <f>_xlfn.XLOOKUP(tblCostChecklist[[#This Row],[TargetID]],tblTargetStatus[TargetID],tblTargetStatus[Status])</f>
        <v>BLOCKED</v>
      </c>
      <c r="J838" s="25" t="b">
        <v>0</v>
      </c>
    </row>
    <row r="839" spans="1:10">
      <c r="A839" s="41" t="s">
        <v>4487</v>
      </c>
      <c r="B839" s="41" t="str">
        <f>_xlfn.TEXTAFTER(
 _xlfn.TEXTBEFORE(tblCostChecklist[[#This Row],[RequirementID]],".",-2),
 "cost."
)</f>
        <v>tech.furnace.meteoric_steel</v>
      </c>
      <c r="C839" s="41" t="str">
        <f>_xlfn.XLOOKUP(tblCostChecklist[[#This Row],[TargetID]],tblTargets[TargetID],tblTargets[DisplayName],"")</f>
        <v>Furnace - Meteoric Steel</v>
      </c>
      <c r="D839" s="41" t="str">
        <f>_xlfn.XLOOKUP(tblCostChecklist[[#This Row],[TargetID]],tblTargets[TargetID],tblTargets[TargetType],"")</f>
        <v>TECH</v>
      </c>
      <c r="E839" s="41" t="s">
        <v>666</v>
      </c>
      <c r="F839" s="41">
        <v>1</v>
      </c>
      <c r="G839" s="41">
        <f>_xlfn.XLOOKUP(
 tblCostChecklist[[#This Row],[RequirementID]],
 tblCost[RequirementID],
 tblCost[QuantityRequired],
 ""
)</f>
        <v>1000</v>
      </c>
      <c r="H8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9" s="41" t="str">
        <f>_xlfn.XLOOKUP(tblCostChecklist[[#This Row],[TargetID]],tblTargetStatus[TargetID],tblTargetStatus[Status])</f>
        <v>BLOCKED</v>
      </c>
      <c r="J839" s="25" t="b">
        <v>0</v>
      </c>
    </row>
    <row r="840" spans="1:10">
      <c r="A840" s="41" t="s">
        <v>4488</v>
      </c>
      <c r="B840" s="41" t="str">
        <f>_xlfn.TEXTAFTER(
 _xlfn.TEXTBEFORE(tblCostChecklist[[#This Row],[RequirementID]],".",-2),
 "cost."
)</f>
        <v>tech.furnace.meteoric_steel</v>
      </c>
      <c r="C840" s="41" t="str">
        <f>_xlfn.XLOOKUP(tblCostChecklist[[#This Row],[TargetID]],tblTargets[TargetID],tblTargets[DisplayName],"")</f>
        <v>Furnace - Meteoric Steel</v>
      </c>
      <c r="D840" s="41" t="str">
        <f>_xlfn.XLOOKUP(tblCostChecklist[[#This Row],[TargetID]],tblTargets[TargetID],tblTargets[TargetType],"")</f>
        <v>TECH</v>
      </c>
      <c r="E840" s="41" t="s">
        <v>690</v>
      </c>
      <c r="F840" s="41">
        <v>1</v>
      </c>
      <c r="G840" s="41">
        <f>_xlfn.XLOOKUP(
 tblCostChecklist[[#This Row],[RequirementID]],
 tblCost[RequirementID],
 tblCost[QuantityRequired],
 ""
)</f>
        <v>50</v>
      </c>
      <c r="H8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0" s="41" t="str">
        <f>_xlfn.XLOOKUP(tblCostChecklist[[#This Row],[TargetID]],tblTargetStatus[TargetID],tblTargetStatus[Status])</f>
        <v>BLOCKED</v>
      </c>
      <c r="J840" s="25" t="b">
        <v>0</v>
      </c>
    </row>
    <row r="841" spans="1:10">
      <c r="A841" s="41" t="s">
        <v>4489</v>
      </c>
      <c r="B841" s="41" t="str">
        <f>_xlfn.TEXTAFTER(
 _xlfn.TEXTBEFORE(tblCostChecklist[[#This Row],[RequirementID]],".",-2),
 "cost."
)</f>
        <v>tech.furnace.meteoric_steel</v>
      </c>
      <c r="C841" s="41" t="str">
        <f>_xlfn.XLOOKUP(tblCostChecklist[[#This Row],[TargetID]],tblTargets[TargetID],tblTargets[DisplayName],"")</f>
        <v>Furnace - Meteoric Steel</v>
      </c>
      <c r="D841" s="41" t="str">
        <f>_xlfn.XLOOKUP(tblCostChecklist[[#This Row],[TargetID]],tblTargets[TargetID],tblTargets[TargetType],"")</f>
        <v>TECH</v>
      </c>
      <c r="E841" s="41" t="s">
        <v>708</v>
      </c>
      <c r="F841" s="41">
        <v>1</v>
      </c>
      <c r="G841" s="41">
        <f>_xlfn.XLOOKUP(
 tblCostChecklist[[#This Row],[RequirementID]],
 tblCost[RequirementID],
 tblCost[QuantityRequired],
 ""
)</f>
        <v>3</v>
      </c>
      <c r="H8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1" s="41" t="str">
        <f>_xlfn.XLOOKUP(tblCostChecklist[[#This Row],[TargetID]],tblTargetStatus[TargetID],tblTargetStatus[Status])</f>
        <v>BLOCKED</v>
      </c>
      <c r="J841" s="25" t="b">
        <v>0</v>
      </c>
    </row>
    <row r="842" spans="1:10">
      <c r="A842" s="41" t="s">
        <v>4490</v>
      </c>
      <c r="B842" s="41" t="str">
        <f>_xlfn.TEXTAFTER(
 _xlfn.TEXTBEFORE(tblCostChecklist[[#This Row],[RequirementID]],".",-2),
 "cost."
)</f>
        <v>tech.furnace.titanium_parts</v>
      </c>
      <c r="C842" s="41" t="str">
        <f>_xlfn.XLOOKUP(tblCostChecklist[[#This Row],[TargetID]],tblTargets[TargetID],tblTargets[DisplayName],"")</f>
        <v>Furnace - Titanium Parts</v>
      </c>
      <c r="D842" s="41" t="str">
        <f>_xlfn.XLOOKUP(tblCostChecklist[[#This Row],[TargetID]],tblTargets[TargetID],tblTargets[TargetType],"")</f>
        <v>TECH</v>
      </c>
      <c r="E842" s="41" t="s">
        <v>662</v>
      </c>
      <c r="F842" s="41">
        <v>1</v>
      </c>
      <c r="G842" s="41">
        <f>_xlfn.XLOOKUP(
 tblCostChecklist[[#This Row],[RequirementID]],
 tblCost[RequirementID],
 tblCost[QuantityRequired],
 ""
)</f>
        <v>20</v>
      </c>
      <c r="H8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2" s="41" t="str">
        <f>_xlfn.XLOOKUP(tblCostChecklist[[#This Row],[TargetID]],tblTargetStatus[TargetID],tblTargetStatus[Status])</f>
        <v>BLOCKED</v>
      </c>
      <c r="J842" s="25" t="b">
        <v>0</v>
      </c>
    </row>
    <row r="843" spans="1:10">
      <c r="A843" s="41" t="s">
        <v>4491</v>
      </c>
      <c r="B843" s="41" t="str">
        <f>_xlfn.TEXTAFTER(
 _xlfn.TEXTBEFORE(tblCostChecklist[[#This Row],[RequirementID]],".",-2),
 "cost."
)</f>
        <v>tech.furnace.titanium_parts</v>
      </c>
      <c r="C843" s="41" t="str">
        <f>_xlfn.XLOOKUP(tblCostChecklist[[#This Row],[TargetID]],tblTargets[TargetID],tblTargets[DisplayName],"")</f>
        <v>Furnace - Titanium Parts</v>
      </c>
      <c r="D843" s="41" t="str">
        <f>_xlfn.XLOOKUP(tblCostChecklist[[#This Row],[TargetID]],tblTargets[TargetID],tblTargets[TargetType],"")</f>
        <v>TECH</v>
      </c>
      <c r="E843" s="41" t="s">
        <v>666</v>
      </c>
      <c r="F843" s="41">
        <v>1</v>
      </c>
      <c r="G843" s="41">
        <f>_xlfn.XLOOKUP(
 tblCostChecklist[[#This Row],[RequirementID]],
 tblCost[RequirementID],
 tblCost[QuantityRequired],
 ""
)</f>
        <v>500</v>
      </c>
      <c r="H8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3" s="41" t="str">
        <f>_xlfn.XLOOKUP(tblCostChecklist[[#This Row],[TargetID]],tblTargetStatus[TargetID],tblTargetStatus[Status])</f>
        <v>BLOCKED</v>
      </c>
      <c r="J843" s="25" t="b">
        <v>0</v>
      </c>
    </row>
    <row r="844" spans="1:10">
      <c r="A844" s="41" t="s">
        <v>4492</v>
      </c>
      <c r="B844" s="41" t="str">
        <f>_xlfn.TEXTAFTER(
 _xlfn.TEXTBEFORE(tblCostChecklist[[#This Row],[RequirementID]],".",-2),
 "cost."
)</f>
        <v>tech.furnace.titanium_parts</v>
      </c>
      <c r="C844" s="41" t="str">
        <f>_xlfn.XLOOKUP(tblCostChecklist[[#This Row],[TargetID]],tblTargets[TargetID],tblTargets[DisplayName],"")</f>
        <v>Furnace - Titanium Parts</v>
      </c>
      <c r="D844" s="41" t="str">
        <f>_xlfn.XLOOKUP(tblCostChecklist[[#This Row],[TargetID]],tblTargets[TargetID],tblTargets[TargetType],"")</f>
        <v>TECH</v>
      </c>
      <c r="E844" s="41" t="s">
        <v>686</v>
      </c>
      <c r="F844" s="41">
        <v>1</v>
      </c>
      <c r="G844" s="41">
        <f>_xlfn.XLOOKUP(
 tblCostChecklist[[#This Row],[RequirementID]],
 tblCost[RequirementID],
 tblCost[QuantityRequired],
 ""
)</f>
        <v>5</v>
      </c>
      <c r="H8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4" s="41" t="str">
        <f>_xlfn.XLOOKUP(tblCostChecklist[[#This Row],[TargetID]],tblTargetStatus[TargetID],tblTargetStatus[Status])</f>
        <v>BLOCKED</v>
      </c>
      <c r="J844" s="25" t="b">
        <v>0</v>
      </c>
    </row>
    <row r="845" spans="1:10">
      <c r="A845" s="41" t="s">
        <v>4493</v>
      </c>
      <c r="B845" s="41" t="str">
        <f>_xlfn.TEXTAFTER(
 _xlfn.TEXTBEFORE(tblCostChecklist[[#This Row],[RequirementID]],".",-2),
 "cost."
)</f>
        <v>tech.furnace.titanium_parts</v>
      </c>
      <c r="C845" s="41" t="str">
        <f>_xlfn.XLOOKUP(tblCostChecklist[[#This Row],[TargetID]],tblTargets[TargetID],tblTargets[DisplayName],"")</f>
        <v>Furnace - Titanium Parts</v>
      </c>
      <c r="D845" s="41" t="str">
        <f>_xlfn.XLOOKUP(tblCostChecklist[[#This Row],[TargetID]],tblTargets[TargetID],tblTargets[TargetType],"")</f>
        <v>TECH</v>
      </c>
      <c r="E845" s="41" t="s">
        <v>705</v>
      </c>
      <c r="F845" s="41">
        <v>1</v>
      </c>
      <c r="G845" s="41">
        <f>_xlfn.XLOOKUP(
 tblCostChecklist[[#This Row],[RequirementID]],
 tblCost[RequirementID],
 tblCost[QuantityRequired],
 ""
)</f>
        <v>10</v>
      </c>
      <c r="H8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5" s="41" t="str">
        <f>_xlfn.XLOOKUP(tblCostChecklist[[#This Row],[TargetID]],tblTargetStatus[TargetID],tblTargetStatus[Status])</f>
        <v>BLOCKED</v>
      </c>
      <c r="J845" s="25" t="b">
        <v>0</v>
      </c>
    </row>
    <row r="846" spans="1:10">
      <c r="A846" s="41" t="s">
        <v>4494</v>
      </c>
      <c r="B846" s="41" t="str">
        <f>_xlfn.TEXTAFTER(
 _xlfn.TEXTBEFORE(tblCostChecklist[[#This Row],[RequirementID]],".",-2),
 "cost."
)</f>
        <v>tech.furnace.titanium_parts</v>
      </c>
      <c r="C846" s="41" t="str">
        <f>_xlfn.XLOOKUP(tblCostChecklist[[#This Row],[TargetID]],tblTargets[TargetID],tblTargets[DisplayName],"")</f>
        <v>Furnace - Titanium Parts</v>
      </c>
      <c r="D846" s="41" t="str">
        <f>_xlfn.XLOOKUP(tblCostChecklist[[#This Row],[TargetID]],tblTargets[TargetID],tblTargets[TargetType],"")</f>
        <v>TECH</v>
      </c>
      <c r="E846" s="41" t="s">
        <v>708</v>
      </c>
      <c r="F846" s="41">
        <v>1</v>
      </c>
      <c r="G846" s="41">
        <f>_xlfn.XLOOKUP(
 tblCostChecklist[[#This Row],[RequirementID]],
 tblCost[RequirementID],
 tblCost[QuantityRequired],
 ""
)</f>
        <v>3</v>
      </c>
      <c r="H8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6" s="41" t="str">
        <f>_xlfn.XLOOKUP(tblCostChecklist[[#This Row],[TargetID]],tblTargetStatus[TargetID],tblTargetStatus[Status])</f>
        <v>BLOCKED</v>
      </c>
      <c r="J846" s="25" t="b">
        <v>0</v>
      </c>
    </row>
    <row r="847" spans="1:10">
      <c r="A847" s="41" t="s">
        <v>4495</v>
      </c>
      <c r="B847" s="41" t="str">
        <f>_xlfn.TEXTAFTER(
 _xlfn.TEXTBEFORE(tblCostChecklist[[#This Row],[RequirementID]],".",-2),
 "cost."
)</f>
        <v>tech.furnace.titanium_parts</v>
      </c>
      <c r="C847" s="41" t="str">
        <f>_xlfn.XLOOKUP(tblCostChecklist[[#This Row],[TargetID]],tblTargets[TargetID],tblTargets[DisplayName],"")</f>
        <v>Furnace - Titanium Parts</v>
      </c>
      <c r="D847" s="41" t="str">
        <f>_xlfn.XLOOKUP(tblCostChecklist[[#This Row],[TargetID]],tblTargets[TargetID],tblTargets[TargetType],"")</f>
        <v>TECH</v>
      </c>
      <c r="E847" s="41" t="s">
        <v>720</v>
      </c>
      <c r="F847" s="41">
        <v>1</v>
      </c>
      <c r="G847" s="41">
        <f>_xlfn.XLOOKUP(
 tblCostChecklist[[#This Row],[RequirementID]],
 tblCost[RequirementID],
 tblCost[QuantityRequired],
 ""
)</f>
        <v>10</v>
      </c>
      <c r="H8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7" s="41" t="str">
        <f>_xlfn.XLOOKUP(tblCostChecklist[[#This Row],[TargetID]],tblTargetStatus[TargetID],tblTargetStatus[Status])</f>
        <v>BLOCKED</v>
      </c>
      <c r="J847" s="25" t="b">
        <v>0</v>
      </c>
    </row>
    <row r="848" spans="1:10">
      <c r="A848" s="41" t="s">
        <v>4496</v>
      </c>
      <c r="B848" s="41" t="str">
        <f>_xlfn.TEXTAFTER(
 _xlfn.TEXTBEFORE(tblCostChecklist[[#This Row],[RequirementID]],".",-2),
 "cost."
)</f>
        <v>tech.furnace.glass</v>
      </c>
      <c r="C848" s="41" t="str">
        <f>_xlfn.XLOOKUP(tblCostChecklist[[#This Row],[TargetID]],tblTargets[TargetID],tblTargets[DisplayName],"")</f>
        <v>Furnace - Glass</v>
      </c>
      <c r="D848" s="41" t="str">
        <f>_xlfn.XLOOKUP(tblCostChecklist[[#This Row],[TargetID]],tblTargets[TargetID],tblTargets[TargetType],"")</f>
        <v>TECH</v>
      </c>
      <c r="E848" s="41" t="s">
        <v>662</v>
      </c>
      <c r="F848" s="41">
        <v>1</v>
      </c>
      <c r="G848" s="41">
        <f>_xlfn.XLOOKUP(
 tblCostChecklist[[#This Row],[RequirementID]],
 tblCost[RequirementID],
 tblCost[QuantityRequired],
 ""
)</f>
        <v>20</v>
      </c>
      <c r="H8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8" s="41" t="str">
        <f>_xlfn.XLOOKUP(tblCostChecklist[[#This Row],[TargetID]],tblTargetStatus[TargetID],tblTargetStatus[Status])</f>
        <v>BLOCKED</v>
      </c>
      <c r="J848" s="25" t="b">
        <v>0</v>
      </c>
    </row>
    <row r="849" spans="1:10">
      <c r="A849" s="41" t="s">
        <v>4497</v>
      </c>
      <c r="B849" s="41" t="str">
        <f>_xlfn.TEXTAFTER(
 _xlfn.TEXTBEFORE(tblCostChecklist[[#This Row],[RequirementID]],".",-2),
 "cost."
)</f>
        <v>tech.furnace.glass</v>
      </c>
      <c r="C849" s="41" t="str">
        <f>_xlfn.XLOOKUP(tblCostChecklist[[#This Row],[TargetID]],tblTargets[TargetID],tblTargets[DisplayName],"")</f>
        <v>Furnace - Glass</v>
      </c>
      <c r="D849" s="41" t="str">
        <f>_xlfn.XLOOKUP(tblCostChecklist[[#This Row],[TargetID]],tblTargets[TargetID],tblTargets[TargetType],"")</f>
        <v>TECH</v>
      </c>
      <c r="E849" s="41" t="s">
        <v>664</v>
      </c>
      <c r="F849" s="41">
        <v>1</v>
      </c>
      <c r="G849" s="41">
        <f>_xlfn.XLOOKUP(
 tblCostChecklist[[#This Row],[RequirementID]],
 tblCost[RequirementID],
 tblCost[QuantityRequired],
 ""
)</f>
        <v>20</v>
      </c>
      <c r="H8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9" s="41" t="str">
        <f>_xlfn.XLOOKUP(tblCostChecklist[[#This Row],[TargetID]],tblTargetStatus[TargetID],tblTargetStatus[Status])</f>
        <v>BLOCKED</v>
      </c>
      <c r="J849" s="25" t="b">
        <v>0</v>
      </c>
    </row>
    <row r="850" spans="1:10">
      <c r="A850" s="41" t="s">
        <v>4498</v>
      </c>
      <c r="B850" s="41" t="str">
        <f>_xlfn.TEXTAFTER(
 _xlfn.TEXTBEFORE(tblCostChecklist[[#This Row],[RequirementID]],".",-2),
 "cost."
)</f>
        <v>tech.furnace.glass</v>
      </c>
      <c r="C850" s="41" t="str">
        <f>_xlfn.XLOOKUP(tblCostChecklist[[#This Row],[TargetID]],tblTargets[TargetID],tblTargets[DisplayName],"")</f>
        <v>Furnace - Glass</v>
      </c>
      <c r="D850" s="41" t="str">
        <f>_xlfn.XLOOKUP(tblCostChecklist[[#This Row],[TargetID]],tblTargets[TargetID],tblTargets[TargetType],"")</f>
        <v>TECH</v>
      </c>
      <c r="E850" s="41" t="s">
        <v>666</v>
      </c>
      <c r="F850" s="41">
        <v>1</v>
      </c>
      <c r="G850" s="41">
        <f>_xlfn.XLOOKUP(
 tblCostChecklist[[#This Row],[RequirementID]],
 tblCost[RequirementID],
 tblCost[QuantityRequired],
 ""
)</f>
        <v>500</v>
      </c>
      <c r="H8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0" s="41" t="str">
        <f>_xlfn.XLOOKUP(tblCostChecklist[[#This Row],[TargetID]],tblTargetStatus[TargetID],tblTargetStatus[Status])</f>
        <v>BLOCKED</v>
      </c>
      <c r="J850" s="25" t="b">
        <v>0</v>
      </c>
    </row>
    <row r="851" spans="1:10">
      <c r="A851" s="41" t="s">
        <v>4499</v>
      </c>
      <c r="B851" s="41" t="str">
        <f>_xlfn.TEXTAFTER(
 _xlfn.TEXTBEFORE(tblCostChecklist[[#This Row],[RequirementID]],".",-2),
 "cost."
)</f>
        <v>tech.furnace.glass</v>
      </c>
      <c r="C851" s="41" t="str">
        <f>_xlfn.XLOOKUP(tblCostChecklist[[#This Row],[TargetID]],tblTargets[TargetID],tblTargets[DisplayName],"")</f>
        <v>Furnace - Glass</v>
      </c>
      <c r="D851" s="41" t="str">
        <f>_xlfn.XLOOKUP(tblCostChecklist[[#This Row],[TargetID]],tblTargets[TargetID],tblTargets[TargetType],"")</f>
        <v>TECH</v>
      </c>
      <c r="E851" s="41" t="s">
        <v>674</v>
      </c>
      <c r="F851" s="41">
        <v>1</v>
      </c>
      <c r="G851" s="41">
        <f>_xlfn.XLOOKUP(
 tblCostChecklist[[#This Row],[RequirementID]],
 tblCost[RequirementID],
 tblCost[QuantityRequired],
 ""
)</f>
        <v>20</v>
      </c>
      <c r="H8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1" s="41" t="str">
        <f>_xlfn.XLOOKUP(tblCostChecklist[[#This Row],[TargetID]],tblTargetStatus[TargetID],tblTargetStatus[Status])</f>
        <v>BLOCKED</v>
      </c>
      <c r="J851" s="25" t="b">
        <v>0</v>
      </c>
    </row>
    <row r="852" spans="1:10">
      <c r="A852" s="41" t="s">
        <v>4500</v>
      </c>
      <c r="B852" s="41" t="str">
        <f>_xlfn.TEXTAFTER(
 _xlfn.TEXTBEFORE(tblCostChecklist[[#This Row],[RequirementID]],".",-2),
 "cost."
)</f>
        <v>tech.furnace.glass</v>
      </c>
      <c r="C852" s="41" t="str">
        <f>_xlfn.XLOOKUP(tblCostChecklist[[#This Row],[TargetID]],tblTargets[TargetID],tblTargets[DisplayName],"")</f>
        <v>Furnace - Glass</v>
      </c>
      <c r="D852" s="41" t="str">
        <f>_xlfn.XLOOKUP(tblCostChecklist[[#This Row],[TargetID]],tblTargets[TargetID],tblTargets[TargetType],"")</f>
        <v>TECH</v>
      </c>
      <c r="E852" s="41" t="s">
        <v>686</v>
      </c>
      <c r="F852" s="41">
        <v>1</v>
      </c>
      <c r="G852" s="41">
        <f>_xlfn.XLOOKUP(
 tblCostChecklist[[#This Row],[RequirementID]],
 tblCost[RequirementID],
 tblCost[QuantityRequired],
 ""
)</f>
        <v>5</v>
      </c>
      <c r="H8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2" s="41" t="str">
        <f>_xlfn.XLOOKUP(tblCostChecklist[[#This Row],[TargetID]],tblTargetStatus[TargetID],tblTargetStatus[Status])</f>
        <v>BLOCKED</v>
      </c>
      <c r="J852" s="25" t="b">
        <v>0</v>
      </c>
    </row>
    <row r="853" spans="1:10">
      <c r="A853" s="41" t="s">
        <v>4501</v>
      </c>
      <c r="B853" s="41" t="str">
        <f>_xlfn.TEXTAFTER(
 _xlfn.TEXTBEFORE(tblCostChecklist[[#This Row],[RequirementID]],".",-2),
 "cost."
)</f>
        <v>tech.furnace.glass</v>
      </c>
      <c r="C853" s="41" t="str">
        <f>_xlfn.XLOOKUP(tblCostChecklist[[#This Row],[TargetID]],tblTargets[TargetID],tblTargets[DisplayName],"")</f>
        <v>Furnace - Glass</v>
      </c>
      <c r="D853" s="41" t="str">
        <f>_xlfn.XLOOKUP(tblCostChecklist[[#This Row],[TargetID]],tblTargets[TargetID],tblTargets[TargetType],"")</f>
        <v>TECH</v>
      </c>
      <c r="E853" s="41" t="s">
        <v>703</v>
      </c>
      <c r="F853" s="41">
        <v>1</v>
      </c>
      <c r="G853" s="41">
        <f>_xlfn.XLOOKUP(
 tblCostChecklist[[#This Row],[RequirementID]],
 tblCost[RequirementID],
 tblCost[QuantityRequired],
 ""
)</f>
        <v>40</v>
      </c>
      <c r="H8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3" s="41" t="str">
        <f>_xlfn.XLOOKUP(tblCostChecklist[[#This Row],[TargetID]],tblTargetStatus[TargetID],tblTargetStatus[Status])</f>
        <v>BLOCKED</v>
      </c>
      <c r="J853" s="25" t="b">
        <v>0</v>
      </c>
    </row>
    <row r="854" spans="1:10">
      <c r="A854" s="41" t="s">
        <v>4502</v>
      </c>
      <c r="B854" s="41" t="str">
        <f>_xlfn.TEXTAFTER(
 _xlfn.TEXTBEFORE(tblCostChecklist[[#This Row],[RequirementID]],".",-2),
 "cost."
)</f>
        <v>tech.furnace.glass</v>
      </c>
      <c r="C854" s="41" t="str">
        <f>_xlfn.XLOOKUP(tblCostChecklist[[#This Row],[TargetID]],tblTargets[TargetID],tblTargets[DisplayName],"")</f>
        <v>Furnace - Glass</v>
      </c>
      <c r="D854" s="41" t="str">
        <f>_xlfn.XLOOKUP(tblCostChecklist[[#This Row],[TargetID]],tblTargets[TargetID],tblTargets[TargetType],"")</f>
        <v>TECH</v>
      </c>
      <c r="E854" s="41" t="s">
        <v>708</v>
      </c>
      <c r="F854" s="41">
        <v>1</v>
      </c>
      <c r="G854" s="41">
        <f>_xlfn.XLOOKUP(
 tblCostChecklist[[#This Row],[RequirementID]],
 tblCost[RequirementID],
 tblCost[QuantityRequired],
 ""
)</f>
        <v>3</v>
      </c>
      <c r="H8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4" s="41" t="str">
        <f>_xlfn.XLOOKUP(tblCostChecklist[[#This Row],[TargetID]],tblTargetStatus[TargetID],tblTargetStatus[Status])</f>
        <v>BLOCKED</v>
      </c>
      <c r="J854" s="25" t="b">
        <v>0</v>
      </c>
    </row>
    <row r="855" spans="1:10">
      <c r="A855" s="41" t="s">
        <v>4503</v>
      </c>
      <c r="B855" s="41" t="str">
        <f>_xlfn.TEXTAFTER(
 _xlfn.TEXTBEFORE(tblCostChecklist[[#This Row],[RequirementID]],".",-2),
 "cost."
)</f>
        <v>tech.furnace.conveyor</v>
      </c>
      <c r="C855" s="41" t="str">
        <f>_xlfn.XLOOKUP(tblCostChecklist[[#This Row],[TargetID]],tblTargets[TargetID],tblTargets[DisplayName],"")</f>
        <v>Furnace - Conveyor</v>
      </c>
      <c r="D855" s="41" t="str">
        <f>_xlfn.XLOOKUP(tblCostChecklist[[#This Row],[TargetID]],tblTargets[TargetID],tblTargets[TargetType],"")</f>
        <v>TECH</v>
      </c>
      <c r="E855" s="41" t="s">
        <v>662</v>
      </c>
      <c r="F855" s="41">
        <v>1</v>
      </c>
      <c r="G855" s="41">
        <f>_xlfn.XLOOKUP(
 tblCostChecklist[[#This Row],[RequirementID]],
 tblCost[RequirementID],
 tblCost[QuantityRequired],
 ""
)</f>
        <v>15</v>
      </c>
      <c r="H8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5" s="41" t="str">
        <f>_xlfn.XLOOKUP(tblCostChecklist[[#This Row],[TargetID]],tblTargetStatus[TargetID],tblTargetStatus[Status])</f>
        <v>BLOCKED</v>
      </c>
      <c r="J855" s="25" t="b">
        <v>0</v>
      </c>
    </row>
    <row r="856" spans="1:10">
      <c r="A856" s="41" t="s">
        <v>4504</v>
      </c>
      <c r="B856" s="41" t="str">
        <f>_xlfn.TEXTAFTER(
 _xlfn.TEXTBEFORE(tblCostChecklist[[#This Row],[RequirementID]],".",-2),
 "cost."
)</f>
        <v>tech.furnace.conveyor</v>
      </c>
      <c r="C856" s="41" t="str">
        <f>_xlfn.XLOOKUP(tblCostChecklist[[#This Row],[TargetID]],tblTargets[TargetID],tblTargets[DisplayName],"")</f>
        <v>Furnace - Conveyor</v>
      </c>
      <c r="D856" s="41" t="str">
        <f>_xlfn.XLOOKUP(tblCostChecklist[[#This Row],[TargetID]],tblTargets[TargetID],tblTargets[TargetType],"")</f>
        <v>TECH</v>
      </c>
      <c r="E856" s="41" t="s">
        <v>666</v>
      </c>
      <c r="F856" s="41">
        <v>1</v>
      </c>
      <c r="G856" s="41">
        <f>_xlfn.XLOOKUP(
 tblCostChecklist[[#This Row],[RequirementID]],
 tblCost[RequirementID],
 tblCost[QuantityRequired],
 ""
)</f>
        <v>400</v>
      </c>
      <c r="H8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6" s="41" t="str">
        <f>_xlfn.XLOOKUP(tblCostChecklist[[#This Row],[TargetID]],tblTargetStatus[TargetID],tblTargetStatus[Status])</f>
        <v>BLOCKED</v>
      </c>
      <c r="J856" s="25" t="b">
        <v>0</v>
      </c>
    </row>
    <row r="857" spans="1:10">
      <c r="A857" s="41" t="s">
        <v>4505</v>
      </c>
      <c r="B857" s="41" t="str">
        <f>_xlfn.TEXTAFTER(
 _xlfn.TEXTBEFORE(tblCostChecklist[[#This Row],[RequirementID]],".",-2),
 "cost."
)</f>
        <v>tech.furnace.conveyor</v>
      </c>
      <c r="C857" s="41" t="str">
        <f>_xlfn.XLOOKUP(tblCostChecklist[[#This Row],[TargetID]],tblTargets[TargetID],tblTargets[DisplayName],"")</f>
        <v>Furnace - Conveyor</v>
      </c>
      <c r="D857" s="41" t="str">
        <f>_xlfn.XLOOKUP(tblCostChecklist[[#This Row],[TargetID]],tblTargets[TargetID],tblTargets[TargetType],"")</f>
        <v>TECH</v>
      </c>
      <c r="E857" s="41" t="s">
        <v>931</v>
      </c>
      <c r="F857" s="41">
        <v>1</v>
      </c>
      <c r="G857" s="41">
        <f>_xlfn.XLOOKUP(
 tblCostChecklist[[#This Row],[RequirementID]],
 tblCost[RequirementID],
 tblCost[QuantityRequired],
 ""
)</f>
        <v>40</v>
      </c>
      <c r="H8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7" s="41" t="str">
        <f>_xlfn.XLOOKUP(tblCostChecklist[[#This Row],[TargetID]],tblTargetStatus[TargetID],tblTargetStatus[Status])</f>
        <v>BLOCKED</v>
      </c>
      <c r="J857" s="25" t="b">
        <v>0</v>
      </c>
    </row>
    <row r="858" spans="1:10">
      <c r="A858" s="41" t="s">
        <v>4506</v>
      </c>
      <c r="B858" s="41" t="str">
        <f>_xlfn.TEXTAFTER(
 _xlfn.TEXTBEFORE(tblCostChecklist[[#This Row],[RequirementID]],".",-2),
 "cost."
)</f>
        <v>tech.furnace.conveyor</v>
      </c>
      <c r="C858" s="41" t="str">
        <f>_xlfn.XLOOKUP(tblCostChecklist[[#This Row],[TargetID]],tblTargets[TargetID],tblTargets[DisplayName],"")</f>
        <v>Furnace - Conveyor</v>
      </c>
      <c r="D858" s="41" t="str">
        <f>_xlfn.XLOOKUP(tblCostChecklist[[#This Row],[TargetID]],tblTargets[TargetID],tblTargets[TargetType],"")</f>
        <v>TECH</v>
      </c>
      <c r="E858" s="41" t="s">
        <v>686</v>
      </c>
      <c r="F858" s="41">
        <v>1</v>
      </c>
      <c r="G858" s="41">
        <f>_xlfn.XLOOKUP(
 tblCostChecklist[[#This Row],[RequirementID]],
 tblCost[RequirementID],
 tblCost[QuantityRequired],
 ""
)</f>
        <v>10</v>
      </c>
      <c r="H8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8" s="41" t="str">
        <f>_xlfn.XLOOKUP(tblCostChecklist[[#This Row],[TargetID]],tblTargetStatus[TargetID],tblTargetStatus[Status])</f>
        <v>BLOCKED</v>
      </c>
      <c r="J858" s="25" t="b">
        <v>0</v>
      </c>
    </row>
    <row r="859" spans="1:10">
      <c r="A859" s="41" t="s">
        <v>4507</v>
      </c>
      <c r="B859" s="41" t="str">
        <f>_xlfn.TEXTAFTER(
 _xlfn.TEXTBEFORE(tblCostChecklist[[#This Row],[RequirementID]],".",-2),
 "cost."
)</f>
        <v>tech.furnace.conveyor</v>
      </c>
      <c r="C859" s="41" t="str">
        <f>_xlfn.XLOOKUP(tblCostChecklist[[#This Row],[TargetID]],tblTargets[TargetID],tblTargets[DisplayName],"")</f>
        <v>Furnace - Conveyor</v>
      </c>
      <c r="D859" s="41" t="str">
        <f>_xlfn.XLOOKUP(tblCostChecklist[[#This Row],[TargetID]],tblTargets[TargetID],tblTargets[TargetType],"")</f>
        <v>TECH</v>
      </c>
      <c r="E859" s="41" t="s">
        <v>693</v>
      </c>
      <c r="F859" s="41">
        <v>1</v>
      </c>
      <c r="G859" s="41">
        <f>_xlfn.XLOOKUP(
 tblCostChecklist[[#This Row],[RequirementID]],
 tblCost[RequirementID],
 tblCost[QuantityRequired],
 ""
)</f>
        <v>20</v>
      </c>
      <c r="H8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9" s="41" t="str">
        <f>_xlfn.XLOOKUP(tblCostChecklist[[#This Row],[TargetID]],tblTargetStatus[TargetID],tblTargetStatus[Status])</f>
        <v>BLOCKED</v>
      </c>
      <c r="J859" s="25" t="b">
        <v>0</v>
      </c>
    </row>
    <row r="860" spans="1:10">
      <c r="A860" s="41" t="s">
        <v>4508</v>
      </c>
      <c r="B860" s="41" t="str">
        <f>_xlfn.TEXTAFTER(
 _xlfn.TEXTBEFORE(tblCostChecklist[[#This Row],[RequirementID]],".",-2),
 "cost."
)</f>
        <v>tech.furnace.conveyor</v>
      </c>
      <c r="C860" s="41" t="str">
        <f>_xlfn.XLOOKUP(tblCostChecklist[[#This Row],[TargetID]],tblTargets[TargetID],tblTargets[DisplayName],"")</f>
        <v>Furnace - Conveyor</v>
      </c>
      <c r="D860" s="41" t="str">
        <f>_xlfn.XLOOKUP(tblCostChecklist[[#This Row],[TargetID]],tblTargets[TargetID],tblTargets[TargetType],"")</f>
        <v>TECH</v>
      </c>
      <c r="E860" s="41" t="s">
        <v>708</v>
      </c>
      <c r="F860" s="41">
        <v>1</v>
      </c>
      <c r="G860" s="41">
        <f>_xlfn.XLOOKUP(
 tblCostChecklist[[#This Row],[RequirementID]],
 tblCost[RequirementID],
 tblCost[QuantityRequired],
 ""
)</f>
        <v>2</v>
      </c>
      <c r="H8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0" s="41" t="str">
        <f>_xlfn.XLOOKUP(tblCostChecklist[[#This Row],[TargetID]],tblTargetStatus[TargetID],tblTargetStatus[Status])</f>
        <v>BLOCKED</v>
      </c>
      <c r="J860" s="25" t="b">
        <v>0</v>
      </c>
    </row>
    <row r="861" spans="1:10">
      <c r="A861" s="41" t="s">
        <v>4509</v>
      </c>
      <c r="B861" s="41" t="str">
        <f>_xlfn.TEXTAFTER(
 _xlfn.TEXTBEFORE(tblCostChecklist[[#This Row],[RequirementID]],".",-2),
 "cost."
)</f>
        <v>tech.garden.sprinkler</v>
      </c>
      <c r="C861" s="41" t="str">
        <f>_xlfn.XLOOKUP(tblCostChecklist[[#This Row],[TargetID]],tblTargets[TargetID],tblTargets[DisplayName],"")</f>
        <v>Garden - Sprinkler</v>
      </c>
      <c r="D861" s="41" t="str">
        <f>_xlfn.XLOOKUP(tblCostChecklist[[#This Row],[TargetID]],tblTargets[TargetID],tblTargets[TargetType],"")</f>
        <v>TECH</v>
      </c>
      <c r="E861" s="41" t="s">
        <v>662</v>
      </c>
      <c r="F861" s="41">
        <v>1</v>
      </c>
      <c r="G861" s="41">
        <f>_xlfn.XLOOKUP(
 tblCostChecklist[[#This Row],[RequirementID]],
 tblCost[RequirementID],
 tblCost[QuantityRequired],
 ""
)</f>
        <v>30</v>
      </c>
      <c r="H8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1" s="41" t="str">
        <f>_xlfn.XLOOKUP(tblCostChecklist[[#This Row],[TargetID]],tblTargetStatus[TargetID],tblTargetStatus[Status])</f>
        <v>BLOCKED</v>
      </c>
      <c r="J861" s="25" t="b">
        <v>0</v>
      </c>
    </row>
    <row r="862" spans="1:10">
      <c r="A862" s="41" t="s">
        <v>4510</v>
      </c>
      <c r="B862" s="41" t="str">
        <f>_xlfn.TEXTAFTER(
 _xlfn.TEXTBEFORE(tblCostChecklist[[#This Row],[RequirementID]],".",-2),
 "cost."
)</f>
        <v>tech.garden.sprinkler</v>
      </c>
      <c r="C862" s="41" t="str">
        <f>_xlfn.XLOOKUP(tblCostChecklist[[#This Row],[TargetID]],tblTargets[TargetID],tblTargets[DisplayName],"")</f>
        <v>Garden - Sprinkler</v>
      </c>
      <c r="D862" s="41" t="str">
        <f>_xlfn.XLOOKUP(tblCostChecklist[[#This Row],[TargetID]],tblTargets[TargetID],tblTargets[TargetType],"")</f>
        <v>TECH</v>
      </c>
      <c r="E862" s="41" t="s">
        <v>666</v>
      </c>
      <c r="F862" s="41">
        <v>1</v>
      </c>
      <c r="G862" s="41">
        <f>_xlfn.XLOOKUP(
 tblCostChecklist[[#This Row],[RequirementID]],
 tblCost[RequirementID],
 tblCost[QuantityRequired],
 ""
)</f>
        <v>1500</v>
      </c>
      <c r="H8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2" s="41" t="str">
        <f>_xlfn.XLOOKUP(tblCostChecklist[[#This Row],[TargetID]],tblTargetStatus[TargetID],tblTargetStatus[Status])</f>
        <v>BLOCKED</v>
      </c>
      <c r="J862" s="25" t="b">
        <v>0</v>
      </c>
    </row>
    <row r="863" spans="1:10">
      <c r="A863" s="41" t="s">
        <v>4511</v>
      </c>
      <c r="B863" s="41" t="str">
        <f>_xlfn.TEXTAFTER(
 _xlfn.TEXTBEFORE(tblCostChecklist[[#This Row],[RequirementID]],".",-2),
 "cost."
)</f>
        <v>tech.garden.sprinkler</v>
      </c>
      <c r="C863" s="41" t="str">
        <f>_xlfn.XLOOKUP(tblCostChecklist[[#This Row],[TargetID]],tblTargets[TargetID],tblTargets[DisplayName],"")</f>
        <v>Garden - Sprinkler</v>
      </c>
      <c r="D863" s="41" t="str">
        <f>_xlfn.XLOOKUP(tblCostChecklist[[#This Row],[TargetID]],tblTargets[TargetID],tblTargets[TargetType],"")</f>
        <v>TECH</v>
      </c>
      <c r="E863" s="41" t="s">
        <v>690</v>
      </c>
      <c r="F863" s="41">
        <v>1</v>
      </c>
      <c r="G863" s="41">
        <f>_xlfn.XLOOKUP(
 tblCostChecklist[[#This Row],[RequirementID]],
 tblCost[RequirementID],
 tblCost[QuantityRequired],
 ""
)</f>
        <v>50</v>
      </c>
      <c r="H8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3" s="41" t="str">
        <f>_xlfn.XLOOKUP(tblCostChecklist[[#This Row],[TargetID]],tblTargetStatus[TargetID],tblTargetStatus[Status])</f>
        <v>BLOCKED</v>
      </c>
      <c r="J863" s="25" t="b">
        <v>0</v>
      </c>
    </row>
    <row r="864" spans="1:10">
      <c r="A864" s="41" t="s">
        <v>4512</v>
      </c>
      <c r="B864" s="41" t="str">
        <f>_xlfn.TEXTAFTER(
 _xlfn.TEXTBEFORE(tblCostChecklist[[#This Row],[RequirementID]],".",-2),
 "cost."
)</f>
        <v>tech.garden.sprinkler</v>
      </c>
      <c r="C864" s="41" t="str">
        <f>_xlfn.XLOOKUP(tblCostChecklist[[#This Row],[TargetID]],tblTargets[TargetID],tblTargets[DisplayName],"")</f>
        <v>Garden - Sprinkler</v>
      </c>
      <c r="D864" s="41" t="str">
        <f>_xlfn.XLOOKUP(tblCostChecklist[[#This Row],[TargetID]],tblTargets[TargetID],tblTargets[TargetType],"")</f>
        <v>TECH</v>
      </c>
      <c r="E864" s="41" t="s">
        <v>708</v>
      </c>
      <c r="F864" s="41">
        <v>1</v>
      </c>
      <c r="G864" s="41">
        <f>_xlfn.XLOOKUP(
 tblCostChecklist[[#This Row],[RequirementID]],
 tblCost[RequirementID],
 tblCost[QuantityRequired],
 ""
)</f>
        <v>6</v>
      </c>
      <c r="H8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4" s="41" t="str">
        <f>_xlfn.XLOOKUP(tblCostChecklist[[#This Row],[TargetID]],tblTargetStatus[TargetID],tblTargetStatus[Status])</f>
        <v>BLOCKED</v>
      </c>
      <c r="J864" s="25" t="b">
        <v>0</v>
      </c>
    </row>
    <row r="865" spans="1:10">
      <c r="A865" s="41" t="s">
        <v>4513</v>
      </c>
      <c r="B865" s="41" t="str">
        <f>_xlfn.TEXTAFTER(
 _xlfn.TEXTBEFORE(tblCostChecklist[[#This Row],[RequirementID]],".",-2),
 "cost."
)</f>
        <v>tech.laboratory.research_and_development</v>
      </c>
      <c r="C865" s="41" t="str">
        <f>_xlfn.XLOOKUP(tblCostChecklist[[#This Row],[TargetID]],tblTargets[TargetID],tblTargets[DisplayName],"")</f>
        <v>Laboratory - Research And Development</v>
      </c>
      <c r="D865" s="41" t="str">
        <f>_xlfn.XLOOKUP(tblCostChecklist[[#This Row],[TargetID]],tblTargets[TargetID],tblTargets[TargetType],"")</f>
        <v>TECH</v>
      </c>
      <c r="E865" s="41" t="s">
        <v>926</v>
      </c>
      <c r="F865" s="41">
        <v>1</v>
      </c>
      <c r="G865" s="41">
        <f>_xlfn.XLOOKUP(
 tblCostChecklist[[#This Row],[RequirementID]],
 tblCost[RequirementID],
 tblCost[QuantityRequired],
 ""
)</f>
        <v>20</v>
      </c>
      <c r="H8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5" s="41" t="str">
        <f>_xlfn.XLOOKUP(tblCostChecklist[[#This Row],[TargetID]],tblTargetStatus[TargetID],tblTargetStatus[Status])</f>
        <v>BLOCKED</v>
      </c>
      <c r="J865" s="25" t="b">
        <v>0</v>
      </c>
    </row>
    <row r="866" spans="1:10">
      <c r="A866" s="41" t="s">
        <v>4514</v>
      </c>
      <c r="B866" s="41" t="str">
        <f>_xlfn.TEXTAFTER(
 _xlfn.TEXTBEFORE(tblCostChecklist[[#This Row],[RequirementID]],".",-2),
 "cost."
)</f>
        <v>tech.laboratory.research_and_development</v>
      </c>
      <c r="C866" s="41" t="str">
        <f>_xlfn.XLOOKUP(tblCostChecklist[[#This Row],[TargetID]],tblTargets[TargetID],tblTargets[DisplayName],"")</f>
        <v>Laboratory - Research And Development</v>
      </c>
      <c r="D866" s="41" t="str">
        <f>_xlfn.XLOOKUP(tblCostChecklist[[#This Row],[TargetID]],tblTargets[TargetID],tblTargets[TargetType],"")</f>
        <v>TECH</v>
      </c>
      <c r="E866" s="41" t="s">
        <v>662</v>
      </c>
      <c r="F866" s="41">
        <v>1</v>
      </c>
      <c r="G866" s="41">
        <f>_xlfn.XLOOKUP(
 tblCostChecklist[[#This Row],[RequirementID]],
 tblCost[RequirementID],
 tblCost[QuantityRequired],
 ""
)</f>
        <v>30</v>
      </c>
      <c r="H8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6" s="41" t="str">
        <f>_xlfn.XLOOKUP(tblCostChecklist[[#This Row],[TargetID]],tblTargetStatus[TargetID],tblTargetStatus[Status])</f>
        <v>BLOCKED</v>
      </c>
      <c r="J866" s="25" t="b">
        <v>0</v>
      </c>
    </row>
    <row r="867" spans="1:10">
      <c r="A867" s="41" t="s">
        <v>4515</v>
      </c>
      <c r="B867" s="41" t="str">
        <f>_xlfn.TEXTAFTER(
 _xlfn.TEXTBEFORE(tblCostChecklist[[#This Row],[RequirementID]],".",-2),
 "cost."
)</f>
        <v>tech.laboratory.research_and_development</v>
      </c>
      <c r="C867" s="41" t="str">
        <f>_xlfn.XLOOKUP(tblCostChecklist[[#This Row],[TargetID]],tblTargets[TargetID],tblTargets[DisplayName],"")</f>
        <v>Laboratory - Research And Development</v>
      </c>
      <c r="D867" s="41" t="str">
        <f>_xlfn.XLOOKUP(tblCostChecklist[[#This Row],[TargetID]],tblTargets[TargetID],tblTargets[TargetType],"")</f>
        <v>TECH</v>
      </c>
      <c r="E867" s="41" t="s">
        <v>928</v>
      </c>
      <c r="F867" s="41">
        <v>1</v>
      </c>
      <c r="G867" s="41">
        <f>_xlfn.XLOOKUP(
 tblCostChecklist[[#This Row],[RequirementID]],
 tblCost[RequirementID],
 tblCost[QuantityRequired],
 ""
)</f>
        <v>20</v>
      </c>
      <c r="H8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7" s="41" t="str">
        <f>_xlfn.XLOOKUP(tblCostChecklist[[#This Row],[TargetID]],tblTargetStatus[TargetID],tblTargetStatus[Status])</f>
        <v>BLOCKED</v>
      </c>
      <c r="J867" s="25" t="b">
        <v>0</v>
      </c>
    </row>
    <row r="868" spans="1:10">
      <c r="A868" s="41" t="s">
        <v>4516</v>
      </c>
      <c r="B868" s="41" t="str">
        <f>_xlfn.TEXTAFTER(
 _xlfn.TEXTBEFORE(tblCostChecklist[[#This Row],[RequirementID]],".",-2),
 "cost."
)</f>
        <v>tech.laboratory.research_and_development</v>
      </c>
      <c r="C868" s="41" t="str">
        <f>_xlfn.XLOOKUP(tblCostChecklist[[#This Row],[TargetID]],tblTargets[TargetID],tblTargets[DisplayName],"")</f>
        <v>Laboratory - Research And Development</v>
      </c>
      <c r="D868" s="41" t="str">
        <f>_xlfn.XLOOKUP(tblCostChecklist[[#This Row],[TargetID]],tblTargets[TargetID],tblTargets[TargetType],"")</f>
        <v>TECH</v>
      </c>
      <c r="E868" s="41" t="s">
        <v>666</v>
      </c>
      <c r="F868" s="41">
        <v>1</v>
      </c>
      <c r="G868" s="41">
        <f>_xlfn.XLOOKUP(
 tblCostChecklist[[#This Row],[RequirementID]],
 tblCost[RequirementID],
 tblCost[QuantityRequired],
 ""
)</f>
        <v>1000</v>
      </c>
      <c r="H8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8" s="41" t="str">
        <f>_xlfn.XLOOKUP(tblCostChecklist[[#This Row],[TargetID]],tblTargetStatus[TargetID],tblTargetStatus[Status])</f>
        <v>BLOCKED</v>
      </c>
      <c r="J868" s="25" t="b">
        <v>0</v>
      </c>
    </row>
    <row r="869" spans="1:10">
      <c r="A869" s="41" t="s">
        <v>4517</v>
      </c>
      <c r="B869" s="41" t="str">
        <f>_xlfn.TEXTAFTER(
 _xlfn.TEXTBEFORE(tblCostChecklist[[#This Row],[RequirementID]],".",-2),
 "cost."
)</f>
        <v>tech.laboratory.research_and_development</v>
      </c>
      <c r="C869" s="41" t="str">
        <f>_xlfn.XLOOKUP(tblCostChecklist[[#This Row],[TargetID]],tblTargets[TargetID],tblTargets[DisplayName],"")</f>
        <v>Laboratory - Research And Development</v>
      </c>
      <c r="D869" s="41" t="str">
        <f>_xlfn.XLOOKUP(tblCostChecklist[[#This Row],[TargetID]],tblTargets[TargetID],tblTargets[TargetType],"")</f>
        <v>TECH</v>
      </c>
      <c r="E869" s="41" t="s">
        <v>670</v>
      </c>
      <c r="F869" s="41">
        <v>1</v>
      </c>
      <c r="G869" s="41">
        <f>_xlfn.XLOOKUP(
 tblCostChecklist[[#This Row],[RequirementID]],
 tblCost[RequirementID],
 tblCost[QuantityRequired],
 ""
)</f>
        <v>10</v>
      </c>
      <c r="H8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9" s="41" t="str">
        <f>_xlfn.XLOOKUP(tblCostChecklist[[#This Row],[TargetID]],tblTargetStatus[TargetID],tblTargetStatus[Status])</f>
        <v>BLOCKED</v>
      </c>
      <c r="J869" s="25" t="b">
        <v>0</v>
      </c>
    </row>
    <row r="870" spans="1:10">
      <c r="A870" s="41" t="s">
        <v>4518</v>
      </c>
      <c r="B870" s="41" t="str">
        <f>_xlfn.TEXTAFTER(
 _xlfn.TEXTBEFORE(tblCostChecklist[[#This Row],[RequirementID]],".",-2),
 "cost."
)</f>
        <v>tech.laboratory.research_and_development</v>
      </c>
      <c r="C870" s="41" t="str">
        <f>_xlfn.XLOOKUP(tblCostChecklist[[#This Row],[TargetID]],tblTargets[TargetID],tblTargets[DisplayName],"")</f>
        <v>Laboratory - Research And Development</v>
      </c>
      <c r="D870" s="41" t="str">
        <f>_xlfn.XLOOKUP(tblCostChecklist[[#This Row],[TargetID]],tblTargets[TargetID],tblTargets[TargetType],"")</f>
        <v>TECH</v>
      </c>
      <c r="E870" s="41" t="s">
        <v>672</v>
      </c>
      <c r="F870" s="41">
        <v>1</v>
      </c>
      <c r="G870" s="41">
        <f>_xlfn.XLOOKUP(
 tblCostChecklist[[#This Row],[RequirementID]],
 tblCost[RequirementID],
 tblCost[QuantityRequired],
 ""
)</f>
        <v>20</v>
      </c>
      <c r="H8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0" s="41" t="str">
        <f>_xlfn.XLOOKUP(tblCostChecklist[[#This Row],[TargetID]],tblTargetStatus[TargetID],tblTargetStatus[Status])</f>
        <v>BLOCKED</v>
      </c>
      <c r="J870" s="25" t="b">
        <v>0</v>
      </c>
    </row>
    <row r="871" spans="1:10">
      <c r="A871" s="41" t="s">
        <v>4519</v>
      </c>
      <c r="B871" s="41" t="str">
        <f>_xlfn.TEXTAFTER(
 _xlfn.TEXTBEFORE(tblCostChecklist[[#This Row],[RequirementID]],".",-2),
 "cost."
)</f>
        <v>tech.laboratory.research_and_development</v>
      </c>
      <c r="C871" s="41" t="str">
        <f>_xlfn.XLOOKUP(tblCostChecklist[[#This Row],[TargetID]],tblTargets[TargetID],tblTargets[DisplayName],"")</f>
        <v>Laboratory - Research And Development</v>
      </c>
      <c r="D871" s="41" t="str">
        <f>_xlfn.XLOOKUP(tblCostChecklist[[#This Row],[TargetID]],tblTargets[TargetID],tblTargets[TargetType],"")</f>
        <v>TECH</v>
      </c>
      <c r="E871" s="41" t="s">
        <v>688</v>
      </c>
      <c r="F871" s="41">
        <v>1</v>
      </c>
      <c r="G871" s="41">
        <f>_xlfn.XLOOKUP(
 tblCostChecklist[[#This Row],[RequirementID]],
 tblCost[RequirementID],
 tblCost[QuantityRequired],
 ""
)</f>
        <v>20</v>
      </c>
      <c r="H8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1" s="41" t="str">
        <f>_xlfn.XLOOKUP(tblCostChecklist[[#This Row],[TargetID]],tblTargetStatus[TargetID],tblTargetStatus[Status])</f>
        <v>BLOCKED</v>
      </c>
      <c r="J871" s="25" t="b">
        <v>0</v>
      </c>
    </row>
    <row r="872" spans="1:10">
      <c r="A872" s="41" t="s">
        <v>4520</v>
      </c>
      <c r="B872" s="41" t="str">
        <f>_xlfn.TEXTAFTER(
 _xlfn.TEXTBEFORE(tblCostChecklist[[#This Row],[RequirementID]],".",-2),
 "cost."
)</f>
        <v>tech.laboratory.research_and_development</v>
      </c>
      <c r="C872" s="41" t="str">
        <f>_xlfn.XLOOKUP(tblCostChecklist[[#This Row],[TargetID]],tblTargets[TargetID],tblTargets[DisplayName],"")</f>
        <v>Laboratory - Research And Development</v>
      </c>
      <c r="D872" s="41" t="str">
        <f>_xlfn.XLOOKUP(tblCostChecklist[[#This Row],[TargetID]],tblTargets[TargetID],tblTargets[TargetType],"")</f>
        <v>TECH</v>
      </c>
      <c r="E872" s="41" t="s">
        <v>705</v>
      </c>
      <c r="F872" s="41">
        <v>1</v>
      </c>
      <c r="G872" s="41">
        <f>_xlfn.XLOOKUP(
 tblCostChecklist[[#This Row],[RequirementID]],
 tblCost[RequirementID],
 tblCost[QuantityRequired],
 ""
)</f>
        <v>20</v>
      </c>
      <c r="H8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2" s="41" t="str">
        <f>_xlfn.XLOOKUP(tblCostChecklist[[#This Row],[TargetID]],tblTargetStatus[TargetID],tblTargetStatus[Status])</f>
        <v>BLOCKED</v>
      </c>
      <c r="J872" s="25" t="b">
        <v>0</v>
      </c>
    </row>
    <row r="873" spans="1:10">
      <c r="A873" s="41" t="s">
        <v>4521</v>
      </c>
      <c r="B873" s="41" t="str">
        <f>_xlfn.TEXTAFTER(
 _xlfn.TEXTBEFORE(tblCostChecklist[[#This Row],[RequirementID]],".",-2),
 "cost."
)</f>
        <v>tech.laboratory.research_and_development</v>
      </c>
      <c r="C873" s="41" t="str">
        <f>_xlfn.XLOOKUP(tblCostChecklist[[#This Row],[TargetID]],tblTargets[TargetID],tblTargets[DisplayName],"")</f>
        <v>Laboratory - Research And Development</v>
      </c>
      <c r="D873" s="41" t="str">
        <f>_xlfn.XLOOKUP(tblCostChecklist[[#This Row],[TargetID]],tblTargets[TargetID],tblTargets[TargetType],"")</f>
        <v>TECH</v>
      </c>
      <c r="E873" s="41" t="s">
        <v>708</v>
      </c>
      <c r="F873" s="41">
        <v>1</v>
      </c>
      <c r="G873" s="41">
        <f>_xlfn.XLOOKUP(
 tblCostChecklist[[#This Row],[RequirementID]],
 tblCost[RequirementID],
 tblCost[QuantityRequired],
 ""
)</f>
        <v>5</v>
      </c>
      <c r="H8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3" s="41" t="str">
        <f>_xlfn.XLOOKUP(tblCostChecklist[[#This Row],[TargetID]],tblTargetStatus[TargetID],tblTargetStatus[Status])</f>
        <v>BLOCKED</v>
      </c>
      <c r="J873" s="25" t="b">
        <v>0</v>
      </c>
    </row>
    <row r="874" spans="1:10">
      <c r="A874" s="41" t="s">
        <v>4522</v>
      </c>
      <c r="B874" s="41" t="str">
        <f>_xlfn.TEXTAFTER(
 _xlfn.TEXTBEFORE(tblCostChecklist[[#This Row],[RequirementID]],".",-2),
 "cost."
)</f>
        <v>tech.laboratory.digitization</v>
      </c>
      <c r="C874" s="41" t="str">
        <f>_xlfn.XLOOKUP(tblCostChecklist[[#This Row],[TargetID]],tblTargets[TargetID],tblTargets[DisplayName],"")</f>
        <v>Laboratory - Digitization</v>
      </c>
      <c r="D874" s="41" t="str">
        <f>_xlfn.XLOOKUP(tblCostChecklist[[#This Row],[TargetID]],tblTargets[TargetID],tblTargets[TargetType],"")</f>
        <v>TECH</v>
      </c>
      <c r="E874" s="41" t="s">
        <v>662</v>
      </c>
      <c r="F874" s="41">
        <v>1</v>
      </c>
      <c r="G874" s="41">
        <f>_xlfn.XLOOKUP(
 tblCostChecklist[[#This Row],[RequirementID]],
 tblCost[RequirementID],
 tblCost[QuantityRequired],
 ""
)</f>
        <v>30</v>
      </c>
      <c r="H8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4" s="41" t="str">
        <f>_xlfn.XLOOKUP(tblCostChecklist[[#This Row],[TargetID]],tblTargetStatus[TargetID],tblTargetStatus[Status])</f>
        <v>BLOCKED</v>
      </c>
      <c r="J874" s="25" t="b">
        <v>0</v>
      </c>
    </row>
    <row r="875" spans="1:10">
      <c r="A875" s="41" t="s">
        <v>4523</v>
      </c>
      <c r="B875" s="41" t="str">
        <f>_xlfn.TEXTAFTER(
 _xlfn.TEXTBEFORE(tblCostChecklist[[#This Row],[RequirementID]],".",-2),
 "cost."
)</f>
        <v>tech.laboratory.digitization</v>
      </c>
      <c r="C875" s="41" t="str">
        <f>_xlfn.XLOOKUP(tblCostChecklist[[#This Row],[TargetID]],tblTargets[TargetID],tblTargets[DisplayName],"")</f>
        <v>Laboratory - Digitization</v>
      </c>
      <c r="D875" s="41" t="str">
        <f>_xlfn.XLOOKUP(tblCostChecklist[[#This Row],[TargetID]],tblTargets[TargetID],tblTargets[TargetType],"")</f>
        <v>TECH</v>
      </c>
      <c r="E875" s="41" t="s">
        <v>664</v>
      </c>
      <c r="F875" s="41">
        <v>1</v>
      </c>
      <c r="G875" s="41">
        <f>_xlfn.XLOOKUP(
 tblCostChecklist[[#This Row],[RequirementID]],
 tblCost[RequirementID],
 tblCost[QuantityRequired],
 ""
)</f>
        <v>100</v>
      </c>
      <c r="H8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5" s="41" t="str">
        <f>_xlfn.XLOOKUP(tblCostChecklist[[#This Row],[TargetID]],tblTargetStatus[TargetID],tblTargetStatus[Status])</f>
        <v>BLOCKED</v>
      </c>
      <c r="J875" s="25" t="b">
        <v>0</v>
      </c>
    </row>
    <row r="876" spans="1:10">
      <c r="A876" s="41" t="s">
        <v>4524</v>
      </c>
      <c r="B876" s="41" t="str">
        <f>_xlfn.TEXTAFTER(
 _xlfn.TEXTBEFORE(tblCostChecklist[[#This Row],[RequirementID]],".",-2),
 "cost."
)</f>
        <v>tech.laboratory.digitization</v>
      </c>
      <c r="C876" s="41" t="str">
        <f>_xlfn.XLOOKUP(tblCostChecklist[[#This Row],[TargetID]],tblTargets[TargetID],tblTargets[DisplayName],"")</f>
        <v>Laboratory - Digitization</v>
      </c>
      <c r="D876" s="41" t="str">
        <f>_xlfn.XLOOKUP(tblCostChecklist[[#This Row],[TargetID]],tblTargets[TargetID],tblTargets[TargetType],"")</f>
        <v>TECH</v>
      </c>
      <c r="E876" s="41" t="s">
        <v>666</v>
      </c>
      <c r="F876" s="41">
        <v>1</v>
      </c>
      <c r="G876" s="41">
        <f>_xlfn.XLOOKUP(
 tblCostChecklist[[#This Row],[RequirementID]],
 tblCost[RequirementID],
 tblCost[QuantityRequired],
 ""
)</f>
        <v>1000</v>
      </c>
      <c r="H8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6" s="41" t="str">
        <f>_xlfn.XLOOKUP(tblCostChecklist[[#This Row],[TargetID]],tblTargetStatus[TargetID],tblTargetStatus[Status])</f>
        <v>BLOCKED</v>
      </c>
      <c r="J876" s="25" t="b">
        <v>0</v>
      </c>
    </row>
    <row r="877" spans="1:10">
      <c r="A877" s="41" t="s">
        <v>4525</v>
      </c>
      <c r="B877" s="41" t="str">
        <f>_xlfn.TEXTAFTER(
 _xlfn.TEXTBEFORE(tblCostChecklist[[#This Row],[RequirementID]],".",-2),
 "cost."
)</f>
        <v>tech.laboratory.digitization</v>
      </c>
      <c r="C877" s="41" t="str">
        <f>_xlfn.XLOOKUP(tblCostChecklist[[#This Row],[TargetID]],tblTargets[TargetID],tblTargets[DisplayName],"")</f>
        <v>Laboratory - Digitization</v>
      </c>
      <c r="D877" s="41" t="str">
        <f>_xlfn.XLOOKUP(tblCostChecklist[[#This Row],[TargetID]],tblTargets[TargetID],tblTargets[TargetType],"")</f>
        <v>TECH</v>
      </c>
      <c r="E877" s="41" t="s">
        <v>672</v>
      </c>
      <c r="F877" s="41">
        <v>1</v>
      </c>
      <c r="G877" s="41">
        <f>_xlfn.XLOOKUP(
 tblCostChecklist[[#This Row],[RequirementID]],
 tblCost[RequirementID],
 tblCost[QuantityRequired],
 ""
)</f>
        <v>20</v>
      </c>
      <c r="H8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7" s="41" t="str">
        <f>_xlfn.XLOOKUP(tblCostChecklist[[#This Row],[TargetID]],tblTargetStatus[TargetID],tblTargetStatus[Status])</f>
        <v>BLOCKED</v>
      </c>
      <c r="J877" s="25" t="b">
        <v>0</v>
      </c>
    </row>
    <row r="878" spans="1:10">
      <c r="A878" s="41" t="s">
        <v>4526</v>
      </c>
      <c r="B878" s="41" t="str">
        <f>_xlfn.TEXTAFTER(
 _xlfn.TEXTBEFORE(tblCostChecklist[[#This Row],[RequirementID]],".",-2),
 "cost."
)</f>
        <v>tech.laboratory.digitization</v>
      </c>
      <c r="C878" s="41" t="str">
        <f>_xlfn.XLOOKUP(tblCostChecklist[[#This Row],[TargetID]],tblTargets[TargetID],tblTargets[DisplayName],"")</f>
        <v>Laboratory - Digitization</v>
      </c>
      <c r="D878" s="41" t="str">
        <f>_xlfn.XLOOKUP(tblCostChecklist[[#This Row],[TargetID]],tblTargets[TargetID],tblTargets[TargetType],"")</f>
        <v>TECH</v>
      </c>
      <c r="E878" s="41" t="s">
        <v>686</v>
      </c>
      <c r="F878" s="41">
        <v>1</v>
      </c>
      <c r="G878" s="41">
        <f>_xlfn.XLOOKUP(
 tblCostChecklist[[#This Row],[RequirementID]],
 tblCost[RequirementID],
 tblCost[QuantityRequired],
 ""
)</f>
        <v>30</v>
      </c>
      <c r="H8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8" s="41" t="str">
        <f>_xlfn.XLOOKUP(tblCostChecklist[[#This Row],[TargetID]],tblTargetStatus[TargetID],tblTargetStatus[Status])</f>
        <v>BLOCKED</v>
      </c>
      <c r="J878" s="25" t="b">
        <v>0</v>
      </c>
    </row>
    <row r="879" spans="1:10">
      <c r="A879" s="41" t="s">
        <v>4527</v>
      </c>
      <c r="B879" s="41" t="str">
        <f>_xlfn.TEXTAFTER(
 _xlfn.TEXTBEFORE(tblCostChecklist[[#This Row],[RequirementID]],".",-2),
 "cost."
)</f>
        <v>tech.laboratory.digitization</v>
      </c>
      <c r="C879" s="41" t="str">
        <f>_xlfn.XLOOKUP(tblCostChecklist[[#This Row],[TargetID]],tblTargets[TargetID],tblTargets[DisplayName],"")</f>
        <v>Laboratory - Digitization</v>
      </c>
      <c r="D879" s="41" t="str">
        <f>_xlfn.XLOOKUP(tblCostChecklist[[#This Row],[TargetID]],tblTargets[TargetID],tblTargets[TargetType],"")</f>
        <v>TECH</v>
      </c>
      <c r="E879" s="41" t="s">
        <v>688</v>
      </c>
      <c r="F879" s="41">
        <v>1</v>
      </c>
      <c r="G879" s="41">
        <f>_xlfn.XLOOKUP(
 tblCostChecklist[[#This Row],[RequirementID]],
 tblCost[RequirementID],
 tblCost[QuantityRequired],
 ""
)</f>
        <v>20</v>
      </c>
      <c r="H8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9" s="41" t="str">
        <f>_xlfn.XLOOKUP(tblCostChecklist[[#This Row],[TargetID]],tblTargetStatus[TargetID],tblTargetStatus[Status])</f>
        <v>BLOCKED</v>
      </c>
      <c r="J879" s="25" t="b">
        <v>0</v>
      </c>
    </row>
    <row r="880" spans="1:10">
      <c r="A880" s="41" t="s">
        <v>4528</v>
      </c>
      <c r="B880" s="41" t="str">
        <f>_xlfn.TEXTAFTER(
 _xlfn.TEXTBEFORE(tblCostChecklist[[#This Row],[RequirementID]],".",-2),
 "cost."
)</f>
        <v>tech.laboratory.digitization</v>
      </c>
      <c r="C880" s="41" t="str">
        <f>_xlfn.XLOOKUP(tblCostChecklist[[#This Row],[TargetID]],tblTargets[TargetID],tblTargets[DisplayName],"")</f>
        <v>Laboratory - Digitization</v>
      </c>
      <c r="D880" s="41" t="str">
        <f>_xlfn.XLOOKUP(tblCostChecklist[[#This Row],[TargetID]],tblTargets[TargetID],tblTargets[TargetType],"")</f>
        <v>TECH</v>
      </c>
      <c r="E880" s="41" t="s">
        <v>697</v>
      </c>
      <c r="F880" s="41">
        <v>1</v>
      </c>
      <c r="G880" s="41">
        <f>_xlfn.XLOOKUP(
 tblCostChecklist[[#This Row],[RequirementID]],
 tblCost[RequirementID],
 tblCost[QuantityRequired],
 ""
)</f>
        <v>40</v>
      </c>
      <c r="H8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0" s="41" t="str">
        <f>_xlfn.XLOOKUP(tblCostChecklist[[#This Row],[TargetID]],tblTargetStatus[TargetID],tblTargetStatus[Status])</f>
        <v>BLOCKED</v>
      </c>
      <c r="J880" s="25" t="b">
        <v>0</v>
      </c>
    </row>
    <row r="881" spans="1:10">
      <c r="A881" s="41" t="s">
        <v>4529</v>
      </c>
      <c r="B881" s="41" t="str">
        <f>_xlfn.TEXTAFTER(
 _xlfn.TEXTBEFORE(tblCostChecklist[[#This Row],[RequirementID]],".",-2),
 "cost."
)</f>
        <v>tech.laboratory.digitization</v>
      </c>
      <c r="C881" s="41" t="str">
        <f>_xlfn.XLOOKUP(tblCostChecklist[[#This Row],[TargetID]],tblTargets[TargetID],tblTargets[DisplayName],"")</f>
        <v>Laboratory - Digitization</v>
      </c>
      <c r="D881" s="41" t="str">
        <f>_xlfn.XLOOKUP(tblCostChecklist[[#This Row],[TargetID]],tblTargets[TargetID],tblTargets[TargetType],"")</f>
        <v>TECH</v>
      </c>
      <c r="E881" s="41" t="s">
        <v>703</v>
      </c>
      <c r="F881" s="41">
        <v>1</v>
      </c>
      <c r="G881" s="41">
        <f>_xlfn.XLOOKUP(
 tblCostChecklist[[#This Row],[RequirementID]],
 tblCost[RequirementID],
 tblCost[QuantityRequired],
 ""
)</f>
        <v>20</v>
      </c>
      <c r="H8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1" s="41" t="str">
        <f>_xlfn.XLOOKUP(tblCostChecklist[[#This Row],[TargetID]],tblTargetStatus[TargetID],tblTargetStatus[Status])</f>
        <v>BLOCKED</v>
      </c>
      <c r="J881" s="25" t="b">
        <v>0</v>
      </c>
    </row>
    <row r="882" spans="1:10">
      <c r="A882" s="41" t="s">
        <v>4530</v>
      </c>
      <c r="B882" s="41" t="str">
        <f>_xlfn.TEXTAFTER(
 _xlfn.TEXTBEFORE(tblCostChecklist[[#This Row],[RequirementID]],".",-2),
 "cost."
)</f>
        <v>tech.laboratory.digitization</v>
      </c>
      <c r="C882" s="41" t="str">
        <f>_xlfn.XLOOKUP(tblCostChecklist[[#This Row],[TargetID]],tblTargets[TargetID],tblTargets[DisplayName],"")</f>
        <v>Laboratory - Digitization</v>
      </c>
      <c r="D882" s="41" t="str">
        <f>_xlfn.XLOOKUP(tblCostChecklist[[#This Row],[TargetID]],tblTargets[TargetID],tblTargets[TargetType],"")</f>
        <v>TECH</v>
      </c>
      <c r="E882" s="41" t="s">
        <v>708</v>
      </c>
      <c r="F882" s="41">
        <v>1</v>
      </c>
      <c r="G882" s="41">
        <f>_xlfn.XLOOKUP(
 tblCostChecklist[[#This Row],[RequirementID]],
 tblCost[RequirementID],
 tblCost[QuantityRequired],
 ""
)</f>
        <v>5</v>
      </c>
      <c r="H8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2" s="41" t="str">
        <f>_xlfn.XLOOKUP(tblCostChecklist[[#This Row],[TargetID]],tblTargetStatus[TargetID],tblTargetStatus[Status])</f>
        <v>BLOCKED</v>
      </c>
      <c r="J882" s="25" t="b">
        <v>0</v>
      </c>
    </row>
    <row r="883" spans="1:10">
      <c r="A883" s="41" t="s">
        <v>4531</v>
      </c>
      <c r="B883" s="41" t="str">
        <f>_xlfn.TEXTAFTER(
 _xlfn.TEXTBEFORE(tblCostChecklist[[#This Row],[RequirementID]],".",-2),
 "cost."
)</f>
        <v>tech.laboratory.experiments</v>
      </c>
      <c r="C883" s="41" t="str">
        <f>_xlfn.XLOOKUP(tblCostChecklist[[#This Row],[TargetID]],tblTargets[TargetID],tblTargets[DisplayName],"")</f>
        <v>Laboratory - Experiments</v>
      </c>
      <c r="D883" s="41" t="str">
        <f>_xlfn.XLOOKUP(tblCostChecklist[[#This Row],[TargetID]],tblTargets[TargetID],tblTargets[TargetType],"")</f>
        <v>TECH</v>
      </c>
      <c r="E883" s="41" t="s">
        <v>662</v>
      </c>
      <c r="F883" s="41">
        <v>1</v>
      </c>
      <c r="G883" s="41">
        <f>_xlfn.XLOOKUP(
 tblCostChecklist[[#This Row],[RequirementID]],
 tblCost[RequirementID],
 tblCost[QuantityRequired],
 ""
)</f>
        <v>40</v>
      </c>
      <c r="H8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3" s="41" t="str">
        <f>_xlfn.XLOOKUP(tblCostChecklist[[#This Row],[TargetID]],tblTargetStatus[TargetID],tblTargetStatus[Status])</f>
        <v>BLOCKED</v>
      </c>
      <c r="J883" s="25" t="b">
        <v>0</v>
      </c>
    </row>
    <row r="884" spans="1:10">
      <c r="A884" s="41" t="s">
        <v>4532</v>
      </c>
      <c r="B884" s="41" t="str">
        <f>_xlfn.TEXTAFTER(
 _xlfn.TEXTBEFORE(tblCostChecklist[[#This Row],[RequirementID]],".",-2),
 "cost."
)</f>
        <v>tech.laboratory.experiments</v>
      </c>
      <c r="C884" s="41" t="str">
        <f>_xlfn.XLOOKUP(tblCostChecklist[[#This Row],[TargetID]],tblTargets[TargetID],tblTargets[DisplayName],"")</f>
        <v>Laboratory - Experiments</v>
      </c>
      <c r="D884" s="41" t="str">
        <f>_xlfn.XLOOKUP(tblCostChecklist[[#This Row],[TargetID]],tblTargets[TargetID],tblTargets[TargetType],"")</f>
        <v>TECH</v>
      </c>
      <c r="E884" s="41" t="s">
        <v>666</v>
      </c>
      <c r="F884" s="41">
        <v>1</v>
      </c>
      <c r="G884" s="41">
        <f>_xlfn.XLOOKUP(
 tblCostChecklist[[#This Row],[RequirementID]],
 tblCost[RequirementID],
 tblCost[QuantityRequired],
 ""
)</f>
        <v>1000</v>
      </c>
      <c r="H8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4" s="41" t="str">
        <f>_xlfn.XLOOKUP(tblCostChecklist[[#This Row],[TargetID]],tblTargetStatus[TargetID],tblTargetStatus[Status])</f>
        <v>BLOCKED</v>
      </c>
      <c r="J884" s="25" t="b">
        <v>0</v>
      </c>
    </row>
    <row r="885" spans="1:10">
      <c r="A885" s="41" t="s">
        <v>4533</v>
      </c>
      <c r="B885" s="41" t="str">
        <f>_xlfn.TEXTAFTER(
 _xlfn.TEXTBEFORE(tblCostChecklist[[#This Row],[RequirementID]],".",-2),
 "cost."
)</f>
        <v>tech.laboratory.experiments</v>
      </c>
      <c r="C885" s="41" t="str">
        <f>_xlfn.XLOOKUP(tblCostChecklist[[#This Row],[TargetID]],tblTargets[TargetID],tblTargets[DisplayName],"")</f>
        <v>Laboratory - Experiments</v>
      </c>
      <c r="D885" s="41" t="str">
        <f>_xlfn.XLOOKUP(tblCostChecklist[[#This Row],[TargetID]],tblTargets[TargetID],tblTargets[TargetType],"")</f>
        <v>TECH</v>
      </c>
      <c r="E885" s="41" t="s">
        <v>930</v>
      </c>
      <c r="F885" s="41">
        <v>1</v>
      </c>
      <c r="G885" s="41">
        <f>_xlfn.XLOOKUP(
 tblCostChecklist[[#This Row],[RequirementID]],
 tblCost[RequirementID],
 tblCost[QuantityRequired],
 ""
)</f>
        <v>2</v>
      </c>
      <c r="H8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5" s="41" t="str">
        <f>_xlfn.XLOOKUP(tblCostChecklist[[#This Row],[TargetID]],tblTargetStatus[TargetID],tblTargetStatus[Status])</f>
        <v>BLOCKED</v>
      </c>
      <c r="J885" s="25" t="b">
        <v>0</v>
      </c>
    </row>
    <row r="886" spans="1:10">
      <c r="A886" s="41" t="s">
        <v>4534</v>
      </c>
      <c r="B886" s="41" t="str">
        <f>_xlfn.TEXTAFTER(
 _xlfn.TEXTBEFORE(tblCostChecklist[[#This Row],[RequirementID]],".",-2),
 "cost."
)</f>
        <v>tech.laboratory.experiments</v>
      </c>
      <c r="C886" s="41" t="str">
        <f>_xlfn.XLOOKUP(tblCostChecklist[[#This Row],[TargetID]],tblTargets[TargetID],tblTargets[DisplayName],"")</f>
        <v>Laboratory - Experiments</v>
      </c>
      <c r="D886" s="41" t="str">
        <f>_xlfn.XLOOKUP(tblCostChecklist[[#This Row],[TargetID]],tblTargets[TargetID],tblTargets[TargetType],"")</f>
        <v>TECH</v>
      </c>
      <c r="E886" s="41" t="s">
        <v>672</v>
      </c>
      <c r="F886" s="41">
        <v>1</v>
      </c>
      <c r="G886" s="41">
        <f>_xlfn.XLOOKUP(
 tblCostChecklist[[#This Row],[RequirementID]],
 tblCost[RequirementID],
 tblCost[QuantityRequired],
 ""
)</f>
        <v>30</v>
      </c>
      <c r="H8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6" s="41" t="str">
        <f>_xlfn.XLOOKUP(tblCostChecklist[[#This Row],[TargetID]],tblTargetStatus[TargetID],tblTargetStatus[Status])</f>
        <v>BLOCKED</v>
      </c>
      <c r="J886" s="25" t="b">
        <v>0</v>
      </c>
    </row>
    <row r="887" spans="1:10">
      <c r="A887" s="41" t="s">
        <v>4535</v>
      </c>
      <c r="B887" s="41" t="str">
        <f>_xlfn.TEXTAFTER(
 _xlfn.TEXTBEFORE(tblCostChecklist[[#This Row],[RequirementID]],".",-2),
 "cost."
)</f>
        <v>tech.laboratory.experiments</v>
      </c>
      <c r="C887" s="41" t="str">
        <f>_xlfn.XLOOKUP(tblCostChecklist[[#This Row],[TargetID]],tblTargets[TargetID],tblTargets[DisplayName],"")</f>
        <v>Laboratory - Experiments</v>
      </c>
      <c r="D887" s="41" t="str">
        <f>_xlfn.XLOOKUP(tblCostChecklist[[#This Row],[TargetID]],tblTargets[TargetID],tblTargets[TargetType],"")</f>
        <v>TECH</v>
      </c>
      <c r="E887" s="41" t="s">
        <v>687</v>
      </c>
      <c r="F887" s="41">
        <v>1</v>
      </c>
      <c r="G887" s="41">
        <f>_xlfn.XLOOKUP(
 tblCostChecklist[[#This Row],[RequirementID]],
 tblCost[RequirementID],
 tblCost[QuantityRequired],
 ""
)</f>
        <v>20</v>
      </c>
      <c r="H8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7" s="41" t="str">
        <f>_xlfn.XLOOKUP(tblCostChecklist[[#This Row],[TargetID]],tblTargetStatus[TargetID],tblTargetStatus[Status])</f>
        <v>BLOCKED</v>
      </c>
      <c r="J887" s="25" t="b">
        <v>0</v>
      </c>
    </row>
    <row r="888" spans="1:10">
      <c r="A888" s="41" t="s">
        <v>4536</v>
      </c>
      <c r="B888" s="41" t="str">
        <f>_xlfn.TEXTAFTER(
 _xlfn.TEXTBEFORE(tblCostChecklist[[#This Row],[RequirementID]],".",-2),
 "cost."
)</f>
        <v>tech.laboratory.experiments</v>
      </c>
      <c r="C888" s="41" t="str">
        <f>_xlfn.XLOOKUP(tblCostChecklist[[#This Row],[TargetID]],tblTargets[TargetID],tblTargets[DisplayName],"")</f>
        <v>Laboratory - Experiments</v>
      </c>
      <c r="D888" s="41" t="str">
        <f>_xlfn.XLOOKUP(tblCostChecklist[[#This Row],[TargetID]],tblTargets[TargetID],tblTargets[TargetType],"")</f>
        <v>TECH</v>
      </c>
      <c r="E888" s="41" t="s">
        <v>688</v>
      </c>
      <c r="F888" s="41">
        <v>1</v>
      </c>
      <c r="G888" s="41">
        <f>_xlfn.XLOOKUP(
 tblCostChecklist[[#This Row],[RequirementID]],
 tblCost[RequirementID],
 tblCost[QuantityRequired],
 ""
)</f>
        <v>30</v>
      </c>
      <c r="H8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8" s="41" t="str">
        <f>_xlfn.XLOOKUP(tblCostChecklist[[#This Row],[TargetID]],tblTargetStatus[TargetID],tblTargetStatus[Status])</f>
        <v>BLOCKED</v>
      </c>
      <c r="J888" s="25" t="b">
        <v>0</v>
      </c>
    </row>
    <row r="889" spans="1:10">
      <c r="A889" s="41" t="s">
        <v>4537</v>
      </c>
      <c r="B889" s="41" t="str">
        <f>_xlfn.TEXTAFTER(
 _xlfn.TEXTBEFORE(tblCostChecklist[[#This Row],[RequirementID]],".",-2),
 "cost."
)</f>
        <v>tech.laboratory.experiments</v>
      </c>
      <c r="C889" s="41" t="str">
        <f>_xlfn.XLOOKUP(tblCostChecklist[[#This Row],[TargetID]],tblTargets[TargetID],tblTargets[DisplayName],"")</f>
        <v>Laboratory - Experiments</v>
      </c>
      <c r="D889" s="41" t="str">
        <f>_xlfn.XLOOKUP(tblCostChecklist[[#This Row],[TargetID]],tblTargets[TargetID],tblTargets[TargetType],"")</f>
        <v>TECH</v>
      </c>
      <c r="E889" s="41" t="s">
        <v>708</v>
      </c>
      <c r="F889" s="41">
        <v>1</v>
      </c>
      <c r="G889" s="41">
        <f>_xlfn.XLOOKUP(
 tblCostChecklist[[#This Row],[RequirementID]],
 tblCost[RequirementID],
 tblCost[QuantityRequired],
 ""
)</f>
        <v>5</v>
      </c>
      <c r="H8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9" s="41" t="str">
        <f>_xlfn.XLOOKUP(tblCostChecklist[[#This Row],[TargetID]],tblTargetStatus[TargetID],tblTargetStatus[Status])</f>
        <v>BLOCKED</v>
      </c>
      <c r="J889" s="25" t="b">
        <v>0</v>
      </c>
    </row>
    <row r="890" spans="1:10">
      <c r="A890" s="41" t="s">
        <v>4538</v>
      </c>
      <c r="B890" s="41" t="str">
        <f>_xlfn.TEXTAFTER(
 _xlfn.TEXTBEFORE(tblCostChecklist[[#This Row],[RequirementID]],".",-2),
 "cost."
)</f>
        <v>tech.laboratory.experiments</v>
      </c>
      <c r="C890" s="41" t="str">
        <f>_xlfn.XLOOKUP(tblCostChecklist[[#This Row],[TargetID]],tblTargets[TargetID],tblTargets[DisplayName],"")</f>
        <v>Laboratory - Experiments</v>
      </c>
      <c r="D890" s="41" t="str">
        <f>_xlfn.XLOOKUP(tblCostChecklist[[#This Row],[TargetID]],tblTargets[TargetID],tblTargets[TargetType],"")</f>
        <v>TECH</v>
      </c>
      <c r="E890" s="41" t="s">
        <v>955</v>
      </c>
      <c r="F890" s="41">
        <v>1</v>
      </c>
      <c r="G890" s="41">
        <f>_xlfn.XLOOKUP(
 tblCostChecklist[[#This Row],[RequirementID]],
 tblCost[RequirementID],
 tblCost[QuantityRequired],
 ""
)</f>
        <v>20</v>
      </c>
      <c r="H8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0" s="41" t="str">
        <f>_xlfn.XLOOKUP(tblCostChecklist[[#This Row],[TargetID]],tblTargetStatus[TargetID],tblTargetStatus[Status])</f>
        <v>BLOCKED</v>
      </c>
      <c r="J890" s="25" t="b">
        <v>0</v>
      </c>
    </row>
    <row r="891" spans="1:10">
      <c r="A891" s="41" t="s">
        <v>4539</v>
      </c>
      <c r="B891" s="41" t="str">
        <f>_xlfn.TEXTAFTER(
 _xlfn.TEXTBEFORE(tblCostChecklist[[#This Row],[RequirementID]],".",-2),
 "cost."
)</f>
        <v>tech.laboratory.experiments</v>
      </c>
      <c r="C891" s="41" t="str">
        <f>_xlfn.XLOOKUP(tblCostChecklist[[#This Row],[TargetID]],tblTargets[TargetID],tblTargets[DisplayName],"")</f>
        <v>Laboratory - Experiments</v>
      </c>
      <c r="D891" s="41" t="str">
        <f>_xlfn.XLOOKUP(tblCostChecklist[[#This Row],[TargetID]],tblTargets[TargetID],tblTargets[TargetType],"")</f>
        <v>TECH</v>
      </c>
      <c r="E891" s="41" t="s">
        <v>958</v>
      </c>
      <c r="F891" s="41">
        <v>1</v>
      </c>
      <c r="G891" s="41">
        <f>_xlfn.XLOOKUP(
 tblCostChecklist[[#This Row],[RequirementID]],
 tblCost[RequirementID],
 tblCost[QuantityRequired],
 ""
)</f>
        <v>10</v>
      </c>
      <c r="H8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1" s="41" t="str">
        <f>_xlfn.XLOOKUP(tblCostChecklist[[#This Row],[TargetID]],tblTargetStatus[TargetID],tblTargetStatus[Status])</f>
        <v>BLOCKED</v>
      </c>
      <c r="J891" s="25" t="b">
        <v>0</v>
      </c>
    </row>
    <row r="892" spans="1:10">
      <c r="A892" s="41" t="s">
        <v>4540</v>
      </c>
      <c r="B892" s="41" t="str">
        <f>_xlfn.TEXTAFTER(
 _xlfn.TEXTBEFORE(tblCostChecklist[[#This Row],[RequirementID]],".",-2),
 "cost."
)</f>
        <v>tech.outpost.sayonara_tax</v>
      </c>
      <c r="C892" s="41" t="str">
        <f>_xlfn.XLOOKUP(tblCostChecklist[[#This Row],[TargetID]],tblTargets[TargetID],tblTargets[DisplayName],"")</f>
        <v>Outpost - Sayonara Tax</v>
      </c>
      <c r="D892" s="41" t="str">
        <f>_xlfn.XLOOKUP(tblCostChecklist[[#This Row],[TargetID]],tblTargets[TargetID],tblTargets[TargetType],"")</f>
        <v>TECH</v>
      </c>
      <c r="E892" s="41" t="s">
        <v>662</v>
      </c>
      <c r="F892" s="41">
        <v>1</v>
      </c>
      <c r="G892" s="41">
        <f>_xlfn.XLOOKUP(
 tblCostChecklist[[#This Row],[RequirementID]],
 tblCost[RequirementID],
 tblCost[QuantityRequired],
 ""
)</f>
        <v>30</v>
      </c>
      <c r="H8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2" s="41" t="str">
        <f>_xlfn.XLOOKUP(tblCostChecklist[[#This Row],[TargetID]],tblTargetStatus[TargetID],tblTargetStatus[Status])</f>
        <v>BLOCKED</v>
      </c>
      <c r="J892" s="25" t="b">
        <v>0</v>
      </c>
    </row>
    <row r="893" spans="1:10">
      <c r="A893" s="41" t="s">
        <v>4541</v>
      </c>
      <c r="B893" s="41" t="str">
        <f>_xlfn.TEXTAFTER(
 _xlfn.TEXTBEFORE(tblCostChecklist[[#This Row],[RequirementID]],".",-2),
 "cost."
)</f>
        <v>tech.outpost.sayonara_tax</v>
      </c>
      <c r="C893" s="41" t="str">
        <f>_xlfn.XLOOKUP(tblCostChecklist[[#This Row],[TargetID]],tblTargets[TargetID],tblTargets[DisplayName],"")</f>
        <v>Outpost - Sayonara Tax</v>
      </c>
      <c r="D893" s="41" t="str">
        <f>_xlfn.XLOOKUP(tblCostChecklist[[#This Row],[TargetID]],tblTargets[TargetID],tblTargets[TargetType],"")</f>
        <v>TECH</v>
      </c>
      <c r="E893" s="41" t="s">
        <v>666</v>
      </c>
      <c r="F893" s="41">
        <v>1</v>
      </c>
      <c r="G893" s="41">
        <f>_xlfn.XLOOKUP(
 tblCostChecklist[[#This Row],[RequirementID]],
 tblCost[RequirementID],
 tblCost[QuantityRequired],
 ""
)</f>
        <v>400</v>
      </c>
      <c r="H8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3" s="41" t="str">
        <f>_xlfn.XLOOKUP(tblCostChecklist[[#This Row],[TargetID]],tblTargetStatus[TargetID],tblTargetStatus[Status])</f>
        <v>BLOCKED</v>
      </c>
      <c r="J893" s="25" t="b">
        <v>0</v>
      </c>
    </row>
    <row r="894" spans="1:10">
      <c r="A894" s="41" t="s">
        <v>4542</v>
      </c>
      <c r="B894" s="41" t="str">
        <f>_xlfn.TEXTAFTER(
 _xlfn.TEXTBEFORE(tblCostChecklist[[#This Row],[RequirementID]],".",-2),
 "cost."
)</f>
        <v>tech.outpost.sayonara_tax</v>
      </c>
      <c r="C894" s="41" t="str">
        <f>_xlfn.XLOOKUP(tblCostChecklist[[#This Row],[TargetID]],tblTargets[TargetID],tblTargets[DisplayName],"")</f>
        <v>Outpost - Sayonara Tax</v>
      </c>
      <c r="D894" s="41" t="str">
        <f>_xlfn.XLOOKUP(tblCostChecklist[[#This Row],[TargetID]],tblTargets[TargetID],tblTargets[TargetType],"")</f>
        <v>TECH</v>
      </c>
      <c r="E894" s="41" t="s">
        <v>697</v>
      </c>
      <c r="F894" s="41">
        <v>1</v>
      </c>
      <c r="G894" s="41">
        <f>_xlfn.XLOOKUP(
 tblCostChecklist[[#This Row],[RequirementID]],
 tblCost[RequirementID],
 tblCost[QuantityRequired],
 ""
)</f>
        <v>20</v>
      </c>
      <c r="H8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4" s="41" t="str">
        <f>_xlfn.XLOOKUP(tblCostChecklist[[#This Row],[TargetID]],tblTargetStatus[TargetID],tblTargetStatus[Status])</f>
        <v>BLOCKED</v>
      </c>
      <c r="J894" s="25" t="b">
        <v>0</v>
      </c>
    </row>
    <row r="895" spans="1:10">
      <c r="A895" s="41" t="s">
        <v>4543</v>
      </c>
      <c r="B895" s="41" t="str">
        <f>_xlfn.TEXTAFTER(
 _xlfn.TEXTBEFORE(tblCostChecklist[[#This Row],[RequirementID]],".",-2),
 "cost."
)</f>
        <v>tech.outpost.sayonara_tax</v>
      </c>
      <c r="C895" s="41" t="str">
        <f>_xlfn.XLOOKUP(tblCostChecklist[[#This Row],[TargetID]],tblTargets[TargetID],tblTargets[DisplayName],"")</f>
        <v>Outpost - Sayonara Tax</v>
      </c>
      <c r="D895" s="41" t="str">
        <f>_xlfn.XLOOKUP(tblCostChecklist[[#This Row],[TargetID]],tblTargets[TargetID],tblTargets[TargetType],"")</f>
        <v>TECH</v>
      </c>
      <c r="E895" s="41" t="s">
        <v>708</v>
      </c>
      <c r="F895" s="41">
        <v>1</v>
      </c>
      <c r="G895" s="41">
        <f>_xlfn.XLOOKUP(
 tblCostChecklist[[#This Row],[RequirementID]],
 tblCost[RequirementID],
 tblCost[QuantityRequired],
 ""
)</f>
        <v>2</v>
      </c>
      <c r="H8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5" s="41" t="str">
        <f>_xlfn.XLOOKUP(tblCostChecklist[[#This Row],[TargetID]],tblTargetStatus[TargetID],tblTargetStatus[Status])</f>
        <v>BLOCKED</v>
      </c>
      <c r="J895" s="25" t="b">
        <v>0</v>
      </c>
    </row>
    <row r="896" spans="1:10">
      <c r="A896" s="41" t="s">
        <v>4544</v>
      </c>
      <c r="B896" s="41" t="str">
        <f>_xlfn.TEXTAFTER(
 _xlfn.TEXTBEFORE(tblCostChecklist[[#This Row],[RequirementID]],".",-2),
 "cost."
)</f>
        <v>tech.outpost.arsenal_lvl_1</v>
      </c>
      <c r="C896" s="41" t="str">
        <f>_xlfn.XLOOKUP(tblCostChecklist[[#This Row],[TargetID]],tblTargets[TargetID],tblTargets[DisplayName],"")</f>
        <v>Outpost - Arsenal Lvl 1</v>
      </c>
      <c r="D896" s="41" t="str">
        <f>_xlfn.XLOOKUP(tblCostChecklist[[#This Row],[TargetID]],tblTargets[TargetID],tblTargets[TargetType],"")</f>
        <v>TECH</v>
      </c>
      <c r="E896" s="41" t="s">
        <v>662</v>
      </c>
      <c r="F896" s="41">
        <v>1</v>
      </c>
      <c r="G896" s="41">
        <f>_xlfn.XLOOKUP(
 tblCostChecklist[[#This Row],[RequirementID]],
 tblCost[RequirementID],
 tblCost[QuantityRequired],
 ""
)</f>
        <v>40</v>
      </c>
      <c r="H8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6" s="41" t="str">
        <f>_xlfn.XLOOKUP(tblCostChecklist[[#This Row],[TargetID]],tblTargetStatus[TargetID],tblTargetStatus[Status])</f>
        <v>BLOCKED</v>
      </c>
      <c r="J896" s="25" t="b">
        <v>0</v>
      </c>
    </row>
    <row r="897" spans="1:10">
      <c r="A897" s="41" t="s">
        <v>4545</v>
      </c>
      <c r="B897" s="41" t="str">
        <f>_xlfn.TEXTAFTER(
 _xlfn.TEXTBEFORE(tblCostChecklist[[#This Row],[RequirementID]],".",-2),
 "cost."
)</f>
        <v>tech.outpost.arsenal_lvl_1</v>
      </c>
      <c r="C897" s="41" t="str">
        <f>_xlfn.XLOOKUP(tblCostChecklist[[#This Row],[TargetID]],tblTargets[TargetID],tblTargets[DisplayName],"")</f>
        <v>Outpost - Arsenal Lvl 1</v>
      </c>
      <c r="D897" s="41" t="str">
        <f>_xlfn.XLOOKUP(tblCostChecklist[[#This Row],[TargetID]],tblTargets[TargetID],tblTargets[TargetType],"")</f>
        <v>TECH</v>
      </c>
      <c r="E897" s="41" t="s">
        <v>666</v>
      </c>
      <c r="F897" s="41">
        <v>1</v>
      </c>
      <c r="G897" s="41">
        <f>_xlfn.XLOOKUP(
 tblCostChecklist[[#This Row],[RequirementID]],
 tblCost[RequirementID],
 tblCost[QuantityRequired],
 ""
)</f>
        <v>1000</v>
      </c>
      <c r="H8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7" s="41" t="str">
        <f>_xlfn.XLOOKUP(tblCostChecklist[[#This Row],[TargetID]],tblTargetStatus[TargetID],tblTargetStatus[Status])</f>
        <v>BLOCKED</v>
      </c>
      <c r="J897" s="25" t="b">
        <v>0</v>
      </c>
    </row>
    <row r="898" spans="1:10">
      <c r="A898" s="41" t="s">
        <v>4546</v>
      </c>
      <c r="B898" s="41" t="str">
        <f>_xlfn.TEXTAFTER(
 _xlfn.TEXTBEFORE(tblCostChecklist[[#This Row],[RequirementID]],".",-2),
 "cost."
)</f>
        <v>tech.outpost.arsenal_lvl_1</v>
      </c>
      <c r="C898" s="41" t="str">
        <f>_xlfn.XLOOKUP(tblCostChecklist[[#This Row],[TargetID]],tblTargets[TargetID],tblTargets[DisplayName],"")</f>
        <v>Outpost - Arsenal Lvl 1</v>
      </c>
      <c r="D898" s="41" t="str">
        <f>_xlfn.XLOOKUP(tblCostChecklist[[#This Row],[TargetID]],tblTargets[TargetID],tblTargets[TargetType],"")</f>
        <v>TECH</v>
      </c>
      <c r="E898" s="41" t="s">
        <v>701</v>
      </c>
      <c r="F898" s="41">
        <v>1</v>
      </c>
      <c r="G898" s="41">
        <f>_xlfn.XLOOKUP(
 tblCostChecklist[[#This Row],[RequirementID]],
 tblCost[RequirementID],
 tblCost[QuantityRequired],
 ""
)</f>
        <v>400</v>
      </c>
      <c r="H8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8" s="41" t="str">
        <f>_xlfn.XLOOKUP(tblCostChecklist[[#This Row],[TargetID]],tblTargetStatus[TargetID],tblTargetStatus[Status])</f>
        <v>BLOCKED</v>
      </c>
      <c r="J898" s="25" t="b">
        <v>0</v>
      </c>
    </row>
    <row r="899" spans="1:10">
      <c r="A899" s="41" t="s">
        <v>4547</v>
      </c>
      <c r="B899" s="41" t="str">
        <f>_xlfn.TEXTAFTER(
 _xlfn.TEXTBEFORE(tblCostChecklist[[#This Row],[RequirementID]],".",-2),
 "cost."
)</f>
        <v>tech.outpost.arsenal_lvl_1</v>
      </c>
      <c r="C899" s="41" t="str">
        <f>_xlfn.XLOOKUP(tblCostChecklist[[#This Row],[TargetID]],tblTargets[TargetID],tblTargets[DisplayName],"")</f>
        <v>Outpost - Arsenal Lvl 1</v>
      </c>
      <c r="D899" s="41" t="str">
        <f>_xlfn.XLOOKUP(tblCostChecklist[[#This Row],[TargetID]],tblTargets[TargetID],tblTargets[TargetType],"")</f>
        <v>TECH</v>
      </c>
      <c r="E899" s="41" t="s">
        <v>708</v>
      </c>
      <c r="F899" s="41">
        <v>1</v>
      </c>
      <c r="G899" s="41">
        <f>_xlfn.XLOOKUP(
 tblCostChecklist[[#This Row],[RequirementID]],
 tblCost[RequirementID],
 tblCost[QuantityRequired],
 ""
)</f>
        <v>3</v>
      </c>
      <c r="H8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9" s="41" t="str">
        <f>_xlfn.XLOOKUP(tblCostChecklist[[#This Row],[TargetID]],tblTargetStatus[TargetID],tblTargetStatus[Status])</f>
        <v>BLOCKED</v>
      </c>
      <c r="J899" s="25" t="b">
        <v>0</v>
      </c>
    </row>
    <row r="900" spans="1:10">
      <c r="A900" s="41" t="s">
        <v>4548</v>
      </c>
      <c r="B900" s="41" t="str">
        <f>_xlfn.TEXTAFTER(
 _xlfn.TEXTBEFORE(tblCostChecklist[[#This Row],[RequirementID]],".",-2),
 "cost."
)</f>
        <v>tech.outpost.arsenal_lvl_1</v>
      </c>
      <c r="C900" s="41" t="str">
        <f>_xlfn.XLOOKUP(tblCostChecklist[[#This Row],[TargetID]],tblTargets[TargetID],tblTargets[DisplayName],"")</f>
        <v>Outpost - Arsenal Lvl 1</v>
      </c>
      <c r="D900" s="41" t="str">
        <f>_xlfn.XLOOKUP(tblCostChecklist[[#This Row],[TargetID]],tblTargets[TargetID],tblTargets[TargetType],"")</f>
        <v>TECH</v>
      </c>
      <c r="E900" s="41" t="s">
        <v>716</v>
      </c>
      <c r="F900" s="41">
        <v>1</v>
      </c>
      <c r="G900" s="41">
        <f>_xlfn.XLOOKUP(
 tblCostChecklist[[#This Row],[RequirementID]],
 tblCost[RequirementID],
 tblCost[QuantityRequired],
 ""
)</f>
        <v>200</v>
      </c>
      <c r="H9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0" s="41" t="str">
        <f>_xlfn.XLOOKUP(tblCostChecklist[[#This Row],[TargetID]],tblTargetStatus[TargetID],tblTargetStatus[Status])</f>
        <v>BLOCKED</v>
      </c>
      <c r="J900" s="25" t="b">
        <v>0</v>
      </c>
    </row>
    <row r="901" spans="1:10">
      <c r="A901" s="41" t="s">
        <v>4549</v>
      </c>
      <c r="B901" s="41" t="str">
        <f>_xlfn.TEXTAFTER(
 _xlfn.TEXTBEFORE(tblCostChecklist[[#This Row],[RequirementID]],".",-2),
 "cost."
)</f>
        <v>tech.outpost.arsenal_lvl_2</v>
      </c>
      <c r="C901" s="41" t="str">
        <f>_xlfn.XLOOKUP(tblCostChecklist[[#This Row],[TargetID]],tblTargets[TargetID],tblTargets[DisplayName],"")</f>
        <v>Outpost - Arsenal Lvl 2</v>
      </c>
      <c r="D901" s="41" t="str">
        <f>_xlfn.XLOOKUP(tblCostChecklist[[#This Row],[TargetID]],tblTargets[TargetID],tblTargets[TargetType],"")</f>
        <v>TECH</v>
      </c>
      <c r="E901" s="41" t="s">
        <v>662</v>
      </c>
      <c r="F901" s="41">
        <v>1</v>
      </c>
      <c r="G901" s="41">
        <f>_xlfn.XLOOKUP(
 tblCostChecklist[[#This Row],[RequirementID]],
 tblCost[RequirementID],
 tblCost[QuantityRequired],
 ""
)</f>
        <v>60</v>
      </c>
      <c r="H9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1" s="41" t="str">
        <f>_xlfn.XLOOKUP(tblCostChecklist[[#This Row],[TargetID]],tblTargetStatus[TargetID],tblTargetStatus[Status])</f>
        <v>BLOCKED</v>
      </c>
      <c r="J901" s="25" t="b">
        <v>0</v>
      </c>
    </row>
    <row r="902" spans="1:10">
      <c r="A902" s="41" t="s">
        <v>4550</v>
      </c>
      <c r="B902" s="41" t="str">
        <f>_xlfn.TEXTAFTER(
 _xlfn.TEXTBEFORE(tblCostChecklist[[#This Row],[RequirementID]],".",-2),
 "cost."
)</f>
        <v>tech.outpost.arsenal_lvl_2</v>
      </c>
      <c r="C902" s="41" t="str">
        <f>_xlfn.XLOOKUP(tblCostChecklist[[#This Row],[TargetID]],tblTargets[TargetID],tblTargets[DisplayName],"")</f>
        <v>Outpost - Arsenal Lvl 2</v>
      </c>
      <c r="D902" s="41" t="str">
        <f>_xlfn.XLOOKUP(tblCostChecklist[[#This Row],[TargetID]],tblTargets[TargetID],tblTargets[TargetType],"")</f>
        <v>TECH</v>
      </c>
      <c r="E902" s="41" t="s">
        <v>666</v>
      </c>
      <c r="F902" s="41">
        <v>1</v>
      </c>
      <c r="G902" s="41">
        <f>_xlfn.XLOOKUP(
 tblCostChecklist[[#This Row],[RequirementID]],
 tblCost[RequirementID],
 tblCost[QuantityRequired],
 ""
)</f>
        <v>1500</v>
      </c>
      <c r="H9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2" s="41" t="str">
        <f>_xlfn.XLOOKUP(tblCostChecklist[[#This Row],[TargetID]],tblTargetStatus[TargetID],tblTargetStatus[Status])</f>
        <v>BLOCKED</v>
      </c>
      <c r="J902" s="25" t="b">
        <v>0</v>
      </c>
    </row>
    <row r="903" spans="1:10">
      <c r="A903" s="41" t="s">
        <v>4551</v>
      </c>
      <c r="B903" s="41" t="str">
        <f>_xlfn.TEXTAFTER(
 _xlfn.TEXTBEFORE(tblCostChecklist[[#This Row],[RequirementID]],".",-2),
 "cost."
)</f>
        <v>tech.outpost.arsenal_lvl_2</v>
      </c>
      <c r="C903" s="41" t="str">
        <f>_xlfn.XLOOKUP(tblCostChecklist[[#This Row],[TargetID]],tblTargets[TargetID],tblTargets[DisplayName],"")</f>
        <v>Outpost - Arsenal Lvl 2</v>
      </c>
      <c r="D903" s="41" t="str">
        <f>_xlfn.XLOOKUP(tblCostChecklist[[#This Row],[TargetID]],tblTargets[TargetID],tblTargets[TargetType],"")</f>
        <v>TECH</v>
      </c>
      <c r="E903" s="41" t="s">
        <v>701</v>
      </c>
      <c r="F903" s="41">
        <v>1</v>
      </c>
      <c r="G903" s="41">
        <f>_xlfn.XLOOKUP(
 tblCostChecklist[[#This Row],[RequirementID]],
 tblCost[RequirementID],
 tblCost[QuantityRequired],
 ""
)</f>
        <v>600</v>
      </c>
      <c r="H9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3" s="41" t="str">
        <f>_xlfn.XLOOKUP(tblCostChecklist[[#This Row],[TargetID]],tblTargetStatus[TargetID],tblTargetStatus[Status])</f>
        <v>BLOCKED</v>
      </c>
      <c r="J903" s="25" t="b">
        <v>0</v>
      </c>
    </row>
    <row r="904" spans="1:10">
      <c r="A904" s="41" t="s">
        <v>4552</v>
      </c>
      <c r="B904" s="41" t="str">
        <f>_xlfn.TEXTAFTER(
 _xlfn.TEXTBEFORE(tblCostChecklist[[#This Row],[RequirementID]],".",-2),
 "cost."
)</f>
        <v>tech.outpost.arsenal_lvl_2</v>
      </c>
      <c r="C904" s="41" t="str">
        <f>_xlfn.XLOOKUP(tblCostChecklist[[#This Row],[TargetID]],tblTargets[TargetID],tblTargets[DisplayName],"")</f>
        <v>Outpost - Arsenal Lvl 2</v>
      </c>
      <c r="D904" s="41" t="str">
        <f>_xlfn.XLOOKUP(tblCostChecklist[[#This Row],[TargetID]],tblTargets[TargetID],tblTargets[TargetType],"")</f>
        <v>TECH</v>
      </c>
      <c r="E904" s="41" t="s">
        <v>708</v>
      </c>
      <c r="F904" s="41">
        <v>1</v>
      </c>
      <c r="G904" s="41">
        <f>_xlfn.XLOOKUP(
 tblCostChecklist[[#This Row],[RequirementID]],
 tblCost[RequirementID],
 tblCost[QuantityRequired],
 ""
)</f>
        <v>5</v>
      </c>
      <c r="H9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4" s="41" t="str">
        <f>_xlfn.XLOOKUP(tblCostChecklist[[#This Row],[TargetID]],tblTargetStatus[TargetID],tblTargetStatus[Status])</f>
        <v>BLOCKED</v>
      </c>
      <c r="J904" s="25" t="b">
        <v>0</v>
      </c>
    </row>
    <row r="905" spans="1:10">
      <c r="A905" s="41" t="s">
        <v>4553</v>
      </c>
      <c r="B905" s="41" t="str">
        <f>_xlfn.TEXTAFTER(
 _xlfn.TEXTBEFORE(tblCostChecklist[[#This Row],[RequirementID]],".",-2),
 "cost."
)</f>
        <v>tech.outpost.arsenal_lvl_2</v>
      </c>
      <c r="C905" s="41" t="str">
        <f>_xlfn.XLOOKUP(tblCostChecklist[[#This Row],[TargetID]],tblTargets[TargetID],tblTargets[DisplayName],"")</f>
        <v>Outpost - Arsenal Lvl 2</v>
      </c>
      <c r="D905" s="41" t="str">
        <f>_xlfn.XLOOKUP(tblCostChecklist[[#This Row],[TargetID]],tblTargets[TargetID],tblTargets[TargetType],"")</f>
        <v>TECH</v>
      </c>
      <c r="E905" s="41" t="s">
        <v>716</v>
      </c>
      <c r="F905" s="41">
        <v>1</v>
      </c>
      <c r="G905" s="41">
        <f>_xlfn.XLOOKUP(
 tblCostChecklist[[#This Row],[RequirementID]],
 tblCost[RequirementID],
 tblCost[QuantityRequired],
 ""
)</f>
        <v>300</v>
      </c>
      <c r="H9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5" s="41" t="str">
        <f>_xlfn.XLOOKUP(tblCostChecklist[[#This Row],[TargetID]],tblTargetStatus[TargetID],tblTargetStatus[Status])</f>
        <v>BLOCKED</v>
      </c>
      <c r="J905" s="25" t="b">
        <v>0</v>
      </c>
    </row>
    <row r="906" spans="1:10">
      <c r="A906" s="41" t="s">
        <v>4554</v>
      </c>
      <c r="B906" s="41" t="str">
        <f>_xlfn.TEXTAFTER(
 _xlfn.TEXTBEFORE(tblCostChecklist[[#This Row],[RequirementID]],".",-2),
 "cost."
)</f>
        <v>tech.outpost.optional_contracts</v>
      </c>
      <c r="C906" s="41" t="str">
        <f>_xlfn.XLOOKUP(tblCostChecklist[[#This Row],[TargetID]],tblTargets[TargetID],tblTargets[DisplayName],"")</f>
        <v>Outpost - Optional Contracts</v>
      </c>
      <c r="D906" s="41" t="str">
        <f>_xlfn.XLOOKUP(tblCostChecklist[[#This Row],[TargetID]],tblTargets[TargetID],tblTargets[TargetType],"")</f>
        <v>TECH</v>
      </c>
      <c r="E906" s="41" t="s">
        <v>666</v>
      </c>
      <c r="F906" s="41">
        <v>1</v>
      </c>
      <c r="G906" s="41">
        <f>_xlfn.XLOOKUP(
 tblCostChecklist[[#This Row],[RequirementID]],
 tblCost[RequirementID],
 tblCost[QuantityRequired],
 ""
)</f>
        <v>1000</v>
      </c>
      <c r="H9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6" s="41" t="str">
        <f>_xlfn.XLOOKUP(tblCostChecklist[[#This Row],[TargetID]],tblTargetStatus[TargetID],tblTargetStatus[Status])</f>
        <v>BLOCKED</v>
      </c>
      <c r="J906" s="25" t="b">
        <v>0</v>
      </c>
    </row>
    <row r="907" spans="1:10">
      <c r="A907" s="41" t="s">
        <v>4555</v>
      </c>
      <c r="B907" s="41" t="str">
        <f>_xlfn.TEXTAFTER(
 _xlfn.TEXTBEFORE(tblCostChecklist[[#This Row],[RequirementID]],".",-2),
 "cost."
)</f>
        <v>tech.outpost.optional_contracts</v>
      </c>
      <c r="C907" s="41" t="str">
        <f>_xlfn.XLOOKUP(tblCostChecklist[[#This Row],[TargetID]],tblTargets[TargetID],tblTargets[DisplayName],"")</f>
        <v>Outpost - Optional Contracts</v>
      </c>
      <c r="D907" s="41" t="str">
        <f>_xlfn.XLOOKUP(tblCostChecklist[[#This Row],[TargetID]],tblTargets[TargetID],tblTargets[TargetType],"")</f>
        <v>TECH</v>
      </c>
      <c r="E907" s="41" t="s">
        <v>695</v>
      </c>
      <c r="F907" s="41">
        <v>1</v>
      </c>
      <c r="G907" s="41">
        <f>_xlfn.XLOOKUP(
 tblCostChecklist[[#This Row],[RequirementID]],
 tblCost[RequirementID],
 tblCost[QuantityRequired],
 ""
)</f>
        <v>25</v>
      </c>
      <c r="H9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7" s="41" t="str">
        <f>_xlfn.XLOOKUP(tblCostChecklist[[#This Row],[TargetID]],tblTargetStatus[TargetID],tblTargetStatus[Status])</f>
        <v>BLOCKED</v>
      </c>
      <c r="J907" s="25" t="b">
        <v>0</v>
      </c>
    </row>
    <row r="908" spans="1:10">
      <c r="A908" s="41" t="s">
        <v>4556</v>
      </c>
      <c r="B908" s="41" t="str">
        <f>_xlfn.TEXTAFTER(
 _xlfn.TEXTBEFORE(tblCostChecklist[[#This Row],[RequirementID]],".",-2),
 "cost."
)</f>
        <v>tech.outpost.optional_contracts</v>
      </c>
      <c r="C908" s="41" t="str">
        <f>_xlfn.XLOOKUP(tblCostChecklist[[#This Row],[TargetID]],tblTargets[TargetID],tblTargets[DisplayName],"")</f>
        <v>Outpost - Optional Contracts</v>
      </c>
      <c r="D908" s="41" t="str">
        <f>_xlfn.XLOOKUP(tblCostChecklist[[#This Row],[TargetID]],tblTargets[TargetID],tblTargets[TargetType],"")</f>
        <v>TECH</v>
      </c>
      <c r="E908" s="41" t="s">
        <v>696</v>
      </c>
      <c r="F908" s="41">
        <v>1</v>
      </c>
      <c r="G908" s="41">
        <f>_xlfn.XLOOKUP(
 tblCostChecklist[[#This Row],[RequirementID]],
 tblCost[RequirementID],
 tblCost[QuantityRequired],
 ""
)</f>
        <v>40</v>
      </c>
      <c r="H9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8" s="41" t="str">
        <f>_xlfn.XLOOKUP(tblCostChecklist[[#This Row],[TargetID]],tblTargetStatus[TargetID],tblTargetStatus[Status])</f>
        <v>BLOCKED</v>
      </c>
      <c r="J908" s="25" t="b">
        <v>0</v>
      </c>
    </row>
    <row r="909" spans="1:10">
      <c r="A909" s="41" t="s">
        <v>4557</v>
      </c>
      <c r="B909" s="41" t="str">
        <f>_xlfn.TEXTAFTER(
 _xlfn.TEXTBEFORE(tblCostChecklist[[#This Row],[RequirementID]],".",-2),
 "cost."
)</f>
        <v>tech.outpost.optional_contracts</v>
      </c>
      <c r="C909" s="41" t="str">
        <f>_xlfn.XLOOKUP(tblCostChecklist[[#This Row],[TargetID]],tblTargets[TargetID],tblTargets[DisplayName],"")</f>
        <v>Outpost - Optional Contracts</v>
      </c>
      <c r="D909" s="41" t="str">
        <f>_xlfn.XLOOKUP(tblCostChecklist[[#This Row],[TargetID]],tblTargets[TargetID],tblTargets[TargetType],"")</f>
        <v>TECH</v>
      </c>
      <c r="E909" s="41" t="s">
        <v>697</v>
      </c>
      <c r="F909" s="41">
        <v>1</v>
      </c>
      <c r="G909" s="41">
        <f>_xlfn.XLOOKUP(
 tblCostChecklist[[#This Row],[RequirementID]],
 tblCost[RequirementID],
 tblCost[QuantityRequired],
 ""
)</f>
        <v>20</v>
      </c>
      <c r="H9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9" s="41" t="str">
        <f>_xlfn.XLOOKUP(tblCostChecklist[[#This Row],[TargetID]],tblTargetStatus[TargetID],tblTargetStatus[Status])</f>
        <v>BLOCKED</v>
      </c>
      <c r="J909" s="25" t="b">
        <v>0</v>
      </c>
    </row>
    <row r="910" spans="1:10">
      <c r="A910" s="41" t="s">
        <v>4558</v>
      </c>
      <c r="B910" s="41" t="str">
        <f>_xlfn.TEXTAFTER(
 _xlfn.TEXTBEFORE(tblCostChecklist[[#This Row],[RequirementID]],".",-2),
 "cost."
)</f>
        <v>tech.outpost.optional_contracts</v>
      </c>
      <c r="C910" s="41" t="str">
        <f>_xlfn.XLOOKUP(tblCostChecklist[[#This Row],[TargetID]],tblTargets[TargetID],tblTargets[DisplayName],"")</f>
        <v>Outpost - Optional Contracts</v>
      </c>
      <c r="D910" s="41" t="str">
        <f>_xlfn.XLOOKUP(tblCostChecklist[[#This Row],[TargetID]],tblTargets[TargetID],tblTargets[TargetType],"")</f>
        <v>TECH</v>
      </c>
      <c r="E910" s="41" t="s">
        <v>708</v>
      </c>
      <c r="F910" s="41">
        <v>1</v>
      </c>
      <c r="G910" s="41">
        <f>_xlfn.XLOOKUP(
 tblCostChecklist[[#This Row],[RequirementID]],
 tblCost[RequirementID],
 tblCost[QuantityRequired],
 ""
)</f>
        <v>3</v>
      </c>
      <c r="H9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0" s="41" t="str">
        <f>_xlfn.XLOOKUP(tblCostChecklist[[#This Row],[TargetID]],tblTargetStatus[TargetID],tblTargetStatus[Status])</f>
        <v>BLOCKED</v>
      </c>
      <c r="J910" s="25" t="b">
        <v>0</v>
      </c>
    </row>
    <row r="911" spans="1:10">
      <c r="A911" s="41" t="s">
        <v>4559</v>
      </c>
      <c r="B911" s="41" t="str">
        <f>_xlfn.TEXTAFTER(
 _xlfn.TEXTBEFORE(tblCostChecklist[[#This Row],[RequirementID]],".",-2),
 "cost."
)</f>
        <v>tech.outpost.futures_contracts</v>
      </c>
      <c r="C911" s="41" t="str">
        <f>_xlfn.XLOOKUP(tblCostChecklist[[#This Row],[TargetID]],tblTargets[TargetID],tblTargets[DisplayName],"")</f>
        <v>Outpost - Futures Contracts</v>
      </c>
      <c r="D911" s="41" t="str">
        <f>_xlfn.XLOOKUP(tblCostChecklist[[#This Row],[TargetID]],tblTargets[TargetID],tblTargets[TargetType],"")</f>
        <v>TECH</v>
      </c>
      <c r="E911" s="41" t="s">
        <v>662</v>
      </c>
      <c r="F911" s="41">
        <v>1</v>
      </c>
      <c r="G911" s="41">
        <f>_xlfn.XLOOKUP(
 tblCostChecklist[[#This Row],[RequirementID]],
 tblCost[RequirementID],
 tblCost[QuantityRequired],
 ""
)</f>
        <v>40</v>
      </c>
      <c r="H9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1" s="41" t="str">
        <f>_xlfn.XLOOKUP(tblCostChecklist[[#This Row],[TargetID]],tblTargetStatus[TargetID],tblTargetStatus[Status])</f>
        <v>BLOCKED</v>
      </c>
      <c r="J911" s="25" t="b">
        <v>0</v>
      </c>
    </row>
    <row r="912" spans="1:10">
      <c r="A912" s="41" t="s">
        <v>4560</v>
      </c>
      <c r="B912" s="41" t="str">
        <f>_xlfn.TEXTAFTER(
 _xlfn.TEXTBEFORE(tblCostChecklist[[#This Row],[RequirementID]],".",-2),
 "cost."
)</f>
        <v>tech.outpost.futures_contracts</v>
      </c>
      <c r="C912" s="41" t="str">
        <f>_xlfn.XLOOKUP(tblCostChecklist[[#This Row],[TargetID]],tblTargets[TargetID],tblTargets[DisplayName],"")</f>
        <v>Outpost - Futures Contracts</v>
      </c>
      <c r="D912" s="41" t="str">
        <f>_xlfn.XLOOKUP(tblCostChecklist[[#This Row],[TargetID]],tblTargets[TargetID],tblTargets[TargetType],"")</f>
        <v>TECH</v>
      </c>
      <c r="E912" s="41" t="s">
        <v>666</v>
      </c>
      <c r="F912" s="41">
        <v>1</v>
      </c>
      <c r="G912" s="41">
        <f>_xlfn.XLOOKUP(
 tblCostChecklist[[#This Row],[RequirementID]],
 tblCost[RequirementID],
 tblCost[QuantityRequired],
 ""
)</f>
        <v>1000</v>
      </c>
      <c r="H9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2" s="41" t="str">
        <f>_xlfn.XLOOKUP(tblCostChecklist[[#This Row],[TargetID]],tblTargetStatus[TargetID],tblTargetStatus[Status])</f>
        <v>BLOCKED</v>
      </c>
      <c r="J912" s="25" t="b">
        <v>0</v>
      </c>
    </row>
    <row r="913" spans="1:10">
      <c r="A913" s="41" t="s">
        <v>4561</v>
      </c>
      <c r="B913" s="41" t="str">
        <f>_xlfn.TEXTAFTER(
 _xlfn.TEXTBEFORE(tblCostChecklist[[#This Row],[RequirementID]],".",-2),
 "cost."
)</f>
        <v>tech.outpost.futures_contracts</v>
      </c>
      <c r="C913" s="41" t="str">
        <f>_xlfn.XLOOKUP(tblCostChecklist[[#This Row],[TargetID]],tblTargets[TargetID],tblTargets[DisplayName],"")</f>
        <v>Outpost - Futures Contracts</v>
      </c>
      <c r="D913" s="41" t="str">
        <f>_xlfn.XLOOKUP(tblCostChecklist[[#This Row],[TargetID]],tblTargets[TargetID],tblTargets[TargetType],"")</f>
        <v>TECH</v>
      </c>
      <c r="E913" s="41" t="s">
        <v>697</v>
      </c>
      <c r="F913" s="41">
        <v>1</v>
      </c>
      <c r="G913" s="41">
        <f>_xlfn.XLOOKUP(
 tblCostChecklist[[#This Row],[RequirementID]],
 tblCost[RequirementID],
 tblCost[QuantityRequired],
 ""
)</f>
        <v>30</v>
      </c>
      <c r="H9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3" s="41" t="str">
        <f>_xlfn.XLOOKUP(tblCostChecklist[[#This Row],[TargetID]],tblTargetStatus[TargetID],tblTargetStatus[Status])</f>
        <v>BLOCKED</v>
      </c>
      <c r="J913" s="25" t="b">
        <v>0</v>
      </c>
    </row>
    <row r="914" spans="1:10">
      <c r="A914" s="41" t="s">
        <v>4562</v>
      </c>
      <c r="B914" s="41" t="str">
        <f>_xlfn.TEXTAFTER(
 _xlfn.TEXTBEFORE(tblCostChecklist[[#This Row],[RequirementID]],".",-2),
 "cost."
)</f>
        <v>tech.outpost.futures_contracts</v>
      </c>
      <c r="C914" s="41" t="str">
        <f>_xlfn.XLOOKUP(tblCostChecklist[[#This Row],[TargetID]],tblTargets[TargetID],tblTargets[DisplayName],"")</f>
        <v>Outpost - Futures Contracts</v>
      </c>
      <c r="D914" s="41" t="str">
        <f>_xlfn.XLOOKUP(tblCostChecklist[[#This Row],[TargetID]],tblTargets[TargetID],tblTargets[TargetType],"")</f>
        <v>TECH</v>
      </c>
      <c r="E914" s="41" t="s">
        <v>707</v>
      </c>
      <c r="F914" s="41">
        <v>1</v>
      </c>
      <c r="G914" s="41">
        <f>_xlfn.XLOOKUP(
 tblCostChecklist[[#This Row],[RequirementID]],
 tblCost[RequirementID],
 tblCost[QuantityRequired],
 ""
)</f>
        <v>50</v>
      </c>
      <c r="H9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4" s="41" t="str">
        <f>_xlfn.XLOOKUP(tblCostChecklist[[#This Row],[TargetID]],tblTargetStatus[TargetID],tblTargetStatus[Status])</f>
        <v>BLOCKED</v>
      </c>
      <c r="J914" s="25" t="b">
        <v>0</v>
      </c>
    </row>
    <row r="915" spans="1:10">
      <c r="A915" s="41" t="s">
        <v>4563</v>
      </c>
      <c r="B915" s="41" t="str">
        <f>_xlfn.TEXTAFTER(
 _xlfn.TEXTBEFORE(tblCostChecklist[[#This Row],[RequirementID]],".",-2),
 "cost."
)</f>
        <v>tech.outpost.futures_contracts</v>
      </c>
      <c r="C915" s="41" t="str">
        <f>_xlfn.XLOOKUP(tblCostChecklist[[#This Row],[TargetID]],tblTargets[TargetID],tblTargets[DisplayName],"")</f>
        <v>Outpost - Futures Contracts</v>
      </c>
      <c r="D915" s="41" t="str">
        <f>_xlfn.XLOOKUP(tblCostChecklist[[#This Row],[TargetID]],tblTargets[TargetID],tblTargets[TargetType],"")</f>
        <v>TECH</v>
      </c>
      <c r="E915" s="41" t="s">
        <v>708</v>
      </c>
      <c r="F915" s="41">
        <v>1</v>
      </c>
      <c r="G915" s="41">
        <f>_xlfn.XLOOKUP(
 tblCostChecklist[[#This Row],[RequirementID]],
 tblCost[RequirementID],
 tblCost[QuantityRequired],
 ""
)</f>
        <v>5</v>
      </c>
      <c r="H9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5" s="41" t="str">
        <f>_xlfn.XLOOKUP(tblCostChecklist[[#This Row],[TargetID]],tblTargetStatus[TargetID],tblTargetStatus[Status])</f>
        <v>BLOCKED</v>
      </c>
      <c r="J915" s="25" t="b">
        <v>0</v>
      </c>
    </row>
    <row r="916" spans="1:10">
      <c r="A916" s="41" t="s">
        <v>4564</v>
      </c>
      <c r="B916" s="41" t="str">
        <f>_xlfn.TEXTAFTER(
 _xlfn.TEXTBEFORE(tblCostChecklist[[#This Row],[RequirementID]],".",-2),
 "cost."
)</f>
        <v>tech.outpost.futures_contracts</v>
      </c>
      <c r="C916" s="41" t="str">
        <f>_xlfn.XLOOKUP(tblCostChecklist[[#This Row],[TargetID]],tblTargets[TargetID],tblTargets[DisplayName],"")</f>
        <v>Outpost - Futures Contracts</v>
      </c>
      <c r="D916" s="41" t="str">
        <f>_xlfn.XLOOKUP(tblCostChecklist[[#This Row],[TargetID]],tblTargets[TargetID],tblTargets[TargetType],"")</f>
        <v>TECH</v>
      </c>
      <c r="E916" s="41" t="s">
        <v>956</v>
      </c>
      <c r="F916" s="41">
        <v>1</v>
      </c>
      <c r="G916" s="41">
        <f>_xlfn.XLOOKUP(
 tblCostChecklist[[#This Row],[RequirementID]],
 tblCost[RequirementID],
 tblCost[QuantityRequired],
 ""
)</f>
        <v>10</v>
      </c>
      <c r="H9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6" s="41" t="str">
        <f>_xlfn.XLOOKUP(tblCostChecklist[[#This Row],[TargetID]],tblTargetStatus[TargetID],tblTargetStatus[Status])</f>
        <v>BLOCKED</v>
      </c>
      <c r="J916" s="25" t="b">
        <v>0</v>
      </c>
    </row>
    <row r="917" spans="1:10">
      <c r="A917" s="41" t="s">
        <v>4565</v>
      </c>
      <c r="B917" s="41" t="str">
        <f>_xlfn.TEXTAFTER(
 _xlfn.TEXTBEFORE(tblCostChecklist[[#This Row],[RequirementID]],".",-2),
 "cost."
)</f>
        <v>tech.outpost.tax_return_on_floppy_disk</v>
      </c>
      <c r="C917" s="41" t="str">
        <f>_xlfn.XLOOKUP(tblCostChecklist[[#This Row],[TargetID]],tblTargets[TargetID],tblTargets[DisplayName],"")</f>
        <v>Outpost - Tax Return On Floppy Disk</v>
      </c>
      <c r="D917" s="41" t="str">
        <f>_xlfn.XLOOKUP(tblCostChecklist[[#This Row],[TargetID]],tblTargets[TargetID],tblTargets[TargetType],"")</f>
        <v>TECH</v>
      </c>
      <c r="E917" s="41" t="s">
        <v>662</v>
      </c>
      <c r="F917" s="41">
        <v>1</v>
      </c>
      <c r="G917" s="41">
        <f>_xlfn.XLOOKUP(
 tblCostChecklist[[#This Row],[RequirementID]],
 tblCost[RequirementID],
 tblCost[QuantityRequired],
 ""
)</f>
        <v>30</v>
      </c>
      <c r="H9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7" s="41" t="str">
        <f>_xlfn.XLOOKUP(tblCostChecklist[[#This Row],[TargetID]],tblTargetStatus[TargetID],tblTargetStatus[Status])</f>
        <v>BLOCKED</v>
      </c>
      <c r="J917" s="25" t="b">
        <v>0</v>
      </c>
    </row>
    <row r="918" spans="1:10">
      <c r="A918" s="41" t="s">
        <v>4566</v>
      </c>
      <c r="B918" s="41" t="str">
        <f>_xlfn.TEXTAFTER(
 _xlfn.TEXTBEFORE(tblCostChecklist[[#This Row],[RequirementID]],".",-2),
 "cost."
)</f>
        <v>tech.outpost.tax_return_on_floppy_disk</v>
      </c>
      <c r="C918" s="41" t="str">
        <f>_xlfn.XLOOKUP(tblCostChecklist[[#This Row],[TargetID]],tblTargets[TargetID],tblTargets[DisplayName],"")</f>
        <v>Outpost - Tax Return On Floppy Disk</v>
      </c>
      <c r="D918" s="41" t="str">
        <f>_xlfn.XLOOKUP(tblCostChecklist[[#This Row],[TargetID]],tblTargets[TargetID],tblTargets[TargetType],"")</f>
        <v>TECH</v>
      </c>
      <c r="E918" s="41" t="s">
        <v>666</v>
      </c>
      <c r="F918" s="41">
        <v>1</v>
      </c>
      <c r="G918" s="41">
        <f>_xlfn.XLOOKUP(
 tblCostChecklist[[#This Row],[RequirementID]],
 tblCost[RequirementID],
 tblCost[QuantityRequired],
 ""
)</f>
        <v>400</v>
      </c>
      <c r="H9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8" s="41" t="str">
        <f>_xlfn.XLOOKUP(tblCostChecklist[[#This Row],[TargetID]],tblTargetStatus[TargetID],tblTargetStatus[Status])</f>
        <v>BLOCKED</v>
      </c>
      <c r="J918" s="25" t="b">
        <v>0</v>
      </c>
    </row>
    <row r="919" spans="1:10">
      <c r="A919" s="41" t="s">
        <v>4567</v>
      </c>
      <c r="B919" s="41" t="str">
        <f>_xlfn.TEXTAFTER(
 _xlfn.TEXTBEFORE(tblCostChecklist[[#This Row],[RequirementID]],".",-2),
 "cost."
)</f>
        <v>tech.outpost.tax_return_on_floppy_disk</v>
      </c>
      <c r="C919" s="41" t="str">
        <f>_xlfn.XLOOKUP(tblCostChecklist[[#This Row],[TargetID]],tblTargets[TargetID],tblTargets[DisplayName],"")</f>
        <v>Outpost - Tax Return On Floppy Disk</v>
      </c>
      <c r="D919" s="41" t="str">
        <f>_xlfn.XLOOKUP(tblCostChecklist[[#This Row],[TargetID]],tblTargets[TargetID],tblTargets[TargetType],"")</f>
        <v>TECH</v>
      </c>
      <c r="E919" s="41" t="s">
        <v>672</v>
      </c>
      <c r="F919" s="41">
        <v>1</v>
      </c>
      <c r="G919" s="41">
        <f>_xlfn.XLOOKUP(
 tblCostChecklist[[#This Row],[RequirementID]],
 tblCost[RequirementID],
 tblCost[QuantityRequired],
 ""
)</f>
        <v>40</v>
      </c>
      <c r="H9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9" s="41" t="str">
        <f>_xlfn.XLOOKUP(tblCostChecklist[[#This Row],[TargetID]],tblTargetStatus[TargetID],tblTargetStatus[Status])</f>
        <v>BLOCKED</v>
      </c>
      <c r="J919" s="25" t="b">
        <v>0</v>
      </c>
    </row>
    <row r="920" spans="1:10">
      <c r="A920" s="41" t="s">
        <v>4568</v>
      </c>
      <c r="B920" s="41" t="str">
        <f>_xlfn.TEXTAFTER(
 _xlfn.TEXTBEFORE(tblCostChecklist[[#This Row],[RequirementID]],".",-2),
 "cost."
)</f>
        <v>tech.outpost.tax_return_on_floppy_disk</v>
      </c>
      <c r="C920" s="41" t="str">
        <f>_xlfn.XLOOKUP(tblCostChecklist[[#This Row],[TargetID]],tblTargets[TargetID],tblTargets[DisplayName],"")</f>
        <v>Outpost - Tax Return On Floppy Disk</v>
      </c>
      <c r="D920" s="41" t="str">
        <f>_xlfn.XLOOKUP(tblCostChecklist[[#This Row],[TargetID]],tblTargets[TargetID],tblTargets[TargetType],"")</f>
        <v>TECH</v>
      </c>
      <c r="E920" s="41" t="s">
        <v>688</v>
      </c>
      <c r="F920" s="41">
        <v>1</v>
      </c>
      <c r="G920" s="41">
        <f>_xlfn.XLOOKUP(
 tblCostChecklist[[#This Row],[RequirementID]],
 tblCost[RequirementID],
 tblCost[QuantityRequired],
 ""
)</f>
        <v>30</v>
      </c>
      <c r="H9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0" s="41" t="str">
        <f>_xlfn.XLOOKUP(tblCostChecklist[[#This Row],[TargetID]],tblTargetStatus[TargetID],tblTargetStatus[Status])</f>
        <v>BLOCKED</v>
      </c>
      <c r="J920" s="25" t="b">
        <v>0</v>
      </c>
    </row>
    <row r="921" spans="1:10">
      <c r="A921" s="41" t="s">
        <v>4569</v>
      </c>
      <c r="B921" s="41" t="str">
        <f>_xlfn.TEXTAFTER(
 _xlfn.TEXTBEFORE(tblCostChecklist[[#This Row],[RequirementID]],".",-2),
 "cost."
)</f>
        <v>tech.outpost.tax_return_on_floppy_disk</v>
      </c>
      <c r="C921" s="41" t="str">
        <f>_xlfn.XLOOKUP(tblCostChecklist[[#This Row],[TargetID]],tblTargets[TargetID],tblTargets[DisplayName],"")</f>
        <v>Outpost - Tax Return On Floppy Disk</v>
      </c>
      <c r="D921" s="41" t="str">
        <f>_xlfn.XLOOKUP(tblCostChecklist[[#This Row],[TargetID]],tblTargets[TargetID],tblTargets[TargetType],"")</f>
        <v>TECH</v>
      </c>
      <c r="E921" s="41" t="s">
        <v>708</v>
      </c>
      <c r="F921" s="41">
        <v>1</v>
      </c>
      <c r="G921" s="41">
        <f>_xlfn.XLOOKUP(
 tblCostChecklist[[#This Row],[RequirementID]],
 tblCost[RequirementID],
 tblCost[QuantityRequired],
 ""
)</f>
        <v>3</v>
      </c>
      <c r="H9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1" s="41" t="str">
        <f>_xlfn.XLOOKUP(tblCostChecklist[[#This Row],[TargetID]],tblTargetStatus[TargetID],tblTargetStatus[Status])</f>
        <v>BLOCKED</v>
      </c>
      <c r="J921" s="25" t="b">
        <v>0</v>
      </c>
    </row>
    <row r="922" spans="1:10">
      <c r="A922" s="41" t="s">
        <v>4570</v>
      </c>
      <c r="B922" s="41" t="str">
        <f>_xlfn.TEXTAFTER(
 _xlfn.TEXTBEFORE(tblCostChecklist[[#This Row],[RequirementID]],".",-2),
 "cost."
)</f>
        <v>tech.outpost.tax_return_on_floppy_disk</v>
      </c>
      <c r="C922" s="41" t="str">
        <f>_xlfn.XLOOKUP(tblCostChecklist[[#This Row],[TargetID]],tblTargets[TargetID],tblTargets[DisplayName],"")</f>
        <v>Outpost - Tax Return On Floppy Disk</v>
      </c>
      <c r="D922" s="41" t="str">
        <f>_xlfn.XLOOKUP(tblCostChecklist[[#This Row],[TargetID]],tblTargets[TargetID],tblTargets[TargetType],"")</f>
        <v>TECH</v>
      </c>
      <c r="E922" s="41" t="s">
        <v>716</v>
      </c>
      <c r="F922" s="41">
        <v>1</v>
      </c>
      <c r="G922" s="41">
        <f>_xlfn.XLOOKUP(
 tblCostChecklist[[#This Row],[RequirementID]],
 tblCost[RequirementID],
 tblCost[QuantityRequired],
 ""
)</f>
        <v>200</v>
      </c>
      <c r="H9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2" s="41" t="str">
        <f>_xlfn.XLOOKUP(tblCostChecklist[[#This Row],[TargetID]],tblTargetStatus[TargetID],tblTargetStatus[Status])</f>
        <v>BLOCKED</v>
      </c>
      <c r="J922" s="25" t="b">
        <v>0</v>
      </c>
    </row>
    <row r="923" spans="1:10">
      <c r="A923" s="41" t="s">
        <v>4571</v>
      </c>
      <c r="B923" s="41" t="str">
        <f>_xlfn.TEXTAFTER(
 _xlfn.TEXTBEFORE(tblCostChecklist[[#This Row],[RequirementID]],".",-2),
 "cost."
)</f>
        <v>tech.rock_garden.rake</v>
      </c>
      <c r="C923" s="41" t="str">
        <f>_xlfn.XLOOKUP(tblCostChecklist[[#This Row],[TargetID]],tblTargets[TargetID],tblTargets[DisplayName],"")</f>
        <v>Rock Garden - Rake</v>
      </c>
      <c r="D923" s="41" t="str">
        <f>_xlfn.XLOOKUP(tblCostChecklist[[#This Row],[TargetID]],tblTargets[TargetID],tblTargets[TargetType],"")</f>
        <v>TECH</v>
      </c>
      <c r="E923" s="41" t="s">
        <v>662</v>
      </c>
      <c r="F923" s="41">
        <v>1</v>
      </c>
      <c r="G923" s="41">
        <f>_xlfn.XLOOKUP(
 tblCostChecklist[[#This Row],[RequirementID]],
 tblCost[RequirementID],
 tblCost[QuantityRequired],
 ""
)</f>
        <v>30</v>
      </c>
      <c r="H9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3" s="41" t="str">
        <f>_xlfn.XLOOKUP(tblCostChecklist[[#This Row],[TargetID]],tblTargetStatus[TargetID],tblTargetStatus[Status])</f>
        <v>BLOCKED</v>
      </c>
      <c r="J923" s="25" t="b">
        <v>0</v>
      </c>
    </row>
    <row r="924" spans="1:10">
      <c r="A924" s="41" t="s">
        <v>4572</v>
      </c>
      <c r="B924" s="41" t="str">
        <f>_xlfn.TEXTAFTER(
 _xlfn.TEXTBEFORE(tblCostChecklist[[#This Row],[RequirementID]],".",-2),
 "cost."
)</f>
        <v>tech.rock_garden.rake</v>
      </c>
      <c r="C924" s="41" t="str">
        <f>_xlfn.XLOOKUP(tblCostChecklist[[#This Row],[TargetID]],tblTargets[TargetID],tblTargets[DisplayName],"")</f>
        <v>Rock Garden - Rake</v>
      </c>
      <c r="D924" s="41" t="str">
        <f>_xlfn.XLOOKUP(tblCostChecklist[[#This Row],[TargetID]],tblTargets[TargetID],tblTargets[TargetType],"")</f>
        <v>TECH</v>
      </c>
      <c r="E924" s="41" t="s">
        <v>666</v>
      </c>
      <c r="F924" s="41">
        <v>1</v>
      </c>
      <c r="G924" s="41">
        <f>_xlfn.XLOOKUP(
 tblCostChecklist[[#This Row],[RequirementID]],
 tblCost[RequirementID],
 tblCost[QuantityRequired],
 ""
)</f>
        <v>1500</v>
      </c>
      <c r="H9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4" s="41" t="str">
        <f>_xlfn.XLOOKUP(tblCostChecklist[[#This Row],[TargetID]],tblTargetStatus[TargetID],tblTargetStatus[Status])</f>
        <v>BLOCKED</v>
      </c>
      <c r="J924" s="25" t="b">
        <v>0</v>
      </c>
    </row>
    <row r="925" spans="1:10">
      <c r="A925" s="41" t="s">
        <v>4573</v>
      </c>
      <c r="B925" s="41" t="str">
        <f>_xlfn.TEXTAFTER(
 _xlfn.TEXTBEFORE(tblCostChecklist[[#This Row],[RequirementID]],".",-2),
 "cost."
)</f>
        <v>tech.rock_garden.rake</v>
      </c>
      <c r="C925" s="41" t="str">
        <f>_xlfn.XLOOKUP(tblCostChecklist[[#This Row],[TargetID]],tblTargets[TargetID],tblTargets[DisplayName],"")</f>
        <v>Rock Garden - Rake</v>
      </c>
      <c r="D925" s="41" t="str">
        <f>_xlfn.XLOOKUP(tblCostChecklist[[#This Row],[TargetID]],tblTargets[TargetID],tblTargets[TargetType],"")</f>
        <v>TECH</v>
      </c>
      <c r="E925" s="41" t="s">
        <v>690</v>
      </c>
      <c r="F925" s="41">
        <v>1</v>
      </c>
      <c r="G925" s="41">
        <f>_xlfn.XLOOKUP(
 tblCostChecklist[[#This Row],[RequirementID]],
 tblCost[RequirementID],
 tblCost[QuantityRequired],
 ""
)</f>
        <v>50</v>
      </c>
      <c r="H9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5" s="41" t="str">
        <f>_xlfn.XLOOKUP(tblCostChecklist[[#This Row],[TargetID]],tblTargetStatus[TargetID],tblTargetStatus[Status])</f>
        <v>BLOCKED</v>
      </c>
      <c r="J925" s="25" t="b">
        <v>0</v>
      </c>
    </row>
    <row r="926" spans="1:10">
      <c r="A926" s="41" t="s">
        <v>4574</v>
      </c>
      <c r="B926" s="41" t="str">
        <f>_xlfn.TEXTAFTER(
 _xlfn.TEXTBEFORE(tblCostChecklist[[#This Row],[RequirementID]],".",-2),
 "cost."
)</f>
        <v>tech.rock_garden.rake</v>
      </c>
      <c r="C926" s="41" t="str">
        <f>_xlfn.XLOOKUP(tblCostChecklist[[#This Row],[TargetID]],tblTargets[TargetID],tblTargets[DisplayName],"")</f>
        <v>Rock Garden - Rake</v>
      </c>
      <c r="D926" s="41" t="str">
        <f>_xlfn.XLOOKUP(tblCostChecklist[[#This Row],[TargetID]],tblTargets[TargetID],tblTargets[TargetType],"")</f>
        <v>TECH</v>
      </c>
      <c r="E926" s="41" t="s">
        <v>708</v>
      </c>
      <c r="F926" s="41">
        <v>1</v>
      </c>
      <c r="G926" s="41">
        <f>_xlfn.XLOOKUP(
 tblCostChecklist[[#This Row],[RequirementID]],
 tblCost[RequirementID],
 tblCost[QuantityRequired],
 ""
)</f>
        <v>6</v>
      </c>
      <c r="H9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6" s="41" t="str">
        <f>_xlfn.XLOOKUP(tblCostChecklist[[#This Row],[TargetID]],tblTargetStatus[TargetID],tblTargetStatus[Status])</f>
        <v>BLOCKED</v>
      </c>
      <c r="J926" s="25" t="b">
        <v>0</v>
      </c>
    </row>
    <row r="927" spans="1:10">
      <c r="A927" s="41" t="s">
        <v>4575</v>
      </c>
      <c r="B927" s="41" t="str">
        <f>_xlfn.TEXTAFTER(
 _xlfn.TEXTBEFORE(tblCostChecklist[[#This Row],[RequirementID]],".",-2),
 "cost."
)</f>
        <v>tech.shop.pre_orders</v>
      </c>
      <c r="C927" s="41" t="str">
        <f>_xlfn.XLOOKUP(tblCostChecklist[[#This Row],[TargetID]],tblTargets[TargetID],tblTargets[DisplayName],"")</f>
        <v>Shop - Pre Orders</v>
      </c>
      <c r="D927" s="41" t="str">
        <f>_xlfn.XLOOKUP(tblCostChecklist[[#This Row],[TargetID]],tblTargets[TargetID],tblTargets[TargetType],"")</f>
        <v>TECH</v>
      </c>
      <c r="E927" s="41" t="s">
        <v>659</v>
      </c>
      <c r="F927" s="41">
        <v>1</v>
      </c>
      <c r="G927" s="41">
        <f>_xlfn.XLOOKUP(
 tblCostChecklist[[#This Row],[RequirementID]],
 tblCost[RequirementID],
 tblCost[QuantityRequired],
 ""
)</f>
        <v>20</v>
      </c>
      <c r="H9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927" s="41" t="str">
        <f>_xlfn.XLOOKUP(tblCostChecklist[[#This Row],[TargetID]],tblTargetStatus[TargetID],tblTargetStatus[Status])</f>
        <v>BLOCKED</v>
      </c>
      <c r="J927" s="25" t="b">
        <v>0</v>
      </c>
    </row>
    <row r="928" spans="1:10">
      <c r="A928" s="41" t="s">
        <v>4576</v>
      </c>
      <c r="B928" s="41" t="str">
        <f>_xlfn.TEXTAFTER(
 _xlfn.TEXTBEFORE(tblCostChecklist[[#This Row],[RequirementID]],".",-2),
 "cost."
)</f>
        <v>tech.shop.pre_orders</v>
      </c>
      <c r="C928" s="41" t="str">
        <f>_xlfn.XLOOKUP(tblCostChecklist[[#This Row],[TargetID]],tblTargets[TargetID],tblTargets[DisplayName],"")</f>
        <v>Shop - Pre Orders</v>
      </c>
      <c r="D928" s="41" t="str">
        <f>_xlfn.XLOOKUP(tblCostChecklist[[#This Row],[TargetID]],tblTargets[TargetID],tblTargets[TargetType],"")</f>
        <v>TECH</v>
      </c>
      <c r="E928" s="41" t="s">
        <v>662</v>
      </c>
      <c r="F928" s="41">
        <v>1</v>
      </c>
      <c r="G928" s="41">
        <f>_xlfn.XLOOKUP(
 tblCostChecklist[[#This Row],[RequirementID]],
 tblCost[RequirementID],
 tblCost[QuantityRequired],
 ""
)</f>
        <v>30</v>
      </c>
      <c r="H9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928" s="41" t="str">
        <f>_xlfn.XLOOKUP(tblCostChecklist[[#This Row],[TargetID]],tblTargetStatus[TargetID],tblTargetStatus[Status])</f>
        <v>BLOCKED</v>
      </c>
      <c r="J928" s="25" t="b">
        <v>0</v>
      </c>
    </row>
    <row r="929" spans="1:10">
      <c r="A929" s="41" t="s">
        <v>4577</v>
      </c>
      <c r="B929" s="41" t="str">
        <f>_xlfn.TEXTAFTER(
 _xlfn.TEXTBEFORE(tblCostChecklist[[#This Row],[RequirementID]],".",-2),
 "cost."
)</f>
        <v>tech.shop.pre_orders</v>
      </c>
      <c r="C929" s="41" t="str">
        <f>_xlfn.XLOOKUP(tblCostChecklist[[#This Row],[TargetID]],tblTargets[TargetID],tblTargets[DisplayName],"")</f>
        <v>Shop - Pre Orders</v>
      </c>
      <c r="D929" s="41" t="str">
        <f>_xlfn.XLOOKUP(tblCostChecklist[[#This Row],[TargetID]],tblTargets[TargetID],tblTargets[TargetType],"")</f>
        <v>TECH</v>
      </c>
      <c r="E929" s="41" t="s">
        <v>666</v>
      </c>
      <c r="F929" s="41">
        <v>1</v>
      </c>
      <c r="G929" s="41">
        <f>_xlfn.XLOOKUP(
 tblCostChecklist[[#This Row],[RequirementID]],
 tblCost[RequirementID],
 tblCost[QuantityRequired],
 ""
)</f>
        <v>300</v>
      </c>
      <c r="H9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929" s="41" t="str">
        <f>_xlfn.XLOOKUP(tblCostChecklist[[#This Row],[TargetID]],tblTargetStatus[TargetID],tblTargetStatus[Status])</f>
        <v>BLOCKED</v>
      </c>
      <c r="J929" s="25" t="b">
        <v>0</v>
      </c>
    </row>
    <row r="930" spans="1:10">
      <c r="A930" s="41" t="s">
        <v>4578</v>
      </c>
      <c r="B930" s="41" t="str">
        <f>_xlfn.TEXTAFTER(
 _xlfn.TEXTBEFORE(tblCostChecklist[[#This Row],[RequirementID]],".",-2),
 "cost."
)</f>
        <v>tech.shop.pre_orders</v>
      </c>
      <c r="C930" s="41" t="str">
        <f>_xlfn.XLOOKUP(tblCostChecklist[[#This Row],[TargetID]],tblTargets[TargetID],tblTargets[DisplayName],"")</f>
        <v>Shop - Pre Orders</v>
      </c>
      <c r="D930" s="41" t="str">
        <f>_xlfn.XLOOKUP(tblCostChecklist[[#This Row],[TargetID]],tblTargets[TargetID],tblTargets[TargetType],"")</f>
        <v>TECH</v>
      </c>
      <c r="E930" s="41" t="s">
        <v>697</v>
      </c>
      <c r="F930" s="41">
        <v>1</v>
      </c>
      <c r="G930" s="41">
        <f>_xlfn.XLOOKUP(
 tblCostChecklist[[#This Row],[RequirementID]],
 tblCost[RequirementID],
 tblCost[QuantityRequired],
 ""
)</f>
        <v>30</v>
      </c>
      <c r="H9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930" s="41" t="str">
        <f>_xlfn.XLOOKUP(tblCostChecklist[[#This Row],[TargetID]],tblTargetStatus[TargetID],tblTargetStatus[Status])</f>
        <v>BLOCKED</v>
      </c>
      <c r="J930" s="25" t="b">
        <v>0</v>
      </c>
    </row>
    <row r="931" spans="1:10">
      <c r="A931" s="41" t="s">
        <v>4579</v>
      </c>
      <c r="B931" s="41" t="str">
        <f>_xlfn.TEXTAFTER(
 _xlfn.TEXTBEFORE(tblCostChecklist[[#This Row],[RequirementID]],".",-2),
 "cost."
)</f>
        <v>tech.shop.pre_orders</v>
      </c>
      <c r="C931" s="41" t="str">
        <f>_xlfn.XLOOKUP(tblCostChecklist[[#This Row],[TargetID]],tblTargets[TargetID],tblTargets[DisplayName],"")</f>
        <v>Shop - Pre Orders</v>
      </c>
      <c r="D931" s="41" t="str">
        <f>_xlfn.XLOOKUP(tblCostChecklist[[#This Row],[TargetID]],tblTargets[TargetID],tblTargets[TargetType],"")</f>
        <v>TECH</v>
      </c>
      <c r="E931" s="41" t="s">
        <v>708</v>
      </c>
      <c r="F931" s="41">
        <v>1</v>
      </c>
      <c r="G931" s="41">
        <f>_xlfn.XLOOKUP(
 tblCostChecklist[[#This Row],[RequirementID]],
 tblCost[RequirementID],
 tblCost[QuantityRequired],
 ""
)</f>
        <v>1</v>
      </c>
      <c r="H9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931" s="41" t="str">
        <f>_xlfn.XLOOKUP(tblCostChecklist[[#This Row],[TargetID]],tblTargetStatus[TargetID],tblTargetStatus[Status])</f>
        <v>BLOCKED</v>
      </c>
      <c r="J931" s="25" t="b">
        <v>0</v>
      </c>
    </row>
    <row r="932" spans="1:10">
      <c r="A932" s="41" t="s">
        <v>4580</v>
      </c>
      <c r="B932" s="41" t="str">
        <f>_xlfn.TEXTAFTER(
 _xlfn.TEXTBEFORE(tblCostChecklist[[#This Row],[RequirementID]],".",-2),
 "cost."
)</f>
        <v>tech.shop.glass_recycling</v>
      </c>
      <c r="C932" s="41" t="str">
        <f>_xlfn.XLOOKUP(tblCostChecklist[[#This Row],[TargetID]],tblTargets[TargetID],tblTargets[DisplayName],"")</f>
        <v>Shop - Glass Recycling</v>
      </c>
      <c r="D932" s="41" t="str">
        <f>_xlfn.XLOOKUP(tblCostChecklist[[#This Row],[TargetID]],tblTargets[TargetID],tblTargets[TargetType],"")</f>
        <v>TECH</v>
      </c>
      <c r="E932" s="41" t="s">
        <v>662</v>
      </c>
      <c r="F932" s="41">
        <v>1</v>
      </c>
      <c r="G932" s="41">
        <f>_xlfn.XLOOKUP(
 tblCostChecklist[[#This Row],[RequirementID]],
 tblCost[RequirementID],
 tblCost[QuantityRequired],
 ""
)</f>
        <v>20</v>
      </c>
      <c r="H9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2" s="41" t="str">
        <f>_xlfn.XLOOKUP(tblCostChecklist[[#This Row],[TargetID]],tblTargetStatus[TargetID],tblTargetStatus[Status])</f>
        <v>BLOCKED</v>
      </c>
      <c r="J932" s="25" t="b">
        <v>0</v>
      </c>
    </row>
    <row r="933" spans="1:10">
      <c r="A933" s="41" t="s">
        <v>4581</v>
      </c>
      <c r="B933" s="41" t="str">
        <f>_xlfn.TEXTAFTER(
 _xlfn.TEXTBEFORE(tblCostChecklist[[#This Row],[RequirementID]],".",-2),
 "cost."
)</f>
        <v>tech.shop.glass_recycling</v>
      </c>
      <c r="C933" s="41" t="str">
        <f>_xlfn.XLOOKUP(tblCostChecklist[[#This Row],[TargetID]],tblTargets[TargetID],tblTargets[DisplayName],"")</f>
        <v>Shop - Glass Recycling</v>
      </c>
      <c r="D933" s="41" t="str">
        <f>_xlfn.XLOOKUP(tblCostChecklist[[#This Row],[TargetID]],tblTargets[TargetID],tblTargets[TargetType],"")</f>
        <v>TECH</v>
      </c>
      <c r="E933" s="41" t="s">
        <v>664</v>
      </c>
      <c r="F933" s="41">
        <v>1</v>
      </c>
      <c r="G933" s="41">
        <f>_xlfn.XLOOKUP(
 tblCostChecklist[[#This Row],[RequirementID]],
 tblCost[RequirementID],
 tblCost[QuantityRequired],
 ""
)</f>
        <v>40</v>
      </c>
      <c r="H9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3" s="41" t="str">
        <f>_xlfn.XLOOKUP(tblCostChecklist[[#This Row],[TargetID]],tblTargetStatus[TargetID],tblTargetStatus[Status])</f>
        <v>BLOCKED</v>
      </c>
      <c r="J933" s="25" t="b">
        <v>0</v>
      </c>
    </row>
    <row r="934" spans="1:10">
      <c r="A934" s="41" t="s">
        <v>4582</v>
      </c>
      <c r="B934" s="41" t="str">
        <f>_xlfn.TEXTAFTER(
 _xlfn.TEXTBEFORE(tblCostChecklist[[#This Row],[RequirementID]],".",-2),
 "cost."
)</f>
        <v>tech.shop.glass_recycling</v>
      </c>
      <c r="C934" s="41" t="str">
        <f>_xlfn.XLOOKUP(tblCostChecklist[[#This Row],[TargetID]],tblTargets[TargetID],tblTargets[DisplayName],"")</f>
        <v>Shop - Glass Recycling</v>
      </c>
      <c r="D934" s="41" t="str">
        <f>_xlfn.XLOOKUP(tblCostChecklist[[#This Row],[TargetID]],tblTargets[TargetID],tblTargets[TargetType],"")</f>
        <v>TECH</v>
      </c>
      <c r="E934" s="41" t="s">
        <v>666</v>
      </c>
      <c r="F934" s="41">
        <v>1</v>
      </c>
      <c r="G934" s="41">
        <f>_xlfn.XLOOKUP(
 tblCostChecklist[[#This Row],[RequirementID]],
 tblCost[RequirementID],
 tblCost[QuantityRequired],
 ""
)</f>
        <v>500</v>
      </c>
      <c r="H9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4" s="41" t="str">
        <f>_xlfn.XLOOKUP(tblCostChecklist[[#This Row],[TargetID]],tblTargetStatus[TargetID],tblTargetStatus[Status])</f>
        <v>BLOCKED</v>
      </c>
      <c r="J934" s="25" t="b">
        <v>0</v>
      </c>
    </row>
    <row r="935" spans="1:10">
      <c r="A935" s="41" t="s">
        <v>4583</v>
      </c>
      <c r="B935" s="41" t="str">
        <f>_xlfn.TEXTAFTER(
 _xlfn.TEXTBEFORE(tblCostChecklist[[#This Row],[RequirementID]],".",-2),
 "cost."
)</f>
        <v>tech.shop.glass_recycling</v>
      </c>
      <c r="C935" s="41" t="str">
        <f>_xlfn.XLOOKUP(tblCostChecklist[[#This Row],[TargetID]],tblTargets[TargetID],tblTargets[DisplayName],"")</f>
        <v>Shop - Glass Recycling</v>
      </c>
      <c r="D935" s="41" t="str">
        <f>_xlfn.XLOOKUP(tblCostChecklist[[#This Row],[TargetID]],tblTargets[TargetID],tblTargets[TargetType],"")</f>
        <v>TECH</v>
      </c>
      <c r="E935" s="41" t="s">
        <v>674</v>
      </c>
      <c r="F935" s="41">
        <v>1</v>
      </c>
      <c r="G935" s="41">
        <f>_xlfn.XLOOKUP(
 tblCostChecklist[[#This Row],[RequirementID]],
 tblCost[RequirementID],
 tblCost[QuantityRequired],
 ""
)</f>
        <v>25</v>
      </c>
      <c r="H9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5" s="41" t="str">
        <f>_xlfn.XLOOKUP(tblCostChecklist[[#This Row],[TargetID]],tblTargetStatus[TargetID],tblTargetStatus[Status])</f>
        <v>BLOCKED</v>
      </c>
      <c r="J935" s="25" t="b">
        <v>0</v>
      </c>
    </row>
    <row r="936" spans="1:10">
      <c r="A936" s="41" t="s">
        <v>4584</v>
      </c>
      <c r="B936" s="41" t="str">
        <f>_xlfn.TEXTAFTER(
 _xlfn.TEXTBEFORE(tblCostChecklist[[#This Row],[RequirementID]],".",-2),
 "cost."
)</f>
        <v>tech.shop.glass_recycling</v>
      </c>
      <c r="C936" s="41" t="str">
        <f>_xlfn.XLOOKUP(tblCostChecklist[[#This Row],[TargetID]],tblTargets[TargetID],tblTargets[DisplayName],"")</f>
        <v>Shop - Glass Recycling</v>
      </c>
      <c r="D936" s="41" t="str">
        <f>_xlfn.XLOOKUP(tblCostChecklist[[#This Row],[TargetID]],tblTargets[TargetID],tblTargets[TargetType],"")</f>
        <v>TECH</v>
      </c>
      <c r="E936" s="41" t="s">
        <v>701</v>
      </c>
      <c r="F936" s="41">
        <v>1</v>
      </c>
      <c r="G936" s="41">
        <f>_xlfn.XLOOKUP(
 tblCostChecklist[[#This Row],[RequirementID]],
 tblCost[RequirementID],
 tblCost[QuantityRequired],
 ""
)</f>
        <v>100</v>
      </c>
      <c r="H9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6" s="41" t="str">
        <f>_xlfn.XLOOKUP(tblCostChecklist[[#This Row],[TargetID]],tblTargetStatus[TargetID],tblTargetStatus[Status])</f>
        <v>BLOCKED</v>
      </c>
      <c r="J936" s="25" t="b">
        <v>0</v>
      </c>
    </row>
    <row r="937" spans="1:10">
      <c r="A937" s="41" t="s">
        <v>4585</v>
      </c>
      <c r="B937" s="41" t="str">
        <f>_xlfn.TEXTAFTER(
 _xlfn.TEXTBEFORE(tblCostChecklist[[#This Row],[RequirementID]],".",-2),
 "cost."
)</f>
        <v>tech.shop.glass_recycling</v>
      </c>
      <c r="C937" s="41" t="str">
        <f>_xlfn.XLOOKUP(tblCostChecklist[[#This Row],[TargetID]],tblTargets[TargetID],tblTargets[DisplayName],"")</f>
        <v>Shop - Glass Recycling</v>
      </c>
      <c r="D937" s="41" t="str">
        <f>_xlfn.XLOOKUP(tblCostChecklist[[#This Row],[TargetID]],tblTargets[TargetID],tblTargets[TargetType],"")</f>
        <v>TECH</v>
      </c>
      <c r="E937" s="41" t="s">
        <v>708</v>
      </c>
      <c r="F937" s="41">
        <v>1</v>
      </c>
      <c r="G937" s="41">
        <f>_xlfn.XLOOKUP(
 tblCostChecklist[[#This Row],[RequirementID]],
 tblCost[RequirementID],
 tblCost[QuantityRequired],
 ""
)</f>
        <v>5</v>
      </c>
      <c r="H9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7" s="41" t="str">
        <f>_xlfn.XLOOKUP(tblCostChecklist[[#This Row],[TargetID]],tblTargetStatus[TargetID],tblTargetStatus[Status])</f>
        <v>BLOCKED</v>
      </c>
      <c r="J937" s="25" t="b">
        <v>0</v>
      </c>
    </row>
    <row r="938" spans="1:10">
      <c r="A938" s="41" t="s">
        <v>4586</v>
      </c>
      <c r="B938" s="41" t="str">
        <f>_xlfn.TEXTAFTER(
 _xlfn.TEXTBEFORE(tblCostChecklist[[#This Row],[RequirementID]],".",-2),
 "cost."
)</f>
        <v>tech.smithy.throwing_knife</v>
      </c>
      <c r="C938" s="41" t="str">
        <f>_xlfn.XLOOKUP(tblCostChecklist[[#This Row],[TargetID]],tblTargets[TargetID],tblTargets[DisplayName],"")</f>
        <v>Smithy - Throwing Knife</v>
      </c>
      <c r="D938" s="41" t="str">
        <f>_xlfn.XLOOKUP(tblCostChecklist[[#This Row],[TargetID]],tblTargets[TargetID],tblTargets[TargetType],"")</f>
        <v>TECH</v>
      </c>
      <c r="E938" s="41" t="s">
        <v>666</v>
      </c>
      <c r="F938" s="41">
        <v>1</v>
      </c>
      <c r="G938" s="41">
        <f>_xlfn.XLOOKUP(
 tblCostChecklist[[#This Row],[RequirementID]],
 tblCost[RequirementID],
 tblCost[QuantityRequired],
 ""
)</f>
        <v>300</v>
      </c>
      <c r="H9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8" s="41" t="str">
        <f>_xlfn.XLOOKUP(tblCostChecklist[[#This Row],[TargetID]],tblTargetStatus[TargetID],tblTargetStatus[Status])</f>
        <v>BLOCKED</v>
      </c>
      <c r="J938" s="25" t="b">
        <v>0</v>
      </c>
    </row>
    <row r="939" spans="1:10">
      <c r="A939" s="41" t="s">
        <v>4587</v>
      </c>
      <c r="B939" s="41" t="str">
        <f>_xlfn.TEXTAFTER(
 _xlfn.TEXTBEFORE(tblCostChecklist[[#This Row],[RequirementID]],".",-2),
 "cost."
)</f>
        <v>tech.smithy.throwing_knife</v>
      </c>
      <c r="C939" s="41" t="str">
        <f>_xlfn.XLOOKUP(tblCostChecklist[[#This Row],[TargetID]],tblTargets[TargetID],tblTargets[DisplayName],"")</f>
        <v>Smithy - Throwing Knife</v>
      </c>
      <c r="D939" s="41" t="str">
        <f>_xlfn.XLOOKUP(tblCostChecklist[[#This Row],[TargetID]],tblTargets[TargetID],tblTargets[TargetType],"")</f>
        <v>TECH</v>
      </c>
      <c r="E939" s="41" t="s">
        <v>690</v>
      </c>
      <c r="F939" s="41">
        <v>1</v>
      </c>
      <c r="G939" s="41">
        <f>_xlfn.XLOOKUP(
 tblCostChecklist[[#This Row],[RequirementID]],
 tblCost[RequirementID],
 tblCost[QuantityRequired],
 ""
)</f>
        <v>30</v>
      </c>
      <c r="H9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9" s="41" t="str">
        <f>_xlfn.XLOOKUP(tblCostChecklist[[#This Row],[TargetID]],tblTargetStatus[TargetID],tblTargetStatus[Status])</f>
        <v>BLOCKED</v>
      </c>
      <c r="J939" s="25" t="b">
        <v>0</v>
      </c>
    </row>
    <row r="940" spans="1:10">
      <c r="A940" s="41" t="s">
        <v>4588</v>
      </c>
      <c r="B940" s="41" t="str">
        <f>_xlfn.TEXTAFTER(
 _xlfn.TEXTBEFORE(tblCostChecklist[[#This Row],[RequirementID]],".",-2),
 "cost."
)</f>
        <v>tech.smithy.throwing_knife</v>
      </c>
      <c r="C940" s="41" t="str">
        <f>_xlfn.XLOOKUP(tblCostChecklist[[#This Row],[TargetID]],tblTargets[TargetID],tblTargets[DisplayName],"")</f>
        <v>Smithy - Throwing Knife</v>
      </c>
      <c r="D940" s="41" t="str">
        <f>_xlfn.XLOOKUP(tblCostChecklist[[#This Row],[TargetID]],tblTargets[TargetID],tblTargets[TargetType],"")</f>
        <v>TECH</v>
      </c>
      <c r="E940" s="41" t="s">
        <v>696</v>
      </c>
      <c r="F940" s="41">
        <v>1</v>
      </c>
      <c r="G940" s="41">
        <f>_xlfn.XLOOKUP(
 tblCostChecklist[[#This Row],[RequirementID]],
 tblCost[RequirementID],
 tblCost[QuantityRequired],
 ""
)</f>
        <v>15</v>
      </c>
      <c r="H9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0" s="41" t="str">
        <f>_xlfn.XLOOKUP(tblCostChecklist[[#This Row],[TargetID]],tblTargetStatus[TargetID],tblTargetStatus[Status])</f>
        <v>BLOCKED</v>
      </c>
      <c r="J940" s="25" t="b">
        <v>0</v>
      </c>
    </row>
    <row r="941" spans="1:10">
      <c r="A941" s="41" t="s">
        <v>4589</v>
      </c>
      <c r="B941" s="41" t="str">
        <f>_xlfn.TEXTAFTER(
 _xlfn.TEXTBEFORE(tblCostChecklist[[#This Row],[RequirementID]],".",-2),
 "cost."
)</f>
        <v>tech.smithy.throwing_knife</v>
      </c>
      <c r="C941" s="41" t="str">
        <f>_xlfn.XLOOKUP(tblCostChecklist[[#This Row],[TargetID]],tblTargets[TargetID],tblTargets[DisplayName],"")</f>
        <v>Smithy - Throwing Knife</v>
      </c>
      <c r="D941" s="41" t="str">
        <f>_xlfn.XLOOKUP(tblCostChecklist[[#This Row],[TargetID]],tblTargets[TargetID],tblTargets[TargetType],"")</f>
        <v>TECH</v>
      </c>
      <c r="E941" s="41" t="s">
        <v>708</v>
      </c>
      <c r="F941" s="41">
        <v>1</v>
      </c>
      <c r="G941" s="41">
        <f>_xlfn.XLOOKUP(
 tblCostChecklist[[#This Row],[RequirementID]],
 tblCost[RequirementID],
 tblCost[QuantityRequired],
 ""
)</f>
        <v>2</v>
      </c>
      <c r="H9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1" s="41" t="str">
        <f>_xlfn.XLOOKUP(tblCostChecklist[[#This Row],[TargetID]],tblTargetStatus[TargetID],tblTargetStatus[Status])</f>
        <v>BLOCKED</v>
      </c>
      <c r="J941" s="25" t="b">
        <v>0</v>
      </c>
    </row>
    <row r="942" spans="1:10">
      <c r="A942" s="41" t="s">
        <v>4590</v>
      </c>
      <c r="B942" s="41" t="str">
        <f>_xlfn.TEXTAFTER(
 _xlfn.TEXTBEFORE(tblCostChecklist[[#This Row],[RequirementID]],".",-2),
 "cost."
)</f>
        <v>tech.smithy.sword_for_a_hero_lvl_1</v>
      </c>
      <c r="C942" s="41" t="str">
        <f>_xlfn.XLOOKUP(tblCostChecklist[[#This Row],[TargetID]],tblTargets[TargetID],tblTargets[DisplayName],"")</f>
        <v>Smithy - Sword For A Hero Lvl 1</v>
      </c>
      <c r="D942" s="41" t="str">
        <f>_xlfn.XLOOKUP(tblCostChecklist[[#This Row],[TargetID]],tblTargets[TargetID],tblTargets[TargetType],"")</f>
        <v>TECH</v>
      </c>
      <c r="E942" s="41" t="s">
        <v>663</v>
      </c>
      <c r="F942" s="41">
        <v>1</v>
      </c>
      <c r="G942" s="41">
        <f>_xlfn.XLOOKUP(
 tblCostChecklist[[#This Row],[RequirementID]],
 tblCost[RequirementID],
 tblCost[QuantityRequired],
 ""
)</f>
        <v>50</v>
      </c>
      <c r="H9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2" s="41" t="str">
        <f>_xlfn.XLOOKUP(tblCostChecklist[[#This Row],[TargetID]],tblTargetStatus[TargetID],tblTargetStatus[Status])</f>
        <v>BLOCKED</v>
      </c>
      <c r="J942" s="25" t="b">
        <v>0</v>
      </c>
    </row>
    <row r="943" spans="1:10">
      <c r="A943" s="41" t="s">
        <v>4591</v>
      </c>
      <c r="B943" s="41" t="str">
        <f>_xlfn.TEXTAFTER(
 _xlfn.TEXTBEFORE(tblCostChecklist[[#This Row],[RequirementID]],".",-2),
 "cost."
)</f>
        <v>tech.smithy.sword_for_a_hero_lvl_1</v>
      </c>
      <c r="C943" s="41" t="str">
        <f>_xlfn.XLOOKUP(tblCostChecklist[[#This Row],[TargetID]],tblTargets[TargetID],tblTargets[DisplayName],"")</f>
        <v>Smithy - Sword For A Hero Lvl 1</v>
      </c>
      <c r="D943" s="41" t="str">
        <f>_xlfn.XLOOKUP(tblCostChecklist[[#This Row],[TargetID]],tblTargets[TargetID],tblTargets[TargetType],"")</f>
        <v>TECH</v>
      </c>
      <c r="E943" s="41" t="s">
        <v>666</v>
      </c>
      <c r="F943" s="41">
        <v>1</v>
      </c>
      <c r="G943" s="41">
        <f>_xlfn.XLOOKUP(
 tblCostChecklist[[#This Row],[RequirementID]],
 tblCost[RequirementID],
 tblCost[QuantityRequired],
 ""
)</f>
        <v>300</v>
      </c>
      <c r="H9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3" s="41" t="str">
        <f>_xlfn.XLOOKUP(tblCostChecklist[[#This Row],[TargetID]],tblTargetStatus[TargetID],tblTargetStatus[Status])</f>
        <v>BLOCKED</v>
      </c>
      <c r="J943" s="25" t="b">
        <v>0</v>
      </c>
    </row>
    <row r="944" spans="1:10">
      <c r="A944" s="41" t="s">
        <v>4592</v>
      </c>
      <c r="B944" s="41" t="str">
        <f>_xlfn.TEXTAFTER(
 _xlfn.TEXTBEFORE(tblCostChecklist[[#This Row],[RequirementID]],".",-2),
 "cost."
)</f>
        <v>tech.smithy.sword_for_a_hero_lvl_1</v>
      </c>
      <c r="C944" s="41" t="str">
        <f>_xlfn.XLOOKUP(tblCostChecklist[[#This Row],[TargetID]],tblTargets[TargetID],tblTargets[DisplayName],"")</f>
        <v>Smithy - Sword For A Hero Lvl 1</v>
      </c>
      <c r="D944" s="41" t="str">
        <f>_xlfn.XLOOKUP(tblCostChecklist[[#This Row],[TargetID]],tblTargets[TargetID],tblTargets[TargetType],"")</f>
        <v>TECH</v>
      </c>
      <c r="E944" s="41" t="s">
        <v>690</v>
      </c>
      <c r="F944" s="41">
        <v>1</v>
      </c>
      <c r="G944" s="41">
        <f>_xlfn.XLOOKUP(
 tblCostChecklist[[#This Row],[RequirementID]],
 tblCost[RequirementID],
 tblCost[QuantityRequired],
 ""
)</f>
        <v>40</v>
      </c>
      <c r="H9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4" s="41" t="str">
        <f>_xlfn.XLOOKUP(tblCostChecklist[[#This Row],[TargetID]],tblTargetStatus[TargetID],tblTargetStatus[Status])</f>
        <v>BLOCKED</v>
      </c>
      <c r="J944" s="25" t="b">
        <v>0</v>
      </c>
    </row>
    <row r="945" spans="1:10">
      <c r="A945" s="41" t="s">
        <v>4593</v>
      </c>
      <c r="B945" s="41" t="str">
        <f>_xlfn.TEXTAFTER(
 _xlfn.TEXTBEFORE(tblCostChecklist[[#This Row],[RequirementID]],".",-2),
 "cost."
)</f>
        <v>tech.smithy.sword_for_a_hero_lvl_1</v>
      </c>
      <c r="C945" s="41" t="str">
        <f>_xlfn.XLOOKUP(tblCostChecklist[[#This Row],[TargetID]],tblTargets[TargetID],tblTargets[DisplayName],"")</f>
        <v>Smithy - Sword For A Hero Lvl 1</v>
      </c>
      <c r="D945" s="41" t="str">
        <f>_xlfn.XLOOKUP(tblCostChecklist[[#This Row],[TargetID]],tblTargets[TargetID],tblTargets[TargetType],"")</f>
        <v>TECH</v>
      </c>
      <c r="E945" s="41" t="s">
        <v>696</v>
      </c>
      <c r="F945" s="41">
        <v>1</v>
      </c>
      <c r="G945" s="41">
        <f>_xlfn.XLOOKUP(
 tblCostChecklist[[#This Row],[RequirementID]],
 tblCost[RequirementID],
 tblCost[QuantityRequired],
 ""
)</f>
        <v>20</v>
      </c>
      <c r="H9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5" s="41" t="str">
        <f>_xlfn.XLOOKUP(tblCostChecklist[[#This Row],[TargetID]],tblTargetStatus[TargetID],tblTargetStatus[Status])</f>
        <v>BLOCKED</v>
      </c>
      <c r="J945" s="25" t="b">
        <v>0</v>
      </c>
    </row>
    <row r="946" spans="1:10">
      <c r="A946" s="41" t="s">
        <v>4594</v>
      </c>
      <c r="B946" s="41" t="str">
        <f>_xlfn.TEXTAFTER(
 _xlfn.TEXTBEFORE(tblCostChecklist[[#This Row],[RequirementID]],".",-2),
 "cost."
)</f>
        <v>tech.smithy.sword_for_a_hero_lvl_1</v>
      </c>
      <c r="C946" s="41" t="str">
        <f>_xlfn.XLOOKUP(tblCostChecklist[[#This Row],[TargetID]],tblTargets[TargetID],tblTargets[DisplayName],"")</f>
        <v>Smithy - Sword For A Hero Lvl 1</v>
      </c>
      <c r="D946" s="41" t="str">
        <f>_xlfn.XLOOKUP(tblCostChecklist[[#This Row],[TargetID]],tblTargets[TargetID],tblTargets[TargetType],"")</f>
        <v>TECH</v>
      </c>
      <c r="E946" s="41" t="s">
        <v>708</v>
      </c>
      <c r="F946" s="41">
        <v>1</v>
      </c>
      <c r="G946" s="41">
        <f>_xlfn.XLOOKUP(
 tblCostChecklist[[#This Row],[RequirementID]],
 tblCost[RequirementID],
 tblCost[QuantityRequired],
 ""
)</f>
        <v>2</v>
      </c>
      <c r="H9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6" s="41" t="str">
        <f>_xlfn.XLOOKUP(tblCostChecklist[[#This Row],[TargetID]],tblTargetStatus[TargetID],tblTargetStatus[Status])</f>
        <v>BLOCKED</v>
      </c>
      <c r="J946" s="25" t="b">
        <v>0</v>
      </c>
    </row>
    <row r="947" spans="1:10">
      <c r="A947" s="41" t="s">
        <v>4595</v>
      </c>
      <c r="B947" s="41" t="str">
        <f>_xlfn.TEXTAFTER(
 _xlfn.TEXTBEFORE(tblCostChecklist[[#This Row],[RequirementID]],".",-2),
 "cost."
)</f>
        <v>tech.smithy.sword_for_a_hero_lvl_1</v>
      </c>
      <c r="C947" s="41" t="str">
        <f>_xlfn.XLOOKUP(tblCostChecklist[[#This Row],[TargetID]],tblTargets[TargetID],tblTargets[DisplayName],"")</f>
        <v>Smithy - Sword For A Hero Lvl 1</v>
      </c>
      <c r="D947" s="41" t="str">
        <f>_xlfn.XLOOKUP(tblCostChecklist[[#This Row],[TargetID]],tblTargets[TargetID],tblTargets[TargetType],"")</f>
        <v>TECH</v>
      </c>
      <c r="E947" s="41" t="s">
        <v>716</v>
      </c>
      <c r="F947" s="41">
        <v>1</v>
      </c>
      <c r="G947" s="41">
        <f>_xlfn.XLOOKUP(
 tblCostChecklist[[#This Row],[RequirementID]],
 tblCost[RequirementID],
 tblCost[QuantityRequired],
 ""
)</f>
        <v>50</v>
      </c>
      <c r="H9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7" s="41" t="str">
        <f>_xlfn.XLOOKUP(tblCostChecklist[[#This Row],[TargetID]],tblTargetStatus[TargetID],tblTargetStatus[Status])</f>
        <v>BLOCKED</v>
      </c>
      <c r="J947" s="25" t="b">
        <v>0</v>
      </c>
    </row>
    <row r="948" spans="1:10">
      <c r="A948" s="41" t="s">
        <v>4596</v>
      </c>
      <c r="B948" s="41" t="str">
        <f>_xlfn.TEXTAFTER(
 _xlfn.TEXTBEFORE(tblCostChecklist[[#This Row],[RequirementID]],".",-2),
 "cost."
)</f>
        <v>tech.smithy.sword_for_a_hero_lvl_2</v>
      </c>
      <c r="C948" s="41" t="str">
        <f>_xlfn.XLOOKUP(tblCostChecklist[[#This Row],[TargetID]],tblTargets[TargetID],tblTargets[DisplayName],"")</f>
        <v>Smithy - Sword For A Hero Lvl 2</v>
      </c>
      <c r="D948" s="41" t="str">
        <f>_xlfn.XLOOKUP(tblCostChecklist[[#This Row],[TargetID]],tblTargets[TargetID],tblTargets[TargetType],"")</f>
        <v>TECH</v>
      </c>
      <c r="E948" s="41" t="s">
        <v>662</v>
      </c>
      <c r="F948" s="41">
        <v>1</v>
      </c>
      <c r="G948" s="41">
        <f>_xlfn.XLOOKUP(
 tblCostChecklist[[#This Row],[RequirementID]],
 tblCost[RequirementID],
 tblCost[QuantityRequired],
 ""
)</f>
        <v>15</v>
      </c>
      <c r="H9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8" s="41" t="str">
        <f>_xlfn.XLOOKUP(tblCostChecklist[[#This Row],[TargetID]],tblTargetStatus[TargetID],tblTargetStatus[Status])</f>
        <v>BLOCKED</v>
      </c>
      <c r="J948" s="25" t="b">
        <v>0</v>
      </c>
    </row>
    <row r="949" spans="1:10">
      <c r="A949" s="41" t="s">
        <v>4597</v>
      </c>
      <c r="B949" s="41" t="str">
        <f>_xlfn.TEXTAFTER(
 _xlfn.TEXTBEFORE(tblCostChecklist[[#This Row],[RequirementID]],".",-2),
 "cost."
)</f>
        <v>tech.smithy.sword_for_a_hero_lvl_2</v>
      </c>
      <c r="C949" s="41" t="str">
        <f>_xlfn.XLOOKUP(tblCostChecklist[[#This Row],[TargetID]],tblTargets[TargetID],tblTargets[DisplayName],"")</f>
        <v>Smithy - Sword For A Hero Lvl 2</v>
      </c>
      <c r="D949" s="41" t="str">
        <f>_xlfn.XLOOKUP(tblCostChecklist[[#This Row],[TargetID]],tblTargets[TargetID],tblTargets[TargetType],"")</f>
        <v>TECH</v>
      </c>
      <c r="E949" s="41" t="s">
        <v>663</v>
      </c>
      <c r="F949" s="41">
        <v>1</v>
      </c>
      <c r="G949" s="41">
        <f>_xlfn.XLOOKUP(
 tblCostChecklist[[#This Row],[RequirementID]],
 tblCost[RequirementID],
 tblCost[QuantityRequired],
 ""
)</f>
        <v>100</v>
      </c>
      <c r="H9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9" s="41" t="str">
        <f>_xlfn.XLOOKUP(tblCostChecklist[[#This Row],[TargetID]],tblTargetStatus[TargetID],tblTargetStatus[Status])</f>
        <v>BLOCKED</v>
      </c>
      <c r="J949" s="25" t="b">
        <v>0</v>
      </c>
    </row>
    <row r="950" spans="1:10">
      <c r="A950" s="41" t="s">
        <v>4598</v>
      </c>
      <c r="B950" s="41" t="str">
        <f>_xlfn.TEXTAFTER(
 _xlfn.TEXTBEFORE(tblCostChecklist[[#This Row],[RequirementID]],".",-2),
 "cost."
)</f>
        <v>tech.smithy.sword_for_a_hero_lvl_2</v>
      </c>
      <c r="C950" s="41" t="str">
        <f>_xlfn.XLOOKUP(tblCostChecklist[[#This Row],[TargetID]],tblTargets[TargetID],tblTargets[DisplayName],"")</f>
        <v>Smithy - Sword For A Hero Lvl 2</v>
      </c>
      <c r="D950" s="41" t="str">
        <f>_xlfn.XLOOKUP(tblCostChecklist[[#This Row],[TargetID]],tblTargets[TargetID],tblTargets[TargetType],"")</f>
        <v>TECH</v>
      </c>
      <c r="E950" s="41" t="s">
        <v>666</v>
      </c>
      <c r="F950" s="41">
        <v>1</v>
      </c>
      <c r="G950" s="41">
        <f>_xlfn.XLOOKUP(
 tblCostChecklist[[#This Row],[RequirementID]],
 tblCost[RequirementID],
 tblCost[QuantityRequired],
 ""
)</f>
        <v>500</v>
      </c>
      <c r="H9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0" s="41" t="str">
        <f>_xlfn.XLOOKUP(tblCostChecklist[[#This Row],[TargetID]],tblTargetStatus[TargetID],tblTargetStatus[Status])</f>
        <v>BLOCKED</v>
      </c>
      <c r="J950" s="25" t="b">
        <v>0</v>
      </c>
    </row>
    <row r="951" spans="1:10">
      <c r="A951" s="41" t="s">
        <v>4599</v>
      </c>
      <c r="B951" s="41" t="str">
        <f>_xlfn.TEXTAFTER(
 _xlfn.TEXTBEFORE(tblCostChecklist[[#This Row],[RequirementID]],".",-2),
 "cost."
)</f>
        <v>tech.smithy.sword_for_a_hero_lvl_2</v>
      </c>
      <c r="C951" s="41" t="str">
        <f>_xlfn.XLOOKUP(tblCostChecklist[[#This Row],[TargetID]],tblTargets[TargetID],tblTargets[DisplayName],"")</f>
        <v>Smithy - Sword For A Hero Lvl 2</v>
      </c>
      <c r="D951" s="41" t="str">
        <f>_xlfn.XLOOKUP(tblCostChecklist[[#This Row],[TargetID]],tblTargets[TargetID],tblTargets[TargetType],"")</f>
        <v>TECH</v>
      </c>
      <c r="E951" s="41" t="s">
        <v>693</v>
      </c>
      <c r="F951" s="41">
        <v>1</v>
      </c>
      <c r="G951" s="41">
        <f>_xlfn.XLOOKUP(
 tblCostChecklist[[#This Row],[RequirementID]],
 tblCost[RequirementID],
 tblCost[QuantityRequired],
 ""
)</f>
        <v>40</v>
      </c>
      <c r="H9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1" s="41" t="str">
        <f>_xlfn.XLOOKUP(tblCostChecklist[[#This Row],[TargetID]],tblTargetStatus[TargetID],tblTargetStatus[Status])</f>
        <v>BLOCKED</v>
      </c>
      <c r="J951" s="25" t="b">
        <v>0</v>
      </c>
    </row>
    <row r="952" spans="1:10">
      <c r="A952" s="41" t="s">
        <v>4600</v>
      </c>
      <c r="B952" s="41" t="str">
        <f>_xlfn.TEXTAFTER(
 _xlfn.TEXTBEFORE(tblCostChecklist[[#This Row],[RequirementID]],".",-2),
 "cost."
)</f>
        <v>tech.smithy.sword_for_a_hero_lvl_2</v>
      </c>
      <c r="C952" s="41" t="str">
        <f>_xlfn.XLOOKUP(tblCostChecklist[[#This Row],[TargetID]],tblTargets[TargetID],tblTargets[DisplayName],"")</f>
        <v>Smithy - Sword For A Hero Lvl 2</v>
      </c>
      <c r="D952" s="41" t="str">
        <f>_xlfn.XLOOKUP(tblCostChecklist[[#This Row],[TargetID]],tblTargets[TargetID],tblTargets[TargetType],"")</f>
        <v>TECH</v>
      </c>
      <c r="E952" s="41" t="s">
        <v>708</v>
      </c>
      <c r="F952" s="41">
        <v>1</v>
      </c>
      <c r="G952" s="41">
        <f>_xlfn.XLOOKUP(
 tblCostChecklist[[#This Row],[RequirementID]],
 tblCost[RequirementID],
 tblCost[QuantityRequired],
 ""
)</f>
        <v>3</v>
      </c>
      <c r="H9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2" s="41" t="str">
        <f>_xlfn.XLOOKUP(tblCostChecklist[[#This Row],[TargetID]],tblTargetStatus[TargetID],tblTargetStatus[Status])</f>
        <v>BLOCKED</v>
      </c>
      <c r="J952" s="25" t="b">
        <v>0</v>
      </c>
    </row>
    <row r="953" spans="1:10">
      <c r="A953" s="41" t="s">
        <v>4601</v>
      </c>
      <c r="B953" s="41" t="str">
        <f>_xlfn.TEXTAFTER(
 _xlfn.TEXTBEFORE(tblCostChecklist[[#This Row],[RequirementID]],".",-2),
 "cost."
)</f>
        <v>tech.smithy.sword_for_a_hero_lvl_2</v>
      </c>
      <c r="C953" s="41" t="str">
        <f>_xlfn.XLOOKUP(tblCostChecklist[[#This Row],[TargetID]],tblTargets[TargetID],tblTargets[DisplayName],"")</f>
        <v>Smithy - Sword For A Hero Lvl 2</v>
      </c>
      <c r="D953" s="41" t="str">
        <f>_xlfn.XLOOKUP(tblCostChecklist[[#This Row],[TargetID]],tblTargets[TargetID],tblTargets[TargetType],"")</f>
        <v>TECH</v>
      </c>
      <c r="E953" s="41" t="s">
        <v>716</v>
      </c>
      <c r="F953" s="41">
        <v>1</v>
      </c>
      <c r="G953" s="41">
        <f>_xlfn.XLOOKUP(
 tblCostChecklist[[#This Row],[RequirementID]],
 tblCost[RequirementID],
 tblCost[QuantityRequired],
 ""
)</f>
        <v>100</v>
      </c>
      <c r="H9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3" s="41" t="str">
        <f>_xlfn.XLOOKUP(tblCostChecklist[[#This Row],[TargetID]],tblTargetStatus[TargetID],tblTargetStatus[Status])</f>
        <v>BLOCKED</v>
      </c>
      <c r="J953" s="25" t="b">
        <v>0</v>
      </c>
    </row>
    <row r="954" spans="1:10">
      <c r="A954" s="41" t="s">
        <v>4602</v>
      </c>
      <c r="B954" s="41" t="str">
        <f>_xlfn.TEXTAFTER(
 _xlfn.TEXTBEFORE(tblCostChecklist[[#This Row],[RequirementID]],".",-2),
 "cost."
)</f>
        <v>tech.smithy.sword_for_a_hero_lvl_3</v>
      </c>
      <c r="C954" s="41" t="str">
        <f>_xlfn.XLOOKUP(tblCostChecklist[[#This Row],[TargetID]],tblTargets[TargetID],tblTargets[DisplayName],"")</f>
        <v>Smithy - Sword For A Hero Lvl 3</v>
      </c>
      <c r="D954" s="41" t="str">
        <f>_xlfn.XLOOKUP(tblCostChecklist[[#This Row],[TargetID]],tblTargets[TargetID],tblTargets[TargetType],"")</f>
        <v>TECH</v>
      </c>
      <c r="E954" s="41" t="s">
        <v>662</v>
      </c>
      <c r="F954" s="41">
        <v>1</v>
      </c>
      <c r="G954" s="41">
        <f>_xlfn.XLOOKUP(
 tblCostChecklist[[#This Row],[RequirementID]],
 tblCost[RequirementID],
 tblCost[QuantityRequired],
 ""
)</f>
        <v>20</v>
      </c>
      <c r="H9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4" s="41" t="str">
        <f>_xlfn.XLOOKUP(tblCostChecklist[[#This Row],[TargetID]],tblTargetStatus[TargetID],tblTargetStatus[Status])</f>
        <v>BLOCKED</v>
      </c>
      <c r="J954" s="25" t="b">
        <v>0</v>
      </c>
    </row>
    <row r="955" spans="1:10">
      <c r="A955" s="41" t="s">
        <v>4603</v>
      </c>
      <c r="B955" s="41" t="str">
        <f>_xlfn.TEXTAFTER(
 _xlfn.TEXTBEFORE(tblCostChecklist[[#This Row],[RequirementID]],".",-2),
 "cost."
)</f>
        <v>tech.smithy.sword_for_a_hero_lvl_3</v>
      </c>
      <c r="C955" s="41" t="str">
        <f>_xlfn.XLOOKUP(tblCostChecklist[[#This Row],[TargetID]],tblTargets[TargetID],tblTargets[DisplayName],"")</f>
        <v>Smithy - Sword For A Hero Lvl 3</v>
      </c>
      <c r="D955" s="41" t="str">
        <f>_xlfn.XLOOKUP(tblCostChecklist[[#This Row],[TargetID]],tblTargets[TargetID],tblTargets[TargetType],"")</f>
        <v>TECH</v>
      </c>
      <c r="E955" s="41" t="s">
        <v>663</v>
      </c>
      <c r="F955" s="41">
        <v>1</v>
      </c>
      <c r="G955" s="41">
        <f>_xlfn.XLOOKUP(
 tblCostChecklist[[#This Row],[RequirementID]],
 tblCost[RequirementID],
 tblCost[QuantityRequired],
 ""
)</f>
        <v>200</v>
      </c>
      <c r="H9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5" s="41" t="str">
        <f>_xlfn.XLOOKUP(tblCostChecklist[[#This Row],[TargetID]],tblTargetStatus[TargetID],tblTargetStatus[Status])</f>
        <v>BLOCKED</v>
      </c>
      <c r="J955" s="25" t="b">
        <v>0</v>
      </c>
    </row>
    <row r="956" spans="1:10">
      <c r="A956" s="41" t="s">
        <v>4604</v>
      </c>
      <c r="B956" s="41" t="str">
        <f>_xlfn.TEXTAFTER(
 _xlfn.TEXTBEFORE(tblCostChecklist[[#This Row],[RequirementID]],".",-2),
 "cost."
)</f>
        <v>tech.smithy.sword_for_a_hero_lvl_3</v>
      </c>
      <c r="C956" s="41" t="str">
        <f>_xlfn.XLOOKUP(tblCostChecklist[[#This Row],[TargetID]],tblTargets[TargetID],tblTargets[DisplayName],"")</f>
        <v>Smithy - Sword For A Hero Lvl 3</v>
      </c>
      <c r="D956" s="41" t="str">
        <f>_xlfn.XLOOKUP(tblCostChecklist[[#This Row],[TargetID]],tblTargets[TargetID],tblTargets[TargetType],"")</f>
        <v>TECH</v>
      </c>
      <c r="E956" s="41" t="s">
        <v>666</v>
      </c>
      <c r="F956" s="41">
        <v>1</v>
      </c>
      <c r="G956" s="41">
        <f>_xlfn.XLOOKUP(
 tblCostChecklist[[#This Row],[RequirementID]],
 tblCost[RequirementID],
 tblCost[QuantityRequired],
 ""
)</f>
        <v>1000</v>
      </c>
      <c r="H9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6" s="41" t="str">
        <f>_xlfn.XLOOKUP(tblCostChecklist[[#This Row],[TargetID]],tblTargetStatus[TargetID],tblTargetStatus[Status])</f>
        <v>BLOCKED</v>
      </c>
      <c r="J956" s="25" t="b">
        <v>0</v>
      </c>
    </row>
    <row r="957" spans="1:10">
      <c r="A957" s="41" t="s">
        <v>4605</v>
      </c>
      <c r="B957" s="41" t="str">
        <f>_xlfn.TEXTAFTER(
 _xlfn.TEXTBEFORE(tblCostChecklist[[#This Row],[RequirementID]],".",-2),
 "cost."
)</f>
        <v>tech.smithy.sword_for_a_hero_lvl_3</v>
      </c>
      <c r="C957" s="41" t="str">
        <f>_xlfn.XLOOKUP(tblCostChecklist[[#This Row],[TargetID]],tblTargets[TargetID],tblTargets[DisplayName],"")</f>
        <v>Smithy - Sword For A Hero Lvl 3</v>
      </c>
      <c r="D957" s="41" t="str">
        <f>_xlfn.XLOOKUP(tblCostChecklist[[#This Row],[TargetID]],tblTargets[TargetID],tblTargets[TargetType],"")</f>
        <v>TECH</v>
      </c>
      <c r="E957" s="41" t="s">
        <v>693</v>
      </c>
      <c r="F957" s="41">
        <v>1</v>
      </c>
      <c r="G957" s="41">
        <f>_xlfn.XLOOKUP(
 tblCostChecklist[[#This Row],[RequirementID]],
 tblCost[RequirementID],
 tblCost[QuantityRequired],
 ""
)</f>
        <v>60</v>
      </c>
      <c r="H9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7" s="41" t="str">
        <f>_xlfn.XLOOKUP(tblCostChecklist[[#This Row],[TargetID]],tblTargetStatus[TargetID],tblTargetStatus[Status])</f>
        <v>BLOCKED</v>
      </c>
      <c r="J957" s="25" t="b">
        <v>0</v>
      </c>
    </row>
    <row r="958" spans="1:10">
      <c r="A958" s="41" t="s">
        <v>4606</v>
      </c>
      <c r="B958" s="41" t="str">
        <f>_xlfn.TEXTAFTER(
 _xlfn.TEXTBEFORE(tblCostChecklist[[#This Row],[RequirementID]],".",-2),
 "cost."
)</f>
        <v>tech.smithy.sword_for_a_hero_lvl_3</v>
      </c>
      <c r="C958" s="41" t="str">
        <f>_xlfn.XLOOKUP(tblCostChecklist[[#This Row],[TargetID]],tblTargets[TargetID],tblTargets[DisplayName],"")</f>
        <v>Smithy - Sword For A Hero Lvl 3</v>
      </c>
      <c r="D958" s="41" t="str">
        <f>_xlfn.XLOOKUP(tblCostChecklist[[#This Row],[TargetID]],tblTargets[TargetID],tblTargets[TargetType],"")</f>
        <v>TECH</v>
      </c>
      <c r="E958" s="41" t="s">
        <v>708</v>
      </c>
      <c r="F958" s="41">
        <v>1</v>
      </c>
      <c r="G958" s="41">
        <f>_xlfn.XLOOKUP(
 tblCostChecklist[[#This Row],[RequirementID]],
 tblCost[RequirementID],
 tblCost[QuantityRequired],
 ""
)</f>
        <v>5</v>
      </c>
      <c r="H9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8" s="41" t="str">
        <f>_xlfn.XLOOKUP(tblCostChecklist[[#This Row],[TargetID]],tblTargetStatus[TargetID],tblTargetStatus[Status])</f>
        <v>BLOCKED</v>
      </c>
      <c r="J958" s="25" t="b">
        <v>0</v>
      </c>
    </row>
    <row r="959" spans="1:10">
      <c r="A959" s="41" t="s">
        <v>4607</v>
      </c>
      <c r="B959" s="41" t="str">
        <f>_xlfn.TEXTAFTER(
 _xlfn.TEXTBEFORE(tblCostChecklist[[#This Row],[RequirementID]],".",-2),
 "cost."
)</f>
        <v>tech.smithy.sword_for_a_hero_lvl_3</v>
      </c>
      <c r="C959" s="41" t="str">
        <f>_xlfn.XLOOKUP(tblCostChecklist[[#This Row],[TargetID]],tblTargets[TargetID],tblTargets[DisplayName],"")</f>
        <v>Smithy - Sword For A Hero Lvl 3</v>
      </c>
      <c r="D959" s="41" t="str">
        <f>_xlfn.XLOOKUP(tblCostChecklist[[#This Row],[TargetID]],tblTargets[TargetID],tblTargets[TargetType],"")</f>
        <v>TECH</v>
      </c>
      <c r="E959" s="41" t="s">
        <v>716</v>
      </c>
      <c r="F959" s="41">
        <v>1</v>
      </c>
      <c r="G959" s="41">
        <f>_xlfn.XLOOKUP(
 tblCostChecklist[[#This Row],[RequirementID]],
 tblCost[RequirementID],
 tblCost[QuantityRequired],
 ""
)</f>
        <v>200</v>
      </c>
      <c r="H9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9" s="41" t="str">
        <f>_xlfn.XLOOKUP(tblCostChecklist[[#This Row],[TargetID]],tblTargetStatus[TargetID],tblTargetStatus[Status])</f>
        <v>BLOCKED</v>
      </c>
      <c r="J959" s="25" t="b">
        <v>0</v>
      </c>
    </row>
    <row r="960" spans="1:10">
      <c r="A960" s="41" t="s">
        <v>4608</v>
      </c>
      <c r="B960" s="41" t="str">
        <f>_xlfn.TEXTAFTER(
 _xlfn.TEXTBEFORE(tblCostChecklist[[#This Row],[RequirementID]],".",-2),
 "cost."
)</f>
        <v>tech.smithy.sword_for_a_hero_lvl_4</v>
      </c>
      <c r="C960" s="41" t="str">
        <f>_xlfn.XLOOKUP(tblCostChecklist[[#This Row],[TargetID]],tblTargets[TargetID],tblTargets[DisplayName],"")</f>
        <v>Smithy - Sword For A Hero Lvl 4</v>
      </c>
      <c r="D960" s="41" t="str">
        <f>_xlfn.XLOOKUP(tblCostChecklist[[#This Row],[TargetID]],tblTargets[TargetID],tblTargets[TargetType],"")</f>
        <v>TECH</v>
      </c>
      <c r="E960" s="41" t="s">
        <v>662</v>
      </c>
      <c r="F960" s="41">
        <v>1</v>
      </c>
      <c r="G960" s="41">
        <f>_xlfn.XLOOKUP(
 tblCostChecklist[[#This Row],[RequirementID]],
 tblCost[RequirementID],
 tblCost[QuantityRequired],
 ""
)</f>
        <v>40</v>
      </c>
      <c r="H9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0" s="41" t="str">
        <f>_xlfn.XLOOKUP(tblCostChecklist[[#This Row],[TargetID]],tblTargetStatus[TargetID],tblTargetStatus[Status])</f>
        <v>BLOCKED</v>
      </c>
      <c r="J960" s="25" t="b">
        <v>0</v>
      </c>
    </row>
    <row r="961" spans="1:10">
      <c r="A961" s="41" t="s">
        <v>4609</v>
      </c>
      <c r="B961" s="41" t="str">
        <f>_xlfn.TEXTAFTER(
 _xlfn.TEXTBEFORE(tblCostChecklist[[#This Row],[RequirementID]],".",-2),
 "cost."
)</f>
        <v>tech.smithy.sword_for_a_hero_lvl_4</v>
      </c>
      <c r="C961" s="41" t="str">
        <f>_xlfn.XLOOKUP(tblCostChecklist[[#This Row],[TargetID]],tblTargets[TargetID],tblTargets[DisplayName],"")</f>
        <v>Smithy - Sword For A Hero Lvl 4</v>
      </c>
      <c r="D961" s="41" t="str">
        <f>_xlfn.XLOOKUP(tblCostChecklist[[#This Row],[TargetID]],tblTargets[TargetID],tblTargets[TargetType],"")</f>
        <v>TECH</v>
      </c>
      <c r="E961" s="41" t="s">
        <v>666</v>
      </c>
      <c r="F961" s="41">
        <v>1</v>
      </c>
      <c r="G961" s="41">
        <f>_xlfn.XLOOKUP(
 tblCostChecklist[[#This Row],[RequirementID]],
 tblCost[RequirementID],
 tblCost[QuantityRequired],
 ""
)</f>
        <v>1000</v>
      </c>
      <c r="H9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1" s="41" t="str">
        <f>_xlfn.XLOOKUP(tblCostChecklist[[#This Row],[TargetID]],tblTargetStatus[TargetID],tblTargetStatus[Status])</f>
        <v>BLOCKED</v>
      </c>
      <c r="J961" s="25" t="b">
        <v>0</v>
      </c>
    </row>
    <row r="962" spans="1:10">
      <c r="A962" s="41" t="s">
        <v>4610</v>
      </c>
      <c r="B962" s="41" t="str">
        <f>_xlfn.TEXTAFTER(
 _xlfn.TEXTBEFORE(tblCostChecklist[[#This Row],[RequirementID]],".",-2),
 "cost."
)</f>
        <v>tech.smithy.sword_for_a_hero_lvl_4</v>
      </c>
      <c r="C962" s="41" t="str">
        <f>_xlfn.XLOOKUP(tblCostChecklist[[#This Row],[TargetID]],tblTargets[TargetID],tblTargets[DisplayName],"")</f>
        <v>Smithy - Sword For A Hero Lvl 4</v>
      </c>
      <c r="D962" s="41" t="str">
        <f>_xlfn.XLOOKUP(tblCostChecklist[[#This Row],[TargetID]],tblTargets[TargetID],tblTargets[TargetType],"")</f>
        <v>TECH</v>
      </c>
      <c r="E962" s="41" t="s">
        <v>673</v>
      </c>
      <c r="F962" s="41">
        <v>1</v>
      </c>
      <c r="G962" s="41">
        <f>_xlfn.XLOOKUP(
 tblCostChecklist[[#This Row],[RequirementID]],
 tblCost[RequirementID],
 tblCost[QuantityRequired],
 ""
)</f>
        <v>20</v>
      </c>
      <c r="H9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2" s="41" t="str">
        <f>_xlfn.XLOOKUP(tblCostChecklist[[#This Row],[TargetID]],tblTargetStatus[TargetID],tblTargetStatus[Status])</f>
        <v>BLOCKED</v>
      </c>
      <c r="J962" s="25" t="b">
        <v>0</v>
      </c>
    </row>
    <row r="963" spans="1:10">
      <c r="A963" s="41" t="s">
        <v>4611</v>
      </c>
      <c r="B963" s="41" t="str">
        <f>_xlfn.TEXTAFTER(
 _xlfn.TEXTBEFORE(tblCostChecklist[[#This Row],[RequirementID]],".",-2),
 "cost."
)</f>
        <v>tech.smithy.sword_for_a_hero_lvl_4</v>
      </c>
      <c r="C963" s="41" t="str">
        <f>_xlfn.XLOOKUP(tblCostChecklist[[#This Row],[TargetID]],tblTargets[TargetID],tblTargets[DisplayName],"")</f>
        <v>Smithy - Sword For A Hero Lvl 4</v>
      </c>
      <c r="D963" s="41" t="str">
        <f>_xlfn.XLOOKUP(tblCostChecklist[[#This Row],[TargetID]],tblTargets[TargetID],tblTargets[TargetType],"")</f>
        <v>TECH</v>
      </c>
      <c r="E963" s="41" t="s">
        <v>686</v>
      </c>
      <c r="F963" s="41">
        <v>1</v>
      </c>
      <c r="G963" s="41">
        <f>_xlfn.XLOOKUP(
 tblCostChecklist[[#This Row],[RequirementID]],
 tblCost[RequirementID],
 tblCost[QuantityRequired],
 ""
)</f>
        <v>20</v>
      </c>
      <c r="H9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3" s="41" t="str">
        <f>_xlfn.XLOOKUP(tblCostChecklist[[#This Row],[TargetID]],tblTargetStatus[TargetID],tblTargetStatus[Status])</f>
        <v>BLOCKED</v>
      </c>
      <c r="J963" s="25" t="b">
        <v>0</v>
      </c>
    </row>
    <row r="964" spans="1:10">
      <c r="A964" s="41" t="s">
        <v>4612</v>
      </c>
      <c r="B964" s="41" t="str">
        <f>_xlfn.TEXTAFTER(
 _xlfn.TEXTBEFORE(tblCostChecklist[[#This Row],[RequirementID]],".",-2),
 "cost."
)</f>
        <v>tech.smithy.sword_for_a_hero_lvl_4</v>
      </c>
      <c r="C964" s="41" t="str">
        <f>_xlfn.XLOOKUP(tblCostChecklist[[#This Row],[TargetID]],tblTargets[TargetID],tblTargets[DisplayName],"")</f>
        <v>Smithy - Sword For A Hero Lvl 4</v>
      </c>
      <c r="D964" s="41" t="str">
        <f>_xlfn.XLOOKUP(tblCostChecklist[[#This Row],[TargetID]],tblTargets[TargetID],tblTargets[TargetType],"")</f>
        <v>TECH</v>
      </c>
      <c r="E964" s="41" t="s">
        <v>708</v>
      </c>
      <c r="F964" s="41">
        <v>1</v>
      </c>
      <c r="G964" s="41">
        <f>_xlfn.XLOOKUP(
 tblCostChecklist[[#This Row],[RequirementID]],
 tblCost[RequirementID],
 tblCost[QuantityRequired],
 ""
)</f>
        <v>5</v>
      </c>
      <c r="H9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4" s="41" t="str">
        <f>_xlfn.XLOOKUP(tblCostChecklist[[#This Row],[TargetID]],tblTargetStatus[TargetID],tblTargetStatus[Status])</f>
        <v>BLOCKED</v>
      </c>
      <c r="J964" s="25" t="b">
        <v>0</v>
      </c>
    </row>
    <row r="965" spans="1:10">
      <c r="A965" s="41" t="s">
        <v>4613</v>
      </c>
      <c r="B965" s="41" t="str">
        <f>_xlfn.TEXTAFTER(
 _xlfn.TEXTBEFORE(tblCostChecklist[[#This Row],[RequirementID]],".",-2),
 "cost."
)</f>
        <v>tech.smithy.sword_for_a_hero_lvl_4</v>
      </c>
      <c r="C965" s="41" t="str">
        <f>_xlfn.XLOOKUP(tblCostChecklist[[#This Row],[TargetID]],tblTargets[TargetID],tblTargets[DisplayName],"")</f>
        <v>Smithy - Sword For A Hero Lvl 4</v>
      </c>
      <c r="D965" s="41" t="str">
        <f>_xlfn.XLOOKUP(tblCostChecklist[[#This Row],[TargetID]],tblTargets[TargetID],tblTargets[TargetType],"")</f>
        <v>TECH</v>
      </c>
      <c r="E965" s="41" t="s">
        <v>952</v>
      </c>
      <c r="F965" s="41">
        <v>1</v>
      </c>
      <c r="G965" s="41">
        <f>_xlfn.XLOOKUP(
 tblCostChecklist[[#This Row],[RequirementID]],
 tblCost[RequirementID],
 tblCost[QuantityRequired],
 ""
)</f>
        <v>3</v>
      </c>
      <c r="H9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5" s="41" t="str">
        <f>_xlfn.XLOOKUP(tblCostChecklist[[#This Row],[TargetID]],tblTargetStatus[TargetID],tblTargetStatus[Status])</f>
        <v>BLOCKED</v>
      </c>
      <c r="J965" s="25" t="b">
        <v>0</v>
      </c>
    </row>
    <row r="966" spans="1:10">
      <c r="A966" s="41" t="s">
        <v>4614</v>
      </c>
      <c r="B966" s="41" t="str">
        <f>_xlfn.TEXTAFTER(
 _xlfn.TEXTBEFORE(tblCostChecklist[[#This Row],[RequirementID]],".",-2),
 "cost."
)</f>
        <v>tech.smithy.sword_for_a_hero_lvl_4+</v>
      </c>
      <c r="C966" s="41" t="str">
        <f>_xlfn.XLOOKUP(tblCostChecklist[[#This Row],[TargetID]],tblTargets[TargetID],tblTargets[DisplayName],"")</f>
        <v>Smithy - Sword For A Hero Lvl 4+</v>
      </c>
      <c r="D966" s="41" t="str">
        <f>_xlfn.XLOOKUP(tblCostChecklist[[#This Row],[TargetID]],tblTargets[TargetID],tblTargets[TargetType],"")</f>
        <v>TECH</v>
      </c>
      <c r="E966" s="41" t="s">
        <v>657</v>
      </c>
      <c r="F966" s="41">
        <v>1</v>
      </c>
      <c r="G966" s="41">
        <f>_xlfn.XLOOKUP(
 tblCostChecklist[[#This Row],[RequirementID]],
 tblCost[RequirementID],
 tblCost[QuantityRequired],
 ""
)</f>
        <v>20</v>
      </c>
      <c r="H9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6" s="41" t="str">
        <f>_xlfn.XLOOKUP(tblCostChecklist[[#This Row],[TargetID]],tblTargetStatus[TargetID],tblTargetStatus[Status])</f>
        <v>BLOCKED</v>
      </c>
      <c r="J966" s="25" t="b">
        <v>0</v>
      </c>
    </row>
    <row r="967" spans="1:10">
      <c r="A967" s="41" t="s">
        <v>4615</v>
      </c>
      <c r="B967" s="41" t="str">
        <f>_xlfn.TEXTAFTER(
 _xlfn.TEXTBEFORE(tblCostChecklist[[#This Row],[RequirementID]],".",-2),
 "cost."
)</f>
        <v>tech.smithy.sword_for_a_hero_lvl_4+</v>
      </c>
      <c r="C967" s="41" t="str">
        <f>_xlfn.XLOOKUP(tblCostChecklist[[#This Row],[TargetID]],tblTargets[TargetID],tblTargets[DisplayName],"")</f>
        <v>Smithy - Sword For A Hero Lvl 4+</v>
      </c>
      <c r="D967" s="41" t="str">
        <f>_xlfn.XLOOKUP(tblCostChecklist[[#This Row],[TargetID]],tblTargets[TargetID],tblTargets[TargetType],"")</f>
        <v>TECH</v>
      </c>
      <c r="E967" s="41" t="s">
        <v>661</v>
      </c>
      <c r="F967" s="41">
        <v>1</v>
      </c>
      <c r="G967" s="41">
        <f>_xlfn.XLOOKUP(
 tblCostChecklist[[#This Row],[RequirementID]],
 tblCost[RequirementID],
 tblCost[QuantityRequired],
 ""
)</f>
        <v>25</v>
      </c>
      <c r="H9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7" s="41" t="str">
        <f>_xlfn.XLOOKUP(tblCostChecklist[[#This Row],[TargetID]],tblTargetStatus[TargetID],tblTargetStatus[Status])</f>
        <v>BLOCKED</v>
      </c>
      <c r="J967" s="25" t="b">
        <v>0</v>
      </c>
    </row>
    <row r="968" spans="1:10">
      <c r="A968" s="41" t="s">
        <v>4616</v>
      </c>
      <c r="B968" s="41" t="str">
        <f>_xlfn.TEXTAFTER(
 _xlfn.TEXTBEFORE(tblCostChecklist[[#This Row],[RequirementID]],".",-2),
 "cost."
)</f>
        <v>tech.smithy.sword_for_a_hero_lvl_4+</v>
      </c>
      <c r="C968" s="41" t="str">
        <f>_xlfn.XLOOKUP(tblCostChecklist[[#This Row],[TargetID]],tblTargets[TargetID],tblTargets[DisplayName],"")</f>
        <v>Smithy - Sword For A Hero Lvl 4+</v>
      </c>
      <c r="D968" s="41" t="str">
        <f>_xlfn.XLOOKUP(tblCostChecklist[[#This Row],[TargetID]],tblTargets[TargetID],tblTargets[TargetType],"")</f>
        <v>TECH</v>
      </c>
      <c r="E968" s="41" t="s">
        <v>666</v>
      </c>
      <c r="F968" s="41">
        <v>1</v>
      </c>
      <c r="G968" s="41">
        <f>_xlfn.XLOOKUP(
 tblCostChecklist[[#This Row],[RequirementID]],
 tblCost[RequirementID],
 tblCost[QuantityRequired],
 ""
)</f>
        <v>1000</v>
      </c>
      <c r="H9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8" s="41" t="str">
        <f>_xlfn.XLOOKUP(tblCostChecklist[[#This Row],[TargetID]],tblTargetStatus[TargetID],tblTargetStatus[Status])</f>
        <v>BLOCKED</v>
      </c>
      <c r="J968" s="25" t="b">
        <v>0</v>
      </c>
    </row>
    <row r="969" spans="1:10">
      <c r="A969" s="41" t="s">
        <v>4617</v>
      </c>
      <c r="B969" s="41" t="str">
        <f>_xlfn.TEXTAFTER(
 _xlfn.TEXTBEFORE(tblCostChecklist[[#This Row],[RequirementID]],".",-2),
 "cost."
)</f>
        <v>tech.smithy.sword_for_a_hero_lvl_4+</v>
      </c>
      <c r="C969" s="41" t="str">
        <f>_xlfn.XLOOKUP(tblCostChecklist[[#This Row],[TargetID]],tblTargets[TargetID],tblTargets[DisplayName],"")</f>
        <v>Smithy - Sword For A Hero Lvl 4+</v>
      </c>
      <c r="D969" s="41" t="str">
        <f>_xlfn.XLOOKUP(tblCostChecklist[[#This Row],[TargetID]],tblTargets[TargetID],tblTargets[TargetType],"")</f>
        <v>TECH</v>
      </c>
      <c r="E969" s="41" t="s">
        <v>677</v>
      </c>
      <c r="F969" s="41">
        <v>1</v>
      </c>
      <c r="G969" s="41">
        <f>_xlfn.XLOOKUP(
 tblCostChecklist[[#This Row],[RequirementID]],
 tblCost[RequirementID],
 tblCost[QuantityRequired],
 ""
)</f>
        <v>10</v>
      </c>
      <c r="H9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9" s="41" t="str">
        <f>_xlfn.XLOOKUP(tblCostChecklist[[#This Row],[TargetID]],tblTargetStatus[TargetID],tblTargetStatus[Status])</f>
        <v>BLOCKED</v>
      </c>
      <c r="J969" s="25" t="b">
        <v>0</v>
      </c>
    </row>
    <row r="970" spans="1:10">
      <c r="A970" s="41" t="s">
        <v>4618</v>
      </c>
      <c r="B970" s="41" t="str">
        <f>_xlfn.TEXTAFTER(
 _xlfn.TEXTBEFORE(tblCostChecklist[[#This Row],[RequirementID]],".",-2),
 "cost."
)</f>
        <v>tech.smithy.sword_for_a_hero_lvl_4+</v>
      </c>
      <c r="C970" s="41" t="str">
        <f>_xlfn.XLOOKUP(tblCostChecklist[[#This Row],[TargetID]],tblTargets[TargetID],tblTargets[DisplayName],"")</f>
        <v>Smithy - Sword For A Hero Lvl 4+</v>
      </c>
      <c r="D970" s="41" t="str">
        <f>_xlfn.XLOOKUP(tblCostChecklist[[#This Row],[TargetID]],tblTargets[TargetID],tblTargets[TargetType],"")</f>
        <v>TECH</v>
      </c>
      <c r="E970" s="41" t="s">
        <v>687</v>
      </c>
      <c r="F970" s="41">
        <v>1</v>
      </c>
      <c r="G970" s="41">
        <f>_xlfn.XLOOKUP(
 tblCostChecklist[[#This Row],[RequirementID]],
 tblCost[RequirementID],
 tblCost[QuantityRequired],
 ""
)</f>
        <v>10</v>
      </c>
      <c r="H9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0" s="41" t="str">
        <f>_xlfn.XLOOKUP(tblCostChecklist[[#This Row],[TargetID]],tblTargetStatus[TargetID],tblTargetStatus[Status])</f>
        <v>BLOCKED</v>
      </c>
      <c r="J970" s="25" t="b">
        <v>0</v>
      </c>
    </row>
    <row r="971" spans="1:10">
      <c r="A971" s="41" t="s">
        <v>4619</v>
      </c>
      <c r="B971" s="41" t="str">
        <f>_xlfn.TEXTAFTER(
 _xlfn.TEXTBEFORE(tblCostChecklist[[#This Row],[RequirementID]],".",-2),
 "cost."
)</f>
        <v>tech.smithy.sword_for_a_hero_lvl_4+</v>
      </c>
      <c r="C971" s="41" t="str">
        <f>_xlfn.XLOOKUP(tblCostChecklist[[#This Row],[TargetID]],tblTargets[TargetID],tblTargets[DisplayName],"")</f>
        <v>Smithy - Sword For A Hero Lvl 4+</v>
      </c>
      <c r="D971" s="41" t="str">
        <f>_xlfn.XLOOKUP(tblCostChecklist[[#This Row],[TargetID]],tblTargets[TargetID],tblTargets[TargetType],"")</f>
        <v>TECH</v>
      </c>
      <c r="E971" s="41" t="s">
        <v>703</v>
      </c>
      <c r="F971" s="41">
        <v>1</v>
      </c>
      <c r="G971" s="41">
        <f>_xlfn.XLOOKUP(
 tblCostChecklist[[#This Row],[RequirementID]],
 tblCost[RequirementID],
 tblCost[QuantityRequired],
 ""
)</f>
        <v>10</v>
      </c>
      <c r="H9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1" s="41" t="str">
        <f>_xlfn.XLOOKUP(tblCostChecklist[[#This Row],[TargetID]],tblTargetStatus[TargetID],tblTargetStatus[Status])</f>
        <v>BLOCKED</v>
      </c>
      <c r="J971" s="25" t="b">
        <v>0</v>
      </c>
    </row>
    <row r="972" spans="1:10">
      <c r="A972" s="41" t="s">
        <v>4620</v>
      </c>
      <c r="B972" s="41" t="str">
        <f>_xlfn.TEXTAFTER(
 _xlfn.TEXTBEFORE(tblCostChecklist[[#This Row],[RequirementID]],".",-2),
 "cost."
)</f>
        <v>tech.smithy.sword_for_a_hero_lvl_4+</v>
      </c>
      <c r="C972" s="41" t="str">
        <f>_xlfn.XLOOKUP(tblCostChecklist[[#This Row],[TargetID]],tblTargets[TargetID],tblTargets[DisplayName],"")</f>
        <v>Smithy - Sword For A Hero Lvl 4+</v>
      </c>
      <c r="D972" s="41" t="str">
        <f>_xlfn.XLOOKUP(tblCostChecklist[[#This Row],[TargetID]],tblTargets[TargetID],tblTargets[TargetType],"")</f>
        <v>TECH</v>
      </c>
      <c r="E972" s="41" t="s">
        <v>946</v>
      </c>
      <c r="F972" s="41">
        <v>1</v>
      </c>
      <c r="G972" s="41">
        <f>_xlfn.XLOOKUP(
 tblCostChecklist[[#This Row],[RequirementID]],
 tblCost[RequirementID],
 tblCost[QuantityRequired],
 ""
)</f>
        <v>1</v>
      </c>
      <c r="H9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2" s="41" t="str">
        <f>_xlfn.XLOOKUP(tblCostChecklist[[#This Row],[TargetID]],tblTargetStatus[TargetID],tblTargetStatus[Status])</f>
        <v>BLOCKED</v>
      </c>
      <c r="J972" s="25" t="b">
        <v>0</v>
      </c>
    </row>
    <row r="973" spans="1:10">
      <c r="A973" s="41" t="s">
        <v>4621</v>
      </c>
      <c r="B973" s="41" t="str">
        <f>_xlfn.TEXTAFTER(
 _xlfn.TEXTBEFORE(tblCostChecklist[[#This Row],[RequirementID]],".",-2),
 "cost."
)</f>
        <v>tech.smithy.sword_for_a_hero_lvl_4+</v>
      </c>
      <c r="C973" s="41" t="str">
        <f>_xlfn.XLOOKUP(tblCostChecklist[[#This Row],[TargetID]],tblTargets[TargetID],tblTargets[DisplayName],"")</f>
        <v>Smithy - Sword For A Hero Lvl 4+</v>
      </c>
      <c r="D973" s="41" t="str">
        <f>_xlfn.XLOOKUP(tblCostChecklist[[#This Row],[TargetID]],tblTargets[TargetID],tblTargets[TargetType],"")</f>
        <v>TECH</v>
      </c>
      <c r="E973" s="41" t="s">
        <v>708</v>
      </c>
      <c r="F973" s="41">
        <v>1</v>
      </c>
      <c r="G973" s="41">
        <f>_xlfn.XLOOKUP(
 tblCostChecklist[[#This Row],[RequirementID]],
 tblCost[RequirementID],
 tblCost[QuantityRequired],
 ""
)</f>
        <v>5</v>
      </c>
      <c r="H9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3" s="41" t="str">
        <f>_xlfn.XLOOKUP(tblCostChecklist[[#This Row],[TargetID]],tblTargetStatus[TargetID],tblTargetStatus[Status])</f>
        <v>BLOCKED</v>
      </c>
      <c r="J973" s="25" t="b">
        <v>0</v>
      </c>
    </row>
    <row r="974" spans="1:10">
      <c r="A974" s="41" t="s">
        <v>4622</v>
      </c>
      <c r="B974" s="41" t="str">
        <f>_xlfn.TEXTAFTER(
 _xlfn.TEXTBEFORE(tblCostChecklist[[#This Row],[RequirementID]],".",-2),
 "cost."
)</f>
        <v>tech.smithy.sword_for_a_hero_lvl_4+</v>
      </c>
      <c r="C974" s="41" t="str">
        <f>_xlfn.XLOOKUP(tblCostChecklist[[#This Row],[TargetID]],tblTargets[TargetID],tblTargets[DisplayName],"")</f>
        <v>Smithy - Sword For A Hero Lvl 4+</v>
      </c>
      <c r="D974" s="41" t="str">
        <f>_xlfn.XLOOKUP(tblCostChecklist[[#This Row],[TargetID]],tblTargets[TargetID],tblTargets[TargetType],"")</f>
        <v>TECH</v>
      </c>
      <c r="E974" s="41" t="s">
        <v>953</v>
      </c>
      <c r="F974" s="41">
        <v>1</v>
      </c>
      <c r="G974" s="41">
        <f>_xlfn.XLOOKUP(
 tblCostChecklist[[#This Row],[RequirementID]],
 tblCost[RequirementID],
 tblCost[QuantityRequired],
 ""
)</f>
        <v>1</v>
      </c>
      <c r="H9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4" s="41" t="str">
        <f>_xlfn.XLOOKUP(tblCostChecklist[[#This Row],[TargetID]],tblTargetStatus[TargetID],tblTargetStatus[Status])</f>
        <v>BLOCKED</v>
      </c>
      <c r="J974" s="25" t="b">
        <v>0</v>
      </c>
    </row>
    <row r="975" spans="1:10">
      <c r="A975" s="41" t="s">
        <v>4623</v>
      </c>
      <c r="B975" s="41" t="str">
        <f>_xlfn.TEXTAFTER(
 _xlfn.TEXTBEFORE(tblCostChecklist[[#This Row],[RequirementID]],".",-2),
 "cost."
)</f>
        <v>tech.smithy.weapon_grease</v>
      </c>
      <c r="C975" s="41" t="str">
        <f>_xlfn.XLOOKUP(tblCostChecklist[[#This Row],[TargetID]],tblTargets[TargetID],tblTargets[DisplayName],"")</f>
        <v>Smithy - Weapon Grease</v>
      </c>
      <c r="D975" s="41" t="str">
        <f>_xlfn.XLOOKUP(tblCostChecklist[[#This Row],[TargetID]],tblTargets[TargetID],tblTargets[TargetType],"")</f>
        <v>TECH</v>
      </c>
      <c r="E975" s="41" t="s">
        <v>662</v>
      </c>
      <c r="F975" s="41">
        <v>1</v>
      </c>
      <c r="G975" s="41">
        <f>_xlfn.XLOOKUP(
 tblCostChecklist[[#This Row],[RequirementID]],
 tblCost[RequirementID],
 tblCost[QuantityRequired],
 ""
)</f>
        <v>15</v>
      </c>
      <c r="H9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5" s="41" t="str">
        <f>_xlfn.XLOOKUP(tblCostChecklist[[#This Row],[TargetID]],tblTargetStatus[TargetID],tblTargetStatus[Status])</f>
        <v>BLOCKED</v>
      </c>
      <c r="J975" s="25" t="b">
        <v>0</v>
      </c>
    </row>
    <row r="976" spans="1:10">
      <c r="A976" s="41" t="s">
        <v>4624</v>
      </c>
      <c r="B976" s="41" t="str">
        <f>_xlfn.TEXTAFTER(
 _xlfn.TEXTBEFORE(tblCostChecklist[[#This Row],[RequirementID]],".",-2),
 "cost."
)</f>
        <v>tech.smithy.weapon_grease</v>
      </c>
      <c r="C976" s="41" t="str">
        <f>_xlfn.XLOOKUP(tblCostChecklist[[#This Row],[TargetID]],tblTargets[TargetID],tblTargets[DisplayName],"")</f>
        <v>Smithy - Weapon Grease</v>
      </c>
      <c r="D976" s="41" t="str">
        <f>_xlfn.XLOOKUP(tblCostChecklist[[#This Row],[TargetID]],tblTargets[TargetID],tblTargets[TargetType],"")</f>
        <v>TECH</v>
      </c>
      <c r="E976" s="41" t="s">
        <v>666</v>
      </c>
      <c r="F976" s="41">
        <v>1</v>
      </c>
      <c r="G976" s="41">
        <f>_xlfn.XLOOKUP(
 tblCostChecklist[[#This Row],[RequirementID]],
 tblCost[RequirementID],
 tblCost[QuantityRequired],
 ""
)</f>
        <v>500</v>
      </c>
      <c r="H9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6" s="41" t="str">
        <f>_xlfn.XLOOKUP(tblCostChecklist[[#This Row],[TargetID]],tblTargetStatus[TargetID],tblTargetStatus[Status])</f>
        <v>BLOCKED</v>
      </c>
      <c r="J976" s="25" t="b">
        <v>0</v>
      </c>
    </row>
    <row r="977" spans="1:10">
      <c r="A977" s="41" t="s">
        <v>4625</v>
      </c>
      <c r="B977" s="41" t="str">
        <f>_xlfn.TEXTAFTER(
 _xlfn.TEXTBEFORE(tblCostChecklist[[#This Row],[RequirementID]],".",-2),
 "cost."
)</f>
        <v>tech.smithy.weapon_grease</v>
      </c>
      <c r="C977" s="41" t="str">
        <f>_xlfn.XLOOKUP(tblCostChecklist[[#This Row],[TargetID]],tblTargets[TargetID],tblTargets[DisplayName],"")</f>
        <v>Smithy - Weapon Grease</v>
      </c>
      <c r="D977" s="41" t="str">
        <f>_xlfn.XLOOKUP(tblCostChecklist[[#This Row],[TargetID]],tblTargets[TargetID],tblTargets[TargetType],"")</f>
        <v>TECH</v>
      </c>
      <c r="E977" s="41" t="s">
        <v>695</v>
      </c>
      <c r="F977" s="41">
        <v>1</v>
      </c>
      <c r="G977" s="41">
        <f>_xlfn.XLOOKUP(
 tblCostChecklist[[#This Row],[RequirementID]],
 tblCost[RequirementID],
 tblCost[QuantityRequired],
 ""
)</f>
        <v>10</v>
      </c>
      <c r="H9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7" s="41" t="str">
        <f>_xlfn.XLOOKUP(tblCostChecklist[[#This Row],[TargetID]],tblTargetStatus[TargetID],tblTargetStatus[Status])</f>
        <v>BLOCKED</v>
      </c>
      <c r="J977" s="25" t="b">
        <v>0</v>
      </c>
    </row>
    <row r="978" spans="1:10">
      <c r="A978" s="41" t="s">
        <v>4626</v>
      </c>
      <c r="B978" s="41" t="str">
        <f>_xlfn.TEXTAFTER(
 _xlfn.TEXTBEFORE(tblCostChecklist[[#This Row],[RequirementID]],".",-2),
 "cost."
)</f>
        <v>tech.smithy.weapon_grease</v>
      </c>
      <c r="C978" s="41" t="str">
        <f>_xlfn.XLOOKUP(tblCostChecklist[[#This Row],[TargetID]],tblTargets[TargetID],tblTargets[DisplayName],"")</f>
        <v>Smithy - Weapon Grease</v>
      </c>
      <c r="D978" s="41" t="str">
        <f>_xlfn.XLOOKUP(tblCostChecklist[[#This Row],[TargetID]],tblTargets[TargetID],tblTargets[TargetType],"")</f>
        <v>TECH</v>
      </c>
      <c r="E978" s="41" t="s">
        <v>705</v>
      </c>
      <c r="F978" s="41">
        <v>1</v>
      </c>
      <c r="G978" s="41">
        <f>_xlfn.XLOOKUP(
 tblCostChecklist[[#This Row],[RequirementID]],
 tblCost[RequirementID],
 tblCost[QuantityRequired],
 ""
)</f>
        <v>15</v>
      </c>
      <c r="H9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8" s="41" t="str">
        <f>_xlfn.XLOOKUP(tblCostChecklist[[#This Row],[TargetID]],tblTargetStatus[TargetID],tblTargetStatus[Status])</f>
        <v>BLOCKED</v>
      </c>
      <c r="J978" s="25" t="b">
        <v>0</v>
      </c>
    </row>
    <row r="979" spans="1:10">
      <c r="A979" s="41" t="s">
        <v>4627</v>
      </c>
      <c r="B979" s="41" t="str">
        <f>_xlfn.TEXTAFTER(
 _xlfn.TEXTBEFORE(tblCostChecklist[[#This Row],[RequirementID]],".",-2),
 "cost."
)</f>
        <v>tech.smithy.weapon_grease</v>
      </c>
      <c r="C979" s="41" t="str">
        <f>_xlfn.XLOOKUP(tblCostChecklist[[#This Row],[TargetID]],tblTargets[TargetID],tblTargets[DisplayName],"")</f>
        <v>Smithy - Weapon Grease</v>
      </c>
      <c r="D979" s="41" t="str">
        <f>_xlfn.XLOOKUP(tblCostChecklist[[#This Row],[TargetID]],tblTargets[TargetID],tblTargets[TargetType],"")</f>
        <v>TECH</v>
      </c>
      <c r="E979" s="41" t="s">
        <v>708</v>
      </c>
      <c r="F979" s="41">
        <v>1</v>
      </c>
      <c r="G979" s="41">
        <f>_xlfn.XLOOKUP(
 tblCostChecklist[[#This Row],[RequirementID]],
 tblCost[RequirementID],
 tblCost[QuantityRequired],
 ""
)</f>
        <v>2</v>
      </c>
      <c r="H9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9" s="41" t="str">
        <f>_xlfn.XLOOKUP(tblCostChecklist[[#This Row],[TargetID]],tblTargetStatus[TargetID],tblTargetStatus[Status])</f>
        <v>BLOCKED</v>
      </c>
      <c r="J979" s="25" t="b">
        <v>0</v>
      </c>
    </row>
    <row r="980" spans="1:10">
      <c r="A980" s="41" t="s">
        <v>4628</v>
      </c>
      <c r="B980" s="41" t="str">
        <f>_xlfn.TEXTAFTER(
 _xlfn.TEXTBEFORE(tblCostChecklist[[#This Row],[RequirementID]],".",-2),
 "cost."
)</f>
        <v>tech.smithy.gears</v>
      </c>
      <c r="C980" s="41" t="str">
        <f>_xlfn.XLOOKUP(tblCostChecklist[[#This Row],[TargetID]],tblTargets[TargetID],tblTargets[DisplayName],"")</f>
        <v>Smithy - Gears</v>
      </c>
      <c r="D980" s="41" t="str">
        <f>_xlfn.XLOOKUP(tblCostChecklist[[#This Row],[TargetID]],tblTargets[TargetID],tblTargets[TargetType],"")</f>
        <v>TECH</v>
      </c>
      <c r="E980" s="41" t="s">
        <v>662</v>
      </c>
      <c r="F980" s="41">
        <v>1</v>
      </c>
      <c r="G980" s="41">
        <f>_xlfn.XLOOKUP(
 tblCostChecklist[[#This Row],[RequirementID]],
 tblCost[RequirementID],
 tblCost[QuantityRequired],
 ""
)</f>
        <v>30</v>
      </c>
      <c r="H9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0" s="41" t="str">
        <f>_xlfn.XLOOKUP(tblCostChecklist[[#This Row],[TargetID]],tblTargetStatus[TargetID],tblTargetStatus[Status])</f>
        <v>BLOCKED</v>
      </c>
      <c r="J980" s="25" t="b">
        <v>0</v>
      </c>
    </row>
    <row r="981" spans="1:10">
      <c r="A981" s="41" t="s">
        <v>4629</v>
      </c>
      <c r="B981" s="41" t="str">
        <f>_xlfn.TEXTAFTER(
 _xlfn.TEXTBEFORE(tblCostChecklist[[#This Row],[RequirementID]],".",-2),
 "cost."
)</f>
        <v>tech.smithy.gears</v>
      </c>
      <c r="C981" s="41" t="str">
        <f>_xlfn.XLOOKUP(tblCostChecklist[[#This Row],[TargetID]],tblTargets[TargetID],tblTargets[DisplayName],"")</f>
        <v>Smithy - Gears</v>
      </c>
      <c r="D981" s="41" t="str">
        <f>_xlfn.XLOOKUP(tblCostChecklist[[#This Row],[TargetID]],tblTargets[TargetID],tblTargets[TargetType],"")</f>
        <v>TECH</v>
      </c>
      <c r="E981" s="41" t="s">
        <v>666</v>
      </c>
      <c r="F981" s="41">
        <v>1</v>
      </c>
      <c r="G981" s="41">
        <f>_xlfn.XLOOKUP(
 tblCostChecklist[[#This Row],[RequirementID]],
 tblCost[RequirementID],
 tblCost[QuantityRequired],
 ""
)</f>
        <v>1000</v>
      </c>
      <c r="H9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1" s="41" t="str">
        <f>_xlfn.XLOOKUP(tblCostChecklist[[#This Row],[TargetID]],tblTargetStatus[TargetID],tblTargetStatus[Status])</f>
        <v>BLOCKED</v>
      </c>
      <c r="J981" s="25" t="b">
        <v>0</v>
      </c>
    </row>
    <row r="982" spans="1:10">
      <c r="A982" s="41" t="s">
        <v>4630</v>
      </c>
      <c r="B982" s="41" t="str">
        <f>_xlfn.TEXTAFTER(
 _xlfn.TEXTBEFORE(tblCostChecklist[[#This Row],[RequirementID]],".",-2),
 "cost."
)</f>
        <v>tech.smithy.gears</v>
      </c>
      <c r="C982" s="41" t="str">
        <f>_xlfn.XLOOKUP(tblCostChecklist[[#This Row],[TargetID]],tblTargets[TargetID],tblTargets[DisplayName],"")</f>
        <v>Smithy - Gears</v>
      </c>
      <c r="D982" s="41" t="str">
        <f>_xlfn.XLOOKUP(tblCostChecklist[[#This Row],[TargetID]],tblTargets[TargetID],tblTargets[TargetType],"")</f>
        <v>TECH</v>
      </c>
      <c r="E982" s="41" t="s">
        <v>673</v>
      </c>
      <c r="F982" s="41">
        <v>1</v>
      </c>
      <c r="G982" s="41">
        <f>_xlfn.XLOOKUP(
 tblCostChecklist[[#This Row],[RequirementID]],
 tblCost[RequirementID],
 tblCost[QuantityRequired],
 ""
)</f>
        <v>30</v>
      </c>
      <c r="H9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2" s="41" t="str">
        <f>_xlfn.XLOOKUP(tblCostChecklist[[#This Row],[TargetID]],tblTargetStatus[TargetID],tblTargetStatus[Status])</f>
        <v>BLOCKED</v>
      </c>
      <c r="J982" s="25" t="b">
        <v>0</v>
      </c>
    </row>
    <row r="983" spans="1:10">
      <c r="A983" s="41" t="s">
        <v>4631</v>
      </c>
      <c r="B983" s="41" t="str">
        <f>_xlfn.TEXTAFTER(
 _xlfn.TEXTBEFORE(tblCostChecklist[[#This Row],[RequirementID]],".",-2),
 "cost."
)</f>
        <v>tech.smithy.gears</v>
      </c>
      <c r="C983" s="41" t="str">
        <f>_xlfn.XLOOKUP(tblCostChecklist[[#This Row],[TargetID]],tblTargets[TargetID],tblTargets[DisplayName],"")</f>
        <v>Smithy - Gears</v>
      </c>
      <c r="D983" s="41" t="str">
        <f>_xlfn.XLOOKUP(tblCostChecklist[[#This Row],[TargetID]],tblTargets[TargetID],tblTargets[TargetType],"")</f>
        <v>TECH</v>
      </c>
      <c r="E983" s="41" t="s">
        <v>690</v>
      </c>
      <c r="F983" s="41">
        <v>1</v>
      </c>
      <c r="G983" s="41">
        <f>_xlfn.XLOOKUP(
 tblCostChecklist[[#This Row],[RequirementID]],
 tblCost[RequirementID],
 tblCost[QuantityRequired],
 ""
)</f>
        <v>20</v>
      </c>
      <c r="H9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3" s="41" t="str">
        <f>_xlfn.XLOOKUP(tblCostChecklist[[#This Row],[TargetID]],tblTargetStatus[TargetID],tblTargetStatus[Status])</f>
        <v>BLOCKED</v>
      </c>
      <c r="J983" s="25" t="b">
        <v>0</v>
      </c>
    </row>
    <row r="984" spans="1:10">
      <c r="A984" s="41" t="s">
        <v>4632</v>
      </c>
      <c r="B984" s="41" t="str">
        <f>_xlfn.TEXTAFTER(
 _xlfn.TEXTBEFORE(tblCostChecklist[[#This Row],[RequirementID]],".",-2),
 "cost."
)</f>
        <v>tech.smithy.gears</v>
      </c>
      <c r="C984" s="41" t="str">
        <f>_xlfn.XLOOKUP(tblCostChecklist[[#This Row],[TargetID]],tblTargets[TargetID],tblTargets[DisplayName],"")</f>
        <v>Smithy - Gears</v>
      </c>
      <c r="D984" s="41" t="str">
        <f>_xlfn.XLOOKUP(tblCostChecklist[[#This Row],[TargetID]],tblTargets[TargetID],tblTargets[TargetType],"")</f>
        <v>TECH</v>
      </c>
      <c r="E984" s="41" t="s">
        <v>708</v>
      </c>
      <c r="F984" s="41">
        <v>1</v>
      </c>
      <c r="G984" s="41">
        <f>_xlfn.XLOOKUP(
 tblCostChecklist[[#This Row],[RequirementID]],
 tblCost[RequirementID],
 tblCost[QuantityRequired],
 ""
)</f>
        <v>5</v>
      </c>
      <c r="H9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4" s="41" t="str">
        <f>_xlfn.XLOOKUP(tblCostChecklist[[#This Row],[TargetID]],tblTargetStatus[TargetID],tblTargetStatus[Status])</f>
        <v>BLOCKED</v>
      </c>
      <c r="J984" s="25" t="b">
        <v>0</v>
      </c>
    </row>
    <row r="985" spans="1:10">
      <c r="A985" s="41" t="s">
        <v>4633</v>
      </c>
      <c r="B985" s="41" t="str">
        <f>_xlfn.TEXTAFTER(
 _xlfn.TEXTBEFORE(tblCostChecklist[[#This Row],[RequirementID]],".",-2),
 "cost."
)</f>
        <v>tech.smithy.treasure</v>
      </c>
      <c r="C985" s="41" t="str">
        <f>_xlfn.XLOOKUP(tblCostChecklist[[#This Row],[TargetID]],tblTargets[TargetID],tblTargets[DisplayName],"")</f>
        <v>Smithy - Treasure</v>
      </c>
      <c r="D985" s="41" t="str">
        <f>_xlfn.XLOOKUP(tblCostChecklist[[#This Row],[TargetID]],tblTargets[TargetID],tblTargets[TargetType],"")</f>
        <v>TECH</v>
      </c>
      <c r="E985" s="41" t="s">
        <v>661</v>
      </c>
      <c r="F985" s="41">
        <v>1</v>
      </c>
      <c r="G985" s="41">
        <f>_xlfn.XLOOKUP(
 tblCostChecklist[[#This Row],[RequirementID]],
 tblCost[RequirementID],
 tblCost[QuantityRequired],
 ""
)</f>
        <v>30</v>
      </c>
      <c r="H9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5" s="41" t="str">
        <f>_xlfn.XLOOKUP(tblCostChecklist[[#This Row],[TargetID]],tblTargetStatus[TargetID],tblTargetStatus[Status])</f>
        <v>BLOCKED</v>
      </c>
      <c r="J985" s="25" t="b">
        <v>0</v>
      </c>
    </row>
    <row r="986" spans="1:10">
      <c r="A986" s="41" t="s">
        <v>4634</v>
      </c>
      <c r="B986" s="41" t="str">
        <f>_xlfn.TEXTAFTER(
 _xlfn.TEXTBEFORE(tblCostChecklist[[#This Row],[RequirementID]],".",-2),
 "cost."
)</f>
        <v>tech.smithy.treasure</v>
      </c>
      <c r="C986" s="41" t="str">
        <f>_xlfn.XLOOKUP(tblCostChecklist[[#This Row],[TargetID]],tblTargets[TargetID],tblTargets[DisplayName],"")</f>
        <v>Smithy - Treasure</v>
      </c>
      <c r="D986" s="41" t="str">
        <f>_xlfn.XLOOKUP(tblCostChecklist[[#This Row],[TargetID]],tblTargets[TargetID],tblTargets[TargetType],"")</f>
        <v>TECH</v>
      </c>
      <c r="E986" s="41" t="s">
        <v>666</v>
      </c>
      <c r="F986" s="41">
        <v>1</v>
      </c>
      <c r="G986" s="41">
        <f>_xlfn.XLOOKUP(
 tblCostChecklist[[#This Row],[RequirementID]],
 tblCost[RequirementID],
 tblCost[QuantityRequired],
 ""
)</f>
        <v>500</v>
      </c>
      <c r="H9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6" s="41" t="str">
        <f>_xlfn.XLOOKUP(tblCostChecklist[[#This Row],[TargetID]],tblTargetStatus[TargetID],tblTargetStatus[Status])</f>
        <v>BLOCKED</v>
      </c>
      <c r="J986" s="25" t="b">
        <v>0</v>
      </c>
    </row>
    <row r="987" spans="1:10">
      <c r="A987" s="41" t="s">
        <v>4635</v>
      </c>
      <c r="B987" s="41" t="str">
        <f>_xlfn.TEXTAFTER(
 _xlfn.TEXTBEFORE(tblCostChecklist[[#This Row],[RequirementID]],".",-2),
 "cost."
)</f>
        <v>tech.smithy.treasure</v>
      </c>
      <c r="C987" s="41" t="str">
        <f>_xlfn.XLOOKUP(tblCostChecklist[[#This Row],[TargetID]],tblTargets[TargetID],tblTargets[DisplayName],"")</f>
        <v>Smithy - Treasure</v>
      </c>
      <c r="D987" s="41" t="str">
        <f>_xlfn.XLOOKUP(tblCostChecklist[[#This Row],[TargetID]],tblTargets[TargetID],tblTargets[TargetType],"")</f>
        <v>TECH</v>
      </c>
      <c r="E987" s="41" t="s">
        <v>676</v>
      </c>
      <c r="F987" s="41">
        <v>1</v>
      </c>
      <c r="G987" s="41">
        <f>_xlfn.XLOOKUP(
 tblCostChecklist[[#This Row],[RequirementID]],
 tblCost[RequirementID],
 tblCost[QuantityRequired],
 ""
)</f>
        <v>20</v>
      </c>
      <c r="H9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7" s="41" t="str">
        <f>_xlfn.XLOOKUP(tblCostChecklist[[#This Row],[TargetID]],tblTargetStatus[TargetID],tblTargetStatus[Status])</f>
        <v>BLOCKED</v>
      </c>
      <c r="J987" s="25" t="b">
        <v>0</v>
      </c>
    </row>
    <row r="988" spans="1:10">
      <c r="A988" s="41" t="s">
        <v>4636</v>
      </c>
      <c r="B988" s="41" t="str">
        <f>_xlfn.TEXTAFTER(
 _xlfn.TEXTBEFORE(tblCostChecklist[[#This Row],[RequirementID]],".",-2),
 "cost."
)</f>
        <v>tech.smithy.treasure</v>
      </c>
      <c r="C988" s="41" t="str">
        <f>_xlfn.XLOOKUP(tblCostChecklist[[#This Row],[TargetID]],tblTargets[TargetID],tblTargets[DisplayName],"")</f>
        <v>Smithy - Treasure</v>
      </c>
      <c r="D988" s="41" t="str">
        <f>_xlfn.XLOOKUP(tblCostChecklist[[#This Row],[TargetID]],tblTargets[TargetID],tblTargets[TargetType],"")</f>
        <v>TECH</v>
      </c>
      <c r="E988" s="41" t="s">
        <v>677</v>
      </c>
      <c r="F988" s="41">
        <v>1</v>
      </c>
      <c r="G988" s="41">
        <f>_xlfn.XLOOKUP(
 tblCostChecklist[[#This Row],[RequirementID]],
 tblCost[RequirementID],
 tblCost[QuantityRequired],
 ""
)</f>
        <v>10</v>
      </c>
      <c r="H9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8" s="41" t="str">
        <f>_xlfn.XLOOKUP(tblCostChecklist[[#This Row],[TargetID]],tblTargetStatus[TargetID],tblTargetStatus[Status])</f>
        <v>BLOCKED</v>
      </c>
      <c r="J988" s="25" t="b">
        <v>0</v>
      </c>
    </row>
    <row r="989" spans="1:10">
      <c r="A989" s="41" t="s">
        <v>4637</v>
      </c>
      <c r="B989" s="41" t="str">
        <f>_xlfn.TEXTAFTER(
 _xlfn.TEXTBEFORE(tblCostChecklist[[#This Row],[RequirementID]],".",-2),
 "cost."
)</f>
        <v>tech.smithy.treasure</v>
      </c>
      <c r="C989" s="41" t="str">
        <f>_xlfn.XLOOKUP(tblCostChecklist[[#This Row],[TargetID]],tblTargets[TargetID],tblTargets[DisplayName],"")</f>
        <v>Smithy - Treasure</v>
      </c>
      <c r="D989" s="41" t="str">
        <f>_xlfn.XLOOKUP(tblCostChecklist[[#This Row],[TargetID]],tblTargets[TargetID],tblTargets[TargetType],"")</f>
        <v>TECH</v>
      </c>
      <c r="E989" s="41" t="s">
        <v>680</v>
      </c>
      <c r="F989" s="41">
        <v>1</v>
      </c>
      <c r="G989" s="41">
        <f>_xlfn.XLOOKUP(
 tblCostChecklist[[#This Row],[RequirementID]],
 tblCost[RequirementID],
 tblCost[QuantityRequired],
 ""
)</f>
        <v>10</v>
      </c>
      <c r="H9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9" s="41" t="str">
        <f>_xlfn.XLOOKUP(tblCostChecklist[[#This Row],[TargetID]],tblTargetStatus[TargetID],tblTargetStatus[Status])</f>
        <v>BLOCKED</v>
      </c>
      <c r="J989" s="25" t="b">
        <v>0</v>
      </c>
    </row>
    <row r="990" spans="1:10">
      <c r="A990" s="41" t="s">
        <v>4638</v>
      </c>
      <c r="B990" s="41" t="str">
        <f>_xlfn.TEXTAFTER(
 _xlfn.TEXTBEFORE(tblCostChecklist[[#This Row],[RequirementID]],".",-2),
 "cost."
)</f>
        <v>tech.smithy.treasure</v>
      </c>
      <c r="C990" s="41" t="str">
        <f>_xlfn.XLOOKUP(tblCostChecklist[[#This Row],[TargetID]],tblTargets[TargetID],tblTargets[DisplayName],"")</f>
        <v>Smithy - Treasure</v>
      </c>
      <c r="D990" s="41" t="str">
        <f>_xlfn.XLOOKUP(tblCostChecklist[[#This Row],[TargetID]],tblTargets[TargetID],tblTargets[TargetType],"")</f>
        <v>TECH</v>
      </c>
      <c r="E990" s="41" t="s">
        <v>687</v>
      </c>
      <c r="F990" s="41">
        <v>1</v>
      </c>
      <c r="G990" s="41">
        <f>_xlfn.XLOOKUP(
 tblCostChecklist[[#This Row],[RequirementID]],
 tblCost[RequirementID],
 tblCost[QuantityRequired],
 ""
)</f>
        <v>10</v>
      </c>
      <c r="H9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0" s="41" t="str">
        <f>_xlfn.XLOOKUP(tblCostChecklist[[#This Row],[TargetID]],tblTargetStatus[TargetID],tblTargetStatus[Status])</f>
        <v>BLOCKED</v>
      </c>
      <c r="J990" s="25" t="b">
        <v>0</v>
      </c>
    </row>
    <row r="991" spans="1:10">
      <c r="A991" s="41" t="s">
        <v>4639</v>
      </c>
      <c r="B991" s="41" t="str">
        <f>_xlfn.TEXTAFTER(
 _xlfn.TEXTBEFORE(tblCostChecklist[[#This Row],[RequirementID]],".",-2),
 "cost."
)</f>
        <v>tech.smithy.treasure</v>
      </c>
      <c r="C991" s="41" t="str">
        <f>_xlfn.XLOOKUP(tblCostChecklist[[#This Row],[TargetID]],tblTargets[TargetID],tblTargets[DisplayName],"")</f>
        <v>Smithy - Treasure</v>
      </c>
      <c r="D991" s="41" t="str">
        <f>_xlfn.XLOOKUP(tblCostChecklist[[#This Row],[TargetID]],tblTargets[TargetID],tblTargets[TargetType],"")</f>
        <v>TECH</v>
      </c>
      <c r="E991" s="41" t="s">
        <v>706</v>
      </c>
      <c r="F991" s="41">
        <v>1</v>
      </c>
      <c r="G991" s="41">
        <f>_xlfn.XLOOKUP(
 tblCostChecklist[[#This Row],[RequirementID]],
 tblCost[RequirementID],
 tblCost[QuantityRequired],
 ""
)</f>
        <v>20</v>
      </c>
      <c r="H9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1" s="41" t="str">
        <f>_xlfn.XLOOKUP(tblCostChecklist[[#This Row],[TargetID]],tblTargetStatus[TargetID],tblTargetStatus[Status])</f>
        <v>BLOCKED</v>
      </c>
      <c r="J991" s="25" t="b">
        <v>0</v>
      </c>
    </row>
    <row r="992" spans="1:10">
      <c r="A992" s="41" t="s">
        <v>4640</v>
      </c>
      <c r="B992" s="41" t="str">
        <f>_xlfn.TEXTAFTER(
 _xlfn.TEXTBEFORE(tblCostChecklist[[#This Row],[RequirementID]],".",-2),
 "cost."
)</f>
        <v>tech.smithy.treasure</v>
      </c>
      <c r="C992" s="41" t="str">
        <f>_xlfn.XLOOKUP(tblCostChecklist[[#This Row],[TargetID]],tblTargets[TargetID],tblTargets[DisplayName],"")</f>
        <v>Smithy - Treasure</v>
      </c>
      <c r="D992" s="41" t="str">
        <f>_xlfn.XLOOKUP(tblCostChecklist[[#This Row],[TargetID]],tblTargets[TargetID],tblTargets[TargetType],"")</f>
        <v>TECH</v>
      </c>
      <c r="E992" s="41" t="s">
        <v>708</v>
      </c>
      <c r="F992" s="41">
        <v>1</v>
      </c>
      <c r="G992" s="41">
        <f>_xlfn.XLOOKUP(
 tblCostChecklist[[#This Row],[RequirementID]],
 tblCost[RequirementID],
 tblCost[QuantityRequired],
 ""
)</f>
        <v>3</v>
      </c>
      <c r="H9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2" s="41" t="str">
        <f>_xlfn.XLOOKUP(tblCostChecklist[[#This Row],[TargetID]],tblTargetStatus[TargetID],tblTargetStatus[Status])</f>
        <v>BLOCKED</v>
      </c>
      <c r="J992" s="25" t="b">
        <v>0</v>
      </c>
    </row>
    <row r="993" spans="1:10">
      <c r="A993" s="41" t="s">
        <v>4641</v>
      </c>
      <c r="B993" s="41" t="str">
        <f>_xlfn.TEXTAFTER(
 _xlfn.TEXTBEFORE(tblCostChecklist[[#This Row],[RequirementID]],".",-2),
 "cost."
)</f>
        <v>tech.smithy.treasure</v>
      </c>
      <c r="C993" s="41" t="str">
        <f>_xlfn.XLOOKUP(tblCostChecklist[[#This Row],[TargetID]],tblTargets[TargetID],tblTargets[DisplayName],"")</f>
        <v>Smithy - Treasure</v>
      </c>
      <c r="D993" s="41" t="str">
        <f>_xlfn.XLOOKUP(tblCostChecklist[[#This Row],[TargetID]],tblTargets[TargetID],tblTargets[TargetType],"")</f>
        <v>TECH</v>
      </c>
      <c r="E993" s="41" t="s">
        <v>958</v>
      </c>
      <c r="F993" s="41">
        <v>1</v>
      </c>
      <c r="G993" s="41">
        <f>_xlfn.XLOOKUP(
 tblCostChecklist[[#This Row],[RequirementID]],
 tblCost[RequirementID],
 tblCost[QuantityRequired],
 ""
)</f>
        <v>15</v>
      </c>
      <c r="H9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3" s="41" t="str">
        <f>_xlfn.XLOOKUP(tblCostChecklist[[#This Row],[TargetID]],tblTargetStatus[TargetID],tblTargetStatus[Status])</f>
        <v>BLOCKED</v>
      </c>
      <c r="J993" s="25" t="b">
        <v>0</v>
      </c>
    </row>
    <row r="994" spans="1:10">
      <c r="A994" s="41" t="s">
        <v>4642</v>
      </c>
      <c r="B994" s="41" t="str">
        <f>_xlfn.TEXTAFTER(
 _xlfn.TEXTBEFORE(tblCostChecklist[[#This Row],[RequirementID]],".",-2),
 "cost."
)</f>
        <v>tech.tailor.ariadnes_thread</v>
      </c>
      <c r="C994" s="41" t="str">
        <f>_xlfn.XLOOKUP(tblCostChecklist[[#This Row],[TargetID]],tblTargets[TargetID],tblTargets[DisplayName],"")</f>
        <v>Tailor - Ariadnes Thread</v>
      </c>
      <c r="D994" s="41" t="str">
        <f>_xlfn.XLOOKUP(tblCostChecklist[[#This Row],[TargetID]],tblTargets[TargetID],tblTargets[TargetType],"")</f>
        <v>TECH</v>
      </c>
      <c r="E994" s="41" t="s">
        <v>666</v>
      </c>
      <c r="F994" s="41">
        <v>1</v>
      </c>
      <c r="G994" s="41">
        <f>_xlfn.XLOOKUP(
 tblCostChecklist[[#This Row],[RequirementID]],
 tblCost[RequirementID],
 tblCost[QuantityRequired],
 ""
)</f>
        <v>300</v>
      </c>
      <c r="H9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4" s="41" t="str">
        <f>_xlfn.XLOOKUP(tblCostChecklist[[#This Row],[TargetID]],tblTargetStatus[TargetID],tblTargetStatus[Status])</f>
        <v>BLOCKED</v>
      </c>
      <c r="J994" s="25" t="b">
        <v>0</v>
      </c>
    </row>
    <row r="995" spans="1:10">
      <c r="A995" s="41" t="s">
        <v>4643</v>
      </c>
      <c r="B995" s="41" t="str">
        <f>_xlfn.TEXTAFTER(
 _xlfn.TEXTBEFORE(tblCostChecklist[[#This Row],[RequirementID]],".",-2),
 "cost."
)</f>
        <v>tech.tailor.ariadnes_thread</v>
      </c>
      <c r="C995" s="41" t="str">
        <f>_xlfn.XLOOKUP(tblCostChecklist[[#This Row],[TargetID]],tblTargets[TargetID],tblTargets[DisplayName],"")</f>
        <v>Tailor - Ariadnes Thread</v>
      </c>
      <c r="D995" s="41" t="str">
        <f>_xlfn.XLOOKUP(tblCostChecklist[[#This Row],[TargetID]],tblTargets[TargetID],tblTargets[TargetType],"")</f>
        <v>TECH</v>
      </c>
      <c r="E995" s="41" t="s">
        <v>931</v>
      </c>
      <c r="F995" s="41">
        <v>1</v>
      </c>
      <c r="G995" s="41">
        <f>_xlfn.XLOOKUP(
 tblCostChecklist[[#This Row],[RequirementID]],
 tblCost[RequirementID],
 tblCost[QuantityRequired],
 ""
)</f>
        <v>20</v>
      </c>
      <c r="H9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5" s="41" t="str">
        <f>_xlfn.XLOOKUP(tblCostChecklist[[#This Row],[TargetID]],tblTargetStatus[TargetID],tblTargetStatus[Status])</f>
        <v>BLOCKED</v>
      </c>
      <c r="J995" s="25" t="b">
        <v>0</v>
      </c>
    </row>
    <row r="996" spans="1:10">
      <c r="A996" s="41" t="s">
        <v>4644</v>
      </c>
      <c r="B996" s="41" t="str">
        <f>_xlfn.TEXTAFTER(
 _xlfn.TEXTBEFORE(tblCostChecklist[[#This Row],[RequirementID]],".",-2),
 "cost."
)</f>
        <v>tech.tailor.ariadnes_thread</v>
      </c>
      <c r="C996" s="41" t="str">
        <f>_xlfn.XLOOKUP(tblCostChecklist[[#This Row],[TargetID]],tblTargets[TargetID],tblTargets[DisplayName],"")</f>
        <v>Tailor - Ariadnes Thread</v>
      </c>
      <c r="D996" s="41" t="str">
        <f>_xlfn.XLOOKUP(tblCostChecklist[[#This Row],[TargetID]],tblTargets[TargetID],tblTargets[TargetType],"")</f>
        <v>TECH</v>
      </c>
      <c r="E996" s="41" t="s">
        <v>696</v>
      </c>
      <c r="F996" s="41">
        <v>1</v>
      </c>
      <c r="G996" s="41">
        <f>_xlfn.XLOOKUP(
 tblCostChecklist[[#This Row],[RequirementID]],
 tblCost[RequirementID],
 tblCost[QuantityRequired],
 ""
)</f>
        <v>10</v>
      </c>
      <c r="H9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6" s="41" t="str">
        <f>_xlfn.XLOOKUP(tblCostChecklist[[#This Row],[TargetID]],tblTargetStatus[TargetID],tblTargetStatus[Status])</f>
        <v>BLOCKED</v>
      </c>
      <c r="J996" s="25" t="b">
        <v>0</v>
      </c>
    </row>
    <row r="997" spans="1:10">
      <c r="A997" s="41" t="s">
        <v>4645</v>
      </c>
      <c r="B997" s="41" t="str">
        <f>_xlfn.TEXTAFTER(
 _xlfn.TEXTBEFORE(tblCostChecklist[[#This Row],[RequirementID]],".",-2),
 "cost."
)</f>
        <v>tech.tailor.ariadnes_thread</v>
      </c>
      <c r="C997" s="41" t="str">
        <f>_xlfn.XLOOKUP(tblCostChecklist[[#This Row],[TargetID]],tblTargets[TargetID],tblTargets[DisplayName],"")</f>
        <v>Tailor - Ariadnes Thread</v>
      </c>
      <c r="D997" s="41" t="str">
        <f>_xlfn.XLOOKUP(tblCostChecklist[[#This Row],[TargetID]],tblTargets[TargetID],tblTargets[TargetType],"")</f>
        <v>TECH</v>
      </c>
      <c r="E997" s="41" t="s">
        <v>947</v>
      </c>
      <c r="F997" s="41">
        <v>1</v>
      </c>
      <c r="G997" s="41">
        <f>_xlfn.XLOOKUP(
 tblCostChecklist[[#This Row],[RequirementID]],
 tblCost[RequirementID],
 tblCost[QuantityRequired],
 ""
)</f>
        <v>1</v>
      </c>
      <c r="H9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7" s="41" t="str">
        <f>_xlfn.XLOOKUP(tblCostChecklist[[#This Row],[TargetID]],tblTargetStatus[TargetID],tblTargetStatus[Status])</f>
        <v>BLOCKED</v>
      </c>
      <c r="J997" s="25" t="b">
        <v>0</v>
      </c>
    </row>
    <row r="998" spans="1:10">
      <c r="A998" s="41" t="s">
        <v>4646</v>
      </c>
      <c r="B998" s="41" t="str">
        <f>_xlfn.TEXTAFTER(
 _xlfn.TEXTBEFORE(tblCostChecklist[[#This Row],[RequirementID]],".",-2),
 "cost."
)</f>
        <v>tech.tailor.ariadnes_thread</v>
      </c>
      <c r="C998" s="41" t="str">
        <f>_xlfn.XLOOKUP(tblCostChecklist[[#This Row],[TargetID]],tblTargets[TargetID],tblTargets[DisplayName],"")</f>
        <v>Tailor - Ariadnes Thread</v>
      </c>
      <c r="D998" s="41" t="str">
        <f>_xlfn.XLOOKUP(tblCostChecklist[[#This Row],[TargetID]],tblTargets[TargetID],tblTargets[TargetType],"")</f>
        <v>TECH</v>
      </c>
      <c r="E998" s="41" t="s">
        <v>708</v>
      </c>
      <c r="F998" s="41">
        <v>1</v>
      </c>
      <c r="G998" s="41">
        <f>_xlfn.XLOOKUP(
 tblCostChecklist[[#This Row],[RequirementID]],
 tblCost[RequirementID],
 tblCost[QuantityRequired],
 ""
)</f>
        <v>2</v>
      </c>
      <c r="H9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8" s="41" t="str">
        <f>_xlfn.XLOOKUP(tblCostChecklist[[#This Row],[TargetID]],tblTargetStatus[TargetID],tblTargetStatus[Status])</f>
        <v>BLOCKED</v>
      </c>
      <c r="J998" s="25" t="b">
        <v>0</v>
      </c>
    </row>
    <row r="999" spans="1:10">
      <c r="A999" s="41" t="s">
        <v>4647</v>
      </c>
      <c r="B999" s="41" t="str">
        <f>_xlfn.TEXTAFTER(
 _xlfn.TEXTBEFORE(tblCostChecklist[[#This Row],[RequirementID]],".",-2),
 "cost."
)</f>
        <v>tech.tailor.ariadnes_thread</v>
      </c>
      <c r="C999" s="41" t="str">
        <f>_xlfn.XLOOKUP(tblCostChecklist[[#This Row],[TargetID]],tblTargets[TargetID],tblTargets[DisplayName],"")</f>
        <v>Tailor - Ariadnes Thread</v>
      </c>
      <c r="D999" s="41" t="str">
        <f>_xlfn.XLOOKUP(tblCostChecklist[[#This Row],[TargetID]],tblTargets[TargetID],tblTargets[TargetType],"")</f>
        <v>TECH</v>
      </c>
      <c r="E999" s="41" t="s">
        <v>719</v>
      </c>
      <c r="F999" s="41">
        <v>1</v>
      </c>
      <c r="G999" s="41">
        <f>_xlfn.XLOOKUP(
 tblCostChecklist[[#This Row],[RequirementID]],
 tblCost[RequirementID],
 tblCost[QuantityRequired],
 ""
)</f>
        <v>10</v>
      </c>
      <c r="H9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9" s="41" t="str">
        <f>_xlfn.XLOOKUP(tblCostChecklist[[#This Row],[TargetID]],tblTargetStatus[TargetID],tblTargetStatus[Status])</f>
        <v>BLOCKED</v>
      </c>
      <c r="J999" s="25" t="b">
        <v>0</v>
      </c>
    </row>
    <row r="1000" spans="1:10">
      <c r="A1000" s="41" t="s">
        <v>4648</v>
      </c>
      <c r="B1000" s="41" t="str">
        <f>_xlfn.TEXTAFTER(
 _xlfn.TEXTBEFORE(tblCostChecklist[[#This Row],[RequirementID]],".",-2),
 "cost."
)</f>
        <v>tech.tailor.bedroll</v>
      </c>
      <c r="C1000" s="41" t="str">
        <f>_xlfn.XLOOKUP(tblCostChecklist[[#This Row],[TargetID]],tblTargets[TargetID],tblTargets[DisplayName],"")</f>
        <v>Tailor - Bedroll</v>
      </c>
      <c r="D1000" s="41" t="str">
        <f>_xlfn.XLOOKUP(tblCostChecklist[[#This Row],[TargetID]],tblTargets[TargetID],tblTargets[TargetType],"")</f>
        <v>TECH</v>
      </c>
      <c r="E1000" s="41" t="s">
        <v>662</v>
      </c>
      <c r="F1000" s="41">
        <v>1</v>
      </c>
      <c r="G1000" s="41">
        <f>_xlfn.XLOOKUP(
 tblCostChecklist[[#This Row],[RequirementID]],
 tblCost[RequirementID],
 tblCost[QuantityRequired],
 ""
)</f>
        <v>10</v>
      </c>
      <c r="H10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0" s="41" t="str">
        <f>_xlfn.XLOOKUP(tblCostChecklist[[#This Row],[TargetID]],tblTargetStatus[TargetID],tblTargetStatus[Status])</f>
        <v>BLOCKED</v>
      </c>
      <c r="J1000" s="25" t="b">
        <v>0</v>
      </c>
    </row>
    <row r="1001" spans="1:10">
      <c r="A1001" s="41" t="s">
        <v>4649</v>
      </c>
      <c r="B1001" s="41" t="str">
        <f>_xlfn.TEXTAFTER(
 _xlfn.TEXTBEFORE(tblCostChecklist[[#This Row],[RequirementID]],".",-2),
 "cost."
)</f>
        <v>tech.tailor.bedroll</v>
      </c>
      <c r="C1001" s="41" t="str">
        <f>_xlfn.XLOOKUP(tblCostChecklist[[#This Row],[TargetID]],tblTargets[TargetID],tblTargets[DisplayName],"")</f>
        <v>Tailor - Bedroll</v>
      </c>
      <c r="D1001" s="41" t="str">
        <f>_xlfn.XLOOKUP(tblCostChecklist[[#This Row],[TargetID]],tblTargets[TargetID],tblTargets[TargetType],"")</f>
        <v>TECH</v>
      </c>
      <c r="E1001" s="41" t="s">
        <v>666</v>
      </c>
      <c r="F1001" s="41">
        <v>1</v>
      </c>
      <c r="G1001" s="41">
        <f>_xlfn.XLOOKUP(
 tblCostChecklist[[#This Row],[RequirementID]],
 tblCost[RequirementID],
 tblCost[QuantityRequired],
 ""
)</f>
        <v>300</v>
      </c>
      <c r="H10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1" s="41" t="str">
        <f>_xlfn.XLOOKUP(tblCostChecklist[[#This Row],[TargetID]],tblTargetStatus[TargetID],tblTargetStatus[Status])</f>
        <v>BLOCKED</v>
      </c>
      <c r="J1001" s="25" t="b">
        <v>0</v>
      </c>
    </row>
    <row r="1002" spans="1:10">
      <c r="A1002" s="41" t="s">
        <v>4650</v>
      </c>
      <c r="B1002" s="41" t="str">
        <f>_xlfn.TEXTAFTER(
 _xlfn.TEXTBEFORE(tblCostChecklist[[#This Row],[RequirementID]],".",-2),
 "cost."
)</f>
        <v>tech.tailor.bedroll</v>
      </c>
      <c r="C1002" s="41" t="str">
        <f>_xlfn.XLOOKUP(tblCostChecklist[[#This Row],[TargetID]],tblTargets[TargetID],tblTargets[DisplayName],"")</f>
        <v>Tailor - Bedroll</v>
      </c>
      <c r="D1002" s="41" t="str">
        <f>_xlfn.XLOOKUP(tblCostChecklist[[#This Row],[TargetID]],tblTargets[TargetID],tblTargets[TargetType],"")</f>
        <v>TECH</v>
      </c>
      <c r="E1002" s="41" t="s">
        <v>705</v>
      </c>
      <c r="F1002" s="41">
        <v>1</v>
      </c>
      <c r="G1002" s="41">
        <f>_xlfn.XLOOKUP(
 tblCostChecklist[[#This Row],[RequirementID]],
 tblCost[RequirementID],
 tblCost[QuantityRequired],
 ""
)</f>
        <v>5</v>
      </c>
      <c r="H10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2" s="41" t="str">
        <f>_xlfn.XLOOKUP(tblCostChecklist[[#This Row],[TargetID]],tblTargetStatus[TargetID],tblTargetStatus[Status])</f>
        <v>BLOCKED</v>
      </c>
      <c r="J1002" s="25" t="b">
        <v>0</v>
      </c>
    </row>
    <row r="1003" spans="1:10">
      <c r="A1003" s="41" t="s">
        <v>4651</v>
      </c>
      <c r="B1003" s="41" t="str">
        <f>_xlfn.TEXTAFTER(
 _xlfn.TEXTBEFORE(tblCostChecklist[[#This Row],[RequirementID]],".",-2),
 "cost."
)</f>
        <v>tech.tailor.bedroll</v>
      </c>
      <c r="C1003" s="41" t="str">
        <f>_xlfn.XLOOKUP(tblCostChecklist[[#This Row],[TargetID]],tblTargets[TargetID],tblTargets[DisplayName],"")</f>
        <v>Tailor - Bedroll</v>
      </c>
      <c r="D1003" s="41" t="str">
        <f>_xlfn.XLOOKUP(tblCostChecklist[[#This Row],[TargetID]],tblTargets[TargetID],tblTargets[TargetType],"")</f>
        <v>TECH</v>
      </c>
      <c r="E1003" s="41" t="s">
        <v>708</v>
      </c>
      <c r="F1003" s="41">
        <v>1</v>
      </c>
      <c r="G1003" s="41">
        <f>_xlfn.XLOOKUP(
 tblCostChecklist[[#This Row],[RequirementID]],
 tblCost[RequirementID],
 tblCost[QuantityRequired],
 ""
)</f>
        <v>2</v>
      </c>
      <c r="H10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3" s="41" t="str">
        <f>_xlfn.XLOOKUP(tblCostChecklist[[#This Row],[TargetID]],tblTargetStatus[TargetID],tblTargetStatus[Status])</f>
        <v>BLOCKED</v>
      </c>
      <c r="J1003" s="25" t="b">
        <v>0</v>
      </c>
    </row>
    <row r="1004" spans="1:10">
      <c r="A1004" s="41" t="s">
        <v>4652</v>
      </c>
      <c r="B1004" s="41" t="str">
        <f>_xlfn.TEXTAFTER(
 _xlfn.TEXTBEFORE(tblCostChecklist[[#This Row],[RequirementID]],".",-2),
 "cost."
)</f>
        <v>tech.tailor.bedroll</v>
      </c>
      <c r="C1004" s="41" t="str">
        <f>_xlfn.XLOOKUP(tblCostChecklist[[#This Row],[TargetID]],tblTargets[TargetID],tblTargets[DisplayName],"")</f>
        <v>Tailor - Bedroll</v>
      </c>
      <c r="D1004" s="41" t="str">
        <f>_xlfn.XLOOKUP(tblCostChecklist[[#This Row],[TargetID]],tblTargets[TargetID],tblTargets[TargetType],"")</f>
        <v>TECH</v>
      </c>
      <c r="E1004" s="41" t="s">
        <v>711</v>
      </c>
      <c r="F1004" s="41">
        <v>1</v>
      </c>
      <c r="G1004" s="41">
        <f>_xlfn.XLOOKUP(
 tblCostChecklist[[#This Row],[RequirementID]],
 tblCost[RequirementID],
 tblCost[QuantityRequired],
 ""
)</f>
        <v>15</v>
      </c>
      <c r="H10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4" s="41" t="str">
        <f>_xlfn.XLOOKUP(tblCostChecklist[[#This Row],[TargetID]],tblTargetStatus[TargetID],tblTargetStatus[Status])</f>
        <v>BLOCKED</v>
      </c>
      <c r="J1004" s="25" t="b">
        <v>0</v>
      </c>
    </row>
    <row r="1005" spans="1:10">
      <c r="A1005" s="41" t="s">
        <v>4653</v>
      </c>
      <c r="B1005" s="41" t="str">
        <f>_xlfn.TEXTAFTER(
 _xlfn.TEXTBEFORE(tblCostChecklist[[#This Row],[RequirementID]],".",-2),
 "cost."
)</f>
        <v>tech.tailor.bedroll</v>
      </c>
      <c r="C1005" s="41" t="str">
        <f>_xlfn.XLOOKUP(tblCostChecklist[[#This Row],[TargetID]],tblTargets[TargetID],tblTargets[DisplayName],"")</f>
        <v>Tailor - Bedroll</v>
      </c>
      <c r="D1005" s="41" t="str">
        <f>_xlfn.XLOOKUP(tblCostChecklist[[#This Row],[TargetID]],tblTargets[TargetID],tblTargets[TargetType],"")</f>
        <v>TECH</v>
      </c>
      <c r="E1005" s="41" t="s">
        <v>719</v>
      </c>
      <c r="F1005" s="41">
        <v>1</v>
      </c>
      <c r="G1005" s="41">
        <f>_xlfn.XLOOKUP(
 tblCostChecklist[[#This Row],[RequirementID]],
 tblCost[RequirementID],
 tblCost[QuantityRequired],
 ""
)</f>
        <v>20</v>
      </c>
      <c r="H10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5" s="41" t="str">
        <f>_xlfn.XLOOKUP(tblCostChecklist[[#This Row],[TargetID]],tblTargetStatus[TargetID],tblTargetStatus[Status])</f>
        <v>BLOCKED</v>
      </c>
      <c r="J1005" s="25" t="b">
        <v>0</v>
      </c>
    </row>
    <row r="1006" spans="1:10">
      <c r="A1006" s="41" t="s">
        <v>4654</v>
      </c>
      <c r="B1006" s="41" t="str">
        <f>_xlfn.TEXTAFTER(
 _xlfn.TEXTBEFORE(tblCostChecklist[[#This Row],[RequirementID]],".",-2),
 "cost."
)</f>
        <v>tech.tailor.salamander_velour</v>
      </c>
      <c r="C1006" s="41" t="str">
        <f>_xlfn.XLOOKUP(tblCostChecklist[[#This Row],[TargetID]],tblTargets[TargetID],tblTargets[DisplayName],"")</f>
        <v>Tailor - Salamander Velour</v>
      </c>
      <c r="D1006" s="41" t="str">
        <f>_xlfn.XLOOKUP(tblCostChecklist[[#This Row],[TargetID]],tblTargets[TargetID],tblTargets[TargetType],"")</f>
        <v>TECH</v>
      </c>
      <c r="E1006" s="41" t="s">
        <v>666</v>
      </c>
      <c r="F1006" s="41">
        <v>1</v>
      </c>
      <c r="G1006" s="41">
        <f>_xlfn.XLOOKUP(
 tblCostChecklist[[#This Row],[RequirementID]],
 tblCost[RequirementID],
 tblCost[QuantityRequired],
 ""
)</f>
        <v>400</v>
      </c>
      <c r="H10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6" s="41" t="str">
        <f>_xlfn.XLOOKUP(tblCostChecklist[[#This Row],[TargetID]],tblTargetStatus[TargetID],tblTargetStatus[Status])</f>
        <v>BLOCKED</v>
      </c>
      <c r="J1006" s="25" t="b">
        <v>0</v>
      </c>
    </row>
    <row r="1007" spans="1:10">
      <c r="A1007" s="41" t="s">
        <v>4655</v>
      </c>
      <c r="B1007" s="41" t="str">
        <f>_xlfn.TEXTAFTER(
 _xlfn.TEXTBEFORE(tblCostChecklist[[#This Row],[RequirementID]],".",-2),
 "cost."
)</f>
        <v>tech.tailor.salamander_velour</v>
      </c>
      <c r="C1007" s="41" t="str">
        <f>_xlfn.XLOOKUP(tblCostChecklist[[#This Row],[TargetID]],tblTargets[TargetID],tblTargets[DisplayName],"")</f>
        <v>Tailor - Salamander Velour</v>
      </c>
      <c r="D1007" s="41" t="str">
        <f>_xlfn.XLOOKUP(tblCostChecklist[[#This Row],[TargetID]],tblTargets[TargetID],tblTargets[TargetType],"")</f>
        <v>TECH</v>
      </c>
      <c r="E1007" s="41" t="s">
        <v>935</v>
      </c>
      <c r="F1007" s="41">
        <v>1</v>
      </c>
      <c r="G1007" s="41">
        <f>_xlfn.XLOOKUP(
 tblCostChecklist[[#This Row],[RequirementID]],
 tblCost[RequirementID],
 tblCost[QuantityRequired],
 ""
)</f>
        <v>10</v>
      </c>
      <c r="H10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7" s="41" t="str">
        <f>_xlfn.XLOOKUP(tblCostChecklist[[#This Row],[TargetID]],tblTargetStatus[TargetID],tblTargetStatus[Status])</f>
        <v>BLOCKED</v>
      </c>
      <c r="J1007" s="25" t="b">
        <v>0</v>
      </c>
    </row>
    <row r="1008" spans="1:10">
      <c r="A1008" s="41" t="s">
        <v>4656</v>
      </c>
      <c r="B1008" s="41" t="str">
        <f>_xlfn.TEXTAFTER(
 _xlfn.TEXTBEFORE(tblCostChecklist[[#This Row],[RequirementID]],".",-2),
 "cost."
)</f>
        <v>tech.tailor.salamander_velour</v>
      </c>
      <c r="C1008" s="41" t="str">
        <f>_xlfn.XLOOKUP(tblCostChecklist[[#This Row],[TargetID]],tblTargets[TargetID],tblTargets[DisplayName],"")</f>
        <v>Tailor - Salamander Velour</v>
      </c>
      <c r="D1008" s="41" t="str">
        <f>_xlfn.XLOOKUP(tblCostChecklist[[#This Row],[TargetID]],tblTargets[TargetID],tblTargets[TargetType],"")</f>
        <v>TECH</v>
      </c>
      <c r="E1008" s="41" t="s">
        <v>677</v>
      </c>
      <c r="F1008" s="41">
        <v>1</v>
      </c>
      <c r="G1008" s="41">
        <f>_xlfn.XLOOKUP(
 tblCostChecklist[[#This Row],[RequirementID]],
 tblCost[RequirementID],
 tblCost[QuantityRequired],
 ""
)</f>
        <v>15</v>
      </c>
      <c r="H10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8" s="41" t="str">
        <f>_xlfn.XLOOKUP(tblCostChecklist[[#This Row],[TargetID]],tblTargetStatus[TargetID],tblTargetStatus[Status])</f>
        <v>BLOCKED</v>
      </c>
      <c r="J1008" s="25" t="b">
        <v>0</v>
      </c>
    </row>
    <row r="1009" spans="1:10">
      <c r="A1009" s="41" t="s">
        <v>4657</v>
      </c>
      <c r="B1009" s="41" t="str">
        <f>_xlfn.TEXTAFTER(
 _xlfn.TEXTBEFORE(tblCostChecklist[[#This Row],[RequirementID]],".",-2),
 "cost."
)</f>
        <v>tech.tailor.salamander_velour</v>
      </c>
      <c r="C1009" s="41" t="str">
        <f>_xlfn.XLOOKUP(tblCostChecklist[[#This Row],[TargetID]],tblTargets[TargetID],tblTargets[DisplayName],"")</f>
        <v>Tailor - Salamander Velour</v>
      </c>
      <c r="D1009" s="41" t="str">
        <f>_xlfn.XLOOKUP(tblCostChecklist[[#This Row],[TargetID]],tblTargets[TargetID],tblTargets[TargetType],"")</f>
        <v>TECH</v>
      </c>
      <c r="E1009" s="41" t="s">
        <v>937</v>
      </c>
      <c r="F1009" s="41">
        <v>1</v>
      </c>
      <c r="G1009" s="41">
        <f>_xlfn.XLOOKUP(
 tblCostChecklist[[#This Row],[RequirementID]],
 tblCost[RequirementID],
 tblCost[QuantityRequired],
 ""
)</f>
        <v>6</v>
      </c>
      <c r="H10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9" s="41" t="str">
        <f>_xlfn.XLOOKUP(tblCostChecklist[[#This Row],[TargetID]],tblTargetStatus[TargetID],tblTargetStatus[Status])</f>
        <v>BLOCKED</v>
      </c>
      <c r="J1009" s="25" t="b">
        <v>0</v>
      </c>
    </row>
    <row r="1010" spans="1:10">
      <c r="A1010" s="41" t="s">
        <v>4658</v>
      </c>
      <c r="B1010" s="41" t="str">
        <f>_xlfn.TEXTAFTER(
 _xlfn.TEXTBEFORE(tblCostChecklist[[#This Row],[RequirementID]],".",-2),
 "cost."
)</f>
        <v>tech.tailor.salamander_velour</v>
      </c>
      <c r="C1010" s="41" t="str">
        <f>_xlfn.XLOOKUP(tblCostChecklist[[#This Row],[TargetID]],tblTargets[TargetID],tblTargets[DisplayName],"")</f>
        <v>Tailor - Salamander Velour</v>
      </c>
      <c r="D1010" s="41" t="str">
        <f>_xlfn.XLOOKUP(tblCostChecklist[[#This Row],[TargetID]],tblTargets[TargetID],tblTargets[TargetType],"")</f>
        <v>TECH</v>
      </c>
      <c r="E1010" s="41" t="s">
        <v>687</v>
      </c>
      <c r="F1010" s="41">
        <v>1</v>
      </c>
      <c r="G1010" s="41">
        <f>_xlfn.XLOOKUP(
 tblCostChecklist[[#This Row],[RequirementID]],
 tblCost[RequirementID],
 tblCost[QuantityRequired],
 ""
)</f>
        <v>15</v>
      </c>
      <c r="H10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0" s="41" t="str">
        <f>_xlfn.XLOOKUP(tblCostChecklist[[#This Row],[TargetID]],tblTargetStatus[TargetID],tblTargetStatus[Status])</f>
        <v>BLOCKED</v>
      </c>
      <c r="J1010" s="25" t="b">
        <v>0</v>
      </c>
    </row>
    <row r="1011" spans="1:10">
      <c r="A1011" s="41" t="s">
        <v>4659</v>
      </c>
      <c r="B1011" s="41" t="str">
        <f>_xlfn.TEXTAFTER(
 _xlfn.TEXTBEFORE(tblCostChecklist[[#This Row],[RequirementID]],".",-2),
 "cost."
)</f>
        <v>tech.tailor.salamander_velour</v>
      </c>
      <c r="C1011" s="41" t="str">
        <f>_xlfn.XLOOKUP(tblCostChecklist[[#This Row],[TargetID]],tblTargets[TargetID],tblTargets[DisplayName],"")</f>
        <v>Tailor - Salamander Velour</v>
      </c>
      <c r="D1011" s="41" t="str">
        <f>_xlfn.XLOOKUP(tblCostChecklist[[#This Row],[TargetID]],tblTargets[TargetID],tblTargets[TargetType],"")</f>
        <v>TECH</v>
      </c>
      <c r="E1011" s="41" t="s">
        <v>708</v>
      </c>
      <c r="F1011" s="41">
        <v>1</v>
      </c>
      <c r="G1011" s="41">
        <f>_xlfn.XLOOKUP(
 tblCostChecklist[[#This Row],[RequirementID]],
 tblCost[RequirementID],
 tblCost[QuantityRequired],
 ""
)</f>
        <v>3</v>
      </c>
      <c r="H10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1" s="41" t="str">
        <f>_xlfn.XLOOKUP(tblCostChecklist[[#This Row],[TargetID]],tblTargetStatus[TargetID],tblTargetStatus[Status])</f>
        <v>BLOCKED</v>
      </c>
      <c r="J1011" s="25" t="b">
        <v>0</v>
      </c>
    </row>
    <row r="1012" spans="1:10">
      <c r="A1012" s="41" t="s">
        <v>4660</v>
      </c>
      <c r="B1012" s="41" t="str">
        <f>_xlfn.TEXTAFTER(
 _xlfn.TEXTBEFORE(tblCostChecklist[[#This Row],[RequirementID]],".",-2),
 "cost."
)</f>
        <v>tech.tailor.armor_for_a_hero_lvl_1</v>
      </c>
      <c r="C1012" s="41" t="str">
        <f>_xlfn.XLOOKUP(tblCostChecklist[[#This Row],[TargetID]],tblTargets[TargetID],tblTargets[DisplayName],"")</f>
        <v>Tailor - Armor For A Hero Lvl 1</v>
      </c>
      <c r="D1012" s="41" t="str">
        <f>_xlfn.XLOOKUP(tblCostChecklist[[#This Row],[TargetID]],tblTargets[TargetID],tblTargets[TargetType],"")</f>
        <v>TECH</v>
      </c>
      <c r="E1012" s="41" t="s">
        <v>666</v>
      </c>
      <c r="F1012" s="41">
        <v>1</v>
      </c>
      <c r="G1012" s="41">
        <f>_xlfn.XLOOKUP(
 tblCostChecklist[[#This Row],[RequirementID]],
 tblCost[RequirementID],
 tblCost[QuantityRequired],
 ""
)</f>
        <v>500</v>
      </c>
      <c r="H10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2" s="41" t="str">
        <f>_xlfn.XLOOKUP(tblCostChecklist[[#This Row],[TargetID]],tblTargetStatus[TargetID],tblTargetStatus[Status])</f>
        <v>BLOCKED</v>
      </c>
      <c r="J1012" s="25" t="b">
        <v>0</v>
      </c>
    </row>
    <row r="1013" spans="1:10">
      <c r="A1013" s="41" t="s">
        <v>4661</v>
      </c>
      <c r="B1013" s="41" t="str">
        <f>_xlfn.TEXTAFTER(
 _xlfn.TEXTBEFORE(tblCostChecklist[[#This Row],[RequirementID]],".",-2),
 "cost."
)</f>
        <v>tech.tailor.armor_for_a_hero_lvl_1</v>
      </c>
      <c r="C1013" s="41" t="str">
        <f>_xlfn.XLOOKUP(tblCostChecklist[[#This Row],[TargetID]],tblTargets[TargetID],tblTargets[DisplayName],"")</f>
        <v>Tailor - Armor For A Hero Lvl 1</v>
      </c>
      <c r="D1013" s="41" t="str">
        <f>_xlfn.XLOOKUP(tblCostChecklist[[#This Row],[TargetID]],tblTargets[TargetID],tblTargets[TargetType],"")</f>
        <v>TECH</v>
      </c>
      <c r="E1013" s="41" t="s">
        <v>690</v>
      </c>
      <c r="F1013" s="41">
        <v>1</v>
      </c>
      <c r="G1013" s="41">
        <f>_xlfn.XLOOKUP(
 tblCostChecklist[[#This Row],[RequirementID]],
 tblCost[RequirementID],
 tblCost[QuantityRequired],
 ""
)</f>
        <v>50</v>
      </c>
      <c r="H10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3" s="41" t="str">
        <f>_xlfn.XLOOKUP(tblCostChecklist[[#This Row],[TargetID]],tblTargetStatus[TargetID],tblTargetStatus[Status])</f>
        <v>BLOCKED</v>
      </c>
      <c r="J1013" s="25" t="b">
        <v>0</v>
      </c>
    </row>
    <row r="1014" spans="1:10">
      <c r="A1014" s="41" t="s">
        <v>4662</v>
      </c>
      <c r="B1014" s="41" t="str">
        <f>_xlfn.TEXTAFTER(
 _xlfn.TEXTBEFORE(tblCostChecklist[[#This Row],[RequirementID]],".",-2),
 "cost."
)</f>
        <v>tech.tailor.armor_for_a_hero_lvl_1</v>
      </c>
      <c r="C1014" s="41" t="str">
        <f>_xlfn.XLOOKUP(tblCostChecklist[[#This Row],[TargetID]],tblTargets[TargetID],tblTargets[DisplayName],"")</f>
        <v>Tailor - Armor For A Hero Lvl 1</v>
      </c>
      <c r="D1014" s="41" t="str">
        <f>_xlfn.XLOOKUP(tblCostChecklist[[#This Row],[TargetID]],tblTargets[TargetID],tblTargets[TargetType],"")</f>
        <v>TECH</v>
      </c>
      <c r="E1014" s="41" t="s">
        <v>696</v>
      </c>
      <c r="F1014" s="41">
        <v>1</v>
      </c>
      <c r="G1014" s="41">
        <f>_xlfn.XLOOKUP(
 tblCostChecklist[[#This Row],[RequirementID]],
 tblCost[RequirementID],
 tblCost[QuantityRequired],
 ""
)</f>
        <v>30</v>
      </c>
      <c r="H10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4" s="41" t="str">
        <f>_xlfn.XLOOKUP(tblCostChecklist[[#This Row],[TargetID]],tblTargetStatus[TargetID],tblTargetStatus[Status])</f>
        <v>BLOCKED</v>
      </c>
      <c r="J1014" s="25" t="b">
        <v>0</v>
      </c>
    </row>
    <row r="1015" spans="1:10">
      <c r="A1015" s="41" t="s">
        <v>4663</v>
      </c>
      <c r="B1015" s="41" t="str">
        <f>_xlfn.TEXTAFTER(
 _xlfn.TEXTBEFORE(tblCostChecklist[[#This Row],[RequirementID]],".",-2),
 "cost."
)</f>
        <v>tech.tailor.armor_for_a_hero_lvl_1</v>
      </c>
      <c r="C1015" s="41" t="str">
        <f>_xlfn.XLOOKUP(tblCostChecklist[[#This Row],[TargetID]],tblTargets[TargetID],tblTargets[DisplayName],"")</f>
        <v>Tailor - Armor For A Hero Lvl 1</v>
      </c>
      <c r="D1015" s="41" t="str">
        <f>_xlfn.XLOOKUP(tblCostChecklist[[#This Row],[TargetID]],tblTargets[TargetID],tblTargets[TargetType],"")</f>
        <v>TECH</v>
      </c>
      <c r="E1015" s="41" t="s">
        <v>708</v>
      </c>
      <c r="F1015" s="41">
        <v>1</v>
      </c>
      <c r="G1015" s="41">
        <f>_xlfn.XLOOKUP(
 tblCostChecklist[[#This Row],[RequirementID]],
 tblCost[RequirementID],
 tblCost[QuantityRequired],
 ""
)</f>
        <v>3</v>
      </c>
      <c r="H10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5" s="41" t="str">
        <f>_xlfn.XLOOKUP(tblCostChecklist[[#This Row],[TargetID]],tblTargetStatus[TargetID],tblTargetStatus[Status])</f>
        <v>BLOCKED</v>
      </c>
      <c r="J1015" s="25" t="b">
        <v>0</v>
      </c>
    </row>
    <row r="1016" spans="1:10">
      <c r="A1016" s="41" t="s">
        <v>4664</v>
      </c>
      <c r="B1016" s="41" t="str">
        <f>_xlfn.TEXTAFTER(
 _xlfn.TEXTBEFORE(tblCostChecklist[[#This Row],[RequirementID]],".",-2),
 "cost."
)</f>
        <v>tech.tailor.armor_for_a_hero_lvl_1</v>
      </c>
      <c r="C1016" s="41" t="str">
        <f>_xlfn.XLOOKUP(tblCostChecklist[[#This Row],[TargetID]],tblTargets[TargetID],tblTargets[DisplayName],"")</f>
        <v>Tailor - Armor For A Hero Lvl 1</v>
      </c>
      <c r="D1016" s="41" t="str">
        <f>_xlfn.XLOOKUP(tblCostChecklist[[#This Row],[TargetID]],tblTargets[TargetID],tblTargets[TargetType],"")</f>
        <v>TECH</v>
      </c>
      <c r="E1016" s="41" t="s">
        <v>711</v>
      </c>
      <c r="F1016" s="41">
        <v>1</v>
      </c>
      <c r="G1016" s="41">
        <f>_xlfn.XLOOKUP(
 tblCostChecklist[[#This Row],[RequirementID]],
 tblCost[RequirementID],
 tblCost[QuantityRequired],
 ""
)</f>
        <v>10</v>
      </c>
      <c r="H10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6" s="41" t="str">
        <f>_xlfn.XLOOKUP(tblCostChecklist[[#This Row],[TargetID]],tblTargetStatus[TargetID],tblTargetStatus[Status])</f>
        <v>BLOCKED</v>
      </c>
      <c r="J1016" s="25" t="b">
        <v>0</v>
      </c>
    </row>
    <row r="1017" spans="1:10">
      <c r="A1017" s="41" t="s">
        <v>4665</v>
      </c>
      <c r="B1017" s="41" t="str">
        <f>_xlfn.TEXTAFTER(
 _xlfn.TEXTBEFORE(tblCostChecklist[[#This Row],[RequirementID]],".",-2),
 "cost."
)</f>
        <v>tech.tailor.armor_for_a_hero_lvl_1</v>
      </c>
      <c r="C1017" s="41" t="str">
        <f>_xlfn.XLOOKUP(tblCostChecklist[[#This Row],[TargetID]],tblTargets[TargetID],tblTargets[DisplayName],"")</f>
        <v>Tailor - Armor For A Hero Lvl 1</v>
      </c>
      <c r="D1017" s="41" t="str">
        <f>_xlfn.XLOOKUP(tblCostChecklist[[#This Row],[TargetID]],tblTargets[TargetID],tblTargets[TargetType],"")</f>
        <v>TECH</v>
      </c>
      <c r="E1017" s="41" t="s">
        <v>719</v>
      </c>
      <c r="F1017" s="41">
        <v>1</v>
      </c>
      <c r="G1017" s="41">
        <f>_xlfn.XLOOKUP(
 tblCostChecklist[[#This Row],[RequirementID]],
 tblCost[RequirementID],
 tblCost[QuantityRequired],
 ""
)</f>
        <v>5</v>
      </c>
      <c r="H10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7" s="41" t="str">
        <f>_xlfn.XLOOKUP(tblCostChecklist[[#This Row],[TargetID]],tblTargetStatus[TargetID],tblTargetStatus[Status])</f>
        <v>BLOCKED</v>
      </c>
      <c r="J1017" s="25" t="b">
        <v>0</v>
      </c>
    </row>
    <row r="1018" spans="1:10">
      <c r="A1018" s="41" t="s">
        <v>4666</v>
      </c>
      <c r="B1018" s="41" t="str">
        <f>_xlfn.TEXTAFTER(
 _xlfn.TEXTBEFORE(tblCostChecklist[[#This Row],[RequirementID]],".",-2),
 "cost."
)</f>
        <v>tech.tailor.armor_for_a_hero_lvl_2</v>
      </c>
      <c r="C1018" s="41" t="str">
        <f>_xlfn.XLOOKUP(tblCostChecklist[[#This Row],[TargetID]],tblTargets[TargetID],tblTargets[DisplayName],"")</f>
        <v>Tailor - Armor For A Hero Lvl 2</v>
      </c>
      <c r="D1018" s="41" t="str">
        <f>_xlfn.XLOOKUP(tblCostChecklist[[#This Row],[TargetID]],tblTargets[TargetID],tblTargets[TargetType],"")</f>
        <v>TECH</v>
      </c>
      <c r="E1018" s="41" t="s">
        <v>662</v>
      </c>
      <c r="F1018" s="41">
        <v>1</v>
      </c>
      <c r="G1018" s="41">
        <f>_xlfn.XLOOKUP(
 tblCostChecklist[[#This Row],[RequirementID]],
 tblCost[RequirementID],
 tblCost[QuantityRequired],
 ""
)</f>
        <v>20</v>
      </c>
      <c r="H10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8" s="41" t="str">
        <f>_xlfn.XLOOKUP(tblCostChecklist[[#This Row],[TargetID]],tblTargetStatus[TargetID],tblTargetStatus[Status])</f>
        <v>BLOCKED</v>
      </c>
      <c r="J1018" s="25" t="b">
        <v>0</v>
      </c>
    </row>
    <row r="1019" spans="1:10">
      <c r="A1019" s="41" t="s">
        <v>4667</v>
      </c>
      <c r="B1019" s="41" t="str">
        <f>_xlfn.TEXTAFTER(
 _xlfn.TEXTBEFORE(tblCostChecklist[[#This Row],[RequirementID]],".",-2),
 "cost."
)</f>
        <v>tech.tailor.armor_for_a_hero_lvl_2</v>
      </c>
      <c r="C1019" s="41" t="str">
        <f>_xlfn.XLOOKUP(tblCostChecklist[[#This Row],[TargetID]],tblTargets[TargetID],tblTargets[DisplayName],"")</f>
        <v>Tailor - Armor For A Hero Lvl 2</v>
      </c>
      <c r="D1019" s="41" t="str">
        <f>_xlfn.XLOOKUP(tblCostChecklist[[#This Row],[TargetID]],tblTargets[TargetID],tblTargets[TargetType],"")</f>
        <v>TECH</v>
      </c>
      <c r="E1019" s="41" t="s">
        <v>666</v>
      </c>
      <c r="F1019" s="41">
        <v>1</v>
      </c>
      <c r="G1019" s="41">
        <f>_xlfn.XLOOKUP(
 tblCostChecklist[[#This Row],[RequirementID]],
 tblCost[RequirementID],
 tblCost[QuantityRequired],
 ""
)</f>
        <v>1000</v>
      </c>
      <c r="H10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9" s="41" t="str">
        <f>_xlfn.XLOOKUP(tblCostChecklist[[#This Row],[TargetID]],tblTargetStatus[TargetID],tblTargetStatus[Status])</f>
        <v>BLOCKED</v>
      </c>
      <c r="J1019" s="25" t="b">
        <v>0</v>
      </c>
    </row>
    <row r="1020" spans="1:10">
      <c r="A1020" s="41" t="s">
        <v>4668</v>
      </c>
      <c r="B1020" s="41" t="str">
        <f>_xlfn.TEXTAFTER(
 _xlfn.TEXTBEFORE(tblCostChecklist[[#This Row],[RequirementID]],".",-2),
 "cost."
)</f>
        <v>tech.tailor.armor_for_a_hero_lvl_2</v>
      </c>
      <c r="C1020" s="41" t="str">
        <f>_xlfn.XLOOKUP(tblCostChecklist[[#This Row],[TargetID]],tblTargets[TargetID],tblTargets[DisplayName],"")</f>
        <v>Tailor - Armor For A Hero Lvl 2</v>
      </c>
      <c r="D1020" s="41" t="str">
        <f>_xlfn.XLOOKUP(tblCostChecklist[[#This Row],[TargetID]],tblTargets[TargetID],tblTargets[TargetType],"")</f>
        <v>TECH</v>
      </c>
      <c r="E1020" s="41" t="s">
        <v>693</v>
      </c>
      <c r="F1020" s="41">
        <v>1</v>
      </c>
      <c r="G1020" s="41">
        <f>_xlfn.XLOOKUP(
 tblCostChecklist[[#This Row],[RequirementID]],
 tblCost[RequirementID],
 tblCost[QuantityRequired],
 ""
)</f>
        <v>50</v>
      </c>
      <c r="H10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0" s="41" t="str">
        <f>_xlfn.XLOOKUP(tblCostChecklist[[#This Row],[TargetID]],tblTargetStatus[TargetID],tblTargetStatus[Status])</f>
        <v>BLOCKED</v>
      </c>
      <c r="J1020" s="25" t="b">
        <v>0</v>
      </c>
    </row>
    <row r="1021" spans="1:10">
      <c r="A1021" s="41" t="s">
        <v>4669</v>
      </c>
      <c r="B1021" s="41" t="str">
        <f>_xlfn.TEXTAFTER(
 _xlfn.TEXTBEFORE(tblCostChecklist[[#This Row],[RequirementID]],".",-2),
 "cost."
)</f>
        <v>tech.tailor.armor_for_a_hero_lvl_2</v>
      </c>
      <c r="C1021" s="41" t="str">
        <f>_xlfn.XLOOKUP(tblCostChecklist[[#This Row],[TargetID]],tblTargets[TargetID],tblTargets[DisplayName],"")</f>
        <v>Tailor - Armor For A Hero Lvl 2</v>
      </c>
      <c r="D1021" s="41" t="str">
        <f>_xlfn.XLOOKUP(tblCostChecklist[[#This Row],[TargetID]],tblTargets[TargetID],tblTargets[TargetType],"")</f>
        <v>TECH</v>
      </c>
      <c r="E1021" s="41" t="s">
        <v>708</v>
      </c>
      <c r="F1021" s="41">
        <v>1</v>
      </c>
      <c r="G1021" s="41">
        <f>_xlfn.XLOOKUP(
 tblCostChecklist[[#This Row],[RequirementID]],
 tblCost[RequirementID],
 tblCost[QuantityRequired],
 ""
)</f>
        <v>5</v>
      </c>
      <c r="H10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1" s="41" t="str">
        <f>_xlfn.XLOOKUP(tblCostChecklist[[#This Row],[TargetID]],tblTargetStatus[TargetID],tblTargetStatus[Status])</f>
        <v>BLOCKED</v>
      </c>
      <c r="J1021" s="25" t="b">
        <v>0</v>
      </c>
    </row>
    <row r="1022" spans="1:10">
      <c r="A1022" s="41" t="s">
        <v>4670</v>
      </c>
      <c r="B1022" s="41" t="str">
        <f>_xlfn.TEXTAFTER(
 _xlfn.TEXTBEFORE(tblCostChecklist[[#This Row],[RequirementID]],".",-2),
 "cost."
)</f>
        <v>tech.tailor.armor_for_a_hero_lvl_2</v>
      </c>
      <c r="C1022" s="41" t="str">
        <f>_xlfn.XLOOKUP(tblCostChecklist[[#This Row],[TargetID]],tblTargets[TargetID],tblTargets[DisplayName],"")</f>
        <v>Tailor - Armor For A Hero Lvl 2</v>
      </c>
      <c r="D1022" s="41" t="str">
        <f>_xlfn.XLOOKUP(tblCostChecklist[[#This Row],[TargetID]],tblTargets[TargetID],tblTargets[TargetType],"")</f>
        <v>TECH</v>
      </c>
      <c r="E1022" s="41" t="s">
        <v>711</v>
      </c>
      <c r="F1022" s="41">
        <v>1</v>
      </c>
      <c r="G1022" s="41">
        <f>_xlfn.XLOOKUP(
 tblCostChecklist[[#This Row],[RequirementID]],
 tblCost[RequirementID],
 tblCost[QuantityRequired],
 ""
)</f>
        <v>20</v>
      </c>
      <c r="H10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2" s="41" t="str">
        <f>_xlfn.XLOOKUP(tblCostChecklist[[#This Row],[TargetID]],tblTargetStatus[TargetID],tblTargetStatus[Status])</f>
        <v>BLOCKED</v>
      </c>
      <c r="J1022" s="25" t="b">
        <v>0</v>
      </c>
    </row>
    <row r="1023" spans="1:10">
      <c r="A1023" s="41" t="s">
        <v>4671</v>
      </c>
      <c r="B1023" s="41" t="str">
        <f>_xlfn.TEXTAFTER(
 _xlfn.TEXTBEFORE(tblCostChecklist[[#This Row],[RequirementID]],".",-2),
 "cost."
)</f>
        <v>tech.tailor.armor_for_a_hero_lvl_2</v>
      </c>
      <c r="C1023" s="41" t="str">
        <f>_xlfn.XLOOKUP(tblCostChecklist[[#This Row],[TargetID]],tblTargets[TargetID],tblTargets[DisplayName],"")</f>
        <v>Tailor - Armor For A Hero Lvl 2</v>
      </c>
      <c r="D1023" s="41" t="str">
        <f>_xlfn.XLOOKUP(tblCostChecklist[[#This Row],[TargetID]],tblTargets[TargetID],tblTargets[TargetType],"")</f>
        <v>TECH</v>
      </c>
      <c r="E1023" s="41" t="s">
        <v>719</v>
      </c>
      <c r="F1023" s="41">
        <v>1</v>
      </c>
      <c r="G1023" s="41">
        <f>_xlfn.XLOOKUP(
 tblCostChecklist[[#This Row],[RequirementID]],
 tblCost[RequirementID],
 tblCost[QuantityRequired],
 ""
)</f>
        <v>10</v>
      </c>
      <c r="H10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3" s="41" t="str">
        <f>_xlfn.XLOOKUP(tblCostChecklist[[#This Row],[TargetID]],tblTargetStatus[TargetID],tblTargetStatus[Status])</f>
        <v>BLOCKED</v>
      </c>
      <c r="J1023" s="25" t="b">
        <v>0</v>
      </c>
    </row>
    <row r="1024" spans="1:10">
      <c r="A1024" s="41" t="s">
        <v>4672</v>
      </c>
      <c r="B1024" s="41" t="str">
        <f>_xlfn.TEXTAFTER(
 _xlfn.TEXTBEFORE(tblCostChecklist[[#This Row],[RequirementID]],".",-2),
 "cost."
)</f>
        <v>tech.tailor.armor_for_a_hero_lvl_3</v>
      </c>
      <c r="C1024" s="41" t="str">
        <f>_xlfn.XLOOKUP(tblCostChecklist[[#This Row],[TargetID]],tblTargets[TargetID],tblTargets[DisplayName],"")</f>
        <v>Tailor - Armor For A Hero Lvl 3</v>
      </c>
      <c r="D1024" s="41" t="str">
        <f>_xlfn.XLOOKUP(tblCostChecklist[[#This Row],[TargetID]],tblTargets[TargetID],tblTargets[TargetType],"")</f>
        <v>TECH</v>
      </c>
      <c r="E1024" s="41" t="s">
        <v>662</v>
      </c>
      <c r="F1024" s="41">
        <v>1</v>
      </c>
      <c r="G1024" s="41">
        <f>_xlfn.XLOOKUP(
 tblCostChecklist[[#This Row],[RequirementID]],
 tblCost[RequirementID],
 tblCost[QuantityRequired],
 ""
)</f>
        <v>30</v>
      </c>
      <c r="H10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4" s="41" t="str">
        <f>_xlfn.XLOOKUP(tblCostChecklist[[#This Row],[TargetID]],tblTargetStatus[TargetID],tblTargetStatus[Status])</f>
        <v>BLOCKED</v>
      </c>
      <c r="J1024" s="25" t="b">
        <v>0</v>
      </c>
    </row>
    <row r="1025" spans="1:10">
      <c r="A1025" s="41" t="s">
        <v>4673</v>
      </c>
      <c r="B1025" s="41" t="str">
        <f>_xlfn.TEXTAFTER(
 _xlfn.TEXTBEFORE(tblCostChecklist[[#This Row],[RequirementID]],".",-2),
 "cost."
)</f>
        <v>tech.tailor.armor_for_a_hero_lvl_3</v>
      </c>
      <c r="C1025" s="41" t="str">
        <f>_xlfn.XLOOKUP(tblCostChecklist[[#This Row],[TargetID]],tblTargets[TargetID],tblTargets[DisplayName],"")</f>
        <v>Tailor - Armor For A Hero Lvl 3</v>
      </c>
      <c r="D1025" s="41" t="str">
        <f>_xlfn.XLOOKUP(tblCostChecklist[[#This Row],[TargetID]],tblTargets[TargetID],tblTargets[TargetType],"")</f>
        <v>TECH</v>
      </c>
      <c r="E1025" s="41" t="s">
        <v>666</v>
      </c>
      <c r="F1025" s="41">
        <v>1</v>
      </c>
      <c r="G1025" s="41">
        <f>_xlfn.XLOOKUP(
 tblCostChecklist[[#This Row],[RequirementID]],
 tblCost[RequirementID],
 tblCost[QuantityRequired],
 ""
)</f>
        <v>1500</v>
      </c>
      <c r="H10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5" s="41" t="str">
        <f>_xlfn.XLOOKUP(tblCostChecklist[[#This Row],[TargetID]],tblTargetStatus[TargetID],tblTargetStatus[Status])</f>
        <v>BLOCKED</v>
      </c>
      <c r="J1025" s="25" t="b">
        <v>0</v>
      </c>
    </row>
    <row r="1026" spans="1:10">
      <c r="A1026" s="41" t="s">
        <v>4674</v>
      </c>
      <c r="B1026" s="41" t="str">
        <f>_xlfn.TEXTAFTER(
 _xlfn.TEXTBEFORE(tblCostChecklist[[#This Row],[RequirementID]],".",-2),
 "cost."
)</f>
        <v>tech.tailor.armor_for_a_hero_lvl_3</v>
      </c>
      <c r="C1026" s="41" t="str">
        <f>_xlfn.XLOOKUP(tblCostChecklist[[#This Row],[TargetID]],tblTargets[TargetID],tblTargets[DisplayName],"")</f>
        <v>Tailor - Armor For A Hero Lvl 3</v>
      </c>
      <c r="D1026" s="41" t="str">
        <f>_xlfn.XLOOKUP(tblCostChecklist[[#This Row],[TargetID]],tblTargets[TargetID],tblTargets[TargetType],"")</f>
        <v>TECH</v>
      </c>
      <c r="E1026" s="41" t="s">
        <v>693</v>
      </c>
      <c r="F1026" s="41">
        <v>1</v>
      </c>
      <c r="G1026" s="41">
        <f>_xlfn.XLOOKUP(
 tblCostChecklist[[#This Row],[RequirementID]],
 tblCost[RequirementID],
 tblCost[QuantityRequired],
 ""
)</f>
        <v>75</v>
      </c>
      <c r="H10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6" s="41" t="str">
        <f>_xlfn.XLOOKUP(tblCostChecklist[[#This Row],[TargetID]],tblTargetStatus[TargetID],tblTargetStatus[Status])</f>
        <v>BLOCKED</v>
      </c>
      <c r="J1026" s="25" t="b">
        <v>0</v>
      </c>
    </row>
    <row r="1027" spans="1:10">
      <c r="A1027" s="41" t="s">
        <v>4675</v>
      </c>
      <c r="B1027" s="41" t="str">
        <f>_xlfn.TEXTAFTER(
 _xlfn.TEXTBEFORE(tblCostChecklist[[#This Row],[RequirementID]],".",-2),
 "cost."
)</f>
        <v>tech.tailor.armor_for_a_hero_lvl_3</v>
      </c>
      <c r="C1027" s="41" t="str">
        <f>_xlfn.XLOOKUP(tblCostChecklist[[#This Row],[TargetID]],tblTargets[TargetID],tblTargets[DisplayName],"")</f>
        <v>Tailor - Armor For A Hero Lvl 3</v>
      </c>
      <c r="D1027" s="41" t="str">
        <f>_xlfn.XLOOKUP(tblCostChecklist[[#This Row],[TargetID]],tblTargets[TargetID],tblTargets[TargetType],"")</f>
        <v>TECH</v>
      </c>
      <c r="E1027" s="41" t="s">
        <v>708</v>
      </c>
      <c r="F1027" s="41">
        <v>1</v>
      </c>
      <c r="G1027" s="41">
        <f>_xlfn.XLOOKUP(
 tblCostChecklist[[#This Row],[RequirementID]],
 tblCost[RequirementID],
 tblCost[QuantityRequired],
 ""
)</f>
        <v>7</v>
      </c>
      <c r="H10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7" s="41" t="str">
        <f>_xlfn.XLOOKUP(tblCostChecklist[[#This Row],[TargetID]],tblTargetStatus[TargetID],tblTargetStatus[Status])</f>
        <v>BLOCKED</v>
      </c>
      <c r="J1027" s="25" t="b">
        <v>0</v>
      </c>
    </row>
    <row r="1028" spans="1:10">
      <c r="A1028" s="41" t="s">
        <v>4676</v>
      </c>
      <c r="B1028" s="41" t="str">
        <f>_xlfn.TEXTAFTER(
 _xlfn.TEXTBEFORE(tblCostChecklist[[#This Row],[RequirementID]],".",-2),
 "cost."
)</f>
        <v>tech.tailor.armor_for_a_hero_lvl_3</v>
      </c>
      <c r="C1028" s="41" t="str">
        <f>_xlfn.XLOOKUP(tblCostChecklist[[#This Row],[TargetID]],tblTargets[TargetID],tblTargets[DisplayName],"")</f>
        <v>Tailor - Armor For A Hero Lvl 3</v>
      </c>
      <c r="D1028" s="41" t="str">
        <f>_xlfn.XLOOKUP(tblCostChecklist[[#This Row],[TargetID]],tblTargets[TargetID],tblTargets[TargetType],"")</f>
        <v>TECH</v>
      </c>
      <c r="E1028" s="41" t="s">
        <v>711</v>
      </c>
      <c r="F1028" s="41">
        <v>1</v>
      </c>
      <c r="G1028" s="41">
        <f>_xlfn.XLOOKUP(
 tblCostChecklist[[#This Row],[RequirementID]],
 tblCost[RequirementID],
 tblCost[QuantityRequired],
 ""
)</f>
        <v>30</v>
      </c>
      <c r="H10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8" s="41" t="str">
        <f>_xlfn.XLOOKUP(tblCostChecklist[[#This Row],[TargetID]],tblTargetStatus[TargetID],tblTargetStatus[Status])</f>
        <v>BLOCKED</v>
      </c>
      <c r="J1028" s="25" t="b">
        <v>0</v>
      </c>
    </row>
    <row r="1029" spans="1:10">
      <c r="A1029" s="41" t="s">
        <v>4677</v>
      </c>
      <c r="B1029" s="41" t="str">
        <f>_xlfn.TEXTAFTER(
 _xlfn.TEXTBEFORE(tblCostChecklist[[#This Row],[RequirementID]],".",-2),
 "cost."
)</f>
        <v>tech.tailor.armor_for_a_hero_lvl_3</v>
      </c>
      <c r="C1029" s="41" t="str">
        <f>_xlfn.XLOOKUP(tblCostChecklist[[#This Row],[TargetID]],tblTargets[TargetID],tblTargets[DisplayName],"")</f>
        <v>Tailor - Armor For A Hero Lvl 3</v>
      </c>
      <c r="D1029" s="41" t="str">
        <f>_xlfn.XLOOKUP(tblCostChecklist[[#This Row],[TargetID]],tblTargets[TargetID],tblTargets[TargetType],"")</f>
        <v>TECH</v>
      </c>
      <c r="E1029" s="41" t="s">
        <v>719</v>
      </c>
      <c r="F1029" s="41">
        <v>1</v>
      </c>
      <c r="G1029" s="41">
        <f>_xlfn.XLOOKUP(
 tblCostChecklist[[#This Row],[RequirementID]],
 tblCost[RequirementID],
 tblCost[QuantityRequired],
 ""
)</f>
        <v>15</v>
      </c>
      <c r="H10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9" s="41" t="str">
        <f>_xlfn.XLOOKUP(tblCostChecklist[[#This Row],[TargetID]],tblTargetStatus[TargetID],tblTargetStatus[Status])</f>
        <v>BLOCKED</v>
      </c>
      <c r="J1029" s="25" t="b">
        <v>0</v>
      </c>
    </row>
    <row r="1030" spans="1:10">
      <c r="A1030" s="41" t="s">
        <v>4678</v>
      </c>
      <c r="B1030" s="41" t="str">
        <f>_xlfn.TEXTAFTER(
 _xlfn.TEXTBEFORE(tblCostChecklist[[#This Row],[RequirementID]],".",-2),
 "cost."
)</f>
        <v>tech.tailor.armor_for_a_hero_lvl_4</v>
      </c>
      <c r="C1030" s="41" t="str">
        <f>_xlfn.XLOOKUP(tblCostChecklist[[#This Row],[TargetID]],tblTargets[TargetID],tblTargets[DisplayName],"")</f>
        <v>Tailor - Armor For A Hero Lvl 4</v>
      </c>
      <c r="D1030" s="41" t="str">
        <f>_xlfn.XLOOKUP(tblCostChecklist[[#This Row],[TargetID]],tblTargets[TargetID],tblTargets[TargetType],"")</f>
        <v>TECH</v>
      </c>
      <c r="E1030" s="41" t="s">
        <v>662</v>
      </c>
      <c r="F1030" s="41">
        <v>1</v>
      </c>
      <c r="G1030" s="41">
        <f>_xlfn.XLOOKUP(
 tblCostChecklist[[#This Row],[RequirementID]],
 tblCost[RequirementID],
 tblCost[QuantityRequired],
 ""
)</f>
        <v>30</v>
      </c>
      <c r="H10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0" s="41" t="str">
        <f>_xlfn.XLOOKUP(tblCostChecklist[[#This Row],[TargetID]],tblTargetStatus[TargetID],tblTargetStatus[Status])</f>
        <v>BLOCKED</v>
      </c>
      <c r="J1030" s="25" t="b">
        <v>0</v>
      </c>
    </row>
    <row r="1031" spans="1:10">
      <c r="A1031" s="41" t="s">
        <v>4679</v>
      </c>
      <c r="B1031" s="41" t="str">
        <f>_xlfn.TEXTAFTER(
 _xlfn.TEXTBEFORE(tblCostChecklist[[#This Row],[RequirementID]],".",-2),
 "cost."
)</f>
        <v>tech.tailor.armor_for_a_hero_lvl_4</v>
      </c>
      <c r="C1031" s="41" t="str">
        <f>_xlfn.XLOOKUP(tblCostChecklist[[#This Row],[TargetID]],tblTargets[TargetID],tblTargets[DisplayName],"")</f>
        <v>Tailor - Armor For A Hero Lvl 4</v>
      </c>
      <c r="D1031" s="41" t="str">
        <f>_xlfn.XLOOKUP(tblCostChecklist[[#This Row],[TargetID]],tblTargets[TargetID],tblTargets[TargetType],"")</f>
        <v>TECH</v>
      </c>
      <c r="E1031" s="41" t="s">
        <v>666</v>
      </c>
      <c r="F1031" s="41">
        <v>1</v>
      </c>
      <c r="G1031" s="41">
        <f>_xlfn.XLOOKUP(
 tblCostChecklist[[#This Row],[RequirementID]],
 tblCost[RequirementID],
 tblCost[QuantityRequired],
 ""
)</f>
        <v>500</v>
      </c>
      <c r="H10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1" s="41" t="str">
        <f>_xlfn.XLOOKUP(tblCostChecklist[[#This Row],[TargetID]],tblTargetStatus[TargetID],tblTargetStatus[Status])</f>
        <v>BLOCKED</v>
      </c>
      <c r="J1031" s="25" t="b">
        <v>0</v>
      </c>
    </row>
    <row r="1032" spans="1:10">
      <c r="A1032" s="41" t="s">
        <v>4680</v>
      </c>
      <c r="B1032" s="41" t="str">
        <f>_xlfn.TEXTAFTER(
 _xlfn.TEXTBEFORE(tblCostChecklist[[#This Row],[RequirementID]],".",-2),
 "cost."
)</f>
        <v>tech.tailor.armor_for_a_hero_lvl_4</v>
      </c>
      <c r="C1032" s="41" t="str">
        <f>_xlfn.XLOOKUP(tblCostChecklist[[#This Row],[TargetID]],tblTargets[TargetID],tblTargets[DisplayName],"")</f>
        <v>Tailor - Armor For A Hero Lvl 4</v>
      </c>
      <c r="D1032" s="41" t="str">
        <f>_xlfn.XLOOKUP(tblCostChecklist[[#This Row],[TargetID]],tblTargets[TargetID],tblTargets[TargetType],"")</f>
        <v>TECH</v>
      </c>
      <c r="E1032" s="41" t="s">
        <v>677</v>
      </c>
      <c r="F1032" s="41">
        <v>1</v>
      </c>
      <c r="G1032" s="41">
        <f>_xlfn.XLOOKUP(
 tblCostChecklist[[#This Row],[RequirementID]],
 tblCost[RequirementID],
 tblCost[QuantityRequired],
 ""
)</f>
        <v>20</v>
      </c>
      <c r="H10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2" s="41" t="str">
        <f>_xlfn.XLOOKUP(tblCostChecklist[[#This Row],[TargetID]],tblTargetStatus[TargetID],tblTargetStatus[Status])</f>
        <v>BLOCKED</v>
      </c>
      <c r="J1032" s="25" t="b">
        <v>0</v>
      </c>
    </row>
    <row r="1033" spans="1:10">
      <c r="A1033" s="41" t="s">
        <v>4681</v>
      </c>
      <c r="B1033" s="41" t="str">
        <f>_xlfn.TEXTAFTER(
 _xlfn.TEXTBEFORE(tblCostChecklist[[#This Row],[RequirementID]],".",-2),
 "cost."
)</f>
        <v>tech.tailor.armor_for_a_hero_lvl_4</v>
      </c>
      <c r="C1033" s="41" t="str">
        <f>_xlfn.XLOOKUP(tblCostChecklist[[#This Row],[TargetID]],tblTargets[TargetID],tblTargets[DisplayName],"")</f>
        <v>Tailor - Armor For A Hero Lvl 4</v>
      </c>
      <c r="D1033" s="41" t="str">
        <f>_xlfn.XLOOKUP(tblCostChecklist[[#This Row],[TargetID]],tblTargets[TargetID],tblTargets[TargetType],"")</f>
        <v>TECH</v>
      </c>
      <c r="E1033" s="41" t="s">
        <v>686</v>
      </c>
      <c r="F1033" s="41">
        <v>1</v>
      </c>
      <c r="G1033" s="41">
        <f>_xlfn.XLOOKUP(
 tblCostChecklist[[#This Row],[RequirementID]],
 tblCost[RequirementID],
 tblCost[QuantityRequired],
 ""
)</f>
        <v>5</v>
      </c>
      <c r="H10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3" s="41" t="str">
        <f>_xlfn.XLOOKUP(tblCostChecklist[[#This Row],[TargetID]],tblTargetStatus[TargetID],tblTargetStatus[Status])</f>
        <v>BLOCKED</v>
      </c>
      <c r="J1033" s="25" t="b">
        <v>0</v>
      </c>
    </row>
    <row r="1034" spans="1:10">
      <c r="A1034" s="41" t="s">
        <v>4682</v>
      </c>
      <c r="B1034" s="41" t="str">
        <f>_xlfn.TEXTAFTER(
 _xlfn.TEXTBEFORE(tblCostChecklist[[#This Row],[RequirementID]],".",-2),
 "cost."
)</f>
        <v>tech.tailor.armor_for_a_hero_lvl_4</v>
      </c>
      <c r="C1034" s="41" t="str">
        <f>_xlfn.XLOOKUP(tblCostChecklist[[#This Row],[TargetID]],tblTargets[TargetID],tblTargets[DisplayName],"")</f>
        <v>Tailor - Armor For A Hero Lvl 4</v>
      </c>
      <c r="D1034" s="41" t="str">
        <f>_xlfn.XLOOKUP(tblCostChecklist[[#This Row],[TargetID]],tblTargets[TargetID],tblTargets[TargetType],"")</f>
        <v>TECH</v>
      </c>
      <c r="E1034" s="41" t="s">
        <v>708</v>
      </c>
      <c r="F1034" s="41">
        <v>1</v>
      </c>
      <c r="G1034" s="41">
        <f>_xlfn.XLOOKUP(
 tblCostChecklist[[#This Row],[RequirementID]],
 tblCost[RequirementID],
 tblCost[QuantityRequired],
 ""
)</f>
        <v>3</v>
      </c>
      <c r="H10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4" s="41" t="str">
        <f>_xlfn.XLOOKUP(tblCostChecklist[[#This Row],[TargetID]],tblTargetStatus[TargetID],tblTargetStatus[Status])</f>
        <v>BLOCKED</v>
      </c>
      <c r="J1034" s="25" t="b">
        <v>0</v>
      </c>
    </row>
    <row r="1035" spans="1:10">
      <c r="A1035" s="41" t="s">
        <v>4683</v>
      </c>
      <c r="B1035" s="41" t="str">
        <f>_xlfn.TEXTAFTER(
 _xlfn.TEXTBEFORE(tblCostChecklist[[#This Row],[RequirementID]],".",-2),
 "cost."
)</f>
        <v>tech.tailor.armor_for_a_hero_lvl_4</v>
      </c>
      <c r="C1035" s="41" t="str">
        <f>_xlfn.XLOOKUP(tblCostChecklist[[#This Row],[TargetID]],tblTargets[TargetID],tblTargets[DisplayName],"")</f>
        <v>Tailor - Armor For A Hero Lvl 4</v>
      </c>
      <c r="D1035" s="41" t="str">
        <f>_xlfn.XLOOKUP(tblCostChecklist[[#This Row],[TargetID]],tblTargets[TargetID],tblTargets[TargetType],"")</f>
        <v>TECH</v>
      </c>
      <c r="E1035" s="41" t="s">
        <v>955</v>
      </c>
      <c r="F1035" s="41">
        <v>1</v>
      </c>
      <c r="G1035" s="41">
        <f>_xlfn.XLOOKUP(
 tblCostChecklist[[#This Row],[RequirementID]],
 tblCost[RequirementID],
 tblCost[QuantityRequired],
 ""
)</f>
        <v>20</v>
      </c>
      <c r="H10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5" s="41" t="str">
        <f>_xlfn.XLOOKUP(tblCostChecklist[[#This Row],[TargetID]],tblTargetStatus[TargetID],tblTargetStatus[Status])</f>
        <v>BLOCKED</v>
      </c>
      <c r="J1035" s="25" t="b">
        <v>0</v>
      </c>
    </row>
    <row r="1036" spans="1:10">
      <c r="A1036" s="41" t="s">
        <v>4684</v>
      </c>
      <c r="B1036" s="41" t="str">
        <f>_xlfn.TEXTAFTER(
 _xlfn.TEXTBEFORE(tblCostChecklist[[#This Row],[RequirementID]],".",-2),
 "cost."
)</f>
        <v>tech.tailor.armor_for_a_hero_lvl_4</v>
      </c>
      <c r="C1036" s="41" t="str">
        <f>_xlfn.XLOOKUP(tblCostChecklist[[#This Row],[TargetID]],tblTargets[TargetID],tblTargets[DisplayName],"")</f>
        <v>Tailor - Armor For A Hero Lvl 4</v>
      </c>
      <c r="D1036" s="41" t="str">
        <f>_xlfn.XLOOKUP(tblCostChecklist[[#This Row],[TargetID]],tblTargets[TargetID],tblTargets[TargetType],"")</f>
        <v>TECH</v>
      </c>
      <c r="E1036" s="41" t="s">
        <v>957</v>
      </c>
      <c r="F1036" s="41">
        <v>1</v>
      </c>
      <c r="G1036" s="41">
        <f>_xlfn.XLOOKUP(
 tblCostChecklist[[#This Row],[RequirementID]],
 tblCost[RequirementID],
 tblCost[QuantityRequired],
 ""
)</f>
        <v>6</v>
      </c>
      <c r="H10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6" s="41" t="str">
        <f>_xlfn.XLOOKUP(tblCostChecklist[[#This Row],[TargetID]],tblTargetStatus[TargetID],tblTargetStatus[Status])</f>
        <v>BLOCKED</v>
      </c>
      <c r="J1036" s="25" t="b">
        <v>0</v>
      </c>
    </row>
    <row r="1037" spans="1:10">
      <c r="A1037" s="41" t="s">
        <v>4685</v>
      </c>
      <c r="B1037" s="41" t="str">
        <f>_xlfn.TEXTAFTER(
 _xlfn.TEXTBEFORE(tblCostChecklist[[#This Row],[RequirementID]],".",-2),
 "cost."
)</f>
        <v>tech.tailor.armor_for_a_hero_lvl_4+</v>
      </c>
      <c r="C1037" s="41" t="str">
        <f>_xlfn.XLOOKUP(tblCostChecklist[[#This Row],[TargetID]],tblTargets[TargetID],tblTargets[DisplayName],"")</f>
        <v>Tailor - Armor For A Hero Lvl 4+</v>
      </c>
      <c r="D1037" s="41" t="str">
        <f>_xlfn.XLOOKUP(tblCostChecklist[[#This Row],[TargetID]],tblTargets[TargetID],tblTargets[TargetType],"")</f>
        <v>TECH</v>
      </c>
      <c r="E1037" s="41" t="s">
        <v>927</v>
      </c>
      <c r="F1037" s="41">
        <v>1</v>
      </c>
      <c r="G1037" s="41">
        <f>_xlfn.XLOOKUP(
 tblCostChecklist[[#This Row],[RequirementID]],
 tblCost[RequirementID],
 tblCost[QuantityRequired],
 ""
)</f>
        <v>1</v>
      </c>
      <c r="H10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7" s="41" t="str">
        <f>_xlfn.XLOOKUP(tblCostChecklist[[#This Row],[TargetID]],tblTargetStatus[TargetID],tblTargetStatus[Status])</f>
        <v>BLOCKED</v>
      </c>
      <c r="J1037" s="25" t="b">
        <v>0</v>
      </c>
    </row>
    <row r="1038" spans="1:10">
      <c r="A1038" s="41" t="s">
        <v>4686</v>
      </c>
      <c r="B1038" s="41" t="str">
        <f>_xlfn.TEXTAFTER(
 _xlfn.TEXTBEFORE(tblCostChecklist[[#This Row],[RequirementID]],".",-2),
 "cost."
)</f>
        <v>tech.tailor.armor_for_a_hero_lvl_4+</v>
      </c>
      <c r="C1038" s="41" t="str">
        <f>_xlfn.XLOOKUP(tblCostChecklist[[#This Row],[TargetID]],tblTargets[TargetID],tblTargets[DisplayName],"")</f>
        <v>Tailor - Armor For A Hero Lvl 4+</v>
      </c>
      <c r="D1038" s="41" t="str">
        <f>_xlfn.XLOOKUP(tblCostChecklist[[#This Row],[TargetID]],tblTargets[TargetID],tblTargets[TargetType],"")</f>
        <v>TECH</v>
      </c>
      <c r="E1038" s="41" t="s">
        <v>662</v>
      </c>
      <c r="F1038" s="41">
        <v>1</v>
      </c>
      <c r="G1038" s="41">
        <f>_xlfn.XLOOKUP(
 tblCostChecklist[[#This Row],[RequirementID]],
 tblCost[RequirementID],
 tblCost[QuantityRequired],
 ""
)</f>
        <v>20</v>
      </c>
      <c r="H10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8" s="41" t="str">
        <f>_xlfn.XLOOKUP(tblCostChecklist[[#This Row],[TargetID]],tblTargetStatus[TargetID],tblTargetStatus[Status])</f>
        <v>BLOCKED</v>
      </c>
      <c r="J1038" s="25" t="b">
        <v>0</v>
      </c>
    </row>
    <row r="1039" spans="1:10">
      <c r="A1039" s="41" t="s">
        <v>4687</v>
      </c>
      <c r="B1039" s="41" t="str">
        <f>_xlfn.TEXTAFTER(
 _xlfn.TEXTBEFORE(tblCostChecklist[[#This Row],[RequirementID]],".",-2),
 "cost."
)</f>
        <v>tech.tailor.armor_for_a_hero_lvl_4+</v>
      </c>
      <c r="C1039" s="41" t="str">
        <f>_xlfn.XLOOKUP(tblCostChecklist[[#This Row],[TargetID]],tblTargets[TargetID],tblTargets[DisplayName],"")</f>
        <v>Tailor - Armor For A Hero Lvl 4+</v>
      </c>
      <c r="D1039" s="41" t="str">
        <f>_xlfn.XLOOKUP(tblCostChecklist[[#This Row],[TargetID]],tblTargets[TargetID],tblTargets[TargetType],"")</f>
        <v>TECH</v>
      </c>
      <c r="E1039" s="41" t="s">
        <v>666</v>
      </c>
      <c r="F1039" s="41">
        <v>1</v>
      </c>
      <c r="G1039" s="41">
        <f>_xlfn.XLOOKUP(
 tblCostChecklist[[#This Row],[RequirementID]],
 tblCost[RequirementID],
 tblCost[QuantityRequired],
 ""
)</f>
        <v>1000</v>
      </c>
      <c r="H10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9" s="41" t="str">
        <f>_xlfn.XLOOKUP(tblCostChecklist[[#This Row],[TargetID]],tblTargetStatus[TargetID],tblTargetStatus[Status])</f>
        <v>BLOCKED</v>
      </c>
      <c r="J1039" s="25" t="b">
        <v>0</v>
      </c>
    </row>
    <row r="1040" spans="1:10">
      <c r="A1040" s="41" t="s">
        <v>4688</v>
      </c>
      <c r="B1040" s="41" t="str">
        <f>_xlfn.TEXTAFTER(
 _xlfn.TEXTBEFORE(tblCostChecklist[[#This Row],[RequirementID]],".",-2),
 "cost."
)</f>
        <v>tech.tailor.armor_for_a_hero_lvl_4+</v>
      </c>
      <c r="C1040" s="41" t="str">
        <f>_xlfn.XLOOKUP(tblCostChecklist[[#This Row],[TargetID]],tblTargets[TargetID],tblTargets[DisplayName],"")</f>
        <v>Tailor - Armor For A Hero Lvl 4+</v>
      </c>
      <c r="D1040" s="41" t="str">
        <f>_xlfn.XLOOKUP(tblCostChecklist[[#This Row],[TargetID]],tblTargets[TargetID],tblTargets[TargetType],"")</f>
        <v>TECH</v>
      </c>
      <c r="E1040" s="41" t="s">
        <v>677</v>
      </c>
      <c r="F1040" s="41">
        <v>1</v>
      </c>
      <c r="G1040" s="41">
        <f>_xlfn.XLOOKUP(
 tblCostChecklist[[#This Row],[RequirementID]],
 tblCost[RequirementID],
 tblCost[QuantityRequired],
 ""
)</f>
        <v>10</v>
      </c>
      <c r="H10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0" s="41" t="str">
        <f>_xlfn.XLOOKUP(tblCostChecklist[[#This Row],[TargetID]],tblTargetStatus[TargetID],tblTargetStatus[Status])</f>
        <v>BLOCKED</v>
      </c>
      <c r="J1040" s="25" t="b">
        <v>0</v>
      </c>
    </row>
    <row r="1041" spans="1:10">
      <c r="A1041" s="41" t="s">
        <v>4689</v>
      </c>
      <c r="B1041" s="41" t="str">
        <f>_xlfn.TEXTAFTER(
 _xlfn.TEXTBEFORE(tblCostChecklist[[#This Row],[RequirementID]],".",-2),
 "cost."
)</f>
        <v>tech.tailor.armor_for_a_hero_lvl_4+</v>
      </c>
      <c r="C1041" s="41" t="str">
        <f>_xlfn.XLOOKUP(tblCostChecklist[[#This Row],[TargetID]],tblTargets[TargetID],tblTargets[DisplayName],"")</f>
        <v>Tailor - Armor For A Hero Lvl 4+</v>
      </c>
      <c r="D1041" s="41" t="str">
        <f>_xlfn.XLOOKUP(tblCostChecklist[[#This Row],[TargetID]],tblTargets[TargetID],tblTargets[TargetType],"")</f>
        <v>TECH</v>
      </c>
      <c r="E1041" s="41" t="s">
        <v>703</v>
      </c>
      <c r="F1041" s="41">
        <v>1</v>
      </c>
      <c r="G1041" s="41">
        <f>_xlfn.XLOOKUP(
 tblCostChecklist[[#This Row],[RequirementID]],
 tblCost[RequirementID],
 tblCost[QuantityRequired],
 ""
)</f>
        <v>10</v>
      </c>
      <c r="H10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1" s="41" t="str">
        <f>_xlfn.XLOOKUP(tblCostChecklist[[#This Row],[TargetID]],tblTargetStatus[TargetID],tblTargetStatus[Status])</f>
        <v>BLOCKED</v>
      </c>
      <c r="J1041" s="25" t="b">
        <v>0</v>
      </c>
    </row>
    <row r="1042" spans="1:10">
      <c r="A1042" s="41" t="s">
        <v>4690</v>
      </c>
      <c r="B1042" s="41" t="str">
        <f>_xlfn.TEXTAFTER(
 _xlfn.TEXTBEFORE(tblCostChecklist[[#This Row],[RequirementID]],".",-2),
 "cost."
)</f>
        <v>tech.tailor.armor_for_a_hero_lvl_4+</v>
      </c>
      <c r="C1042" s="41" t="str">
        <f>_xlfn.XLOOKUP(tblCostChecklist[[#This Row],[TargetID]],tblTargets[TargetID],tblTargets[DisplayName],"")</f>
        <v>Tailor - Armor For A Hero Lvl 4+</v>
      </c>
      <c r="D1042" s="41" t="str">
        <f>_xlfn.XLOOKUP(tblCostChecklist[[#This Row],[TargetID]],tblTargets[TargetID],tblTargets[TargetType],"")</f>
        <v>TECH</v>
      </c>
      <c r="E1042" s="41" t="s">
        <v>706</v>
      </c>
      <c r="F1042" s="41">
        <v>1</v>
      </c>
      <c r="G1042" s="41">
        <f>_xlfn.XLOOKUP(
 tblCostChecklist[[#This Row],[RequirementID]],
 tblCost[RequirementID],
 tblCost[QuantityRequired],
 ""
)</f>
        <v>25</v>
      </c>
      <c r="H10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2" s="41" t="str">
        <f>_xlfn.XLOOKUP(tblCostChecklist[[#This Row],[TargetID]],tblTargetStatus[TargetID],tblTargetStatus[Status])</f>
        <v>BLOCKED</v>
      </c>
      <c r="J1042" s="25" t="b">
        <v>0</v>
      </c>
    </row>
    <row r="1043" spans="1:10">
      <c r="A1043" s="41" t="s">
        <v>4691</v>
      </c>
      <c r="B1043" s="41" t="str">
        <f>_xlfn.TEXTAFTER(
 _xlfn.TEXTBEFORE(tblCostChecklist[[#This Row],[RequirementID]],".",-2),
 "cost."
)</f>
        <v>tech.tailor.armor_for_a_hero_lvl_4+</v>
      </c>
      <c r="C1043" s="41" t="str">
        <f>_xlfn.XLOOKUP(tblCostChecklist[[#This Row],[TargetID]],tblTargets[TargetID],tblTargets[DisplayName],"")</f>
        <v>Tailor - Armor For A Hero Lvl 4+</v>
      </c>
      <c r="D1043" s="41" t="str">
        <f>_xlfn.XLOOKUP(tblCostChecklist[[#This Row],[TargetID]],tblTargets[TargetID],tblTargets[TargetType],"")</f>
        <v>TECH</v>
      </c>
      <c r="E1043" s="41" t="s">
        <v>946</v>
      </c>
      <c r="F1043" s="41">
        <v>1</v>
      </c>
      <c r="G1043" s="41">
        <f>_xlfn.XLOOKUP(
 tblCostChecklist[[#This Row],[RequirementID]],
 tblCost[RequirementID],
 tblCost[QuantityRequired],
 ""
)</f>
        <v>1</v>
      </c>
      <c r="H10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3" s="41" t="str">
        <f>_xlfn.XLOOKUP(tblCostChecklist[[#This Row],[TargetID]],tblTargetStatus[TargetID],tblTargetStatus[Status])</f>
        <v>BLOCKED</v>
      </c>
      <c r="J1043" s="25" t="b">
        <v>0</v>
      </c>
    </row>
    <row r="1044" spans="1:10">
      <c r="A1044" s="41" t="s">
        <v>4692</v>
      </c>
      <c r="B1044" s="41" t="str">
        <f>_xlfn.TEXTAFTER(
 _xlfn.TEXTBEFORE(tblCostChecklist[[#This Row],[RequirementID]],".",-2),
 "cost."
)</f>
        <v>tech.tailor.armor_for_a_hero_lvl_4+</v>
      </c>
      <c r="C1044" s="41" t="str">
        <f>_xlfn.XLOOKUP(tblCostChecklist[[#This Row],[TargetID]],tblTargets[TargetID],tblTargets[DisplayName],"")</f>
        <v>Tailor - Armor For A Hero Lvl 4+</v>
      </c>
      <c r="D1044" s="41" t="str">
        <f>_xlfn.XLOOKUP(tblCostChecklist[[#This Row],[TargetID]],tblTargets[TargetID],tblTargets[TargetType],"")</f>
        <v>TECH</v>
      </c>
      <c r="E1044" s="41" t="s">
        <v>708</v>
      </c>
      <c r="F1044" s="41">
        <v>1</v>
      </c>
      <c r="G1044" s="41">
        <f>_xlfn.XLOOKUP(
 tblCostChecklist[[#This Row],[RequirementID]],
 tblCost[RequirementID],
 tblCost[QuantityRequired],
 ""
)</f>
        <v>5</v>
      </c>
      <c r="H10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4" s="41" t="str">
        <f>_xlfn.XLOOKUP(tblCostChecklist[[#This Row],[TargetID]],tblTargetStatus[TargetID],tblTargetStatus[Status])</f>
        <v>BLOCKED</v>
      </c>
      <c r="J1044" s="25" t="b">
        <v>0</v>
      </c>
    </row>
    <row r="1045" spans="1:10">
      <c r="A1045" s="41" t="s">
        <v>4693</v>
      </c>
      <c r="B1045" s="41" t="str">
        <f>_xlfn.TEXTAFTER(
 _xlfn.TEXTBEFORE(tblCostChecklist[[#This Row],[RequirementID]],".",-2),
 "cost."
)</f>
        <v>tech.tailor.armor_for_a_hero_lvl_4+</v>
      </c>
      <c r="C1045" s="41" t="str">
        <f>_xlfn.XLOOKUP(tblCostChecklist[[#This Row],[TargetID]],tblTargets[TargetID],tblTargets[DisplayName],"")</f>
        <v>Tailor - Armor For A Hero Lvl 4+</v>
      </c>
      <c r="D1045" s="41" t="str">
        <f>_xlfn.XLOOKUP(tblCostChecklist[[#This Row],[TargetID]],tblTargets[TargetID],tblTargets[TargetType],"")</f>
        <v>TECH</v>
      </c>
      <c r="E1045" s="41" t="s">
        <v>955</v>
      </c>
      <c r="F1045" s="41">
        <v>1</v>
      </c>
      <c r="G1045" s="41">
        <f>_xlfn.XLOOKUP(
 tblCostChecklist[[#This Row],[RequirementID]],
 tblCost[RequirementID],
 tblCost[QuantityRequired],
 ""
)</f>
        <v>20</v>
      </c>
      <c r="H10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5" s="41" t="str">
        <f>_xlfn.XLOOKUP(tblCostChecklist[[#This Row],[TargetID]],tblTargetStatus[TargetID],tblTargetStatus[Status])</f>
        <v>BLOCKED</v>
      </c>
      <c r="J1045" s="25" t="b">
        <v>0</v>
      </c>
    </row>
    <row r="1046" spans="1:10">
      <c r="A1046" s="41" t="s">
        <v>4694</v>
      </c>
      <c r="B1046" s="41" t="str">
        <f>_xlfn.TEXTAFTER(
 _xlfn.TEXTBEFORE(tblCostChecklist[[#This Row],[RequirementID]],".",-2),
 "cost."
)</f>
        <v>tech.tailor.strong_stitch</v>
      </c>
      <c r="C1046" s="41" t="str">
        <f>_xlfn.XLOOKUP(tblCostChecklist[[#This Row],[TargetID]],tblTargets[TargetID],tblTargets[DisplayName],"")</f>
        <v>Tailor - Strong Stitch</v>
      </c>
      <c r="D1046" s="41" t="str">
        <f>_xlfn.XLOOKUP(tblCostChecklist[[#This Row],[TargetID]],tblTargets[TargetID],tblTargets[TargetType],"")</f>
        <v>TECH</v>
      </c>
      <c r="E1046" s="41" t="s">
        <v>662</v>
      </c>
      <c r="F1046" s="41">
        <v>1</v>
      </c>
      <c r="G1046" s="41">
        <f>_xlfn.XLOOKUP(
 tblCostChecklist[[#This Row],[RequirementID]],
 tblCost[RequirementID],
 tblCost[QuantityRequired],
 ""
)</f>
        <v>10</v>
      </c>
      <c r="H10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1046" s="41" t="str">
        <f>_xlfn.XLOOKUP(tblCostChecklist[[#This Row],[TargetID]],tblTargetStatus[TargetID],tblTargetStatus[Status])</f>
        <v>BLOCKED</v>
      </c>
      <c r="J1046" s="25" t="b">
        <v>0</v>
      </c>
    </row>
    <row r="1047" spans="1:10">
      <c r="A1047" s="41" t="s">
        <v>4695</v>
      </c>
      <c r="B1047" s="41" t="str">
        <f>_xlfn.TEXTAFTER(
 _xlfn.TEXTBEFORE(tblCostChecklist[[#This Row],[RequirementID]],".",-2),
 "cost."
)</f>
        <v>tech.tailor.strong_stitch</v>
      </c>
      <c r="C1047" s="41" t="str">
        <f>_xlfn.XLOOKUP(tblCostChecklist[[#This Row],[TargetID]],tblTargets[TargetID],tblTargets[DisplayName],"")</f>
        <v>Tailor - Strong Stitch</v>
      </c>
      <c r="D1047" s="41" t="str">
        <f>_xlfn.XLOOKUP(tblCostChecklist[[#This Row],[TargetID]],tblTargets[TargetID],tblTargets[TargetType],"")</f>
        <v>TECH</v>
      </c>
      <c r="E1047" s="41" t="s">
        <v>666</v>
      </c>
      <c r="F1047" s="41">
        <v>1</v>
      </c>
      <c r="G1047" s="41">
        <f>_xlfn.XLOOKUP(
 tblCostChecklist[[#This Row],[RequirementID]],
 tblCost[RequirementID],
 tblCost[QuantityRequired],
 ""
)</f>
        <v>300</v>
      </c>
      <c r="H10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1047" s="41" t="str">
        <f>_xlfn.XLOOKUP(tblCostChecklist[[#This Row],[TargetID]],tblTargetStatus[TargetID],tblTargetStatus[Status])</f>
        <v>BLOCKED</v>
      </c>
      <c r="J1047" s="25" t="b">
        <v>0</v>
      </c>
    </row>
    <row r="1048" spans="1:10">
      <c r="A1048" s="41" t="s">
        <v>4696</v>
      </c>
      <c r="B1048" s="41" t="str">
        <f>_xlfn.TEXTAFTER(
 _xlfn.TEXTBEFORE(tblCostChecklist[[#This Row],[RequirementID]],".",-2),
 "cost."
)</f>
        <v>tech.tailor.strong_stitch</v>
      </c>
      <c r="C1048" s="41" t="str">
        <f>_xlfn.XLOOKUP(tblCostChecklist[[#This Row],[TargetID]],tblTargets[TargetID],tblTargets[DisplayName],"")</f>
        <v>Tailor - Strong Stitch</v>
      </c>
      <c r="D1048" s="41" t="str">
        <f>_xlfn.XLOOKUP(tblCostChecklist[[#This Row],[TargetID]],tblTargets[TargetID],tblTargets[TargetType],"")</f>
        <v>TECH</v>
      </c>
      <c r="E1048" s="41" t="s">
        <v>708</v>
      </c>
      <c r="F1048" s="41">
        <v>1</v>
      </c>
      <c r="G1048" s="41">
        <f>_xlfn.XLOOKUP(
 tblCostChecklist[[#This Row],[RequirementID]],
 tblCost[RequirementID],
 tblCost[QuantityRequired],
 ""
)</f>
        <v>1</v>
      </c>
      <c r="H10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1048" s="41" t="str">
        <f>_xlfn.XLOOKUP(tblCostChecklist[[#This Row],[TargetID]],tblTargetStatus[TargetID],tblTargetStatus[Status])</f>
        <v>BLOCKED</v>
      </c>
      <c r="J1048" s="25" t="b">
        <v>0</v>
      </c>
    </row>
    <row r="1049" spans="1:10">
      <c r="A1049" s="41" t="s">
        <v>4697</v>
      </c>
      <c r="B1049" s="41" t="str">
        <f>_xlfn.TEXTAFTER(
 _xlfn.TEXTBEFORE(tblCostChecklist[[#This Row],[RequirementID]],".",-2),
 "cost."
)</f>
        <v>tech.tailor.strong_stitch</v>
      </c>
      <c r="C1049" s="41" t="str">
        <f>_xlfn.XLOOKUP(tblCostChecklist[[#This Row],[TargetID]],tblTargets[TargetID],tblTargets[DisplayName],"")</f>
        <v>Tailor - Strong Stitch</v>
      </c>
      <c r="D1049" s="41" t="str">
        <f>_xlfn.XLOOKUP(tblCostChecklist[[#This Row],[TargetID]],tblTargets[TargetID],tblTargets[TargetType],"")</f>
        <v>TECH</v>
      </c>
      <c r="E1049" s="41" t="s">
        <v>711</v>
      </c>
      <c r="F1049" s="41">
        <v>1</v>
      </c>
      <c r="G1049" s="41">
        <f>_xlfn.XLOOKUP(
 tblCostChecklist[[#This Row],[RequirementID]],
 tblCost[RequirementID],
 tblCost[QuantityRequired],
 ""
)</f>
        <v>10</v>
      </c>
      <c r="H10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1049" s="41" t="str">
        <f>_xlfn.XLOOKUP(tblCostChecklist[[#This Row],[TargetID]],tblTargetStatus[TargetID],tblTargetStatus[Status])</f>
        <v>BLOCKED</v>
      </c>
      <c r="J1049" s="25" t="b">
        <v>0</v>
      </c>
    </row>
    <row r="1050" spans="1:10">
      <c r="A1050" s="41" t="s">
        <v>4698</v>
      </c>
      <c r="B1050" s="41" t="str">
        <f>_xlfn.TEXTAFTER(
 _xlfn.TEXTBEFORE(tblCostChecklist[[#This Row],[RequirementID]],".",-2),
 "cost."
)</f>
        <v>tech.tailor.strong_stitch</v>
      </c>
      <c r="C1050" s="41" t="str">
        <f>_xlfn.XLOOKUP(tblCostChecklist[[#This Row],[TargetID]],tblTargets[TargetID],tblTargets[DisplayName],"")</f>
        <v>Tailor - Strong Stitch</v>
      </c>
      <c r="D1050" s="41" t="str">
        <f>_xlfn.XLOOKUP(tblCostChecklist[[#This Row],[TargetID]],tblTargets[TargetID],tblTargets[TargetType],"")</f>
        <v>TECH</v>
      </c>
      <c r="E1050" s="41" t="s">
        <v>719</v>
      </c>
      <c r="F1050" s="41">
        <v>1</v>
      </c>
      <c r="G1050" s="41">
        <f>_xlfn.XLOOKUP(
 tblCostChecklist[[#This Row],[RequirementID]],
 tblCost[RequirementID],
 tblCost[QuantityRequired],
 ""
)</f>
        <v>10</v>
      </c>
      <c r="H10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1050" s="41" t="str">
        <f>_xlfn.XLOOKUP(tblCostChecklist[[#This Row],[TargetID]],tblTargetStatus[TargetID],tblTargetStatus[Status])</f>
        <v>BLOCKED</v>
      </c>
      <c r="J1050" s="25" t="b">
        <v>0</v>
      </c>
    </row>
    <row r="1051" spans="1:10">
      <c r="A1051" s="41" t="s">
        <v>4699</v>
      </c>
      <c r="B1051" s="41" t="str">
        <f>_xlfn.TEXTAFTER(
 _xlfn.TEXTBEFORE(tblCostChecklist[[#This Row],[RequirementID]],".",-2),
 "cost."
)</f>
        <v>tech.tailor.strong_rivets</v>
      </c>
      <c r="C1051" s="41" t="str">
        <f>_xlfn.XLOOKUP(tblCostChecklist[[#This Row],[TargetID]],tblTargets[TargetID],tblTargets[DisplayName],"")</f>
        <v>Tailor - Strong Rivets</v>
      </c>
      <c r="D1051" s="41" t="str">
        <f>_xlfn.XLOOKUP(tblCostChecklist[[#This Row],[TargetID]],tblTargets[TargetID],tblTargets[TargetType],"")</f>
        <v>TECH</v>
      </c>
      <c r="E1051" s="41" t="s">
        <v>662</v>
      </c>
      <c r="F1051" s="41">
        <v>1</v>
      </c>
      <c r="G1051" s="41">
        <f>_xlfn.XLOOKUP(
 tblCostChecklist[[#This Row],[RequirementID]],
 tblCost[RequirementID],
 tblCost[QuantityRequired],
 ""
)</f>
        <v>20</v>
      </c>
      <c r="H10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1" s="41" t="str">
        <f>_xlfn.XLOOKUP(tblCostChecklist[[#This Row],[TargetID]],tblTargetStatus[TargetID],tblTargetStatus[Status])</f>
        <v>BLOCKED</v>
      </c>
      <c r="J1051" s="25" t="b">
        <v>0</v>
      </c>
    </row>
    <row r="1052" spans="1:10">
      <c r="A1052" s="41" t="s">
        <v>4700</v>
      </c>
      <c r="B1052" s="41" t="str">
        <f>_xlfn.TEXTAFTER(
 _xlfn.TEXTBEFORE(tblCostChecklist[[#This Row],[RequirementID]],".",-2),
 "cost."
)</f>
        <v>tech.tailor.strong_rivets</v>
      </c>
      <c r="C1052" s="41" t="str">
        <f>_xlfn.XLOOKUP(tblCostChecklist[[#This Row],[TargetID]],tblTargets[TargetID],tblTargets[DisplayName],"")</f>
        <v>Tailor - Strong Rivets</v>
      </c>
      <c r="D1052" s="41" t="str">
        <f>_xlfn.XLOOKUP(tblCostChecklist[[#This Row],[TargetID]],tblTargets[TargetID],tblTargets[TargetType],"")</f>
        <v>TECH</v>
      </c>
      <c r="E1052" s="41" t="s">
        <v>666</v>
      </c>
      <c r="F1052" s="41">
        <v>1</v>
      </c>
      <c r="G1052" s="41">
        <f>_xlfn.XLOOKUP(
 tblCostChecklist[[#This Row],[RequirementID]],
 tblCost[RequirementID],
 tblCost[QuantityRequired],
 ""
)</f>
        <v>500</v>
      </c>
      <c r="H10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2" s="41" t="str">
        <f>_xlfn.XLOOKUP(tblCostChecklist[[#This Row],[TargetID]],tblTargetStatus[TargetID],tblTargetStatus[Status])</f>
        <v>BLOCKED</v>
      </c>
      <c r="J1052" s="25" t="b">
        <v>0</v>
      </c>
    </row>
    <row r="1053" spans="1:10">
      <c r="A1053" s="41" t="s">
        <v>4701</v>
      </c>
      <c r="B1053" s="41" t="str">
        <f>_xlfn.TEXTAFTER(
 _xlfn.TEXTBEFORE(tblCostChecklist[[#This Row],[RequirementID]],".",-2),
 "cost."
)</f>
        <v>tech.tailor.strong_rivets</v>
      </c>
      <c r="C1053" s="41" t="str">
        <f>_xlfn.XLOOKUP(tblCostChecklist[[#This Row],[TargetID]],tblTargets[TargetID],tblTargets[DisplayName],"")</f>
        <v>Tailor - Strong Rivets</v>
      </c>
      <c r="D1053" s="41" t="str">
        <f>_xlfn.XLOOKUP(tblCostChecklist[[#This Row],[TargetID]],tblTargets[TargetID],tblTargets[TargetType],"")</f>
        <v>TECH</v>
      </c>
      <c r="E1053" s="41" t="s">
        <v>690</v>
      </c>
      <c r="F1053" s="41">
        <v>1</v>
      </c>
      <c r="G1053" s="41">
        <f>_xlfn.XLOOKUP(
 tblCostChecklist[[#This Row],[RequirementID]],
 tblCost[RequirementID],
 tblCost[QuantityRequired],
 ""
)</f>
        <v>30</v>
      </c>
      <c r="H10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3" s="41" t="str">
        <f>_xlfn.XLOOKUP(tblCostChecklist[[#This Row],[TargetID]],tblTargetStatus[TargetID],tblTargetStatus[Status])</f>
        <v>BLOCKED</v>
      </c>
      <c r="J1053" s="25" t="b">
        <v>0</v>
      </c>
    </row>
    <row r="1054" spans="1:10">
      <c r="A1054" s="41" t="s">
        <v>4702</v>
      </c>
      <c r="B1054" s="41" t="str">
        <f>_xlfn.TEXTAFTER(
 _xlfn.TEXTBEFORE(tblCostChecklist[[#This Row],[RequirementID]],".",-2),
 "cost."
)</f>
        <v>tech.tailor.strong_rivets</v>
      </c>
      <c r="C1054" s="41" t="str">
        <f>_xlfn.XLOOKUP(tblCostChecklist[[#This Row],[TargetID]],tblTargets[TargetID],tblTargets[DisplayName],"")</f>
        <v>Tailor - Strong Rivets</v>
      </c>
      <c r="D1054" s="41" t="str">
        <f>_xlfn.XLOOKUP(tblCostChecklist[[#This Row],[TargetID]],tblTargets[TargetID],tblTargets[TargetType],"")</f>
        <v>TECH</v>
      </c>
      <c r="E1054" s="41" t="s">
        <v>708</v>
      </c>
      <c r="F1054" s="41">
        <v>1</v>
      </c>
      <c r="G1054" s="41">
        <f>_xlfn.XLOOKUP(
 tblCostChecklist[[#This Row],[RequirementID]],
 tblCost[RequirementID],
 tblCost[QuantityRequired],
 ""
)</f>
        <v>2</v>
      </c>
      <c r="H10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4" s="41" t="str">
        <f>_xlfn.XLOOKUP(tblCostChecklist[[#This Row],[TargetID]],tblTargetStatus[TargetID],tblTargetStatus[Status])</f>
        <v>BLOCKED</v>
      </c>
      <c r="J1054" s="25" t="b">
        <v>0</v>
      </c>
    </row>
    <row r="1055" spans="1:10">
      <c r="A1055" s="41" t="s">
        <v>4703</v>
      </c>
      <c r="B1055" s="41" t="str">
        <f>_xlfn.TEXTAFTER(
 _xlfn.TEXTBEFORE(tblCostChecklist[[#This Row],[RequirementID]],".",-2),
 "cost."
)</f>
        <v>tech.tailor.strong_rivets</v>
      </c>
      <c r="C1055" s="41" t="str">
        <f>_xlfn.XLOOKUP(tblCostChecklist[[#This Row],[TargetID]],tblTargets[TargetID],tblTargets[DisplayName],"")</f>
        <v>Tailor - Strong Rivets</v>
      </c>
      <c r="D1055" s="41" t="str">
        <f>_xlfn.XLOOKUP(tblCostChecklist[[#This Row],[TargetID]],tblTargets[TargetID],tblTargets[TargetType],"")</f>
        <v>TECH</v>
      </c>
      <c r="E1055" s="41" t="s">
        <v>719</v>
      </c>
      <c r="F1055" s="41">
        <v>1</v>
      </c>
      <c r="G1055" s="41">
        <f>_xlfn.XLOOKUP(
 tblCostChecklist[[#This Row],[RequirementID]],
 tblCost[RequirementID],
 tblCost[QuantityRequired],
 ""
)</f>
        <v>10</v>
      </c>
      <c r="H10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5" s="41" t="str">
        <f>_xlfn.XLOOKUP(tblCostChecklist[[#This Row],[TargetID]],tblTargetStatus[TargetID],tblTargetStatus[Status])</f>
        <v>BLOCKED</v>
      </c>
      <c r="J1055" s="25" t="b">
        <v>0</v>
      </c>
    </row>
    <row r="1056" spans="1:10">
      <c r="A1056" s="41" t="s">
        <v>4704</v>
      </c>
      <c r="B1056" s="41" t="str">
        <f>_xlfn.TEXTAFTER(
 _xlfn.TEXTBEFORE(tblCostChecklist[[#This Row],[RequirementID]],".",-2),
 "cost."
)</f>
        <v>tech.tailor.colored_threads</v>
      </c>
      <c r="C1056" s="41" t="str">
        <f>_xlfn.XLOOKUP(tblCostChecklist[[#This Row],[TargetID]],tblTargets[TargetID],tblTargets[DisplayName],"")</f>
        <v>Tailor - Colored Threads</v>
      </c>
      <c r="D1056" s="41" t="str">
        <f>_xlfn.XLOOKUP(tblCostChecklist[[#This Row],[TargetID]],tblTargets[TargetID],tblTargets[TargetType],"")</f>
        <v>TECH</v>
      </c>
      <c r="E1056" s="41" t="s">
        <v>929</v>
      </c>
      <c r="F1056" s="41">
        <v>1</v>
      </c>
      <c r="G1056" s="41">
        <f>_xlfn.XLOOKUP(
 tblCostChecklist[[#This Row],[RequirementID]],
 tblCost[RequirementID],
 tblCost[QuantityRequired],
 ""
)</f>
        <v>10</v>
      </c>
      <c r="H10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6" s="41" t="str">
        <f>_xlfn.XLOOKUP(tblCostChecklist[[#This Row],[TargetID]],tblTargetStatus[TargetID],tblTargetStatus[Status])</f>
        <v>BLOCKED</v>
      </c>
      <c r="J1056" s="25" t="b">
        <v>0</v>
      </c>
    </row>
    <row r="1057" spans="1:10">
      <c r="A1057" s="41" t="s">
        <v>4705</v>
      </c>
      <c r="B1057" s="41" t="str">
        <f>_xlfn.TEXTAFTER(
 _xlfn.TEXTBEFORE(tblCostChecklist[[#This Row],[RequirementID]],".",-2),
 "cost."
)</f>
        <v>tech.tailor.colored_threads</v>
      </c>
      <c r="C1057" s="41" t="str">
        <f>_xlfn.XLOOKUP(tblCostChecklist[[#This Row],[TargetID]],tblTargets[TargetID],tblTargets[DisplayName],"")</f>
        <v>Tailor - Colored Threads</v>
      </c>
      <c r="D1057" s="41" t="str">
        <f>_xlfn.XLOOKUP(tblCostChecklist[[#This Row],[TargetID]],tblTargets[TargetID],tblTargets[TargetType],"")</f>
        <v>TECH</v>
      </c>
      <c r="E1057" s="41" t="s">
        <v>666</v>
      </c>
      <c r="F1057" s="41">
        <v>1</v>
      </c>
      <c r="G1057" s="41">
        <f>_xlfn.XLOOKUP(
 tblCostChecklist[[#This Row],[RequirementID]],
 tblCost[RequirementID],
 tblCost[QuantityRequired],
 ""
)</f>
        <v>300</v>
      </c>
      <c r="H10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7" s="41" t="str">
        <f>_xlfn.XLOOKUP(tblCostChecklist[[#This Row],[TargetID]],tblTargetStatus[TargetID],tblTargetStatus[Status])</f>
        <v>BLOCKED</v>
      </c>
      <c r="J1057" s="25" t="b">
        <v>0</v>
      </c>
    </row>
    <row r="1058" spans="1:10">
      <c r="A1058" s="41" t="s">
        <v>4706</v>
      </c>
      <c r="B1058" s="41" t="str">
        <f>_xlfn.TEXTAFTER(
 _xlfn.TEXTBEFORE(tblCostChecklist[[#This Row],[RequirementID]],".",-2),
 "cost."
)</f>
        <v>tech.tailor.colored_threads</v>
      </c>
      <c r="C1058" s="41" t="str">
        <f>_xlfn.XLOOKUP(tblCostChecklist[[#This Row],[TargetID]],tblTargets[TargetID],tblTargets[DisplayName],"")</f>
        <v>Tailor - Colored Threads</v>
      </c>
      <c r="D1058" s="41" t="str">
        <f>_xlfn.XLOOKUP(tblCostChecklist[[#This Row],[TargetID]],tblTargets[TargetID],tblTargets[TargetType],"")</f>
        <v>TECH</v>
      </c>
      <c r="E1058" s="41" t="s">
        <v>677</v>
      </c>
      <c r="F1058" s="41">
        <v>1</v>
      </c>
      <c r="G1058" s="41">
        <f>_xlfn.XLOOKUP(
 tblCostChecklist[[#This Row],[RequirementID]],
 tblCost[RequirementID],
 tblCost[QuantityRequired],
 ""
)</f>
        <v>5</v>
      </c>
      <c r="H10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8" s="41" t="str">
        <f>_xlfn.XLOOKUP(tblCostChecklist[[#This Row],[TargetID]],tblTargetStatus[TargetID],tblTargetStatus[Status])</f>
        <v>BLOCKED</v>
      </c>
      <c r="J1058" s="25" t="b">
        <v>0</v>
      </c>
    </row>
    <row r="1059" spans="1:10">
      <c r="A1059" s="41" t="s">
        <v>4707</v>
      </c>
      <c r="B1059" s="41" t="str">
        <f>_xlfn.TEXTAFTER(
 _xlfn.TEXTBEFORE(tblCostChecklist[[#This Row],[RequirementID]],".",-2),
 "cost."
)</f>
        <v>tech.tailor.colored_threads</v>
      </c>
      <c r="C1059" s="41" t="str">
        <f>_xlfn.XLOOKUP(tblCostChecklist[[#This Row],[TargetID]],tblTargets[TargetID],tblTargets[DisplayName],"")</f>
        <v>Tailor - Colored Threads</v>
      </c>
      <c r="D1059" s="41" t="str">
        <f>_xlfn.XLOOKUP(tblCostChecklist[[#This Row],[TargetID]],tblTargets[TargetID],tblTargets[TargetType],"")</f>
        <v>TECH</v>
      </c>
      <c r="E1059" s="41" t="s">
        <v>679</v>
      </c>
      <c r="F1059" s="41">
        <v>1</v>
      </c>
      <c r="G1059" s="41">
        <f>_xlfn.XLOOKUP(
 tblCostChecklist[[#This Row],[RequirementID]],
 tblCost[RequirementID],
 tblCost[QuantityRequired],
 ""
)</f>
        <v>10</v>
      </c>
      <c r="H10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9" s="41" t="str">
        <f>_xlfn.XLOOKUP(tblCostChecklist[[#This Row],[TargetID]],tblTargetStatus[TargetID],tblTargetStatus[Status])</f>
        <v>BLOCKED</v>
      </c>
      <c r="J1059" s="25" t="b">
        <v>0</v>
      </c>
    </row>
    <row r="1060" spans="1:10">
      <c r="A1060" s="41" t="s">
        <v>4708</v>
      </c>
      <c r="B1060" s="41" t="str">
        <f>_xlfn.TEXTAFTER(
 _xlfn.TEXTBEFORE(tblCostChecklist[[#This Row],[RequirementID]],".",-2),
 "cost."
)</f>
        <v>tech.tailor.colored_threads</v>
      </c>
      <c r="C1060" s="41" t="str">
        <f>_xlfn.XLOOKUP(tblCostChecklist[[#This Row],[TargetID]],tblTargets[TargetID],tblTargets[DisplayName],"")</f>
        <v>Tailor - Colored Threads</v>
      </c>
      <c r="D1060" s="41" t="str">
        <f>_xlfn.XLOOKUP(tblCostChecklist[[#This Row],[TargetID]],tblTargets[TargetID],tblTargets[TargetType],"")</f>
        <v>TECH</v>
      </c>
      <c r="E1060" s="41" t="s">
        <v>705</v>
      </c>
      <c r="F1060" s="41">
        <v>1</v>
      </c>
      <c r="G1060" s="41">
        <f>_xlfn.XLOOKUP(
 tblCostChecklist[[#This Row],[RequirementID]],
 tblCost[RequirementID],
 tblCost[QuantityRequired],
 ""
)</f>
        <v>10</v>
      </c>
      <c r="H10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0" s="41" t="str">
        <f>_xlfn.XLOOKUP(tblCostChecklist[[#This Row],[TargetID]],tblTargetStatus[TargetID],tblTargetStatus[Status])</f>
        <v>BLOCKED</v>
      </c>
      <c r="J1060" s="25" t="b">
        <v>0</v>
      </c>
    </row>
    <row r="1061" spans="1:10">
      <c r="A1061" s="41" t="s">
        <v>4709</v>
      </c>
      <c r="B1061" s="41" t="str">
        <f>_xlfn.TEXTAFTER(
 _xlfn.TEXTBEFORE(tblCostChecklist[[#This Row],[RequirementID]],".",-2),
 "cost."
)</f>
        <v>tech.tailor.colored_threads</v>
      </c>
      <c r="C1061" s="41" t="str">
        <f>_xlfn.XLOOKUP(tblCostChecklist[[#This Row],[TargetID]],tblTargets[TargetID],tblTargets[DisplayName],"")</f>
        <v>Tailor - Colored Threads</v>
      </c>
      <c r="D1061" s="41" t="str">
        <f>_xlfn.XLOOKUP(tblCostChecklist[[#This Row],[TargetID]],tblTargets[TargetID],tblTargets[TargetType],"")</f>
        <v>TECH</v>
      </c>
      <c r="E1061" s="41" t="s">
        <v>708</v>
      </c>
      <c r="F1061" s="41">
        <v>1</v>
      </c>
      <c r="G1061" s="41">
        <f>_xlfn.XLOOKUP(
 tblCostChecklist[[#This Row],[RequirementID]],
 tblCost[RequirementID],
 tblCost[QuantityRequired],
 ""
)</f>
        <v>2</v>
      </c>
      <c r="H10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1" s="41" t="str">
        <f>_xlfn.XLOOKUP(tblCostChecklist[[#This Row],[TargetID]],tblTargetStatus[TargetID],tblTargetStatus[Status])</f>
        <v>BLOCKED</v>
      </c>
      <c r="J1061" s="25" t="b">
        <v>0</v>
      </c>
    </row>
    <row r="1062" spans="1:10">
      <c r="A1062" s="41" t="s">
        <v>4710</v>
      </c>
      <c r="B1062" s="41" t="str">
        <f>_xlfn.TEXTAFTER(
 _xlfn.TEXTBEFORE(tblCostChecklist[[#This Row],[RequirementID]],".",-2),
 "cost."
)</f>
        <v>tech.tailor.colored_threads</v>
      </c>
      <c r="C1062" s="41" t="str">
        <f>_xlfn.XLOOKUP(tblCostChecklist[[#This Row],[TargetID]],tblTargets[TargetID],tblTargets[DisplayName],"")</f>
        <v>Tailor - Colored Threads</v>
      </c>
      <c r="D1062" s="41" t="str">
        <f>_xlfn.XLOOKUP(tblCostChecklist[[#This Row],[TargetID]],tblTargets[TargetID],tblTargets[TargetType],"")</f>
        <v>TECH</v>
      </c>
      <c r="E1062" s="41" t="s">
        <v>719</v>
      </c>
      <c r="F1062" s="41">
        <v>1</v>
      </c>
      <c r="G1062" s="41">
        <f>_xlfn.XLOOKUP(
 tblCostChecklist[[#This Row],[RequirementID]],
 tblCost[RequirementID],
 tblCost[QuantityRequired],
 ""
)</f>
        <v>10</v>
      </c>
      <c r="H10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2" s="41" t="str">
        <f>_xlfn.XLOOKUP(tblCostChecklist[[#This Row],[TargetID]],tblTargetStatus[TargetID],tblTargetStatus[Status])</f>
        <v>BLOCKED</v>
      </c>
      <c r="J1062" s="25" t="b">
        <v>0</v>
      </c>
    </row>
    <row r="1063" spans="1:10">
      <c r="A1063" s="41" t="s">
        <v>4711</v>
      </c>
      <c r="B1063" s="41" t="str">
        <f>_xlfn.TEXTAFTER(
 _xlfn.TEXTBEFORE(tblCostChecklist[[#This Row],[RequirementID]],".",-2),
 "cost."
)</f>
        <v>tech.train.compound_engine</v>
      </c>
      <c r="C1063" s="41" t="str">
        <f>_xlfn.XLOOKUP(tblCostChecklist[[#This Row],[TargetID]],tblTargets[TargetID],tblTargets[DisplayName],"")</f>
        <v>Train - Compound Engine</v>
      </c>
      <c r="D1063" s="41" t="str">
        <f>_xlfn.XLOOKUP(tblCostChecklist[[#This Row],[TargetID]],tblTargets[TargetID],tblTargets[TargetType],"")</f>
        <v>TECH</v>
      </c>
      <c r="E1063" s="41" t="s">
        <v>662</v>
      </c>
      <c r="F1063" s="41">
        <v>1</v>
      </c>
      <c r="G1063" s="41">
        <f>_xlfn.XLOOKUP(
 tblCostChecklist[[#This Row],[RequirementID]],
 tblCost[RequirementID],
 tblCost[QuantityRequired],
 ""
)</f>
        <v>30</v>
      </c>
      <c r="H10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3" s="41" t="str">
        <f>_xlfn.XLOOKUP(tblCostChecklist[[#This Row],[TargetID]],tblTargetStatus[TargetID],tblTargetStatus[Status])</f>
        <v>BLOCKED</v>
      </c>
      <c r="J1063" s="25" t="b">
        <v>0</v>
      </c>
    </row>
    <row r="1064" spans="1:10">
      <c r="A1064" s="41" t="s">
        <v>4712</v>
      </c>
      <c r="B1064" s="41" t="str">
        <f>_xlfn.TEXTAFTER(
 _xlfn.TEXTBEFORE(tblCostChecklist[[#This Row],[RequirementID]],".",-2),
 "cost."
)</f>
        <v>tech.train.compound_engine</v>
      </c>
      <c r="C1064" s="41" t="str">
        <f>_xlfn.XLOOKUP(tblCostChecklist[[#This Row],[TargetID]],tblTargets[TargetID],tblTargets[DisplayName],"")</f>
        <v>Train - Compound Engine</v>
      </c>
      <c r="D1064" s="41" t="str">
        <f>_xlfn.XLOOKUP(tblCostChecklist[[#This Row],[TargetID]],tblTargets[TargetID],tblTargets[TargetType],"")</f>
        <v>TECH</v>
      </c>
      <c r="E1064" s="41" t="s">
        <v>666</v>
      </c>
      <c r="F1064" s="41">
        <v>1</v>
      </c>
      <c r="G1064" s="41">
        <f>_xlfn.XLOOKUP(
 tblCostChecklist[[#This Row],[RequirementID]],
 tblCost[RequirementID],
 tblCost[QuantityRequired],
 ""
)</f>
        <v>1500</v>
      </c>
      <c r="H10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4" s="41" t="str">
        <f>_xlfn.XLOOKUP(tblCostChecklist[[#This Row],[TargetID]],tblTargetStatus[TargetID],tblTargetStatus[Status])</f>
        <v>BLOCKED</v>
      </c>
      <c r="J1064" s="25" t="b">
        <v>0</v>
      </c>
    </row>
    <row r="1065" spans="1:10">
      <c r="A1065" s="41" t="s">
        <v>4713</v>
      </c>
      <c r="B1065" s="41" t="str">
        <f>_xlfn.TEXTAFTER(
 _xlfn.TEXTBEFORE(tblCostChecklist[[#This Row],[RequirementID]],".",-2),
 "cost."
)</f>
        <v>tech.train.compound_engine</v>
      </c>
      <c r="C1065" s="41" t="str">
        <f>_xlfn.XLOOKUP(tblCostChecklist[[#This Row],[TargetID]],tblTargets[TargetID],tblTargets[DisplayName],"")</f>
        <v>Train - Compound Engine</v>
      </c>
      <c r="D1065" s="41" t="str">
        <f>_xlfn.XLOOKUP(tblCostChecklist[[#This Row],[TargetID]],tblTargets[TargetID],tblTargets[TargetType],"")</f>
        <v>TECH</v>
      </c>
      <c r="E1065" s="41" t="s">
        <v>673</v>
      </c>
      <c r="F1065" s="41">
        <v>1</v>
      </c>
      <c r="G1065" s="41">
        <f>_xlfn.XLOOKUP(
 tblCostChecklist[[#This Row],[RequirementID]],
 tblCost[RequirementID],
 tblCost[QuantityRequired],
 ""
)</f>
        <v>50</v>
      </c>
      <c r="H10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5" s="41" t="str">
        <f>_xlfn.XLOOKUP(tblCostChecklist[[#This Row],[TargetID]],tblTargetStatus[TargetID],tblTargetStatus[Status])</f>
        <v>BLOCKED</v>
      </c>
      <c r="J1065" s="25" t="b">
        <v>0</v>
      </c>
    </row>
    <row r="1066" spans="1:10">
      <c r="A1066" s="41" t="s">
        <v>4714</v>
      </c>
      <c r="B1066" s="41" t="str">
        <f>_xlfn.TEXTAFTER(
 _xlfn.TEXTBEFORE(tblCostChecklist[[#This Row],[RequirementID]],".",-2),
 "cost."
)</f>
        <v>tech.train.compound_engine</v>
      </c>
      <c r="C1066" s="41" t="str">
        <f>_xlfn.XLOOKUP(tblCostChecklist[[#This Row],[TargetID]],tblTargets[TargetID],tblTargets[DisplayName],"")</f>
        <v>Train - Compound Engine</v>
      </c>
      <c r="D1066" s="41" t="str">
        <f>_xlfn.XLOOKUP(tblCostChecklist[[#This Row],[TargetID]],tblTargets[TargetID],tblTargets[TargetType],"")</f>
        <v>TECH</v>
      </c>
      <c r="E1066" s="41" t="s">
        <v>686</v>
      </c>
      <c r="F1066" s="41">
        <v>1</v>
      </c>
      <c r="G1066" s="41">
        <f>_xlfn.XLOOKUP(
 tblCostChecklist[[#This Row],[RequirementID]],
 tblCost[RequirementID],
 tblCost[QuantityRequired],
 ""
)</f>
        <v>30</v>
      </c>
      <c r="H10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6" s="41" t="str">
        <f>_xlfn.XLOOKUP(tblCostChecklist[[#This Row],[TargetID]],tblTargetStatus[TargetID],tblTargetStatus[Status])</f>
        <v>BLOCKED</v>
      </c>
      <c r="J1066" s="25" t="b">
        <v>0</v>
      </c>
    </row>
    <row r="1067" spans="1:10">
      <c r="A1067" s="41" t="s">
        <v>4715</v>
      </c>
      <c r="B1067" s="41" t="str">
        <f>_xlfn.TEXTAFTER(
 _xlfn.TEXTBEFORE(tblCostChecklist[[#This Row],[RequirementID]],".",-2),
 "cost."
)</f>
        <v>tech.train.compound_engine</v>
      </c>
      <c r="C1067" s="41" t="str">
        <f>_xlfn.XLOOKUP(tblCostChecklist[[#This Row],[TargetID]],tblTargets[TargetID],tblTargets[DisplayName],"")</f>
        <v>Train - Compound Engine</v>
      </c>
      <c r="D1067" s="41" t="str">
        <f>_xlfn.XLOOKUP(tblCostChecklist[[#This Row],[TargetID]],tblTargets[TargetID],tblTargets[TargetType],"")</f>
        <v>TECH</v>
      </c>
      <c r="E1067" s="41" t="s">
        <v>708</v>
      </c>
      <c r="F1067" s="41">
        <v>1</v>
      </c>
      <c r="G1067" s="41">
        <f>_xlfn.XLOOKUP(
 tblCostChecklist[[#This Row],[RequirementID]],
 tblCost[RequirementID],
 tblCost[QuantityRequired],
 ""
)</f>
        <v>4</v>
      </c>
      <c r="H10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7" s="41" t="str">
        <f>_xlfn.XLOOKUP(tblCostChecklist[[#This Row],[TargetID]],tblTargetStatus[TargetID],tblTargetStatus[Status])</f>
        <v>BLOCKED</v>
      </c>
      <c r="J1067" s="25" t="b">
        <v>0</v>
      </c>
    </row>
    <row r="1068" spans="1:10">
      <c r="A1068" s="41" t="s">
        <v>4716</v>
      </c>
      <c r="B1068" s="41" t="str">
        <f>_xlfn.TEXTAFTER(
 _xlfn.TEXTBEFORE(tblCostChecklist[[#This Row],[RequirementID]],".",-2),
 "cost."
)</f>
        <v>tech.train.superheater</v>
      </c>
      <c r="C1068" s="41" t="str">
        <f>_xlfn.XLOOKUP(tblCostChecklist[[#This Row],[TargetID]],tblTargets[TargetID],tblTargets[DisplayName],"")</f>
        <v>Train - Superheater</v>
      </c>
      <c r="D1068" s="41" t="str">
        <f>_xlfn.XLOOKUP(tblCostChecklist[[#This Row],[TargetID]],tblTargets[TargetID],tblTargets[TargetType],"")</f>
        <v>TECH</v>
      </c>
      <c r="E1068" s="41" t="s">
        <v>662</v>
      </c>
      <c r="F1068" s="41">
        <v>1</v>
      </c>
      <c r="G1068" s="41">
        <f>_xlfn.XLOOKUP(
 tblCostChecklist[[#This Row],[RequirementID]],
 tblCost[RequirementID],
 tblCost[QuantityRequired],
 ""
)</f>
        <v>30</v>
      </c>
      <c r="H10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8" s="41" t="str">
        <f>_xlfn.XLOOKUP(tblCostChecklist[[#This Row],[TargetID]],tblTargetStatus[TargetID],tblTargetStatus[Status])</f>
        <v>BLOCKED</v>
      </c>
      <c r="J1068" s="25" t="b">
        <v>0</v>
      </c>
    </row>
    <row r="1069" spans="1:10">
      <c r="A1069" s="41" t="s">
        <v>4717</v>
      </c>
      <c r="B1069" s="41" t="str">
        <f>_xlfn.TEXTAFTER(
 _xlfn.TEXTBEFORE(tblCostChecklist[[#This Row],[RequirementID]],".",-2),
 "cost."
)</f>
        <v>tech.train.superheater</v>
      </c>
      <c r="C1069" s="41" t="str">
        <f>_xlfn.XLOOKUP(tblCostChecklist[[#This Row],[TargetID]],tblTargets[TargetID],tblTargets[DisplayName],"")</f>
        <v>Train - Superheater</v>
      </c>
      <c r="D1069" s="41" t="str">
        <f>_xlfn.XLOOKUP(tblCostChecklist[[#This Row],[TargetID]],tblTargets[TargetID],tblTargets[TargetType],"")</f>
        <v>TECH</v>
      </c>
      <c r="E1069" s="41" t="s">
        <v>928</v>
      </c>
      <c r="F1069" s="41">
        <v>1</v>
      </c>
      <c r="G1069" s="41">
        <f>_xlfn.XLOOKUP(
 tblCostChecklist[[#This Row],[RequirementID]],
 tblCost[RequirementID],
 tblCost[QuantityRequired],
 ""
)</f>
        <v>30</v>
      </c>
      <c r="H10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9" s="41" t="str">
        <f>_xlfn.XLOOKUP(tblCostChecklist[[#This Row],[TargetID]],tblTargetStatus[TargetID],tblTargetStatus[Status])</f>
        <v>BLOCKED</v>
      </c>
      <c r="J1069" s="25" t="b">
        <v>0</v>
      </c>
    </row>
    <row r="1070" spans="1:10">
      <c r="A1070" s="41" t="s">
        <v>4718</v>
      </c>
      <c r="B1070" s="41" t="str">
        <f>_xlfn.TEXTAFTER(
 _xlfn.TEXTBEFORE(tblCostChecklist[[#This Row],[RequirementID]],".",-2),
 "cost."
)</f>
        <v>tech.train.superheater</v>
      </c>
      <c r="C1070" s="41" t="str">
        <f>_xlfn.XLOOKUP(tblCostChecklist[[#This Row],[TargetID]],tblTargets[TargetID],tblTargets[DisplayName],"")</f>
        <v>Train - Superheater</v>
      </c>
      <c r="D1070" s="41" t="str">
        <f>_xlfn.XLOOKUP(tblCostChecklist[[#This Row],[TargetID]],tblTargets[TargetID],tblTargets[TargetType],"")</f>
        <v>TECH</v>
      </c>
      <c r="E1070" s="41" t="s">
        <v>666</v>
      </c>
      <c r="F1070" s="41">
        <v>1</v>
      </c>
      <c r="G1070" s="41">
        <f>_xlfn.XLOOKUP(
 tblCostChecklist[[#This Row],[RequirementID]],
 tblCost[RequirementID],
 tblCost[QuantityRequired],
 ""
)</f>
        <v>1500</v>
      </c>
      <c r="H10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0" s="41" t="str">
        <f>_xlfn.XLOOKUP(tblCostChecklist[[#This Row],[TargetID]],tblTargetStatus[TargetID],tblTargetStatus[Status])</f>
        <v>BLOCKED</v>
      </c>
      <c r="J1070" s="25" t="b">
        <v>0</v>
      </c>
    </row>
    <row r="1071" spans="1:10">
      <c r="A1071" s="41" t="s">
        <v>4719</v>
      </c>
      <c r="B1071" s="41" t="str">
        <f>_xlfn.TEXTAFTER(
 _xlfn.TEXTBEFORE(tblCostChecklist[[#This Row],[RequirementID]],".",-2),
 "cost."
)</f>
        <v>tech.train.superheater</v>
      </c>
      <c r="C1071" s="41" t="str">
        <f>_xlfn.XLOOKUP(tblCostChecklist[[#This Row],[TargetID]],tblTargets[TargetID],tblTargets[DisplayName],"")</f>
        <v>Train - Superheater</v>
      </c>
      <c r="D1071" s="41" t="str">
        <f>_xlfn.XLOOKUP(tblCostChecklist[[#This Row],[TargetID]],tblTargets[TargetID],tblTargets[TargetType],"")</f>
        <v>TECH</v>
      </c>
      <c r="E1071" s="41" t="s">
        <v>686</v>
      </c>
      <c r="F1071" s="41">
        <v>1</v>
      </c>
      <c r="G1071" s="41">
        <f>_xlfn.XLOOKUP(
 tblCostChecklist[[#This Row],[RequirementID]],
 tblCost[RequirementID],
 tblCost[QuantityRequired],
 ""
)</f>
        <v>30</v>
      </c>
      <c r="H10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1" s="41" t="str">
        <f>_xlfn.XLOOKUP(tblCostChecklist[[#This Row],[TargetID]],tblTargetStatus[TargetID],tblTargetStatus[Status])</f>
        <v>BLOCKED</v>
      </c>
      <c r="J1071" s="25" t="b">
        <v>0</v>
      </c>
    </row>
    <row r="1072" spans="1:10">
      <c r="A1072" s="41" t="s">
        <v>4720</v>
      </c>
      <c r="B1072" s="41" t="str">
        <f>_xlfn.TEXTAFTER(
 _xlfn.TEXTBEFORE(tblCostChecklist[[#This Row],[RequirementID]],".",-2),
 "cost."
)</f>
        <v>tech.train.superheater</v>
      </c>
      <c r="C1072" s="41" t="str">
        <f>_xlfn.XLOOKUP(tblCostChecklist[[#This Row],[TargetID]],tblTargets[TargetID],tblTargets[DisplayName],"")</f>
        <v>Train - Superheater</v>
      </c>
      <c r="D1072" s="41" t="str">
        <f>_xlfn.XLOOKUP(tblCostChecklist[[#This Row],[TargetID]],tblTargets[TargetID],tblTargets[TargetType],"")</f>
        <v>TECH</v>
      </c>
      <c r="E1072" s="41" t="s">
        <v>708</v>
      </c>
      <c r="F1072" s="41">
        <v>1</v>
      </c>
      <c r="G1072" s="41">
        <f>_xlfn.XLOOKUP(
 tblCostChecklist[[#This Row],[RequirementID]],
 tblCost[RequirementID],
 tblCost[QuantityRequired],
 ""
)</f>
        <v>4</v>
      </c>
      <c r="H10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2" s="41" t="str">
        <f>_xlfn.XLOOKUP(tblCostChecklist[[#This Row],[TargetID]],tblTargetStatus[TargetID],tblTargetStatus[Status])</f>
        <v>BLOCKED</v>
      </c>
      <c r="J1072" s="25" t="b">
        <v>0</v>
      </c>
    </row>
    <row r="1073" spans="1:10">
      <c r="A1073" s="41" t="s">
        <v>4721</v>
      </c>
      <c r="B1073" s="41" t="str">
        <f>_xlfn.TEXTAFTER(
 _xlfn.TEXTBEFORE(tblCostChecklist[[#This Row],[RequirementID]],".",-2),
 "cost."
)</f>
        <v>tech.train.superheater</v>
      </c>
      <c r="C1073" s="41" t="str">
        <f>_xlfn.XLOOKUP(tblCostChecklist[[#This Row],[TargetID]],tblTargets[TargetID],tblTargets[DisplayName],"")</f>
        <v>Train - Superheater</v>
      </c>
      <c r="D1073" s="41" t="str">
        <f>_xlfn.XLOOKUP(tblCostChecklist[[#This Row],[TargetID]],tblTargets[TargetID],tblTargets[TargetType],"")</f>
        <v>TECH</v>
      </c>
      <c r="E1073" s="41" t="s">
        <v>716</v>
      </c>
      <c r="F1073" s="41">
        <v>1</v>
      </c>
      <c r="G1073" s="41">
        <f>_xlfn.XLOOKUP(
 tblCostChecklist[[#This Row],[RequirementID]],
 tblCost[RequirementID],
 tblCost[QuantityRequired],
 ""
)</f>
        <v>500</v>
      </c>
      <c r="H10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3" s="41" t="str">
        <f>_xlfn.XLOOKUP(tblCostChecklist[[#This Row],[TargetID]],tblTargetStatus[TargetID],tblTargetStatus[Status])</f>
        <v>BLOCKED</v>
      </c>
      <c r="J1073" s="25" t="b">
        <v>0</v>
      </c>
    </row>
    <row r="1074" spans="1:10">
      <c r="A1074" s="41" t="s">
        <v>4722</v>
      </c>
      <c r="B1074" s="41" t="str">
        <f>_xlfn.TEXTAFTER(
 _xlfn.TEXTBEFORE(tblCostChecklist[[#This Row],[RequirementID]],".",-2),
 "cost."
)</f>
        <v>tech.train.automatic_lubricator</v>
      </c>
      <c r="C1074" s="41" t="str">
        <f>_xlfn.XLOOKUP(tblCostChecklist[[#This Row],[TargetID]],tblTargets[TargetID],tblTargets[DisplayName],"")</f>
        <v>Train - Automatic Lubricator</v>
      </c>
      <c r="D1074" s="41" t="str">
        <f>_xlfn.XLOOKUP(tblCostChecklist[[#This Row],[TargetID]],tblTargets[TargetID],tblTargets[TargetType],"")</f>
        <v>TECH</v>
      </c>
      <c r="E1074" s="41" t="s">
        <v>662</v>
      </c>
      <c r="F1074" s="41">
        <v>1</v>
      </c>
      <c r="G1074" s="41">
        <f>_xlfn.XLOOKUP(
 tblCostChecklist[[#This Row],[RequirementID]],
 tblCost[RequirementID],
 tblCost[QuantityRequired],
 ""
)</f>
        <v>30</v>
      </c>
      <c r="H10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4" s="41" t="str">
        <f>_xlfn.XLOOKUP(tblCostChecklist[[#This Row],[TargetID]],tblTargetStatus[TargetID],tblTargetStatus[Status])</f>
        <v>BLOCKED</v>
      </c>
      <c r="J1074" s="25" t="b">
        <v>0</v>
      </c>
    </row>
    <row r="1075" spans="1:10">
      <c r="A1075" s="41" t="s">
        <v>4723</v>
      </c>
      <c r="B1075" s="41" t="str">
        <f>_xlfn.TEXTAFTER(
 _xlfn.TEXTBEFORE(tblCostChecklist[[#This Row],[RequirementID]],".",-2),
 "cost."
)</f>
        <v>tech.train.automatic_lubricator</v>
      </c>
      <c r="C1075" s="41" t="str">
        <f>_xlfn.XLOOKUP(tblCostChecklist[[#This Row],[TargetID]],tblTargets[TargetID],tblTargets[DisplayName],"")</f>
        <v>Train - Automatic Lubricator</v>
      </c>
      <c r="D1075" s="41" t="str">
        <f>_xlfn.XLOOKUP(tblCostChecklist[[#This Row],[TargetID]],tblTargets[TargetID],tblTargets[TargetType],"")</f>
        <v>TECH</v>
      </c>
      <c r="E1075" s="41" t="s">
        <v>666</v>
      </c>
      <c r="F1075" s="41">
        <v>1</v>
      </c>
      <c r="G1075" s="41">
        <f>_xlfn.XLOOKUP(
 tblCostChecklist[[#This Row],[RequirementID]],
 tblCost[RequirementID],
 tblCost[QuantityRequired],
 ""
)</f>
        <v>1500</v>
      </c>
      <c r="H10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5" s="41" t="str">
        <f>_xlfn.XLOOKUP(tblCostChecklist[[#This Row],[TargetID]],tblTargetStatus[TargetID],tblTargetStatus[Status])</f>
        <v>BLOCKED</v>
      </c>
      <c r="J1075" s="25" t="b">
        <v>0</v>
      </c>
    </row>
    <row r="1076" spans="1:10">
      <c r="A1076" s="41" t="s">
        <v>4724</v>
      </c>
      <c r="B1076" s="41" t="str">
        <f>_xlfn.TEXTAFTER(
 _xlfn.TEXTBEFORE(tblCostChecklist[[#This Row],[RequirementID]],".",-2),
 "cost."
)</f>
        <v>tech.train.automatic_lubricator</v>
      </c>
      <c r="C1076" s="41" t="str">
        <f>_xlfn.XLOOKUP(tblCostChecklist[[#This Row],[TargetID]],tblTargets[TargetID],tblTargets[DisplayName],"")</f>
        <v>Train - Automatic Lubricator</v>
      </c>
      <c r="D1076" s="41" t="str">
        <f>_xlfn.XLOOKUP(tblCostChecklist[[#This Row],[TargetID]],tblTargets[TargetID],tblTargets[TargetType],"")</f>
        <v>TECH</v>
      </c>
      <c r="E1076" s="41" t="s">
        <v>686</v>
      </c>
      <c r="F1076" s="41">
        <v>1</v>
      </c>
      <c r="G1076" s="41">
        <f>_xlfn.XLOOKUP(
 tblCostChecklist[[#This Row],[RequirementID]],
 tblCost[RequirementID],
 tblCost[QuantityRequired],
 ""
)</f>
        <v>30</v>
      </c>
      <c r="H10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6" s="41" t="str">
        <f>_xlfn.XLOOKUP(tblCostChecklist[[#This Row],[TargetID]],tblTargetStatus[TargetID],tblTargetStatus[Status])</f>
        <v>BLOCKED</v>
      </c>
      <c r="J1076" s="25" t="b">
        <v>0</v>
      </c>
    </row>
    <row r="1077" spans="1:10">
      <c r="A1077" s="41" t="s">
        <v>4725</v>
      </c>
      <c r="B1077" s="41" t="str">
        <f>_xlfn.TEXTAFTER(
 _xlfn.TEXTBEFORE(tblCostChecklist[[#This Row],[RequirementID]],".",-2),
 "cost."
)</f>
        <v>tech.train.automatic_lubricator</v>
      </c>
      <c r="C1077" s="41" t="str">
        <f>_xlfn.XLOOKUP(tblCostChecklist[[#This Row],[TargetID]],tblTargets[TargetID],tblTargets[DisplayName],"")</f>
        <v>Train - Automatic Lubricator</v>
      </c>
      <c r="D1077" s="41" t="str">
        <f>_xlfn.XLOOKUP(tblCostChecklist[[#This Row],[TargetID]],tblTargets[TargetID],tblTargets[TargetType],"")</f>
        <v>TECH</v>
      </c>
      <c r="E1077" s="41" t="s">
        <v>695</v>
      </c>
      <c r="F1077" s="41">
        <v>1</v>
      </c>
      <c r="G1077" s="41">
        <f>_xlfn.XLOOKUP(
 tblCostChecklist[[#This Row],[RequirementID]],
 tblCost[RequirementID],
 tblCost[QuantityRequired],
 ""
)</f>
        <v>50</v>
      </c>
      <c r="H10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7" s="41" t="str">
        <f>_xlfn.XLOOKUP(tblCostChecklist[[#This Row],[TargetID]],tblTargetStatus[TargetID],tblTargetStatus[Status])</f>
        <v>BLOCKED</v>
      </c>
      <c r="J1077" s="25" t="b">
        <v>0</v>
      </c>
    </row>
    <row r="1078" spans="1:10">
      <c r="A1078" s="41" t="s">
        <v>4726</v>
      </c>
      <c r="B1078" s="41" t="str">
        <f>_xlfn.TEXTAFTER(
 _xlfn.TEXTBEFORE(tblCostChecklist[[#This Row],[RequirementID]],".",-2),
 "cost."
)</f>
        <v>tech.train.automatic_lubricator</v>
      </c>
      <c r="C1078" s="41" t="str">
        <f>_xlfn.XLOOKUP(tblCostChecklist[[#This Row],[TargetID]],tblTargets[TargetID],tblTargets[DisplayName],"")</f>
        <v>Train - Automatic Lubricator</v>
      </c>
      <c r="D1078" s="41" t="str">
        <f>_xlfn.XLOOKUP(tblCostChecklist[[#This Row],[TargetID]],tblTargets[TargetID],tblTargets[TargetType],"")</f>
        <v>TECH</v>
      </c>
      <c r="E1078" s="41" t="s">
        <v>708</v>
      </c>
      <c r="F1078" s="41">
        <v>1</v>
      </c>
      <c r="G1078" s="41">
        <f>_xlfn.XLOOKUP(
 tblCostChecklist[[#This Row],[RequirementID]],
 tblCost[RequirementID],
 tblCost[QuantityRequired],
 ""
)</f>
        <v>4</v>
      </c>
      <c r="H10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8" s="41" t="str">
        <f>_xlfn.XLOOKUP(tblCostChecklist[[#This Row],[TargetID]],tblTargetStatus[TargetID],tblTargetStatus[Status])</f>
        <v>BLOCKED</v>
      </c>
      <c r="J1078" s="25" t="b">
        <v>0</v>
      </c>
    </row>
    <row r="1079" spans="1:10">
      <c r="A1079" s="41" t="s">
        <v>4727</v>
      </c>
      <c r="B1079" s="41" t="str">
        <f>_xlfn.TEXTAFTER(
 _xlfn.TEXTBEFORE(tblCostChecklist[[#This Row],[RequirementID]],".",-2),
 "cost."
)</f>
        <v>tech.train.titanium_components</v>
      </c>
      <c r="C1079" s="41" t="str">
        <f>_xlfn.XLOOKUP(tblCostChecklist[[#This Row],[TargetID]],tblTargets[TargetID],tblTargets[DisplayName],"")</f>
        <v>Train - Titanium Components</v>
      </c>
      <c r="D1079" s="41" t="str">
        <f>_xlfn.XLOOKUP(tblCostChecklist[[#This Row],[TargetID]],tblTargets[TargetID],tblTargets[TargetType],"")</f>
        <v>TECH</v>
      </c>
      <c r="E1079" s="41" t="s">
        <v>655</v>
      </c>
      <c r="F1079" s="41">
        <v>1</v>
      </c>
      <c r="G1079" s="41">
        <f>_xlfn.XLOOKUP(
 tblCostChecklist[[#This Row],[RequirementID]],
 tblCost[RequirementID],
 tblCost[QuantityRequired],
 ""
)</f>
        <v>10</v>
      </c>
      <c r="H10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9" s="41" t="str">
        <f>_xlfn.XLOOKUP(tblCostChecklist[[#This Row],[TargetID]],tblTargetStatus[TargetID],tblTargetStatus[Status])</f>
        <v>BLOCKED</v>
      </c>
      <c r="J1079" s="25" t="b">
        <v>0</v>
      </c>
    </row>
    <row r="1080" spans="1:10">
      <c r="A1080" s="41" t="s">
        <v>4728</v>
      </c>
      <c r="B1080" s="41" t="str">
        <f>_xlfn.TEXTAFTER(
 _xlfn.TEXTBEFORE(tblCostChecklist[[#This Row],[RequirementID]],".",-2),
 "cost."
)</f>
        <v>tech.train.titanium_components</v>
      </c>
      <c r="C1080" s="41" t="str">
        <f>_xlfn.XLOOKUP(tblCostChecklist[[#This Row],[TargetID]],tblTargets[TargetID],tblTargets[DisplayName],"")</f>
        <v>Train - Titanium Components</v>
      </c>
      <c r="D1080" s="41" t="str">
        <f>_xlfn.XLOOKUP(tblCostChecklist[[#This Row],[TargetID]],tblTargets[TargetID],tblTargets[TargetType],"")</f>
        <v>TECH</v>
      </c>
      <c r="E1080" s="41" t="s">
        <v>662</v>
      </c>
      <c r="F1080" s="41">
        <v>1</v>
      </c>
      <c r="G1080" s="41">
        <f>_xlfn.XLOOKUP(
 tblCostChecklist[[#This Row],[RequirementID]],
 tblCost[RequirementID],
 tblCost[QuantityRequired],
 ""
)</f>
        <v>30</v>
      </c>
      <c r="H10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0" s="41" t="str">
        <f>_xlfn.XLOOKUP(tblCostChecklist[[#This Row],[TargetID]],tblTargetStatus[TargetID],tblTargetStatus[Status])</f>
        <v>BLOCKED</v>
      </c>
      <c r="J1080" s="25" t="b">
        <v>0</v>
      </c>
    </row>
    <row r="1081" spans="1:10">
      <c r="A1081" s="41" t="s">
        <v>4729</v>
      </c>
      <c r="B1081" s="41" t="str">
        <f>_xlfn.TEXTAFTER(
 _xlfn.TEXTBEFORE(tblCostChecklist[[#This Row],[RequirementID]],".",-2),
 "cost."
)</f>
        <v>tech.train.titanium_components</v>
      </c>
      <c r="C1081" s="41" t="str">
        <f>_xlfn.XLOOKUP(tblCostChecklist[[#This Row],[TargetID]],tblTargets[TargetID],tblTargets[DisplayName],"")</f>
        <v>Train - Titanium Components</v>
      </c>
      <c r="D1081" s="41" t="str">
        <f>_xlfn.XLOOKUP(tblCostChecklist[[#This Row],[TargetID]],tblTargets[TargetID],tblTargets[TargetType],"")</f>
        <v>TECH</v>
      </c>
      <c r="E1081" s="41" t="s">
        <v>666</v>
      </c>
      <c r="F1081" s="41">
        <v>1</v>
      </c>
      <c r="G1081" s="41">
        <f>_xlfn.XLOOKUP(
 tblCostChecklist[[#This Row],[RequirementID]],
 tblCost[RequirementID],
 tblCost[QuantityRequired],
 ""
)</f>
        <v>1500</v>
      </c>
      <c r="H10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1" s="41" t="str">
        <f>_xlfn.XLOOKUP(tblCostChecklist[[#This Row],[TargetID]],tblTargetStatus[TargetID],tblTargetStatus[Status])</f>
        <v>BLOCKED</v>
      </c>
      <c r="J1081" s="25" t="b">
        <v>0</v>
      </c>
    </row>
    <row r="1082" spans="1:10">
      <c r="A1082" s="41" t="s">
        <v>4730</v>
      </c>
      <c r="B1082" s="41" t="str">
        <f>_xlfn.TEXTAFTER(
 _xlfn.TEXTBEFORE(tblCostChecklist[[#This Row],[RequirementID]],".",-2),
 "cost."
)</f>
        <v>tech.train.titanium_components</v>
      </c>
      <c r="C1082" s="41" t="str">
        <f>_xlfn.XLOOKUP(tblCostChecklist[[#This Row],[TargetID]],tblTargets[TargetID],tblTargets[DisplayName],"")</f>
        <v>Train - Titanium Components</v>
      </c>
      <c r="D1082" s="41" t="str">
        <f>_xlfn.XLOOKUP(tblCostChecklist[[#This Row],[TargetID]],tblTargets[TargetID],tblTargets[TargetType],"")</f>
        <v>TECH</v>
      </c>
      <c r="E1082" s="41" t="s">
        <v>705</v>
      </c>
      <c r="F1082" s="41">
        <v>1</v>
      </c>
      <c r="G1082" s="41">
        <f>_xlfn.XLOOKUP(
 tblCostChecklist[[#This Row],[RequirementID]],
 tblCost[RequirementID],
 tblCost[QuantityRequired],
 ""
)</f>
        <v>20</v>
      </c>
      <c r="H10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2" s="41" t="str">
        <f>_xlfn.XLOOKUP(tblCostChecklist[[#This Row],[TargetID]],tblTargetStatus[TargetID],tblTargetStatus[Status])</f>
        <v>BLOCKED</v>
      </c>
      <c r="J1082" s="25" t="b">
        <v>0</v>
      </c>
    </row>
    <row r="1083" spans="1:10">
      <c r="A1083" s="41" t="s">
        <v>4731</v>
      </c>
      <c r="B1083" s="41" t="str">
        <f>_xlfn.TEXTAFTER(
 _xlfn.TEXTBEFORE(tblCostChecklist[[#This Row],[RequirementID]],".",-2),
 "cost."
)</f>
        <v>tech.train.titanium_components</v>
      </c>
      <c r="C1083" s="41" t="str">
        <f>_xlfn.XLOOKUP(tblCostChecklist[[#This Row],[TargetID]],tblTargets[TargetID],tblTargets[DisplayName],"")</f>
        <v>Train - Titanium Components</v>
      </c>
      <c r="D1083" s="41" t="str">
        <f>_xlfn.XLOOKUP(tblCostChecklist[[#This Row],[TargetID]],tblTargets[TargetID],tblTargets[TargetType],"")</f>
        <v>TECH</v>
      </c>
      <c r="E1083" s="41" t="s">
        <v>708</v>
      </c>
      <c r="F1083" s="41">
        <v>1</v>
      </c>
      <c r="G1083" s="41">
        <f>_xlfn.XLOOKUP(
 tblCostChecklist[[#This Row],[RequirementID]],
 tblCost[RequirementID],
 tblCost[QuantityRequired],
 ""
)</f>
        <v>5</v>
      </c>
      <c r="H10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3" s="41" t="str">
        <f>_xlfn.XLOOKUP(tblCostChecklist[[#This Row],[TargetID]],tblTargetStatus[TargetID],tblTargetStatus[Status])</f>
        <v>BLOCKED</v>
      </c>
      <c r="J1083" s="25" t="b">
        <v>0</v>
      </c>
    </row>
    <row r="1084" spans="1:10">
      <c r="A1084" s="41" t="s">
        <v>4732</v>
      </c>
      <c r="B1084" s="41" t="str">
        <f>_xlfn.TEXTAFTER(
 _xlfn.TEXTBEFORE(tblCostChecklist[[#This Row],[RequirementID]],".",-2),
 "cost."
)</f>
        <v>tech.train.titanium_components</v>
      </c>
      <c r="C1084" s="41" t="str">
        <f>_xlfn.XLOOKUP(tblCostChecklist[[#This Row],[TargetID]],tblTargets[TargetID],tblTargets[DisplayName],"")</f>
        <v>Train - Titanium Components</v>
      </c>
      <c r="D1084" s="41" t="str">
        <f>_xlfn.XLOOKUP(tblCostChecklist[[#This Row],[TargetID]],tblTargets[TargetID],tblTargets[TargetType],"")</f>
        <v>TECH</v>
      </c>
      <c r="E1084" s="41" t="s">
        <v>955</v>
      </c>
      <c r="F1084" s="41">
        <v>1</v>
      </c>
      <c r="G1084" s="41">
        <f>_xlfn.XLOOKUP(
 tblCostChecklist[[#This Row],[RequirementID]],
 tblCost[RequirementID],
 tblCost[QuantityRequired],
 ""
)</f>
        <v>30</v>
      </c>
      <c r="H10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4" s="41" t="str">
        <f>_xlfn.XLOOKUP(tblCostChecklist[[#This Row],[TargetID]],tblTargetStatus[TargetID],tblTargetStatus[Status])</f>
        <v>BLOCKED</v>
      </c>
      <c r="J1084" s="25" t="b">
        <v>0</v>
      </c>
    </row>
    <row r="1085" spans="1:10">
      <c r="A1085" s="41" t="s">
        <v>4733</v>
      </c>
      <c r="B1085" s="41" t="str">
        <f>_xlfn.TEXTAFTER(
 _xlfn.TEXTBEFORE(tblCostChecklist[[#This Row],[RequirementID]],".",-2),
 "cost."
)</f>
        <v>tech.train.onboard_computer</v>
      </c>
      <c r="C1085" s="41" t="str">
        <f>_xlfn.XLOOKUP(tblCostChecklist[[#This Row],[TargetID]],tblTargets[TargetID],tblTargets[DisplayName],"")</f>
        <v>Train - Onboard Computer</v>
      </c>
      <c r="D1085" s="41" t="str">
        <f>_xlfn.XLOOKUP(tblCostChecklist[[#This Row],[TargetID]],tblTargets[TargetID],tblTargets[TargetType],"")</f>
        <v>TECH</v>
      </c>
      <c r="E1085" s="41" t="s">
        <v>655</v>
      </c>
      <c r="F1085" s="41">
        <v>1</v>
      </c>
      <c r="G1085" s="41">
        <f>_xlfn.XLOOKUP(
 tblCostChecklist[[#This Row],[RequirementID]],
 tblCost[RequirementID],
 tblCost[QuantityRequired],
 ""
)</f>
        <v>20</v>
      </c>
      <c r="H10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5" s="41" t="str">
        <f>_xlfn.XLOOKUP(tblCostChecklist[[#This Row],[TargetID]],tblTargetStatus[TargetID],tblTargetStatus[Status])</f>
        <v>BLOCKED</v>
      </c>
      <c r="J1085" s="25" t="b">
        <v>0</v>
      </c>
    </row>
    <row r="1086" spans="1:10">
      <c r="A1086" s="41" t="s">
        <v>4734</v>
      </c>
      <c r="B1086" s="41" t="str">
        <f>_xlfn.TEXTAFTER(
 _xlfn.TEXTBEFORE(tblCostChecklist[[#This Row],[RequirementID]],".",-2),
 "cost."
)</f>
        <v>tech.train.onboard_computer</v>
      </c>
      <c r="C1086" s="41" t="str">
        <f>_xlfn.XLOOKUP(tblCostChecklist[[#This Row],[TargetID]],tblTargets[TargetID],tblTargets[DisplayName],"")</f>
        <v>Train - Onboard Computer</v>
      </c>
      <c r="D1086" s="41" t="str">
        <f>_xlfn.XLOOKUP(tblCostChecklist[[#This Row],[TargetID]],tblTargets[TargetID],tblTargets[TargetType],"")</f>
        <v>TECH</v>
      </c>
      <c r="E1086" s="41" t="s">
        <v>662</v>
      </c>
      <c r="F1086" s="41">
        <v>1</v>
      </c>
      <c r="G1086" s="41">
        <f>_xlfn.XLOOKUP(
 tblCostChecklist[[#This Row],[RequirementID]],
 tblCost[RequirementID],
 tblCost[QuantityRequired],
 ""
)</f>
        <v>40</v>
      </c>
      <c r="H10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6" s="41" t="str">
        <f>_xlfn.XLOOKUP(tblCostChecklist[[#This Row],[TargetID]],tblTargetStatus[TargetID],tblTargetStatus[Status])</f>
        <v>BLOCKED</v>
      </c>
      <c r="J1086" s="25" t="b">
        <v>0</v>
      </c>
    </row>
    <row r="1087" spans="1:10">
      <c r="A1087" s="41" t="s">
        <v>4735</v>
      </c>
      <c r="B1087" s="41" t="str">
        <f>_xlfn.TEXTAFTER(
 _xlfn.TEXTBEFORE(tblCostChecklist[[#This Row],[RequirementID]],".",-2),
 "cost."
)</f>
        <v>tech.train.onboard_computer</v>
      </c>
      <c r="C1087" s="41" t="str">
        <f>_xlfn.XLOOKUP(tblCostChecklist[[#This Row],[TargetID]],tblTargets[TargetID],tblTargets[DisplayName],"")</f>
        <v>Train - Onboard Computer</v>
      </c>
      <c r="D1087" s="41" t="str">
        <f>_xlfn.XLOOKUP(tblCostChecklist[[#This Row],[TargetID]],tblTargets[TargetID],tblTargets[TargetType],"")</f>
        <v>TECH</v>
      </c>
      <c r="E1087" s="41" t="s">
        <v>666</v>
      </c>
      <c r="F1087" s="41">
        <v>1</v>
      </c>
      <c r="G1087" s="41">
        <f>_xlfn.XLOOKUP(
 tblCostChecklist[[#This Row],[RequirementID]],
 tblCost[RequirementID],
 tblCost[QuantityRequired],
 ""
)</f>
        <v>1500</v>
      </c>
      <c r="H10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7" s="41" t="str">
        <f>_xlfn.XLOOKUP(tblCostChecklist[[#This Row],[TargetID]],tblTargetStatus[TargetID],tblTargetStatus[Status])</f>
        <v>BLOCKED</v>
      </c>
      <c r="J1087" s="25" t="b">
        <v>0</v>
      </c>
    </row>
    <row r="1088" spans="1:10">
      <c r="A1088" s="41" t="s">
        <v>4736</v>
      </c>
      <c r="B1088" s="41" t="str">
        <f>_xlfn.TEXTAFTER(
 _xlfn.TEXTBEFORE(tblCostChecklist[[#This Row],[RequirementID]],".",-2),
 "cost."
)</f>
        <v>tech.train.onboard_computer</v>
      </c>
      <c r="C1088" s="41" t="str">
        <f>_xlfn.XLOOKUP(tblCostChecklist[[#This Row],[TargetID]],tblTargets[TargetID],tblTargets[DisplayName],"")</f>
        <v>Train - Onboard Computer</v>
      </c>
      <c r="D1088" s="41" t="str">
        <f>_xlfn.XLOOKUP(tblCostChecklist[[#This Row],[TargetID]],tblTargets[TargetID],tblTargets[TargetType],"")</f>
        <v>TECH</v>
      </c>
      <c r="E1088" s="41" t="s">
        <v>672</v>
      </c>
      <c r="F1088" s="41">
        <v>1</v>
      </c>
      <c r="G1088" s="41">
        <f>_xlfn.XLOOKUP(
 tblCostChecklist[[#This Row],[RequirementID]],
 tblCost[RequirementID],
 tblCost[QuantityRequired],
 ""
)</f>
        <v>40</v>
      </c>
      <c r="H10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8" s="41" t="str">
        <f>_xlfn.XLOOKUP(tblCostChecklist[[#This Row],[TargetID]],tblTargetStatus[TargetID],tblTargetStatus[Status])</f>
        <v>BLOCKED</v>
      </c>
      <c r="J1088" s="25" t="b">
        <v>0</v>
      </c>
    </row>
    <row r="1089" spans="1:10">
      <c r="A1089" s="41" t="s">
        <v>4737</v>
      </c>
      <c r="B1089" s="41" t="str">
        <f>_xlfn.TEXTAFTER(
 _xlfn.TEXTBEFORE(tblCostChecklist[[#This Row],[RequirementID]],".",-2),
 "cost."
)</f>
        <v>tech.train.onboard_computer</v>
      </c>
      <c r="C1089" s="41" t="str">
        <f>_xlfn.XLOOKUP(tblCostChecklist[[#This Row],[TargetID]],tblTargets[TargetID],tblTargets[DisplayName],"")</f>
        <v>Train - Onboard Computer</v>
      </c>
      <c r="D1089" s="41" t="str">
        <f>_xlfn.XLOOKUP(tblCostChecklist[[#This Row],[TargetID]],tblTargets[TargetID],tblTargets[TargetType],"")</f>
        <v>TECH</v>
      </c>
      <c r="E1089" s="41" t="s">
        <v>686</v>
      </c>
      <c r="F1089" s="41">
        <v>1</v>
      </c>
      <c r="G1089" s="41">
        <f>_xlfn.XLOOKUP(
 tblCostChecklist[[#This Row],[RequirementID]],
 tblCost[RequirementID],
 tblCost[QuantityRequired],
 ""
)</f>
        <v>30</v>
      </c>
      <c r="H10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9" s="41" t="str">
        <f>_xlfn.XLOOKUP(tblCostChecklist[[#This Row],[TargetID]],tblTargetStatus[TargetID],tblTargetStatus[Status])</f>
        <v>BLOCKED</v>
      </c>
      <c r="J1089" s="25" t="b">
        <v>0</v>
      </c>
    </row>
    <row r="1090" spans="1:10">
      <c r="A1090" s="41" t="s">
        <v>4738</v>
      </c>
      <c r="B1090" s="41" t="str">
        <f>_xlfn.TEXTAFTER(
 _xlfn.TEXTBEFORE(tblCostChecklist[[#This Row],[RequirementID]],".",-2),
 "cost."
)</f>
        <v>tech.train.onboard_computer</v>
      </c>
      <c r="C1090" s="41" t="str">
        <f>_xlfn.XLOOKUP(tblCostChecklist[[#This Row],[TargetID]],tblTargets[TargetID],tblTargets[DisplayName],"")</f>
        <v>Train - Onboard Computer</v>
      </c>
      <c r="D1090" s="41" t="str">
        <f>_xlfn.XLOOKUP(tblCostChecklist[[#This Row],[TargetID]],tblTargets[TargetID],tblTargets[TargetType],"")</f>
        <v>TECH</v>
      </c>
      <c r="E1090" s="41" t="s">
        <v>687</v>
      </c>
      <c r="F1090" s="41">
        <v>1</v>
      </c>
      <c r="G1090" s="41">
        <f>_xlfn.XLOOKUP(
 tblCostChecklist[[#This Row],[RequirementID]],
 tblCost[RequirementID],
 tblCost[QuantityRequired],
 ""
)</f>
        <v>20</v>
      </c>
      <c r="H10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0" s="41" t="str">
        <f>_xlfn.XLOOKUP(tblCostChecklist[[#This Row],[TargetID]],tblTargetStatus[TargetID],tblTargetStatus[Status])</f>
        <v>BLOCKED</v>
      </c>
      <c r="J1090" s="25" t="b">
        <v>0</v>
      </c>
    </row>
    <row r="1091" spans="1:10">
      <c r="A1091" s="41" t="s">
        <v>4739</v>
      </c>
      <c r="B1091" s="41" t="str">
        <f>_xlfn.TEXTAFTER(
 _xlfn.TEXTBEFORE(tblCostChecklist[[#This Row],[RequirementID]],".",-2),
 "cost."
)</f>
        <v>tech.train.onboard_computer</v>
      </c>
      <c r="C1091" s="41" t="str">
        <f>_xlfn.XLOOKUP(tblCostChecklist[[#This Row],[TargetID]],tblTargets[TargetID],tblTargets[DisplayName],"")</f>
        <v>Train - Onboard Computer</v>
      </c>
      <c r="D1091" s="41" t="str">
        <f>_xlfn.XLOOKUP(tblCostChecklist[[#This Row],[TargetID]],tblTargets[TargetID],tblTargets[TargetType],"")</f>
        <v>TECH</v>
      </c>
      <c r="E1091" s="41" t="s">
        <v>688</v>
      </c>
      <c r="F1091" s="41">
        <v>1</v>
      </c>
      <c r="G1091" s="41">
        <f>_xlfn.XLOOKUP(
 tblCostChecklist[[#This Row],[RequirementID]],
 tblCost[RequirementID],
 tblCost[QuantityRequired],
 ""
)</f>
        <v>40</v>
      </c>
      <c r="H10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1" s="41" t="str">
        <f>_xlfn.XLOOKUP(tblCostChecklist[[#This Row],[TargetID]],tblTargetStatus[TargetID],tblTargetStatus[Status])</f>
        <v>BLOCKED</v>
      </c>
      <c r="J1091" s="25" t="b">
        <v>0</v>
      </c>
    </row>
    <row r="1092" spans="1:10">
      <c r="A1092" s="41" t="s">
        <v>4740</v>
      </c>
      <c r="B1092" s="41" t="str">
        <f>_xlfn.TEXTAFTER(
 _xlfn.TEXTBEFORE(tblCostChecklist[[#This Row],[RequirementID]],".",-2),
 "cost."
)</f>
        <v>tech.train.onboard_computer</v>
      </c>
      <c r="C1092" s="41" t="str">
        <f>_xlfn.XLOOKUP(tblCostChecklist[[#This Row],[TargetID]],tblTargets[TargetID],tblTargets[DisplayName],"")</f>
        <v>Train - Onboard Computer</v>
      </c>
      <c r="D1092" s="41" t="str">
        <f>_xlfn.XLOOKUP(tblCostChecklist[[#This Row],[TargetID]],tblTargets[TargetID],tblTargets[TargetType],"")</f>
        <v>TECH</v>
      </c>
      <c r="E1092" s="41" t="s">
        <v>708</v>
      </c>
      <c r="F1092" s="41">
        <v>1</v>
      </c>
      <c r="G1092" s="41">
        <f>_xlfn.XLOOKUP(
 tblCostChecklist[[#This Row],[RequirementID]],
 tblCost[RequirementID],
 tblCost[QuantityRequired],
 ""
)</f>
        <v>5</v>
      </c>
      <c r="H10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2" s="41" t="str">
        <f>_xlfn.XLOOKUP(tblCostChecklist[[#This Row],[TargetID]],tblTargetStatus[TargetID],tblTargetStatus[Status])</f>
        <v>BLOCKED</v>
      </c>
      <c r="J1092" s="25" t="b">
        <v>0</v>
      </c>
    </row>
    <row r="1093" spans="1:10">
      <c r="A1093" s="41" t="s">
        <v>4741</v>
      </c>
      <c r="B1093" s="41" t="str">
        <f>_xlfn.TEXTAFTER(
 _xlfn.TEXTBEFORE(tblCostChecklist[[#This Row],[RequirementID]],".",-2),
 "cost."
)</f>
        <v>tech.train.onboard_computer</v>
      </c>
      <c r="C1093" s="41" t="str">
        <f>_xlfn.XLOOKUP(tblCostChecklist[[#This Row],[TargetID]],tblTargets[TargetID],tblTargets[DisplayName],"")</f>
        <v>Train - Onboard Computer</v>
      </c>
      <c r="D1093" s="41" t="str">
        <f>_xlfn.XLOOKUP(tblCostChecklist[[#This Row],[TargetID]],tblTargets[TargetID],tblTargets[TargetType],"")</f>
        <v>TECH</v>
      </c>
      <c r="E1093" s="41" t="s">
        <v>716</v>
      </c>
      <c r="F1093" s="41">
        <v>1</v>
      </c>
      <c r="G1093" s="41">
        <f>_xlfn.XLOOKUP(
 tblCostChecklist[[#This Row],[RequirementID]],
 tblCost[RequirementID],
 tblCost[QuantityRequired],
 ""
)</f>
        <v>200</v>
      </c>
      <c r="H10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3" s="41" t="str">
        <f>_xlfn.XLOOKUP(tblCostChecklist[[#This Row],[TargetID]],tblTargetStatus[TargetID],tblTargetStatus[Status])</f>
        <v>BLOCKED</v>
      </c>
      <c r="J1093" s="25" t="b">
        <v>0</v>
      </c>
    </row>
    <row r="1094" spans="1:10">
      <c r="A1094" s="41" t="s">
        <v>4742</v>
      </c>
      <c r="B1094" s="41" t="str">
        <f>_xlfn.TEXTAFTER(
 _xlfn.TEXTBEFORE(tblCostChecklist[[#This Row],[RequirementID]],".",-2),
 "cost."
)</f>
        <v>tech.warehouse.stackable_racks_lvl_1</v>
      </c>
      <c r="C1094" s="41" t="str">
        <f>_xlfn.XLOOKUP(tblCostChecklist[[#This Row],[TargetID]],tblTargets[TargetID],tblTargets[DisplayName],"")</f>
        <v>Warehouse - Stackable Racks Lvl 1</v>
      </c>
      <c r="D1094" s="41" t="str">
        <f>_xlfn.XLOOKUP(tblCostChecklist[[#This Row],[TargetID]],tblTargets[TargetID],tblTargets[TargetType],"")</f>
        <v>TECH</v>
      </c>
      <c r="E1094" s="41" t="s">
        <v>662</v>
      </c>
      <c r="F1094" s="41">
        <v>1</v>
      </c>
      <c r="G1094" s="41">
        <f>_xlfn.XLOOKUP(
 tblCostChecklist[[#This Row],[RequirementID]],
 tblCost[RequirementID],
 tblCost[QuantityRequired],
 ""
)</f>
        <v>30</v>
      </c>
      <c r="H10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4" s="41" t="str">
        <f>_xlfn.XLOOKUP(tblCostChecklist[[#This Row],[TargetID]],tblTargetStatus[TargetID],tblTargetStatus[Status])</f>
        <v>BLOCKED</v>
      </c>
      <c r="J1094" s="25" t="b">
        <v>0</v>
      </c>
    </row>
    <row r="1095" spans="1:10">
      <c r="A1095" s="41" t="s">
        <v>4743</v>
      </c>
      <c r="B1095" s="41" t="str">
        <f>_xlfn.TEXTAFTER(
 _xlfn.TEXTBEFORE(tblCostChecklist[[#This Row],[RequirementID]],".",-2),
 "cost."
)</f>
        <v>tech.warehouse.stackable_racks_lvl_1</v>
      </c>
      <c r="C1095" s="41" t="str">
        <f>_xlfn.XLOOKUP(tblCostChecklist[[#This Row],[TargetID]],tblTargets[TargetID],tblTargets[DisplayName],"")</f>
        <v>Warehouse - Stackable Racks Lvl 1</v>
      </c>
      <c r="D1095" s="41" t="str">
        <f>_xlfn.XLOOKUP(tblCostChecklist[[#This Row],[TargetID]],tblTargets[TargetID],tblTargets[TargetType],"")</f>
        <v>TECH</v>
      </c>
      <c r="E1095" s="41" t="s">
        <v>666</v>
      </c>
      <c r="F1095" s="41">
        <v>1</v>
      </c>
      <c r="G1095" s="41">
        <f>_xlfn.XLOOKUP(
 tblCostChecklist[[#This Row],[RequirementID]],
 tblCost[RequirementID],
 tblCost[QuantityRequired],
 ""
)</f>
        <v>300</v>
      </c>
      <c r="H10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5" s="41" t="str">
        <f>_xlfn.XLOOKUP(tblCostChecklist[[#This Row],[TargetID]],tblTargetStatus[TargetID],tblTargetStatus[Status])</f>
        <v>BLOCKED</v>
      </c>
      <c r="J1095" s="25" t="b">
        <v>0</v>
      </c>
    </row>
    <row r="1096" spans="1:10">
      <c r="A1096" s="41" t="s">
        <v>4744</v>
      </c>
      <c r="B1096" s="41" t="str">
        <f>_xlfn.TEXTAFTER(
 _xlfn.TEXTBEFORE(tblCostChecklist[[#This Row],[RequirementID]],".",-2),
 "cost."
)</f>
        <v>tech.warehouse.stackable_racks_lvl_1</v>
      </c>
      <c r="C1096" s="41" t="str">
        <f>_xlfn.XLOOKUP(tblCostChecklist[[#This Row],[TargetID]],tblTargets[TargetID],tblTargets[DisplayName],"")</f>
        <v>Warehouse - Stackable Racks Lvl 1</v>
      </c>
      <c r="D1096" s="41" t="str">
        <f>_xlfn.XLOOKUP(tblCostChecklist[[#This Row],[TargetID]],tblTargets[TargetID],tblTargets[TargetType],"")</f>
        <v>TECH</v>
      </c>
      <c r="E1096" s="41" t="s">
        <v>701</v>
      </c>
      <c r="F1096" s="41">
        <v>1</v>
      </c>
      <c r="G1096" s="41">
        <f>_xlfn.XLOOKUP(
 tblCostChecklist[[#This Row],[RequirementID]],
 tblCost[RequirementID],
 tblCost[QuantityRequired],
 ""
)</f>
        <v>200</v>
      </c>
      <c r="H10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6" s="41" t="str">
        <f>_xlfn.XLOOKUP(tblCostChecklist[[#This Row],[TargetID]],tblTargetStatus[TargetID],tblTargetStatus[Status])</f>
        <v>BLOCKED</v>
      </c>
      <c r="J1096" s="25" t="b">
        <v>0</v>
      </c>
    </row>
    <row r="1097" spans="1:10">
      <c r="A1097" s="41" t="s">
        <v>4745</v>
      </c>
      <c r="B1097" s="41" t="str">
        <f>_xlfn.TEXTAFTER(
 _xlfn.TEXTBEFORE(tblCostChecklist[[#This Row],[RequirementID]],".",-2),
 "cost."
)</f>
        <v>tech.warehouse.stackable_racks_lvl_1</v>
      </c>
      <c r="C1097" s="41" t="str">
        <f>_xlfn.XLOOKUP(tblCostChecklist[[#This Row],[TargetID]],tblTargets[TargetID],tblTargets[DisplayName],"")</f>
        <v>Warehouse - Stackable Racks Lvl 1</v>
      </c>
      <c r="D1097" s="41" t="str">
        <f>_xlfn.XLOOKUP(tblCostChecklist[[#This Row],[TargetID]],tblTargets[TargetID],tblTargets[TargetType],"")</f>
        <v>TECH</v>
      </c>
      <c r="E1097" s="41" t="s">
        <v>708</v>
      </c>
      <c r="F1097" s="41">
        <v>1</v>
      </c>
      <c r="G1097" s="41">
        <f>_xlfn.XLOOKUP(
 tblCostChecklist[[#This Row],[RequirementID]],
 tblCost[RequirementID],
 tblCost[QuantityRequired],
 ""
)</f>
        <v>1</v>
      </c>
      <c r="H10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7" s="41" t="str">
        <f>_xlfn.XLOOKUP(tblCostChecklist[[#This Row],[TargetID]],tblTargetStatus[TargetID],tblTargetStatus[Status])</f>
        <v>BLOCKED</v>
      </c>
      <c r="J1097" s="25" t="b">
        <v>0</v>
      </c>
    </row>
    <row r="1098" spans="1:10">
      <c r="A1098" s="41" t="s">
        <v>4746</v>
      </c>
      <c r="B1098" s="41" t="str">
        <f>_xlfn.TEXTAFTER(
 _xlfn.TEXTBEFORE(tblCostChecklist[[#This Row],[RequirementID]],".",-2),
 "cost."
)</f>
        <v>tech.warehouse.stackable_racks_lvl_1</v>
      </c>
      <c r="C1098" s="41" t="str">
        <f>_xlfn.XLOOKUP(tblCostChecklist[[#This Row],[TargetID]],tblTargets[TargetID],tblTargets[DisplayName],"")</f>
        <v>Warehouse - Stackable Racks Lvl 1</v>
      </c>
      <c r="D1098" s="41" t="str">
        <f>_xlfn.XLOOKUP(tblCostChecklist[[#This Row],[TargetID]],tblTargets[TargetID],tblTargets[TargetType],"")</f>
        <v>TECH</v>
      </c>
      <c r="E1098" s="41" t="s">
        <v>716</v>
      </c>
      <c r="F1098" s="41">
        <v>1</v>
      </c>
      <c r="G1098" s="41">
        <f>_xlfn.XLOOKUP(
 tblCostChecklist[[#This Row],[RequirementID]],
 tblCost[RequirementID],
 tblCost[QuantityRequired],
 ""
)</f>
        <v>50</v>
      </c>
      <c r="H10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8" s="41" t="str">
        <f>_xlfn.XLOOKUP(tblCostChecklist[[#This Row],[TargetID]],tblTargetStatus[TargetID],tblTargetStatus[Status])</f>
        <v>BLOCKED</v>
      </c>
      <c r="J1098" s="25" t="b">
        <v>0</v>
      </c>
    </row>
    <row r="1099" spans="1:10">
      <c r="A1099" s="41" t="s">
        <v>4747</v>
      </c>
      <c r="B1099" s="41" t="str">
        <f>_xlfn.TEXTAFTER(
 _xlfn.TEXTBEFORE(tblCostChecklist[[#This Row],[RequirementID]],".",-2),
 "cost."
)</f>
        <v>tech.warehouse.stackable_racks_lvl_2</v>
      </c>
      <c r="C1099" s="41" t="str">
        <f>_xlfn.XLOOKUP(tblCostChecklist[[#This Row],[TargetID]],tblTargets[TargetID],tblTargets[DisplayName],"")</f>
        <v>Warehouse - Stackable Racks Lvl 2</v>
      </c>
      <c r="D1099" s="41" t="str">
        <f>_xlfn.XLOOKUP(tblCostChecklist[[#This Row],[TargetID]],tblTargets[TargetID],tblTargets[TargetType],"")</f>
        <v>TECH</v>
      </c>
      <c r="E1099" s="41" t="s">
        <v>662</v>
      </c>
      <c r="F1099" s="41">
        <v>1</v>
      </c>
      <c r="G1099" s="41">
        <f>_xlfn.XLOOKUP(
 tblCostChecklist[[#This Row],[RequirementID]],
 tblCost[RequirementID],
 tblCost[QuantityRequired],
 ""
)</f>
        <v>30</v>
      </c>
      <c r="H10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9" s="41" t="str">
        <f>_xlfn.XLOOKUP(tblCostChecklist[[#This Row],[TargetID]],tblTargetStatus[TargetID],tblTargetStatus[Status])</f>
        <v>BLOCKED</v>
      </c>
      <c r="J1099" s="25" t="b">
        <v>0</v>
      </c>
    </row>
    <row r="1100" spans="1:10">
      <c r="A1100" s="41" t="s">
        <v>4748</v>
      </c>
      <c r="B1100" s="41" t="str">
        <f>_xlfn.TEXTAFTER(
 _xlfn.TEXTBEFORE(tblCostChecklist[[#This Row],[RequirementID]],".",-2),
 "cost."
)</f>
        <v>tech.warehouse.stackable_racks_lvl_2</v>
      </c>
      <c r="C1100" s="41" t="str">
        <f>_xlfn.XLOOKUP(tblCostChecklist[[#This Row],[TargetID]],tblTargets[TargetID],tblTargets[DisplayName],"")</f>
        <v>Warehouse - Stackable Racks Lvl 2</v>
      </c>
      <c r="D1100" s="41" t="str">
        <f>_xlfn.XLOOKUP(tblCostChecklist[[#This Row],[TargetID]],tblTargets[TargetID],tblTargets[TargetType],"")</f>
        <v>TECH</v>
      </c>
      <c r="E1100" s="41" t="s">
        <v>666</v>
      </c>
      <c r="F1100" s="41">
        <v>1</v>
      </c>
      <c r="G1100" s="41">
        <f>_xlfn.XLOOKUP(
 tblCostChecklist[[#This Row],[RequirementID]],
 tblCost[RequirementID],
 tblCost[QuantityRequired],
 ""
)</f>
        <v>400</v>
      </c>
      <c r="H11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0" s="41" t="str">
        <f>_xlfn.XLOOKUP(tblCostChecklist[[#This Row],[TargetID]],tblTargetStatus[TargetID],tblTargetStatus[Status])</f>
        <v>BLOCKED</v>
      </c>
      <c r="J1100" s="25" t="b">
        <v>0</v>
      </c>
    </row>
    <row r="1101" spans="1:10">
      <c r="A1101" s="41" t="s">
        <v>4749</v>
      </c>
      <c r="B1101" s="41" t="str">
        <f>_xlfn.TEXTAFTER(
 _xlfn.TEXTBEFORE(tblCostChecklist[[#This Row],[RequirementID]],".",-2),
 "cost."
)</f>
        <v>tech.warehouse.stackable_racks_lvl_2</v>
      </c>
      <c r="C1101" s="41" t="str">
        <f>_xlfn.XLOOKUP(tblCostChecklist[[#This Row],[TargetID]],tblTargets[TargetID],tblTargets[DisplayName],"")</f>
        <v>Warehouse - Stackable Racks Lvl 2</v>
      </c>
      <c r="D1101" s="41" t="str">
        <f>_xlfn.XLOOKUP(tblCostChecklist[[#This Row],[TargetID]],tblTargets[TargetID],tblTargets[TargetType],"")</f>
        <v>TECH</v>
      </c>
      <c r="E1101" s="41" t="s">
        <v>701</v>
      </c>
      <c r="F1101" s="41">
        <v>1</v>
      </c>
      <c r="G1101" s="41">
        <f>_xlfn.XLOOKUP(
 tblCostChecklist[[#This Row],[RequirementID]],
 tblCost[RequirementID],
 tblCost[QuantityRequired],
 ""
)</f>
        <v>300</v>
      </c>
      <c r="H11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1" s="41" t="str">
        <f>_xlfn.XLOOKUP(tblCostChecklist[[#This Row],[TargetID]],tblTargetStatus[TargetID],tblTargetStatus[Status])</f>
        <v>BLOCKED</v>
      </c>
      <c r="J1101" s="25" t="b">
        <v>0</v>
      </c>
    </row>
    <row r="1102" spans="1:10">
      <c r="A1102" s="41" t="s">
        <v>4750</v>
      </c>
      <c r="B1102" s="41" t="str">
        <f>_xlfn.TEXTAFTER(
 _xlfn.TEXTBEFORE(tblCostChecklist[[#This Row],[RequirementID]],".",-2),
 "cost."
)</f>
        <v>tech.warehouse.stackable_racks_lvl_2</v>
      </c>
      <c r="C1102" s="41" t="str">
        <f>_xlfn.XLOOKUP(tblCostChecklist[[#This Row],[TargetID]],tblTargets[TargetID],tblTargets[DisplayName],"")</f>
        <v>Warehouse - Stackable Racks Lvl 2</v>
      </c>
      <c r="D1102" s="41" t="str">
        <f>_xlfn.XLOOKUP(tblCostChecklist[[#This Row],[TargetID]],tblTargets[TargetID],tblTargets[TargetType],"")</f>
        <v>TECH</v>
      </c>
      <c r="E1102" s="41" t="s">
        <v>708</v>
      </c>
      <c r="F1102" s="41">
        <v>1</v>
      </c>
      <c r="G1102" s="41">
        <f>_xlfn.XLOOKUP(
 tblCostChecklist[[#This Row],[RequirementID]],
 tblCost[RequirementID],
 tblCost[QuantityRequired],
 ""
)</f>
        <v>2</v>
      </c>
      <c r="H11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2" s="41" t="str">
        <f>_xlfn.XLOOKUP(tblCostChecklist[[#This Row],[TargetID]],tblTargetStatus[TargetID],tblTargetStatus[Status])</f>
        <v>BLOCKED</v>
      </c>
      <c r="J1102" s="25" t="b">
        <v>0</v>
      </c>
    </row>
    <row r="1103" spans="1:10">
      <c r="A1103" s="41" t="s">
        <v>4751</v>
      </c>
      <c r="B1103" s="41" t="str">
        <f>_xlfn.TEXTAFTER(
 _xlfn.TEXTBEFORE(tblCostChecklist[[#This Row],[RequirementID]],".",-2),
 "cost."
)</f>
        <v>tech.warehouse.stackable_racks_lvl_2</v>
      </c>
      <c r="C1103" s="41" t="str">
        <f>_xlfn.XLOOKUP(tblCostChecklist[[#This Row],[TargetID]],tblTargets[TargetID],tblTargets[DisplayName],"")</f>
        <v>Warehouse - Stackable Racks Lvl 2</v>
      </c>
      <c r="D1103" s="41" t="str">
        <f>_xlfn.XLOOKUP(tblCostChecklist[[#This Row],[TargetID]],tblTargets[TargetID],tblTargets[TargetType],"")</f>
        <v>TECH</v>
      </c>
      <c r="E1103" s="41" t="s">
        <v>716</v>
      </c>
      <c r="F1103" s="41">
        <v>1</v>
      </c>
      <c r="G1103" s="41">
        <f>_xlfn.XLOOKUP(
 tblCostChecklist[[#This Row],[RequirementID]],
 tblCost[RequirementID],
 tblCost[QuantityRequired],
 ""
)</f>
        <v>60</v>
      </c>
      <c r="H11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3" s="41" t="str">
        <f>_xlfn.XLOOKUP(tblCostChecklist[[#This Row],[TargetID]],tblTargetStatus[TargetID],tblTargetStatus[Status])</f>
        <v>BLOCKED</v>
      </c>
      <c r="J1103" s="25" t="b">
        <v>0</v>
      </c>
    </row>
    <row r="1104" spans="1:10">
      <c r="A1104" s="41" t="s">
        <v>4752</v>
      </c>
      <c r="B1104" s="41" t="str">
        <f>_xlfn.TEXTAFTER(
 _xlfn.TEXTBEFORE(tblCostChecklist[[#This Row],[RequirementID]],".",-2),
 "cost."
)</f>
        <v>tech.warehouse.stackable_racks_lvl_3</v>
      </c>
      <c r="C1104" s="41" t="str">
        <f>_xlfn.XLOOKUP(tblCostChecklist[[#This Row],[TargetID]],tblTargets[TargetID],tblTargets[DisplayName],"")</f>
        <v>Warehouse - Stackable Racks Lvl 3</v>
      </c>
      <c r="D1104" s="41" t="str">
        <f>_xlfn.XLOOKUP(tblCostChecklist[[#This Row],[TargetID]],tblTargets[TargetID],tblTargets[TargetType],"")</f>
        <v>TECH</v>
      </c>
      <c r="E1104" s="41" t="s">
        <v>662</v>
      </c>
      <c r="F1104" s="41">
        <v>1</v>
      </c>
      <c r="G1104" s="41">
        <f>_xlfn.XLOOKUP(
 tblCostChecklist[[#This Row],[RequirementID]],
 tblCost[RequirementID],
 tblCost[QuantityRequired],
 ""
)</f>
        <v>30</v>
      </c>
      <c r="H11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4" s="41" t="str">
        <f>_xlfn.XLOOKUP(tblCostChecklist[[#This Row],[TargetID]],tblTargetStatus[TargetID],tblTargetStatus[Status])</f>
        <v>BLOCKED</v>
      </c>
      <c r="J1104" s="25" t="b">
        <v>0</v>
      </c>
    </row>
    <row r="1105" spans="1:10">
      <c r="A1105" s="41" t="s">
        <v>4753</v>
      </c>
      <c r="B1105" s="41" t="str">
        <f>_xlfn.TEXTAFTER(
 _xlfn.TEXTBEFORE(tblCostChecklist[[#This Row],[RequirementID]],".",-2),
 "cost."
)</f>
        <v>tech.warehouse.stackable_racks_lvl_3</v>
      </c>
      <c r="C1105" s="41" t="str">
        <f>_xlfn.XLOOKUP(tblCostChecklist[[#This Row],[TargetID]],tblTargets[TargetID],tblTargets[DisplayName],"")</f>
        <v>Warehouse - Stackable Racks Lvl 3</v>
      </c>
      <c r="D1105" s="41" t="str">
        <f>_xlfn.XLOOKUP(tblCostChecklist[[#This Row],[TargetID]],tblTargets[TargetID],tblTargets[TargetType],"")</f>
        <v>TECH</v>
      </c>
      <c r="E1105" s="41" t="s">
        <v>666</v>
      </c>
      <c r="F1105" s="41">
        <v>1</v>
      </c>
      <c r="G1105" s="41">
        <f>_xlfn.XLOOKUP(
 tblCostChecklist[[#This Row],[RequirementID]],
 tblCost[RequirementID],
 tblCost[QuantityRequired],
 ""
)</f>
        <v>500</v>
      </c>
      <c r="H11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5" s="41" t="str">
        <f>_xlfn.XLOOKUP(tblCostChecklist[[#This Row],[TargetID]],tblTargetStatus[TargetID],tblTargetStatus[Status])</f>
        <v>BLOCKED</v>
      </c>
      <c r="J1105" s="25" t="b">
        <v>0</v>
      </c>
    </row>
    <row r="1106" spans="1:10">
      <c r="A1106" s="41" t="s">
        <v>4754</v>
      </c>
      <c r="B1106" s="41" t="str">
        <f>_xlfn.TEXTAFTER(
 _xlfn.TEXTBEFORE(tblCostChecklist[[#This Row],[RequirementID]],".",-2),
 "cost."
)</f>
        <v>tech.warehouse.stackable_racks_lvl_3</v>
      </c>
      <c r="C1106" s="41" t="str">
        <f>_xlfn.XLOOKUP(tblCostChecklist[[#This Row],[TargetID]],tblTargets[TargetID],tblTargets[DisplayName],"")</f>
        <v>Warehouse - Stackable Racks Lvl 3</v>
      </c>
      <c r="D1106" s="41" t="str">
        <f>_xlfn.XLOOKUP(tblCostChecklist[[#This Row],[TargetID]],tblTargets[TargetID],tblTargets[TargetType],"")</f>
        <v>TECH</v>
      </c>
      <c r="E1106" s="41" t="s">
        <v>701</v>
      </c>
      <c r="F1106" s="41">
        <v>1</v>
      </c>
      <c r="G1106" s="41">
        <f>_xlfn.XLOOKUP(
 tblCostChecklist[[#This Row],[RequirementID]],
 tblCost[RequirementID],
 tblCost[QuantityRequired],
 ""
)</f>
        <v>400</v>
      </c>
      <c r="H11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6" s="41" t="str">
        <f>_xlfn.XLOOKUP(tblCostChecklist[[#This Row],[TargetID]],tblTargetStatus[TargetID],tblTargetStatus[Status])</f>
        <v>BLOCKED</v>
      </c>
      <c r="J1106" s="25" t="b">
        <v>0</v>
      </c>
    </row>
    <row r="1107" spans="1:10">
      <c r="A1107" s="41" t="s">
        <v>4755</v>
      </c>
      <c r="B1107" s="41" t="str">
        <f>_xlfn.TEXTAFTER(
 _xlfn.TEXTBEFORE(tblCostChecklist[[#This Row],[RequirementID]],".",-2),
 "cost."
)</f>
        <v>tech.warehouse.stackable_racks_lvl_3</v>
      </c>
      <c r="C1107" s="41" t="str">
        <f>_xlfn.XLOOKUP(tblCostChecklist[[#This Row],[TargetID]],tblTargets[TargetID],tblTargets[DisplayName],"")</f>
        <v>Warehouse - Stackable Racks Lvl 3</v>
      </c>
      <c r="D1107" s="41" t="str">
        <f>_xlfn.XLOOKUP(tblCostChecklist[[#This Row],[TargetID]],tblTargets[TargetID],tblTargets[TargetType],"")</f>
        <v>TECH</v>
      </c>
      <c r="E1107" s="41" t="s">
        <v>708</v>
      </c>
      <c r="F1107" s="41">
        <v>1</v>
      </c>
      <c r="G1107" s="41">
        <f>_xlfn.XLOOKUP(
 tblCostChecklist[[#This Row],[RequirementID]],
 tblCost[RequirementID],
 tblCost[QuantityRequired],
 ""
)</f>
        <v>3</v>
      </c>
      <c r="H11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7" s="41" t="str">
        <f>_xlfn.XLOOKUP(tblCostChecklist[[#This Row],[TargetID]],tblTargetStatus[TargetID],tblTargetStatus[Status])</f>
        <v>BLOCKED</v>
      </c>
      <c r="J1107" s="25" t="b">
        <v>0</v>
      </c>
    </row>
    <row r="1108" spans="1:10">
      <c r="A1108" s="41" t="s">
        <v>4756</v>
      </c>
      <c r="B1108" s="41" t="str">
        <f>_xlfn.TEXTAFTER(
 _xlfn.TEXTBEFORE(tblCostChecklist[[#This Row],[RequirementID]],".",-2),
 "cost."
)</f>
        <v>tech.warehouse.stackable_racks_lvl_3</v>
      </c>
      <c r="C1108" s="41" t="str">
        <f>_xlfn.XLOOKUP(tblCostChecklist[[#This Row],[TargetID]],tblTargets[TargetID],tblTargets[DisplayName],"")</f>
        <v>Warehouse - Stackable Racks Lvl 3</v>
      </c>
      <c r="D1108" s="41" t="str">
        <f>_xlfn.XLOOKUP(tblCostChecklist[[#This Row],[TargetID]],tblTargets[TargetID],tblTargets[TargetType],"")</f>
        <v>TECH</v>
      </c>
      <c r="E1108" s="41" t="s">
        <v>716</v>
      </c>
      <c r="F1108" s="41">
        <v>1</v>
      </c>
      <c r="G1108" s="41">
        <f>_xlfn.XLOOKUP(
 tblCostChecklist[[#This Row],[RequirementID]],
 tblCost[RequirementID],
 tblCost[QuantityRequired],
 ""
)</f>
        <v>70</v>
      </c>
      <c r="H11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8" s="41" t="str">
        <f>_xlfn.XLOOKUP(tblCostChecklist[[#This Row],[TargetID]],tblTargetStatus[TargetID],tblTargetStatus[Status])</f>
        <v>BLOCKED</v>
      </c>
      <c r="J1108" s="25" t="b">
        <v>0</v>
      </c>
    </row>
    <row r="1109" spans="1:10">
      <c r="A1109" s="41" t="s">
        <v>4757</v>
      </c>
      <c r="B1109" s="41" t="str">
        <f>_xlfn.TEXTAFTER(
 _xlfn.TEXTBEFORE(tblCostChecklist[[#This Row],[RequirementID]],".",-2),
 "cost."
)</f>
        <v>tech.workshop.throwing_net</v>
      </c>
      <c r="C1109" s="41" t="str">
        <f>_xlfn.XLOOKUP(tblCostChecklist[[#This Row],[TargetID]],tblTargets[TargetID],tblTargets[DisplayName],"")</f>
        <v>Workshop - Throwing Net</v>
      </c>
      <c r="D1109" s="41" t="str">
        <f>_xlfn.XLOOKUP(tblCostChecklist[[#This Row],[TargetID]],tblTargets[TargetID],tblTargets[TargetType],"")</f>
        <v>TECH</v>
      </c>
      <c r="E1109" s="41" t="s">
        <v>658</v>
      </c>
      <c r="F1109" s="41">
        <v>1</v>
      </c>
      <c r="G1109" s="41">
        <f>_xlfn.XLOOKUP(
 tblCostChecklist[[#This Row],[RequirementID]],
 tblCost[RequirementID],
 tblCost[QuantityRequired],
 ""
)</f>
        <v>40</v>
      </c>
      <c r="H11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9" s="41" t="str">
        <f>_xlfn.XLOOKUP(tblCostChecklist[[#This Row],[TargetID]],tblTargetStatus[TargetID],tblTargetStatus[Status])</f>
        <v>BLOCKED</v>
      </c>
      <c r="J1109" s="25" t="b">
        <v>0</v>
      </c>
    </row>
    <row r="1110" spans="1:10">
      <c r="A1110" s="41" t="s">
        <v>4758</v>
      </c>
      <c r="B1110" s="41" t="str">
        <f>_xlfn.TEXTAFTER(
 _xlfn.TEXTBEFORE(tblCostChecklist[[#This Row],[RequirementID]],".",-2),
 "cost."
)</f>
        <v>tech.workshop.throwing_net</v>
      </c>
      <c r="C1110" s="41" t="str">
        <f>_xlfn.XLOOKUP(tblCostChecklist[[#This Row],[TargetID]],tblTargets[TargetID],tblTargets[DisplayName],"")</f>
        <v>Workshop - Throwing Net</v>
      </c>
      <c r="D1110" s="41" t="str">
        <f>_xlfn.XLOOKUP(tblCostChecklist[[#This Row],[TargetID]],tblTargets[TargetID],tblTargets[TargetType],"")</f>
        <v>TECH</v>
      </c>
      <c r="E1110" s="41" t="s">
        <v>666</v>
      </c>
      <c r="F1110" s="41">
        <v>1</v>
      </c>
      <c r="G1110" s="41">
        <f>_xlfn.XLOOKUP(
 tblCostChecklist[[#This Row],[RequirementID]],
 tblCost[RequirementID],
 tblCost[QuantityRequired],
 ""
)</f>
        <v>300</v>
      </c>
      <c r="H11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0" s="41" t="str">
        <f>_xlfn.XLOOKUP(tblCostChecklist[[#This Row],[TargetID]],tblTargetStatus[TargetID],tblTargetStatus[Status])</f>
        <v>BLOCKED</v>
      </c>
      <c r="J1110" s="25" t="b">
        <v>0</v>
      </c>
    </row>
    <row r="1111" spans="1:10">
      <c r="A1111" s="41" t="s">
        <v>4759</v>
      </c>
      <c r="B1111" s="41" t="str">
        <f>_xlfn.TEXTAFTER(
 _xlfn.TEXTBEFORE(tblCostChecklist[[#This Row],[RequirementID]],".",-2),
 "cost."
)</f>
        <v>tech.workshop.throwing_net</v>
      </c>
      <c r="C1111" s="41" t="str">
        <f>_xlfn.XLOOKUP(tblCostChecklist[[#This Row],[TargetID]],tblTargets[TargetID],tblTargets[DisplayName],"")</f>
        <v>Workshop - Throwing Net</v>
      </c>
      <c r="D1111" s="41" t="str">
        <f>_xlfn.XLOOKUP(tblCostChecklist[[#This Row],[TargetID]],tblTargets[TargetID],tblTargets[TargetType],"")</f>
        <v>TECH</v>
      </c>
      <c r="E1111" s="41" t="s">
        <v>696</v>
      </c>
      <c r="F1111" s="41">
        <v>1</v>
      </c>
      <c r="G1111" s="41">
        <f>_xlfn.XLOOKUP(
 tblCostChecklist[[#This Row],[RequirementID]],
 tblCost[RequirementID],
 tblCost[QuantityRequired],
 ""
)</f>
        <v>10</v>
      </c>
      <c r="H11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1" s="41" t="str">
        <f>_xlfn.XLOOKUP(tblCostChecklist[[#This Row],[TargetID]],tblTargetStatus[TargetID],tblTargetStatus[Status])</f>
        <v>BLOCKED</v>
      </c>
      <c r="J1111" s="25" t="b">
        <v>0</v>
      </c>
    </row>
    <row r="1112" spans="1:10">
      <c r="A1112" s="41" t="s">
        <v>4760</v>
      </c>
      <c r="B1112" s="41" t="str">
        <f>_xlfn.TEXTAFTER(
 _xlfn.TEXTBEFORE(tblCostChecklist[[#This Row],[RequirementID]],".",-2),
 "cost."
)</f>
        <v>tech.workshop.throwing_net</v>
      </c>
      <c r="C1112" s="41" t="str">
        <f>_xlfn.XLOOKUP(tblCostChecklist[[#This Row],[TargetID]],tblTargets[TargetID],tblTargets[DisplayName],"")</f>
        <v>Workshop - Throwing Net</v>
      </c>
      <c r="D1112" s="41" t="str">
        <f>_xlfn.XLOOKUP(tblCostChecklist[[#This Row],[TargetID]],tblTargets[TargetID],tblTargets[TargetType],"")</f>
        <v>TECH</v>
      </c>
      <c r="E1112" s="41" t="s">
        <v>708</v>
      </c>
      <c r="F1112" s="41">
        <v>1</v>
      </c>
      <c r="G1112" s="41">
        <f>_xlfn.XLOOKUP(
 tblCostChecklist[[#This Row],[RequirementID]],
 tblCost[RequirementID],
 tblCost[QuantityRequired],
 ""
)</f>
        <v>2</v>
      </c>
      <c r="H11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2" s="41" t="str">
        <f>_xlfn.XLOOKUP(tblCostChecklist[[#This Row],[TargetID]],tblTargetStatus[TargetID],tblTargetStatus[Status])</f>
        <v>BLOCKED</v>
      </c>
      <c r="J1112" s="25" t="b">
        <v>0</v>
      </c>
    </row>
    <row r="1113" spans="1:10">
      <c r="A1113" s="41" t="s">
        <v>4761</v>
      </c>
      <c r="B1113" s="41" t="str">
        <f>_xlfn.TEXTAFTER(
 _xlfn.TEXTBEFORE(tblCostChecklist[[#This Row],[RequirementID]],".",-2),
 "cost."
)</f>
        <v>tech.workshop.throwing_net</v>
      </c>
      <c r="C1113" s="41" t="str">
        <f>_xlfn.XLOOKUP(tblCostChecklist[[#This Row],[TargetID]],tblTargets[TargetID],tblTargets[DisplayName],"")</f>
        <v>Workshop - Throwing Net</v>
      </c>
      <c r="D1113" s="41" t="str">
        <f>_xlfn.XLOOKUP(tblCostChecklist[[#This Row],[TargetID]],tblTargets[TargetID],tblTargets[TargetType],"")</f>
        <v>TECH</v>
      </c>
      <c r="E1113" s="41" t="s">
        <v>717</v>
      </c>
      <c r="F1113" s="41">
        <v>1</v>
      </c>
      <c r="G1113" s="41">
        <f>_xlfn.XLOOKUP(
 tblCostChecklist[[#This Row],[RequirementID]],
 tblCost[RequirementID],
 tblCost[QuantityRequired],
 ""
)</f>
        <v>10</v>
      </c>
      <c r="H11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3" s="41" t="str">
        <f>_xlfn.XLOOKUP(tblCostChecklist[[#This Row],[TargetID]],tblTargetStatus[TargetID],tblTargetStatus[Status])</f>
        <v>BLOCKED</v>
      </c>
      <c r="J1113" s="25" t="b">
        <v>0</v>
      </c>
    </row>
    <row r="1114" spans="1:10">
      <c r="A1114" s="41" t="s">
        <v>4762</v>
      </c>
      <c r="B1114" s="41" t="str">
        <f>_xlfn.TEXTAFTER(
 _xlfn.TEXTBEFORE(tblCostChecklist[[#This Row],[RequirementID]],".",-2),
 "cost."
)</f>
        <v>tech.workshop.throwing_net</v>
      </c>
      <c r="C1114" s="41" t="str">
        <f>_xlfn.XLOOKUP(tblCostChecklist[[#This Row],[TargetID]],tblTargets[TargetID],tblTargets[DisplayName],"")</f>
        <v>Workshop - Throwing Net</v>
      </c>
      <c r="D1114" s="41" t="str">
        <f>_xlfn.XLOOKUP(tblCostChecklist[[#This Row],[TargetID]],tblTargets[TargetID],tblTargets[TargetType],"")</f>
        <v>TECH</v>
      </c>
      <c r="E1114" s="41" t="s">
        <v>719</v>
      </c>
      <c r="F1114" s="41">
        <v>1</v>
      </c>
      <c r="G1114" s="41">
        <f>_xlfn.XLOOKUP(
 tblCostChecklist[[#This Row],[RequirementID]],
 tblCost[RequirementID],
 tblCost[QuantityRequired],
 ""
)</f>
        <v>10</v>
      </c>
      <c r="H11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4" s="41" t="str">
        <f>_xlfn.XLOOKUP(tblCostChecklist[[#This Row],[TargetID]],tblTargetStatus[TargetID],tblTargetStatus[Status])</f>
        <v>BLOCKED</v>
      </c>
      <c r="J1114" s="25" t="b">
        <v>0</v>
      </c>
    </row>
    <row r="1115" spans="1:10">
      <c r="A1115" s="41" t="s">
        <v>4763</v>
      </c>
      <c r="B1115" s="41" t="str">
        <f>_xlfn.TEXTAFTER(
 _xlfn.TEXTBEFORE(tblCostChecklist[[#This Row],[RequirementID]],".",-2),
 "cost."
)</f>
        <v>tech.workshop.shield_for_a_hero_lvl_1</v>
      </c>
      <c r="C1115" s="41" t="str">
        <f>_xlfn.XLOOKUP(tblCostChecklist[[#This Row],[TargetID]],tblTargets[TargetID],tblTargets[DisplayName],"")</f>
        <v>Workshop - Shield For A Hero Lvl 1</v>
      </c>
      <c r="D1115" s="41" t="str">
        <f>_xlfn.XLOOKUP(tblCostChecklist[[#This Row],[TargetID]],tblTargets[TargetID],tblTargets[TargetType],"")</f>
        <v>TECH</v>
      </c>
      <c r="E1115" s="41" t="s">
        <v>658</v>
      </c>
      <c r="F1115" s="41">
        <v>1</v>
      </c>
      <c r="G1115" s="41">
        <f>_xlfn.XLOOKUP(
 tblCostChecklist[[#This Row],[RequirementID]],
 tblCost[RequirementID],
 tblCost[QuantityRequired],
 ""
)</f>
        <v>50</v>
      </c>
      <c r="H11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5" s="41" t="str">
        <f>_xlfn.XLOOKUP(tblCostChecklist[[#This Row],[TargetID]],tblTargetStatus[TargetID],tblTargetStatus[Status])</f>
        <v>BLOCKED</v>
      </c>
      <c r="J1115" s="25" t="b">
        <v>0</v>
      </c>
    </row>
    <row r="1116" spans="1:10">
      <c r="A1116" s="41" t="s">
        <v>4764</v>
      </c>
      <c r="B1116" s="41" t="str">
        <f>_xlfn.TEXTAFTER(
 _xlfn.TEXTBEFORE(tblCostChecklist[[#This Row],[RequirementID]],".",-2),
 "cost."
)</f>
        <v>tech.workshop.shield_for_a_hero_lvl_1</v>
      </c>
      <c r="C1116" s="41" t="str">
        <f>_xlfn.XLOOKUP(tblCostChecklist[[#This Row],[TargetID]],tblTargets[TargetID],tblTargets[DisplayName],"")</f>
        <v>Workshop - Shield For A Hero Lvl 1</v>
      </c>
      <c r="D1116" s="41" t="str">
        <f>_xlfn.XLOOKUP(tblCostChecklist[[#This Row],[TargetID]],tblTargets[TargetID],tblTargets[TargetType],"")</f>
        <v>TECH</v>
      </c>
      <c r="E1116" s="41" t="s">
        <v>666</v>
      </c>
      <c r="F1116" s="41">
        <v>1</v>
      </c>
      <c r="G1116" s="41">
        <f>_xlfn.XLOOKUP(
 tblCostChecklist[[#This Row],[RequirementID]],
 tblCost[RequirementID],
 tblCost[QuantityRequired],
 ""
)</f>
        <v>300</v>
      </c>
      <c r="H11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6" s="41" t="str">
        <f>_xlfn.XLOOKUP(tblCostChecklist[[#This Row],[TargetID]],tblTargetStatus[TargetID],tblTargetStatus[Status])</f>
        <v>BLOCKED</v>
      </c>
      <c r="J1116" s="25" t="b">
        <v>0</v>
      </c>
    </row>
    <row r="1117" spans="1:10">
      <c r="A1117" s="41" t="s">
        <v>4765</v>
      </c>
      <c r="B1117" s="41" t="str">
        <f>_xlfn.TEXTAFTER(
 _xlfn.TEXTBEFORE(tblCostChecklist[[#This Row],[RequirementID]],".",-2),
 "cost."
)</f>
        <v>tech.workshop.shield_for_a_hero_lvl_1</v>
      </c>
      <c r="C1117" s="41" t="str">
        <f>_xlfn.XLOOKUP(tblCostChecklist[[#This Row],[TargetID]],tblTargets[TargetID],tblTargets[DisplayName],"")</f>
        <v>Workshop - Shield For A Hero Lvl 1</v>
      </c>
      <c r="D1117" s="41" t="str">
        <f>_xlfn.XLOOKUP(tblCostChecklist[[#This Row],[TargetID]],tblTargets[TargetID],tblTargets[TargetType],"")</f>
        <v>TECH</v>
      </c>
      <c r="E1117" s="41" t="s">
        <v>690</v>
      </c>
      <c r="F1117" s="41">
        <v>1</v>
      </c>
      <c r="G1117" s="41">
        <f>_xlfn.XLOOKUP(
 tblCostChecklist[[#This Row],[RequirementID]],
 tblCost[RequirementID],
 tblCost[QuantityRequired],
 ""
)</f>
        <v>40</v>
      </c>
      <c r="H11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7" s="41" t="str">
        <f>_xlfn.XLOOKUP(tblCostChecklist[[#This Row],[TargetID]],tblTargetStatus[TargetID],tblTargetStatus[Status])</f>
        <v>BLOCKED</v>
      </c>
      <c r="J1117" s="25" t="b">
        <v>0</v>
      </c>
    </row>
    <row r="1118" spans="1:10">
      <c r="A1118" s="41" t="s">
        <v>4766</v>
      </c>
      <c r="B1118" s="41" t="str">
        <f>_xlfn.TEXTAFTER(
 _xlfn.TEXTBEFORE(tblCostChecklist[[#This Row],[RequirementID]],".",-2),
 "cost."
)</f>
        <v>tech.workshop.shield_for_a_hero_lvl_1</v>
      </c>
      <c r="C1118" s="41" t="str">
        <f>_xlfn.XLOOKUP(tblCostChecklist[[#This Row],[TargetID]],tblTargets[TargetID],tblTargets[DisplayName],"")</f>
        <v>Workshop - Shield For A Hero Lvl 1</v>
      </c>
      <c r="D1118" s="41" t="str">
        <f>_xlfn.XLOOKUP(tblCostChecklist[[#This Row],[TargetID]],tblTargets[TargetID],tblTargets[TargetType],"")</f>
        <v>TECH</v>
      </c>
      <c r="E1118" s="41" t="s">
        <v>696</v>
      </c>
      <c r="F1118" s="41">
        <v>1</v>
      </c>
      <c r="G1118" s="41">
        <f>_xlfn.XLOOKUP(
 tblCostChecklist[[#This Row],[RequirementID]],
 tblCost[RequirementID],
 tblCost[QuantityRequired],
 ""
)</f>
        <v>20</v>
      </c>
      <c r="H11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8" s="41" t="str">
        <f>_xlfn.XLOOKUP(tblCostChecklist[[#This Row],[TargetID]],tblTargetStatus[TargetID],tblTargetStatus[Status])</f>
        <v>BLOCKED</v>
      </c>
      <c r="J1118" s="25" t="b">
        <v>0</v>
      </c>
    </row>
    <row r="1119" spans="1:10">
      <c r="A1119" s="41" t="s">
        <v>4767</v>
      </c>
      <c r="B1119" s="41" t="str">
        <f>_xlfn.TEXTAFTER(
 _xlfn.TEXTBEFORE(tblCostChecklist[[#This Row],[RequirementID]],".",-2),
 "cost."
)</f>
        <v>tech.workshop.shield_for_a_hero_lvl_1</v>
      </c>
      <c r="C1119" s="41" t="str">
        <f>_xlfn.XLOOKUP(tblCostChecklist[[#This Row],[TargetID]],tblTargets[TargetID],tblTargets[DisplayName],"")</f>
        <v>Workshop - Shield For A Hero Lvl 1</v>
      </c>
      <c r="D1119" s="41" t="str">
        <f>_xlfn.XLOOKUP(tblCostChecklist[[#This Row],[TargetID]],tblTargets[TargetID],tblTargets[TargetType],"")</f>
        <v>TECH</v>
      </c>
      <c r="E1119" s="41" t="s">
        <v>708</v>
      </c>
      <c r="F1119" s="41">
        <v>1</v>
      </c>
      <c r="G1119" s="41">
        <f>_xlfn.XLOOKUP(
 tblCostChecklist[[#This Row],[RequirementID]],
 tblCost[RequirementID],
 tblCost[QuantityRequired],
 ""
)</f>
        <v>2</v>
      </c>
      <c r="H11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9" s="41" t="str">
        <f>_xlfn.XLOOKUP(tblCostChecklist[[#This Row],[TargetID]],tblTargetStatus[TargetID],tblTargetStatus[Status])</f>
        <v>BLOCKED</v>
      </c>
      <c r="J1119" s="25" t="b">
        <v>0</v>
      </c>
    </row>
    <row r="1120" spans="1:10">
      <c r="A1120" s="41" t="s">
        <v>4768</v>
      </c>
      <c r="B1120" s="41" t="str">
        <f>_xlfn.TEXTAFTER(
 _xlfn.TEXTBEFORE(tblCostChecklist[[#This Row],[RequirementID]],".",-2),
 "cost."
)</f>
        <v>tech.workshop.shield_for_a_hero_lvl_2</v>
      </c>
      <c r="C1120" s="41" t="str">
        <f>_xlfn.XLOOKUP(tblCostChecklist[[#This Row],[TargetID]],tblTargets[TargetID],tblTargets[DisplayName],"")</f>
        <v>Workshop - Shield For A Hero Lvl 2</v>
      </c>
      <c r="D1120" s="41" t="str">
        <f>_xlfn.XLOOKUP(tblCostChecklist[[#This Row],[TargetID]],tblTargets[TargetID],tblTargets[TargetType],"")</f>
        <v>TECH</v>
      </c>
      <c r="E1120" s="41" t="s">
        <v>662</v>
      </c>
      <c r="F1120" s="41">
        <v>1</v>
      </c>
      <c r="G1120" s="41">
        <f>_xlfn.XLOOKUP(
 tblCostChecklist[[#This Row],[RequirementID]],
 tblCost[RequirementID],
 tblCost[QuantityRequired],
 ""
)</f>
        <v>15</v>
      </c>
      <c r="H11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0" s="41" t="str">
        <f>_xlfn.XLOOKUP(tblCostChecklist[[#This Row],[TargetID]],tblTargetStatus[TargetID],tblTargetStatus[Status])</f>
        <v>BLOCKED</v>
      </c>
      <c r="J1120" s="25" t="b">
        <v>0</v>
      </c>
    </row>
    <row r="1121" spans="1:10">
      <c r="A1121" s="41" t="s">
        <v>4769</v>
      </c>
      <c r="B1121" s="41" t="str">
        <f>_xlfn.TEXTAFTER(
 _xlfn.TEXTBEFORE(tblCostChecklist[[#This Row],[RequirementID]],".",-2),
 "cost."
)</f>
        <v>tech.workshop.shield_for_a_hero_lvl_2</v>
      </c>
      <c r="C1121" s="41" t="str">
        <f>_xlfn.XLOOKUP(tblCostChecklist[[#This Row],[TargetID]],tblTargets[TargetID],tblTargets[DisplayName],"")</f>
        <v>Workshop - Shield For A Hero Lvl 2</v>
      </c>
      <c r="D1121" s="41" t="str">
        <f>_xlfn.XLOOKUP(tblCostChecklist[[#This Row],[TargetID]],tblTargets[TargetID],tblTargets[TargetType],"")</f>
        <v>TECH</v>
      </c>
      <c r="E1121" s="41" t="s">
        <v>666</v>
      </c>
      <c r="F1121" s="41">
        <v>1</v>
      </c>
      <c r="G1121" s="41">
        <f>_xlfn.XLOOKUP(
 tblCostChecklist[[#This Row],[RequirementID]],
 tblCost[RequirementID],
 tblCost[QuantityRequired],
 ""
)</f>
        <v>500</v>
      </c>
      <c r="H11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1" s="41" t="str">
        <f>_xlfn.XLOOKUP(tblCostChecklist[[#This Row],[TargetID]],tblTargetStatus[TargetID],tblTargetStatus[Status])</f>
        <v>BLOCKED</v>
      </c>
      <c r="J1121" s="25" t="b">
        <v>0</v>
      </c>
    </row>
    <row r="1122" spans="1:10">
      <c r="A1122" s="41" t="s">
        <v>4770</v>
      </c>
      <c r="B1122" s="41" t="str">
        <f>_xlfn.TEXTAFTER(
 _xlfn.TEXTBEFORE(tblCostChecklist[[#This Row],[RequirementID]],".",-2),
 "cost."
)</f>
        <v>tech.workshop.shield_for_a_hero_lvl_2</v>
      </c>
      <c r="C1122" s="41" t="str">
        <f>_xlfn.XLOOKUP(tblCostChecklist[[#This Row],[TargetID]],tblTargets[TargetID],tblTargets[DisplayName],"")</f>
        <v>Workshop - Shield For A Hero Lvl 2</v>
      </c>
      <c r="D1122" s="41" t="str">
        <f>_xlfn.XLOOKUP(tblCostChecklist[[#This Row],[TargetID]],tblTargets[TargetID],tblTargets[TargetType],"")</f>
        <v>TECH</v>
      </c>
      <c r="E1122" s="41" t="s">
        <v>693</v>
      </c>
      <c r="F1122" s="41">
        <v>1</v>
      </c>
      <c r="G1122" s="41">
        <f>_xlfn.XLOOKUP(
 tblCostChecklist[[#This Row],[RequirementID]],
 tblCost[RequirementID],
 tblCost[QuantityRequired],
 ""
)</f>
        <v>40</v>
      </c>
      <c r="H11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2" s="41" t="str">
        <f>_xlfn.XLOOKUP(tblCostChecklist[[#This Row],[TargetID]],tblTargetStatus[TargetID],tblTargetStatus[Status])</f>
        <v>BLOCKED</v>
      </c>
      <c r="J1122" s="25" t="b">
        <v>0</v>
      </c>
    </row>
    <row r="1123" spans="1:10">
      <c r="A1123" s="41" t="s">
        <v>4771</v>
      </c>
      <c r="B1123" s="41" t="str">
        <f>_xlfn.TEXTAFTER(
 _xlfn.TEXTBEFORE(tblCostChecklist[[#This Row],[RequirementID]],".",-2),
 "cost."
)</f>
        <v>tech.workshop.shield_for_a_hero_lvl_2</v>
      </c>
      <c r="C1123" s="41" t="str">
        <f>_xlfn.XLOOKUP(tblCostChecklist[[#This Row],[TargetID]],tblTargets[TargetID],tblTargets[DisplayName],"")</f>
        <v>Workshop - Shield For A Hero Lvl 2</v>
      </c>
      <c r="D1123" s="41" t="str">
        <f>_xlfn.XLOOKUP(tblCostChecklist[[#This Row],[TargetID]],tblTargets[TargetID],tblTargets[TargetType],"")</f>
        <v>TECH</v>
      </c>
      <c r="E1123" s="41" t="s">
        <v>701</v>
      </c>
      <c r="F1123" s="41">
        <v>1</v>
      </c>
      <c r="G1123" s="41">
        <f>_xlfn.XLOOKUP(
 tblCostChecklist[[#This Row],[RequirementID]],
 tblCost[RequirementID],
 tblCost[QuantityRequired],
 ""
)</f>
        <v>100</v>
      </c>
      <c r="H11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3" s="41" t="str">
        <f>_xlfn.XLOOKUP(tblCostChecklist[[#This Row],[TargetID]],tblTargetStatus[TargetID],tblTargetStatus[Status])</f>
        <v>BLOCKED</v>
      </c>
      <c r="J1123" s="25" t="b">
        <v>0</v>
      </c>
    </row>
    <row r="1124" spans="1:10">
      <c r="A1124" s="41" t="s">
        <v>4772</v>
      </c>
      <c r="B1124" s="41" t="str">
        <f>_xlfn.TEXTAFTER(
 _xlfn.TEXTBEFORE(tblCostChecklist[[#This Row],[RequirementID]],".",-2),
 "cost."
)</f>
        <v>tech.workshop.shield_for_a_hero_lvl_2</v>
      </c>
      <c r="C1124" s="41" t="str">
        <f>_xlfn.XLOOKUP(tblCostChecklist[[#This Row],[TargetID]],tblTargets[TargetID],tblTargets[DisplayName],"")</f>
        <v>Workshop - Shield For A Hero Lvl 2</v>
      </c>
      <c r="D1124" s="41" t="str">
        <f>_xlfn.XLOOKUP(tblCostChecklist[[#This Row],[TargetID]],tblTargets[TargetID],tblTargets[TargetType],"")</f>
        <v>TECH</v>
      </c>
      <c r="E1124" s="41" t="s">
        <v>708</v>
      </c>
      <c r="F1124" s="41">
        <v>1</v>
      </c>
      <c r="G1124" s="41">
        <f>_xlfn.XLOOKUP(
 tblCostChecklist[[#This Row],[RequirementID]],
 tblCost[RequirementID],
 tblCost[QuantityRequired],
 ""
)</f>
        <v>3</v>
      </c>
      <c r="H11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4" s="41" t="str">
        <f>_xlfn.XLOOKUP(tblCostChecklist[[#This Row],[TargetID]],tblTargetStatus[TargetID],tblTargetStatus[Status])</f>
        <v>BLOCKED</v>
      </c>
      <c r="J1124" s="25" t="b">
        <v>0</v>
      </c>
    </row>
    <row r="1125" spans="1:10">
      <c r="A1125" s="41" t="s">
        <v>4773</v>
      </c>
      <c r="B1125" s="41" t="str">
        <f>_xlfn.TEXTAFTER(
 _xlfn.TEXTBEFORE(tblCostChecklist[[#This Row],[RequirementID]],".",-2),
 "cost."
)</f>
        <v>tech.workshop.shield_for_a_hero_lvl_3</v>
      </c>
      <c r="C1125" s="41" t="str">
        <f>_xlfn.XLOOKUP(tblCostChecklist[[#This Row],[TargetID]],tblTargets[TargetID],tblTargets[DisplayName],"")</f>
        <v>Workshop - Shield For A Hero Lvl 3</v>
      </c>
      <c r="D1125" s="41" t="str">
        <f>_xlfn.XLOOKUP(tblCostChecklist[[#This Row],[TargetID]],tblTargets[TargetID],tblTargets[TargetType],"")</f>
        <v>TECH</v>
      </c>
      <c r="E1125" s="41" t="s">
        <v>662</v>
      </c>
      <c r="F1125" s="41">
        <v>1</v>
      </c>
      <c r="G1125" s="41">
        <f>_xlfn.XLOOKUP(
 tblCostChecklist[[#This Row],[RequirementID]],
 tblCost[RequirementID],
 tblCost[QuantityRequired],
 ""
)</f>
        <v>20</v>
      </c>
      <c r="H11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5" s="41" t="str">
        <f>_xlfn.XLOOKUP(tblCostChecklist[[#This Row],[TargetID]],tblTargetStatus[TargetID],tblTargetStatus[Status])</f>
        <v>BLOCKED</v>
      </c>
      <c r="J1125" s="25" t="b">
        <v>0</v>
      </c>
    </row>
    <row r="1126" spans="1:10">
      <c r="A1126" s="41" t="s">
        <v>4774</v>
      </c>
      <c r="B1126" s="41" t="str">
        <f>_xlfn.TEXTAFTER(
 _xlfn.TEXTBEFORE(tblCostChecklist[[#This Row],[RequirementID]],".",-2),
 "cost."
)</f>
        <v>tech.workshop.shield_for_a_hero_lvl_3</v>
      </c>
      <c r="C1126" s="41" t="str">
        <f>_xlfn.XLOOKUP(tblCostChecklist[[#This Row],[TargetID]],tblTargets[TargetID],tblTargets[DisplayName],"")</f>
        <v>Workshop - Shield For A Hero Lvl 3</v>
      </c>
      <c r="D1126" s="41" t="str">
        <f>_xlfn.XLOOKUP(tblCostChecklist[[#This Row],[TargetID]],tblTargets[TargetID],tblTargets[TargetType],"")</f>
        <v>TECH</v>
      </c>
      <c r="E1126" s="41" t="s">
        <v>666</v>
      </c>
      <c r="F1126" s="41">
        <v>1</v>
      </c>
      <c r="G1126" s="41">
        <f>_xlfn.XLOOKUP(
 tblCostChecklist[[#This Row],[RequirementID]],
 tblCost[RequirementID],
 tblCost[QuantityRequired],
 ""
)</f>
        <v>1000</v>
      </c>
      <c r="H11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6" s="41" t="str">
        <f>_xlfn.XLOOKUP(tblCostChecklist[[#This Row],[TargetID]],tblTargetStatus[TargetID],tblTargetStatus[Status])</f>
        <v>BLOCKED</v>
      </c>
      <c r="J1126" s="25" t="b">
        <v>0</v>
      </c>
    </row>
    <row r="1127" spans="1:10">
      <c r="A1127" s="41" t="s">
        <v>4775</v>
      </c>
      <c r="B1127" s="41" t="str">
        <f>_xlfn.TEXTAFTER(
 _xlfn.TEXTBEFORE(tblCostChecklist[[#This Row],[RequirementID]],".",-2),
 "cost."
)</f>
        <v>tech.workshop.shield_for_a_hero_lvl_3</v>
      </c>
      <c r="C1127" s="41" t="str">
        <f>_xlfn.XLOOKUP(tblCostChecklist[[#This Row],[TargetID]],tblTargets[TargetID],tblTargets[DisplayName],"")</f>
        <v>Workshop - Shield For A Hero Lvl 3</v>
      </c>
      <c r="D1127" s="41" t="str">
        <f>_xlfn.XLOOKUP(tblCostChecklist[[#This Row],[TargetID]],tblTargets[TargetID],tblTargets[TargetType],"")</f>
        <v>TECH</v>
      </c>
      <c r="E1127" s="41" t="s">
        <v>693</v>
      </c>
      <c r="F1127" s="41">
        <v>1</v>
      </c>
      <c r="G1127" s="41">
        <f>_xlfn.XLOOKUP(
 tblCostChecklist[[#This Row],[RequirementID]],
 tblCost[RequirementID],
 tblCost[QuantityRequired],
 ""
)</f>
        <v>60</v>
      </c>
      <c r="H11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7" s="41" t="str">
        <f>_xlfn.XLOOKUP(tblCostChecklist[[#This Row],[TargetID]],tblTargetStatus[TargetID],tblTargetStatus[Status])</f>
        <v>BLOCKED</v>
      </c>
      <c r="J1127" s="25" t="b">
        <v>0</v>
      </c>
    </row>
    <row r="1128" spans="1:10">
      <c r="A1128" s="41" t="s">
        <v>4776</v>
      </c>
      <c r="B1128" s="41" t="str">
        <f>_xlfn.TEXTAFTER(
 _xlfn.TEXTBEFORE(tblCostChecklist[[#This Row],[RequirementID]],".",-2),
 "cost."
)</f>
        <v>tech.workshop.shield_for_a_hero_lvl_3</v>
      </c>
      <c r="C1128" s="41" t="str">
        <f>_xlfn.XLOOKUP(tblCostChecklist[[#This Row],[TargetID]],tblTargets[TargetID],tblTargets[DisplayName],"")</f>
        <v>Workshop - Shield For A Hero Lvl 3</v>
      </c>
      <c r="D1128" s="41" t="str">
        <f>_xlfn.XLOOKUP(tblCostChecklist[[#This Row],[TargetID]],tblTargets[TargetID],tblTargets[TargetType],"")</f>
        <v>TECH</v>
      </c>
      <c r="E1128" s="41" t="s">
        <v>701</v>
      </c>
      <c r="F1128" s="41">
        <v>1</v>
      </c>
      <c r="G1128" s="41">
        <f>_xlfn.XLOOKUP(
 tblCostChecklist[[#This Row],[RequirementID]],
 tblCost[RequirementID],
 tblCost[QuantityRequired],
 ""
)</f>
        <v>200</v>
      </c>
      <c r="H11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8" s="41" t="str">
        <f>_xlfn.XLOOKUP(tblCostChecklist[[#This Row],[TargetID]],tblTargetStatus[TargetID],tblTargetStatus[Status])</f>
        <v>BLOCKED</v>
      </c>
      <c r="J1128" s="25" t="b">
        <v>0</v>
      </c>
    </row>
    <row r="1129" spans="1:10">
      <c r="A1129" s="41" t="s">
        <v>4777</v>
      </c>
      <c r="B1129" s="41" t="str">
        <f>_xlfn.TEXTAFTER(
 _xlfn.TEXTBEFORE(tblCostChecklist[[#This Row],[RequirementID]],".",-2),
 "cost."
)</f>
        <v>tech.workshop.shield_for_a_hero_lvl_3</v>
      </c>
      <c r="C1129" s="41" t="str">
        <f>_xlfn.XLOOKUP(tblCostChecklist[[#This Row],[TargetID]],tblTargets[TargetID],tblTargets[DisplayName],"")</f>
        <v>Workshop - Shield For A Hero Lvl 3</v>
      </c>
      <c r="D1129" s="41" t="str">
        <f>_xlfn.XLOOKUP(tblCostChecklist[[#This Row],[TargetID]],tblTargets[TargetID],tblTargets[TargetType],"")</f>
        <v>TECH</v>
      </c>
      <c r="E1129" s="41" t="s">
        <v>708</v>
      </c>
      <c r="F1129" s="41">
        <v>1</v>
      </c>
      <c r="G1129" s="41">
        <f>_xlfn.XLOOKUP(
 tblCostChecklist[[#This Row],[RequirementID]],
 tblCost[RequirementID],
 tblCost[QuantityRequired],
 ""
)</f>
        <v>5</v>
      </c>
      <c r="H11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9" s="41" t="str">
        <f>_xlfn.XLOOKUP(tblCostChecklist[[#This Row],[TargetID]],tblTargetStatus[TargetID],tblTargetStatus[Status])</f>
        <v>BLOCKED</v>
      </c>
      <c r="J1129" s="25" t="b">
        <v>0</v>
      </c>
    </row>
    <row r="1130" spans="1:10">
      <c r="A1130" s="41" t="s">
        <v>4778</v>
      </c>
      <c r="B1130" s="41" t="str">
        <f>_xlfn.TEXTAFTER(
 _xlfn.TEXTBEFORE(tblCostChecklist[[#This Row],[RequirementID]],".",-2),
 "cost."
)</f>
        <v>tech.workshop.shield_for_a_hero_lvl_4</v>
      </c>
      <c r="C1130" s="41" t="str">
        <f>_xlfn.XLOOKUP(tblCostChecklist[[#This Row],[TargetID]],tblTargets[TargetID],tblTargets[DisplayName],"")</f>
        <v>Workshop - Shield For A Hero Lvl 4</v>
      </c>
      <c r="D1130" s="41" t="str">
        <f>_xlfn.XLOOKUP(tblCostChecklist[[#This Row],[TargetID]],tblTargets[TargetID],tblTargets[TargetType],"")</f>
        <v>TECH</v>
      </c>
      <c r="E1130" s="41" t="s">
        <v>662</v>
      </c>
      <c r="F1130" s="41">
        <v>1</v>
      </c>
      <c r="G1130" s="41">
        <f>_xlfn.XLOOKUP(
 tblCostChecklist[[#This Row],[RequirementID]],
 tblCost[RequirementID],
 tblCost[QuantityRequired],
 ""
)</f>
        <v>25</v>
      </c>
      <c r="H11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0" s="41" t="str">
        <f>_xlfn.XLOOKUP(tblCostChecklist[[#This Row],[TargetID]],tblTargetStatus[TargetID],tblTargetStatus[Status])</f>
        <v>BLOCKED</v>
      </c>
      <c r="J1130" s="25" t="b">
        <v>0</v>
      </c>
    </row>
    <row r="1131" spans="1:10">
      <c r="A1131" s="41" t="s">
        <v>4779</v>
      </c>
      <c r="B1131" s="41" t="str">
        <f>_xlfn.TEXTAFTER(
 _xlfn.TEXTBEFORE(tblCostChecklist[[#This Row],[RequirementID]],".",-2),
 "cost."
)</f>
        <v>tech.workshop.shield_for_a_hero_lvl_4</v>
      </c>
      <c r="C1131" s="41" t="str">
        <f>_xlfn.XLOOKUP(tblCostChecklist[[#This Row],[TargetID]],tblTargets[TargetID],tblTargets[DisplayName],"")</f>
        <v>Workshop - Shield For A Hero Lvl 4</v>
      </c>
      <c r="D1131" s="41" t="str">
        <f>_xlfn.XLOOKUP(tblCostChecklist[[#This Row],[TargetID]],tblTargets[TargetID],tblTargets[TargetType],"")</f>
        <v>TECH</v>
      </c>
      <c r="E1131" s="41" t="s">
        <v>928</v>
      </c>
      <c r="F1131" s="41">
        <v>1</v>
      </c>
      <c r="G1131" s="41">
        <f>_xlfn.XLOOKUP(
 tblCostChecklist[[#This Row],[RequirementID]],
 tblCost[RequirementID],
 tblCost[QuantityRequired],
 ""
)</f>
        <v>10</v>
      </c>
      <c r="H11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1" s="41" t="str">
        <f>_xlfn.XLOOKUP(tblCostChecklist[[#This Row],[TargetID]],tblTargetStatus[TargetID],tblTargetStatus[Status])</f>
        <v>BLOCKED</v>
      </c>
      <c r="J1131" s="25" t="b">
        <v>0</v>
      </c>
    </row>
    <row r="1132" spans="1:10">
      <c r="A1132" s="41" t="s">
        <v>4780</v>
      </c>
      <c r="B1132" s="41" t="str">
        <f>_xlfn.TEXTAFTER(
 _xlfn.TEXTBEFORE(tblCostChecklist[[#This Row],[RequirementID]],".",-2),
 "cost."
)</f>
        <v>tech.workshop.shield_for_a_hero_lvl_4</v>
      </c>
      <c r="C1132" s="41" t="str">
        <f>_xlfn.XLOOKUP(tblCostChecklist[[#This Row],[TargetID]],tblTargets[TargetID],tblTargets[DisplayName],"")</f>
        <v>Workshop - Shield For A Hero Lvl 4</v>
      </c>
      <c r="D1132" s="41" t="str">
        <f>_xlfn.XLOOKUP(tblCostChecklist[[#This Row],[TargetID]],tblTargets[TargetID],tblTargets[TargetType],"")</f>
        <v>TECH</v>
      </c>
      <c r="E1132" s="41" t="s">
        <v>664</v>
      </c>
      <c r="F1132" s="41">
        <v>1</v>
      </c>
      <c r="G1132" s="41">
        <f>_xlfn.XLOOKUP(
 tblCostChecklist[[#This Row],[RequirementID]],
 tblCost[RequirementID],
 tblCost[QuantityRequired],
 ""
)</f>
        <v>30</v>
      </c>
      <c r="H11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2" s="41" t="str">
        <f>_xlfn.XLOOKUP(tblCostChecklist[[#This Row],[TargetID]],tblTargetStatus[TargetID],tblTargetStatus[Status])</f>
        <v>BLOCKED</v>
      </c>
      <c r="J1132" s="25" t="b">
        <v>0</v>
      </c>
    </row>
    <row r="1133" spans="1:10">
      <c r="A1133" s="41" t="s">
        <v>4781</v>
      </c>
      <c r="B1133" s="41" t="str">
        <f>_xlfn.TEXTAFTER(
 _xlfn.TEXTBEFORE(tblCostChecklist[[#This Row],[RequirementID]],".",-2),
 "cost."
)</f>
        <v>tech.workshop.shield_for_a_hero_lvl_4</v>
      </c>
      <c r="C1133" s="41" t="str">
        <f>_xlfn.XLOOKUP(tblCostChecklist[[#This Row],[TargetID]],tblTargets[TargetID],tblTargets[DisplayName],"")</f>
        <v>Workshop - Shield For A Hero Lvl 4</v>
      </c>
      <c r="D1133" s="41" t="str">
        <f>_xlfn.XLOOKUP(tblCostChecklist[[#This Row],[TargetID]],tblTargets[TargetID],tblTargets[TargetType],"")</f>
        <v>TECH</v>
      </c>
      <c r="E1133" s="41" t="s">
        <v>666</v>
      </c>
      <c r="F1133" s="41">
        <v>1</v>
      </c>
      <c r="G1133" s="41">
        <f>_xlfn.XLOOKUP(
 tblCostChecklist[[#This Row],[RequirementID]],
 tblCost[RequirementID],
 tblCost[QuantityRequired],
 ""
)</f>
        <v>1000</v>
      </c>
      <c r="H11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3" s="41" t="str">
        <f>_xlfn.XLOOKUP(tblCostChecklist[[#This Row],[TargetID]],tblTargetStatus[TargetID],tblTargetStatus[Status])</f>
        <v>BLOCKED</v>
      </c>
      <c r="J1133" s="25" t="b">
        <v>0</v>
      </c>
    </row>
    <row r="1134" spans="1:10">
      <c r="A1134" s="41" t="s">
        <v>4782</v>
      </c>
      <c r="B1134" s="41" t="str">
        <f>_xlfn.TEXTAFTER(
 _xlfn.TEXTBEFORE(tblCostChecklist[[#This Row],[RequirementID]],".",-2),
 "cost."
)</f>
        <v>tech.workshop.shield_for_a_hero_lvl_4</v>
      </c>
      <c r="C1134" s="41" t="str">
        <f>_xlfn.XLOOKUP(tblCostChecklist[[#This Row],[TargetID]],tblTargets[TargetID],tblTargets[DisplayName],"")</f>
        <v>Workshop - Shield For A Hero Lvl 4</v>
      </c>
      <c r="D1134" s="41" t="str">
        <f>_xlfn.XLOOKUP(tblCostChecklist[[#This Row],[TargetID]],tblTargets[TargetID],tblTargets[TargetType],"")</f>
        <v>TECH</v>
      </c>
      <c r="E1134" s="41" t="s">
        <v>686</v>
      </c>
      <c r="F1134" s="41">
        <v>1</v>
      </c>
      <c r="G1134" s="41">
        <f>_xlfn.XLOOKUP(
 tblCostChecklist[[#This Row],[RequirementID]],
 tblCost[RequirementID],
 tblCost[QuantityRequired],
 ""
)</f>
        <v>15</v>
      </c>
      <c r="H11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4" s="41" t="str">
        <f>_xlfn.XLOOKUP(tblCostChecklist[[#This Row],[TargetID]],tblTargetStatus[TargetID],tblTargetStatus[Status])</f>
        <v>BLOCKED</v>
      </c>
      <c r="J1134" s="25" t="b">
        <v>0</v>
      </c>
    </row>
    <row r="1135" spans="1:10">
      <c r="A1135" s="41" t="s">
        <v>4783</v>
      </c>
      <c r="B1135" s="41" t="str">
        <f>_xlfn.TEXTAFTER(
 _xlfn.TEXTBEFORE(tblCostChecklist[[#This Row],[RequirementID]],".",-2),
 "cost."
)</f>
        <v>tech.workshop.shield_for_a_hero_lvl_4</v>
      </c>
      <c r="C1135" s="41" t="str">
        <f>_xlfn.XLOOKUP(tblCostChecklist[[#This Row],[TargetID]],tblTargets[TargetID],tblTargets[DisplayName],"")</f>
        <v>Workshop - Shield For A Hero Lvl 4</v>
      </c>
      <c r="D1135" s="41" t="str">
        <f>_xlfn.XLOOKUP(tblCostChecklist[[#This Row],[TargetID]],tblTargets[TargetID],tblTargets[TargetType],"")</f>
        <v>TECH</v>
      </c>
      <c r="E1135" s="41" t="s">
        <v>708</v>
      </c>
      <c r="F1135" s="41">
        <v>1</v>
      </c>
      <c r="G1135" s="41">
        <f>_xlfn.XLOOKUP(
 tblCostChecklist[[#This Row],[RequirementID]],
 tblCost[RequirementID],
 tblCost[QuantityRequired],
 ""
)</f>
        <v>5</v>
      </c>
      <c r="H11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5" s="41" t="str">
        <f>_xlfn.XLOOKUP(tblCostChecklist[[#This Row],[TargetID]],tblTargetStatus[TargetID],tblTargetStatus[Status])</f>
        <v>BLOCKED</v>
      </c>
      <c r="J1135" s="25" t="b">
        <v>0</v>
      </c>
    </row>
    <row r="1136" spans="1:10">
      <c r="A1136" s="41" t="s">
        <v>4784</v>
      </c>
      <c r="B1136" s="41" t="str">
        <f>_xlfn.TEXTAFTER(
 _xlfn.TEXTBEFORE(tblCostChecklist[[#This Row],[RequirementID]],".",-2),
 "cost."
)</f>
        <v>tech.workshop.shield_for_a_hero_lvl_4</v>
      </c>
      <c r="C1136" s="41" t="str">
        <f>_xlfn.XLOOKUP(tblCostChecklist[[#This Row],[TargetID]],tblTargets[TargetID],tblTargets[DisplayName],"")</f>
        <v>Workshop - Shield For A Hero Lvl 4</v>
      </c>
      <c r="D1136" s="41" t="str">
        <f>_xlfn.XLOOKUP(tblCostChecklist[[#This Row],[TargetID]],tblTargets[TargetID],tblTargets[TargetType],"")</f>
        <v>TECH</v>
      </c>
      <c r="E1136" s="41" t="s">
        <v>949</v>
      </c>
      <c r="F1136" s="41">
        <v>1</v>
      </c>
      <c r="G1136" s="41">
        <f>_xlfn.XLOOKUP(
 tblCostChecklist[[#This Row],[RequirementID]],
 tblCost[RequirementID],
 tblCost[QuantityRequired],
 ""
)</f>
        <v>3</v>
      </c>
      <c r="H11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6" s="41" t="str">
        <f>_xlfn.XLOOKUP(tblCostChecklist[[#This Row],[TargetID]],tblTargetStatus[TargetID],tblTargetStatus[Status])</f>
        <v>BLOCKED</v>
      </c>
      <c r="J1136" s="25" t="b">
        <v>0</v>
      </c>
    </row>
    <row r="1137" spans="1:10">
      <c r="A1137" s="41" t="s">
        <v>4785</v>
      </c>
      <c r="B1137" s="41" t="str">
        <f>_xlfn.TEXTAFTER(
 _xlfn.TEXTBEFORE(tblCostChecklist[[#This Row],[RequirementID]],".",-2),
 "cost."
)</f>
        <v>tech.workshop.shield_for_a_hero_lvl_4+</v>
      </c>
      <c r="C1137" s="41" t="str">
        <f>_xlfn.XLOOKUP(tblCostChecklist[[#This Row],[TargetID]],tblTargets[TargetID],tblTargets[DisplayName],"")</f>
        <v>Workshop - Shield For A Hero Lvl 4+</v>
      </c>
      <c r="D1137" s="41" t="str">
        <f>_xlfn.XLOOKUP(tblCostChecklist[[#This Row],[TargetID]],tblTargets[TargetID],tblTargets[TargetType],"")</f>
        <v>TECH</v>
      </c>
      <c r="E1137" s="41" t="s">
        <v>655</v>
      </c>
      <c r="F1137" s="41">
        <v>1</v>
      </c>
      <c r="G1137" s="41">
        <f>_xlfn.XLOOKUP(
 tblCostChecklist[[#This Row],[RequirementID]],
 tblCost[RequirementID],
 tblCost[QuantityRequired],
 ""
)</f>
        <v>20</v>
      </c>
      <c r="H11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7" s="41" t="str">
        <f>_xlfn.XLOOKUP(tblCostChecklist[[#This Row],[TargetID]],tblTargetStatus[TargetID],tblTargetStatus[Status])</f>
        <v>BLOCKED</v>
      </c>
      <c r="J1137" s="25" t="b">
        <v>0</v>
      </c>
    </row>
    <row r="1138" spans="1:10">
      <c r="A1138" s="41" t="s">
        <v>4786</v>
      </c>
      <c r="B1138" s="41" t="str">
        <f>_xlfn.TEXTAFTER(
 _xlfn.TEXTBEFORE(tblCostChecklist[[#This Row],[RequirementID]],".",-2),
 "cost."
)</f>
        <v>tech.workshop.shield_for_a_hero_lvl_4+</v>
      </c>
      <c r="C1138" s="41" t="str">
        <f>_xlfn.XLOOKUP(tblCostChecklist[[#This Row],[TargetID]],tblTargets[TargetID],tblTargets[DisplayName],"")</f>
        <v>Workshop - Shield For A Hero Lvl 4+</v>
      </c>
      <c r="D1138" s="41" t="str">
        <f>_xlfn.XLOOKUP(tblCostChecklist[[#This Row],[TargetID]],tblTargets[TargetID],tblTargets[TargetType],"")</f>
        <v>TECH</v>
      </c>
      <c r="E1138" s="41" t="s">
        <v>928</v>
      </c>
      <c r="F1138" s="41">
        <v>1</v>
      </c>
      <c r="G1138" s="41">
        <f>_xlfn.XLOOKUP(
 tblCostChecklist[[#This Row],[RequirementID]],
 tblCost[RequirementID],
 tblCost[QuantityRequired],
 ""
)</f>
        <v>20</v>
      </c>
      <c r="H11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8" s="41" t="str">
        <f>_xlfn.XLOOKUP(tblCostChecklist[[#This Row],[TargetID]],tblTargetStatus[TargetID],tblTargetStatus[Status])</f>
        <v>BLOCKED</v>
      </c>
      <c r="J1138" s="25" t="b">
        <v>0</v>
      </c>
    </row>
    <row r="1139" spans="1:10">
      <c r="A1139" s="41" t="s">
        <v>4787</v>
      </c>
      <c r="B1139" s="41" t="str">
        <f>_xlfn.TEXTAFTER(
 _xlfn.TEXTBEFORE(tblCostChecklist[[#This Row],[RequirementID]],".",-2),
 "cost."
)</f>
        <v>tech.workshop.shield_for_a_hero_lvl_4+</v>
      </c>
      <c r="C1139" s="41" t="str">
        <f>_xlfn.XLOOKUP(tblCostChecklist[[#This Row],[TargetID]],tblTargets[TargetID],tblTargets[DisplayName],"")</f>
        <v>Workshop - Shield For A Hero Lvl 4+</v>
      </c>
      <c r="D1139" s="41" t="str">
        <f>_xlfn.XLOOKUP(tblCostChecklist[[#This Row],[TargetID]],tblTargets[TargetID],tblTargets[TargetType],"")</f>
        <v>TECH</v>
      </c>
      <c r="E1139" s="41" t="s">
        <v>666</v>
      </c>
      <c r="F1139" s="41">
        <v>1</v>
      </c>
      <c r="G1139" s="41">
        <f>_xlfn.XLOOKUP(
 tblCostChecklist[[#This Row],[RequirementID]],
 tblCost[RequirementID],
 tblCost[QuantityRequired],
 ""
)</f>
        <v>1000</v>
      </c>
      <c r="H11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9" s="41" t="str">
        <f>_xlfn.XLOOKUP(tblCostChecklist[[#This Row],[TargetID]],tblTargetStatus[TargetID],tblTargetStatus[Status])</f>
        <v>BLOCKED</v>
      </c>
      <c r="J1139" s="25" t="b">
        <v>0</v>
      </c>
    </row>
    <row r="1140" spans="1:10">
      <c r="A1140" s="41" t="s">
        <v>4788</v>
      </c>
      <c r="B1140" s="41" t="str">
        <f>_xlfn.TEXTAFTER(
 _xlfn.TEXTBEFORE(tblCostChecklist[[#This Row],[RequirementID]],".",-2),
 "cost."
)</f>
        <v>tech.workshop.shield_for_a_hero_lvl_4+</v>
      </c>
      <c r="C1140" s="41" t="str">
        <f>_xlfn.XLOOKUP(tblCostChecklist[[#This Row],[TargetID]],tblTargets[TargetID],tblTargets[DisplayName],"")</f>
        <v>Workshop - Shield For A Hero Lvl 4+</v>
      </c>
      <c r="D1140" s="41" t="str">
        <f>_xlfn.XLOOKUP(tblCostChecklist[[#This Row],[TargetID]],tblTargets[TargetID],tblTargets[TargetType],"")</f>
        <v>TECH</v>
      </c>
      <c r="E1140" s="41" t="s">
        <v>676</v>
      </c>
      <c r="F1140" s="41">
        <v>1</v>
      </c>
      <c r="G1140" s="41">
        <f>_xlfn.XLOOKUP(
 tblCostChecklist[[#This Row],[RequirementID]],
 tblCost[RequirementID],
 tblCost[QuantityRequired],
 ""
)</f>
        <v>25</v>
      </c>
      <c r="H11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0" s="41" t="str">
        <f>_xlfn.XLOOKUP(tblCostChecklist[[#This Row],[TargetID]],tblTargetStatus[TargetID],tblTargetStatus[Status])</f>
        <v>BLOCKED</v>
      </c>
      <c r="J1140" s="25" t="b">
        <v>0</v>
      </c>
    </row>
    <row r="1141" spans="1:10">
      <c r="A1141" s="41" t="s">
        <v>4789</v>
      </c>
      <c r="B1141" s="41" t="str">
        <f>_xlfn.TEXTAFTER(
 _xlfn.TEXTBEFORE(tblCostChecklist[[#This Row],[RequirementID]],".",-2),
 "cost."
)</f>
        <v>tech.workshop.shield_for_a_hero_lvl_4+</v>
      </c>
      <c r="C1141" s="41" t="str">
        <f>_xlfn.XLOOKUP(tblCostChecklist[[#This Row],[TargetID]],tblTargets[TargetID],tblTargets[DisplayName],"")</f>
        <v>Workshop - Shield For A Hero Lvl 4+</v>
      </c>
      <c r="D1141" s="41" t="str">
        <f>_xlfn.XLOOKUP(tblCostChecklist[[#This Row],[TargetID]],tblTargets[TargetID],tblTargets[TargetType],"")</f>
        <v>TECH</v>
      </c>
      <c r="E1141" s="41" t="s">
        <v>677</v>
      </c>
      <c r="F1141" s="41">
        <v>1</v>
      </c>
      <c r="G1141" s="41">
        <f>_xlfn.XLOOKUP(
 tblCostChecklist[[#This Row],[RequirementID]],
 tblCost[RequirementID],
 tblCost[QuantityRequired],
 ""
)</f>
        <v>10</v>
      </c>
      <c r="H11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1" s="41" t="str">
        <f>_xlfn.XLOOKUP(tblCostChecklist[[#This Row],[TargetID]],tblTargetStatus[TargetID],tblTargetStatus[Status])</f>
        <v>BLOCKED</v>
      </c>
      <c r="J1141" s="25" t="b">
        <v>0</v>
      </c>
    </row>
    <row r="1142" spans="1:10">
      <c r="A1142" s="41" t="s">
        <v>4790</v>
      </c>
      <c r="B1142" s="41" t="str">
        <f>_xlfn.TEXTAFTER(
 _xlfn.TEXTBEFORE(tblCostChecklist[[#This Row],[RequirementID]],".",-2),
 "cost."
)</f>
        <v>tech.workshop.shield_for_a_hero_lvl_4+</v>
      </c>
      <c r="C1142" s="41" t="str">
        <f>_xlfn.XLOOKUP(tblCostChecklist[[#This Row],[TargetID]],tblTargets[TargetID],tblTargets[DisplayName],"")</f>
        <v>Workshop - Shield For A Hero Lvl 4+</v>
      </c>
      <c r="D1142" s="41" t="str">
        <f>_xlfn.XLOOKUP(tblCostChecklist[[#This Row],[TargetID]],tblTargets[TargetID],tblTargets[TargetType],"")</f>
        <v>TECH</v>
      </c>
      <c r="E1142" s="41" t="s">
        <v>703</v>
      </c>
      <c r="F1142" s="41">
        <v>1</v>
      </c>
      <c r="G1142" s="41">
        <f>_xlfn.XLOOKUP(
 tblCostChecklist[[#This Row],[RequirementID]],
 tblCost[RequirementID],
 tblCost[QuantityRequired],
 ""
)</f>
        <v>10</v>
      </c>
      <c r="H11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2" s="41" t="str">
        <f>_xlfn.XLOOKUP(tblCostChecklist[[#This Row],[TargetID]],tblTargetStatus[TargetID],tblTargetStatus[Status])</f>
        <v>BLOCKED</v>
      </c>
      <c r="J1142" s="25" t="b">
        <v>0</v>
      </c>
    </row>
    <row r="1143" spans="1:10">
      <c r="A1143" s="41" t="s">
        <v>4791</v>
      </c>
      <c r="B1143" s="41" t="str">
        <f>_xlfn.TEXTAFTER(
 _xlfn.TEXTBEFORE(tblCostChecklist[[#This Row],[RequirementID]],".",-2),
 "cost."
)</f>
        <v>tech.workshop.shield_for_a_hero_lvl_4+</v>
      </c>
      <c r="C1143" s="41" t="str">
        <f>_xlfn.XLOOKUP(tblCostChecklist[[#This Row],[TargetID]],tblTargets[TargetID],tblTargets[DisplayName],"")</f>
        <v>Workshop - Shield For A Hero Lvl 4+</v>
      </c>
      <c r="D1143" s="41" t="str">
        <f>_xlfn.XLOOKUP(tblCostChecklist[[#This Row],[TargetID]],tblTargets[TargetID],tblTargets[TargetType],"")</f>
        <v>TECH</v>
      </c>
      <c r="E1143" s="41" t="s">
        <v>946</v>
      </c>
      <c r="F1143" s="41">
        <v>1</v>
      </c>
      <c r="G1143" s="41">
        <f>_xlfn.XLOOKUP(
 tblCostChecklist[[#This Row],[RequirementID]],
 tblCost[RequirementID],
 tblCost[QuantityRequired],
 ""
)</f>
        <v>1</v>
      </c>
      <c r="H11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3" s="41" t="str">
        <f>_xlfn.XLOOKUP(tblCostChecklist[[#This Row],[TargetID]],tblTargetStatus[TargetID],tblTargetStatus[Status])</f>
        <v>BLOCKED</v>
      </c>
      <c r="J1143" s="25" t="b">
        <v>0</v>
      </c>
    </row>
    <row r="1144" spans="1:10">
      <c r="A1144" s="41" t="s">
        <v>4792</v>
      </c>
      <c r="B1144" s="41" t="str">
        <f>_xlfn.TEXTAFTER(
 _xlfn.TEXTBEFORE(tblCostChecklist[[#This Row],[RequirementID]],".",-2),
 "cost."
)</f>
        <v>tech.workshop.shield_for_a_hero_lvl_4+</v>
      </c>
      <c r="C1144" s="41" t="str">
        <f>_xlfn.XLOOKUP(tblCostChecklist[[#This Row],[TargetID]],tblTargets[TargetID],tblTargets[DisplayName],"")</f>
        <v>Workshop - Shield For A Hero Lvl 4+</v>
      </c>
      <c r="D1144" s="41" t="str">
        <f>_xlfn.XLOOKUP(tblCostChecklist[[#This Row],[TargetID]],tblTargets[TargetID],tblTargets[TargetType],"")</f>
        <v>TECH</v>
      </c>
      <c r="E1144" s="41" t="s">
        <v>708</v>
      </c>
      <c r="F1144" s="41">
        <v>1</v>
      </c>
      <c r="G1144" s="41">
        <f>_xlfn.XLOOKUP(
 tblCostChecklist[[#This Row],[RequirementID]],
 tblCost[RequirementID],
 tblCost[QuantityRequired],
 ""
)</f>
        <v>5</v>
      </c>
      <c r="H11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4" s="41" t="str">
        <f>_xlfn.XLOOKUP(tblCostChecklist[[#This Row],[TargetID]],tblTargetStatus[TargetID],tblTargetStatus[Status])</f>
        <v>BLOCKED</v>
      </c>
      <c r="J1144" s="25" t="b">
        <v>0</v>
      </c>
    </row>
    <row r="1145" spans="1:10">
      <c r="A1145" s="41" t="s">
        <v>4793</v>
      </c>
      <c r="B1145" s="41" t="str">
        <f>_xlfn.TEXTAFTER(
 _xlfn.TEXTBEFORE(tblCostChecklist[[#This Row],[RequirementID]],".",-2),
 "cost."
)</f>
        <v>tech.workshop.shield_for_a_hero_lvl_4+</v>
      </c>
      <c r="C1145" s="41" t="str">
        <f>_xlfn.XLOOKUP(tblCostChecklist[[#This Row],[TargetID]],tblTargets[TargetID],tblTargets[DisplayName],"")</f>
        <v>Workshop - Shield For A Hero Lvl 4+</v>
      </c>
      <c r="D1145" s="41" t="str">
        <f>_xlfn.XLOOKUP(tblCostChecklist[[#This Row],[TargetID]],tblTargets[TargetID],tblTargets[TargetType],"")</f>
        <v>TECH</v>
      </c>
      <c r="E1145" s="41" t="s">
        <v>950</v>
      </c>
      <c r="F1145" s="41">
        <v>1</v>
      </c>
      <c r="G1145" s="41">
        <f>_xlfn.XLOOKUP(
 tblCostChecklist[[#This Row],[RequirementID]],
 tblCost[RequirementID],
 tblCost[QuantityRequired],
 ""
)</f>
        <v>1</v>
      </c>
      <c r="H11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5" s="41" t="str">
        <f>_xlfn.XLOOKUP(tblCostChecklist[[#This Row],[TargetID]],tblTargetStatus[TargetID],tblTargetStatus[Status])</f>
        <v>BLOCKED</v>
      </c>
      <c r="J1145" s="25" t="b">
        <v>0</v>
      </c>
    </row>
    <row r="1146" spans="1:10">
      <c r="A1146" s="41" t="s">
        <v>4794</v>
      </c>
      <c r="B1146" s="41" t="str">
        <f>_xlfn.TEXTAFTER(
 _xlfn.TEXTBEFORE(tblCostChecklist[[#This Row],[RequirementID]],".",-2),
 "cost."
)</f>
        <v>tech.workshop.strong_glue</v>
      </c>
      <c r="C1146" s="41" t="str">
        <f>_xlfn.XLOOKUP(tblCostChecklist[[#This Row],[TargetID]],tblTargets[TargetID],tblTargets[DisplayName],"")</f>
        <v>Workshop - Strong Glue</v>
      </c>
      <c r="D1146" s="41" t="str">
        <f>_xlfn.XLOOKUP(tblCostChecklist[[#This Row],[TargetID]],tblTargets[TargetID],tblTargets[TargetType],"")</f>
        <v>TECH</v>
      </c>
      <c r="E1146" s="41" t="s">
        <v>662</v>
      </c>
      <c r="F1146" s="41">
        <v>1</v>
      </c>
      <c r="G1146" s="41">
        <f>_xlfn.XLOOKUP(
 tblCostChecklist[[#This Row],[RequirementID]],
 tblCost[RequirementID],
 tblCost[QuantityRequired],
 ""
)</f>
        <v>15</v>
      </c>
      <c r="H11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6" s="41" t="str">
        <f>_xlfn.XLOOKUP(tblCostChecklist[[#This Row],[TargetID]],tblTargetStatus[TargetID],tblTargetStatus[Status])</f>
        <v>BLOCKED</v>
      </c>
      <c r="J1146" s="25" t="b">
        <v>0</v>
      </c>
    </row>
    <row r="1147" spans="1:10">
      <c r="A1147" s="41" t="s">
        <v>4795</v>
      </c>
      <c r="B1147" s="41" t="str">
        <f>_xlfn.TEXTAFTER(
 _xlfn.TEXTBEFORE(tblCostChecklist[[#This Row],[RequirementID]],".",-2),
 "cost."
)</f>
        <v>tech.workshop.strong_glue</v>
      </c>
      <c r="C1147" s="41" t="str">
        <f>_xlfn.XLOOKUP(tblCostChecklist[[#This Row],[TargetID]],tblTargets[TargetID],tblTargets[DisplayName],"")</f>
        <v>Workshop - Strong Glue</v>
      </c>
      <c r="D1147" s="41" t="str">
        <f>_xlfn.XLOOKUP(tblCostChecklist[[#This Row],[TargetID]],tblTargets[TargetID],tblTargets[TargetType],"")</f>
        <v>TECH</v>
      </c>
      <c r="E1147" s="41" t="s">
        <v>666</v>
      </c>
      <c r="F1147" s="41">
        <v>1</v>
      </c>
      <c r="G1147" s="41">
        <f>_xlfn.XLOOKUP(
 tblCostChecklist[[#This Row],[RequirementID]],
 tblCost[RequirementID],
 tblCost[QuantityRequired],
 ""
)</f>
        <v>500</v>
      </c>
      <c r="H11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7" s="41" t="str">
        <f>_xlfn.XLOOKUP(tblCostChecklist[[#This Row],[TargetID]],tblTargetStatus[TargetID],tblTargetStatus[Status])</f>
        <v>BLOCKED</v>
      </c>
      <c r="J1147" s="25" t="b">
        <v>0</v>
      </c>
    </row>
    <row r="1148" spans="1:10">
      <c r="A1148" s="41" t="s">
        <v>4796</v>
      </c>
      <c r="B1148" s="41" t="str">
        <f>_xlfn.TEXTAFTER(
 _xlfn.TEXTBEFORE(tblCostChecklist[[#This Row],[RequirementID]],".",-2),
 "cost."
)</f>
        <v>tech.workshop.strong_glue</v>
      </c>
      <c r="C1148" s="41" t="str">
        <f>_xlfn.XLOOKUP(tblCostChecklist[[#This Row],[TargetID]],tblTargets[TargetID],tblTargets[DisplayName],"")</f>
        <v>Workshop - Strong Glue</v>
      </c>
      <c r="D1148" s="41" t="str">
        <f>_xlfn.XLOOKUP(tblCostChecklist[[#This Row],[TargetID]],tblTargets[TargetID],tblTargets[TargetType],"")</f>
        <v>TECH</v>
      </c>
      <c r="E1148" s="41" t="s">
        <v>938</v>
      </c>
      <c r="F1148" s="41">
        <v>1</v>
      </c>
      <c r="G1148" s="41">
        <f>_xlfn.XLOOKUP(
 tblCostChecklist[[#This Row],[RequirementID]],
 tblCost[RequirementID],
 tblCost[QuantityRequired],
 ""
)</f>
        <v>10</v>
      </c>
      <c r="H11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8" s="41" t="str">
        <f>_xlfn.XLOOKUP(tblCostChecklist[[#This Row],[TargetID]],tblTargetStatus[TargetID],tblTargetStatus[Status])</f>
        <v>BLOCKED</v>
      </c>
      <c r="J1148" s="25" t="b">
        <v>0</v>
      </c>
    </row>
    <row r="1149" spans="1:10">
      <c r="A1149" s="41" t="s">
        <v>4797</v>
      </c>
      <c r="B1149" s="41" t="str">
        <f>_xlfn.TEXTAFTER(
 _xlfn.TEXTBEFORE(tblCostChecklist[[#This Row],[RequirementID]],".",-2),
 "cost."
)</f>
        <v>tech.workshop.strong_glue</v>
      </c>
      <c r="C1149" s="41" t="str">
        <f>_xlfn.XLOOKUP(tblCostChecklist[[#This Row],[TargetID]],tblTargets[TargetID],tblTargets[DisplayName],"")</f>
        <v>Workshop - Strong Glue</v>
      </c>
      <c r="D1149" s="41" t="str">
        <f>_xlfn.XLOOKUP(tblCostChecklist[[#This Row],[TargetID]],tblTargets[TargetID],tblTargets[TargetType],"")</f>
        <v>TECH</v>
      </c>
      <c r="E1149" s="41" t="s">
        <v>705</v>
      </c>
      <c r="F1149" s="41">
        <v>1</v>
      </c>
      <c r="G1149" s="41">
        <f>_xlfn.XLOOKUP(
 tblCostChecklist[[#This Row],[RequirementID]],
 tblCost[RequirementID],
 tblCost[QuantityRequired],
 ""
)</f>
        <v>15</v>
      </c>
      <c r="H11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9" s="41" t="str">
        <f>_xlfn.XLOOKUP(tblCostChecklist[[#This Row],[TargetID]],tblTargetStatus[TargetID],tblTargetStatus[Status])</f>
        <v>BLOCKED</v>
      </c>
      <c r="J1149" s="25" t="b">
        <v>0</v>
      </c>
    </row>
    <row r="1150" spans="1:10">
      <c r="A1150" s="41" t="s">
        <v>4798</v>
      </c>
      <c r="B1150" s="41" t="str">
        <f>_xlfn.TEXTAFTER(
 _xlfn.TEXTBEFORE(tblCostChecklist[[#This Row],[RequirementID]],".",-2),
 "cost."
)</f>
        <v>tech.workshop.strong_glue</v>
      </c>
      <c r="C1150" s="41" t="str">
        <f>_xlfn.XLOOKUP(tblCostChecklist[[#This Row],[TargetID]],tblTargets[TargetID],tblTargets[DisplayName],"")</f>
        <v>Workshop - Strong Glue</v>
      </c>
      <c r="D1150" s="41" t="str">
        <f>_xlfn.XLOOKUP(tblCostChecklist[[#This Row],[TargetID]],tblTargets[TargetID],tblTargets[TargetType],"")</f>
        <v>TECH</v>
      </c>
      <c r="E1150" s="41" t="s">
        <v>708</v>
      </c>
      <c r="F1150" s="41">
        <v>1</v>
      </c>
      <c r="G1150" s="41">
        <f>_xlfn.XLOOKUP(
 tblCostChecklist[[#This Row],[RequirementID]],
 tblCost[RequirementID],
 tblCost[QuantityRequired],
 ""
)</f>
        <v>2</v>
      </c>
      <c r="H11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0" s="41" t="str">
        <f>_xlfn.XLOOKUP(tblCostChecklist[[#This Row],[TargetID]],tblTargetStatus[TargetID],tblTargetStatus[Status])</f>
        <v>BLOCKED</v>
      </c>
      <c r="J1150" s="25" t="b">
        <v>0</v>
      </c>
    </row>
    <row r="1151" spans="1:10">
      <c r="A1151" s="41" t="s">
        <v>4799</v>
      </c>
      <c r="B1151" s="41" t="str">
        <f>_xlfn.TEXTAFTER(
 _xlfn.TEXTBEFORE(tblCostChecklist[[#This Row],[RequirementID]],".",-2),
 "cost."
)</f>
        <v>tech.workshop.mechanism</v>
      </c>
      <c r="C1151" s="41" t="str">
        <f>_xlfn.XLOOKUP(tblCostChecklist[[#This Row],[TargetID]],tblTargets[TargetID],tblTargets[DisplayName],"")</f>
        <v>Workshop - Mechanism</v>
      </c>
      <c r="D1151" s="41" t="str">
        <f>_xlfn.XLOOKUP(tblCostChecklist[[#This Row],[TargetID]],tblTargets[TargetID],tblTargets[TargetType],"")</f>
        <v>TECH</v>
      </c>
      <c r="E1151" s="41" t="s">
        <v>662</v>
      </c>
      <c r="F1151" s="41">
        <v>1</v>
      </c>
      <c r="G1151" s="41">
        <f>_xlfn.XLOOKUP(
 tblCostChecklist[[#This Row],[RequirementID]],
 tblCost[RequirementID],
 tblCost[QuantityRequired],
 ""
)</f>
        <v>30</v>
      </c>
      <c r="H11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1" s="41" t="str">
        <f>_xlfn.XLOOKUP(tblCostChecklist[[#This Row],[TargetID]],tblTargetStatus[TargetID],tblTargetStatus[Status])</f>
        <v>BLOCKED</v>
      </c>
      <c r="J1151" s="25" t="b">
        <v>0</v>
      </c>
    </row>
    <row r="1152" spans="1:10">
      <c r="A1152" s="41" t="s">
        <v>4800</v>
      </c>
      <c r="B1152" s="41" t="str">
        <f>_xlfn.TEXTAFTER(
 _xlfn.TEXTBEFORE(tblCostChecklist[[#This Row],[RequirementID]],".",-2),
 "cost."
)</f>
        <v>tech.workshop.mechanism</v>
      </c>
      <c r="C1152" s="41" t="str">
        <f>_xlfn.XLOOKUP(tblCostChecklist[[#This Row],[TargetID]],tblTargets[TargetID],tblTargets[DisplayName],"")</f>
        <v>Workshop - Mechanism</v>
      </c>
      <c r="D1152" s="41" t="str">
        <f>_xlfn.XLOOKUP(tblCostChecklist[[#This Row],[TargetID]],tblTargets[TargetID],tblTargets[TargetType],"")</f>
        <v>TECH</v>
      </c>
      <c r="E1152" s="41" t="s">
        <v>666</v>
      </c>
      <c r="F1152" s="41">
        <v>1</v>
      </c>
      <c r="G1152" s="41">
        <f>_xlfn.XLOOKUP(
 tblCostChecklist[[#This Row],[RequirementID]],
 tblCost[RequirementID],
 tblCost[QuantityRequired],
 ""
)</f>
        <v>700</v>
      </c>
      <c r="H11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2" s="41" t="str">
        <f>_xlfn.XLOOKUP(tblCostChecklist[[#This Row],[TargetID]],tblTargetStatus[TargetID],tblTargetStatus[Status])</f>
        <v>BLOCKED</v>
      </c>
      <c r="J1152" s="25" t="b">
        <v>0</v>
      </c>
    </row>
    <row r="1153" spans="1:10">
      <c r="A1153" s="41" t="s">
        <v>4801</v>
      </c>
      <c r="B1153" s="41" t="str">
        <f>_xlfn.TEXTAFTER(
 _xlfn.TEXTBEFORE(tblCostChecklist[[#This Row],[RequirementID]],".",-2),
 "cost."
)</f>
        <v>tech.workshop.mechanism</v>
      </c>
      <c r="C1153" s="41" t="str">
        <f>_xlfn.XLOOKUP(tblCostChecklist[[#This Row],[TargetID]],tblTargets[TargetID],tblTargets[DisplayName],"")</f>
        <v>Workshop - Mechanism</v>
      </c>
      <c r="D1153" s="41" t="str">
        <f>_xlfn.XLOOKUP(tblCostChecklist[[#This Row],[TargetID]],tblTargets[TargetID],tblTargets[TargetType],"")</f>
        <v>TECH</v>
      </c>
      <c r="E1153" s="41" t="s">
        <v>673</v>
      </c>
      <c r="F1153" s="41">
        <v>1</v>
      </c>
      <c r="G1153" s="41">
        <f>_xlfn.XLOOKUP(
 tblCostChecklist[[#This Row],[RequirementID]],
 tblCost[RequirementID],
 tblCost[QuantityRequired],
 ""
)</f>
        <v>30</v>
      </c>
      <c r="H11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3" s="41" t="str">
        <f>_xlfn.XLOOKUP(tblCostChecklist[[#This Row],[TargetID]],tblTargetStatus[TargetID],tblTargetStatus[Status])</f>
        <v>BLOCKED</v>
      </c>
      <c r="J1153" s="25" t="b">
        <v>0</v>
      </c>
    </row>
    <row r="1154" spans="1:10">
      <c r="A1154" s="41" t="s">
        <v>4802</v>
      </c>
      <c r="B1154" s="41" t="str">
        <f>_xlfn.TEXTAFTER(
 _xlfn.TEXTBEFORE(tblCostChecklist[[#This Row],[RequirementID]],".",-2),
 "cost."
)</f>
        <v>tech.workshop.mechanism</v>
      </c>
      <c r="C1154" s="41" t="str">
        <f>_xlfn.XLOOKUP(tblCostChecklist[[#This Row],[TargetID]],tblTargets[TargetID],tblTargets[DisplayName],"")</f>
        <v>Workshop - Mechanism</v>
      </c>
      <c r="D1154" s="41" t="str">
        <f>_xlfn.XLOOKUP(tblCostChecklist[[#This Row],[TargetID]],tblTargets[TargetID],tblTargets[TargetType],"")</f>
        <v>TECH</v>
      </c>
      <c r="E1154" s="41" t="s">
        <v>693</v>
      </c>
      <c r="F1154" s="41">
        <v>1</v>
      </c>
      <c r="G1154" s="41">
        <f>_xlfn.XLOOKUP(
 tblCostChecklist[[#This Row],[RequirementID]],
 tblCost[RequirementID],
 tblCost[QuantityRequired],
 ""
)</f>
        <v>10</v>
      </c>
      <c r="H11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4" s="41" t="str">
        <f>_xlfn.XLOOKUP(tblCostChecklist[[#This Row],[TargetID]],tblTargetStatus[TargetID],tblTargetStatus[Status])</f>
        <v>BLOCKED</v>
      </c>
      <c r="J1154" s="25" t="b">
        <v>0</v>
      </c>
    </row>
    <row r="1155" spans="1:10">
      <c r="A1155" s="41" t="s">
        <v>4803</v>
      </c>
      <c r="B1155" s="41" t="str">
        <f>_xlfn.TEXTAFTER(
 _xlfn.TEXTBEFORE(tblCostChecklist[[#This Row],[RequirementID]],".",-2),
 "cost."
)</f>
        <v>tech.workshop.mechanism</v>
      </c>
      <c r="C1155" s="41" t="str">
        <f>_xlfn.XLOOKUP(tblCostChecklist[[#This Row],[TargetID]],tblTargets[TargetID],tblTargets[DisplayName],"")</f>
        <v>Workshop - Mechanism</v>
      </c>
      <c r="D1155" s="41" t="str">
        <f>_xlfn.XLOOKUP(tblCostChecklist[[#This Row],[TargetID]],tblTargets[TargetID],tblTargets[TargetType],"")</f>
        <v>TECH</v>
      </c>
      <c r="E1155" s="41" t="s">
        <v>708</v>
      </c>
      <c r="F1155" s="41">
        <v>1</v>
      </c>
      <c r="G1155" s="41">
        <f>_xlfn.XLOOKUP(
 tblCostChecklist[[#This Row],[RequirementID]],
 tblCost[RequirementID],
 tblCost[QuantityRequired],
 ""
)</f>
        <v>3</v>
      </c>
      <c r="H11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5" s="41" t="str">
        <f>_xlfn.XLOOKUP(tblCostChecklist[[#This Row],[TargetID]],tblTargetStatus[TargetID],tblTargetStatus[Status])</f>
        <v>BLOCKED</v>
      </c>
      <c r="J1155" s="25" t="b">
        <v>0</v>
      </c>
    </row>
    <row r="1156" spans="1:10">
      <c r="A1156" s="41" t="s">
        <v>4804</v>
      </c>
      <c r="B1156" s="41" t="str">
        <f>_xlfn.TEXTAFTER(
 _xlfn.TEXTBEFORE(tblCostChecklist[[#This Row],[RequirementID]],".",-2),
 "cost."
)</f>
        <v>tech.workshop.mechanical_spider</v>
      </c>
      <c r="C1156" s="41" t="str">
        <f>_xlfn.XLOOKUP(tblCostChecklist[[#This Row],[TargetID]],tblTargets[TargetID],tblTargets[DisplayName],"")</f>
        <v>Workshop - Mechanical Spider</v>
      </c>
      <c r="D1156" s="41" t="str">
        <f>_xlfn.XLOOKUP(tblCostChecklist[[#This Row],[TargetID]],tblTargets[TargetID],tblTargets[TargetType],"")</f>
        <v>TECH</v>
      </c>
      <c r="E1156" s="41" t="s">
        <v>662</v>
      </c>
      <c r="F1156" s="41">
        <v>1</v>
      </c>
      <c r="G1156" s="41">
        <f>_xlfn.XLOOKUP(
 tblCostChecklist[[#This Row],[RequirementID]],
 tblCost[RequirementID],
 tblCost[QuantityRequired],
 ""
)</f>
        <v>30</v>
      </c>
      <c r="H11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6" s="41" t="str">
        <f>_xlfn.XLOOKUP(tblCostChecklist[[#This Row],[TargetID]],tblTargetStatus[TargetID],tblTargetStatus[Status])</f>
        <v>BLOCKED</v>
      </c>
      <c r="J1156" s="25" t="b">
        <v>0</v>
      </c>
    </row>
    <row r="1157" spans="1:10">
      <c r="A1157" s="41" t="s">
        <v>4805</v>
      </c>
      <c r="B1157" s="41" t="str">
        <f>_xlfn.TEXTAFTER(
 _xlfn.TEXTBEFORE(tblCostChecklist[[#This Row],[RequirementID]],".",-2),
 "cost."
)</f>
        <v>tech.workshop.mechanical_spider</v>
      </c>
      <c r="C1157" s="41" t="str">
        <f>_xlfn.XLOOKUP(tblCostChecklist[[#This Row],[TargetID]],tblTargets[TargetID],tblTargets[DisplayName],"")</f>
        <v>Workshop - Mechanical Spider</v>
      </c>
      <c r="D1157" s="41" t="str">
        <f>_xlfn.XLOOKUP(tblCostChecklist[[#This Row],[TargetID]],tblTargets[TargetID],tblTargets[TargetType],"")</f>
        <v>TECH</v>
      </c>
      <c r="E1157" s="41" t="s">
        <v>666</v>
      </c>
      <c r="F1157" s="41">
        <v>1</v>
      </c>
      <c r="G1157" s="41">
        <f>_xlfn.XLOOKUP(
 tblCostChecklist[[#This Row],[RequirementID]],
 tblCost[RequirementID],
 tblCost[QuantityRequired],
 ""
)</f>
        <v>1000</v>
      </c>
      <c r="H11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7" s="41" t="str">
        <f>_xlfn.XLOOKUP(tblCostChecklist[[#This Row],[TargetID]],tblTargetStatus[TargetID],tblTargetStatus[Status])</f>
        <v>BLOCKED</v>
      </c>
      <c r="J1157" s="25" t="b">
        <v>0</v>
      </c>
    </row>
    <row r="1158" spans="1:10">
      <c r="A1158" s="41" t="s">
        <v>4806</v>
      </c>
      <c r="B1158" s="41" t="str">
        <f>_xlfn.TEXTAFTER(
 _xlfn.TEXTBEFORE(tblCostChecklist[[#This Row],[RequirementID]],".",-2),
 "cost."
)</f>
        <v>tech.workshop.mechanical_spider</v>
      </c>
      <c r="C1158" s="41" t="str">
        <f>_xlfn.XLOOKUP(tblCostChecklist[[#This Row],[TargetID]],tblTargets[TargetID],tblTargets[DisplayName],"")</f>
        <v>Workshop - Mechanical Spider</v>
      </c>
      <c r="D1158" s="41" t="str">
        <f>_xlfn.XLOOKUP(tblCostChecklist[[#This Row],[TargetID]],tblTargets[TargetID],tblTargets[TargetType],"")</f>
        <v>TECH</v>
      </c>
      <c r="E1158" s="41" t="s">
        <v>686</v>
      </c>
      <c r="F1158" s="41">
        <v>1</v>
      </c>
      <c r="G1158" s="41">
        <f>_xlfn.XLOOKUP(
 tblCostChecklist[[#This Row],[RequirementID]],
 tblCost[RequirementID],
 tblCost[QuantityRequired],
 ""
)</f>
        <v>15</v>
      </c>
      <c r="H11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8" s="41" t="str">
        <f>_xlfn.XLOOKUP(tblCostChecklist[[#This Row],[TargetID]],tblTargetStatus[TargetID],tblTargetStatus[Status])</f>
        <v>BLOCKED</v>
      </c>
      <c r="J1158" s="25" t="b">
        <v>0</v>
      </c>
    </row>
    <row r="1159" spans="1:10">
      <c r="A1159" s="41" t="s">
        <v>4807</v>
      </c>
      <c r="B1159" s="41" t="str">
        <f>_xlfn.TEXTAFTER(
 _xlfn.TEXTBEFORE(tblCostChecklist[[#This Row],[RequirementID]],".",-2),
 "cost."
)</f>
        <v>tech.workshop.mechanical_spider</v>
      </c>
      <c r="C1159" s="41" t="str">
        <f>_xlfn.XLOOKUP(tblCostChecklist[[#This Row],[TargetID]],tblTargets[TargetID],tblTargets[DisplayName],"")</f>
        <v>Workshop - Mechanical Spider</v>
      </c>
      <c r="D1159" s="41" t="str">
        <f>_xlfn.XLOOKUP(tblCostChecklist[[#This Row],[TargetID]],tblTargets[TargetID],tblTargets[TargetType],"")</f>
        <v>TECH</v>
      </c>
      <c r="E1159" s="41" t="s">
        <v>693</v>
      </c>
      <c r="F1159" s="41">
        <v>1</v>
      </c>
      <c r="G1159" s="41">
        <f>_xlfn.XLOOKUP(
 tblCostChecklist[[#This Row],[RequirementID]],
 tblCost[RequirementID],
 tblCost[QuantityRequired],
 ""
)</f>
        <v>20</v>
      </c>
      <c r="H11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9" s="41" t="str">
        <f>_xlfn.XLOOKUP(tblCostChecklist[[#This Row],[TargetID]],tblTargetStatus[TargetID],tblTargetStatus[Status])</f>
        <v>BLOCKED</v>
      </c>
      <c r="J1159" s="25" t="b">
        <v>0</v>
      </c>
    </row>
    <row r="1160" spans="1:10">
      <c r="A1160" s="41" t="s">
        <v>4808</v>
      </c>
      <c r="B1160" s="41" t="str">
        <f>_xlfn.TEXTAFTER(
 _xlfn.TEXTBEFORE(tblCostChecklist[[#This Row],[RequirementID]],".",-2),
 "cost."
)</f>
        <v>tech.workshop.mechanical_spider</v>
      </c>
      <c r="C1160" s="41" t="str">
        <f>_xlfn.XLOOKUP(tblCostChecklist[[#This Row],[TargetID]],tblTargets[TargetID],tblTargets[DisplayName],"")</f>
        <v>Workshop - Mechanical Spider</v>
      </c>
      <c r="D1160" s="41" t="str">
        <f>_xlfn.XLOOKUP(tblCostChecklist[[#This Row],[TargetID]],tblTargets[TargetID],tblTargets[TargetType],"")</f>
        <v>TECH</v>
      </c>
      <c r="E1160" s="41" t="s">
        <v>708</v>
      </c>
      <c r="F1160" s="41">
        <v>1</v>
      </c>
      <c r="G1160" s="41">
        <f>_xlfn.XLOOKUP(
 tblCostChecklist[[#This Row],[RequirementID]],
 tblCost[RequirementID],
 tblCost[QuantityRequired],
 ""
)</f>
        <v>5</v>
      </c>
      <c r="H11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0" s="41" t="str">
        <f>_xlfn.XLOOKUP(tblCostChecklist[[#This Row],[TargetID]],tblTargetStatus[TargetID],tblTargetStatus[Status])</f>
        <v>BLOCKED</v>
      </c>
      <c r="J1160" s="25" t="b">
        <v>0</v>
      </c>
    </row>
    <row r="1161" spans="1:10">
      <c r="A1161" s="41" t="s">
        <v>4809</v>
      </c>
      <c r="B1161" s="41" t="str">
        <f>_xlfn.TEXTAFTER(
 _xlfn.TEXTBEFORE(tblCostChecklist[[#This Row],[RequirementID]],".",-2),
 "cost."
)</f>
        <v>tech.workshop.explosive_mechanical_spider</v>
      </c>
      <c r="C1161" s="41" t="str">
        <f>_xlfn.XLOOKUP(tblCostChecklist[[#This Row],[TargetID]],tblTargets[TargetID],tblTargets[DisplayName],"")</f>
        <v>Workshop - Explosive Mechanical Spider</v>
      </c>
      <c r="D1161" s="41" t="str">
        <f>_xlfn.XLOOKUP(tblCostChecklist[[#This Row],[TargetID]],tblTargets[TargetID],tblTargets[TargetType],"")</f>
        <v>TECH</v>
      </c>
      <c r="E1161" s="41" t="s">
        <v>662</v>
      </c>
      <c r="F1161" s="41">
        <v>1</v>
      </c>
      <c r="G1161" s="41">
        <f>_xlfn.XLOOKUP(
 tblCostChecklist[[#This Row],[RequirementID]],
 tblCost[RequirementID],
 tblCost[QuantityRequired],
 ""
)</f>
        <v>15</v>
      </c>
      <c r="H11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1" s="41" t="str">
        <f>_xlfn.XLOOKUP(tblCostChecklist[[#This Row],[TargetID]],tblTargetStatus[TargetID],tblTargetStatus[Status])</f>
        <v>BLOCKED</v>
      </c>
      <c r="J1161" s="25" t="b">
        <v>0</v>
      </c>
    </row>
    <row r="1162" spans="1:10">
      <c r="A1162" s="41" t="s">
        <v>4810</v>
      </c>
      <c r="B1162" s="41" t="str">
        <f>_xlfn.TEXTAFTER(
 _xlfn.TEXTBEFORE(tblCostChecklist[[#This Row],[RequirementID]],".",-2),
 "cost."
)</f>
        <v>tech.workshop.explosive_mechanical_spider</v>
      </c>
      <c r="C1162" s="41" t="str">
        <f>_xlfn.XLOOKUP(tblCostChecklist[[#This Row],[TargetID]],tblTargets[TargetID],tblTargets[DisplayName],"")</f>
        <v>Workshop - Explosive Mechanical Spider</v>
      </c>
      <c r="D1162" s="41" t="str">
        <f>_xlfn.XLOOKUP(tblCostChecklist[[#This Row],[TargetID]],tblTargets[TargetID],tblTargets[TargetType],"")</f>
        <v>TECH</v>
      </c>
      <c r="E1162" s="41" t="s">
        <v>666</v>
      </c>
      <c r="F1162" s="41">
        <v>1</v>
      </c>
      <c r="G1162" s="41">
        <f>_xlfn.XLOOKUP(
 tblCostChecklist[[#This Row],[RequirementID]],
 tblCost[RequirementID],
 tblCost[QuantityRequired],
 ""
)</f>
        <v>400</v>
      </c>
      <c r="H11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2" s="41" t="str">
        <f>_xlfn.XLOOKUP(tblCostChecklist[[#This Row],[TargetID]],tblTargetStatus[TargetID],tblTargetStatus[Status])</f>
        <v>BLOCKED</v>
      </c>
      <c r="J1162" s="25" t="b">
        <v>0</v>
      </c>
    </row>
    <row r="1163" spans="1:10">
      <c r="A1163" s="41" t="s">
        <v>4811</v>
      </c>
      <c r="B1163" s="41" t="str">
        <f>_xlfn.TEXTAFTER(
 _xlfn.TEXTBEFORE(tblCostChecklist[[#This Row],[RequirementID]],".",-2),
 "cost."
)</f>
        <v>tech.workshop.explosive_mechanical_spider</v>
      </c>
      <c r="C1163" s="41" t="str">
        <f>_xlfn.XLOOKUP(tblCostChecklist[[#This Row],[TargetID]],tblTargets[TargetID],tblTargets[DisplayName],"")</f>
        <v>Workshop - Explosive Mechanical Spider</v>
      </c>
      <c r="D1163" s="41" t="str">
        <f>_xlfn.XLOOKUP(tblCostChecklist[[#This Row],[TargetID]],tblTargets[TargetID],tblTargets[TargetType],"")</f>
        <v>TECH</v>
      </c>
      <c r="E1163" s="41" t="s">
        <v>936</v>
      </c>
      <c r="F1163" s="41">
        <v>1</v>
      </c>
      <c r="G1163" s="41">
        <f>_xlfn.XLOOKUP(
 tblCostChecklist[[#This Row],[RequirementID]],
 tblCost[RequirementID],
 tblCost[QuantityRequired],
 ""
)</f>
        <v>20</v>
      </c>
      <c r="H11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3" s="41" t="str">
        <f>_xlfn.XLOOKUP(tblCostChecklist[[#This Row],[TargetID]],tblTargetStatus[TargetID],tblTargetStatus[Status])</f>
        <v>BLOCKED</v>
      </c>
      <c r="J1163" s="25" t="b">
        <v>0</v>
      </c>
    </row>
    <row r="1164" spans="1:10">
      <c r="A1164" s="41" t="s">
        <v>4812</v>
      </c>
      <c r="B1164" s="41" t="str">
        <f>_xlfn.TEXTAFTER(
 _xlfn.TEXTBEFORE(tblCostChecklist[[#This Row],[RequirementID]],".",-2),
 "cost."
)</f>
        <v>tech.workshop.explosive_mechanical_spider</v>
      </c>
      <c r="C1164" s="41" t="str">
        <f>_xlfn.XLOOKUP(tblCostChecklist[[#This Row],[TargetID]],tblTargets[TargetID],tblTargets[DisplayName],"")</f>
        <v>Workshop - Explosive Mechanical Spider</v>
      </c>
      <c r="D1164" s="41" t="str">
        <f>_xlfn.XLOOKUP(tblCostChecklist[[#This Row],[TargetID]],tblTargets[TargetID],tblTargets[TargetType],"")</f>
        <v>TECH</v>
      </c>
      <c r="E1164" s="41" t="s">
        <v>686</v>
      </c>
      <c r="F1164" s="41">
        <v>1</v>
      </c>
      <c r="G1164" s="41">
        <f>_xlfn.XLOOKUP(
 tblCostChecklist[[#This Row],[RequirementID]],
 tblCost[RequirementID],
 tblCost[QuantityRequired],
 ""
)</f>
        <v>10</v>
      </c>
      <c r="H11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4" s="41" t="str">
        <f>_xlfn.XLOOKUP(tblCostChecklist[[#This Row],[TargetID]],tblTargetStatus[TargetID],tblTargetStatus[Status])</f>
        <v>BLOCKED</v>
      </c>
      <c r="J1164" s="25" t="b">
        <v>0</v>
      </c>
    </row>
    <row r="1165" spans="1:10">
      <c r="A1165" s="41" t="s">
        <v>4813</v>
      </c>
      <c r="B1165" s="41" t="str">
        <f>_xlfn.TEXTAFTER(
 _xlfn.TEXTBEFORE(tblCostChecklist[[#This Row],[RequirementID]],".",-2),
 "cost."
)</f>
        <v>tech.workshop.explosive_mechanical_spider</v>
      </c>
      <c r="C1165" s="41" t="str">
        <f>_xlfn.XLOOKUP(tblCostChecklist[[#This Row],[TargetID]],tblTargets[TargetID],tblTargets[DisplayName],"")</f>
        <v>Workshop - Explosive Mechanical Spider</v>
      </c>
      <c r="D1165" s="41" t="str">
        <f>_xlfn.XLOOKUP(tblCostChecklist[[#This Row],[TargetID]],tblTargets[TargetID],tblTargets[TargetType],"")</f>
        <v>TECH</v>
      </c>
      <c r="E1165" s="41" t="s">
        <v>692</v>
      </c>
      <c r="F1165" s="41">
        <v>1</v>
      </c>
      <c r="G1165" s="41">
        <f>_xlfn.XLOOKUP(
 tblCostChecklist[[#This Row],[RequirementID]],
 tblCost[RequirementID],
 tblCost[QuantityRequired],
 ""
)</f>
        <v>3</v>
      </c>
      <c r="H11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5" s="41" t="str">
        <f>_xlfn.XLOOKUP(tblCostChecklist[[#This Row],[TargetID]],tblTargetStatus[TargetID],tblTargetStatus[Status])</f>
        <v>BLOCKED</v>
      </c>
      <c r="J1165" s="25" t="b">
        <v>0</v>
      </c>
    </row>
    <row r="1166" spans="1:10">
      <c r="A1166" s="41" t="s">
        <v>4814</v>
      </c>
      <c r="B1166" s="41" t="str">
        <f>_xlfn.TEXTAFTER(
 _xlfn.TEXTBEFORE(tblCostChecklist[[#This Row],[RequirementID]],".",-2),
 "cost."
)</f>
        <v>tech.workshop.explosive_mechanical_spider</v>
      </c>
      <c r="C1166" s="41" t="str">
        <f>_xlfn.XLOOKUP(tblCostChecklist[[#This Row],[TargetID]],tblTargets[TargetID],tblTargets[DisplayName],"")</f>
        <v>Workshop - Explosive Mechanical Spider</v>
      </c>
      <c r="D1166" s="41" t="str">
        <f>_xlfn.XLOOKUP(tblCostChecklist[[#This Row],[TargetID]],tblTargets[TargetID],tblTargets[TargetType],"")</f>
        <v>TECH</v>
      </c>
      <c r="E1166" s="41" t="s">
        <v>708</v>
      </c>
      <c r="F1166" s="41">
        <v>1</v>
      </c>
      <c r="G1166" s="41">
        <f>_xlfn.XLOOKUP(
 tblCostChecklist[[#This Row],[RequirementID]],
 tblCost[RequirementID],
 tblCost[QuantityRequired],
 ""
)</f>
        <v>2</v>
      </c>
      <c r="H11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6" s="41" t="str">
        <f>_xlfn.XLOOKUP(tblCostChecklist[[#This Row],[TargetID]],tblTargetStatus[TargetID],tblTargetStatus[Status])</f>
        <v>BLOCKED</v>
      </c>
      <c r="J1166" s="25" t="b">
        <v>0</v>
      </c>
    </row>
    <row r="1167" spans="1:10">
      <c r="A1167" s="41" t="s">
        <v>4815</v>
      </c>
      <c r="B1167" s="41" t="str">
        <f>_xlfn.TEXTAFTER(
 _xlfn.TEXTBEFORE(tblCostChecklist[[#This Row],[RequirementID]],".",-2),
 "cost."
)</f>
        <v>tech.workshop.steamobile</v>
      </c>
      <c r="C1167" s="41" t="str">
        <f>_xlfn.XLOOKUP(tblCostChecklist[[#This Row],[TargetID]],tblTargets[TargetID],tblTargets[DisplayName],"")</f>
        <v>Workshop - Steamobile</v>
      </c>
      <c r="D1167" s="41" t="str">
        <f>_xlfn.XLOOKUP(tblCostChecklist[[#This Row],[TargetID]],tblTargets[TargetID],tblTargets[TargetType],"")</f>
        <v>TECH</v>
      </c>
      <c r="E1167" s="41" t="s">
        <v>662</v>
      </c>
      <c r="F1167" s="41">
        <v>1</v>
      </c>
      <c r="G1167" s="41">
        <f>_xlfn.XLOOKUP(
 tblCostChecklist[[#This Row],[RequirementID]],
 tblCost[RequirementID],
 tblCost[QuantityRequired],
 ""
)</f>
        <v>30</v>
      </c>
      <c r="H11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7" s="41" t="str">
        <f>_xlfn.XLOOKUP(tblCostChecklist[[#This Row],[TargetID]],tblTargetStatus[TargetID],tblTargetStatus[Status])</f>
        <v>BLOCKED</v>
      </c>
      <c r="J1167" s="25" t="b">
        <v>0</v>
      </c>
    </row>
    <row r="1168" spans="1:10">
      <c r="A1168" s="41" t="s">
        <v>4816</v>
      </c>
      <c r="B1168" s="41" t="str">
        <f>_xlfn.TEXTAFTER(
 _xlfn.TEXTBEFORE(tblCostChecklist[[#This Row],[RequirementID]],".",-2),
 "cost."
)</f>
        <v>tech.workshop.steamobile</v>
      </c>
      <c r="C1168" s="41" t="str">
        <f>_xlfn.XLOOKUP(tblCostChecklist[[#This Row],[TargetID]],tblTargets[TargetID],tblTargets[DisplayName],"")</f>
        <v>Workshop - Steamobile</v>
      </c>
      <c r="D1168" s="41" t="str">
        <f>_xlfn.XLOOKUP(tblCostChecklist[[#This Row],[TargetID]],tblTargets[TargetID],tblTargets[TargetType],"")</f>
        <v>TECH</v>
      </c>
      <c r="E1168" s="41" t="s">
        <v>666</v>
      </c>
      <c r="F1168" s="41">
        <v>1</v>
      </c>
      <c r="G1168" s="41">
        <f>_xlfn.XLOOKUP(
 tblCostChecklist[[#This Row],[RequirementID]],
 tblCost[RequirementID],
 tblCost[QuantityRequired],
 ""
)</f>
        <v>1500</v>
      </c>
      <c r="H11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8" s="41" t="str">
        <f>_xlfn.XLOOKUP(tblCostChecklist[[#This Row],[TargetID]],tblTargetStatus[TargetID],tblTargetStatus[Status])</f>
        <v>BLOCKED</v>
      </c>
      <c r="J1168" s="25" t="b">
        <v>0</v>
      </c>
    </row>
    <row r="1169" spans="1:10">
      <c r="A1169" s="41" t="s">
        <v>4817</v>
      </c>
      <c r="B1169" s="41" t="str">
        <f>_xlfn.TEXTAFTER(
 _xlfn.TEXTBEFORE(tblCostChecklist[[#This Row],[RequirementID]],".",-2),
 "cost."
)</f>
        <v>tech.workshop.steamobile</v>
      </c>
      <c r="C1169" s="41" t="str">
        <f>_xlfn.XLOOKUP(tblCostChecklist[[#This Row],[TargetID]],tblTargets[TargetID],tblTargets[DisplayName],"")</f>
        <v>Workshop - Steamobile</v>
      </c>
      <c r="D1169" s="41" t="str">
        <f>_xlfn.XLOOKUP(tblCostChecklist[[#This Row],[TargetID]],tblTargets[TargetID],tblTargets[TargetType],"")</f>
        <v>TECH</v>
      </c>
      <c r="E1169" s="41" t="s">
        <v>686</v>
      </c>
      <c r="F1169" s="41">
        <v>1</v>
      </c>
      <c r="G1169" s="41">
        <f>_xlfn.XLOOKUP(
 tblCostChecklist[[#This Row],[RequirementID]],
 tblCost[RequirementID],
 tblCost[QuantityRequired],
 ""
)</f>
        <v>15</v>
      </c>
      <c r="H11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9" s="41" t="str">
        <f>_xlfn.XLOOKUP(tblCostChecklist[[#This Row],[TargetID]],tblTargetStatus[TargetID],tblTargetStatus[Status])</f>
        <v>BLOCKED</v>
      </c>
      <c r="J1169" s="25" t="b">
        <v>0</v>
      </c>
    </row>
    <row r="1170" spans="1:10">
      <c r="A1170" s="41" t="s">
        <v>4818</v>
      </c>
      <c r="B1170" s="41" t="str">
        <f>_xlfn.TEXTAFTER(
 _xlfn.TEXTBEFORE(tblCostChecklist[[#This Row],[RequirementID]],".",-2),
 "cost."
)</f>
        <v>tech.workshop.steamobile</v>
      </c>
      <c r="C1170" s="41" t="str">
        <f>_xlfn.XLOOKUP(tblCostChecklist[[#This Row],[TargetID]],tblTargets[TargetID],tblTargets[DisplayName],"")</f>
        <v>Workshop - Steamobile</v>
      </c>
      <c r="D1170" s="41" t="str">
        <f>_xlfn.XLOOKUP(tblCostChecklist[[#This Row],[TargetID]],tblTargets[TargetID],tblTargets[TargetType],"")</f>
        <v>TECH</v>
      </c>
      <c r="E1170" s="41" t="s">
        <v>693</v>
      </c>
      <c r="F1170" s="41">
        <v>1</v>
      </c>
      <c r="G1170" s="41">
        <f>_xlfn.XLOOKUP(
 tblCostChecklist[[#This Row],[RequirementID]],
 tblCost[RequirementID],
 tblCost[QuantityRequired],
 ""
)</f>
        <v>30</v>
      </c>
      <c r="H11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0" s="41" t="str">
        <f>_xlfn.XLOOKUP(tblCostChecklist[[#This Row],[TargetID]],tblTargetStatus[TargetID],tblTargetStatus[Status])</f>
        <v>BLOCKED</v>
      </c>
      <c r="J1170" s="25" t="b">
        <v>0</v>
      </c>
    </row>
    <row r="1171" spans="1:10">
      <c r="A1171" s="41" t="s">
        <v>4819</v>
      </c>
      <c r="B1171" s="41" t="str">
        <f>_xlfn.TEXTAFTER(
 _xlfn.TEXTBEFORE(tblCostChecklist[[#This Row],[RequirementID]],".",-2),
 "cost."
)</f>
        <v>tech.workshop.steamobile</v>
      </c>
      <c r="C1171" s="41" t="str">
        <f>_xlfn.XLOOKUP(tblCostChecklist[[#This Row],[TargetID]],tblTargets[TargetID],tblTargets[DisplayName],"")</f>
        <v>Workshop - Steamobile</v>
      </c>
      <c r="D1171" s="41" t="str">
        <f>_xlfn.XLOOKUP(tblCostChecklist[[#This Row],[TargetID]],tblTargets[TargetID],tblTargets[TargetType],"")</f>
        <v>TECH</v>
      </c>
      <c r="E1171" s="41" t="s">
        <v>708</v>
      </c>
      <c r="F1171" s="41">
        <v>1</v>
      </c>
      <c r="G1171" s="41">
        <f>_xlfn.XLOOKUP(
 tblCostChecklist[[#This Row],[RequirementID]],
 tblCost[RequirementID],
 tblCost[QuantityRequired],
 ""
)</f>
        <v>7</v>
      </c>
      <c r="H11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1" s="41" t="str">
        <f>_xlfn.XLOOKUP(tblCostChecklist[[#This Row],[TargetID]],tblTargetStatus[TargetID],tblTargetStatus[Status])</f>
        <v>BLOCKED</v>
      </c>
      <c r="J1171" s="25" t="b">
        <v>0</v>
      </c>
    </row>
    <row r="1172" spans="1:10">
      <c r="A1172" s="41" t="s">
        <v>4820</v>
      </c>
      <c r="B1172" s="41" t="str">
        <f>_xlfn.TEXTAFTER(
 _xlfn.TEXTBEFORE(tblCostChecklist[[#This Row],[RequirementID]],".",-2),
 "cost."
)</f>
        <v>tech.workshop.zen_fountain</v>
      </c>
      <c r="C1172" s="41" t="str">
        <f>_xlfn.XLOOKUP(tblCostChecklist[[#This Row],[TargetID]],tblTargets[TargetID],tblTargets[DisplayName],"")</f>
        <v>Workshop - Zen Fountain</v>
      </c>
      <c r="D1172" s="41" t="str">
        <f>_xlfn.XLOOKUP(tblCostChecklist[[#This Row],[TargetID]],tblTargets[TargetID],tblTargets[TargetType],"")</f>
        <v>TECH</v>
      </c>
      <c r="E1172" s="41" t="s">
        <v>657</v>
      </c>
      <c r="F1172" s="41">
        <v>1</v>
      </c>
      <c r="G1172" s="41">
        <f>_xlfn.XLOOKUP(
 tblCostChecklist[[#This Row],[RequirementID]],
 tblCost[RequirementID],
 tblCost[QuantityRequired],
 ""
)</f>
        <v>30</v>
      </c>
      <c r="H11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2" s="41" t="str">
        <f>_xlfn.XLOOKUP(tblCostChecklist[[#This Row],[TargetID]],tblTargetStatus[TargetID],tblTargetStatus[Status])</f>
        <v>BLOCKED</v>
      </c>
      <c r="J1172" s="25" t="b">
        <v>0</v>
      </c>
    </row>
    <row r="1173" spans="1:10">
      <c r="A1173" s="41" t="s">
        <v>4821</v>
      </c>
      <c r="B1173" s="41" t="str">
        <f>_xlfn.TEXTAFTER(
 _xlfn.TEXTBEFORE(tblCostChecklist[[#This Row],[RequirementID]],".",-2),
 "cost."
)</f>
        <v>tech.workshop.zen_fountain</v>
      </c>
      <c r="C1173" s="41" t="str">
        <f>_xlfn.XLOOKUP(tblCostChecklist[[#This Row],[TargetID]],tblTargets[TargetID],tblTargets[DisplayName],"")</f>
        <v>Workshop - Zen Fountain</v>
      </c>
      <c r="D1173" s="41" t="str">
        <f>_xlfn.XLOOKUP(tblCostChecklist[[#This Row],[TargetID]],tblTargets[TargetID],tblTargets[TargetType],"")</f>
        <v>TECH</v>
      </c>
      <c r="E1173" s="41" t="s">
        <v>666</v>
      </c>
      <c r="F1173" s="41">
        <v>1</v>
      </c>
      <c r="G1173" s="41">
        <f>_xlfn.XLOOKUP(
 tblCostChecklist[[#This Row],[RequirementID]],
 tblCost[RequirementID],
 tblCost[QuantityRequired],
 ""
)</f>
        <v>1000</v>
      </c>
      <c r="H11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3" s="41" t="str">
        <f>_xlfn.XLOOKUP(tblCostChecklist[[#This Row],[TargetID]],tblTargetStatus[TargetID],tblTargetStatus[Status])</f>
        <v>BLOCKED</v>
      </c>
      <c r="J1173" s="25" t="b">
        <v>0</v>
      </c>
    </row>
    <row r="1174" spans="1:10">
      <c r="A1174" s="41" t="s">
        <v>4822</v>
      </c>
      <c r="B1174" s="41" t="str">
        <f>_xlfn.TEXTAFTER(
 _xlfn.TEXTBEFORE(tblCostChecklist[[#This Row],[RequirementID]],".",-2),
 "cost."
)</f>
        <v>tech.workshop.zen_fountain</v>
      </c>
      <c r="C1174" s="41" t="str">
        <f>_xlfn.XLOOKUP(tblCostChecklist[[#This Row],[TargetID]],tblTargets[TargetID],tblTargets[DisplayName],"")</f>
        <v>Workshop - Zen Fountain</v>
      </c>
      <c r="D1174" s="41" t="str">
        <f>_xlfn.XLOOKUP(tblCostChecklist[[#This Row],[TargetID]],tblTargets[TargetID],tblTargets[TargetType],"")</f>
        <v>TECH</v>
      </c>
      <c r="E1174" s="41" t="s">
        <v>677</v>
      </c>
      <c r="F1174" s="41">
        <v>1</v>
      </c>
      <c r="G1174" s="41">
        <f>_xlfn.XLOOKUP(
 tblCostChecklist[[#This Row],[RequirementID]],
 tblCost[RequirementID],
 tblCost[QuantityRequired],
 ""
)</f>
        <v>10</v>
      </c>
      <c r="H11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4" s="41" t="str">
        <f>_xlfn.XLOOKUP(tblCostChecklist[[#This Row],[TargetID]],tblTargetStatus[TargetID],tblTargetStatus[Status])</f>
        <v>BLOCKED</v>
      </c>
      <c r="J1174" s="25" t="b">
        <v>0</v>
      </c>
    </row>
    <row r="1175" spans="1:10">
      <c r="A1175" s="41" t="s">
        <v>4823</v>
      </c>
      <c r="B1175" s="41" t="str">
        <f>_xlfn.TEXTAFTER(
 _xlfn.TEXTBEFORE(tblCostChecklist[[#This Row],[RequirementID]],".",-2),
 "cost."
)</f>
        <v>tech.workshop.zen_fountain</v>
      </c>
      <c r="C1175" s="41" t="str">
        <f>_xlfn.XLOOKUP(tblCostChecklist[[#This Row],[TargetID]],tblTargets[TargetID],tblTargets[DisplayName],"")</f>
        <v>Workshop - Zen Fountain</v>
      </c>
      <c r="D1175" s="41" t="str">
        <f>_xlfn.XLOOKUP(tblCostChecklist[[#This Row],[TargetID]],tblTargets[TargetID],tblTargets[TargetType],"")</f>
        <v>TECH</v>
      </c>
      <c r="E1175" s="41" t="s">
        <v>708</v>
      </c>
      <c r="F1175" s="41">
        <v>1</v>
      </c>
      <c r="G1175" s="41">
        <f>_xlfn.XLOOKUP(
 tblCostChecklist[[#This Row],[RequirementID]],
 tblCost[RequirementID],
 tblCost[QuantityRequired],
 ""
)</f>
        <v>5</v>
      </c>
      <c r="H11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5" s="41" t="str">
        <f>_xlfn.XLOOKUP(tblCostChecklist[[#This Row],[TargetID]],tblTargetStatus[TargetID],tblTargetStatus[Status])</f>
        <v>BLOCKED</v>
      </c>
      <c r="J1175" s="25" t="b">
        <v>0</v>
      </c>
    </row>
    <row r="1176" spans="1:10">
      <c r="A1176" s="41" t="s">
        <v>4824</v>
      </c>
      <c r="B1176" s="41" t="str">
        <f>_xlfn.TEXTAFTER(
 _xlfn.TEXTBEFORE(tblCostChecklist[[#This Row],[RequirementID]],".",-2),
 "cost."
)</f>
        <v>tech.workshop.zen_fountain</v>
      </c>
      <c r="C1176" s="41" t="str">
        <f>_xlfn.XLOOKUP(tblCostChecklist[[#This Row],[TargetID]],tblTargets[TargetID],tblTargets[DisplayName],"")</f>
        <v>Workshop - Zen Fountain</v>
      </c>
      <c r="D1176" s="41" t="str">
        <f>_xlfn.XLOOKUP(tblCostChecklist[[#This Row],[TargetID]],tblTargets[TargetID],tblTargets[TargetType],"")</f>
        <v>TECH</v>
      </c>
      <c r="E1176" s="41" t="s">
        <v>717</v>
      </c>
      <c r="F1176" s="41">
        <v>1</v>
      </c>
      <c r="G1176" s="41">
        <f>_xlfn.XLOOKUP(
 tblCostChecklist[[#This Row],[RequirementID]],
 tblCost[RequirementID],
 tblCost[QuantityRequired],
 ""
)</f>
        <v>100</v>
      </c>
      <c r="H11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6" s="41" t="str">
        <f>_xlfn.XLOOKUP(tblCostChecklist[[#This Row],[TargetID]],tblTargetStatus[TargetID],tblTargetStatus[Status])</f>
        <v>BLOCKED</v>
      </c>
      <c r="J1176" s="25" t="b">
        <v>0</v>
      </c>
    </row>
    <row r="1177" spans="1:10">
      <c r="A1177" s="41" t="s">
        <v>4825</v>
      </c>
      <c r="B1177" s="41" t="str">
        <f>_xlfn.TEXTAFTER(
 _xlfn.TEXTBEFORE(tblCostChecklist[[#This Row],[RequirementID]],".",-2),
 "cost."
)</f>
        <v>tech.workshop.zen_fountain</v>
      </c>
      <c r="C1177" s="41" t="str">
        <f>_xlfn.XLOOKUP(tblCostChecklist[[#This Row],[TargetID]],tblTargets[TargetID],tblTargets[DisplayName],"")</f>
        <v>Workshop - Zen Fountain</v>
      </c>
      <c r="D1177" s="41" t="str">
        <f>_xlfn.XLOOKUP(tblCostChecklist[[#This Row],[TargetID]],tblTargets[TargetID],tblTargets[TargetType],"")</f>
        <v>TECH</v>
      </c>
      <c r="E1177" s="41" t="s">
        <v>719</v>
      </c>
      <c r="F1177" s="41">
        <v>1</v>
      </c>
      <c r="G1177" s="41">
        <f>_xlfn.XLOOKUP(
 tblCostChecklist[[#This Row],[RequirementID]],
 tblCost[RequirementID],
 tblCost[QuantityRequired],
 ""
)</f>
        <v>20</v>
      </c>
      <c r="H11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7" s="41" t="str">
        <f>_xlfn.XLOOKUP(tblCostChecklist[[#This Row],[TargetID]],tblTargetStatus[TargetID],tblTargetStatus[Status])</f>
        <v>BLOCKED</v>
      </c>
      <c r="J1177" s="25" t="b">
        <v>0</v>
      </c>
    </row>
    <row r="1178" spans="1:10">
      <c r="A1178" s="41" t="s">
        <v>4826</v>
      </c>
      <c r="B1178" s="41" t="str">
        <f>_xlfn.TEXTAFTER(
 _xlfn.TEXTBEFORE(tblCostChecklist[[#This Row],[RequirementID]],".",-2),
 "cost."
)</f>
        <v>tech.workshop.conveyor_lvl_1</v>
      </c>
      <c r="C1178" s="41" t="str">
        <f>_xlfn.XLOOKUP(tblCostChecklist[[#This Row],[TargetID]],tblTargets[TargetID],tblTargets[DisplayName],"")</f>
        <v>Workshop - Conveyor Lvl 1</v>
      </c>
      <c r="D1178" s="41" t="str">
        <f>_xlfn.XLOOKUP(tblCostChecklist[[#This Row],[TargetID]],tblTargets[TargetID],tblTargets[TargetType],"")</f>
        <v>TECH</v>
      </c>
      <c r="E1178" s="41" t="s">
        <v>662</v>
      </c>
      <c r="F1178" s="41">
        <v>1</v>
      </c>
      <c r="G1178" s="41">
        <f>_xlfn.XLOOKUP(
 tblCostChecklist[[#This Row],[RequirementID]],
 tblCost[RequirementID],
 tblCost[QuantityRequired],
 ""
)</f>
        <v>20</v>
      </c>
      <c r="H11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78" s="41" t="str">
        <f>_xlfn.XLOOKUP(tblCostChecklist[[#This Row],[TargetID]],tblTargetStatus[TargetID],tblTargetStatus[Status])</f>
        <v>BLOCKED</v>
      </c>
      <c r="J1178" s="25" t="b">
        <v>0</v>
      </c>
    </row>
    <row r="1179" spans="1:10">
      <c r="A1179" s="41" t="s">
        <v>4827</v>
      </c>
      <c r="B1179" s="41" t="str">
        <f>_xlfn.TEXTAFTER(
 _xlfn.TEXTBEFORE(tblCostChecklist[[#This Row],[RequirementID]],".",-2),
 "cost."
)</f>
        <v>tech.workshop.conveyor_lvl_1</v>
      </c>
      <c r="C1179" s="41" t="str">
        <f>_xlfn.XLOOKUP(tblCostChecklist[[#This Row],[TargetID]],tblTargets[TargetID],tblTargets[DisplayName],"")</f>
        <v>Workshop - Conveyor Lvl 1</v>
      </c>
      <c r="D1179" s="41" t="str">
        <f>_xlfn.XLOOKUP(tblCostChecklist[[#This Row],[TargetID]],tblTargets[TargetID],tblTargets[TargetType],"")</f>
        <v>TECH</v>
      </c>
      <c r="E1179" s="41" t="s">
        <v>666</v>
      </c>
      <c r="F1179" s="41">
        <v>1</v>
      </c>
      <c r="G1179" s="41">
        <f>_xlfn.XLOOKUP(
 tblCostChecklist[[#This Row],[RequirementID]],
 tblCost[RequirementID],
 tblCost[QuantityRequired],
 ""
)</f>
        <v>1000</v>
      </c>
      <c r="H11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79" s="41" t="str">
        <f>_xlfn.XLOOKUP(tblCostChecklist[[#This Row],[TargetID]],tblTargetStatus[TargetID],tblTargetStatus[Status])</f>
        <v>BLOCKED</v>
      </c>
      <c r="J1179" s="25" t="b">
        <v>0</v>
      </c>
    </row>
    <row r="1180" spans="1:10">
      <c r="A1180" s="41" t="s">
        <v>4828</v>
      </c>
      <c r="B1180" s="41" t="str">
        <f>_xlfn.TEXTAFTER(
 _xlfn.TEXTBEFORE(tblCostChecklist[[#This Row],[RequirementID]],".",-2),
 "cost."
)</f>
        <v>tech.workshop.conveyor_lvl_1</v>
      </c>
      <c r="C1180" s="41" t="str">
        <f>_xlfn.XLOOKUP(tblCostChecklist[[#This Row],[TargetID]],tblTargets[TargetID],tblTargets[DisplayName],"")</f>
        <v>Workshop - Conveyor Lvl 1</v>
      </c>
      <c r="D1180" s="41" t="str">
        <f>_xlfn.XLOOKUP(tblCostChecklist[[#This Row],[TargetID]],tblTargets[TargetID],tblTargets[TargetType],"")</f>
        <v>TECH</v>
      </c>
      <c r="E1180" s="41" t="s">
        <v>931</v>
      </c>
      <c r="F1180" s="41">
        <v>1</v>
      </c>
      <c r="G1180" s="41">
        <f>_xlfn.XLOOKUP(
 tblCostChecklist[[#This Row],[RequirementID]],
 tblCost[RequirementID],
 tblCost[QuantityRequired],
 ""
)</f>
        <v>50</v>
      </c>
      <c r="H11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80" s="41" t="str">
        <f>_xlfn.XLOOKUP(tblCostChecklist[[#This Row],[TargetID]],tblTargetStatus[TargetID],tblTargetStatus[Status])</f>
        <v>BLOCKED</v>
      </c>
      <c r="J1180" s="25" t="b">
        <v>0</v>
      </c>
    </row>
    <row r="1181" spans="1:10">
      <c r="A1181" s="41" t="s">
        <v>4829</v>
      </c>
      <c r="B1181" s="41" t="str">
        <f>_xlfn.TEXTAFTER(
 _xlfn.TEXTBEFORE(tblCostChecklist[[#This Row],[RequirementID]],".",-2),
 "cost."
)</f>
        <v>tech.workshop.conveyor_lvl_1</v>
      </c>
      <c r="C1181" s="41" t="str">
        <f>_xlfn.XLOOKUP(tblCostChecklist[[#This Row],[TargetID]],tblTargets[TargetID],tblTargets[DisplayName],"")</f>
        <v>Workshop - Conveyor Lvl 1</v>
      </c>
      <c r="D1181" s="41" t="str">
        <f>_xlfn.XLOOKUP(tblCostChecklist[[#This Row],[TargetID]],tblTargets[TargetID],tblTargets[TargetType],"")</f>
        <v>TECH</v>
      </c>
      <c r="E1181" s="41" t="s">
        <v>686</v>
      </c>
      <c r="F1181" s="41">
        <v>1</v>
      </c>
      <c r="G1181" s="41">
        <f>_xlfn.XLOOKUP(
 tblCostChecklist[[#This Row],[RequirementID]],
 tblCost[RequirementID],
 tblCost[QuantityRequired],
 ""
)</f>
        <v>10</v>
      </c>
      <c r="H11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81" s="41" t="str">
        <f>_xlfn.XLOOKUP(tblCostChecklist[[#This Row],[TargetID]],tblTargetStatus[TargetID],tblTargetStatus[Status])</f>
        <v>BLOCKED</v>
      </c>
      <c r="J1181" s="25" t="b">
        <v>0</v>
      </c>
    </row>
    <row r="1182" spans="1:10">
      <c r="A1182" s="41" t="s">
        <v>4830</v>
      </c>
      <c r="B1182" s="41" t="str">
        <f>_xlfn.TEXTAFTER(
 _xlfn.TEXTBEFORE(tblCostChecklist[[#This Row],[RequirementID]],".",-2),
 "cost."
)</f>
        <v>tech.workshop.conveyor_lvl_1</v>
      </c>
      <c r="C1182" s="41" t="str">
        <f>_xlfn.XLOOKUP(tblCostChecklist[[#This Row],[TargetID]],tblTargets[TargetID],tblTargets[DisplayName],"")</f>
        <v>Workshop - Conveyor Lvl 1</v>
      </c>
      <c r="D1182" s="41" t="str">
        <f>_xlfn.XLOOKUP(tblCostChecklist[[#This Row],[TargetID]],tblTargets[TargetID],tblTargets[TargetType],"")</f>
        <v>TECH</v>
      </c>
      <c r="E1182" s="41" t="s">
        <v>693</v>
      </c>
      <c r="F1182" s="41">
        <v>1</v>
      </c>
      <c r="G1182" s="41">
        <f>_xlfn.XLOOKUP(
 tblCostChecklist[[#This Row],[RequirementID]],
 tblCost[RequirementID],
 tblCost[QuantityRequired],
 ""
)</f>
        <v>20</v>
      </c>
      <c r="H11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82" s="41" t="str">
        <f>_xlfn.XLOOKUP(tblCostChecklist[[#This Row],[TargetID]],tblTargetStatus[TargetID],tblTargetStatus[Status])</f>
        <v>BLOCKED</v>
      </c>
      <c r="J1182" s="25" t="b">
        <v>0</v>
      </c>
    </row>
    <row r="1183" spans="1:10">
      <c r="A1183" s="41" t="s">
        <v>4831</v>
      </c>
      <c r="B1183" s="41" t="str">
        <f>_xlfn.TEXTAFTER(
 _xlfn.TEXTBEFORE(tblCostChecklist[[#This Row],[RequirementID]],".",-2),
 "cost."
)</f>
        <v>tech.workshop.conveyor_lvl_1</v>
      </c>
      <c r="C1183" s="41" t="str">
        <f>_xlfn.XLOOKUP(tblCostChecklist[[#This Row],[TargetID]],tblTargets[TargetID],tblTargets[DisplayName],"")</f>
        <v>Workshop - Conveyor Lvl 1</v>
      </c>
      <c r="D1183" s="41" t="str">
        <f>_xlfn.XLOOKUP(tblCostChecklist[[#This Row],[TargetID]],tblTargets[TargetID],tblTargets[TargetType],"")</f>
        <v>TECH</v>
      </c>
      <c r="E1183" s="41" t="s">
        <v>708</v>
      </c>
      <c r="F1183" s="41">
        <v>1</v>
      </c>
      <c r="G1183" s="41">
        <f>_xlfn.XLOOKUP(
 tblCostChecklist[[#This Row],[RequirementID]],
 tblCost[RequirementID],
 tblCost[QuantityRequired],
 ""
)</f>
        <v>3</v>
      </c>
      <c r="H11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83" s="41" t="str">
        <f>_xlfn.XLOOKUP(tblCostChecklist[[#This Row],[TargetID]],tblTargetStatus[TargetID],tblTargetStatus[Status])</f>
        <v>BLOCKED</v>
      </c>
      <c r="J1183" s="25" t="b">
        <v>0</v>
      </c>
    </row>
    <row r="1184" spans="1:10">
      <c r="A1184" s="41" t="s">
        <v>4832</v>
      </c>
      <c r="B1184" s="41" t="str">
        <f>_xlfn.TEXTAFTER(
 _xlfn.TEXTBEFORE(tblCostChecklist[[#This Row],[RequirementID]],".",-2),
 "cost."
)</f>
        <v>tech.workshop.conveyor_lvl_2</v>
      </c>
      <c r="C1184" s="41" t="str">
        <f>_xlfn.XLOOKUP(tblCostChecklist[[#This Row],[TargetID]],tblTargets[TargetID],tblTargets[DisplayName],"")</f>
        <v>Workshop - Conveyor Lvl 2</v>
      </c>
      <c r="D1184" s="41" t="str">
        <f>_xlfn.XLOOKUP(tblCostChecklist[[#This Row],[TargetID]],tblTargets[TargetID],tblTargets[TargetType],"")</f>
        <v>TECH</v>
      </c>
      <c r="E1184" s="41" t="s">
        <v>662</v>
      </c>
      <c r="F1184" s="41">
        <v>1</v>
      </c>
      <c r="G1184" s="41">
        <f>_xlfn.XLOOKUP(
 tblCostChecklist[[#This Row],[RequirementID]],
 tblCost[RequirementID],
 tblCost[QuantityRequired],
 ""
)</f>
        <v>30</v>
      </c>
      <c r="H11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4" s="41" t="str">
        <f>_xlfn.XLOOKUP(tblCostChecklist[[#This Row],[TargetID]],tblTargetStatus[TargetID],tblTargetStatus[Status])</f>
        <v>BLOCKED</v>
      </c>
      <c r="J1184" s="25" t="b">
        <v>0</v>
      </c>
    </row>
    <row r="1185" spans="1:10">
      <c r="A1185" s="41" t="s">
        <v>4833</v>
      </c>
      <c r="B1185" s="41" t="str">
        <f>_xlfn.TEXTAFTER(
 _xlfn.TEXTBEFORE(tblCostChecklist[[#This Row],[RequirementID]],".",-2),
 "cost."
)</f>
        <v>tech.workshop.conveyor_lvl_2</v>
      </c>
      <c r="C1185" s="41" t="str">
        <f>_xlfn.XLOOKUP(tblCostChecklist[[#This Row],[TargetID]],tblTargets[TargetID],tblTargets[DisplayName],"")</f>
        <v>Workshop - Conveyor Lvl 2</v>
      </c>
      <c r="D1185" s="41" t="str">
        <f>_xlfn.XLOOKUP(tblCostChecklist[[#This Row],[TargetID]],tblTargets[TargetID],tblTargets[TargetType],"")</f>
        <v>TECH</v>
      </c>
      <c r="E1185" s="41" t="s">
        <v>666</v>
      </c>
      <c r="F1185" s="41">
        <v>1</v>
      </c>
      <c r="G1185" s="41">
        <f>_xlfn.XLOOKUP(
 tblCostChecklist[[#This Row],[RequirementID]],
 tblCost[RequirementID],
 tblCost[QuantityRequired],
 ""
)</f>
        <v>1500</v>
      </c>
      <c r="H11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5" s="41" t="str">
        <f>_xlfn.XLOOKUP(tblCostChecklist[[#This Row],[TargetID]],tblTargetStatus[TargetID],tblTargetStatus[Status])</f>
        <v>BLOCKED</v>
      </c>
      <c r="J1185" s="25" t="b">
        <v>0</v>
      </c>
    </row>
    <row r="1186" spans="1:10">
      <c r="A1186" s="41" t="s">
        <v>4834</v>
      </c>
      <c r="B1186" s="41" t="str">
        <f>_xlfn.TEXTAFTER(
 _xlfn.TEXTBEFORE(tblCostChecklist[[#This Row],[RequirementID]],".",-2),
 "cost."
)</f>
        <v>tech.workshop.conveyor_lvl_2</v>
      </c>
      <c r="C1186" s="41" t="str">
        <f>_xlfn.XLOOKUP(tblCostChecklist[[#This Row],[TargetID]],tblTargets[TargetID],tblTargets[DisplayName],"")</f>
        <v>Workshop - Conveyor Lvl 2</v>
      </c>
      <c r="D1186" s="41" t="str">
        <f>_xlfn.XLOOKUP(tblCostChecklist[[#This Row],[TargetID]],tblTargets[TargetID],tblTargets[TargetType],"")</f>
        <v>TECH</v>
      </c>
      <c r="E1186" s="41" t="s">
        <v>931</v>
      </c>
      <c r="F1186" s="41">
        <v>1</v>
      </c>
      <c r="G1186" s="41">
        <f>_xlfn.XLOOKUP(
 tblCostChecklist[[#This Row],[RequirementID]],
 tblCost[RequirementID],
 tblCost[QuantityRequired],
 ""
)</f>
        <v>75</v>
      </c>
      <c r="H11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6" s="41" t="str">
        <f>_xlfn.XLOOKUP(tblCostChecklist[[#This Row],[TargetID]],tblTargetStatus[TargetID],tblTargetStatus[Status])</f>
        <v>BLOCKED</v>
      </c>
      <c r="J1186" s="25" t="b">
        <v>0</v>
      </c>
    </row>
    <row r="1187" spans="1:10">
      <c r="A1187" s="41" t="s">
        <v>4835</v>
      </c>
      <c r="B1187" s="41" t="str">
        <f>_xlfn.TEXTAFTER(
 _xlfn.TEXTBEFORE(tblCostChecklist[[#This Row],[RequirementID]],".",-2),
 "cost."
)</f>
        <v>tech.workshop.conveyor_lvl_2</v>
      </c>
      <c r="C1187" s="41" t="str">
        <f>_xlfn.XLOOKUP(tblCostChecklist[[#This Row],[TargetID]],tblTargets[TargetID],tblTargets[DisplayName],"")</f>
        <v>Workshop - Conveyor Lvl 2</v>
      </c>
      <c r="D1187" s="41" t="str">
        <f>_xlfn.XLOOKUP(tblCostChecklist[[#This Row],[TargetID]],tblTargets[TargetID],tblTargets[TargetType],"")</f>
        <v>TECH</v>
      </c>
      <c r="E1187" s="41" t="s">
        <v>686</v>
      </c>
      <c r="F1187" s="41">
        <v>1</v>
      </c>
      <c r="G1187" s="41">
        <f>_xlfn.XLOOKUP(
 tblCostChecklist[[#This Row],[RequirementID]],
 tblCost[RequirementID],
 tblCost[QuantityRequired],
 ""
)</f>
        <v>15</v>
      </c>
      <c r="H11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7" s="41" t="str">
        <f>_xlfn.XLOOKUP(tblCostChecklist[[#This Row],[TargetID]],tblTargetStatus[TargetID],tblTargetStatus[Status])</f>
        <v>BLOCKED</v>
      </c>
      <c r="J1187" s="25" t="b">
        <v>0</v>
      </c>
    </row>
    <row r="1188" spans="1:10">
      <c r="A1188" s="41" t="s">
        <v>4836</v>
      </c>
      <c r="B1188" s="41" t="str">
        <f>_xlfn.TEXTAFTER(
 _xlfn.TEXTBEFORE(tblCostChecklist[[#This Row],[RequirementID]],".",-2),
 "cost."
)</f>
        <v>tech.workshop.conveyor_lvl_2</v>
      </c>
      <c r="C1188" s="41" t="str">
        <f>_xlfn.XLOOKUP(tblCostChecklist[[#This Row],[TargetID]],tblTargets[TargetID],tblTargets[DisplayName],"")</f>
        <v>Workshop - Conveyor Lvl 2</v>
      </c>
      <c r="D1188" s="41" t="str">
        <f>_xlfn.XLOOKUP(tblCostChecklist[[#This Row],[TargetID]],tblTargets[TargetID],tblTargets[TargetType],"")</f>
        <v>TECH</v>
      </c>
      <c r="E1188" s="41" t="s">
        <v>693</v>
      </c>
      <c r="F1188" s="41">
        <v>1</v>
      </c>
      <c r="G1188" s="41">
        <f>_xlfn.XLOOKUP(
 tblCostChecklist[[#This Row],[RequirementID]],
 tblCost[RequirementID],
 tblCost[QuantityRequired],
 ""
)</f>
        <v>30</v>
      </c>
      <c r="H11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8" s="41" t="str">
        <f>_xlfn.XLOOKUP(tblCostChecklist[[#This Row],[TargetID]],tblTargetStatus[TargetID],tblTargetStatus[Status])</f>
        <v>BLOCKED</v>
      </c>
      <c r="J1188" s="25" t="b">
        <v>0</v>
      </c>
    </row>
    <row r="1189" spans="1:10">
      <c r="A1189" s="41" t="s">
        <v>4837</v>
      </c>
      <c r="B1189" s="41" t="str">
        <f>_xlfn.TEXTAFTER(
 _xlfn.TEXTBEFORE(tblCostChecklist[[#This Row],[RequirementID]],".",-2),
 "cost."
)</f>
        <v>tech.workshop.conveyor_lvl_2</v>
      </c>
      <c r="C1189" s="41" t="str">
        <f>_xlfn.XLOOKUP(tblCostChecklist[[#This Row],[TargetID]],tblTargets[TargetID],tblTargets[DisplayName],"")</f>
        <v>Workshop - Conveyor Lvl 2</v>
      </c>
      <c r="D1189" s="41" t="str">
        <f>_xlfn.XLOOKUP(tblCostChecklist[[#This Row],[TargetID]],tblTargets[TargetID],tblTargets[TargetType],"")</f>
        <v>TECH</v>
      </c>
      <c r="E1189" s="41" t="s">
        <v>708</v>
      </c>
      <c r="F1189" s="41">
        <v>1</v>
      </c>
      <c r="G1189" s="41">
        <f>_xlfn.XLOOKUP(
 tblCostChecklist[[#This Row],[RequirementID]],
 tblCost[RequirementID],
 tblCost[QuantityRequired],
 ""
)</f>
        <v>5</v>
      </c>
      <c r="H11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9" s="41" t="str">
        <f>_xlfn.XLOOKUP(tblCostChecklist[[#This Row],[TargetID]],tblTargetStatus[TargetID],tblTargetStatus[Status])</f>
        <v>BLOCKED</v>
      </c>
      <c r="J1189" s="25" t="b">
        <v>0</v>
      </c>
    </row>
    <row r="1190" spans="1:10">
      <c r="A1190" s="41" t="s">
        <v>6008</v>
      </c>
      <c r="B1190" s="41" t="str">
        <f>_xlfn.TEXTAFTER(
 _xlfn.TEXTBEFORE(tblCostChecklist[[#This Row],[RequirementID]],".",-2),
 "cost."
)</f>
        <v>tech.alchemists_hut.perfect_fertilizer</v>
      </c>
      <c r="C1190" s="41" t="str">
        <f>_xlfn.XLOOKUP(tblCostChecklist[[#This Row],[TargetID]],tblTargets[TargetID],tblTargets[DisplayName],"")</f>
        <v>Alchemist's Hut - Perfect Fertilizer</v>
      </c>
      <c r="D1190" s="41" t="str">
        <f>_xlfn.XLOOKUP(tblCostChecklist[[#This Row],[TargetID]],tblTargets[TargetID],tblTargets[TargetType],"")</f>
        <v>TECH</v>
      </c>
      <c r="E1190" s="41" t="s">
        <v>708</v>
      </c>
      <c r="F1190" s="41">
        <v>1</v>
      </c>
      <c r="G1190" s="41">
        <f>_xlfn.XLOOKUP(
 tblCostChecklist[[#This Row],[RequirementID]],
 tblCost[RequirementID],
 tblCost[QuantityRequired],
 ""
)</f>
        <v>5</v>
      </c>
      <c r="H11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0" s="41" t="str">
        <f>_xlfn.XLOOKUP(tblCostChecklist[[#This Row],[TargetID]],tblTargetStatus[TargetID],tblTargetStatus[Status])</f>
        <v>BLOCKED</v>
      </c>
      <c r="J1190" s="25" t="b">
        <v>0</v>
      </c>
    </row>
    <row r="1191" spans="1:10">
      <c r="A1191" s="41" t="s">
        <v>6009</v>
      </c>
      <c r="B1191" s="41" t="str">
        <f>_xlfn.TEXTAFTER(
 _xlfn.TEXTBEFORE(tblCostChecklist[[#This Row],[RequirementID]],".",-2),
 "cost."
)</f>
        <v>tech.alchemists_hut.perfect_fertilizer</v>
      </c>
      <c r="C1191" s="41" t="str">
        <f>_xlfn.XLOOKUP(tblCostChecklist[[#This Row],[TargetID]],tblTargets[TargetID],tblTargets[DisplayName],"")</f>
        <v>Alchemist's Hut - Perfect Fertilizer</v>
      </c>
      <c r="D1191" s="41" t="str">
        <f>_xlfn.XLOOKUP(tblCostChecklist[[#This Row],[TargetID]],tblTargets[TargetID],tblTargets[TargetType],"")</f>
        <v>TECH</v>
      </c>
      <c r="E1191" s="41" t="s">
        <v>666</v>
      </c>
      <c r="F1191" s="41">
        <v>1</v>
      </c>
      <c r="G1191" s="41">
        <f>_xlfn.XLOOKUP(
 tblCostChecklist[[#This Row],[RequirementID]],
 tblCost[RequirementID],
 tblCost[QuantityRequired],
 ""
)</f>
        <v>1000</v>
      </c>
      <c r="H11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1" s="41" t="str">
        <f>_xlfn.XLOOKUP(tblCostChecklist[[#This Row],[TargetID]],tblTargetStatus[TargetID],tblTargetStatus[Status])</f>
        <v>BLOCKED</v>
      </c>
      <c r="J1191" s="25" t="b">
        <v>0</v>
      </c>
    </row>
    <row r="1192" spans="1:10">
      <c r="A1192" s="41" t="s">
        <v>6010</v>
      </c>
      <c r="B1192" s="41" t="str">
        <f>_xlfn.TEXTAFTER(
 _xlfn.TEXTBEFORE(tblCostChecklist[[#This Row],[RequirementID]],".",-2),
 "cost."
)</f>
        <v>tech.alchemists_hut.perfect_fertilizer</v>
      </c>
      <c r="C1192" s="41" t="str">
        <f>_xlfn.XLOOKUP(tblCostChecklist[[#This Row],[TargetID]],tblTargets[TargetID],tblTargets[DisplayName],"")</f>
        <v>Alchemist's Hut - Perfect Fertilizer</v>
      </c>
      <c r="D1192" s="41" t="str">
        <f>_xlfn.XLOOKUP(tblCostChecklist[[#This Row],[TargetID]],tblTargets[TargetID],tblTargets[TargetType],"")</f>
        <v>TECH</v>
      </c>
      <c r="E1192" s="41" t="s">
        <v>835</v>
      </c>
      <c r="F1192" s="41">
        <v>1</v>
      </c>
      <c r="G1192" s="41">
        <f>_xlfn.XLOOKUP(
 tblCostChecklist[[#This Row],[RequirementID]],
 tblCost[RequirementID],
 tblCost[QuantityRequired],
 ""
)</f>
        <v>50</v>
      </c>
      <c r="H11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2" s="41" t="str">
        <f>_xlfn.XLOOKUP(tblCostChecklist[[#This Row],[TargetID]],tblTargetStatus[TargetID],tblTargetStatus[Status])</f>
        <v>BLOCKED</v>
      </c>
      <c r="J1192" s="25" t="b">
        <v>0</v>
      </c>
    </row>
    <row r="1193" spans="1:10">
      <c r="A1193" s="41" t="s">
        <v>6011</v>
      </c>
      <c r="B1193" s="41" t="str">
        <f>_xlfn.TEXTAFTER(
 _xlfn.TEXTBEFORE(tblCostChecklist[[#This Row],[RequirementID]],".",-2),
 "cost."
)</f>
        <v>tech.alchemists_hut.perfect_fertilizer</v>
      </c>
      <c r="C1193" s="41" t="str">
        <f>_xlfn.XLOOKUP(tblCostChecklist[[#This Row],[TargetID]],tblTargets[TargetID],tblTargets[DisplayName],"")</f>
        <v>Alchemist's Hut - Perfect Fertilizer</v>
      </c>
      <c r="D1193" s="41" t="str">
        <f>_xlfn.XLOOKUP(tblCostChecklist[[#This Row],[TargetID]],tblTargets[TargetID],tblTargets[TargetType],"")</f>
        <v>TECH</v>
      </c>
      <c r="E1193" s="41" t="s">
        <v>4838</v>
      </c>
      <c r="F1193" s="41">
        <v>1</v>
      </c>
      <c r="G1193" s="41">
        <f>_xlfn.XLOOKUP(
 tblCostChecklist[[#This Row],[RequirementID]],
 tblCost[RequirementID],
 tblCost[QuantityRequired],
 ""
)</f>
        <v>30</v>
      </c>
      <c r="H11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3" s="41" t="str">
        <f>_xlfn.XLOOKUP(tblCostChecklist[[#This Row],[TargetID]],tblTargetStatus[TargetID],tblTargetStatus[Status])</f>
        <v>BLOCKED</v>
      </c>
      <c r="J1193" s="25" t="b">
        <v>0</v>
      </c>
    </row>
    <row r="1194" spans="1:10">
      <c r="A1194" s="41" t="s">
        <v>6012</v>
      </c>
      <c r="B1194" s="41" t="str">
        <f>_xlfn.TEXTAFTER(
 _xlfn.TEXTBEFORE(tblCostChecklist[[#This Row],[RequirementID]],".",-2),
 "cost."
)</f>
        <v>tech.alchemists_hut.perfect_fertilizer</v>
      </c>
      <c r="C1194" s="41" t="str">
        <f>_xlfn.XLOOKUP(tblCostChecklist[[#This Row],[TargetID]],tblTargets[TargetID],tblTargets[DisplayName],"")</f>
        <v>Alchemist's Hut - Perfect Fertilizer</v>
      </c>
      <c r="D1194" s="41" t="str">
        <f>_xlfn.XLOOKUP(tblCostChecklist[[#This Row],[TargetID]],tblTargets[TargetID],tblTargets[TargetType],"")</f>
        <v>TECH</v>
      </c>
      <c r="E1194" s="41" t="s">
        <v>664</v>
      </c>
      <c r="F1194" s="41">
        <v>1</v>
      </c>
      <c r="G1194" s="41">
        <f>_xlfn.XLOOKUP(
 tblCostChecklist[[#This Row],[RequirementID]],
 tblCost[RequirementID],
 tblCost[QuantityRequired],
 ""
)</f>
        <v>100</v>
      </c>
      <c r="H11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4" s="41" t="str">
        <f>_xlfn.XLOOKUP(tblCostChecklist[[#This Row],[TargetID]],tblTargetStatus[TargetID],tblTargetStatus[Status])</f>
        <v>BLOCKED</v>
      </c>
      <c r="J1194" s="25" t="b">
        <v>0</v>
      </c>
    </row>
    <row r="1195" spans="1:10">
      <c r="A1195" s="41" t="s">
        <v>6013</v>
      </c>
      <c r="B1195" s="41" t="str">
        <f>_xlfn.TEXTAFTER(
 _xlfn.TEXTBEFORE(tblCostChecklist[[#This Row],[RequirementID]],".",-2),
 "cost."
)</f>
        <v>tech.alchemists_hut.perfect_fertilizer</v>
      </c>
      <c r="C1195" s="41" t="str">
        <f>_xlfn.XLOOKUP(tblCostChecklist[[#This Row],[TargetID]],tblTargets[TargetID],tblTargets[DisplayName],"")</f>
        <v>Alchemist's Hut - Perfect Fertilizer</v>
      </c>
      <c r="D1195" s="41" t="str">
        <f>_xlfn.XLOOKUP(tblCostChecklist[[#This Row],[TargetID]],tblTargets[TargetID],tblTargets[TargetType],"")</f>
        <v>TECH</v>
      </c>
      <c r="E1195" s="41" t="s">
        <v>705</v>
      </c>
      <c r="F1195" s="41">
        <v>1</v>
      </c>
      <c r="G1195" s="41">
        <f>_xlfn.XLOOKUP(
 tblCostChecklist[[#This Row],[RequirementID]],
 tblCost[RequirementID],
 tblCost[QuantityRequired],
 ""
)</f>
        <v>20</v>
      </c>
      <c r="H11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5" s="41" t="str">
        <f>_xlfn.XLOOKUP(tblCostChecklist[[#This Row],[TargetID]],tblTargetStatus[TargetID],tblTargetStatus[Status])</f>
        <v>BLOCKED</v>
      </c>
      <c r="J1195" s="25" t="b">
        <v>0</v>
      </c>
    </row>
    <row r="1196" spans="1:10">
      <c r="A1196" s="41" t="s">
        <v>6014</v>
      </c>
      <c r="B1196" s="41" t="str">
        <f>_xlfn.TEXTAFTER(
 _xlfn.TEXTBEFORE(tblCostChecklist[[#This Row],[RequirementID]],".",-2),
 "cost."
)</f>
        <v>tech.alchemists_hut.perfect_fertilizer</v>
      </c>
      <c r="C1196" s="41" t="str">
        <f>_xlfn.XLOOKUP(tblCostChecklist[[#This Row],[TargetID]],tblTargets[TargetID],tblTargets[DisplayName],"")</f>
        <v>Alchemist's Hut - Perfect Fertilizer</v>
      </c>
      <c r="D1196" s="41" t="str">
        <f>_xlfn.XLOOKUP(tblCostChecklist[[#This Row],[TargetID]],tblTargets[TargetID],tblTargets[TargetType],"")</f>
        <v>TECH</v>
      </c>
      <c r="E1196" s="41" t="s">
        <v>928</v>
      </c>
      <c r="F1196" s="41">
        <v>1</v>
      </c>
      <c r="G1196" s="41">
        <f>_xlfn.XLOOKUP(
 tblCostChecklist[[#This Row],[RequirementID]],
 tblCost[RequirementID],
 tblCost[QuantityRequired],
 ""
)</f>
        <v>20</v>
      </c>
      <c r="H11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6" s="41" t="str">
        <f>_xlfn.XLOOKUP(tblCostChecklist[[#This Row],[TargetID]],tblTargetStatus[TargetID],tblTargetStatus[Status])</f>
        <v>BLOCKED</v>
      </c>
      <c r="J1196" s="25" t="b">
        <v>0</v>
      </c>
    </row>
    <row r="1197" spans="1:10">
      <c r="A1197" s="41" t="s">
        <v>6015</v>
      </c>
      <c r="B1197" s="41" t="str">
        <f>_xlfn.TEXTAFTER(
 _xlfn.TEXTBEFORE(tblCostChecklist[[#This Row],[RequirementID]],".",-2),
 "cost."
)</f>
        <v>tech.alchemists_hut.perfect_fertilizer</v>
      </c>
      <c r="C1197" s="41" t="str">
        <f>_xlfn.XLOOKUP(tblCostChecklist[[#This Row],[TargetID]],tblTargets[TargetID],tblTargets[DisplayName],"")</f>
        <v>Alchemist's Hut - Perfect Fertilizer</v>
      </c>
      <c r="D1197" s="41" t="str">
        <f>_xlfn.XLOOKUP(tblCostChecklist[[#This Row],[TargetID]],tblTargets[TargetID],tblTargets[TargetType],"")</f>
        <v>TECH</v>
      </c>
      <c r="E1197" s="41" t="s">
        <v>662</v>
      </c>
      <c r="F1197" s="41">
        <v>1</v>
      </c>
      <c r="G1197" s="41">
        <f>_xlfn.XLOOKUP(
 tblCostChecklist[[#This Row],[RequirementID]],
 tblCost[RequirementID],
 tblCost[QuantityRequired],
 ""
)</f>
        <v>30</v>
      </c>
      <c r="H11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7" s="41" t="str">
        <f>_xlfn.XLOOKUP(tblCostChecklist[[#This Row],[TargetID]],tblTargetStatus[TargetID],tblTargetStatus[Status])</f>
        <v>BLOCKED</v>
      </c>
      <c r="J1197" s="25" t="b">
        <v>0</v>
      </c>
    </row>
    <row r="1198" spans="1:10">
      <c r="A1198" s="41" t="s">
        <v>6016</v>
      </c>
      <c r="B1198" s="41" t="str">
        <f>_xlfn.TEXTAFTER(
 _xlfn.TEXTBEFORE(tblCostChecklist[[#This Row],[RequirementID]],".",-2),
 "cost."
)</f>
        <v>tech.alchemists_hut.perfect_fertilizer</v>
      </c>
      <c r="C1198" s="41" t="str">
        <f>_xlfn.XLOOKUP(tblCostChecklist[[#This Row],[TargetID]],tblTargets[TargetID],tblTargets[DisplayName],"")</f>
        <v>Alchemist's Hut - Perfect Fertilizer</v>
      </c>
      <c r="D1198" s="41" t="str">
        <f>_xlfn.XLOOKUP(tblCostChecklist[[#This Row],[TargetID]],tblTargets[TargetID],tblTargets[TargetType],"")</f>
        <v>TECH</v>
      </c>
      <c r="E1198" s="41" t="s">
        <v>4839</v>
      </c>
      <c r="F1198" s="41">
        <v>1</v>
      </c>
      <c r="G1198" s="41">
        <f>_xlfn.XLOOKUP(
 tblCostChecklist[[#This Row],[RequirementID]],
 tblCost[RequirementID],
 tblCost[QuantityRequired],
 ""
)</f>
        <v>30</v>
      </c>
      <c r="H11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8" s="41" t="str">
        <f>_xlfn.XLOOKUP(tblCostChecklist[[#This Row],[TargetID]],tblTargetStatus[TargetID],tblTargetStatus[Status])</f>
        <v>BLOCKED</v>
      </c>
      <c r="J1198" s="25" t="b">
        <v>0</v>
      </c>
    </row>
    <row r="1199" spans="1:10">
      <c r="A1199" s="41" t="s">
        <v>6017</v>
      </c>
      <c r="B1199" s="41" t="str">
        <f>_xlfn.TEXTAFTER(
 _xlfn.TEXTBEFORE(tblCostChecklist[[#This Row],[RequirementID]],".",-2),
 "cost."
)</f>
        <v>tech.windmill.bone_meal</v>
      </c>
      <c r="C1199" s="41" t="str">
        <f>_xlfn.XLOOKUP(tblCostChecklist[[#This Row],[TargetID]],tblTargets[TargetID],tblTargets[DisplayName],"")</f>
        <v>Windmill -  Bone Meal</v>
      </c>
      <c r="D1199" s="41" t="str">
        <f>_xlfn.XLOOKUP(tblCostChecklist[[#This Row],[TargetID]],tblTargets[TargetID],tblTargets[TargetType],"")</f>
        <v>TECH</v>
      </c>
      <c r="E1199" s="41" t="s">
        <v>708</v>
      </c>
      <c r="F1199" s="41">
        <v>1</v>
      </c>
      <c r="G1199" s="41">
        <f>_xlfn.XLOOKUP(
 tblCostChecklist[[#This Row],[RequirementID]],
 tblCost[RequirementID],
 tblCost[QuantityRequired],
 ""
)</f>
        <v>2</v>
      </c>
      <c r="H11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9" s="41" t="str">
        <f>_xlfn.XLOOKUP(tblCostChecklist[[#This Row],[TargetID]],tblTargetStatus[TargetID],tblTargetStatus[Status])</f>
        <v>BLOCKED</v>
      </c>
      <c r="J1199" s="25" t="b">
        <v>0</v>
      </c>
    </row>
    <row r="1200" spans="1:10">
      <c r="A1200" s="41" t="s">
        <v>6018</v>
      </c>
      <c r="B1200" s="41" t="str">
        <f>_xlfn.TEXTAFTER(
 _xlfn.TEXTBEFORE(tblCostChecklist[[#This Row],[RequirementID]],".",-2),
 "cost."
)</f>
        <v>tech.windmill.bone_meal</v>
      </c>
      <c r="C1200" s="41" t="str">
        <f>_xlfn.XLOOKUP(tblCostChecklist[[#This Row],[TargetID]],tblTargets[TargetID],tblTargets[DisplayName],"")</f>
        <v>Windmill -  Bone Meal</v>
      </c>
      <c r="D1200" s="41" t="str">
        <f>_xlfn.XLOOKUP(tblCostChecklist[[#This Row],[TargetID]],tblTargets[TargetID],tblTargets[TargetType],"")</f>
        <v>TECH</v>
      </c>
      <c r="E1200" s="41" t="s">
        <v>666</v>
      </c>
      <c r="F1200" s="41">
        <v>1</v>
      </c>
      <c r="G1200" s="41">
        <f>_xlfn.XLOOKUP(
 tblCostChecklist[[#This Row],[RequirementID]],
 tblCost[RequirementID],
 tblCost[QuantityRequired],
 ""
)</f>
        <v>400</v>
      </c>
      <c r="H12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0" s="41" t="str">
        <f>_xlfn.XLOOKUP(tblCostChecklist[[#This Row],[TargetID]],tblTargetStatus[TargetID],tblTargetStatus[Status])</f>
        <v>BLOCKED</v>
      </c>
      <c r="J1200" s="25" t="b">
        <v>0</v>
      </c>
    </row>
    <row r="1201" spans="1:10">
      <c r="A1201" s="41" t="s">
        <v>6019</v>
      </c>
      <c r="B1201" s="41" t="str">
        <f>_xlfn.TEXTAFTER(
 _xlfn.TEXTBEFORE(tblCostChecklist[[#This Row],[RequirementID]],".",-2),
 "cost."
)</f>
        <v>tech.windmill.bone_meal</v>
      </c>
      <c r="C1201" s="41" t="str">
        <f>_xlfn.XLOOKUP(tblCostChecklist[[#This Row],[TargetID]],tblTargets[TargetID],tblTargets[DisplayName],"")</f>
        <v>Windmill -  Bone Meal</v>
      </c>
      <c r="D1201" s="41" t="str">
        <f>_xlfn.XLOOKUP(tblCostChecklist[[#This Row],[TargetID]],tblTargets[TargetID],tblTargets[TargetType],"")</f>
        <v>TECH</v>
      </c>
      <c r="E1201" s="41" t="s">
        <v>717</v>
      </c>
      <c r="F1201" s="41">
        <v>1</v>
      </c>
      <c r="G1201" s="41">
        <f>_xlfn.XLOOKUP(
 tblCostChecklist[[#This Row],[RequirementID]],
 tblCost[RequirementID],
 tblCost[QuantityRequired],
 ""
)</f>
        <v>100</v>
      </c>
      <c r="H12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1" s="41" t="str">
        <f>_xlfn.XLOOKUP(tblCostChecklist[[#This Row],[TargetID]],tblTargetStatus[TargetID],tblTargetStatus[Status])</f>
        <v>BLOCKED</v>
      </c>
      <c r="J1201" s="25" t="b">
        <v>0</v>
      </c>
    </row>
    <row r="1202" spans="1:10">
      <c r="A1202" s="41" t="s">
        <v>6020</v>
      </c>
      <c r="B1202" s="41" t="str">
        <f>_xlfn.TEXTAFTER(
 _xlfn.TEXTBEFORE(tblCostChecklist[[#This Row],[RequirementID]],".",-2),
 "cost."
)</f>
        <v>tech.windmill.bone_meal</v>
      </c>
      <c r="C1202" s="41" t="str">
        <f>_xlfn.XLOOKUP(tblCostChecklist[[#This Row],[TargetID]],tblTargets[TargetID],tblTargets[DisplayName],"")</f>
        <v>Windmill -  Bone Meal</v>
      </c>
      <c r="D1202" s="41" t="str">
        <f>_xlfn.XLOOKUP(tblCostChecklist[[#This Row],[TargetID]],tblTargets[TargetID],tblTargets[TargetType],"")</f>
        <v>TECH</v>
      </c>
      <c r="E1202" s="41" t="s">
        <v>4840</v>
      </c>
      <c r="F1202" s="41">
        <v>1</v>
      </c>
      <c r="G1202" s="41">
        <f>_xlfn.XLOOKUP(
 tblCostChecklist[[#This Row],[RequirementID]],
 tblCost[RequirementID],
 tblCost[QuantityRequired],
 ""
)</f>
        <v>20</v>
      </c>
      <c r="H12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2" s="41" t="str">
        <f>_xlfn.XLOOKUP(tblCostChecklist[[#This Row],[TargetID]],tblTargetStatus[TargetID],tblTargetStatus[Status])</f>
        <v>BLOCKED</v>
      </c>
      <c r="J1202" s="25" t="b">
        <v>0</v>
      </c>
    </row>
    <row r="1203" spans="1:10">
      <c r="A1203" s="41" t="s">
        <v>6021</v>
      </c>
      <c r="B1203" s="41" t="str">
        <f>_xlfn.TEXTAFTER(
 _xlfn.TEXTBEFORE(tblCostChecklist[[#This Row],[RequirementID]],".",-2),
 "cost."
)</f>
        <v>tech.windmill.bone_meal</v>
      </c>
      <c r="C1203" s="41" t="str">
        <f>_xlfn.XLOOKUP(tblCostChecklist[[#This Row],[TargetID]],tblTargets[TargetID],tblTargets[DisplayName],"")</f>
        <v>Windmill -  Bone Meal</v>
      </c>
      <c r="D1203" s="41" t="str">
        <f>_xlfn.XLOOKUP(tblCostChecklist[[#This Row],[TargetID]],tblTargets[TargetID],tblTargets[TargetType],"")</f>
        <v>TECH</v>
      </c>
      <c r="E1203" s="41" t="s">
        <v>3653</v>
      </c>
      <c r="F1203" s="41">
        <v>1</v>
      </c>
      <c r="G1203" s="41">
        <f>_xlfn.XLOOKUP(
 tblCostChecklist[[#This Row],[RequirementID]],
 tblCost[RequirementID],
 tblCost[QuantityRequired],
 ""
)</f>
        <v>40</v>
      </c>
      <c r="H12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3" s="41" t="str">
        <f>_xlfn.XLOOKUP(tblCostChecklist[[#This Row],[TargetID]],tblTargetStatus[TargetID],tblTargetStatus[Status])</f>
        <v>BLOCKED</v>
      </c>
      <c r="J1203" s="25" t="b">
        <v>0</v>
      </c>
    </row>
    <row r="1204" spans="1:10">
      <c r="A1204" s="41" t="s">
        <v>6022</v>
      </c>
      <c r="B1204" s="41" t="str">
        <f>_xlfn.TEXTAFTER(
 _xlfn.TEXTBEFORE(tblCostChecklist[[#This Row],[RequirementID]],".",-2),
 "cost."
)</f>
        <v>tech.windmill.bone_meal</v>
      </c>
      <c r="C1204" s="41" t="str">
        <f>_xlfn.XLOOKUP(tblCostChecklist[[#This Row],[TargetID]],tblTargets[TargetID],tblTargets[DisplayName],"")</f>
        <v>Windmill -  Bone Meal</v>
      </c>
      <c r="D1204" s="41" t="str">
        <f>_xlfn.XLOOKUP(tblCostChecklist[[#This Row],[TargetID]],tblTargets[TargetID],tblTargets[TargetType],"")</f>
        <v>TECH</v>
      </c>
      <c r="E1204" s="41" t="s">
        <v>4841</v>
      </c>
      <c r="F1204" s="41">
        <v>1</v>
      </c>
      <c r="G1204" s="41">
        <f>_xlfn.XLOOKUP(
 tblCostChecklist[[#This Row],[RequirementID]],
 tblCost[RequirementID],
 tblCost[QuantityRequired],
 ""
)</f>
        <v>20</v>
      </c>
      <c r="H12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4" s="41" t="str">
        <f>_xlfn.XLOOKUP(tblCostChecklist[[#This Row],[TargetID]],tblTargetStatus[TargetID],tblTargetStatus[Status])</f>
        <v>BLOCKED</v>
      </c>
      <c r="J1204" s="25" t="b">
        <v>0</v>
      </c>
    </row>
    <row r="1205" spans="1:10">
      <c r="A1205" s="41" t="s">
        <v>6023</v>
      </c>
      <c r="B1205" s="41" t="str">
        <f>_xlfn.TEXTAFTER(
 _xlfn.TEXTBEFORE(tblCostChecklist[[#This Row],[RequirementID]],".",-2),
 "cost."
)</f>
        <v>tech.windmill.bone_meal</v>
      </c>
      <c r="C1205" s="41" t="str">
        <f>_xlfn.XLOOKUP(tblCostChecklist[[#This Row],[TargetID]],tblTargets[TargetID],tblTargets[DisplayName],"")</f>
        <v>Windmill -  Bone Meal</v>
      </c>
      <c r="D1205" s="41" t="str">
        <f>_xlfn.XLOOKUP(tblCostChecklist[[#This Row],[TargetID]],tblTargets[TargetID],tblTargets[TargetType],"")</f>
        <v>TECH</v>
      </c>
      <c r="E1205" s="41" t="s">
        <v>4842</v>
      </c>
      <c r="F1205" s="41">
        <v>1</v>
      </c>
      <c r="G1205" s="41">
        <f>_xlfn.XLOOKUP(
 tblCostChecklist[[#This Row],[RequirementID]],
 tblCost[RequirementID],
 tblCost[QuantityRequired],
 ""
)</f>
        <v>15</v>
      </c>
      <c r="H12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5" s="41" t="str">
        <f>_xlfn.XLOOKUP(tblCostChecklist[[#This Row],[TargetID]],tblTargetStatus[TargetID],tblTargetStatus[Status])</f>
        <v>BLOCKED</v>
      </c>
      <c r="J1205" s="25" t="b">
        <v>0</v>
      </c>
    </row>
    <row r="1206" spans="1:10">
      <c r="A1206" s="41" t="s">
        <v>4843</v>
      </c>
      <c r="B1206" s="41" t="str">
        <f>_xlfn.TEXTAFTER(
 _xlfn.TEXTBEFORE(tblCostChecklist[[#This Row],[RequirementID]],".",-2),
 "cost."
)</f>
        <v>citadel.armory</v>
      </c>
      <c r="C1206" s="41" t="str">
        <f>_xlfn.XLOOKUP(tblCostChecklist[[#This Row],[TargetID]],tblTargets[TargetID],tblTargets[DisplayName],"")</f>
        <v>Armory</v>
      </c>
      <c r="D1206" s="41" t="str">
        <f>_xlfn.XLOOKUP(tblCostChecklist[[#This Row],[TargetID]],tblTargets[TargetID],tblTargets[TargetType],"")</f>
        <v>CITADEL</v>
      </c>
      <c r="E1206" s="41" t="s">
        <v>658</v>
      </c>
      <c r="F1206" s="41">
        <v>1</v>
      </c>
      <c r="G1206" s="41">
        <f>_xlfn.XLOOKUP(
 tblCostChecklist[[#This Row],[RequirementID]],
 tblCost[RequirementID],
 tblCost[QuantityRequired],
 ""
)</f>
        <v>500</v>
      </c>
      <c r="H12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6" s="41" t="str">
        <f>_xlfn.XLOOKUP(tblCostChecklist[[#This Row],[TargetID]],tblTargetStatus[TargetID],tblTargetStatus[Status])</f>
        <v>BLOCKED</v>
      </c>
      <c r="J1206" s="25" t="b">
        <v>0</v>
      </c>
    </row>
    <row r="1207" spans="1:10">
      <c r="A1207" s="41" t="s">
        <v>4844</v>
      </c>
      <c r="B1207" s="41" t="str">
        <f>_xlfn.TEXTAFTER(
 _xlfn.TEXTBEFORE(tblCostChecklist[[#This Row],[RequirementID]],".",-2),
 "cost."
)</f>
        <v>citadel.armory</v>
      </c>
      <c r="C1207" s="41" t="str">
        <f>_xlfn.XLOOKUP(tblCostChecklist[[#This Row],[TargetID]],tblTargets[TargetID],tblTargets[DisplayName],"")</f>
        <v>Armory</v>
      </c>
      <c r="D1207" s="41" t="str">
        <f>_xlfn.XLOOKUP(tblCostChecklist[[#This Row],[TargetID]],tblTargets[TargetID],tblTargets[TargetType],"")</f>
        <v>CITADEL</v>
      </c>
      <c r="E1207" s="41" t="s">
        <v>666</v>
      </c>
      <c r="F1207" s="41">
        <v>1</v>
      </c>
      <c r="G1207" s="41">
        <f>_xlfn.XLOOKUP(
 tblCostChecklist[[#This Row],[RequirementID]],
 tblCost[RequirementID],
 tblCost[QuantityRequired],
 ""
)</f>
        <v>500</v>
      </c>
      <c r="H12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7" s="41" t="str">
        <f>_xlfn.XLOOKUP(tblCostChecklist[[#This Row],[TargetID]],tblTargetStatus[TargetID],tblTargetStatus[Status])</f>
        <v>BLOCKED</v>
      </c>
      <c r="J1207" s="25" t="b">
        <v>0</v>
      </c>
    </row>
    <row r="1208" spans="1:10">
      <c r="A1208" s="41" t="s">
        <v>4845</v>
      </c>
      <c r="B1208" s="41" t="str">
        <f>_xlfn.TEXTAFTER(
 _xlfn.TEXTBEFORE(tblCostChecklist[[#This Row],[RequirementID]],".",-2),
 "cost."
)</f>
        <v>citadel.armory</v>
      </c>
      <c r="C1208" s="41" t="str">
        <f>_xlfn.XLOOKUP(tblCostChecklist[[#This Row],[TargetID]],tblTargets[TargetID],tblTargets[DisplayName],"")</f>
        <v>Armory</v>
      </c>
      <c r="D1208" s="41" t="str">
        <f>_xlfn.XLOOKUP(tblCostChecklist[[#This Row],[TargetID]],tblTargets[TargetID],tblTargets[TargetType],"")</f>
        <v>CITADEL</v>
      </c>
      <c r="E1208" s="41" t="s">
        <v>696</v>
      </c>
      <c r="F1208" s="41">
        <v>1</v>
      </c>
      <c r="G1208" s="41">
        <f>_xlfn.XLOOKUP(
 tblCostChecklist[[#This Row],[RequirementID]],
 tblCost[RequirementID],
 tblCost[QuantityRequired],
 ""
)</f>
        <v>15</v>
      </c>
      <c r="H12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8" s="41" t="str">
        <f>_xlfn.XLOOKUP(tblCostChecklist[[#This Row],[TargetID]],tblTargetStatus[TargetID],tblTargetStatus[Status])</f>
        <v>BLOCKED</v>
      </c>
      <c r="J1208" s="25" t="b">
        <v>0</v>
      </c>
    </row>
    <row r="1209" spans="1:10">
      <c r="A1209" s="41" t="s">
        <v>4846</v>
      </c>
      <c r="B1209" s="41" t="str">
        <f>_xlfn.TEXTAFTER(
 _xlfn.TEXTBEFORE(tblCostChecklist[[#This Row],[RequirementID]],".",-2),
 "cost."
)</f>
        <v>citadel.armory</v>
      </c>
      <c r="C1209" s="41" t="str">
        <f>_xlfn.XLOOKUP(tblCostChecklist[[#This Row],[TargetID]],tblTargets[TargetID],tblTargets[DisplayName],"")</f>
        <v>Armory</v>
      </c>
      <c r="D1209" s="41" t="str">
        <f>_xlfn.XLOOKUP(tblCostChecklist[[#This Row],[TargetID]],tblTargets[TargetID],tblTargets[TargetType],"")</f>
        <v>CITADEL</v>
      </c>
      <c r="E1209" s="41" t="s">
        <v>708</v>
      </c>
      <c r="F1209" s="41">
        <v>1</v>
      </c>
      <c r="G1209" s="41">
        <f>_xlfn.XLOOKUP(
 tblCostChecklist[[#This Row],[RequirementID]],
 tblCost[RequirementID],
 tblCost[QuantityRequired],
 ""
)</f>
        <v>3</v>
      </c>
      <c r="H12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9" s="41" t="str">
        <f>_xlfn.XLOOKUP(tblCostChecklist[[#This Row],[TargetID]],tblTargetStatus[TargetID],tblTargetStatus[Status])</f>
        <v>BLOCKED</v>
      </c>
      <c r="J1209" s="25" t="b">
        <v>0</v>
      </c>
    </row>
    <row r="1210" spans="1:10">
      <c r="A1210" s="41" t="s">
        <v>4847</v>
      </c>
      <c r="B1210" s="41" t="str">
        <f>_xlfn.TEXTAFTER(
 _xlfn.TEXTBEFORE(tblCostChecklist[[#This Row],[RequirementID]],".",-2),
 "cost."
)</f>
        <v>citadel.armory</v>
      </c>
      <c r="C1210" s="41" t="str">
        <f>_xlfn.XLOOKUP(tblCostChecklist[[#This Row],[TargetID]],tblTargets[TargetID],tblTargets[DisplayName],"")</f>
        <v>Armory</v>
      </c>
      <c r="D1210" s="41" t="str">
        <f>_xlfn.XLOOKUP(tblCostChecklist[[#This Row],[TargetID]],tblTargets[TargetID],tblTargets[TargetType],"")</f>
        <v>CITADEL</v>
      </c>
      <c r="E1210" s="41" t="s">
        <v>716</v>
      </c>
      <c r="F1210" s="41">
        <v>1</v>
      </c>
      <c r="G1210" s="41">
        <f>_xlfn.XLOOKUP(
 tblCostChecklist[[#This Row],[RequirementID]],
 tblCost[RequirementID],
 tblCost[QuantityRequired],
 ""
)</f>
        <v>100</v>
      </c>
      <c r="H12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0" s="41" t="str">
        <f>_xlfn.XLOOKUP(tblCostChecklist[[#This Row],[TargetID]],tblTargetStatus[TargetID],tblTargetStatus[Status])</f>
        <v>BLOCKED</v>
      </c>
      <c r="J1210" s="25" t="b">
        <v>0</v>
      </c>
    </row>
    <row r="1211" spans="1:10">
      <c r="A1211" s="41" t="s">
        <v>4848</v>
      </c>
      <c r="B1211" s="41" t="str">
        <f>_xlfn.TEXTAFTER(
 _xlfn.TEXTBEFORE(tblCostChecklist[[#This Row],[RequirementID]],".",-2),
 "cost."
)</f>
        <v>citadel.armory</v>
      </c>
      <c r="C1211" s="41" t="str">
        <f>_xlfn.XLOOKUP(tblCostChecklist[[#This Row],[TargetID]],tblTargets[TargetID],tblTargets[DisplayName],"")</f>
        <v>Armory</v>
      </c>
      <c r="D1211" s="41" t="str">
        <f>_xlfn.XLOOKUP(tblCostChecklist[[#This Row],[TargetID]],tblTargets[TargetID],tblTargets[TargetType],"")</f>
        <v>CITADEL</v>
      </c>
      <c r="E1211" s="41" t="s">
        <v>717</v>
      </c>
      <c r="F1211" s="41">
        <v>1</v>
      </c>
      <c r="G1211" s="41">
        <f>_xlfn.XLOOKUP(
 tblCostChecklist[[#This Row],[RequirementID]],
 tblCost[RequirementID],
 tblCost[QuantityRequired],
 ""
)</f>
        <v>500</v>
      </c>
      <c r="H12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1" s="41" t="str">
        <f>_xlfn.XLOOKUP(tblCostChecklist[[#This Row],[TargetID]],tblTargetStatus[TargetID],tblTargetStatus[Status])</f>
        <v>BLOCKED</v>
      </c>
      <c r="J1211" s="25" t="b">
        <v>0</v>
      </c>
    </row>
    <row r="1212" spans="1:10">
      <c r="A1212" s="41" t="s">
        <v>4849</v>
      </c>
      <c r="B1212" s="41" t="str">
        <f>_xlfn.TEXTAFTER(
 _xlfn.TEXTBEFORE(tblCostChecklist[[#This Row],[RequirementID]],".",-2),
 "cost."
)</f>
        <v>citadel.attic</v>
      </c>
      <c r="C1212" s="41" t="str">
        <f>_xlfn.XLOOKUP(tblCostChecklist[[#This Row],[TargetID]],tblTargets[TargetID],tblTargets[DisplayName],"")</f>
        <v>Attic</v>
      </c>
      <c r="D1212" s="41" t="str">
        <f>_xlfn.XLOOKUP(tblCostChecklist[[#This Row],[TargetID]],tblTargets[TargetID],tblTargets[TargetType],"")</f>
        <v>CITADEL</v>
      </c>
      <c r="E1212" s="41" t="s">
        <v>658</v>
      </c>
      <c r="F1212" s="41">
        <v>1</v>
      </c>
      <c r="G1212" s="41">
        <f>_xlfn.XLOOKUP(
 tblCostChecklist[[#This Row],[RequirementID]],
 tblCost[RequirementID],
 tblCost[QuantityRequired],
 ""
)</f>
        <v>400</v>
      </c>
      <c r="H12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2" s="41" t="str">
        <f>_xlfn.XLOOKUP(tblCostChecklist[[#This Row],[TargetID]],tblTargetStatus[TargetID],tblTargetStatus[Status])</f>
        <v>BLOCKED</v>
      </c>
      <c r="J1212" s="25" t="b">
        <v>0</v>
      </c>
    </row>
    <row r="1213" spans="1:10">
      <c r="A1213" s="41" t="s">
        <v>4850</v>
      </c>
      <c r="B1213" s="41" t="str">
        <f>_xlfn.TEXTAFTER(
 _xlfn.TEXTBEFORE(tblCostChecklist[[#This Row],[RequirementID]],".",-2),
 "cost."
)</f>
        <v>citadel.attic</v>
      </c>
      <c r="C1213" s="41" t="str">
        <f>_xlfn.XLOOKUP(tblCostChecklist[[#This Row],[TargetID]],tblTargets[TargetID],tblTargets[DisplayName],"")</f>
        <v>Attic</v>
      </c>
      <c r="D1213" s="41" t="str">
        <f>_xlfn.XLOOKUP(tblCostChecklist[[#This Row],[TargetID]],tblTargets[TargetID],tblTargets[TargetType],"")</f>
        <v>CITADEL</v>
      </c>
      <c r="E1213" s="41" t="s">
        <v>666</v>
      </c>
      <c r="F1213" s="41">
        <v>1</v>
      </c>
      <c r="G1213" s="41">
        <f>_xlfn.XLOOKUP(
 tblCostChecklist[[#This Row],[RequirementID]],
 tblCost[RequirementID],
 tblCost[QuantityRequired],
 ""
)</f>
        <v>400</v>
      </c>
      <c r="H12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3" s="41" t="str">
        <f>_xlfn.XLOOKUP(tblCostChecklist[[#This Row],[TargetID]],tblTargetStatus[TargetID],tblTargetStatus[Status])</f>
        <v>BLOCKED</v>
      </c>
      <c r="J1213" s="25" t="b">
        <v>0</v>
      </c>
    </row>
    <row r="1214" spans="1:10">
      <c r="A1214" s="41" t="s">
        <v>4851</v>
      </c>
      <c r="B1214" s="41" t="str">
        <f>_xlfn.TEXTAFTER(
 _xlfn.TEXTBEFORE(tblCostChecklist[[#This Row],[RequirementID]],".",-2),
 "cost."
)</f>
        <v>citadel.attic</v>
      </c>
      <c r="C1214" s="41" t="str">
        <f>_xlfn.XLOOKUP(tblCostChecklist[[#This Row],[TargetID]],tblTargets[TargetID],tblTargets[DisplayName],"")</f>
        <v>Attic</v>
      </c>
      <c r="D1214" s="41" t="str">
        <f>_xlfn.XLOOKUP(tblCostChecklist[[#This Row],[TargetID]],tblTargets[TargetID],tblTargets[TargetType],"")</f>
        <v>CITADEL</v>
      </c>
      <c r="E1214" s="41" t="s">
        <v>696</v>
      </c>
      <c r="F1214" s="41">
        <v>1</v>
      </c>
      <c r="G1214" s="41">
        <f>_xlfn.XLOOKUP(
 tblCostChecklist[[#This Row],[RequirementID]],
 tblCost[RequirementID],
 tblCost[QuantityRequired],
 ""
)</f>
        <v>10</v>
      </c>
      <c r="H12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4" s="41" t="str">
        <f>_xlfn.XLOOKUP(tblCostChecklist[[#This Row],[TargetID]],tblTargetStatus[TargetID],tblTargetStatus[Status])</f>
        <v>BLOCKED</v>
      </c>
      <c r="J1214" s="25" t="b">
        <v>0</v>
      </c>
    </row>
    <row r="1215" spans="1:10">
      <c r="A1215" s="41" t="s">
        <v>4852</v>
      </c>
      <c r="B1215" s="41" t="str">
        <f>_xlfn.TEXTAFTER(
 _xlfn.TEXTBEFORE(tblCostChecklist[[#This Row],[RequirementID]],".",-2),
 "cost."
)</f>
        <v>citadel.attic</v>
      </c>
      <c r="C1215" s="41" t="str">
        <f>_xlfn.XLOOKUP(tblCostChecklist[[#This Row],[TargetID]],tblTargets[TargetID],tblTargets[DisplayName],"")</f>
        <v>Attic</v>
      </c>
      <c r="D1215" s="41" t="str">
        <f>_xlfn.XLOOKUP(tblCostChecklist[[#This Row],[TargetID]],tblTargets[TargetID],tblTargets[TargetType],"")</f>
        <v>CITADEL</v>
      </c>
      <c r="E1215" s="41" t="s">
        <v>708</v>
      </c>
      <c r="F1215" s="41">
        <v>1</v>
      </c>
      <c r="G1215" s="41">
        <f>_xlfn.XLOOKUP(
 tblCostChecklist[[#This Row],[RequirementID]],
 tblCost[RequirementID],
 tblCost[QuantityRequired],
 ""
)</f>
        <v>2</v>
      </c>
      <c r="H12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5" s="41" t="str">
        <f>_xlfn.XLOOKUP(tblCostChecklist[[#This Row],[TargetID]],tblTargetStatus[TargetID],tblTargetStatus[Status])</f>
        <v>BLOCKED</v>
      </c>
      <c r="J1215" s="25" t="b">
        <v>0</v>
      </c>
    </row>
    <row r="1216" spans="1:10">
      <c r="A1216" s="41" t="s">
        <v>4853</v>
      </c>
      <c r="B1216" s="41" t="str">
        <f>_xlfn.TEXTAFTER(
 _xlfn.TEXTBEFORE(tblCostChecklist[[#This Row],[RequirementID]],".",-2),
 "cost."
)</f>
        <v>citadel.attic</v>
      </c>
      <c r="C1216" s="41" t="str">
        <f>_xlfn.XLOOKUP(tblCostChecklist[[#This Row],[TargetID]],tblTargets[TargetID],tblTargets[DisplayName],"")</f>
        <v>Attic</v>
      </c>
      <c r="D1216" s="41" t="str">
        <f>_xlfn.XLOOKUP(tblCostChecklist[[#This Row],[TargetID]],tblTargets[TargetID],tblTargets[TargetType],"")</f>
        <v>CITADEL</v>
      </c>
      <c r="E1216" s="41" t="s">
        <v>717</v>
      </c>
      <c r="F1216" s="41">
        <v>1</v>
      </c>
      <c r="G1216" s="41">
        <f>_xlfn.XLOOKUP(
 tblCostChecklist[[#This Row],[RequirementID]],
 tblCost[RequirementID],
 tblCost[QuantityRequired],
 ""
)</f>
        <v>400</v>
      </c>
      <c r="H12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6" s="41" t="str">
        <f>_xlfn.XLOOKUP(tblCostChecklist[[#This Row],[TargetID]],tblTargetStatus[TargetID],tblTargetStatus[Status])</f>
        <v>BLOCKED</v>
      </c>
      <c r="J1216" s="25" t="b">
        <v>0</v>
      </c>
    </row>
    <row r="1217" spans="1:10">
      <c r="A1217" s="41" t="s">
        <v>4854</v>
      </c>
      <c r="B1217" s="41" t="str">
        <f>_xlfn.TEXTAFTER(
 _xlfn.TEXTBEFORE(tblCostChecklist[[#This Row],[RequirementID]],".",-2),
 "cost."
)</f>
        <v>citadel.cheese_cave</v>
      </c>
      <c r="C1217" s="41" t="str">
        <f>_xlfn.XLOOKUP(tblCostChecklist[[#This Row],[TargetID]],tblTargets[TargetID],tblTargets[DisplayName],"")</f>
        <v>Cheese Cave</v>
      </c>
      <c r="D1217" s="41" t="str">
        <f>_xlfn.XLOOKUP(tblCostChecklist[[#This Row],[TargetID]],tblTargets[TargetID],tblTargets[TargetType],"")</f>
        <v>CITADEL</v>
      </c>
      <c r="E1217" s="41" t="s">
        <v>666</v>
      </c>
      <c r="F1217" s="41">
        <v>1</v>
      </c>
      <c r="G1217" s="41">
        <f>_xlfn.XLOOKUP(
 tblCostChecklist[[#This Row],[RequirementID]],
 tblCost[RequirementID],
 tblCost[QuantityRequired],
 ""
)</f>
        <v>1000</v>
      </c>
      <c r="H12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7" s="41" t="str">
        <f>_xlfn.XLOOKUP(tblCostChecklist[[#This Row],[TargetID]],tblTargetStatus[TargetID],tblTargetStatus[Status])</f>
        <v>BLOCKED</v>
      </c>
      <c r="J1217" s="25" t="b">
        <v>0</v>
      </c>
    </row>
    <row r="1218" spans="1:10">
      <c r="A1218" s="41" t="s">
        <v>4855</v>
      </c>
      <c r="B1218" s="41" t="str">
        <f>_xlfn.TEXTAFTER(
 _xlfn.TEXTBEFORE(tblCostChecklist[[#This Row],[RequirementID]],".",-2),
 "cost."
)</f>
        <v>citadel.cheese_cave</v>
      </c>
      <c r="C1218" s="41" t="str">
        <f>_xlfn.XLOOKUP(tblCostChecklist[[#This Row],[TargetID]],tblTargets[TargetID],tblTargets[DisplayName],"")</f>
        <v>Cheese Cave</v>
      </c>
      <c r="D1218" s="41" t="str">
        <f>_xlfn.XLOOKUP(tblCostChecklist[[#This Row],[TargetID]],tblTargets[TargetID],tblTargets[TargetType],"")</f>
        <v>CITADEL</v>
      </c>
      <c r="E1218" s="41" t="s">
        <v>670</v>
      </c>
      <c r="F1218" s="41">
        <v>1</v>
      </c>
      <c r="G1218" s="41">
        <f>_xlfn.XLOOKUP(
 tblCostChecklist[[#This Row],[RequirementID]],
 tblCost[RequirementID],
 tblCost[QuantityRequired],
 ""
)</f>
        <v>10</v>
      </c>
      <c r="H12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8" s="41" t="str">
        <f>_xlfn.XLOOKUP(tblCostChecklist[[#This Row],[TargetID]],tblTargetStatus[TargetID],tblTargetStatus[Status])</f>
        <v>BLOCKED</v>
      </c>
      <c r="J1218" s="25" t="b">
        <v>0</v>
      </c>
    </row>
    <row r="1219" spans="1:10">
      <c r="A1219" s="41" t="s">
        <v>4856</v>
      </c>
      <c r="B1219" s="41" t="str">
        <f>_xlfn.TEXTAFTER(
 _xlfn.TEXTBEFORE(tblCostChecklist[[#This Row],[RequirementID]],".",-2),
 "cost."
)</f>
        <v>citadel.cheese_cave</v>
      </c>
      <c r="C1219" s="41" t="str">
        <f>_xlfn.XLOOKUP(tblCostChecklist[[#This Row],[TargetID]],tblTargets[TargetID],tblTargets[DisplayName],"")</f>
        <v>Cheese Cave</v>
      </c>
      <c r="D1219" s="41" t="str">
        <f>_xlfn.XLOOKUP(tblCostChecklist[[#This Row],[TargetID]],tblTargets[TargetID],tblTargets[TargetType],"")</f>
        <v>CITADEL</v>
      </c>
      <c r="E1219" s="41" t="s">
        <v>677</v>
      </c>
      <c r="F1219" s="41">
        <v>1</v>
      </c>
      <c r="G1219" s="41">
        <f>_xlfn.XLOOKUP(
 tblCostChecklist[[#This Row],[RequirementID]],
 tblCost[RequirementID],
 tblCost[QuantityRequired],
 ""
)</f>
        <v>5</v>
      </c>
      <c r="H12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9" s="41" t="str">
        <f>_xlfn.XLOOKUP(tblCostChecklist[[#This Row],[TargetID]],tblTargetStatus[TargetID],tblTargetStatus[Status])</f>
        <v>BLOCKED</v>
      </c>
      <c r="J1219" s="25" t="b">
        <v>0</v>
      </c>
    </row>
    <row r="1220" spans="1:10">
      <c r="A1220" s="41" t="s">
        <v>4857</v>
      </c>
      <c r="B1220" s="41" t="str">
        <f>_xlfn.TEXTAFTER(
 _xlfn.TEXTBEFORE(tblCostChecklist[[#This Row],[RequirementID]],".",-2),
 "cost."
)</f>
        <v>citadel.cheese_cave</v>
      </c>
      <c r="C1220" s="41" t="str">
        <f>_xlfn.XLOOKUP(tblCostChecklist[[#This Row],[TargetID]],tblTargets[TargetID],tblTargets[DisplayName],"")</f>
        <v>Cheese Cave</v>
      </c>
      <c r="D1220" s="41" t="str">
        <f>_xlfn.XLOOKUP(tblCostChecklist[[#This Row],[TargetID]],tblTargets[TargetID],tblTargets[TargetType],"")</f>
        <v>CITADEL</v>
      </c>
      <c r="E1220" s="41" t="s">
        <v>701</v>
      </c>
      <c r="F1220" s="41">
        <v>1</v>
      </c>
      <c r="G1220" s="41">
        <f>_xlfn.XLOOKUP(
 tblCostChecklist[[#This Row],[RequirementID]],
 tblCost[RequirementID],
 tblCost[QuantityRequired],
 ""
)</f>
        <v>600</v>
      </c>
      <c r="H12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0" s="41" t="str">
        <f>_xlfn.XLOOKUP(tblCostChecklist[[#This Row],[TargetID]],tblTargetStatus[TargetID],tblTargetStatus[Status])</f>
        <v>BLOCKED</v>
      </c>
      <c r="J1220" s="25" t="b">
        <v>0</v>
      </c>
    </row>
    <row r="1221" spans="1:10">
      <c r="A1221" s="41" t="s">
        <v>4858</v>
      </c>
      <c r="B1221" s="41" t="str">
        <f>_xlfn.TEXTAFTER(
 _xlfn.TEXTBEFORE(tblCostChecklist[[#This Row],[RequirementID]],".",-2),
 "cost."
)</f>
        <v>citadel.cheese_cave</v>
      </c>
      <c r="C1221" s="41" t="str">
        <f>_xlfn.XLOOKUP(tblCostChecklist[[#This Row],[TargetID]],tblTargets[TargetID],tblTargets[DisplayName],"")</f>
        <v>Cheese Cave</v>
      </c>
      <c r="D1221" s="41" t="str">
        <f>_xlfn.XLOOKUP(tblCostChecklist[[#This Row],[TargetID]],tblTargets[TargetID],tblTargets[TargetType],"")</f>
        <v>CITADEL</v>
      </c>
      <c r="E1221" s="41" t="s">
        <v>708</v>
      </c>
      <c r="F1221" s="41">
        <v>1</v>
      </c>
      <c r="G1221" s="41">
        <f>_xlfn.XLOOKUP(
 tblCostChecklist[[#This Row],[RequirementID]],
 tblCost[RequirementID],
 tblCost[QuantityRequired],
 ""
)</f>
        <v>5</v>
      </c>
      <c r="H12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1" s="41" t="str">
        <f>_xlfn.XLOOKUP(tblCostChecklist[[#This Row],[TargetID]],tblTargetStatus[TargetID],tblTargetStatus[Status])</f>
        <v>BLOCKED</v>
      </c>
      <c r="J1221" s="25" t="b">
        <v>0</v>
      </c>
    </row>
    <row r="1222" spans="1:10">
      <c r="A1222" s="41" t="s">
        <v>4859</v>
      </c>
      <c r="B1222" s="41" t="str">
        <f>_xlfn.TEXTAFTER(
 _xlfn.TEXTBEFORE(tblCostChecklist[[#This Row],[RequirementID]],".",-2),
 "cost."
)</f>
        <v>citadel.cheese_cave</v>
      </c>
      <c r="C1222" s="41" t="str">
        <f>_xlfn.XLOOKUP(tblCostChecklist[[#This Row],[TargetID]],tblTargets[TargetID],tblTargets[DisplayName],"")</f>
        <v>Cheese Cave</v>
      </c>
      <c r="D1222" s="41" t="str">
        <f>_xlfn.XLOOKUP(tblCostChecklist[[#This Row],[TargetID]],tblTargets[TargetID],tblTargets[TargetType],"")</f>
        <v>CITADEL</v>
      </c>
      <c r="E1222" s="41" t="s">
        <v>1681</v>
      </c>
      <c r="F1222" s="41">
        <v>1</v>
      </c>
      <c r="G1222" s="41">
        <f>_xlfn.XLOOKUP(
 tblCostChecklist[[#This Row],[RequirementID]],
 tblCost[RequirementID],
 tblCost[QuantityRequired],
 ""
)</f>
        <v>10</v>
      </c>
      <c r="H12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2" s="41" t="str">
        <f>_xlfn.XLOOKUP(tblCostChecklist[[#This Row],[TargetID]],tblTargetStatus[TargetID],tblTargetStatus[Status])</f>
        <v>BLOCKED</v>
      </c>
      <c r="J1222" s="25" t="b">
        <v>0</v>
      </c>
    </row>
    <row r="1223" spans="1:10">
      <c r="A1223" s="41" t="s">
        <v>4860</v>
      </c>
      <c r="B1223" s="41" t="str">
        <f>_xlfn.TEXTAFTER(
 _xlfn.TEXTBEFORE(tblCostChecklist[[#This Row],[RequirementID]],".",-2),
 "cost."
)</f>
        <v>citadel.cheese_cave</v>
      </c>
      <c r="C1223" s="41" t="str">
        <f>_xlfn.XLOOKUP(tblCostChecklist[[#This Row],[TargetID]],tblTargets[TargetID],tblTargets[DisplayName],"")</f>
        <v>Cheese Cave</v>
      </c>
      <c r="D1223" s="41" t="str">
        <f>_xlfn.XLOOKUP(tblCostChecklist[[#This Row],[TargetID]],tblTargets[TargetID],tblTargets[TargetType],"")</f>
        <v>CITADEL</v>
      </c>
      <c r="E1223" s="41" t="s">
        <v>717</v>
      </c>
      <c r="F1223" s="41">
        <v>1</v>
      </c>
      <c r="G1223" s="41">
        <f>_xlfn.XLOOKUP(
 tblCostChecklist[[#This Row],[RequirementID]],
 tblCost[RequirementID],
 tblCost[QuantityRequired],
 ""
)</f>
        <v>100</v>
      </c>
      <c r="H12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3" s="41" t="str">
        <f>_xlfn.XLOOKUP(tblCostChecklist[[#This Row],[TargetID]],tblTargetStatus[TargetID],tblTargetStatus[Status])</f>
        <v>BLOCKED</v>
      </c>
      <c r="J1223" s="25" t="b">
        <v>0</v>
      </c>
    </row>
    <row r="1224" spans="1:10">
      <c r="A1224" s="41" t="s">
        <v>4861</v>
      </c>
      <c r="B1224" s="41" t="str">
        <f>_xlfn.TEXTAFTER(
 _xlfn.TEXTBEFORE(tblCostChecklist[[#This Row],[RequirementID]],".",-2),
 "cost."
)</f>
        <v>citadel.courtyard</v>
      </c>
      <c r="C1224" s="41" t="str">
        <f>_xlfn.XLOOKUP(tblCostChecklist[[#This Row],[TargetID]],tblTargets[TargetID],tblTargets[DisplayName],"")</f>
        <v>Courtyard</v>
      </c>
      <c r="D1224" s="41" t="str">
        <f>_xlfn.XLOOKUP(tblCostChecklist[[#This Row],[TargetID]],tblTargets[TargetID],tblTargets[TargetType],"")</f>
        <v>CITADEL</v>
      </c>
      <c r="E1224" s="41" t="s">
        <v>658</v>
      </c>
      <c r="F1224" s="41">
        <v>1</v>
      </c>
      <c r="G1224" s="41">
        <f>_xlfn.XLOOKUP(
 tblCostChecklist[[#This Row],[RequirementID]],
 tblCost[RequirementID],
 tblCost[QuantityRequired],
 ""
)</f>
        <v>500</v>
      </c>
      <c r="H12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4" s="41" t="str">
        <f>_xlfn.XLOOKUP(tblCostChecklist[[#This Row],[TargetID]],tblTargetStatus[TargetID],tblTargetStatus[Status])</f>
        <v>BLOCKED</v>
      </c>
      <c r="J1224" s="25" t="b">
        <v>0</v>
      </c>
    </row>
    <row r="1225" spans="1:10">
      <c r="A1225" s="41" t="s">
        <v>4862</v>
      </c>
      <c r="B1225" s="41" t="str">
        <f>_xlfn.TEXTAFTER(
 _xlfn.TEXTBEFORE(tblCostChecklist[[#This Row],[RequirementID]],".",-2),
 "cost."
)</f>
        <v>citadel.courtyard</v>
      </c>
      <c r="C1225" s="41" t="str">
        <f>_xlfn.XLOOKUP(tblCostChecklist[[#This Row],[TargetID]],tblTargets[TargetID],tblTargets[DisplayName],"")</f>
        <v>Courtyard</v>
      </c>
      <c r="D1225" s="41" t="str">
        <f>_xlfn.XLOOKUP(tblCostChecklist[[#This Row],[TargetID]],tblTargets[TargetID],tblTargets[TargetType],"")</f>
        <v>CITADEL</v>
      </c>
      <c r="E1225" s="41" t="s">
        <v>666</v>
      </c>
      <c r="F1225" s="41">
        <v>1</v>
      </c>
      <c r="G1225" s="41">
        <f>_xlfn.XLOOKUP(
 tblCostChecklist[[#This Row],[RequirementID]],
 tblCost[RequirementID],
 tblCost[QuantityRequired],
 ""
)</f>
        <v>500</v>
      </c>
      <c r="H12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5" s="41" t="str">
        <f>_xlfn.XLOOKUP(tblCostChecklist[[#This Row],[TargetID]],tblTargetStatus[TargetID],tblTargetStatus[Status])</f>
        <v>BLOCKED</v>
      </c>
      <c r="J1225" s="25" t="b">
        <v>0</v>
      </c>
    </row>
    <row r="1226" spans="1:10">
      <c r="A1226" s="41" t="s">
        <v>4863</v>
      </c>
      <c r="B1226" s="41" t="str">
        <f>_xlfn.TEXTAFTER(
 _xlfn.TEXTBEFORE(tblCostChecklist[[#This Row],[RequirementID]],".",-2),
 "cost."
)</f>
        <v>citadel.courtyard</v>
      </c>
      <c r="C1226" s="41" t="str">
        <f>_xlfn.XLOOKUP(tblCostChecklist[[#This Row],[TargetID]],tblTargets[TargetID],tblTargets[DisplayName],"")</f>
        <v>Courtyard</v>
      </c>
      <c r="D1226" s="41" t="str">
        <f>_xlfn.XLOOKUP(tblCostChecklist[[#This Row],[TargetID]],tblTargets[TargetID],tblTargets[TargetType],"")</f>
        <v>CITADEL</v>
      </c>
      <c r="E1226" s="41" t="s">
        <v>696</v>
      </c>
      <c r="F1226" s="41">
        <v>1</v>
      </c>
      <c r="G1226" s="41">
        <f>_xlfn.XLOOKUP(
 tblCostChecklist[[#This Row],[RequirementID]],
 tblCost[RequirementID],
 tblCost[QuantityRequired],
 ""
)</f>
        <v>15</v>
      </c>
      <c r="H12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6" s="41" t="str">
        <f>_xlfn.XLOOKUP(tblCostChecklist[[#This Row],[TargetID]],tblTargetStatus[TargetID],tblTargetStatus[Status])</f>
        <v>BLOCKED</v>
      </c>
      <c r="J1226" s="25" t="b">
        <v>0</v>
      </c>
    </row>
    <row r="1227" spans="1:10">
      <c r="A1227" s="41" t="s">
        <v>4864</v>
      </c>
      <c r="B1227" s="41" t="str">
        <f>_xlfn.TEXTAFTER(
 _xlfn.TEXTBEFORE(tblCostChecklist[[#This Row],[RequirementID]],".",-2),
 "cost."
)</f>
        <v>citadel.courtyard</v>
      </c>
      <c r="C1227" s="41" t="str">
        <f>_xlfn.XLOOKUP(tblCostChecklist[[#This Row],[TargetID]],tblTargets[TargetID],tblTargets[DisplayName],"")</f>
        <v>Courtyard</v>
      </c>
      <c r="D1227" s="41" t="str">
        <f>_xlfn.XLOOKUP(tblCostChecklist[[#This Row],[TargetID]],tblTargets[TargetID],tblTargets[TargetType],"")</f>
        <v>CITADEL</v>
      </c>
      <c r="E1227" s="41" t="s">
        <v>708</v>
      </c>
      <c r="F1227" s="41">
        <v>1</v>
      </c>
      <c r="G1227" s="41">
        <f>_xlfn.XLOOKUP(
 tblCostChecklist[[#This Row],[RequirementID]],
 tblCost[RequirementID],
 tblCost[QuantityRequired],
 ""
)</f>
        <v>3</v>
      </c>
      <c r="H12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7" s="41" t="str">
        <f>_xlfn.XLOOKUP(tblCostChecklist[[#This Row],[TargetID]],tblTargetStatus[TargetID],tblTargetStatus[Status])</f>
        <v>BLOCKED</v>
      </c>
      <c r="J1227" s="25" t="b">
        <v>0</v>
      </c>
    </row>
    <row r="1228" spans="1:10">
      <c r="A1228" s="41" t="s">
        <v>4865</v>
      </c>
      <c r="B1228" s="41" t="str">
        <f>_xlfn.TEXTAFTER(
 _xlfn.TEXTBEFORE(tblCostChecklist[[#This Row],[RequirementID]],".",-2),
 "cost."
)</f>
        <v>citadel.courtyard</v>
      </c>
      <c r="C1228" s="41" t="str">
        <f>_xlfn.XLOOKUP(tblCostChecklist[[#This Row],[TargetID]],tblTargets[TargetID],tblTargets[DisplayName],"")</f>
        <v>Courtyard</v>
      </c>
      <c r="D1228" s="41" t="str">
        <f>_xlfn.XLOOKUP(tblCostChecklist[[#This Row],[TargetID]],tblTargets[TargetID],tblTargets[TargetType],"")</f>
        <v>CITADEL</v>
      </c>
      <c r="E1228" s="41" t="s">
        <v>717</v>
      </c>
      <c r="F1228" s="41">
        <v>1</v>
      </c>
      <c r="G1228" s="41">
        <f>_xlfn.XLOOKUP(
 tblCostChecklist[[#This Row],[RequirementID]],
 tblCost[RequirementID],
 tblCost[QuantityRequired],
 ""
)</f>
        <v>500</v>
      </c>
      <c r="H12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8" s="41" t="str">
        <f>_xlfn.XLOOKUP(tblCostChecklist[[#This Row],[TargetID]],tblTargetStatus[TargetID],tblTargetStatus[Status])</f>
        <v>BLOCKED</v>
      </c>
      <c r="J1228" s="25" t="b">
        <v>0</v>
      </c>
    </row>
    <row r="1229" spans="1:10">
      <c r="A1229" s="41" t="s">
        <v>4866</v>
      </c>
      <c r="B1229" s="41" t="str">
        <f>_xlfn.TEXTAFTER(
 _xlfn.TEXTBEFORE(tblCostChecklist[[#This Row],[RequirementID]],".",-2),
 "cost."
)</f>
        <v>citadel.gallery</v>
      </c>
      <c r="C1229" s="41" t="str">
        <f>_xlfn.XLOOKUP(tblCostChecklist[[#This Row],[TargetID]],tblTargets[TargetID],tblTargets[DisplayName],"")</f>
        <v>Gallery</v>
      </c>
      <c r="D1229" s="41" t="str">
        <f>_xlfn.XLOOKUP(tblCostChecklist[[#This Row],[TargetID]],tblTargets[TargetID],tblTargets[TargetType],"")</f>
        <v>CITADEL</v>
      </c>
      <c r="E1229" s="41" t="s">
        <v>658</v>
      </c>
      <c r="F1229" s="41">
        <v>1</v>
      </c>
      <c r="G1229" s="41">
        <f>_xlfn.XLOOKUP(
 tblCostChecklist[[#This Row],[RequirementID]],
 tblCost[RequirementID],
 tblCost[QuantityRequired],
 ""
)</f>
        <v>500</v>
      </c>
      <c r="H12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9" s="41" t="str">
        <f>_xlfn.XLOOKUP(tblCostChecklist[[#This Row],[TargetID]],tblTargetStatus[TargetID],tblTargetStatus[Status])</f>
        <v>BLOCKED</v>
      </c>
      <c r="J1229" s="25" t="b">
        <v>0</v>
      </c>
    </row>
    <row r="1230" spans="1:10">
      <c r="A1230" s="41" t="s">
        <v>4867</v>
      </c>
      <c r="B1230" s="41" t="str">
        <f>_xlfn.TEXTAFTER(
 _xlfn.TEXTBEFORE(tblCostChecklist[[#This Row],[RequirementID]],".",-2),
 "cost."
)</f>
        <v>citadel.gallery</v>
      </c>
      <c r="C1230" s="41" t="str">
        <f>_xlfn.XLOOKUP(tblCostChecklist[[#This Row],[TargetID]],tblTargets[TargetID],tblTargets[DisplayName],"")</f>
        <v>Gallery</v>
      </c>
      <c r="D1230" s="41" t="str">
        <f>_xlfn.XLOOKUP(tblCostChecklist[[#This Row],[TargetID]],tblTargets[TargetID],tblTargets[TargetType],"")</f>
        <v>CITADEL</v>
      </c>
      <c r="E1230" s="41" t="s">
        <v>666</v>
      </c>
      <c r="F1230" s="41">
        <v>1</v>
      </c>
      <c r="G1230" s="41">
        <f>_xlfn.XLOOKUP(
 tblCostChecklist[[#This Row],[RequirementID]],
 tblCost[RequirementID],
 tblCost[QuantityRequired],
 ""
)</f>
        <v>500</v>
      </c>
      <c r="H12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0" s="41" t="str">
        <f>_xlfn.XLOOKUP(tblCostChecklist[[#This Row],[TargetID]],tblTargetStatus[TargetID],tblTargetStatus[Status])</f>
        <v>BLOCKED</v>
      </c>
      <c r="J1230" s="25" t="b">
        <v>0</v>
      </c>
    </row>
    <row r="1231" spans="1:10">
      <c r="A1231" s="41" t="s">
        <v>4868</v>
      </c>
      <c r="B1231" s="41" t="str">
        <f>_xlfn.TEXTAFTER(
 _xlfn.TEXTBEFORE(tblCostChecklist[[#This Row],[RequirementID]],".",-2),
 "cost."
)</f>
        <v>citadel.gallery</v>
      </c>
      <c r="C1231" s="41" t="str">
        <f>_xlfn.XLOOKUP(tblCostChecklist[[#This Row],[TargetID]],tblTargets[TargetID],tblTargets[DisplayName],"")</f>
        <v>Gallery</v>
      </c>
      <c r="D1231" s="41" t="str">
        <f>_xlfn.XLOOKUP(tblCostChecklist[[#This Row],[TargetID]],tblTargets[TargetID],tblTargets[TargetType],"")</f>
        <v>CITADEL</v>
      </c>
      <c r="E1231" s="41" t="s">
        <v>696</v>
      </c>
      <c r="F1231" s="41">
        <v>1</v>
      </c>
      <c r="G1231" s="41">
        <f>_xlfn.XLOOKUP(
 tblCostChecklist[[#This Row],[RequirementID]],
 tblCost[RequirementID],
 tblCost[QuantityRequired],
 ""
)</f>
        <v>15</v>
      </c>
      <c r="H12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1" s="41" t="str">
        <f>_xlfn.XLOOKUP(tblCostChecklist[[#This Row],[TargetID]],tblTargetStatus[TargetID],tblTargetStatus[Status])</f>
        <v>BLOCKED</v>
      </c>
      <c r="J1231" s="25" t="b">
        <v>0</v>
      </c>
    </row>
    <row r="1232" spans="1:10">
      <c r="A1232" s="41" t="s">
        <v>4869</v>
      </c>
      <c r="B1232" s="41" t="str">
        <f>_xlfn.TEXTAFTER(
 _xlfn.TEXTBEFORE(tblCostChecklist[[#This Row],[RequirementID]],".",-2),
 "cost."
)</f>
        <v>citadel.gallery</v>
      </c>
      <c r="C1232" s="41" t="str">
        <f>_xlfn.XLOOKUP(tblCostChecklist[[#This Row],[TargetID]],tblTargets[TargetID],tblTargets[DisplayName],"")</f>
        <v>Gallery</v>
      </c>
      <c r="D1232" s="41" t="str">
        <f>_xlfn.XLOOKUP(tblCostChecklist[[#This Row],[TargetID]],tblTargets[TargetID],tblTargets[TargetType],"")</f>
        <v>CITADEL</v>
      </c>
      <c r="E1232" s="41" t="s">
        <v>708</v>
      </c>
      <c r="F1232" s="41">
        <v>1</v>
      </c>
      <c r="G1232" s="41">
        <f>_xlfn.XLOOKUP(
 tblCostChecklist[[#This Row],[RequirementID]],
 tblCost[RequirementID],
 tblCost[QuantityRequired],
 ""
)</f>
        <v>3</v>
      </c>
      <c r="H12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2" s="41" t="str">
        <f>_xlfn.XLOOKUP(tblCostChecklist[[#This Row],[TargetID]],tblTargetStatus[TargetID],tblTargetStatus[Status])</f>
        <v>BLOCKED</v>
      </c>
      <c r="J1232" s="25" t="b">
        <v>0</v>
      </c>
    </row>
    <row r="1233" spans="1:10">
      <c r="A1233" s="41" t="s">
        <v>4870</v>
      </c>
      <c r="B1233" s="41" t="str">
        <f>_xlfn.TEXTAFTER(
 _xlfn.TEXTBEFORE(tblCostChecklist[[#This Row],[RequirementID]],".",-2),
 "cost."
)</f>
        <v>citadel.gallery</v>
      </c>
      <c r="C1233" s="41" t="str">
        <f>_xlfn.XLOOKUP(tblCostChecklist[[#This Row],[TargetID]],tblTargets[TargetID],tblTargets[DisplayName],"")</f>
        <v>Gallery</v>
      </c>
      <c r="D1233" s="41" t="str">
        <f>_xlfn.XLOOKUP(tblCostChecklist[[#This Row],[TargetID]],tblTargets[TargetID],tblTargets[TargetType],"")</f>
        <v>CITADEL</v>
      </c>
      <c r="E1233" s="41" t="s">
        <v>716</v>
      </c>
      <c r="F1233" s="41">
        <v>1</v>
      </c>
      <c r="G1233" s="41">
        <f>_xlfn.XLOOKUP(
 tblCostChecklist[[#This Row],[RequirementID]],
 tblCost[RequirementID],
 tblCost[QuantityRequired],
 ""
)</f>
        <v>100</v>
      </c>
      <c r="H12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3" s="41" t="str">
        <f>_xlfn.XLOOKUP(tblCostChecklist[[#This Row],[TargetID]],tblTargetStatus[TargetID],tblTargetStatus[Status])</f>
        <v>BLOCKED</v>
      </c>
      <c r="J1233" s="25" t="b">
        <v>0</v>
      </c>
    </row>
    <row r="1234" spans="1:10">
      <c r="A1234" s="41" t="s">
        <v>4871</v>
      </c>
      <c r="B1234" s="41" t="str">
        <f>_xlfn.TEXTAFTER(
 _xlfn.TEXTBEFORE(tblCostChecklist[[#This Row],[RequirementID]],".",-2),
 "cost."
)</f>
        <v>citadel.gallery</v>
      </c>
      <c r="C1234" s="41" t="str">
        <f>_xlfn.XLOOKUP(tblCostChecklist[[#This Row],[TargetID]],tblTargets[TargetID],tblTargets[DisplayName],"")</f>
        <v>Gallery</v>
      </c>
      <c r="D1234" s="41" t="str">
        <f>_xlfn.XLOOKUP(tblCostChecklist[[#This Row],[TargetID]],tblTargets[TargetID],tblTargets[TargetType],"")</f>
        <v>CITADEL</v>
      </c>
      <c r="E1234" s="41" t="s">
        <v>717</v>
      </c>
      <c r="F1234" s="41">
        <v>1</v>
      </c>
      <c r="G1234" s="41">
        <f>_xlfn.XLOOKUP(
 tblCostChecklist[[#This Row],[RequirementID]],
 tblCost[RequirementID],
 tblCost[QuantityRequired],
 ""
)</f>
        <v>500</v>
      </c>
      <c r="H12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4" s="41" t="str">
        <f>_xlfn.XLOOKUP(tblCostChecklist[[#This Row],[TargetID]],tblTargetStatus[TargetID],tblTargetStatus[Status])</f>
        <v>BLOCKED</v>
      </c>
      <c r="J1234" s="25" t="b">
        <v>0</v>
      </c>
    </row>
    <row r="1235" spans="1:10">
      <c r="A1235" s="41" t="s">
        <v>4872</v>
      </c>
      <c r="B1235" s="41" t="str">
        <f>_xlfn.TEXTAFTER(
 _xlfn.TEXTBEFORE(tblCostChecklist[[#This Row],[RequirementID]],".",-2),
 "cost."
)</f>
        <v>citadel.great_hall</v>
      </c>
      <c r="C1235" s="41" t="str">
        <f>_xlfn.XLOOKUP(tblCostChecklist[[#This Row],[TargetID]],tblTargets[TargetID],tblTargets[DisplayName],"")</f>
        <v>Great Hall</v>
      </c>
      <c r="D1235" s="41" t="str">
        <f>_xlfn.XLOOKUP(tblCostChecklist[[#This Row],[TargetID]],tblTargets[TargetID],tblTargets[TargetType],"")</f>
        <v>CITADEL</v>
      </c>
      <c r="E1235" s="41" t="s">
        <v>658</v>
      </c>
      <c r="F1235" s="41">
        <v>1</v>
      </c>
      <c r="G1235" s="41">
        <f>_xlfn.XLOOKUP(
 tblCostChecklist[[#This Row],[RequirementID]],
 tblCost[RequirementID],
 tblCost[QuantityRequired],
 ""
)</f>
        <v>600</v>
      </c>
      <c r="H12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5" s="41" t="str">
        <f>_xlfn.XLOOKUP(tblCostChecklist[[#This Row],[TargetID]],tblTargetStatus[TargetID],tblTargetStatus[Status])</f>
        <v>BLOCKED</v>
      </c>
      <c r="J1235" s="25" t="b">
        <v>0</v>
      </c>
    </row>
    <row r="1236" spans="1:10">
      <c r="A1236" s="41" t="s">
        <v>4873</v>
      </c>
      <c r="B1236" s="41" t="str">
        <f>_xlfn.TEXTAFTER(
 _xlfn.TEXTBEFORE(tblCostChecklist[[#This Row],[RequirementID]],".",-2),
 "cost."
)</f>
        <v>citadel.great_hall</v>
      </c>
      <c r="C1236" s="41" t="str">
        <f>_xlfn.XLOOKUP(tblCostChecklist[[#This Row],[TargetID]],tblTargets[TargetID],tblTargets[DisplayName],"")</f>
        <v>Great Hall</v>
      </c>
      <c r="D1236" s="41" t="str">
        <f>_xlfn.XLOOKUP(tblCostChecklist[[#This Row],[TargetID]],tblTargets[TargetID],tblTargets[TargetType],"")</f>
        <v>CITADEL</v>
      </c>
      <c r="E1236" s="41" t="s">
        <v>666</v>
      </c>
      <c r="F1236" s="41">
        <v>1</v>
      </c>
      <c r="G1236" s="41">
        <f>_xlfn.XLOOKUP(
 tblCostChecklist[[#This Row],[RequirementID]],
 tblCost[RequirementID],
 tblCost[QuantityRequired],
 ""
)</f>
        <v>800</v>
      </c>
      <c r="H12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6" s="41" t="str">
        <f>_xlfn.XLOOKUP(tblCostChecklist[[#This Row],[TargetID]],tblTargetStatus[TargetID],tblTargetStatus[Status])</f>
        <v>BLOCKED</v>
      </c>
      <c r="J1236" s="25" t="b">
        <v>0</v>
      </c>
    </row>
    <row r="1237" spans="1:10">
      <c r="A1237" s="41" t="s">
        <v>4874</v>
      </c>
      <c r="B1237" s="41" t="str">
        <f>_xlfn.TEXTAFTER(
 _xlfn.TEXTBEFORE(tblCostChecklist[[#This Row],[RequirementID]],".",-2),
 "cost."
)</f>
        <v>citadel.great_hall</v>
      </c>
      <c r="C1237" s="41" t="str">
        <f>_xlfn.XLOOKUP(tblCostChecklist[[#This Row],[TargetID]],tblTargets[TargetID],tblTargets[DisplayName],"")</f>
        <v>Great Hall</v>
      </c>
      <c r="D1237" s="41" t="str">
        <f>_xlfn.XLOOKUP(tblCostChecklist[[#This Row],[TargetID]],tblTargets[TargetID],tblTargets[TargetType],"")</f>
        <v>CITADEL</v>
      </c>
      <c r="E1237" s="41" t="s">
        <v>696</v>
      </c>
      <c r="F1237" s="41">
        <v>1</v>
      </c>
      <c r="G1237" s="41">
        <f>_xlfn.XLOOKUP(
 tblCostChecklist[[#This Row],[RequirementID]],
 tblCost[RequirementID],
 tblCost[QuantityRequired],
 ""
)</f>
        <v>20</v>
      </c>
      <c r="H12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7" s="41" t="str">
        <f>_xlfn.XLOOKUP(tblCostChecklist[[#This Row],[TargetID]],tblTargetStatus[TargetID],tblTargetStatus[Status])</f>
        <v>BLOCKED</v>
      </c>
      <c r="J1237" s="25" t="b">
        <v>0</v>
      </c>
    </row>
    <row r="1238" spans="1:10">
      <c r="A1238" s="41" t="s">
        <v>4875</v>
      </c>
      <c r="B1238" s="41" t="str">
        <f>_xlfn.TEXTAFTER(
 _xlfn.TEXTBEFORE(tblCostChecklist[[#This Row],[RequirementID]],".",-2),
 "cost."
)</f>
        <v>citadel.great_hall</v>
      </c>
      <c r="C1238" s="41" t="str">
        <f>_xlfn.XLOOKUP(tblCostChecklist[[#This Row],[TargetID]],tblTargets[TargetID],tblTargets[DisplayName],"")</f>
        <v>Great Hall</v>
      </c>
      <c r="D1238" s="41" t="str">
        <f>_xlfn.XLOOKUP(tblCostChecklist[[#This Row],[TargetID]],tblTargets[TargetID],tblTargets[TargetType],"")</f>
        <v>CITADEL</v>
      </c>
      <c r="E1238" s="41" t="s">
        <v>708</v>
      </c>
      <c r="F1238" s="41">
        <v>1</v>
      </c>
      <c r="G1238" s="41">
        <f>_xlfn.XLOOKUP(
 tblCostChecklist[[#This Row],[RequirementID]],
 tblCost[RequirementID],
 tblCost[QuantityRequired],
 ""
)</f>
        <v>5</v>
      </c>
      <c r="H12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8" s="41" t="str">
        <f>_xlfn.XLOOKUP(tblCostChecklist[[#This Row],[TargetID]],tblTargetStatus[TargetID],tblTargetStatus[Status])</f>
        <v>BLOCKED</v>
      </c>
      <c r="J1238" s="25" t="b">
        <v>0</v>
      </c>
    </row>
    <row r="1239" spans="1:10">
      <c r="A1239" s="41" t="s">
        <v>4876</v>
      </c>
      <c r="B1239" s="41" t="str">
        <f>_xlfn.TEXTAFTER(
 _xlfn.TEXTBEFORE(tblCostChecklist[[#This Row],[RequirementID]],".",-2),
 "cost."
)</f>
        <v>citadel.great_hall</v>
      </c>
      <c r="C1239" s="41" t="str">
        <f>_xlfn.XLOOKUP(tblCostChecklist[[#This Row],[TargetID]],tblTargets[TargetID],tblTargets[DisplayName],"")</f>
        <v>Great Hall</v>
      </c>
      <c r="D1239" s="41" t="str">
        <f>_xlfn.XLOOKUP(tblCostChecklist[[#This Row],[TargetID]],tblTargets[TargetID],tblTargets[TargetType],"")</f>
        <v>CITADEL</v>
      </c>
      <c r="E1239" s="41" t="s">
        <v>717</v>
      </c>
      <c r="F1239" s="41">
        <v>1</v>
      </c>
      <c r="G1239" s="41">
        <f>_xlfn.XLOOKUP(
 tblCostChecklist[[#This Row],[RequirementID]],
 tblCost[RequirementID],
 tblCost[QuantityRequired],
 ""
)</f>
        <v>600</v>
      </c>
      <c r="H12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9" s="41" t="str">
        <f>_xlfn.XLOOKUP(tblCostChecklist[[#This Row],[TargetID]],tblTargetStatus[TargetID],tblTargetStatus[Status])</f>
        <v>BLOCKED</v>
      </c>
      <c r="J1239" s="25" t="b">
        <v>0</v>
      </c>
    </row>
    <row r="1240" spans="1:10">
      <c r="A1240" s="41" t="s">
        <v>4877</v>
      </c>
      <c r="B1240" s="41" t="str">
        <f>_xlfn.TEXTAFTER(
 _xlfn.TEXTBEFORE(tblCostChecklist[[#This Row],[RequirementID]],".",-2),
 "cost."
)</f>
        <v>citadel.kitchen_and_buttery</v>
      </c>
      <c r="C1240" s="41" t="str">
        <f>_xlfn.XLOOKUP(tblCostChecklist[[#This Row],[TargetID]],tblTargets[TargetID],tblTargets[DisplayName],"")</f>
        <v>Kitchen and Buttery</v>
      </c>
      <c r="D1240" s="41" t="str">
        <f>_xlfn.XLOOKUP(tblCostChecklist[[#This Row],[TargetID]],tblTargets[TargetID],tblTargets[TargetType],"")</f>
        <v>CITADEL</v>
      </c>
      <c r="E1240" s="41" t="s">
        <v>658</v>
      </c>
      <c r="F1240" s="41">
        <v>1</v>
      </c>
      <c r="G1240" s="41">
        <f>_xlfn.XLOOKUP(
 tblCostChecklist[[#This Row],[RequirementID]],
 tblCost[RequirementID],
 tblCost[QuantityRequired],
 ""
)</f>
        <v>400</v>
      </c>
      <c r="H12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40" s="41" t="str">
        <f>_xlfn.XLOOKUP(tblCostChecklist[[#This Row],[TargetID]],tblTargetStatus[TargetID],tblTargetStatus[Status])</f>
        <v>BLOCKED</v>
      </c>
      <c r="J1240" s="25" t="b">
        <v>0</v>
      </c>
    </row>
    <row r="1241" spans="1:10">
      <c r="A1241" s="41" t="s">
        <v>4878</v>
      </c>
      <c r="B1241" s="41" t="str">
        <f>_xlfn.TEXTAFTER(
 _xlfn.TEXTBEFORE(tblCostChecklist[[#This Row],[RequirementID]],".",-2),
 "cost."
)</f>
        <v>citadel.kitchen_and_buttery</v>
      </c>
      <c r="C1241" s="41" t="str">
        <f>_xlfn.XLOOKUP(tblCostChecklist[[#This Row],[TargetID]],tblTargets[TargetID],tblTargets[DisplayName],"")</f>
        <v>Kitchen and Buttery</v>
      </c>
      <c r="D1241" s="41" t="str">
        <f>_xlfn.XLOOKUP(tblCostChecklist[[#This Row],[TargetID]],tblTargets[TargetID],tblTargets[TargetType],"")</f>
        <v>CITADEL</v>
      </c>
      <c r="E1241" s="41" t="s">
        <v>666</v>
      </c>
      <c r="F1241" s="41">
        <v>1</v>
      </c>
      <c r="G1241" s="41">
        <f>_xlfn.XLOOKUP(
 tblCostChecklist[[#This Row],[RequirementID]],
 tblCost[RequirementID],
 tblCost[QuantityRequired],
 ""
)</f>
        <v>400</v>
      </c>
      <c r="H12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41" s="41" t="str">
        <f>_xlfn.XLOOKUP(tblCostChecklist[[#This Row],[TargetID]],tblTargetStatus[TargetID],tblTargetStatus[Status])</f>
        <v>BLOCKED</v>
      </c>
      <c r="J1241" s="25" t="b">
        <v>0</v>
      </c>
    </row>
    <row r="1242" spans="1:10">
      <c r="A1242" s="41" t="s">
        <v>4879</v>
      </c>
      <c r="B1242" s="41" t="str">
        <f>_xlfn.TEXTAFTER(
 _xlfn.TEXTBEFORE(tblCostChecklist[[#This Row],[RequirementID]],".",-2),
 "cost."
)</f>
        <v>citadel.kitchen_and_buttery</v>
      </c>
      <c r="C1242" s="41" t="str">
        <f>_xlfn.XLOOKUP(tblCostChecklist[[#This Row],[TargetID]],tblTargets[TargetID],tblTargets[DisplayName],"")</f>
        <v>Kitchen and Buttery</v>
      </c>
      <c r="D1242" s="41" t="str">
        <f>_xlfn.XLOOKUP(tblCostChecklist[[#This Row],[TargetID]],tblTargets[TargetID],tblTargets[TargetType],"")</f>
        <v>CITADEL</v>
      </c>
      <c r="E1242" s="41" t="s">
        <v>696</v>
      </c>
      <c r="F1242" s="41">
        <v>1</v>
      </c>
      <c r="G1242" s="41">
        <f>_xlfn.XLOOKUP(
 tblCostChecklist[[#This Row],[RequirementID]],
 tblCost[RequirementID],
 tblCost[QuantityRequired],
 ""
)</f>
        <v>10</v>
      </c>
      <c r="H12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42" s="41" t="str">
        <f>_xlfn.XLOOKUP(tblCostChecklist[[#This Row],[TargetID]],tblTargetStatus[TargetID],tblTargetStatus[Status])</f>
        <v>BLOCKED</v>
      </c>
      <c r="J1242" s="25" t="b">
        <v>0</v>
      </c>
    </row>
    <row r="1243" spans="1:10">
      <c r="A1243" s="41" t="s">
        <v>4880</v>
      </c>
      <c r="B1243" s="41" t="str">
        <f>_xlfn.TEXTAFTER(
 _xlfn.TEXTBEFORE(tblCostChecklist[[#This Row],[RequirementID]],".",-2),
 "cost."
)</f>
        <v>citadel.kitchen_and_buttery</v>
      </c>
      <c r="C1243" s="41" t="str">
        <f>_xlfn.XLOOKUP(tblCostChecklist[[#This Row],[TargetID]],tblTargets[TargetID],tblTargets[DisplayName],"")</f>
        <v>Kitchen and Buttery</v>
      </c>
      <c r="D1243" s="41" t="str">
        <f>_xlfn.XLOOKUP(tblCostChecklist[[#This Row],[TargetID]],tblTargets[TargetID],tblTargets[TargetType],"")</f>
        <v>CITADEL</v>
      </c>
      <c r="E1243" s="41" t="s">
        <v>708</v>
      </c>
      <c r="F1243" s="41">
        <v>1</v>
      </c>
      <c r="G1243" s="41">
        <f>_xlfn.XLOOKUP(
 tblCostChecklist[[#This Row],[RequirementID]],
 tblCost[RequirementID],
 tblCost[QuantityRequired],
 ""
)</f>
        <v>2</v>
      </c>
      <c r="H12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43" s="41" t="str">
        <f>_xlfn.XLOOKUP(tblCostChecklist[[#This Row],[TargetID]],tblTargetStatus[TargetID],tblTargetStatus[Status])</f>
        <v>BLOCKED</v>
      </c>
      <c r="J1243" s="25" t="b">
        <v>0</v>
      </c>
    </row>
    <row r="1244" spans="1:10">
      <c r="A1244" s="41" t="s">
        <v>4881</v>
      </c>
      <c r="B1244" s="41" t="str">
        <f>_xlfn.TEXTAFTER(
 _xlfn.TEXTBEFORE(tblCostChecklist[[#This Row],[RequirementID]],".",-2),
 "cost."
)</f>
        <v>citadel.kitchen_and_buttery</v>
      </c>
      <c r="C1244" s="41" t="str">
        <f>_xlfn.XLOOKUP(tblCostChecklist[[#This Row],[TargetID]],tblTargets[TargetID],tblTargets[DisplayName],"")</f>
        <v>Kitchen and Buttery</v>
      </c>
      <c r="D1244" s="41" t="str">
        <f>_xlfn.XLOOKUP(tblCostChecklist[[#This Row],[TargetID]],tblTargets[TargetID],tblTargets[TargetType],"")</f>
        <v>CITADEL</v>
      </c>
      <c r="E1244" s="41" t="s">
        <v>717</v>
      </c>
      <c r="F1244" s="41">
        <v>1</v>
      </c>
      <c r="G1244" s="41">
        <f>_xlfn.XLOOKUP(
 tblCostChecklist[[#This Row],[RequirementID]],
 tblCost[RequirementID],
 tblCost[QuantityRequired],
 ""
)</f>
        <v>400</v>
      </c>
      <c r="H12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44" s="41" t="str">
        <f>_xlfn.XLOOKUP(tblCostChecklist[[#This Row],[TargetID]],tblTargetStatus[TargetID],tblTargetStatus[Status])</f>
        <v>BLOCKED</v>
      </c>
      <c r="J1244" s="25" t="b">
        <v>0</v>
      </c>
    </row>
    <row r="1245" spans="1:10">
      <c r="A1245" s="41" t="s">
        <v>4882</v>
      </c>
      <c r="B1245" s="41" t="str">
        <f>_xlfn.TEXTAFTER(
 _xlfn.TEXTBEFORE(tblCostChecklist[[#This Row],[RequirementID]],".",-2),
 "cost."
)</f>
        <v>citadel.lair_lvl_1</v>
      </c>
      <c r="C1245" s="41" t="str">
        <f>_xlfn.XLOOKUP(tblCostChecklist[[#This Row],[TargetID]],tblTargets[TargetID],tblTargets[DisplayName],"")</f>
        <v>Lair lvl. 1</v>
      </c>
      <c r="D1245" s="41" t="str">
        <f>_xlfn.XLOOKUP(tblCostChecklist[[#This Row],[TargetID]],tblTargets[TargetID],tblTargets[TargetType],"")</f>
        <v>CITADEL</v>
      </c>
      <c r="E1245" s="41" t="s">
        <v>667</v>
      </c>
      <c r="F1245" s="41">
        <v>1</v>
      </c>
      <c r="G1245" s="41">
        <f>_xlfn.XLOOKUP(
 tblCostChecklist[[#This Row],[RequirementID]],
 tblCost[RequirementID],
 tblCost[QuantityRequired],
 ""
)</f>
        <v>200</v>
      </c>
      <c r="H12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45" s="41" t="str">
        <f>_xlfn.XLOOKUP(tblCostChecklist[[#This Row],[TargetID]],tblTargetStatus[TargetID],tblTargetStatus[Status])</f>
        <v>BLOCKED</v>
      </c>
      <c r="J1245" s="25" t="b">
        <v>0</v>
      </c>
    </row>
    <row r="1246" spans="1:10">
      <c r="A1246" s="41" t="s">
        <v>4883</v>
      </c>
      <c r="B1246" s="41" t="str">
        <f>_xlfn.TEXTAFTER(
 _xlfn.TEXTBEFORE(tblCostChecklist[[#This Row],[RequirementID]],".",-2),
 "cost."
)</f>
        <v>citadel.lair_lvl_1</v>
      </c>
      <c r="C1246" s="41" t="str">
        <f>_xlfn.XLOOKUP(tblCostChecklist[[#This Row],[TargetID]],tblTargets[TargetID],tblTargets[DisplayName],"")</f>
        <v>Lair lvl. 1</v>
      </c>
      <c r="D1246" s="41" t="str">
        <f>_xlfn.XLOOKUP(tblCostChecklist[[#This Row],[TargetID]],tblTargets[TargetID],tblTargets[TargetType],"")</f>
        <v>CITADEL</v>
      </c>
      <c r="E1246" s="41" t="s">
        <v>677</v>
      </c>
      <c r="F1246" s="41">
        <v>1</v>
      </c>
      <c r="G1246" s="41">
        <f>_xlfn.XLOOKUP(
 tblCostChecklist[[#This Row],[RequirementID]],
 tblCost[RequirementID],
 tblCost[QuantityRequired],
 ""
)</f>
        <v>17</v>
      </c>
      <c r="H12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46" s="41" t="str">
        <f>_xlfn.XLOOKUP(tblCostChecklist[[#This Row],[TargetID]],tblTargetStatus[TargetID],tblTargetStatus[Status])</f>
        <v>BLOCKED</v>
      </c>
      <c r="J1246" s="25" t="b">
        <v>0</v>
      </c>
    </row>
    <row r="1247" spans="1:10">
      <c r="A1247" s="41" t="s">
        <v>4884</v>
      </c>
      <c r="B1247" s="41" t="str">
        <f>_xlfn.TEXTAFTER(
 _xlfn.TEXTBEFORE(tblCostChecklist[[#This Row],[RequirementID]],".",-2),
 "cost."
)</f>
        <v>citadel.lair_lvl_1</v>
      </c>
      <c r="C1247" s="41" t="str">
        <f>_xlfn.XLOOKUP(tblCostChecklist[[#This Row],[TargetID]],tblTargets[TargetID],tblTargets[DisplayName],"")</f>
        <v>Lair lvl. 1</v>
      </c>
      <c r="D1247" s="41" t="str">
        <f>_xlfn.XLOOKUP(tblCostChecklist[[#This Row],[TargetID]],tblTargets[TargetID],tblTargets[TargetType],"")</f>
        <v>CITADEL</v>
      </c>
      <c r="E1247" s="41" t="s">
        <v>858</v>
      </c>
      <c r="F1247" s="41">
        <v>1</v>
      </c>
      <c r="G1247" s="41">
        <f>_xlfn.XLOOKUP(
 tblCostChecklist[[#This Row],[RequirementID]],
 tblCost[RequirementID],
 tblCost[QuantityRequired],
 ""
)</f>
        <v>10</v>
      </c>
      <c r="H12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47" s="41" t="str">
        <f>_xlfn.XLOOKUP(tblCostChecklist[[#This Row],[TargetID]],tblTargetStatus[TargetID],tblTargetStatus[Status])</f>
        <v>BLOCKED</v>
      </c>
      <c r="J1247" s="25" t="b">
        <v>0</v>
      </c>
    </row>
    <row r="1248" spans="1:10">
      <c r="A1248" s="41" t="s">
        <v>4885</v>
      </c>
      <c r="B1248" s="41" t="str">
        <f>_xlfn.TEXTAFTER(
 _xlfn.TEXTBEFORE(tblCostChecklist[[#This Row],[RequirementID]],".",-2),
 "cost."
)</f>
        <v>citadel.lair_lvl_1</v>
      </c>
      <c r="C1248" s="41" t="str">
        <f>_xlfn.XLOOKUP(tblCostChecklist[[#This Row],[TargetID]],tblTargets[TargetID],tblTargets[DisplayName],"")</f>
        <v>Lair lvl. 1</v>
      </c>
      <c r="D1248" s="41" t="str">
        <f>_xlfn.XLOOKUP(tblCostChecklist[[#This Row],[TargetID]],tblTargets[TargetID],tblTargets[TargetType],"")</f>
        <v>CITADEL</v>
      </c>
      <c r="E1248" s="41" t="s">
        <v>708</v>
      </c>
      <c r="F1248" s="41">
        <v>1</v>
      </c>
      <c r="G1248" s="41">
        <f>_xlfn.XLOOKUP(
 tblCostChecklist[[#This Row],[RequirementID]],
 tblCost[RequirementID],
 tblCost[QuantityRequired],
 ""
)</f>
        <v>5</v>
      </c>
      <c r="H12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48" s="41" t="str">
        <f>_xlfn.XLOOKUP(tblCostChecklist[[#This Row],[TargetID]],tblTargetStatus[TargetID],tblTargetStatus[Status])</f>
        <v>BLOCKED</v>
      </c>
      <c r="J1248" s="25" t="b">
        <v>0</v>
      </c>
    </row>
    <row r="1249" spans="1:10">
      <c r="A1249" s="41" t="s">
        <v>4886</v>
      </c>
      <c r="B1249" s="41" t="str">
        <f>_xlfn.TEXTAFTER(
 _xlfn.TEXTBEFORE(tblCostChecklist[[#This Row],[RequirementID]],".",-2),
 "cost."
)</f>
        <v>citadel.lair_lvl_1</v>
      </c>
      <c r="C1249" s="41" t="str">
        <f>_xlfn.XLOOKUP(tblCostChecklist[[#This Row],[TargetID]],tblTargets[TargetID],tblTargets[DisplayName],"")</f>
        <v>Lair lvl. 1</v>
      </c>
      <c r="D1249" s="41" t="str">
        <f>_xlfn.XLOOKUP(tblCostChecklist[[#This Row],[TargetID]],tblTargets[TargetID],tblTargets[TargetType],"")</f>
        <v>CITADEL</v>
      </c>
      <c r="E1249" s="41" t="s">
        <v>721</v>
      </c>
      <c r="F1249" s="41">
        <v>1</v>
      </c>
      <c r="G1249" s="41">
        <f>_xlfn.XLOOKUP(
 tblCostChecklist[[#This Row],[RequirementID]],
 tblCost[RequirementID],
 tblCost[QuantityRequired],
 ""
)</f>
        <v>3</v>
      </c>
      <c r="H12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49" s="41" t="str">
        <f>_xlfn.XLOOKUP(tblCostChecklist[[#This Row],[TargetID]],tblTargetStatus[TargetID],tblTargetStatus[Status])</f>
        <v>BLOCKED</v>
      </c>
      <c r="J1249" s="25" t="b">
        <v>0</v>
      </c>
    </row>
    <row r="1250" spans="1:10">
      <c r="A1250" s="41" t="s">
        <v>4887</v>
      </c>
      <c r="B1250" s="41" t="str">
        <f>_xlfn.TEXTAFTER(
 _xlfn.TEXTBEFORE(tblCostChecklist[[#This Row],[RequirementID]],".",-2),
 "cost."
)</f>
        <v>citadel.lair_lvl_1</v>
      </c>
      <c r="C1250" s="41" t="str">
        <f>_xlfn.XLOOKUP(tblCostChecklist[[#This Row],[TargetID]],tblTargets[TargetID],tblTargets[DisplayName],"")</f>
        <v>Lair lvl. 1</v>
      </c>
      <c r="D1250" s="41" t="str">
        <f>_xlfn.XLOOKUP(tblCostChecklist[[#This Row],[TargetID]],tblTargets[TargetID],tblTargets[TargetType],"")</f>
        <v>CITADEL</v>
      </c>
      <c r="E1250" s="41" t="s">
        <v>723</v>
      </c>
      <c r="F1250" s="41">
        <v>1</v>
      </c>
      <c r="G1250" s="41">
        <f>_xlfn.XLOOKUP(
 tblCostChecklist[[#This Row],[RequirementID]],
 tblCost[RequirementID],
 tblCost[QuantityRequired],
 ""
)</f>
        <v>300</v>
      </c>
      <c r="H12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50" s="41" t="str">
        <f>_xlfn.XLOOKUP(tblCostChecklist[[#This Row],[TargetID]],tblTargetStatus[TargetID],tblTargetStatus[Status])</f>
        <v>BLOCKED</v>
      </c>
      <c r="J1250" s="25" t="b">
        <v>0</v>
      </c>
    </row>
    <row r="1251" spans="1:10">
      <c r="A1251" s="41" t="s">
        <v>4888</v>
      </c>
      <c r="B1251" s="41" t="str">
        <f>_xlfn.TEXTAFTER(
 _xlfn.TEXTBEFORE(tblCostChecklist[[#This Row],[RequirementID]],".",-2),
 "cost."
)</f>
        <v>citadel.lair_lvl_2</v>
      </c>
      <c r="C1251" s="41" t="str">
        <f>_xlfn.XLOOKUP(tblCostChecklist[[#This Row],[TargetID]],tblTargets[TargetID],tblTargets[DisplayName],"")</f>
        <v>Lair lvl. 2</v>
      </c>
      <c r="D1251" s="41" t="str">
        <f>_xlfn.XLOOKUP(tblCostChecklist[[#This Row],[TargetID]],tblTargets[TargetID],tblTargets[TargetType],"")</f>
        <v>CITADEL</v>
      </c>
      <c r="E1251" s="41" t="s">
        <v>667</v>
      </c>
      <c r="F1251" s="41">
        <v>1</v>
      </c>
      <c r="G1251" s="41">
        <f>_xlfn.XLOOKUP(
 tblCostChecklist[[#This Row],[RequirementID]],
 tblCost[RequirementID],
 tblCost[QuantityRequired],
 ""
)</f>
        <v>400</v>
      </c>
      <c r="H12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1" s="41" t="str">
        <f>_xlfn.XLOOKUP(tblCostChecklist[[#This Row],[TargetID]],tblTargetStatus[TargetID],tblTargetStatus[Status])</f>
        <v>BLOCKED</v>
      </c>
      <c r="J1251" s="25" t="b">
        <v>0</v>
      </c>
    </row>
    <row r="1252" spans="1:10">
      <c r="A1252" s="41" t="s">
        <v>4889</v>
      </c>
      <c r="B1252" s="41" t="str">
        <f>_xlfn.TEXTAFTER(
 _xlfn.TEXTBEFORE(tblCostChecklist[[#This Row],[RequirementID]],".",-2),
 "cost."
)</f>
        <v>citadel.lair_lvl_2</v>
      </c>
      <c r="C1252" s="41" t="str">
        <f>_xlfn.XLOOKUP(tblCostChecklist[[#This Row],[TargetID]],tblTargets[TargetID],tblTargets[DisplayName],"")</f>
        <v>Lair lvl. 2</v>
      </c>
      <c r="D1252" s="41" t="str">
        <f>_xlfn.XLOOKUP(tblCostChecklist[[#This Row],[TargetID]],tblTargets[TargetID],tblTargets[TargetType],"")</f>
        <v>CITADEL</v>
      </c>
      <c r="E1252" s="41" t="s">
        <v>677</v>
      </c>
      <c r="F1252" s="41">
        <v>1</v>
      </c>
      <c r="G1252" s="41">
        <f>_xlfn.XLOOKUP(
 tblCostChecklist[[#This Row],[RequirementID]],
 tblCost[RequirementID],
 tblCost[QuantityRequired],
 ""
)</f>
        <v>19</v>
      </c>
      <c r="H12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2" s="41" t="str">
        <f>_xlfn.XLOOKUP(tblCostChecklist[[#This Row],[TargetID]],tblTargetStatus[TargetID],tblTargetStatus[Status])</f>
        <v>BLOCKED</v>
      </c>
      <c r="J1252" s="25" t="b">
        <v>0</v>
      </c>
    </row>
    <row r="1253" spans="1:10">
      <c r="A1253" s="41" t="s">
        <v>4890</v>
      </c>
      <c r="B1253" s="41" t="str">
        <f>_xlfn.TEXTAFTER(
 _xlfn.TEXTBEFORE(tblCostChecklist[[#This Row],[RequirementID]],".",-2),
 "cost."
)</f>
        <v>citadel.lair_lvl_2</v>
      </c>
      <c r="C1253" s="41" t="str">
        <f>_xlfn.XLOOKUP(tblCostChecklist[[#This Row],[TargetID]],tblTargets[TargetID],tblTargets[DisplayName],"")</f>
        <v>Lair lvl. 2</v>
      </c>
      <c r="D1253" s="41" t="str">
        <f>_xlfn.XLOOKUP(tblCostChecklist[[#This Row],[TargetID]],tblTargets[TargetID],tblTargets[TargetType],"")</f>
        <v>CITADEL</v>
      </c>
      <c r="E1253" s="41" t="s">
        <v>858</v>
      </c>
      <c r="F1253" s="41">
        <v>1</v>
      </c>
      <c r="G1253" s="41">
        <f>_xlfn.XLOOKUP(
 tblCostChecklist[[#This Row],[RequirementID]],
 tblCost[RequirementID],
 tblCost[QuantityRequired],
 ""
)</f>
        <v>20</v>
      </c>
      <c r="H12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3" s="41" t="str">
        <f>_xlfn.XLOOKUP(tblCostChecklist[[#This Row],[TargetID]],tblTargetStatus[TargetID],tblTargetStatus[Status])</f>
        <v>BLOCKED</v>
      </c>
      <c r="J1253" s="25" t="b">
        <v>0</v>
      </c>
    </row>
    <row r="1254" spans="1:10">
      <c r="A1254" s="41" t="s">
        <v>4891</v>
      </c>
      <c r="B1254" s="41" t="str">
        <f>_xlfn.TEXTAFTER(
 _xlfn.TEXTBEFORE(tblCostChecklist[[#This Row],[RequirementID]],".",-2),
 "cost."
)</f>
        <v>citadel.lair_lvl_2</v>
      </c>
      <c r="C1254" s="41" t="str">
        <f>_xlfn.XLOOKUP(tblCostChecklist[[#This Row],[TargetID]],tblTargets[TargetID],tblTargets[DisplayName],"")</f>
        <v>Lair lvl. 2</v>
      </c>
      <c r="D1254" s="41" t="str">
        <f>_xlfn.XLOOKUP(tblCostChecklist[[#This Row],[TargetID]],tblTargets[TargetID],tblTargets[TargetType],"")</f>
        <v>CITADEL</v>
      </c>
      <c r="E1254" s="41" t="s">
        <v>708</v>
      </c>
      <c r="F1254" s="41">
        <v>1</v>
      </c>
      <c r="G1254" s="41">
        <f>_xlfn.XLOOKUP(
 tblCostChecklist[[#This Row],[RequirementID]],
 tblCost[RequirementID],
 tblCost[QuantityRequired],
 ""
)</f>
        <v>10</v>
      </c>
      <c r="H12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4" s="41" t="str">
        <f>_xlfn.XLOOKUP(tblCostChecklist[[#This Row],[TargetID]],tblTargetStatus[TargetID],tblTargetStatus[Status])</f>
        <v>BLOCKED</v>
      </c>
      <c r="J1254" s="25" t="b">
        <v>0</v>
      </c>
    </row>
    <row r="1255" spans="1:10">
      <c r="A1255" s="41" t="s">
        <v>4892</v>
      </c>
      <c r="B1255" s="41" t="str">
        <f>_xlfn.TEXTAFTER(
 _xlfn.TEXTBEFORE(tblCostChecklist[[#This Row],[RequirementID]],".",-2),
 "cost."
)</f>
        <v>citadel.lair_lvl_2</v>
      </c>
      <c r="C1255" s="41" t="str">
        <f>_xlfn.XLOOKUP(tblCostChecklist[[#This Row],[TargetID]],tblTargets[TargetID],tblTargets[DisplayName],"")</f>
        <v>Lair lvl. 2</v>
      </c>
      <c r="D1255" s="41" t="str">
        <f>_xlfn.XLOOKUP(tblCostChecklist[[#This Row],[TargetID]],tblTargets[TargetID],tblTargets[TargetType],"")</f>
        <v>CITADEL</v>
      </c>
      <c r="E1255" s="41" t="s">
        <v>721</v>
      </c>
      <c r="F1255" s="41">
        <v>1</v>
      </c>
      <c r="G1255" s="41">
        <f>_xlfn.XLOOKUP(
 tblCostChecklist[[#This Row],[RequirementID]],
 tblCost[RequirementID],
 tblCost[QuantityRequired],
 ""
)</f>
        <v>6</v>
      </c>
      <c r="H12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5" s="41" t="str">
        <f>_xlfn.XLOOKUP(tblCostChecklist[[#This Row],[TargetID]],tblTargetStatus[TargetID],tblTargetStatus[Status])</f>
        <v>BLOCKED</v>
      </c>
      <c r="J1255" s="25" t="b">
        <v>0</v>
      </c>
    </row>
    <row r="1256" spans="1:10">
      <c r="A1256" s="41" t="s">
        <v>4893</v>
      </c>
      <c r="B1256" s="41" t="str">
        <f>_xlfn.TEXTAFTER(
 _xlfn.TEXTBEFORE(tblCostChecklist[[#This Row],[RequirementID]],".",-2),
 "cost."
)</f>
        <v>citadel.lair_lvl_2</v>
      </c>
      <c r="C1256" s="41" t="str">
        <f>_xlfn.XLOOKUP(tblCostChecklist[[#This Row],[TargetID]],tblTargets[TargetID],tblTargets[DisplayName],"")</f>
        <v>Lair lvl. 2</v>
      </c>
      <c r="D1256" s="41" t="str">
        <f>_xlfn.XLOOKUP(tblCostChecklist[[#This Row],[TargetID]],tblTargets[TargetID],tblTargets[TargetType],"")</f>
        <v>CITADEL</v>
      </c>
      <c r="E1256" s="41" t="s">
        <v>723</v>
      </c>
      <c r="F1256" s="41">
        <v>1</v>
      </c>
      <c r="G1256" s="41">
        <f>_xlfn.XLOOKUP(
 tblCostChecklist[[#This Row],[RequirementID]],
 tblCost[RequirementID],
 tblCost[QuantityRequired],
 ""
)</f>
        <v>600</v>
      </c>
      <c r="H12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6" s="41" t="str">
        <f>_xlfn.XLOOKUP(tblCostChecklist[[#This Row],[TargetID]],tblTargetStatus[TargetID],tblTargetStatus[Status])</f>
        <v>BLOCKED</v>
      </c>
      <c r="J1256" s="25" t="b">
        <v>0</v>
      </c>
    </row>
    <row r="1257" spans="1:10">
      <c r="A1257" s="41" t="s">
        <v>4894</v>
      </c>
      <c r="B1257" s="41" t="str">
        <f>_xlfn.TEXTAFTER(
 _xlfn.TEXTBEFORE(tblCostChecklist[[#This Row],[RequirementID]],".",-2),
 "cost."
)</f>
        <v>citadel.mushroom_farm</v>
      </c>
      <c r="C1257" s="41" t="str">
        <f>_xlfn.XLOOKUP(tblCostChecklist[[#This Row],[TargetID]],tblTargets[TargetID],tblTargets[DisplayName],"")</f>
        <v>Mushroom Farm</v>
      </c>
      <c r="D1257" s="41" t="str">
        <f>_xlfn.XLOOKUP(tblCostChecklist[[#This Row],[TargetID]],tblTargets[TargetID],tblTargets[TargetType],"")</f>
        <v>CITADEL</v>
      </c>
      <c r="E1257" s="41" t="s">
        <v>658</v>
      </c>
      <c r="F1257" s="41">
        <v>1</v>
      </c>
      <c r="G1257" s="41">
        <f>_xlfn.XLOOKUP(
 tblCostChecklist[[#This Row],[RequirementID]],
 tblCost[RequirementID],
 tblCost[QuantityRequired],
 ""
)</f>
        <v>400</v>
      </c>
      <c r="H12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7" s="41" t="str">
        <f>_xlfn.XLOOKUP(tblCostChecklist[[#This Row],[TargetID]],tblTargetStatus[TargetID],tblTargetStatus[Status])</f>
        <v>BLOCKED</v>
      </c>
      <c r="J1257" s="25" t="b">
        <v>0</v>
      </c>
    </row>
    <row r="1258" spans="1:10">
      <c r="A1258" s="41" t="s">
        <v>4895</v>
      </c>
      <c r="B1258" s="41" t="str">
        <f>_xlfn.TEXTAFTER(
 _xlfn.TEXTBEFORE(tblCostChecklist[[#This Row],[RequirementID]],".",-2),
 "cost."
)</f>
        <v>citadel.mushroom_farm</v>
      </c>
      <c r="C1258" s="41" t="str">
        <f>_xlfn.XLOOKUP(tblCostChecklist[[#This Row],[TargetID]],tblTargets[TargetID],tblTargets[DisplayName],"")</f>
        <v>Mushroom Farm</v>
      </c>
      <c r="D1258" s="41" t="str">
        <f>_xlfn.XLOOKUP(tblCostChecklist[[#This Row],[TargetID]],tblTargets[TargetID],tblTargets[TargetType],"")</f>
        <v>CITADEL</v>
      </c>
      <c r="E1258" s="41" t="s">
        <v>666</v>
      </c>
      <c r="F1258" s="41">
        <v>1</v>
      </c>
      <c r="G1258" s="41">
        <f>_xlfn.XLOOKUP(
 tblCostChecklist[[#This Row],[RequirementID]],
 tblCost[RequirementID],
 tblCost[QuantityRequired],
 ""
)</f>
        <v>400</v>
      </c>
      <c r="H12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8" s="41" t="str">
        <f>_xlfn.XLOOKUP(tblCostChecklist[[#This Row],[TargetID]],tblTargetStatus[TargetID],tblTargetStatus[Status])</f>
        <v>BLOCKED</v>
      </c>
      <c r="J1258" s="25" t="b">
        <v>0</v>
      </c>
    </row>
    <row r="1259" spans="1:10">
      <c r="A1259" s="41" t="s">
        <v>4896</v>
      </c>
      <c r="B1259" s="41" t="str">
        <f>_xlfn.TEXTAFTER(
 _xlfn.TEXTBEFORE(tblCostChecklist[[#This Row],[RequirementID]],".",-2),
 "cost."
)</f>
        <v>citadel.mushroom_farm</v>
      </c>
      <c r="C1259" s="41" t="str">
        <f>_xlfn.XLOOKUP(tblCostChecklist[[#This Row],[TargetID]],tblTargets[TargetID],tblTargets[DisplayName],"")</f>
        <v>Mushroom Farm</v>
      </c>
      <c r="D1259" s="41" t="str">
        <f>_xlfn.XLOOKUP(tblCostChecklist[[#This Row],[TargetID]],tblTargets[TargetID],tblTargets[TargetType],"")</f>
        <v>CITADEL</v>
      </c>
      <c r="E1259" s="41" t="s">
        <v>696</v>
      </c>
      <c r="F1259" s="41">
        <v>1</v>
      </c>
      <c r="G1259" s="41">
        <f>_xlfn.XLOOKUP(
 tblCostChecklist[[#This Row],[RequirementID]],
 tblCost[RequirementID],
 tblCost[QuantityRequired],
 ""
)</f>
        <v>10</v>
      </c>
      <c r="H12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9" s="41" t="str">
        <f>_xlfn.XLOOKUP(tblCostChecklist[[#This Row],[TargetID]],tblTargetStatus[TargetID],tblTargetStatus[Status])</f>
        <v>BLOCKED</v>
      </c>
      <c r="J1259" s="25" t="b">
        <v>0</v>
      </c>
    </row>
    <row r="1260" spans="1:10">
      <c r="A1260" s="41" t="s">
        <v>4897</v>
      </c>
      <c r="B1260" s="41" t="str">
        <f>_xlfn.TEXTAFTER(
 _xlfn.TEXTBEFORE(tblCostChecklist[[#This Row],[RequirementID]],".",-2),
 "cost."
)</f>
        <v>citadel.mushroom_farm</v>
      </c>
      <c r="C1260" s="41" t="str">
        <f>_xlfn.XLOOKUP(tblCostChecklist[[#This Row],[TargetID]],tblTargets[TargetID],tblTargets[DisplayName],"")</f>
        <v>Mushroom Farm</v>
      </c>
      <c r="D1260" s="41" t="str">
        <f>_xlfn.XLOOKUP(tblCostChecklist[[#This Row],[TargetID]],tblTargets[TargetID],tblTargets[TargetType],"")</f>
        <v>CITADEL</v>
      </c>
      <c r="E1260" s="41" t="s">
        <v>708</v>
      </c>
      <c r="F1260" s="41">
        <v>1</v>
      </c>
      <c r="G1260" s="41">
        <f>_xlfn.XLOOKUP(
 tblCostChecklist[[#This Row],[RequirementID]],
 tblCost[RequirementID],
 tblCost[QuantityRequired],
 ""
)</f>
        <v>2</v>
      </c>
      <c r="H12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0" s="41" t="str">
        <f>_xlfn.XLOOKUP(tblCostChecklist[[#This Row],[TargetID]],tblTargetStatus[TargetID],tblTargetStatus[Status])</f>
        <v>BLOCKED</v>
      </c>
      <c r="J1260" s="25" t="b">
        <v>0</v>
      </c>
    </row>
    <row r="1261" spans="1:10">
      <c r="A1261" s="41" t="s">
        <v>4898</v>
      </c>
      <c r="B1261" s="41" t="str">
        <f>_xlfn.TEXTAFTER(
 _xlfn.TEXTBEFORE(tblCostChecklist[[#This Row],[RequirementID]],".",-2),
 "cost."
)</f>
        <v>citadel.mushroom_farm</v>
      </c>
      <c r="C1261" s="41" t="str">
        <f>_xlfn.XLOOKUP(tblCostChecklist[[#This Row],[TargetID]],tblTargets[TargetID],tblTargets[DisplayName],"")</f>
        <v>Mushroom Farm</v>
      </c>
      <c r="D1261" s="41" t="str">
        <f>_xlfn.XLOOKUP(tblCostChecklist[[#This Row],[TargetID]],tblTargets[TargetID],tblTargets[TargetType],"")</f>
        <v>CITADEL</v>
      </c>
      <c r="E1261" s="41" t="s">
        <v>717</v>
      </c>
      <c r="F1261" s="41">
        <v>1</v>
      </c>
      <c r="G1261" s="41">
        <f>_xlfn.XLOOKUP(
 tblCostChecklist[[#This Row],[RequirementID]],
 tblCost[RequirementID],
 tblCost[QuantityRequired],
 ""
)</f>
        <v>400</v>
      </c>
      <c r="H12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1" s="41" t="str">
        <f>_xlfn.XLOOKUP(tblCostChecklist[[#This Row],[TargetID]],tblTargetStatus[TargetID],tblTargetStatus[Status])</f>
        <v>BLOCKED</v>
      </c>
      <c r="J1261" s="25" t="b">
        <v>0</v>
      </c>
    </row>
    <row r="1262" spans="1:10">
      <c r="A1262" s="41" t="s">
        <v>4899</v>
      </c>
      <c r="B1262" s="41" t="str">
        <f>_xlfn.TEXTAFTER(
 _xlfn.TEXTBEFORE(tblCostChecklist[[#This Row],[RequirementID]],".",-2),
 "cost."
)</f>
        <v>citadel.orangery</v>
      </c>
      <c r="C1262" s="41" t="str">
        <f>_xlfn.XLOOKUP(tblCostChecklist[[#This Row],[TargetID]],tblTargets[TargetID],tblTargets[DisplayName],"")</f>
        <v>Orangery</v>
      </c>
      <c r="D1262" s="41" t="str">
        <f>_xlfn.XLOOKUP(tblCostChecklist[[#This Row],[TargetID]],tblTargets[TargetID],tblTargets[TargetType],"")</f>
        <v>CITADEL</v>
      </c>
      <c r="E1262" s="41" t="s">
        <v>658</v>
      </c>
      <c r="F1262" s="41">
        <v>1</v>
      </c>
      <c r="G1262" s="41">
        <f>_xlfn.XLOOKUP(
 tblCostChecklist[[#This Row],[RequirementID]],
 tblCost[RequirementID],
 tblCost[QuantityRequired],
 ""
)</f>
        <v>400</v>
      </c>
      <c r="H12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2" s="41" t="str">
        <f>_xlfn.XLOOKUP(tblCostChecklist[[#This Row],[TargetID]],tblTargetStatus[TargetID],tblTargetStatus[Status])</f>
        <v>BLOCKED</v>
      </c>
      <c r="J1262" s="25" t="b">
        <v>0</v>
      </c>
    </row>
    <row r="1263" spans="1:10">
      <c r="A1263" s="41" t="s">
        <v>4900</v>
      </c>
      <c r="B1263" s="41" t="str">
        <f>_xlfn.TEXTAFTER(
 _xlfn.TEXTBEFORE(tblCostChecklist[[#This Row],[RequirementID]],".",-2),
 "cost."
)</f>
        <v>citadel.orangery</v>
      </c>
      <c r="C1263" s="41" t="str">
        <f>_xlfn.XLOOKUP(tblCostChecklist[[#This Row],[TargetID]],tblTargets[TargetID],tblTargets[DisplayName],"")</f>
        <v>Orangery</v>
      </c>
      <c r="D1263" s="41" t="str">
        <f>_xlfn.XLOOKUP(tblCostChecklist[[#This Row],[TargetID]],tblTargets[TargetID],tblTargets[TargetType],"")</f>
        <v>CITADEL</v>
      </c>
      <c r="E1263" s="41" t="s">
        <v>666</v>
      </c>
      <c r="F1263" s="41">
        <v>1</v>
      </c>
      <c r="G1263" s="41">
        <f>_xlfn.XLOOKUP(
 tblCostChecklist[[#This Row],[RequirementID]],
 tblCost[RequirementID],
 tblCost[QuantityRequired],
 ""
)</f>
        <v>400</v>
      </c>
      <c r="H12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3" s="41" t="str">
        <f>_xlfn.XLOOKUP(tblCostChecklist[[#This Row],[TargetID]],tblTargetStatus[TargetID],tblTargetStatus[Status])</f>
        <v>BLOCKED</v>
      </c>
      <c r="J1263" s="25" t="b">
        <v>0</v>
      </c>
    </row>
    <row r="1264" spans="1:10">
      <c r="A1264" s="41" t="s">
        <v>4901</v>
      </c>
      <c r="B1264" s="41" t="str">
        <f>_xlfn.TEXTAFTER(
 _xlfn.TEXTBEFORE(tblCostChecklist[[#This Row],[RequirementID]],".",-2),
 "cost."
)</f>
        <v>citadel.orangery</v>
      </c>
      <c r="C1264" s="41" t="str">
        <f>_xlfn.XLOOKUP(tblCostChecklist[[#This Row],[TargetID]],tblTargets[TargetID],tblTargets[DisplayName],"")</f>
        <v>Orangery</v>
      </c>
      <c r="D1264" s="41" t="str">
        <f>_xlfn.XLOOKUP(tblCostChecklist[[#This Row],[TargetID]],tblTargets[TargetID],tblTargets[TargetType],"")</f>
        <v>CITADEL</v>
      </c>
      <c r="E1264" s="41" t="s">
        <v>696</v>
      </c>
      <c r="F1264" s="41">
        <v>1</v>
      </c>
      <c r="G1264" s="41">
        <f>_xlfn.XLOOKUP(
 tblCostChecklist[[#This Row],[RequirementID]],
 tblCost[RequirementID],
 tblCost[QuantityRequired],
 ""
)</f>
        <v>10</v>
      </c>
      <c r="H12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4" s="41" t="str">
        <f>_xlfn.XLOOKUP(tblCostChecklist[[#This Row],[TargetID]],tblTargetStatus[TargetID],tblTargetStatus[Status])</f>
        <v>BLOCKED</v>
      </c>
      <c r="J1264" s="25" t="b">
        <v>0</v>
      </c>
    </row>
    <row r="1265" spans="1:10">
      <c r="A1265" s="41" t="s">
        <v>4902</v>
      </c>
      <c r="B1265" s="41" t="str">
        <f>_xlfn.TEXTAFTER(
 _xlfn.TEXTBEFORE(tblCostChecklist[[#This Row],[RequirementID]],".",-2),
 "cost."
)</f>
        <v>citadel.orangery</v>
      </c>
      <c r="C1265" s="41" t="str">
        <f>_xlfn.XLOOKUP(tblCostChecklist[[#This Row],[TargetID]],tblTargets[TargetID],tblTargets[DisplayName],"")</f>
        <v>Orangery</v>
      </c>
      <c r="D1265" s="41" t="str">
        <f>_xlfn.XLOOKUP(tblCostChecklist[[#This Row],[TargetID]],tblTargets[TargetID],tblTargets[TargetType],"")</f>
        <v>CITADEL</v>
      </c>
      <c r="E1265" s="41" t="s">
        <v>708</v>
      </c>
      <c r="F1265" s="41">
        <v>1</v>
      </c>
      <c r="G1265" s="41">
        <f>_xlfn.XLOOKUP(
 tblCostChecklist[[#This Row],[RequirementID]],
 tblCost[RequirementID],
 tblCost[QuantityRequired],
 ""
)</f>
        <v>2</v>
      </c>
      <c r="H12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5" s="41" t="str">
        <f>_xlfn.XLOOKUP(tblCostChecklist[[#This Row],[TargetID]],tblTargetStatus[TargetID],tblTargetStatus[Status])</f>
        <v>BLOCKED</v>
      </c>
      <c r="J1265" s="25" t="b">
        <v>0</v>
      </c>
    </row>
    <row r="1266" spans="1:10">
      <c r="A1266" s="41" t="s">
        <v>4903</v>
      </c>
      <c r="B1266" s="41" t="str">
        <f>_xlfn.TEXTAFTER(
 _xlfn.TEXTBEFORE(tblCostChecklist[[#This Row],[RequirementID]],".",-2),
 "cost."
)</f>
        <v>citadel.orangery</v>
      </c>
      <c r="C1266" s="41" t="str">
        <f>_xlfn.XLOOKUP(tblCostChecklist[[#This Row],[TargetID]],tblTargets[TargetID],tblTargets[DisplayName],"")</f>
        <v>Orangery</v>
      </c>
      <c r="D1266" s="41" t="str">
        <f>_xlfn.XLOOKUP(tblCostChecklist[[#This Row],[TargetID]],tblTargets[TargetID],tblTargets[TargetType],"")</f>
        <v>CITADEL</v>
      </c>
      <c r="E1266" s="41" t="s">
        <v>717</v>
      </c>
      <c r="F1266" s="41">
        <v>1</v>
      </c>
      <c r="G1266" s="41">
        <f>_xlfn.XLOOKUP(
 tblCostChecklist[[#This Row],[RequirementID]],
 tblCost[RequirementID],
 tblCost[QuantityRequired],
 ""
)</f>
        <v>400</v>
      </c>
      <c r="H12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6" s="41" t="str">
        <f>_xlfn.XLOOKUP(tblCostChecklist[[#This Row],[TargetID]],tblTargetStatus[TargetID],tblTargetStatus[Status])</f>
        <v>BLOCKED</v>
      </c>
      <c r="J1266" s="25" t="b">
        <v>0</v>
      </c>
    </row>
    <row r="1267" spans="1:10">
      <c r="A1267" s="41" t="s">
        <v>4904</v>
      </c>
      <c r="B1267" s="41" t="str">
        <f>_xlfn.TEXTAFTER(
 _xlfn.TEXTBEFORE(tblCostChecklist[[#This Row],[RequirementID]],".",-2),
 "cost."
)</f>
        <v>citadel.pantry</v>
      </c>
      <c r="C1267" s="41" t="str">
        <f>_xlfn.XLOOKUP(tblCostChecklist[[#This Row],[TargetID]],tblTargets[TargetID],tblTargets[DisplayName],"")</f>
        <v>Pantry</v>
      </c>
      <c r="D1267" s="41" t="str">
        <f>_xlfn.XLOOKUP(tblCostChecklist[[#This Row],[TargetID]],tblTargets[TargetID],tblTargets[TargetType],"")</f>
        <v>CITADEL</v>
      </c>
      <c r="E1267" s="41" t="s">
        <v>658</v>
      </c>
      <c r="F1267" s="41">
        <v>1</v>
      </c>
      <c r="G1267" s="41">
        <f>_xlfn.XLOOKUP(
 tblCostChecklist[[#This Row],[RequirementID]],
 tblCost[RequirementID],
 tblCost[QuantityRequired],
 ""
)</f>
        <v>400</v>
      </c>
      <c r="H12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7" s="41" t="str">
        <f>_xlfn.XLOOKUP(tblCostChecklist[[#This Row],[TargetID]],tblTargetStatus[TargetID],tblTargetStatus[Status])</f>
        <v>BLOCKED</v>
      </c>
      <c r="J1267" s="25" t="b">
        <v>0</v>
      </c>
    </row>
    <row r="1268" spans="1:10">
      <c r="A1268" s="41" t="s">
        <v>4905</v>
      </c>
      <c r="B1268" s="41" t="str">
        <f>_xlfn.TEXTAFTER(
 _xlfn.TEXTBEFORE(tblCostChecklist[[#This Row],[RequirementID]],".",-2),
 "cost."
)</f>
        <v>citadel.pantry</v>
      </c>
      <c r="C1268" s="41" t="str">
        <f>_xlfn.XLOOKUP(tblCostChecklist[[#This Row],[TargetID]],tblTargets[TargetID],tblTargets[DisplayName],"")</f>
        <v>Pantry</v>
      </c>
      <c r="D1268" s="41" t="str">
        <f>_xlfn.XLOOKUP(tblCostChecklist[[#This Row],[TargetID]],tblTargets[TargetID],tblTargets[TargetType],"")</f>
        <v>CITADEL</v>
      </c>
      <c r="E1268" s="41" t="s">
        <v>666</v>
      </c>
      <c r="F1268" s="41">
        <v>1</v>
      </c>
      <c r="G1268" s="41">
        <f>_xlfn.XLOOKUP(
 tblCostChecklist[[#This Row],[RequirementID]],
 tblCost[RequirementID],
 tblCost[QuantityRequired],
 ""
)</f>
        <v>400</v>
      </c>
      <c r="H12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8" s="41" t="str">
        <f>_xlfn.XLOOKUP(tblCostChecklist[[#This Row],[TargetID]],tblTargetStatus[TargetID],tblTargetStatus[Status])</f>
        <v>BLOCKED</v>
      </c>
      <c r="J1268" s="25" t="b">
        <v>0</v>
      </c>
    </row>
    <row r="1269" spans="1:10">
      <c r="A1269" s="41" t="s">
        <v>4906</v>
      </c>
      <c r="B1269" s="41" t="str">
        <f>_xlfn.TEXTAFTER(
 _xlfn.TEXTBEFORE(tblCostChecklist[[#This Row],[RequirementID]],".",-2),
 "cost."
)</f>
        <v>citadel.pantry</v>
      </c>
      <c r="C1269" s="41" t="str">
        <f>_xlfn.XLOOKUP(tblCostChecklist[[#This Row],[TargetID]],tblTargets[TargetID],tblTargets[DisplayName],"")</f>
        <v>Pantry</v>
      </c>
      <c r="D1269" s="41" t="str">
        <f>_xlfn.XLOOKUP(tblCostChecklist[[#This Row],[TargetID]],tblTargets[TargetID],tblTargets[TargetType],"")</f>
        <v>CITADEL</v>
      </c>
      <c r="E1269" s="41" t="s">
        <v>696</v>
      </c>
      <c r="F1269" s="41">
        <v>1</v>
      </c>
      <c r="G1269" s="41">
        <f>_xlfn.XLOOKUP(
 tblCostChecklist[[#This Row],[RequirementID]],
 tblCost[RequirementID],
 tblCost[QuantityRequired],
 ""
)</f>
        <v>10</v>
      </c>
      <c r="H12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9" s="41" t="str">
        <f>_xlfn.XLOOKUP(tblCostChecklist[[#This Row],[TargetID]],tblTargetStatus[TargetID],tblTargetStatus[Status])</f>
        <v>BLOCKED</v>
      </c>
      <c r="J1269" s="25" t="b">
        <v>0</v>
      </c>
    </row>
    <row r="1270" spans="1:10">
      <c r="A1270" s="41" t="s">
        <v>4907</v>
      </c>
      <c r="B1270" s="41" t="str">
        <f>_xlfn.TEXTAFTER(
 _xlfn.TEXTBEFORE(tblCostChecklist[[#This Row],[RequirementID]],".",-2),
 "cost."
)</f>
        <v>citadel.pantry</v>
      </c>
      <c r="C1270" s="41" t="str">
        <f>_xlfn.XLOOKUP(tblCostChecklist[[#This Row],[TargetID]],tblTargets[TargetID],tblTargets[DisplayName],"")</f>
        <v>Pantry</v>
      </c>
      <c r="D1270" s="41" t="str">
        <f>_xlfn.XLOOKUP(tblCostChecklist[[#This Row],[TargetID]],tblTargets[TargetID],tblTargets[TargetType],"")</f>
        <v>CITADEL</v>
      </c>
      <c r="E1270" s="41" t="s">
        <v>708</v>
      </c>
      <c r="F1270" s="41">
        <v>1</v>
      </c>
      <c r="G1270" s="41">
        <f>_xlfn.XLOOKUP(
 tblCostChecklist[[#This Row],[RequirementID]],
 tblCost[RequirementID],
 tblCost[QuantityRequired],
 ""
)</f>
        <v>2</v>
      </c>
      <c r="H12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0" s="41" t="str">
        <f>_xlfn.XLOOKUP(tblCostChecklist[[#This Row],[TargetID]],tblTargetStatus[TargetID],tblTargetStatus[Status])</f>
        <v>BLOCKED</v>
      </c>
      <c r="J1270" s="25" t="b">
        <v>0</v>
      </c>
    </row>
    <row r="1271" spans="1:10">
      <c r="A1271" s="41" t="s">
        <v>4908</v>
      </c>
      <c r="B1271" s="41" t="str">
        <f>_xlfn.TEXTAFTER(
 _xlfn.TEXTBEFORE(tblCostChecklist[[#This Row],[RequirementID]],".",-2),
 "cost."
)</f>
        <v>citadel.pantry</v>
      </c>
      <c r="C1271" s="41" t="str">
        <f>_xlfn.XLOOKUP(tblCostChecklist[[#This Row],[TargetID]],tblTargets[TargetID],tblTargets[DisplayName],"")</f>
        <v>Pantry</v>
      </c>
      <c r="D1271" s="41" t="str">
        <f>_xlfn.XLOOKUP(tblCostChecklist[[#This Row],[TargetID]],tblTargets[TargetID],tblTargets[TargetType],"")</f>
        <v>CITADEL</v>
      </c>
      <c r="E1271" s="41" t="s">
        <v>717</v>
      </c>
      <c r="F1271" s="41">
        <v>1</v>
      </c>
      <c r="G1271" s="41">
        <f>_xlfn.XLOOKUP(
 tblCostChecklist[[#This Row],[RequirementID]],
 tblCost[RequirementID],
 tblCost[QuantityRequired],
 ""
)</f>
        <v>400</v>
      </c>
      <c r="H12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1" s="41" t="str">
        <f>_xlfn.XLOOKUP(tblCostChecklist[[#This Row],[TargetID]],tblTargetStatus[TargetID],tblTargetStatus[Status])</f>
        <v>BLOCKED</v>
      </c>
      <c r="J1271" s="25" t="b">
        <v>0</v>
      </c>
    </row>
    <row r="1272" spans="1:10">
      <c r="A1272" s="41" t="s">
        <v>4909</v>
      </c>
      <c r="B1272" s="41" t="str">
        <f>_xlfn.TEXTAFTER(
 _xlfn.TEXTBEFORE(tblCostChecklist[[#This Row],[RequirementID]],".",-2),
 "cost."
)</f>
        <v>citadel.tavern</v>
      </c>
      <c r="C1272" s="41" t="str">
        <f>_xlfn.XLOOKUP(tblCostChecklist[[#This Row],[TargetID]],tblTargets[TargetID],tblTargets[DisplayName],"")</f>
        <v>Tavern</v>
      </c>
      <c r="D1272" s="41" t="str">
        <f>_xlfn.XLOOKUP(tblCostChecklist[[#This Row],[TargetID]],tblTargets[TargetID],tblTargets[TargetType],"")</f>
        <v>CITADEL</v>
      </c>
      <c r="E1272" s="41" t="s">
        <v>658</v>
      </c>
      <c r="F1272" s="41">
        <v>1</v>
      </c>
      <c r="G1272" s="41">
        <f>_xlfn.XLOOKUP(
 tblCostChecklist[[#This Row],[RequirementID]],
 tblCost[RequirementID],
 tblCost[QuantityRequired],
 ""
)</f>
        <v>400</v>
      </c>
      <c r="H12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2" s="41" t="str">
        <f>_xlfn.XLOOKUP(tblCostChecklist[[#This Row],[TargetID]],tblTargetStatus[TargetID],tblTargetStatus[Status])</f>
        <v>BLOCKED</v>
      </c>
      <c r="J1272" s="25" t="b">
        <v>0</v>
      </c>
    </row>
    <row r="1273" spans="1:10">
      <c r="A1273" s="41" t="s">
        <v>4910</v>
      </c>
      <c r="B1273" s="41" t="str">
        <f>_xlfn.TEXTAFTER(
 _xlfn.TEXTBEFORE(tblCostChecklist[[#This Row],[RequirementID]],".",-2),
 "cost."
)</f>
        <v>citadel.tavern</v>
      </c>
      <c r="C1273" s="41" t="str">
        <f>_xlfn.XLOOKUP(tblCostChecklist[[#This Row],[TargetID]],tblTargets[TargetID],tblTargets[DisplayName],"")</f>
        <v>Tavern</v>
      </c>
      <c r="D1273" s="41" t="str">
        <f>_xlfn.XLOOKUP(tblCostChecklist[[#This Row],[TargetID]],tblTargets[TargetID],tblTargets[TargetType],"")</f>
        <v>CITADEL</v>
      </c>
      <c r="E1273" s="41" t="s">
        <v>666</v>
      </c>
      <c r="F1273" s="41">
        <v>1</v>
      </c>
      <c r="G1273" s="41">
        <f>_xlfn.XLOOKUP(
 tblCostChecklist[[#This Row],[RequirementID]],
 tblCost[RequirementID],
 tblCost[QuantityRequired],
 ""
)</f>
        <v>400</v>
      </c>
      <c r="H12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3" s="41" t="str">
        <f>_xlfn.XLOOKUP(tblCostChecklist[[#This Row],[TargetID]],tblTargetStatus[TargetID],tblTargetStatus[Status])</f>
        <v>BLOCKED</v>
      </c>
      <c r="J1273" s="25" t="b">
        <v>0</v>
      </c>
    </row>
    <row r="1274" spans="1:10">
      <c r="A1274" s="41" t="s">
        <v>4911</v>
      </c>
      <c r="B1274" s="41" t="str">
        <f>_xlfn.TEXTAFTER(
 _xlfn.TEXTBEFORE(tblCostChecklist[[#This Row],[RequirementID]],".",-2),
 "cost."
)</f>
        <v>citadel.tavern</v>
      </c>
      <c r="C1274" s="41" t="str">
        <f>_xlfn.XLOOKUP(tblCostChecklist[[#This Row],[TargetID]],tblTargets[TargetID],tblTargets[DisplayName],"")</f>
        <v>Tavern</v>
      </c>
      <c r="D1274" s="41" t="str">
        <f>_xlfn.XLOOKUP(tblCostChecklist[[#This Row],[TargetID]],tblTargets[TargetID],tblTargets[TargetType],"")</f>
        <v>CITADEL</v>
      </c>
      <c r="E1274" s="41" t="s">
        <v>696</v>
      </c>
      <c r="F1274" s="41">
        <v>1</v>
      </c>
      <c r="G1274" s="41">
        <f>_xlfn.XLOOKUP(
 tblCostChecklist[[#This Row],[RequirementID]],
 tblCost[RequirementID],
 tblCost[QuantityRequired],
 ""
)</f>
        <v>10</v>
      </c>
      <c r="H12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4" s="41" t="str">
        <f>_xlfn.XLOOKUP(tblCostChecklist[[#This Row],[TargetID]],tblTargetStatus[TargetID],tblTargetStatus[Status])</f>
        <v>BLOCKED</v>
      </c>
      <c r="J1274" s="25" t="b">
        <v>0</v>
      </c>
    </row>
    <row r="1275" spans="1:10">
      <c r="A1275" s="41" t="s">
        <v>4912</v>
      </c>
      <c r="B1275" s="41" t="str">
        <f>_xlfn.TEXTAFTER(
 _xlfn.TEXTBEFORE(tblCostChecklist[[#This Row],[RequirementID]],".",-2),
 "cost."
)</f>
        <v>citadel.tavern</v>
      </c>
      <c r="C1275" s="41" t="str">
        <f>_xlfn.XLOOKUP(tblCostChecklist[[#This Row],[TargetID]],tblTargets[TargetID],tblTargets[DisplayName],"")</f>
        <v>Tavern</v>
      </c>
      <c r="D1275" s="41" t="str">
        <f>_xlfn.XLOOKUP(tblCostChecklist[[#This Row],[TargetID]],tblTargets[TargetID],tblTargets[TargetType],"")</f>
        <v>CITADEL</v>
      </c>
      <c r="E1275" s="41" t="s">
        <v>708</v>
      </c>
      <c r="F1275" s="41">
        <v>1</v>
      </c>
      <c r="G1275" s="41">
        <f>_xlfn.XLOOKUP(
 tblCostChecklist[[#This Row],[RequirementID]],
 tblCost[RequirementID],
 tblCost[QuantityRequired],
 ""
)</f>
        <v>2</v>
      </c>
      <c r="H12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5" s="41" t="str">
        <f>_xlfn.XLOOKUP(tblCostChecklist[[#This Row],[TargetID]],tblTargetStatus[TargetID],tblTargetStatus[Status])</f>
        <v>BLOCKED</v>
      </c>
      <c r="J1275" s="25" t="b">
        <v>0</v>
      </c>
    </row>
    <row r="1276" spans="1:10">
      <c r="A1276" s="41" t="s">
        <v>4913</v>
      </c>
      <c r="B1276" s="41" t="str">
        <f>_xlfn.TEXTAFTER(
 _xlfn.TEXTBEFORE(tblCostChecklist[[#This Row],[RequirementID]],".",-2),
 "cost."
)</f>
        <v>citadel.tavern</v>
      </c>
      <c r="C1276" s="41" t="str">
        <f>_xlfn.XLOOKUP(tblCostChecklist[[#This Row],[TargetID]],tblTargets[TargetID],tblTargets[DisplayName],"")</f>
        <v>Tavern</v>
      </c>
      <c r="D1276" s="41" t="str">
        <f>_xlfn.XLOOKUP(tblCostChecklist[[#This Row],[TargetID]],tblTargets[TargetID],tblTargets[TargetType],"")</f>
        <v>CITADEL</v>
      </c>
      <c r="E1276" s="41" t="s">
        <v>717</v>
      </c>
      <c r="F1276" s="41">
        <v>1</v>
      </c>
      <c r="G1276" s="41">
        <f>_xlfn.XLOOKUP(
 tblCostChecklist[[#This Row],[RequirementID]],
 tblCost[RequirementID],
 tblCost[QuantityRequired],
 ""
)</f>
        <v>400</v>
      </c>
      <c r="H12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6" s="41" t="str">
        <f>_xlfn.XLOOKUP(tblCostChecklist[[#This Row],[TargetID]],tblTargetStatus[TargetID],tblTargetStatus[Status])</f>
        <v>BLOCKED</v>
      </c>
      <c r="J1276" s="25" t="b">
        <v>0</v>
      </c>
    </row>
    <row r="1277" spans="1:10">
      <c r="A1277" s="41" t="s">
        <v>4914</v>
      </c>
      <c r="B1277" s="41" t="str">
        <f>_xlfn.TEXTAFTER(
 _xlfn.TEXTBEFORE(tblCostChecklist[[#This Row],[RequirementID]],".",-2),
 "cost."
)</f>
        <v>citadel.treasury</v>
      </c>
      <c r="C1277" s="41" t="str">
        <f>_xlfn.XLOOKUP(tblCostChecklist[[#This Row],[TargetID]],tblTargets[TargetID],tblTargets[DisplayName],"")</f>
        <v>Treasury</v>
      </c>
      <c r="D1277" s="41" t="str">
        <f>_xlfn.XLOOKUP(tblCostChecklist[[#This Row],[TargetID]],tblTargets[TargetID],tblTargets[TargetType],"")</f>
        <v>CITADEL</v>
      </c>
      <c r="E1277" s="41" t="s">
        <v>658</v>
      </c>
      <c r="F1277" s="41">
        <v>1</v>
      </c>
      <c r="G1277" s="41">
        <f>_xlfn.XLOOKUP(
 tblCostChecklist[[#This Row],[RequirementID]],
 tblCost[RequirementID],
 tblCost[QuantityRequired],
 ""
)</f>
        <v>600</v>
      </c>
      <c r="H12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7" s="41" t="str">
        <f>_xlfn.XLOOKUP(tblCostChecklist[[#This Row],[TargetID]],tblTargetStatus[TargetID],tblTargetStatus[Status])</f>
        <v>BLOCKED</v>
      </c>
      <c r="J1277" s="25" t="b">
        <v>0</v>
      </c>
    </row>
    <row r="1278" spans="1:10">
      <c r="A1278" s="41" t="s">
        <v>4915</v>
      </c>
      <c r="B1278" s="41" t="str">
        <f>_xlfn.TEXTAFTER(
 _xlfn.TEXTBEFORE(tblCostChecklist[[#This Row],[RequirementID]],".",-2),
 "cost."
)</f>
        <v>citadel.treasury</v>
      </c>
      <c r="C1278" s="41" t="str">
        <f>_xlfn.XLOOKUP(tblCostChecklist[[#This Row],[TargetID]],tblTargets[TargetID],tblTargets[DisplayName],"")</f>
        <v>Treasury</v>
      </c>
      <c r="D1278" s="41" t="str">
        <f>_xlfn.XLOOKUP(tblCostChecklist[[#This Row],[TargetID]],tblTargets[TargetID],tblTargets[TargetType],"")</f>
        <v>CITADEL</v>
      </c>
      <c r="E1278" s="41" t="s">
        <v>666</v>
      </c>
      <c r="F1278" s="41">
        <v>1</v>
      </c>
      <c r="G1278" s="41">
        <f>_xlfn.XLOOKUP(
 tblCostChecklist[[#This Row],[RequirementID]],
 tblCost[RequirementID],
 tblCost[QuantityRequired],
 ""
)</f>
        <v>600</v>
      </c>
      <c r="H12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8" s="41" t="str">
        <f>_xlfn.XLOOKUP(tblCostChecklist[[#This Row],[TargetID]],tblTargetStatus[TargetID],tblTargetStatus[Status])</f>
        <v>BLOCKED</v>
      </c>
      <c r="J1278" s="25" t="b">
        <v>0</v>
      </c>
    </row>
    <row r="1279" spans="1:10">
      <c r="A1279" s="41" t="s">
        <v>4916</v>
      </c>
      <c r="B1279" s="41" t="str">
        <f>_xlfn.TEXTAFTER(
 _xlfn.TEXTBEFORE(tblCostChecklist[[#This Row],[RequirementID]],".",-2),
 "cost."
)</f>
        <v>citadel.treasury</v>
      </c>
      <c r="C1279" s="41" t="str">
        <f>_xlfn.XLOOKUP(tblCostChecklist[[#This Row],[TargetID]],tblTargets[TargetID],tblTargets[DisplayName],"")</f>
        <v>Treasury</v>
      </c>
      <c r="D1279" s="41" t="str">
        <f>_xlfn.XLOOKUP(tblCostChecklist[[#This Row],[TargetID]],tblTargets[TargetID],tblTargets[TargetType],"")</f>
        <v>CITADEL</v>
      </c>
      <c r="E1279" s="41" t="s">
        <v>696</v>
      </c>
      <c r="F1279" s="41">
        <v>1</v>
      </c>
      <c r="G1279" s="41">
        <f>_xlfn.XLOOKUP(
 tblCostChecklist[[#This Row],[RequirementID]],
 tblCost[RequirementID],
 tblCost[QuantityRequired],
 ""
)</f>
        <v>20</v>
      </c>
      <c r="H12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9" s="41" t="str">
        <f>_xlfn.XLOOKUP(tblCostChecklist[[#This Row],[TargetID]],tblTargetStatus[TargetID],tblTargetStatus[Status])</f>
        <v>BLOCKED</v>
      </c>
      <c r="J1279" s="25" t="b">
        <v>0</v>
      </c>
    </row>
    <row r="1280" spans="1:10">
      <c r="A1280" s="41" t="s">
        <v>4917</v>
      </c>
      <c r="B1280" s="41" t="str">
        <f>_xlfn.TEXTAFTER(
 _xlfn.TEXTBEFORE(tblCostChecklist[[#This Row],[RequirementID]],".",-2),
 "cost."
)</f>
        <v>citadel.treasury</v>
      </c>
      <c r="C1280" s="41" t="str">
        <f>_xlfn.XLOOKUP(tblCostChecklist[[#This Row],[TargetID]],tblTargets[TargetID],tblTargets[DisplayName],"")</f>
        <v>Treasury</v>
      </c>
      <c r="D1280" s="41" t="str">
        <f>_xlfn.XLOOKUP(tblCostChecklist[[#This Row],[TargetID]],tblTargets[TargetID],tblTargets[TargetType],"")</f>
        <v>CITADEL</v>
      </c>
      <c r="E1280" s="41" t="s">
        <v>708</v>
      </c>
      <c r="F1280" s="41">
        <v>1</v>
      </c>
      <c r="G1280" s="41">
        <f>_xlfn.XLOOKUP(
 tblCostChecklist[[#This Row],[RequirementID]],
 tblCost[RequirementID],
 tblCost[QuantityRequired],
 ""
)</f>
        <v>3</v>
      </c>
      <c r="H12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0" s="41" t="str">
        <f>_xlfn.XLOOKUP(tblCostChecklist[[#This Row],[TargetID]],tblTargetStatus[TargetID],tblTargetStatus[Status])</f>
        <v>BLOCKED</v>
      </c>
      <c r="J1280" s="25" t="b">
        <v>0</v>
      </c>
    </row>
    <row r="1281" spans="1:10">
      <c r="A1281" s="41" t="s">
        <v>4918</v>
      </c>
      <c r="B1281" s="41" t="str">
        <f>_xlfn.TEXTAFTER(
 _xlfn.TEXTBEFORE(tblCostChecklist[[#This Row],[RequirementID]],".",-2),
 "cost."
)</f>
        <v>citadel.treasury</v>
      </c>
      <c r="C1281" s="41" t="str">
        <f>_xlfn.XLOOKUP(tblCostChecklist[[#This Row],[TargetID]],tblTargets[TargetID],tblTargets[DisplayName],"")</f>
        <v>Treasury</v>
      </c>
      <c r="D1281" s="41" t="str">
        <f>_xlfn.XLOOKUP(tblCostChecklist[[#This Row],[TargetID]],tblTargets[TargetID],tblTargets[TargetType],"")</f>
        <v>CITADEL</v>
      </c>
      <c r="E1281" s="41" t="s">
        <v>716</v>
      </c>
      <c r="F1281" s="41">
        <v>1</v>
      </c>
      <c r="G1281" s="41">
        <f>_xlfn.XLOOKUP(
 tblCostChecklist[[#This Row],[RequirementID]],
 tblCost[RequirementID],
 tblCost[QuantityRequired],
 ""
)</f>
        <v>300</v>
      </c>
      <c r="H12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1" s="41" t="str">
        <f>_xlfn.XLOOKUP(tblCostChecklist[[#This Row],[TargetID]],tblTargetStatus[TargetID],tblTargetStatus[Status])</f>
        <v>BLOCKED</v>
      </c>
      <c r="J1281" s="25" t="b">
        <v>0</v>
      </c>
    </row>
    <row r="1282" spans="1:10">
      <c r="A1282" s="41" t="s">
        <v>4919</v>
      </c>
      <c r="B1282" s="41" t="str">
        <f>_xlfn.TEXTAFTER(
 _xlfn.TEXTBEFORE(tblCostChecklist[[#This Row],[RequirementID]],".",-2),
 "cost."
)</f>
        <v>citadel.treasury</v>
      </c>
      <c r="C1282" s="41" t="str">
        <f>_xlfn.XLOOKUP(tblCostChecklist[[#This Row],[TargetID]],tblTargets[TargetID],tblTargets[DisplayName],"")</f>
        <v>Treasury</v>
      </c>
      <c r="D1282" s="41" t="str">
        <f>_xlfn.XLOOKUP(tblCostChecklist[[#This Row],[TargetID]],tblTargets[TargetID],tblTargets[TargetType],"")</f>
        <v>CITADEL</v>
      </c>
      <c r="E1282" s="41" t="s">
        <v>717</v>
      </c>
      <c r="F1282" s="41">
        <v>1</v>
      </c>
      <c r="G1282" s="41">
        <f>_xlfn.XLOOKUP(
 tblCostChecklist[[#This Row],[RequirementID]],
 tblCost[RequirementID],
 tblCost[QuantityRequired],
 ""
)</f>
        <v>600</v>
      </c>
      <c r="H12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2" s="41" t="str">
        <f>_xlfn.XLOOKUP(tblCostChecklist[[#This Row],[TargetID]],tblTargetStatus[TargetID],tblTargetStatus[Status])</f>
        <v>BLOCKED</v>
      </c>
      <c r="J1282" s="25" t="b">
        <v>0</v>
      </c>
    </row>
    <row r="1283" spans="1:10">
      <c r="A1283" s="41" t="s">
        <v>4920</v>
      </c>
      <c r="B1283" s="41" t="str">
        <f>_xlfn.TEXTAFTER(
 _xlfn.TEXTBEFORE(tblCostChecklist[[#This Row],[RequirementID]],".",-2),
 "cost."
)</f>
        <v>collection.armory_1@1</v>
      </c>
      <c r="C1283" s="41" t="str">
        <f>_xlfn.XLOOKUP(tblCostChecklist[[#This Row],[TargetID]],tblTargets[TargetID],tblTargets[DisplayName],"")</f>
        <v>Armory 1 Lv 1</v>
      </c>
      <c r="D1283" s="41" t="str">
        <f>_xlfn.XLOOKUP(tblCostChecklist[[#This Row],[TargetID]],tblTargets[TargetID],tblTargets[TargetType],"")</f>
        <v>COLLECTION</v>
      </c>
      <c r="E1283" s="41" t="s">
        <v>1786</v>
      </c>
      <c r="F1283" s="41">
        <v>1</v>
      </c>
      <c r="G1283" s="41">
        <f>_xlfn.XLOOKUP(
 tblCostChecklist[[#This Row],[RequirementID]],
 tblCost[RequirementID],
 tblCost[QuantityRequired],
 ""
)</f>
        <v>3</v>
      </c>
      <c r="H12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3" s="41" t="str">
        <f>_xlfn.XLOOKUP(tblCostChecklist[[#This Row],[TargetID]],tblTargetStatus[TargetID],tblTargetStatus[Status])</f>
        <v>BLOCKED</v>
      </c>
      <c r="J1283" s="25" t="b">
        <v>0</v>
      </c>
    </row>
    <row r="1284" spans="1:10">
      <c r="A1284" s="41" t="s">
        <v>4921</v>
      </c>
      <c r="B1284" s="41" t="str">
        <f>_xlfn.TEXTAFTER(
 _xlfn.TEXTBEFORE(tblCostChecklist[[#This Row],[RequirementID]],".",-2),
 "cost."
)</f>
        <v>collection.armory_1@1</v>
      </c>
      <c r="C1284" s="41" t="str">
        <f>_xlfn.XLOOKUP(tblCostChecklist[[#This Row],[TargetID]],tblTargets[TargetID],tblTargets[DisplayName],"")</f>
        <v>Armory 1 Lv 1</v>
      </c>
      <c r="D1284" s="41" t="str">
        <f>_xlfn.XLOOKUP(tblCostChecklist[[#This Row],[TargetID]],tblTargets[TargetID],tblTargets[TargetType],"")</f>
        <v>COLLECTION</v>
      </c>
      <c r="E1284" s="41" t="s">
        <v>1787</v>
      </c>
      <c r="F1284" s="41">
        <v>1</v>
      </c>
      <c r="G1284" s="41">
        <f>_xlfn.XLOOKUP(
 tblCostChecklist[[#This Row],[RequirementID]],
 tblCost[RequirementID],
 tblCost[QuantityRequired],
 ""
)</f>
        <v>3</v>
      </c>
      <c r="H12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4" s="41" t="str">
        <f>_xlfn.XLOOKUP(tblCostChecklist[[#This Row],[TargetID]],tblTargetStatus[TargetID],tblTargetStatus[Status])</f>
        <v>BLOCKED</v>
      </c>
      <c r="J1284" s="25" t="b">
        <v>0</v>
      </c>
    </row>
    <row r="1285" spans="1:10">
      <c r="A1285" s="41" t="s">
        <v>4922</v>
      </c>
      <c r="B1285" s="41" t="str">
        <f>_xlfn.TEXTAFTER(
 _xlfn.TEXTBEFORE(tblCostChecklist[[#This Row],[RequirementID]],".",-2),
 "cost."
)</f>
        <v>collection.armory_1@1</v>
      </c>
      <c r="C1285" s="41" t="str">
        <f>_xlfn.XLOOKUP(tblCostChecklist[[#This Row],[TargetID]],tblTargets[TargetID],tblTargets[DisplayName],"")</f>
        <v>Armory 1 Lv 1</v>
      </c>
      <c r="D1285" s="41" t="str">
        <f>_xlfn.XLOOKUP(tblCostChecklist[[#This Row],[TargetID]],tblTargets[TargetID],tblTargets[TargetType],"")</f>
        <v>COLLECTION</v>
      </c>
      <c r="E1285" s="41" t="s">
        <v>1788</v>
      </c>
      <c r="F1285" s="41">
        <v>1</v>
      </c>
      <c r="G1285" s="41">
        <f>_xlfn.XLOOKUP(
 tblCostChecklist[[#This Row],[RequirementID]],
 tblCost[RequirementID],
 tblCost[QuantityRequired],
 ""
)</f>
        <v>3</v>
      </c>
      <c r="H12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5" s="41" t="str">
        <f>_xlfn.XLOOKUP(tblCostChecklist[[#This Row],[TargetID]],tblTargetStatus[TargetID],tblTargetStatus[Status])</f>
        <v>BLOCKED</v>
      </c>
      <c r="J1285" s="25" t="b">
        <v>0</v>
      </c>
    </row>
    <row r="1286" spans="1:10">
      <c r="A1286" s="41" t="s">
        <v>4923</v>
      </c>
      <c r="B1286" s="41" t="str">
        <f>_xlfn.TEXTAFTER(
 _xlfn.TEXTBEFORE(tblCostChecklist[[#This Row],[RequirementID]],".",-2),
 "cost."
)</f>
        <v>collection.armory_1@1</v>
      </c>
      <c r="C1286" s="41" t="str">
        <f>_xlfn.XLOOKUP(tblCostChecklist[[#This Row],[TargetID]],tblTargets[TargetID],tblTargets[DisplayName],"")</f>
        <v>Armory 1 Lv 1</v>
      </c>
      <c r="D1286" s="41" t="str">
        <f>_xlfn.XLOOKUP(tblCostChecklist[[#This Row],[TargetID]],tblTargets[TargetID],tblTargets[TargetType],"")</f>
        <v>COLLECTION</v>
      </c>
      <c r="E1286" s="41" t="s">
        <v>927</v>
      </c>
      <c r="F1286" s="41">
        <v>1</v>
      </c>
      <c r="G1286" s="41">
        <f>_xlfn.XLOOKUP(
 tblCostChecklist[[#This Row],[RequirementID]],
 tblCost[RequirementID],
 tblCost[QuantityRequired],
 ""
)</f>
        <v>3</v>
      </c>
      <c r="H12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6" s="41" t="str">
        <f>_xlfn.XLOOKUP(tblCostChecklist[[#This Row],[TargetID]],tblTargetStatus[TargetID],tblTargetStatus[Status])</f>
        <v>BLOCKED</v>
      </c>
      <c r="J1286" s="25" t="b">
        <v>0</v>
      </c>
    </row>
    <row r="1287" spans="1:10">
      <c r="A1287" s="41" t="s">
        <v>4924</v>
      </c>
      <c r="B1287" s="41" t="str">
        <f>_xlfn.TEXTAFTER(
 _xlfn.TEXTBEFORE(tblCostChecklist[[#This Row],[RequirementID]],".",-2),
 "cost."
)</f>
        <v>collection.armory_1@1</v>
      </c>
      <c r="C1287" s="41" t="str">
        <f>_xlfn.XLOOKUP(tblCostChecklist[[#This Row],[TargetID]],tblTargets[TargetID],tblTargets[DisplayName],"")</f>
        <v>Armory 1 Lv 1</v>
      </c>
      <c r="D1287" s="41" t="str">
        <f>_xlfn.XLOOKUP(tblCostChecklist[[#This Row],[TargetID]],tblTargets[TargetID],tblTargets[TargetType],"")</f>
        <v>COLLECTION</v>
      </c>
      <c r="E1287" s="41" t="s">
        <v>1835</v>
      </c>
      <c r="F1287" s="41">
        <v>1</v>
      </c>
      <c r="G1287" s="41">
        <f>_xlfn.XLOOKUP(
 tblCostChecklist[[#This Row],[RequirementID]],
 tblCost[RequirementID],
 tblCost[QuantityRequired],
 ""
)</f>
        <v>3</v>
      </c>
      <c r="H12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7" s="41" t="str">
        <f>_xlfn.XLOOKUP(tblCostChecklist[[#This Row],[TargetID]],tblTargetStatus[TargetID],tblTargetStatus[Status])</f>
        <v>BLOCKED</v>
      </c>
      <c r="J1287" s="25" t="b">
        <v>0</v>
      </c>
    </row>
    <row r="1288" spans="1:10">
      <c r="A1288" s="41" t="s">
        <v>4925</v>
      </c>
      <c r="B1288" s="41" t="str">
        <f>_xlfn.TEXTAFTER(
 _xlfn.TEXTBEFORE(tblCostChecklist[[#This Row],[RequirementID]],".",-2),
 "cost."
)</f>
        <v>collection.armory_1@1</v>
      </c>
      <c r="C1288" s="41" t="str">
        <f>_xlfn.XLOOKUP(tblCostChecklist[[#This Row],[TargetID]],tblTargets[TargetID],tblTargets[DisplayName],"")</f>
        <v>Armory 1 Lv 1</v>
      </c>
      <c r="D1288" s="41" t="str">
        <f>_xlfn.XLOOKUP(tblCostChecklist[[#This Row],[TargetID]],tblTargets[TargetID],tblTargets[TargetType],"")</f>
        <v>COLLECTION</v>
      </c>
      <c r="E1288" s="41" t="s">
        <v>1836</v>
      </c>
      <c r="F1288" s="41">
        <v>1</v>
      </c>
      <c r="G1288" s="41">
        <f>_xlfn.XLOOKUP(
 tblCostChecklist[[#This Row],[RequirementID]],
 tblCost[RequirementID],
 tblCost[QuantityRequired],
 ""
)</f>
        <v>3</v>
      </c>
      <c r="H12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8" s="41" t="str">
        <f>_xlfn.XLOOKUP(tblCostChecklist[[#This Row],[TargetID]],tblTargetStatus[TargetID],tblTargetStatus[Status])</f>
        <v>BLOCKED</v>
      </c>
      <c r="J1288" s="25" t="b">
        <v>0</v>
      </c>
    </row>
    <row r="1289" spans="1:10">
      <c r="A1289" s="41" t="s">
        <v>4926</v>
      </c>
      <c r="B1289" s="41" t="str">
        <f>_xlfn.TEXTAFTER(
 _xlfn.TEXTBEFORE(tblCostChecklist[[#This Row],[RequirementID]],".",-2),
 "cost."
)</f>
        <v>collection.armory_1@1</v>
      </c>
      <c r="C1289" s="41" t="str">
        <f>_xlfn.XLOOKUP(tblCostChecklist[[#This Row],[TargetID]],tblTargets[TargetID],tblTargets[DisplayName],"")</f>
        <v>Armory 1 Lv 1</v>
      </c>
      <c r="D1289" s="41" t="str">
        <f>_xlfn.XLOOKUP(tblCostChecklist[[#This Row],[TargetID]],tblTargets[TargetID],tblTargets[TargetType],"")</f>
        <v>COLLECTION</v>
      </c>
      <c r="E1289" s="41" t="s">
        <v>949</v>
      </c>
      <c r="F1289" s="41">
        <v>1</v>
      </c>
      <c r="G1289" s="41">
        <f>_xlfn.XLOOKUP(
 tblCostChecklist[[#This Row],[RequirementID]],
 tblCost[RequirementID],
 tblCost[QuantityRequired],
 ""
)</f>
        <v>3</v>
      </c>
      <c r="H12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9" s="41" t="str">
        <f>_xlfn.XLOOKUP(tblCostChecklist[[#This Row],[TargetID]],tblTargetStatus[TargetID],tblTargetStatus[Status])</f>
        <v>BLOCKED</v>
      </c>
      <c r="J1289" s="25" t="b">
        <v>0</v>
      </c>
    </row>
    <row r="1290" spans="1:10">
      <c r="A1290" s="41" t="s">
        <v>4927</v>
      </c>
      <c r="B1290" s="41" t="str">
        <f>_xlfn.TEXTAFTER(
 _xlfn.TEXTBEFORE(tblCostChecklist[[#This Row],[RequirementID]],".",-2),
 "cost."
)</f>
        <v>collection.armory_1@1</v>
      </c>
      <c r="C1290" s="41" t="str">
        <f>_xlfn.XLOOKUP(tblCostChecklist[[#This Row],[TargetID]],tblTargets[TargetID],tblTargets[DisplayName],"")</f>
        <v>Armory 1 Lv 1</v>
      </c>
      <c r="D1290" s="41" t="str">
        <f>_xlfn.XLOOKUP(tblCostChecklist[[#This Row],[TargetID]],tblTargets[TargetID],tblTargets[TargetType],"")</f>
        <v>COLLECTION</v>
      </c>
      <c r="E1290" s="41" t="s">
        <v>950</v>
      </c>
      <c r="F1290" s="41">
        <v>1</v>
      </c>
      <c r="G1290" s="41">
        <f>_xlfn.XLOOKUP(
 tblCostChecklist[[#This Row],[RequirementID]],
 tblCost[RequirementID],
 tblCost[QuantityRequired],
 ""
)</f>
        <v>3</v>
      </c>
      <c r="H12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0" s="41" t="str">
        <f>_xlfn.XLOOKUP(tblCostChecklist[[#This Row],[TargetID]],tblTargetStatus[TargetID],tblTargetStatus[Status])</f>
        <v>BLOCKED</v>
      </c>
      <c r="J1290" s="25" t="b">
        <v>0</v>
      </c>
    </row>
    <row r="1291" spans="1:10">
      <c r="A1291" s="41" t="s">
        <v>4928</v>
      </c>
      <c r="B1291" s="41" t="str">
        <f>_xlfn.TEXTAFTER(
 _xlfn.TEXTBEFORE(tblCostChecklist[[#This Row],[RequirementID]],".",-2),
 "cost."
)</f>
        <v>collection.armory_1@1</v>
      </c>
      <c r="C1291" s="41" t="str">
        <f>_xlfn.XLOOKUP(tblCostChecklist[[#This Row],[TargetID]],tblTargets[TargetID],tblTargets[DisplayName],"")</f>
        <v>Armory 1 Lv 1</v>
      </c>
      <c r="D1291" s="41" t="str">
        <f>_xlfn.XLOOKUP(tblCostChecklist[[#This Row],[TargetID]],tblTargets[TargetID],tblTargets[TargetType],"")</f>
        <v>COLLECTION</v>
      </c>
      <c r="E1291" s="41" t="s">
        <v>1844</v>
      </c>
      <c r="F1291" s="41">
        <v>1</v>
      </c>
      <c r="G1291" s="41">
        <f>_xlfn.XLOOKUP(
 tblCostChecklist[[#This Row],[RequirementID]],
 tblCost[RequirementID],
 tblCost[QuantityRequired],
 ""
)</f>
        <v>3</v>
      </c>
      <c r="H12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1" s="41" t="str">
        <f>_xlfn.XLOOKUP(tblCostChecklist[[#This Row],[TargetID]],tblTargetStatus[TargetID],tblTargetStatus[Status])</f>
        <v>BLOCKED</v>
      </c>
      <c r="J1291" s="25" t="b">
        <v>0</v>
      </c>
    </row>
    <row r="1292" spans="1:10">
      <c r="A1292" s="41" t="s">
        <v>4929</v>
      </c>
      <c r="B1292" s="41" t="str">
        <f>_xlfn.TEXTAFTER(
 _xlfn.TEXTBEFORE(tblCostChecklist[[#This Row],[RequirementID]],".",-2),
 "cost."
)</f>
        <v>collection.armory_1@1</v>
      </c>
      <c r="C1292" s="41" t="str">
        <f>_xlfn.XLOOKUP(tblCostChecklist[[#This Row],[TargetID]],tblTargets[TargetID],tblTargets[DisplayName],"")</f>
        <v>Armory 1 Lv 1</v>
      </c>
      <c r="D1292" s="41" t="str">
        <f>_xlfn.XLOOKUP(tblCostChecklist[[#This Row],[TargetID]],tblTargets[TargetID],tblTargets[TargetType],"")</f>
        <v>COLLECTION</v>
      </c>
      <c r="E1292" s="41" t="s">
        <v>1845</v>
      </c>
      <c r="F1292" s="41">
        <v>1</v>
      </c>
      <c r="G1292" s="41">
        <f>_xlfn.XLOOKUP(
 tblCostChecklist[[#This Row],[RequirementID]],
 tblCost[RequirementID],
 tblCost[QuantityRequired],
 ""
)</f>
        <v>3</v>
      </c>
      <c r="H12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2" s="41" t="str">
        <f>_xlfn.XLOOKUP(tblCostChecklist[[#This Row],[TargetID]],tblTargetStatus[TargetID],tblTargetStatus[Status])</f>
        <v>BLOCKED</v>
      </c>
      <c r="J1292" s="25" t="b">
        <v>0</v>
      </c>
    </row>
    <row r="1293" spans="1:10">
      <c r="A1293" s="41" t="s">
        <v>4930</v>
      </c>
      <c r="B1293" s="41" t="str">
        <f>_xlfn.TEXTAFTER(
 _xlfn.TEXTBEFORE(tblCostChecklist[[#This Row],[RequirementID]],".",-2),
 "cost."
)</f>
        <v>collection.armory_1@1</v>
      </c>
      <c r="C1293" s="41" t="str">
        <f>_xlfn.XLOOKUP(tblCostChecklist[[#This Row],[TargetID]],tblTargets[TargetID],tblTargets[DisplayName],"")</f>
        <v>Armory 1 Lv 1</v>
      </c>
      <c r="D1293" s="41" t="str">
        <f>_xlfn.XLOOKUP(tblCostChecklist[[#This Row],[TargetID]],tblTargets[TargetID],tblTargets[TargetType],"")</f>
        <v>COLLECTION</v>
      </c>
      <c r="E1293" s="41" t="s">
        <v>952</v>
      </c>
      <c r="F1293" s="41">
        <v>1</v>
      </c>
      <c r="G1293" s="41">
        <f>_xlfn.XLOOKUP(
 tblCostChecklist[[#This Row],[RequirementID]],
 tblCost[RequirementID],
 tblCost[QuantityRequired],
 ""
)</f>
        <v>3</v>
      </c>
      <c r="H12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3" s="41" t="str">
        <f>_xlfn.XLOOKUP(tblCostChecklist[[#This Row],[TargetID]],tblTargetStatus[TargetID],tblTargetStatus[Status])</f>
        <v>BLOCKED</v>
      </c>
      <c r="J1293" s="25" t="b">
        <v>0</v>
      </c>
    </row>
    <row r="1294" spans="1:10">
      <c r="A1294" s="41" t="s">
        <v>4931</v>
      </c>
      <c r="B1294" s="41" t="str">
        <f>_xlfn.TEXTAFTER(
 _xlfn.TEXTBEFORE(tblCostChecklist[[#This Row],[RequirementID]],".",-2),
 "cost."
)</f>
        <v>collection.armory_1@1</v>
      </c>
      <c r="C1294" s="41" t="str">
        <f>_xlfn.XLOOKUP(tblCostChecklist[[#This Row],[TargetID]],tblTargets[TargetID],tblTargets[DisplayName],"")</f>
        <v>Armory 1 Lv 1</v>
      </c>
      <c r="D1294" s="41" t="str">
        <f>_xlfn.XLOOKUP(tblCostChecklist[[#This Row],[TargetID]],tblTargets[TargetID],tblTargets[TargetType],"")</f>
        <v>COLLECTION</v>
      </c>
      <c r="E1294" s="41" t="s">
        <v>953</v>
      </c>
      <c r="F1294" s="41">
        <v>1</v>
      </c>
      <c r="G1294" s="41">
        <f>_xlfn.XLOOKUP(
 tblCostChecklist[[#This Row],[RequirementID]],
 tblCost[RequirementID],
 tblCost[QuantityRequired],
 ""
)</f>
        <v>3</v>
      </c>
      <c r="H12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4" s="41" t="str">
        <f>_xlfn.XLOOKUP(tblCostChecklist[[#This Row],[TargetID]],tblTargetStatus[TargetID],tblTargetStatus[Status])</f>
        <v>BLOCKED</v>
      </c>
      <c r="J1294" s="25" t="b">
        <v>0</v>
      </c>
    </row>
    <row r="1295" spans="1:10">
      <c r="A1295" s="41" t="s">
        <v>4932</v>
      </c>
      <c r="B1295" s="41" t="str">
        <f>_xlfn.TEXTAFTER(
 _xlfn.TEXTBEFORE(tblCostChecklist[[#This Row],[RequirementID]],".",-2),
 "cost."
)</f>
        <v>collection.armory_1@2</v>
      </c>
      <c r="C1295" s="41" t="str">
        <f>_xlfn.XLOOKUP(tblCostChecklist[[#This Row],[TargetID]],tblTargets[TargetID],tblTargets[DisplayName],"")</f>
        <v>Armory 1 Lv 2</v>
      </c>
      <c r="D1295" s="41" t="str">
        <f>_xlfn.XLOOKUP(tblCostChecklist[[#This Row],[TargetID]],tblTargets[TargetID],tblTargets[TargetType],"")</f>
        <v>COLLECTION</v>
      </c>
      <c r="E1295" s="41" t="s">
        <v>1786</v>
      </c>
      <c r="F1295" s="41">
        <v>1</v>
      </c>
      <c r="G1295" s="41">
        <f>_xlfn.XLOOKUP(
 tblCostChecklist[[#This Row],[RequirementID]],
 tblCost[RequirementID],
 tblCost[QuantityRequired],
 ""
)</f>
        <v>6</v>
      </c>
      <c r="H12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5" s="41" t="str">
        <f>_xlfn.XLOOKUP(tblCostChecklist[[#This Row],[TargetID]],tblTargetStatus[TargetID],tblTargetStatus[Status])</f>
        <v>BLOCKED</v>
      </c>
      <c r="J1295" s="25" t="b">
        <v>0</v>
      </c>
    </row>
    <row r="1296" spans="1:10">
      <c r="A1296" s="41" t="s">
        <v>4933</v>
      </c>
      <c r="B1296" s="41" t="str">
        <f>_xlfn.TEXTAFTER(
 _xlfn.TEXTBEFORE(tblCostChecklist[[#This Row],[RequirementID]],".",-2),
 "cost."
)</f>
        <v>collection.armory_1@2</v>
      </c>
      <c r="C1296" s="41" t="str">
        <f>_xlfn.XLOOKUP(tblCostChecklist[[#This Row],[TargetID]],tblTargets[TargetID],tblTargets[DisplayName],"")</f>
        <v>Armory 1 Lv 2</v>
      </c>
      <c r="D1296" s="41" t="str">
        <f>_xlfn.XLOOKUP(tblCostChecklist[[#This Row],[TargetID]],tblTargets[TargetID],tblTargets[TargetType],"")</f>
        <v>COLLECTION</v>
      </c>
      <c r="E1296" s="41" t="s">
        <v>1787</v>
      </c>
      <c r="F1296" s="41">
        <v>1</v>
      </c>
      <c r="G1296" s="41">
        <f>_xlfn.XLOOKUP(
 tblCostChecklist[[#This Row],[RequirementID]],
 tblCost[RequirementID],
 tblCost[QuantityRequired],
 ""
)</f>
        <v>6</v>
      </c>
      <c r="H12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6" s="41" t="str">
        <f>_xlfn.XLOOKUP(tblCostChecklist[[#This Row],[TargetID]],tblTargetStatus[TargetID],tblTargetStatus[Status])</f>
        <v>BLOCKED</v>
      </c>
      <c r="J1296" s="25" t="b">
        <v>0</v>
      </c>
    </row>
    <row r="1297" spans="1:10">
      <c r="A1297" s="41" t="s">
        <v>4934</v>
      </c>
      <c r="B1297" s="41" t="str">
        <f>_xlfn.TEXTAFTER(
 _xlfn.TEXTBEFORE(tblCostChecklist[[#This Row],[RequirementID]],".",-2),
 "cost."
)</f>
        <v>collection.armory_1@2</v>
      </c>
      <c r="C1297" s="41" t="str">
        <f>_xlfn.XLOOKUP(tblCostChecklist[[#This Row],[TargetID]],tblTargets[TargetID],tblTargets[DisplayName],"")</f>
        <v>Armory 1 Lv 2</v>
      </c>
      <c r="D1297" s="41" t="str">
        <f>_xlfn.XLOOKUP(tblCostChecklist[[#This Row],[TargetID]],tblTargets[TargetID],tblTargets[TargetType],"")</f>
        <v>COLLECTION</v>
      </c>
      <c r="E1297" s="41" t="s">
        <v>1788</v>
      </c>
      <c r="F1297" s="41">
        <v>1</v>
      </c>
      <c r="G1297" s="41">
        <f>_xlfn.XLOOKUP(
 tblCostChecklist[[#This Row],[RequirementID]],
 tblCost[RequirementID],
 tblCost[QuantityRequired],
 ""
)</f>
        <v>6</v>
      </c>
      <c r="H12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7" s="41" t="str">
        <f>_xlfn.XLOOKUP(tblCostChecklist[[#This Row],[TargetID]],tblTargetStatus[TargetID],tblTargetStatus[Status])</f>
        <v>BLOCKED</v>
      </c>
      <c r="J1297" s="25" t="b">
        <v>0</v>
      </c>
    </row>
    <row r="1298" spans="1:10">
      <c r="A1298" s="41" t="s">
        <v>4935</v>
      </c>
      <c r="B1298" s="41" t="str">
        <f>_xlfn.TEXTAFTER(
 _xlfn.TEXTBEFORE(tblCostChecklist[[#This Row],[RequirementID]],".",-2),
 "cost."
)</f>
        <v>collection.armory_1@2</v>
      </c>
      <c r="C1298" s="41" t="str">
        <f>_xlfn.XLOOKUP(tblCostChecklist[[#This Row],[TargetID]],tblTargets[TargetID],tblTargets[DisplayName],"")</f>
        <v>Armory 1 Lv 2</v>
      </c>
      <c r="D1298" s="41" t="str">
        <f>_xlfn.XLOOKUP(tblCostChecklist[[#This Row],[TargetID]],tblTargets[TargetID],tblTargets[TargetType],"")</f>
        <v>COLLECTION</v>
      </c>
      <c r="E1298" s="41" t="s">
        <v>927</v>
      </c>
      <c r="F1298" s="41">
        <v>1</v>
      </c>
      <c r="G1298" s="41">
        <f>_xlfn.XLOOKUP(
 tblCostChecklist[[#This Row],[RequirementID]],
 tblCost[RequirementID],
 tblCost[QuantityRequired],
 ""
)</f>
        <v>6</v>
      </c>
      <c r="H12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8" s="41" t="str">
        <f>_xlfn.XLOOKUP(tblCostChecklist[[#This Row],[TargetID]],tblTargetStatus[TargetID],tblTargetStatus[Status])</f>
        <v>BLOCKED</v>
      </c>
      <c r="J1298" s="25" t="b">
        <v>0</v>
      </c>
    </row>
    <row r="1299" spans="1:10">
      <c r="A1299" s="41" t="s">
        <v>4936</v>
      </c>
      <c r="B1299" s="41" t="str">
        <f>_xlfn.TEXTAFTER(
 _xlfn.TEXTBEFORE(tblCostChecklist[[#This Row],[RequirementID]],".",-2),
 "cost."
)</f>
        <v>collection.armory_1@2</v>
      </c>
      <c r="C1299" s="41" t="str">
        <f>_xlfn.XLOOKUP(tblCostChecklist[[#This Row],[TargetID]],tblTargets[TargetID],tblTargets[DisplayName],"")</f>
        <v>Armory 1 Lv 2</v>
      </c>
      <c r="D1299" s="41" t="str">
        <f>_xlfn.XLOOKUP(tblCostChecklist[[#This Row],[TargetID]],tblTargets[TargetID],tblTargets[TargetType],"")</f>
        <v>COLLECTION</v>
      </c>
      <c r="E1299" s="41" t="s">
        <v>1835</v>
      </c>
      <c r="F1299" s="41">
        <v>1</v>
      </c>
      <c r="G1299" s="41">
        <f>_xlfn.XLOOKUP(
 tblCostChecklist[[#This Row],[RequirementID]],
 tblCost[RequirementID],
 tblCost[QuantityRequired],
 ""
)</f>
        <v>6</v>
      </c>
      <c r="H12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9" s="41" t="str">
        <f>_xlfn.XLOOKUP(tblCostChecklist[[#This Row],[TargetID]],tblTargetStatus[TargetID],tblTargetStatus[Status])</f>
        <v>BLOCKED</v>
      </c>
      <c r="J1299" s="25" t="b">
        <v>0</v>
      </c>
    </row>
    <row r="1300" spans="1:10">
      <c r="A1300" s="41" t="s">
        <v>4937</v>
      </c>
      <c r="B1300" s="41" t="str">
        <f>_xlfn.TEXTAFTER(
 _xlfn.TEXTBEFORE(tblCostChecklist[[#This Row],[RequirementID]],".",-2),
 "cost."
)</f>
        <v>collection.armory_1@2</v>
      </c>
      <c r="C1300" s="41" t="str">
        <f>_xlfn.XLOOKUP(tblCostChecklist[[#This Row],[TargetID]],tblTargets[TargetID],tblTargets[DisplayName],"")</f>
        <v>Armory 1 Lv 2</v>
      </c>
      <c r="D1300" s="41" t="str">
        <f>_xlfn.XLOOKUP(tblCostChecklist[[#This Row],[TargetID]],tblTargets[TargetID],tblTargets[TargetType],"")</f>
        <v>COLLECTION</v>
      </c>
      <c r="E1300" s="41" t="s">
        <v>1836</v>
      </c>
      <c r="F1300" s="41">
        <v>1</v>
      </c>
      <c r="G1300" s="41">
        <f>_xlfn.XLOOKUP(
 tblCostChecklist[[#This Row],[RequirementID]],
 tblCost[RequirementID],
 tblCost[QuantityRequired],
 ""
)</f>
        <v>6</v>
      </c>
      <c r="H13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0" s="41" t="str">
        <f>_xlfn.XLOOKUP(tblCostChecklist[[#This Row],[TargetID]],tblTargetStatus[TargetID],tblTargetStatus[Status])</f>
        <v>BLOCKED</v>
      </c>
      <c r="J1300" s="25" t="b">
        <v>0</v>
      </c>
    </row>
    <row r="1301" spans="1:10">
      <c r="A1301" s="41" t="s">
        <v>4938</v>
      </c>
      <c r="B1301" s="41" t="str">
        <f>_xlfn.TEXTAFTER(
 _xlfn.TEXTBEFORE(tblCostChecklist[[#This Row],[RequirementID]],".",-2),
 "cost."
)</f>
        <v>collection.armory_1@2</v>
      </c>
      <c r="C1301" s="41" t="str">
        <f>_xlfn.XLOOKUP(tblCostChecklist[[#This Row],[TargetID]],tblTargets[TargetID],tblTargets[DisplayName],"")</f>
        <v>Armory 1 Lv 2</v>
      </c>
      <c r="D1301" s="41" t="str">
        <f>_xlfn.XLOOKUP(tblCostChecklist[[#This Row],[TargetID]],tblTargets[TargetID],tblTargets[TargetType],"")</f>
        <v>COLLECTION</v>
      </c>
      <c r="E1301" s="41" t="s">
        <v>949</v>
      </c>
      <c r="F1301" s="41">
        <v>1</v>
      </c>
      <c r="G1301" s="41">
        <f>_xlfn.XLOOKUP(
 tblCostChecklist[[#This Row],[RequirementID]],
 tblCost[RequirementID],
 tblCost[QuantityRequired],
 ""
)</f>
        <v>6</v>
      </c>
      <c r="H13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1" s="41" t="str">
        <f>_xlfn.XLOOKUP(tblCostChecklist[[#This Row],[TargetID]],tblTargetStatus[TargetID],tblTargetStatus[Status])</f>
        <v>BLOCKED</v>
      </c>
      <c r="J1301" s="25" t="b">
        <v>0</v>
      </c>
    </row>
    <row r="1302" spans="1:10">
      <c r="A1302" s="41" t="s">
        <v>4939</v>
      </c>
      <c r="B1302" s="41" t="str">
        <f>_xlfn.TEXTAFTER(
 _xlfn.TEXTBEFORE(tblCostChecklist[[#This Row],[RequirementID]],".",-2),
 "cost."
)</f>
        <v>collection.armory_1@2</v>
      </c>
      <c r="C1302" s="41" t="str">
        <f>_xlfn.XLOOKUP(tblCostChecklist[[#This Row],[TargetID]],tblTargets[TargetID],tblTargets[DisplayName],"")</f>
        <v>Armory 1 Lv 2</v>
      </c>
      <c r="D1302" s="41" t="str">
        <f>_xlfn.XLOOKUP(tblCostChecklist[[#This Row],[TargetID]],tblTargets[TargetID],tblTargets[TargetType],"")</f>
        <v>COLLECTION</v>
      </c>
      <c r="E1302" s="41" t="s">
        <v>950</v>
      </c>
      <c r="F1302" s="41">
        <v>1</v>
      </c>
      <c r="G1302" s="41">
        <f>_xlfn.XLOOKUP(
 tblCostChecklist[[#This Row],[RequirementID]],
 tblCost[RequirementID],
 tblCost[QuantityRequired],
 ""
)</f>
        <v>6</v>
      </c>
      <c r="H13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2" s="41" t="str">
        <f>_xlfn.XLOOKUP(tblCostChecklist[[#This Row],[TargetID]],tblTargetStatus[TargetID],tblTargetStatus[Status])</f>
        <v>BLOCKED</v>
      </c>
      <c r="J1302" s="25" t="b">
        <v>0</v>
      </c>
    </row>
    <row r="1303" spans="1:10">
      <c r="A1303" s="41" t="s">
        <v>4940</v>
      </c>
      <c r="B1303" s="41" t="str">
        <f>_xlfn.TEXTAFTER(
 _xlfn.TEXTBEFORE(tblCostChecklist[[#This Row],[RequirementID]],".",-2),
 "cost."
)</f>
        <v>collection.armory_1@2</v>
      </c>
      <c r="C1303" s="41" t="str">
        <f>_xlfn.XLOOKUP(tblCostChecklist[[#This Row],[TargetID]],tblTargets[TargetID],tblTargets[DisplayName],"")</f>
        <v>Armory 1 Lv 2</v>
      </c>
      <c r="D1303" s="41" t="str">
        <f>_xlfn.XLOOKUP(tblCostChecklist[[#This Row],[TargetID]],tblTargets[TargetID],tblTargets[TargetType],"")</f>
        <v>COLLECTION</v>
      </c>
      <c r="E1303" s="41" t="s">
        <v>1844</v>
      </c>
      <c r="F1303" s="41">
        <v>1</v>
      </c>
      <c r="G1303" s="41">
        <f>_xlfn.XLOOKUP(
 tblCostChecklist[[#This Row],[RequirementID]],
 tblCost[RequirementID],
 tblCost[QuantityRequired],
 ""
)</f>
        <v>6</v>
      </c>
      <c r="H13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3" s="41" t="str">
        <f>_xlfn.XLOOKUP(tblCostChecklist[[#This Row],[TargetID]],tblTargetStatus[TargetID],tblTargetStatus[Status])</f>
        <v>BLOCKED</v>
      </c>
      <c r="J1303" s="25" t="b">
        <v>0</v>
      </c>
    </row>
    <row r="1304" spans="1:10">
      <c r="A1304" s="41" t="s">
        <v>4941</v>
      </c>
      <c r="B1304" s="41" t="str">
        <f>_xlfn.TEXTAFTER(
 _xlfn.TEXTBEFORE(tblCostChecklist[[#This Row],[RequirementID]],".",-2),
 "cost."
)</f>
        <v>collection.armory_1@2</v>
      </c>
      <c r="C1304" s="41" t="str">
        <f>_xlfn.XLOOKUP(tblCostChecklist[[#This Row],[TargetID]],tblTargets[TargetID],tblTargets[DisplayName],"")</f>
        <v>Armory 1 Lv 2</v>
      </c>
      <c r="D1304" s="41" t="str">
        <f>_xlfn.XLOOKUP(tblCostChecklist[[#This Row],[TargetID]],tblTargets[TargetID],tblTargets[TargetType],"")</f>
        <v>COLLECTION</v>
      </c>
      <c r="E1304" s="41" t="s">
        <v>1845</v>
      </c>
      <c r="F1304" s="41">
        <v>1</v>
      </c>
      <c r="G1304" s="41">
        <f>_xlfn.XLOOKUP(
 tblCostChecklist[[#This Row],[RequirementID]],
 tblCost[RequirementID],
 tblCost[QuantityRequired],
 ""
)</f>
        <v>6</v>
      </c>
      <c r="H13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4" s="41" t="str">
        <f>_xlfn.XLOOKUP(tblCostChecklist[[#This Row],[TargetID]],tblTargetStatus[TargetID],tblTargetStatus[Status])</f>
        <v>BLOCKED</v>
      </c>
      <c r="J1304" s="25" t="b">
        <v>0</v>
      </c>
    </row>
    <row r="1305" spans="1:10">
      <c r="A1305" s="41" t="s">
        <v>4942</v>
      </c>
      <c r="B1305" s="41" t="str">
        <f>_xlfn.TEXTAFTER(
 _xlfn.TEXTBEFORE(tblCostChecklist[[#This Row],[RequirementID]],".",-2),
 "cost."
)</f>
        <v>collection.armory_1@2</v>
      </c>
      <c r="C1305" s="41" t="str">
        <f>_xlfn.XLOOKUP(tblCostChecklist[[#This Row],[TargetID]],tblTargets[TargetID],tblTargets[DisplayName],"")</f>
        <v>Armory 1 Lv 2</v>
      </c>
      <c r="D1305" s="41" t="str">
        <f>_xlfn.XLOOKUP(tblCostChecklist[[#This Row],[TargetID]],tblTargets[TargetID],tblTargets[TargetType],"")</f>
        <v>COLLECTION</v>
      </c>
      <c r="E1305" s="41" t="s">
        <v>952</v>
      </c>
      <c r="F1305" s="41">
        <v>1</v>
      </c>
      <c r="G1305" s="41">
        <f>_xlfn.XLOOKUP(
 tblCostChecklist[[#This Row],[RequirementID]],
 tblCost[RequirementID],
 tblCost[QuantityRequired],
 ""
)</f>
        <v>6</v>
      </c>
      <c r="H13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5" s="41" t="str">
        <f>_xlfn.XLOOKUP(tblCostChecklist[[#This Row],[TargetID]],tblTargetStatus[TargetID],tblTargetStatus[Status])</f>
        <v>BLOCKED</v>
      </c>
      <c r="J1305" s="25" t="b">
        <v>0</v>
      </c>
    </row>
    <row r="1306" spans="1:10">
      <c r="A1306" s="41" t="s">
        <v>4943</v>
      </c>
      <c r="B1306" s="41" t="str">
        <f>_xlfn.TEXTAFTER(
 _xlfn.TEXTBEFORE(tblCostChecklist[[#This Row],[RequirementID]],".",-2),
 "cost."
)</f>
        <v>collection.armory_1@2</v>
      </c>
      <c r="C1306" s="41" t="str">
        <f>_xlfn.XLOOKUP(tblCostChecklist[[#This Row],[TargetID]],tblTargets[TargetID],tblTargets[DisplayName],"")</f>
        <v>Armory 1 Lv 2</v>
      </c>
      <c r="D1306" s="41" t="str">
        <f>_xlfn.XLOOKUP(tblCostChecklist[[#This Row],[TargetID]],tblTargets[TargetID],tblTargets[TargetType],"")</f>
        <v>COLLECTION</v>
      </c>
      <c r="E1306" s="41" t="s">
        <v>953</v>
      </c>
      <c r="F1306" s="41">
        <v>1</v>
      </c>
      <c r="G1306" s="41">
        <f>_xlfn.XLOOKUP(
 tblCostChecklist[[#This Row],[RequirementID]],
 tblCost[RequirementID],
 tblCost[QuantityRequired],
 ""
)</f>
        <v>6</v>
      </c>
      <c r="H13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6" s="41" t="str">
        <f>_xlfn.XLOOKUP(tblCostChecklist[[#This Row],[TargetID]],tblTargetStatus[TargetID],tblTargetStatus[Status])</f>
        <v>BLOCKED</v>
      </c>
      <c r="J1306" s="25" t="b">
        <v>0</v>
      </c>
    </row>
    <row r="1307" spans="1:10">
      <c r="A1307" s="41" t="s">
        <v>4944</v>
      </c>
      <c r="B1307" s="41" t="str">
        <f>_xlfn.TEXTAFTER(
 _xlfn.TEXTBEFORE(tblCostChecklist[[#This Row],[RequirementID]],".",-2),
 "cost."
)</f>
        <v>collection.armory_1@3</v>
      </c>
      <c r="C1307" s="41" t="str">
        <f>_xlfn.XLOOKUP(tblCostChecklist[[#This Row],[TargetID]],tblTargets[TargetID],tblTargets[DisplayName],"")</f>
        <v>Armory 1 Lv 3</v>
      </c>
      <c r="D1307" s="41" t="str">
        <f>_xlfn.XLOOKUP(tblCostChecklist[[#This Row],[TargetID]],tblTargets[TargetID],tblTargets[TargetType],"")</f>
        <v>COLLECTION</v>
      </c>
      <c r="E1307" s="41" t="s">
        <v>1786</v>
      </c>
      <c r="F1307" s="41">
        <v>1</v>
      </c>
      <c r="G1307" s="41">
        <f>_xlfn.XLOOKUP(
 tblCostChecklist[[#This Row],[RequirementID]],
 tblCost[RequirementID],
 tblCost[QuantityRequired],
 ""
)</f>
        <v>9</v>
      </c>
      <c r="H13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7" s="41" t="str">
        <f>_xlfn.XLOOKUP(tblCostChecklist[[#This Row],[TargetID]],tblTargetStatus[TargetID],tblTargetStatus[Status])</f>
        <v>BLOCKED</v>
      </c>
      <c r="J1307" s="25" t="b">
        <v>0</v>
      </c>
    </row>
    <row r="1308" spans="1:10">
      <c r="A1308" s="41" t="s">
        <v>4945</v>
      </c>
      <c r="B1308" s="41" t="str">
        <f>_xlfn.TEXTAFTER(
 _xlfn.TEXTBEFORE(tblCostChecklist[[#This Row],[RequirementID]],".",-2),
 "cost."
)</f>
        <v>collection.armory_1@3</v>
      </c>
      <c r="C1308" s="41" t="str">
        <f>_xlfn.XLOOKUP(tblCostChecklist[[#This Row],[TargetID]],tblTargets[TargetID],tblTargets[DisplayName],"")</f>
        <v>Armory 1 Lv 3</v>
      </c>
      <c r="D1308" s="41" t="str">
        <f>_xlfn.XLOOKUP(tblCostChecklist[[#This Row],[TargetID]],tblTargets[TargetID],tblTargets[TargetType],"")</f>
        <v>COLLECTION</v>
      </c>
      <c r="E1308" s="41" t="s">
        <v>1787</v>
      </c>
      <c r="F1308" s="41">
        <v>1</v>
      </c>
      <c r="G1308" s="41">
        <f>_xlfn.XLOOKUP(
 tblCostChecklist[[#This Row],[RequirementID]],
 tblCost[RequirementID],
 tblCost[QuantityRequired],
 ""
)</f>
        <v>9</v>
      </c>
      <c r="H13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8" s="41" t="str">
        <f>_xlfn.XLOOKUP(tblCostChecklist[[#This Row],[TargetID]],tblTargetStatus[TargetID],tblTargetStatus[Status])</f>
        <v>BLOCKED</v>
      </c>
      <c r="J1308" s="25" t="b">
        <v>0</v>
      </c>
    </row>
    <row r="1309" spans="1:10">
      <c r="A1309" s="41" t="s">
        <v>4946</v>
      </c>
      <c r="B1309" s="41" t="str">
        <f>_xlfn.TEXTAFTER(
 _xlfn.TEXTBEFORE(tblCostChecklist[[#This Row],[RequirementID]],".",-2),
 "cost."
)</f>
        <v>collection.armory_1@3</v>
      </c>
      <c r="C1309" s="41" t="str">
        <f>_xlfn.XLOOKUP(tblCostChecklist[[#This Row],[TargetID]],tblTargets[TargetID],tblTargets[DisplayName],"")</f>
        <v>Armory 1 Lv 3</v>
      </c>
      <c r="D1309" s="41" t="str">
        <f>_xlfn.XLOOKUP(tblCostChecklist[[#This Row],[TargetID]],tblTargets[TargetID],tblTargets[TargetType],"")</f>
        <v>COLLECTION</v>
      </c>
      <c r="E1309" s="41" t="s">
        <v>1788</v>
      </c>
      <c r="F1309" s="41">
        <v>1</v>
      </c>
      <c r="G1309" s="41">
        <f>_xlfn.XLOOKUP(
 tblCostChecklist[[#This Row],[RequirementID]],
 tblCost[RequirementID],
 tblCost[QuantityRequired],
 ""
)</f>
        <v>9</v>
      </c>
      <c r="H13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9" s="41" t="str">
        <f>_xlfn.XLOOKUP(tblCostChecklist[[#This Row],[TargetID]],tblTargetStatus[TargetID],tblTargetStatus[Status])</f>
        <v>BLOCKED</v>
      </c>
      <c r="J1309" s="25" t="b">
        <v>0</v>
      </c>
    </row>
    <row r="1310" spans="1:10">
      <c r="A1310" s="41" t="s">
        <v>4947</v>
      </c>
      <c r="B1310" s="41" t="str">
        <f>_xlfn.TEXTAFTER(
 _xlfn.TEXTBEFORE(tblCostChecklist[[#This Row],[RequirementID]],".",-2),
 "cost."
)</f>
        <v>collection.armory_1@3</v>
      </c>
      <c r="C1310" s="41" t="str">
        <f>_xlfn.XLOOKUP(tblCostChecklist[[#This Row],[TargetID]],tblTargets[TargetID],tblTargets[DisplayName],"")</f>
        <v>Armory 1 Lv 3</v>
      </c>
      <c r="D1310" s="41" t="str">
        <f>_xlfn.XLOOKUP(tblCostChecklist[[#This Row],[TargetID]],tblTargets[TargetID],tblTargets[TargetType],"")</f>
        <v>COLLECTION</v>
      </c>
      <c r="E1310" s="41" t="s">
        <v>927</v>
      </c>
      <c r="F1310" s="41">
        <v>1</v>
      </c>
      <c r="G1310" s="41">
        <f>_xlfn.XLOOKUP(
 tblCostChecklist[[#This Row],[RequirementID]],
 tblCost[RequirementID],
 tblCost[QuantityRequired],
 ""
)</f>
        <v>9</v>
      </c>
      <c r="H13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0" s="41" t="str">
        <f>_xlfn.XLOOKUP(tblCostChecklist[[#This Row],[TargetID]],tblTargetStatus[TargetID],tblTargetStatus[Status])</f>
        <v>BLOCKED</v>
      </c>
      <c r="J1310" s="25" t="b">
        <v>0</v>
      </c>
    </row>
    <row r="1311" spans="1:10">
      <c r="A1311" s="41" t="s">
        <v>4948</v>
      </c>
      <c r="B1311" s="41" t="str">
        <f>_xlfn.TEXTAFTER(
 _xlfn.TEXTBEFORE(tblCostChecklist[[#This Row],[RequirementID]],".",-2),
 "cost."
)</f>
        <v>collection.armory_1@3</v>
      </c>
      <c r="C1311" s="41" t="str">
        <f>_xlfn.XLOOKUP(tblCostChecklist[[#This Row],[TargetID]],tblTargets[TargetID],tblTargets[DisplayName],"")</f>
        <v>Armory 1 Lv 3</v>
      </c>
      <c r="D1311" s="41" t="str">
        <f>_xlfn.XLOOKUP(tblCostChecklist[[#This Row],[TargetID]],tblTargets[TargetID],tblTargets[TargetType],"")</f>
        <v>COLLECTION</v>
      </c>
      <c r="E1311" s="41" t="s">
        <v>1835</v>
      </c>
      <c r="F1311" s="41">
        <v>1</v>
      </c>
      <c r="G1311" s="41">
        <f>_xlfn.XLOOKUP(
 tblCostChecklist[[#This Row],[RequirementID]],
 tblCost[RequirementID],
 tblCost[QuantityRequired],
 ""
)</f>
        <v>9</v>
      </c>
      <c r="H13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1" s="41" t="str">
        <f>_xlfn.XLOOKUP(tblCostChecklist[[#This Row],[TargetID]],tblTargetStatus[TargetID],tblTargetStatus[Status])</f>
        <v>BLOCKED</v>
      </c>
      <c r="J1311" s="25" t="b">
        <v>0</v>
      </c>
    </row>
    <row r="1312" spans="1:10">
      <c r="A1312" s="41" t="s">
        <v>4949</v>
      </c>
      <c r="B1312" s="41" t="str">
        <f>_xlfn.TEXTAFTER(
 _xlfn.TEXTBEFORE(tblCostChecklist[[#This Row],[RequirementID]],".",-2),
 "cost."
)</f>
        <v>collection.armory_1@3</v>
      </c>
      <c r="C1312" s="41" t="str">
        <f>_xlfn.XLOOKUP(tblCostChecklist[[#This Row],[TargetID]],tblTargets[TargetID],tblTargets[DisplayName],"")</f>
        <v>Armory 1 Lv 3</v>
      </c>
      <c r="D1312" s="41" t="str">
        <f>_xlfn.XLOOKUP(tblCostChecklist[[#This Row],[TargetID]],tblTargets[TargetID],tblTargets[TargetType],"")</f>
        <v>COLLECTION</v>
      </c>
      <c r="E1312" s="41" t="s">
        <v>1836</v>
      </c>
      <c r="F1312" s="41">
        <v>1</v>
      </c>
      <c r="G1312" s="41">
        <f>_xlfn.XLOOKUP(
 tblCostChecklist[[#This Row],[RequirementID]],
 tblCost[RequirementID],
 tblCost[QuantityRequired],
 ""
)</f>
        <v>9</v>
      </c>
      <c r="H13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2" s="41" t="str">
        <f>_xlfn.XLOOKUP(tblCostChecklist[[#This Row],[TargetID]],tblTargetStatus[TargetID],tblTargetStatus[Status])</f>
        <v>BLOCKED</v>
      </c>
      <c r="J1312" s="25" t="b">
        <v>0</v>
      </c>
    </row>
    <row r="1313" spans="1:10">
      <c r="A1313" s="41" t="s">
        <v>4950</v>
      </c>
      <c r="B1313" s="41" t="str">
        <f>_xlfn.TEXTAFTER(
 _xlfn.TEXTBEFORE(tblCostChecklist[[#This Row],[RequirementID]],".",-2),
 "cost."
)</f>
        <v>collection.armory_1@3</v>
      </c>
      <c r="C1313" s="41" t="str">
        <f>_xlfn.XLOOKUP(tblCostChecklist[[#This Row],[TargetID]],tblTargets[TargetID],tblTargets[DisplayName],"")</f>
        <v>Armory 1 Lv 3</v>
      </c>
      <c r="D1313" s="41" t="str">
        <f>_xlfn.XLOOKUP(tblCostChecklist[[#This Row],[TargetID]],tblTargets[TargetID],tblTargets[TargetType],"")</f>
        <v>COLLECTION</v>
      </c>
      <c r="E1313" s="41" t="s">
        <v>949</v>
      </c>
      <c r="F1313" s="41">
        <v>1</v>
      </c>
      <c r="G1313" s="41">
        <f>_xlfn.XLOOKUP(
 tblCostChecklist[[#This Row],[RequirementID]],
 tblCost[RequirementID],
 tblCost[QuantityRequired],
 ""
)</f>
        <v>9</v>
      </c>
      <c r="H13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3" s="41" t="str">
        <f>_xlfn.XLOOKUP(tblCostChecklist[[#This Row],[TargetID]],tblTargetStatus[TargetID],tblTargetStatus[Status])</f>
        <v>BLOCKED</v>
      </c>
      <c r="J1313" s="25" t="b">
        <v>0</v>
      </c>
    </row>
    <row r="1314" spans="1:10">
      <c r="A1314" s="41" t="s">
        <v>4951</v>
      </c>
      <c r="B1314" s="41" t="str">
        <f>_xlfn.TEXTAFTER(
 _xlfn.TEXTBEFORE(tblCostChecklist[[#This Row],[RequirementID]],".",-2),
 "cost."
)</f>
        <v>collection.armory_1@3</v>
      </c>
      <c r="C1314" s="41" t="str">
        <f>_xlfn.XLOOKUP(tblCostChecklist[[#This Row],[TargetID]],tblTargets[TargetID],tblTargets[DisplayName],"")</f>
        <v>Armory 1 Lv 3</v>
      </c>
      <c r="D1314" s="41" t="str">
        <f>_xlfn.XLOOKUP(tblCostChecklist[[#This Row],[TargetID]],tblTargets[TargetID],tblTargets[TargetType],"")</f>
        <v>COLLECTION</v>
      </c>
      <c r="E1314" s="41" t="s">
        <v>950</v>
      </c>
      <c r="F1314" s="41">
        <v>1</v>
      </c>
      <c r="G1314" s="41">
        <f>_xlfn.XLOOKUP(
 tblCostChecklist[[#This Row],[RequirementID]],
 tblCost[RequirementID],
 tblCost[QuantityRequired],
 ""
)</f>
        <v>9</v>
      </c>
      <c r="H13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4" s="41" t="str">
        <f>_xlfn.XLOOKUP(tblCostChecklist[[#This Row],[TargetID]],tblTargetStatus[TargetID],tblTargetStatus[Status])</f>
        <v>BLOCKED</v>
      </c>
      <c r="J1314" s="25" t="b">
        <v>0</v>
      </c>
    </row>
    <row r="1315" spans="1:10">
      <c r="A1315" s="41" t="s">
        <v>4952</v>
      </c>
      <c r="B1315" s="41" t="str">
        <f>_xlfn.TEXTAFTER(
 _xlfn.TEXTBEFORE(tblCostChecklist[[#This Row],[RequirementID]],".",-2),
 "cost."
)</f>
        <v>collection.armory_1@3</v>
      </c>
      <c r="C1315" s="41" t="str">
        <f>_xlfn.XLOOKUP(tblCostChecklist[[#This Row],[TargetID]],tblTargets[TargetID],tblTargets[DisplayName],"")</f>
        <v>Armory 1 Lv 3</v>
      </c>
      <c r="D1315" s="41" t="str">
        <f>_xlfn.XLOOKUP(tblCostChecklist[[#This Row],[TargetID]],tblTargets[TargetID],tblTargets[TargetType],"")</f>
        <v>COLLECTION</v>
      </c>
      <c r="E1315" s="41" t="s">
        <v>1844</v>
      </c>
      <c r="F1315" s="41">
        <v>1</v>
      </c>
      <c r="G1315" s="41">
        <f>_xlfn.XLOOKUP(
 tblCostChecklist[[#This Row],[RequirementID]],
 tblCost[RequirementID],
 tblCost[QuantityRequired],
 ""
)</f>
        <v>9</v>
      </c>
      <c r="H13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5" s="41" t="str">
        <f>_xlfn.XLOOKUP(tblCostChecklist[[#This Row],[TargetID]],tblTargetStatus[TargetID],tblTargetStatus[Status])</f>
        <v>BLOCKED</v>
      </c>
      <c r="J1315" s="25" t="b">
        <v>0</v>
      </c>
    </row>
    <row r="1316" spans="1:10">
      <c r="A1316" s="41" t="s">
        <v>4953</v>
      </c>
      <c r="B1316" s="41" t="str">
        <f>_xlfn.TEXTAFTER(
 _xlfn.TEXTBEFORE(tblCostChecklist[[#This Row],[RequirementID]],".",-2),
 "cost."
)</f>
        <v>collection.armory_1@3</v>
      </c>
      <c r="C1316" s="41" t="str">
        <f>_xlfn.XLOOKUP(tblCostChecklist[[#This Row],[TargetID]],tblTargets[TargetID],tblTargets[DisplayName],"")</f>
        <v>Armory 1 Lv 3</v>
      </c>
      <c r="D1316" s="41" t="str">
        <f>_xlfn.XLOOKUP(tblCostChecklist[[#This Row],[TargetID]],tblTargets[TargetID],tblTargets[TargetType],"")</f>
        <v>COLLECTION</v>
      </c>
      <c r="E1316" s="41" t="s">
        <v>1845</v>
      </c>
      <c r="F1316" s="41">
        <v>1</v>
      </c>
      <c r="G1316" s="41">
        <f>_xlfn.XLOOKUP(
 tblCostChecklist[[#This Row],[RequirementID]],
 tblCost[RequirementID],
 tblCost[QuantityRequired],
 ""
)</f>
        <v>9</v>
      </c>
      <c r="H13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6" s="41" t="str">
        <f>_xlfn.XLOOKUP(tblCostChecklist[[#This Row],[TargetID]],tblTargetStatus[TargetID],tblTargetStatus[Status])</f>
        <v>BLOCKED</v>
      </c>
      <c r="J1316" s="25" t="b">
        <v>0</v>
      </c>
    </row>
    <row r="1317" spans="1:10">
      <c r="A1317" s="41" t="s">
        <v>4954</v>
      </c>
      <c r="B1317" s="41" t="str">
        <f>_xlfn.TEXTAFTER(
 _xlfn.TEXTBEFORE(tblCostChecklist[[#This Row],[RequirementID]],".",-2),
 "cost."
)</f>
        <v>collection.armory_1@3</v>
      </c>
      <c r="C1317" s="41" t="str">
        <f>_xlfn.XLOOKUP(tblCostChecklist[[#This Row],[TargetID]],tblTargets[TargetID],tblTargets[DisplayName],"")</f>
        <v>Armory 1 Lv 3</v>
      </c>
      <c r="D1317" s="41" t="str">
        <f>_xlfn.XLOOKUP(tblCostChecklist[[#This Row],[TargetID]],tblTargets[TargetID],tblTargets[TargetType],"")</f>
        <v>COLLECTION</v>
      </c>
      <c r="E1317" s="41" t="s">
        <v>952</v>
      </c>
      <c r="F1317" s="41">
        <v>1</v>
      </c>
      <c r="G1317" s="41">
        <f>_xlfn.XLOOKUP(
 tblCostChecklist[[#This Row],[RequirementID]],
 tblCost[RequirementID],
 tblCost[QuantityRequired],
 ""
)</f>
        <v>9</v>
      </c>
      <c r="H13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7" s="41" t="str">
        <f>_xlfn.XLOOKUP(tblCostChecklist[[#This Row],[TargetID]],tblTargetStatus[TargetID],tblTargetStatus[Status])</f>
        <v>BLOCKED</v>
      </c>
      <c r="J1317" s="25" t="b">
        <v>0</v>
      </c>
    </row>
    <row r="1318" spans="1:10">
      <c r="A1318" s="41" t="s">
        <v>4955</v>
      </c>
      <c r="B1318" s="41" t="str">
        <f>_xlfn.TEXTAFTER(
 _xlfn.TEXTBEFORE(tblCostChecklist[[#This Row],[RequirementID]],".",-2),
 "cost."
)</f>
        <v>collection.armory_1@3</v>
      </c>
      <c r="C1318" s="41" t="str">
        <f>_xlfn.XLOOKUP(tblCostChecklist[[#This Row],[TargetID]],tblTargets[TargetID],tblTargets[DisplayName],"")</f>
        <v>Armory 1 Lv 3</v>
      </c>
      <c r="D1318" s="41" t="str">
        <f>_xlfn.XLOOKUP(tblCostChecklist[[#This Row],[TargetID]],tblTargets[TargetID],tblTargets[TargetType],"")</f>
        <v>COLLECTION</v>
      </c>
      <c r="E1318" s="41" t="s">
        <v>953</v>
      </c>
      <c r="F1318" s="41">
        <v>1</v>
      </c>
      <c r="G1318" s="41">
        <f>_xlfn.XLOOKUP(
 tblCostChecklist[[#This Row],[RequirementID]],
 tblCost[RequirementID],
 tblCost[QuantityRequired],
 ""
)</f>
        <v>9</v>
      </c>
      <c r="H13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8" s="41" t="str">
        <f>_xlfn.XLOOKUP(tblCostChecklist[[#This Row],[TargetID]],tblTargetStatus[TargetID],tblTargetStatus[Status])</f>
        <v>BLOCKED</v>
      </c>
      <c r="J1318" s="25" t="b">
        <v>0</v>
      </c>
    </row>
    <row r="1319" spans="1:10">
      <c r="A1319" s="41" t="s">
        <v>4956</v>
      </c>
      <c r="B1319" s="41" t="str">
        <f>_xlfn.TEXTAFTER(
 _xlfn.TEXTBEFORE(tblCostChecklist[[#This Row],[RequirementID]],".",-2),
 "cost."
)</f>
        <v>collection.armory_2@1</v>
      </c>
      <c r="C1319" s="41" t="str">
        <f>_xlfn.XLOOKUP(tblCostChecklist[[#This Row],[TargetID]],tblTargets[TargetID],tblTargets[DisplayName],"")</f>
        <v>Armory 2 Lv 1</v>
      </c>
      <c r="D1319" s="41" t="str">
        <f>_xlfn.XLOOKUP(tblCostChecklist[[#This Row],[TargetID]],tblTargets[TargetID],tblTargets[TargetType],"")</f>
        <v>COLLECTION</v>
      </c>
      <c r="E1319" s="41" t="s">
        <v>1789</v>
      </c>
      <c r="F1319" s="41">
        <v>1</v>
      </c>
      <c r="G1319" s="41">
        <f>_xlfn.XLOOKUP(
 tblCostChecklist[[#This Row],[RequirementID]],
 tblCost[RequirementID],
 tblCost[QuantityRequired],
 ""
)</f>
        <v>3</v>
      </c>
      <c r="H13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9" s="41" t="str">
        <f>_xlfn.XLOOKUP(tblCostChecklist[[#This Row],[TargetID]],tblTargetStatus[TargetID],tblTargetStatus[Status])</f>
        <v>BLOCKED</v>
      </c>
      <c r="J1319" s="25" t="b">
        <v>0</v>
      </c>
    </row>
    <row r="1320" spans="1:10">
      <c r="A1320" s="41" t="s">
        <v>4957</v>
      </c>
      <c r="B1320" s="41" t="str">
        <f>_xlfn.TEXTAFTER(
 _xlfn.TEXTBEFORE(tblCostChecklist[[#This Row],[RequirementID]],".",-2),
 "cost."
)</f>
        <v>collection.armory_2@1</v>
      </c>
      <c r="C1320" s="41" t="str">
        <f>_xlfn.XLOOKUP(tblCostChecklist[[#This Row],[TargetID]],tblTargets[TargetID],tblTargets[DisplayName],"")</f>
        <v>Armory 2 Lv 1</v>
      </c>
      <c r="D1320" s="41" t="str">
        <f>_xlfn.XLOOKUP(tblCostChecklist[[#This Row],[TargetID]],tblTargets[TargetID],tblTargets[TargetType],"")</f>
        <v>COLLECTION</v>
      </c>
      <c r="E1320" s="41" t="s">
        <v>1837</v>
      </c>
      <c r="F1320" s="41">
        <v>1</v>
      </c>
      <c r="G1320" s="41">
        <f>_xlfn.XLOOKUP(
 tblCostChecklist[[#This Row],[RequirementID]],
 tblCost[RequirementID],
 tblCost[QuantityRequired],
 ""
)</f>
        <v>3</v>
      </c>
      <c r="H13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0" s="41" t="str">
        <f>_xlfn.XLOOKUP(tblCostChecklist[[#This Row],[TargetID]],tblTargetStatus[TargetID],tblTargetStatus[Status])</f>
        <v>BLOCKED</v>
      </c>
      <c r="J1320" s="25" t="b">
        <v>0</v>
      </c>
    </row>
    <row r="1321" spans="1:10">
      <c r="A1321" s="41" t="s">
        <v>4958</v>
      </c>
      <c r="B1321" s="41" t="str">
        <f>_xlfn.TEXTAFTER(
 _xlfn.TEXTBEFORE(tblCostChecklist[[#This Row],[RequirementID]],".",-2),
 "cost."
)</f>
        <v>collection.armory_2@1</v>
      </c>
      <c r="C1321" s="41" t="str">
        <f>_xlfn.XLOOKUP(tblCostChecklist[[#This Row],[TargetID]],tblTargets[TargetID],tblTargets[DisplayName],"")</f>
        <v>Armory 2 Lv 1</v>
      </c>
      <c r="D1321" s="41" t="str">
        <f>_xlfn.XLOOKUP(tblCostChecklist[[#This Row],[TargetID]],tblTargets[TargetID],tblTargets[TargetType],"")</f>
        <v>COLLECTION</v>
      </c>
      <c r="E1321" s="41" t="s">
        <v>1846</v>
      </c>
      <c r="F1321" s="41">
        <v>1</v>
      </c>
      <c r="G1321" s="41">
        <f>_xlfn.XLOOKUP(
 tblCostChecklist[[#This Row],[RequirementID]],
 tblCost[RequirementID],
 tblCost[QuantityRequired],
 ""
)</f>
        <v>3</v>
      </c>
      <c r="H13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1" s="41" t="str">
        <f>_xlfn.XLOOKUP(tblCostChecklist[[#This Row],[TargetID]],tblTargetStatus[TargetID],tblTargetStatus[Status])</f>
        <v>BLOCKED</v>
      </c>
      <c r="J1321" s="25" t="b">
        <v>0</v>
      </c>
    </row>
    <row r="1322" spans="1:10">
      <c r="A1322" s="41" t="s">
        <v>4959</v>
      </c>
      <c r="B1322" s="41" t="str">
        <f>_xlfn.TEXTAFTER(
 _xlfn.TEXTBEFORE(tblCostChecklist[[#This Row],[RequirementID]],".",-2),
 "cost."
)</f>
        <v>collection.attic@1</v>
      </c>
      <c r="C1322" s="41" t="str">
        <f>_xlfn.XLOOKUP(tblCostChecklist[[#This Row],[TargetID]],tblTargets[TargetID],tblTargets[DisplayName],"")</f>
        <v>Attic Lv 1</v>
      </c>
      <c r="D1322" s="41" t="str">
        <f>_xlfn.XLOOKUP(tblCostChecklist[[#This Row],[TargetID]],tblTargets[TargetID],tblTargets[TargetType],"")</f>
        <v>COLLECTION</v>
      </c>
      <c r="E1322" s="41" t="s">
        <v>668</v>
      </c>
      <c r="F1322" s="41">
        <v>1</v>
      </c>
      <c r="G1322" s="41">
        <f>_xlfn.XLOOKUP(
 tblCostChecklist[[#This Row],[RequirementID]],
 tblCost[RequirementID],
 tblCost[QuantityRequired],
 ""
)</f>
        <v>3</v>
      </c>
      <c r="H13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2" s="41" t="str">
        <f>_xlfn.XLOOKUP(tblCostChecklist[[#This Row],[TargetID]],tblTargetStatus[TargetID],tblTargetStatus[Status])</f>
        <v>BLOCKED</v>
      </c>
      <c r="J1322" s="25" t="b">
        <v>0</v>
      </c>
    </row>
    <row r="1323" spans="1:10">
      <c r="A1323" s="41" t="s">
        <v>4960</v>
      </c>
      <c r="B1323" s="41" t="str">
        <f>_xlfn.TEXTAFTER(
 _xlfn.TEXTBEFORE(tblCostChecklist[[#This Row],[RequirementID]],".",-2),
 "cost."
)</f>
        <v>collection.attic@1</v>
      </c>
      <c r="C1323" s="41" t="str">
        <f>_xlfn.XLOOKUP(tblCostChecklist[[#This Row],[TargetID]],tblTargets[TargetID],tblTargets[DisplayName],"")</f>
        <v>Attic Lv 1</v>
      </c>
      <c r="D1323" s="41" t="str">
        <f>_xlfn.XLOOKUP(tblCostChecklist[[#This Row],[TargetID]],tblTargets[TargetID],tblTargets[TargetType],"")</f>
        <v>COLLECTION</v>
      </c>
      <c r="E1323" s="41" t="s">
        <v>671</v>
      </c>
      <c r="F1323" s="41">
        <v>1</v>
      </c>
      <c r="G1323" s="41">
        <f>_xlfn.XLOOKUP(
 tblCostChecklist[[#This Row],[RequirementID]],
 tblCost[RequirementID],
 tblCost[QuantityRequired],
 ""
)</f>
        <v>20</v>
      </c>
      <c r="H13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3" s="41" t="str">
        <f>_xlfn.XLOOKUP(tblCostChecklist[[#This Row],[TargetID]],tblTargetStatus[TargetID],tblTargetStatus[Status])</f>
        <v>BLOCKED</v>
      </c>
      <c r="J1323" s="25" t="b">
        <v>0</v>
      </c>
    </row>
    <row r="1324" spans="1:10">
      <c r="A1324" s="41" t="s">
        <v>4961</v>
      </c>
      <c r="B1324" s="41" t="str">
        <f>_xlfn.TEXTAFTER(
 _xlfn.TEXTBEFORE(tblCostChecklist[[#This Row],[RequirementID]],".",-2),
 "cost."
)</f>
        <v>collection.attic@1</v>
      </c>
      <c r="C1324" s="41" t="str">
        <f>_xlfn.XLOOKUP(tblCostChecklist[[#This Row],[TargetID]],tblTargets[TargetID],tblTargets[DisplayName],"")</f>
        <v>Attic Lv 1</v>
      </c>
      <c r="D1324" s="41" t="str">
        <f>_xlfn.XLOOKUP(tblCostChecklist[[#This Row],[TargetID]],tblTargets[TargetID],tblTargets[TargetType],"")</f>
        <v>COLLECTION</v>
      </c>
      <c r="E1324" s="41" t="s">
        <v>1804</v>
      </c>
      <c r="F1324" s="41">
        <v>1</v>
      </c>
      <c r="G1324" s="41">
        <f>_xlfn.XLOOKUP(
 tblCostChecklist[[#This Row],[RequirementID]],
 tblCost[RequirementID],
 tblCost[QuantityRequired],
 ""
)</f>
        <v>3</v>
      </c>
      <c r="H13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4" s="41" t="str">
        <f>_xlfn.XLOOKUP(tblCostChecklist[[#This Row],[TargetID]],tblTargetStatus[TargetID],tblTargetStatus[Status])</f>
        <v>BLOCKED</v>
      </c>
      <c r="J1324" s="25" t="b">
        <v>0</v>
      </c>
    </row>
    <row r="1325" spans="1:10">
      <c r="A1325" s="41" t="s">
        <v>4962</v>
      </c>
      <c r="B1325" s="41" t="str">
        <f>_xlfn.TEXTAFTER(
 _xlfn.TEXTBEFORE(tblCostChecklist[[#This Row],[RequirementID]],".",-2),
 "cost."
)</f>
        <v>collection.attic@1</v>
      </c>
      <c r="C1325" s="41" t="str">
        <f>_xlfn.XLOOKUP(tblCostChecklist[[#This Row],[TargetID]],tblTargets[TargetID],tblTargets[DisplayName],"")</f>
        <v>Attic Lv 1</v>
      </c>
      <c r="D1325" s="41" t="str">
        <f>_xlfn.XLOOKUP(tblCostChecklist[[#This Row],[TargetID]],tblTargets[TargetID],tblTargets[TargetType],"")</f>
        <v>COLLECTION</v>
      </c>
      <c r="E1325" s="41" t="s">
        <v>681</v>
      </c>
      <c r="F1325" s="41">
        <v>1</v>
      </c>
      <c r="G1325" s="41">
        <f>_xlfn.XLOOKUP(
 tblCostChecklist[[#This Row],[RequirementID]],
 tblCost[RequirementID],
 tblCost[QuantityRequired],
 ""
)</f>
        <v>10</v>
      </c>
      <c r="H13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5" s="41" t="str">
        <f>_xlfn.XLOOKUP(tblCostChecklist[[#This Row],[TargetID]],tblTargetStatus[TargetID],tblTargetStatus[Status])</f>
        <v>BLOCKED</v>
      </c>
      <c r="J1325" s="25" t="b">
        <v>0</v>
      </c>
    </row>
    <row r="1326" spans="1:10">
      <c r="A1326" s="41" t="s">
        <v>4963</v>
      </c>
      <c r="B1326" s="41" t="str">
        <f>_xlfn.TEXTAFTER(
 _xlfn.TEXTBEFORE(tblCostChecklist[[#This Row],[RequirementID]],".",-2),
 "cost."
)</f>
        <v>collection.attic@1</v>
      </c>
      <c r="C1326" s="41" t="str">
        <f>_xlfn.XLOOKUP(tblCostChecklist[[#This Row],[TargetID]],tblTargets[TargetID],tblTargets[DisplayName],"")</f>
        <v>Attic Lv 1</v>
      </c>
      <c r="D1326" s="41" t="str">
        <f>_xlfn.XLOOKUP(tblCostChecklist[[#This Row],[TargetID]],tblTargets[TargetID],tblTargets[TargetType],"")</f>
        <v>COLLECTION</v>
      </c>
      <c r="E1326" s="41" t="s">
        <v>682</v>
      </c>
      <c r="F1326" s="41">
        <v>1</v>
      </c>
      <c r="G1326" s="41">
        <f>_xlfn.XLOOKUP(
 tblCostChecklist[[#This Row],[RequirementID]],
 tblCost[RequirementID],
 tblCost[QuantityRequired],
 ""
)</f>
        <v>3</v>
      </c>
      <c r="H13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6" s="41" t="str">
        <f>_xlfn.XLOOKUP(tblCostChecklist[[#This Row],[TargetID]],tblTargetStatus[TargetID],tblTargetStatus[Status])</f>
        <v>BLOCKED</v>
      </c>
      <c r="J1326" s="25" t="b">
        <v>0</v>
      </c>
    </row>
    <row r="1327" spans="1:10">
      <c r="A1327" s="41" t="s">
        <v>4964</v>
      </c>
      <c r="B1327" s="41" t="str">
        <f>_xlfn.TEXTAFTER(
 _xlfn.TEXTBEFORE(tblCostChecklist[[#This Row],[RequirementID]],".",-2),
 "cost."
)</f>
        <v>collection.attic@1</v>
      </c>
      <c r="C1327" s="41" t="str">
        <f>_xlfn.XLOOKUP(tblCostChecklist[[#This Row],[TargetID]],tblTargets[TargetID],tblTargets[DisplayName],"")</f>
        <v>Attic Lv 1</v>
      </c>
      <c r="D1327" s="41" t="str">
        <f>_xlfn.XLOOKUP(tblCostChecklist[[#This Row],[TargetID]],tblTargets[TargetID],tblTargets[TargetType],"")</f>
        <v>COLLECTION</v>
      </c>
      <c r="E1327" s="41" t="s">
        <v>694</v>
      </c>
      <c r="F1327" s="41">
        <v>1</v>
      </c>
      <c r="G1327" s="41">
        <f>_xlfn.XLOOKUP(
 tblCostChecklist[[#This Row],[RequirementID]],
 tblCost[RequirementID],
 tblCost[QuantityRequired],
 ""
)</f>
        <v>3</v>
      </c>
      <c r="H13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7" s="41" t="str">
        <f>_xlfn.XLOOKUP(tblCostChecklist[[#This Row],[TargetID]],tblTargetStatus[TargetID],tblTargetStatus[Status])</f>
        <v>BLOCKED</v>
      </c>
      <c r="J1327" s="25" t="b">
        <v>0</v>
      </c>
    </row>
    <row r="1328" spans="1:10">
      <c r="A1328" s="41" t="s">
        <v>4965</v>
      </c>
      <c r="B1328" s="41" t="str">
        <f>_xlfn.TEXTAFTER(
 _xlfn.TEXTBEFORE(tblCostChecklist[[#This Row],[RequirementID]],".",-2),
 "cost."
)</f>
        <v>collection.attic@1</v>
      </c>
      <c r="C1328" s="41" t="str">
        <f>_xlfn.XLOOKUP(tblCostChecklist[[#This Row],[TargetID]],tblTargets[TargetID],tblTargets[DisplayName],"")</f>
        <v>Attic Lv 1</v>
      </c>
      <c r="D1328" s="41" t="str">
        <f>_xlfn.XLOOKUP(tblCostChecklist[[#This Row],[TargetID]],tblTargets[TargetID],tblTargets[TargetType],"")</f>
        <v>COLLECTION</v>
      </c>
      <c r="E1328" s="41" t="s">
        <v>709</v>
      </c>
      <c r="F1328" s="41">
        <v>1</v>
      </c>
      <c r="G1328" s="41">
        <f>_xlfn.XLOOKUP(
 tblCostChecklist[[#This Row],[RequirementID]],
 tblCost[RequirementID],
 tblCost[QuantityRequired],
 ""
)</f>
        <v>3</v>
      </c>
      <c r="H13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8" s="41" t="str">
        <f>_xlfn.XLOOKUP(tblCostChecklist[[#This Row],[TargetID]],tblTargetStatus[TargetID],tblTargetStatus[Status])</f>
        <v>BLOCKED</v>
      </c>
      <c r="J1328" s="25" t="b">
        <v>0</v>
      </c>
    </row>
    <row r="1329" spans="1:10">
      <c r="A1329" s="41" t="s">
        <v>4966</v>
      </c>
      <c r="B1329" s="41" t="str">
        <f>_xlfn.TEXTAFTER(
 _xlfn.TEXTBEFORE(tblCostChecklist[[#This Row],[RequirementID]],".",-2),
 "cost."
)</f>
        <v>collection.attic@1</v>
      </c>
      <c r="C1329" s="41" t="str">
        <f>_xlfn.XLOOKUP(tblCostChecklist[[#This Row],[TargetID]],tblTargets[TargetID],tblTargets[DisplayName],"")</f>
        <v>Attic Lv 1</v>
      </c>
      <c r="D1329" s="41" t="str">
        <f>_xlfn.XLOOKUP(tblCostChecklist[[#This Row],[TargetID]],tblTargets[TargetID],tblTargets[TargetType],"")</f>
        <v>COLLECTION</v>
      </c>
      <c r="E1329" s="41" t="s">
        <v>1838</v>
      </c>
      <c r="F1329" s="41">
        <v>1</v>
      </c>
      <c r="G1329" s="41">
        <f>_xlfn.XLOOKUP(
 tblCostChecklist[[#This Row],[RequirementID]],
 tblCost[RequirementID],
 tblCost[QuantityRequired],
 ""
)</f>
        <v>20</v>
      </c>
      <c r="H13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9" s="41" t="str">
        <f>_xlfn.XLOOKUP(tblCostChecklist[[#This Row],[TargetID]],tblTargetStatus[TargetID],tblTargetStatus[Status])</f>
        <v>BLOCKED</v>
      </c>
      <c r="J1329" s="25" t="b">
        <v>0</v>
      </c>
    </row>
    <row r="1330" spans="1:10">
      <c r="A1330" s="41" t="s">
        <v>4967</v>
      </c>
      <c r="B1330" s="41" t="str">
        <f>_xlfn.TEXTAFTER(
 _xlfn.TEXTBEFORE(tblCostChecklist[[#This Row],[RequirementID]],".",-2),
 "cost."
)</f>
        <v>collection.attic@1</v>
      </c>
      <c r="C1330" s="41" t="str">
        <f>_xlfn.XLOOKUP(tblCostChecklist[[#This Row],[TargetID]],tblTargets[TargetID],tblTargets[DisplayName],"")</f>
        <v>Attic Lv 1</v>
      </c>
      <c r="D1330" s="41" t="str">
        <f>_xlfn.XLOOKUP(tblCostChecklist[[#This Row],[TargetID]],tblTargets[TargetID],tblTargets[TargetType],"")</f>
        <v>COLLECTION</v>
      </c>
      <c r="E1330" s="41" t="s">
        <v>1840</v>
      </c>
      <c r="F1330" s="41">
        <v>1</v>
      </c>
      <c r="G1330" s="41">
        <f>_xlfn.XLOOKUP(
 tblCostChecklist[[#This Row],[RequirementID]],
 tblCost[RequirementID],
 tblCost[QuantityRequired],
 ""
)</f>
        <v>20</v>
      </c>
      <c r="H13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0" s="41" t="str">
        <f>_xlfn.XLOOKUP(tblCostChecklist[[#This Row],[TargetID]],tblTargetStatus[TargetID],tblTargetStatus[Status])</f>
        <v>BLOCKED</v>
      </c>
      <c r="J1330" s="25" t="b">
        <v>0</v>
      </c>
    </row>
    <row r="1331" spans="1:10">
      <c r="A1331" s="41" t="s">
        <v>4968</v>
      </c>
      <c r="B1331" s="41" t="str">
        <f>_xlfn.TEXTAFTER(
 _xlfn.TEXTBEFORE(tblCostChecklist[[#This Row],[RequirementID]],".",-2),
 "cost."
)</f>
        <v>collection.attic@2</v>
      </c>
      <c r="C1331" s="41" t="str">
        <f>_xlfn.XLOOKUP(tblCostChecklist[[#This Row],[TargetID]],tblTargets[TargetID],tblTargets[DisplayName],"")</f>
        <v>Attic Lv 2</v>
      </c>
      <c r="D1331" s="41" t="str">
        <f>_xlfn.XLOOKUP(tblCostChecklist[[#This Row],[TargetID]],tblTargets[TargetID],tblTargets[TargetType],"")</f>
        <v>COLLECTION</v>
      </c>
      <c r="E1331" s="41" t="s">
        <v>668</v>
      </c>
      <c r="F1331" s="41">
        <v>1</v>
      </c>
      <c r="G1331" s="41">
        <f>_xlfn.XLOOKUP(
 tblCostChecklist[[#This Row],[RequirementID]],
 tblCost[RequirementID],
 tblCost[QuantityRequired],
 ""
)</f>
        <v>6</v>
      </c>
      <c r="H13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1" s="41" t="str">
        <f>_xlfn.XLOOKUP(tblCostChecklist[[#This Row],[TargetID]],tblTargetStatus[TargetID],tblTargetStatus[Status])</f>
        <v>BLOCKED</v>
      </c>
      <c r="J1331" s="25" t="b">
        <v>0</v>
      </c>
    </row>
    <row r="1332" spans="1:10">
      <c r="A1332" s="41" t="s">
        <v>4969</v>
      </c>
      <c r="B1332" s="41" t="str">
        <f>_xlfn.TEXTAFTER(
 _xlfn.TEXTBEFORE(tblCostChecklist[[#This Row],[RequirementID]],".",-2),
 "cost."
)</f>
        <v>collection.attic@2</v>
      </c>
      <c r="C1332" s="41" t="str">
        <f>_xlfn.XLOOKUP(tblCostChecklist[[#This Row],[TargetID]],tblTargets[TargetID],tblTargets[DisplayName],"")</f>
        <v>Attic Lv 2</v>
      </c>
      <c r="D1332" s="41" t="str">
        <f>_xlfn.XLOOKUP(tblCostChecklist[[#This Row],[TargetID]],tblTargets[TargetID],tblTargets[TargetType],"")</f>
        <v>COLLECTION</v>
      </c>
      <c r="E1332" s="41" t="s">
        <v>671</v>
      </c>
      <c r="F1332" s="41">
        <v>1</v>
      </c>
      <c r="G1332" s="41">
        <f>_xlfn.XLOOKUP(
 tblCostChecklist[[#This Row],[RequirementID]],
 tblCost[RequirementID],
 tblCost[QuantityRequired],
 ""
)</f>
        <v>40</v>
      </c>
      <c r="H13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2" s="41" t="str">
        <f>_xlfn.XLOOKUP(tblCostChecklist[[#This Row],[TargetID]],tblTargetStatus[TargetID],tblTargetStatus[Status])</f>
        <v>BLOCKED</v>
      </c>
      <c r="J1332" s="25" t="b">
        <v>0</v>
      </c>
    </row>
    <row r="1333" spans="1:10">
      <c r="A1333" s="41" t="s">
        <v>4970</v>
      </c>
      <c r="B1333" s="41" t="str">
        <f>_xlfn.TEXTAFTER(
 _xlfn.TEXTBEFORE(tblCostChecklist[[#This Row],[RequirementID]],".",-2),
 "cost."
)</f>
        <v>collection.attic@2</v>
      </c>
      <c r="C1333" s="41" t="str">
        <f>_xlfn.XLOOKUP(tblCostChecklist[[#This Row],[TargetID]],tblTargets[TargetID],tblTargets[DisplayName],"")</f>
        <v>Attic Lv 2</v>
      </c>
      <c r="D1333" s="41" t="str">
        <f>_xlfn.XLOOKUP(tblCostChecklist[[#This Row],[TargetID]],tblTargets[TargetID],tblTargets[TargetType],"")</f>
        <v>COLLECTION</v>
      </c>
      <c r="E1333" s="41" t="s">
        <v>1804</v>
      </c>
      <c r="F1333" s="41">
        <v>1</v>
      </c>
      <c r="G1333" s="41">
        <f>_xlfn.XLOOKUP(
 tblCostChecklist[[#This Row],[RequirementID]],
 tblCost[RequirementID],
 tblCost[QuantityRequired],
 ""
)</f>
        <v>6</v>
      </c>
      <c r="H13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3" s="41" t="str">
        <f>_xlfn.XLOOKUP(tblCostChecklist[[#This Row],[TargetID]],tblTargetStatus[TargetID],tblTargetStatus[Status])</f>
        <v>BLOCKED</v>
      </c>
      <c r="J1333" s="25" t="b">
        <v>0</v>
      </c>
    </row>
    <row r="1334" spans="1:10">
      <c r="A1334" s="41" t="s">
        <v>4971</v>
      </c>
      <c r="B1334" s="41" t="str">
        <f>_xlfn.TEXTAFTER(
 _xlfn.TEXTBEFORE(tblCostChecklist[[#This Row],[RequirementID]],".",-2),
 "cost."
)</f>
        <v>collection.attic@2</v>
      </c>
      <c r="C1334" s="41" t="str">
        <f>_xlfn.XLOOKUP(tblCostChecklist[[#This Row],[TargetID]],tblTargets[TargetID],tblTargets[DisplayName],"")</f>
        <v>Attic Lv 2</v>
      </c>
      <c r="D1334" s="41" t="str">
        <f>_xlfn.XLOOKUP(tblCostChecklist[[#This Row],[TargetID]],tblTargets[TargetID],tblTargets[TargetType],"")</f>
        <v>COLLECTION</v>
      </c>
      <c r="E1334" s="41" t="s">
        <v>681</v>
      </c>
      <c r="F1334" s="41">
        <v>1</v>
      </c>
      <c r="G1334" s="41">
        <f>_xlfn.XLOOKUP(
 tblCostChecklist[[#This Row],[RequirementID]],
 tblCost[RequirementID],
 tblCost[QuantityRequired],
 ""
)</f>
        <v>20</v>
      </c>
      <c r="H13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4" s="41" t="str">
        <f>_xlfn.XLOOKUP(tblCostChecklist[[#This Row],[TargetID]],tblTargetStatus[TargetID],tblTargetStatus[Status])</f>
        <v>BLOCKED</v>
      </c>
      <c r="J1334" s="25" t="b">
        <v>0</v>
      </c>
    </row>
    <row r="1335" spans="1:10">
      <c r="A1335" s="41" t="s">
        <v>4972</v>
      </c>
      <c r="B1335" s="41" t="str">
        <f>_xlfn.TEXTAFTER(
 _xlfn.TEXTBEFORE(tblCostChecklist[[#This Row],[RequirementID]],".",-2),
 "cost."
)</f>
        <v>collection.attic@2</v>
      </c>
      <c r="C1335" s="41" t="str">
        <f>_xlfn.XLOOKUP(tblCostChecklist[[#This Row],[TargetID]],tblTargets[TargetID],tblTargets[DisplayName],"")</f>
        <v>Attic Lv 2</v>
      </c>
      <c r="D1335" s="41" t="str">
        <f>_xlfn.XLOOKUP(tblCostChecklist[[#This Row],[TargetID]],tblTargets[TargetID],tblTargets[TargetType],"")</f>
        <v>COLLECTION</v>
      </c>
      <c r="E1335" s="41" t="s">
        <v>682</v>
      </c>
      <c r="F1335" s="41">
        <v>1</v>
      </c>
      <c r="G1335" s="41">
        <f>_xlfn.XLOOKUP(
 tblCostChecklist[[#This Row],[RequirementID]],
 tblCost[RequirementID],
 tblCost[QuantityRequired],
 ""
)</f>
        <v>6</v>
      </c>
      <c r="H13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5" s="41" t="str">
        <f>_xlfn.XLOOKUP(tblCostChecklist[[#This Row],[TargetID]],tblTargetStatus[TargetID],tblTargetStatus[Status])</f>
        <v>BLOCKED</v>
      </c>
      <c r="J1335" s="25" t="b">
        <v>0</v>
      </c>
    </row>
    <row r="1336" spans="1:10">
      <c r="A1336" s="41" t="s">
        <v>4973</v>
      </c>
      <c r="B1336" s="41" t="str">
        <f>_xlfn.TEXTAFTER(
 _xlfn.TEXTBEFORE(tblCostChecklist[[#This Row],[RequirementID]],".",-2),
 "cost."
)</f>
        <v>collection.attic@2</v>
      </c>
      <c r="C1336" s="41" t="str">
        <f>_xlfn.XLOOKUP(tblCostChecklist[[#This Row],[TargetID]],tblTargets[TargetID],tblTargets[DisplayName],"")</f>
        <v>Attic Lv 2</v>
      </c>
      <c r="D1336" s="41" t="str">
        <f>_xlfn.XLOOKUP(tblCostChecklist[[#This Row],[TargetID]],tblTargets[TargetID],tblTargets[TargetType],"")</f>
        <v>COLLECTION</v>
      </c>
      <c r="E1336" s="41" t="s">
        <v>694</v>
      </c>
      <c r="F1336" s="41">
        <v>1</v>
      </c>
      <c r="G1336" s="41">
        <f>_xlfn.XLOOKUP(
 tblCostChecklist[[#This Row],[RequirementID]],
 tblCost[RequirementID],
 tblCost[QuantityRequired],
 ""
)</f>
        <v>6</v>
      </c>
      <c r="H13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6" s="41" t="str">
        <f>_xlfn.XLOOKUP(tblCostChecklist[[#This Row],[TargetID]],tblTargetStatus[TargetID],tblTargetStatus[Status])</f>
        <v>BLOCKED</v>
      </c>
      <c r="J1336" s="25" t="b">
        <v>0</v>
      </c>
    </row>
    <row r="1337" spans="1:10">
      <c r="A1337" s="41" t="s">
        <v>4974</v>
      </c>
      <c r="B1337" s="41" t="str">
        <f>_xlfn.TEXTAFTER(
 _xlfn.TEXTBEFORE(tblCostChecklist[[#This Row],[RequirementID]],".",-2),
 "cost."
)</f>
        <v>collection.attic@2</v>
      </c>
      <c r="C1337" s="41" t="str">
        <f>_xlfn.XLOOKUP(tblCostChecklist[[#This Row],[TargetID]],tblTargets[TargetID],tblTargets[DisplayName],"")</f>
        <v>Attic Lv 2</v>
      </c>
      <c r="D1337" s="41" t="str">
        <f>_xlfn.XLOOKUP(tblCostChecklist[[#This Row],[TargetID]],tblTargets[TargetID],tblTargets[TargetType],"")</f>
        <v>COLLECTION</v>
      </c>
      <c r="E1337" s="41" t="s">
        <v>709</v>
      </c>
      <c r="F1337" s="41">
        <v>1</v>
      </c>
      <c r="G1337" s="41">
        <f>_xlfn.XLOOKUP(
 tblCostChecklist[[#This Row],[RequirementID]],
 tblCost[RequirementID],
 tblCost[QuantityRequired],
 ""
)</f>
        <v>6</v>
      </c>
      <c r="H13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7" s="41" t="str">
        <f>_xlfn.XLOOKUP(tblCostChecklist[[#This Row],[TargetID]],tblTargetStatus[TargetID],tblTargetStatus[Status])</f>
        <v>BLOCKED</v>
      </c>
      <c r="J1337" s="25" t="b">
        <v>0</v>
      </c>
    </row>
    <row r="1338" spans="1:10">
      <c r="A1338" s="41" t="s">
        <v>4975</v>
      </c>
      <c r="B1338" s="41" t="str">
        <f>_xlfn.TEXTAFTER(
 _xlfn.TEXTBEFORE(tblCostChecklist[[#This Row],[RequirementID]],".",-2),
 "cost."
)</f>
        <v>collection.attic@2</v>
      </c>
      <c r="C1338" s="41" t="str">
        <f>_xlfn.XLOOKUP(tblCostChecklist[[#This Row],[TargetID]],tblTargets[TargetID],tblTargets[DisplayName],"")</f>
        <v>Attic Lv 2</v>
      </c>
      <c r="D1338" s="41" t="str">
        <f>_xlfn.XLOOKUP(tblCostChecklist[[#This Row],[TargetID]],tblTargets[TargetID],tblTargets[TargetType],"")</f>
        <v>COLLECTION</v>
      </c>
      <c r="E1338" s="41" t="s">
        <v>1838</v>
      </c>
      <c r="F1338" s="41">
        <v>1</v>
      </c>
      <c r="G1338" s="41">
        <f>_xlfn.XLOOKUP(
 tblCostChecklist[[#This Row],[RequirementID]],
 tblCost[RequirementID],
 tblCost[QuantityRequired],
 ""
)</f>
        <v>40</v>
      </c>
      <c r="H13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8" s="41" t="str">
        <f>_xlfn.XLOOKUP(tblCostChecklist[[#This Row],[TargetID]],tblTargetStatus[TargetID],tblTargetStatus[Status])</f>
        <v>BLOCKED</v>
      </c>
      <c r="J1338" s="25" t="b">
        <v>0</v>
      </c>
    </row>
    <row r="1339" spans="1:10">
      <c r="A1339" s="41" t="s">
        <v>4976</v>
      </c>
      <c r="B1339" s="41" t="str">
        <f>_xlfn.TEXTAFTER(
 _xlfn.TEXTBEFORE(tblCostChecklist[[#This Row],[RequirementID]],".",-2),
 "cost."
)</f>
        <v>collection.attic@2</v>
      </c>
      <c r="C1339" s="41" t="str">
        <f>_xlfn.XLOOKUP(tblCostChecklist[[#This Row],[TargetID]],tblTargets[TargetID],tblTargets[DisplayName],"")</f>
        <v>Attic Lv 2</v>
      </c>
      <c r="D1339" s="41" t="str">
        <f>_xlfn.XLOOKUP(tblCostChecklist[[#This Row],[TargetID]],tblTargets[TargetID],tblTargets[TargetType],"")</f>
        <v>COLLECTION</v>
      </c>
      <c r="E1339" s="41" t="s">
        <v>1840</v>
      </c>
      <c r="F1339" s="41">
        <v>1</v>
      </c>
      <c r="G1339" s="41">
        <f>_xlfn.XLOOKUP(
 tblCostChecklist[[#This Row],[RequirementID]],
 tblCost[RequirementID],
 tblCost[QuantityRequired],
 ""
)</f>
        <v>40</v>
      </c>
      <c r="H13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9" s="41" t="str">
        <f>_xlfn.XLOOKUP(tblCostChecklist[[#This Row],[TargetID]],tblTargetStatus[TargetID],tblTargetStatus[Status])</f>
        <v>BLOCKED</v>
      </c>
      <c r="J1339" s="25" t="b">
        <v>0</v>
      </c>
    </row>
    <row r="1340" spans="1:10">
      <c r="A1340" s="41" t="s">
        <v>4977</v>
      </c>
      <c r="B1340" s="41" t="str">
        <f>_xlfn.TEXTAFTER(
 _xlfn.TEXTBEFORE(tblCostChecklist[[#This Row],[RequirementID]],".",-2),
 "cost."
)</f>
        <v>collection.attic@3</v>
      </c>
      <c r="C1340" s="41" t="str">
        <f>_xlfn.XLOOKUP(tblCostChecklist[[#This Row],[TargetID]],tblTargets[TargetID],tblTargets[DisplayName],"")</f>
        <v>Attic Lv 3</v>
      </c>
      <c r="D1340" s="41" t="str">
        <f>_xlfn.XLOOKUP(tblCostChecklist[[#This Row],[TargetID]],tblTargets[TargetID],tblTargets[TargetType],"")</f>
        <v>COLLECTION</v>
      </c>
      <c r="E1340" s="41" t="s">
        <v>668</v>
      </c>
      <c r="F1340" s="41">
        <v>1</v>
      </c>
      <c r="G1340" s="41">
        <f>_xlfn.XLOOKUP(
 tblCostChecklist[[#This Row],[RequirementID]],
 tblCost[RequirementID],
 tblCost[QuantityRequired],
 ""
)</f>
        <v>9</v>
      </c>
      <c r="H13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0" s="41" t="str">
        <f>_xlfn.XLOOKUP(tblCostChecklist[[#This Row],[TargetID]],tblTargetStatus[TargetID],tblTargetStatus[Status])</f>
        <v>BLOCKED</v>
      </c>
      <c r="J1340" s="25" t="b">
        <v>0</v>
      </c>
    </row>
    <row r="1341" spans="1:10">
      <c r="A1341" s="41" t="s">
        <v>4978</v>
      </c>
      <c r="B1341" s="41" t="str">
        <f>_xlfn.TEXTAFTER(
 _xlfn.TEXTBEFORE(tblCostChecklist[[#This Row],[RequirementID]],".",-2),
 "cost."
)</f>
        <v>collection.attic@3</v>
      </c>
      <c r="C1341" s="41" t="str">
        <f>_xlfn.XLOOKUP(tblCostChecklist[[#This Row],[TargetID]],tblTargets[TargetID],tblTargets[DisplayName],"")</f>
        <v>Attic Lv 3</v>
      </c>
      <c r="D1341" s="41" t="str">
        <f>_xlfn.XLOOKUP(tblCostChecklist[[#This Row],[TargetID]],tblTargets[TargetID],tblTargets[TargetType],"")</f>
        <v>COLLECTION</v>
      </c>
      <c r="E1341" s="41" t="s">
        <v>671</v>
      </c>
      <c r="F1341" s="41">
        <v>1</v>
      </c>
      <c r="G1341" s="41">
        <f>_xlfn.XLOOKUP(
 tblCostChecklist[[#This Row],[RequirementID]],
 tblCost[RequirementID],
 tblCost[QuantityRequired],
 ""
)</f>
        <v>60</v>
      </c>
      <c r="H13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1" s="41" t="str">
        <f>_xlfn.XLOOKUP(tblCostChecklist[[#This Row],[TargetID]],tblTargetStatus[TargetID],tblTargetStatus[Status])</f>
        <v>BLOCKED</v>
      </c>
      <c r="J1341" s="25" t="b">
        <v>0</v>
      </c>
    </row>
    <row r="1342" spans="1:10">
      <c r="A1342" s="41" t="s">
        <v>4979</v>
      </c>
      <c r="B1342" s="41" t="str">
        <f>_xlfn.TEXTAFTER(
 _xlfn.TEXTBEFORE(tblCostChecklist[[#This Row],[RequirementID]],".",-2),
 "cost."
)</f>
        <v>collection.attic@3</v>
      </c>
      <c r="C1342" s="41" t="str">
        <f>_xlfn.XLOOKUP(tblCostChecklist[[#This Row],[TargetID]],tblTargets[TargetID],tblTargets[DisplayName],"")</f>
        <v>Attic Lv 3</v>
      </c>
      <c r="D1342" s="41" t="str">
        <f>_xlfn.XLOOKUP(tblCostChecklist[[#This Row],[TargetID]],tblTargets[TargetID],tblTargets[TargetType],"")</f>
        <v>COLLECTION</v>
      </c>
      <c r="E1342" s="41" t="s">
        <v>1804</v>
      </c>
      <c r="F1342" s="41">
        <v>1</v>
      </c>
      <c r="G1342" s="41">
        <f>_xlfn.XLOOKUP(
 tblCostChecklist[[#This Row],[RequirementID]],
 tblCost[RequirementID],
 tblCost[QuantityRequired],
 ""
)</f>
        <v>9</v>
      </c>
      <c r="H13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2" s="41" t="str">
        <f>_xlfn.XLOOKUP(tblCostChecklist[[#This Row],[TargetID]],tblTargetStatus[TargetID],tblTargetStatus[Status])</f>
        <v>BLOCKED</v>
      </c>
      <c r="J1342" s="25" t="b">
        <v>0</v>
      </c>
    </row>
    <row r="1343" spans="1:10">
      <c r="A1343" s="41" t="s">
        <v>4980</v>
      </c>
      <c r="B1343" s="41" t="str">
        <f>_xlfn.TEXTAFTER(
 _xlfn.TEXTBEFORE(tblCostChecklist[[#This Row],[RequirementID]],".",-2),
 "cost."
)</f>
        <v>collection.attic@3</v>
      </c>
      <c r="C1343" s="41" t="str">
        <f>_xlfn.XLOOKUP(tblCostChecklist[[#This Row],[TargetID]],tblTargets[TargetID],tblTargets[DisplayName],"")</f>
        <v>Attic Lv 3</v>
      </c>
      <c r="D1343" s="41" t="str">
        <f>_xlfn.XLOOKUP(tblCostChecklist[[#This Row],[TargetID]],tblTargets[TargetID],tblTargets[TargetType],"")</f>
        <v>COLLECTION</v>
      </c>
      <c r="E1343" s="41" t="s">
        <v>681</v>
      </c>
      <c r="F1343" s="41">
        <v>1</v>
      </c>
      <c r="G1343" s="41">
        <f>_xlfn.XLOOKUP(
 tblCostChecklist[[#This Row],[RequirementID]],
 tblCost[RequirementID],
 tblCost[QuantityRequired],
 ""
)</f>
        <v>30</v>
      </c>
      <c r="H13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3" s="41" t="str">
        <f>_xlfn.XLOOKUP(tblCostChecklist[[#This Row],[TargetID]],tblTargetStatus[TargetID],tblTargetStatus[Status])</f>
        <v>BLOCKED</v>
      </c>
      <c r="J1343" s="25" t="b">
        <v>0</v>
      </c>
    </row>
    <row r="1344" spans="1:10">
      <c r="A1344" s="41" t="s">
        <v>4981</v>
      </c>
      <c r="B1344" s="41" t="str">
        <f>_xlfn.TEXTAFTER(
 _xlfn.TEXTBEFORE(tblCostChecklist[[#This Row],[RequirementID]],".",-2),
 "cost."
)</f>
        <v>collection.attic@3</v>
      </c>
      <c r="C1344" s="41" t="str">
        <f>_xlfn.XLOOKUP(tblCostChecklist[[#This Row],[TargetID]],tblTargets[TargetID],tblTargets[DisplayName],"")</f>
        <v>Attic Lv 3</v>
      </c>
      <c r="D1344" s="41" t="str">
        <f>_xlfn.XLOOKUP(tblCostChecklist[[#This Row],[TargetID]],tblTargets[TargetID],tblTargets[TargetType],"")</f>
        <v>COLLECTION</v>
      </c>
      <c r="E1344" s="41" t="s">
        <v>682</v>
      </c>
      <c r="F1344" s="41">
        <v>1</v>
      </c>
      <c r="G1344" s="41">
        <f>_xlfn.XLOOKUP(
 tblCostChecklist[[#This Row],[RequirementID]],
 tblCost[RequirementID],
 tblCost[QuantityRequired],
 ""
)</f>
        <v>9</v>
      </c>
      <c r="H13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4" s="41" t="str">
        <f>_xlfn.XLOOKUP(tblCostChecklist[[#This Row],[TargetID]],tblTargetStatus[TargetID],tblTargetStatus[Status])</f>
        <v>BLOCKED</v>
      </c>
      <c r="J1344" s="25" t="b">
        <v>0</v>
      </c>
    </row>
    <row r="1345" spans="1:10">
      <c r="A1345" s="41" t="s">
        <v>4982</v>
      </c>
      <c r="B1345" s="41" t="str">
        <f>_xlfn.TEXTAFTER(
 _xlfn.TEXTBEFORE(tblCostChecklist[[#This Row],[RequirementID]],".",-2),
 "cost."
)</f>
        <v>collection.attic@3</v>
      </c>
      <c r="C1345" s="41" t="str">
        <f>_xlfn.XLOOKUP(tblCostChecklist[[#This Row],[TargetID]],tblTargets[TargetID],tblTargets[DisplayName],"")</f>
        <v>Attic Lv 3</v>
      </c>
      <c r="D1345" s="41" t="str">
        <f>_xlfn.XLOOKUP(tblCostChecklist[[#This Row],[TargetID]],tblTargets[TargetID],tblTargets[TargetType],"")</f>
        <v>COLLECTION</v>
      </c>
      <c r="E1345" s="41" t="s">
        <v>694</v>
      </c>
      <c r="F1345" s="41">
        <v>1</v>
      </c>
      <c r="G1345" s="41">
        <f>_xlfn.XLOOKUP(
 tblCostChecklist[[#This Row],[RequirementID]],
 tblCost[RequirementID],
 tblCost[QuantityRequired],
 ""
)</f>
        <v>9</v>
      </c>
      <c r="H13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5" s="41" t="str">
        <f>_xlfn.XLOOKUP(tblCostChecklist[[#This Row],[TargetID]],tblTargetStatus[TargetID],tblTargetStatus[Status])</f>
        <v>BLOCKED</v>
      </c>
      <c r="J1345" s="25" t="b">
        <v>0</v>
      </c>
    </row>
    <row r="1346" spans="1:10">
      <c r="A1346" s="41" t="s">
        <v>4983</v>
      </c>
      <c r="B1346" s="41" t="str">
        <f>_xlfn.TEXTAFTER(
 _xlfn.TEXTBEFORE(tblCostChecklist[[#This Row],[RequirementID]],".",-2),
 "cost."
)</f>
        <v>collection.attic@3</v>
      </c>
      <c r="C1346" s="41" t="str">
        <f>_xlfn.XLOOKUP(tblCostChecklist[[#This Row],[TargetID]],tblTargets[TargetID],tblTargets[DisplayName],"")</f>
        <v>Attic Lv 3</v>
      </c>
      <c r="D1346" s="41" t="str">
        <f>_xlfn.XLOOKUP(tblCostChecklist[[#This Row],[TargetID]],tblTargets[TargetID],tblTargets[TargetType],"")</f>
        <v>COLLECTION</v>
      </c>
      <c r="E1346" s="41" t="s">
        <v>709</v>
      </c>
      <c r="F1346" s="41">
        <v>1</v>
      </c>
      <c r="G1346" s="41">
        <f>_xlfn.XLOOKUP(
 tblCostChecklist[[#This Row],[RequirementID]],
 tblCost[RequirementID],
 tblCost[QuantityRequired],
 ""
)</f>
        <v>9</v>
      </c>
      <c r="H13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6" s="41" t="str">
        <f>_xlfn.XLOOKUP(tblCostChecklist[[#This Row],[TargetID]],tblTargetStatus[TargetID],tblTargetStatus[Status])</f>
        <v>BLOCKED</v>
      </c>
      <c r="J1346" s="25" t="b">
        <v>0</v>
      </c>
    </row>
    <row r="1347" spans="1:10">
      <c r="A1347" s="41" t="s">
        <v>4984</v>
      </c>
      <c r="B1347" s="41" t="str">
        <f>_xlfn.TEXTAFTER(
 _xlfn.TEXTBEFORE(tblCostChecklist[[#This Row],[RequirementID]],".",-2),
 "cost."
)</f>
        <v>collection.attic@3</v>
      </c>
      <c r="C1347" s="41" t="str">
        <f>_xlfn.XLOOKUP(tblCostChecklist[[#This Row],[TargetID]],tblTargets[TargetID],tblTargets[DisplayName],"")</f>
        <v>Attic Lv 3</v>
      </c>
      <c r="D1347" s="41" t="str">
        <f>_xlfn.XLOOKUP(tblCostChecklist[[#This Row],[TargetID]],tblTargets[TargetID],tblTargets[TargetType],"")</f>
        <v>COLLECTION</v>
      </c>
      <c r="E1347" s="41" t="s">
        <v>1838</v>
      </c>
      <c r="F1347" s="41">
        <v>1</v>
      </c>
      <c r="G1347" s="41">
        <f>_xlfn.XLOOKUP(
 tblCostChecklist[[#This Row],[RequirementID]],
 tblCost[RequirementID],
 tblCost[QuantityRequired],
 ""
)</f>
        <v>60</v>
      </c>
      <c r="H13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7" s="41" t="str">
        <f>_xlfn.XLOOKUP(tblCostChecklist[[#This Row],[TargetID]],tblTargetStatus[TargetID],tblTargetStatus[Status])</f>
        <v>BLOCKED</v>
      </c>
      <c r="J1347" s="25" t="b">
        <v>0</v>
      </c>
    </row>
    <row r="1348" spans="1:10">
      <c r="A1348" s="41" t="s">
        <v>4985</v>
      </c>
      <c r="B1348" s="41" t="str">
        <f>_xlfn.TEXTAFTER(
 _xlfn.TEXTBEFORE(tblCostChecklist[[#This Row],[RequirementID]],".",-2),
 "cost."
)</f>
        <v>collection.attic@3</v>
      </c>
      <c r="C1348" s="41" t="str">
        <f>_xlfn.XLOOKUP(tblCostChecklist[[#This Row],[TargetID]],tblTargets[TargetID],tblTargets[DisplayName],"")</f>
        <v>Attic Lv 3</v>
      </c>
      <c r="D1348" s="41" t="str">
        <f>_xlfn.XLOOKUP(tblCostChecklist[[#This Row],[TargetID]],tblTargets[TargetID],tblTargets[TargetType],"")</f>
        <v>COLLECTION</v>
      </c>
      <c r="E1348" s="41" t="s">
        <v>1840</v>
      </c>
      <c r="F1348" s="41">
        <v>1</v>
      </c>
      <c r="G1348" s="41">
        <f>_xlfn.XLOOKUP(
 tblCostChecklist[[#This Row],[RequirementID]],
 tblCost[RequirementID],
 tblCost[QuantityRequired],
 ""
)</f>
        <v>60</v>
      </c>
      <c r="H13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8" s="41" t="str">
        <f>_xlfn.XLOOKUP(tblCostChecklist[[#This Row],[TargetID]],tblTargetStatus[TargetID],tblTargetStatus[Status])</f>
        <v>BLOCKED</v>
      </c>
      <c r="J1348" s="25" t="b">
        <v>0</v>
      </c>
    </row>
    <row r="1349" spans="1:10">
      <c r="A1349" s="41" t="s">
        <v>4986</v>
      </c>
      <c r="B1349" s="41" t="str">
        <f>_xlfn.TEXTAFTER(
 _xlfn.TEXTBEFORE(tblCostChecklist[[#This Row],[RequirementID]],".",-2),
 "cost."
)</f>
        <v>collection.attic@4</v>
      </c>
      <c r="C1349" s="41" t="str">
        <f>_xlfn.XLOOKUP(tblCostChecklist[[#This Row],[TargetID]],tblTargets[TargetID],tblTargets[DisplayName],"")</f>
        <v>Attic Lv 4</v>
      </c>
      <c r="D1349" s="41" t="str">
        <f>_xlfn.XLOOKUP(tblCostChecklist[[#This Row],[TargetID]],tblTargets[TargetID],tblTargets[TargetType],"")</f>
        <v>COLLECTION</v>
      </c>
      <c r="E1349" s="41" t="s">
        <v>668</v>
      </c>
      <c r="F1349" s="41">
        <v>1</v>
      </c>
      <c r="G1349" s="41">
        <f>_xlfn.XLOOKUP(
 tblCostChecklist[[#This Row],[RequirementID]],
 tblCost[RequirementID],
 tblCost[QuantityRequired],
 ""
)</f>
        <v>12</v>
      </c>
      <c r="H13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9" s="41" t="str">
        <f>_xlfn.XLOOKUP(tblCostChecklist[[#This Row],[TargetID]],tblTargetStatus[TargetID],tblTargetStatus[Status])</f>
        <v>BLOCKED</v>
      </c>
      <c r="J1349" s="25" t="b">
        <v>0</v>
      </c>
    </row>
    <row r="1350" spans="1:10">
      <c r="A1350" s="41" t="s">
        <v>4987</v>
      </c>
      <c r="B1350" s="41" t="str">
        <f>_xlfn.TEXTAFTER(
 _xlfn.TEXTBEFORE(tblCostChecklist[[#This Row],[RequirementID]],".",-2),
 "cost."
)</f>
        <v>collection.attic@4</v>
      </c>
      <c r="C1350" s="41" t="str">
        <f>_xlfn.XLOOKUP(tblCostChecklist[[#This Row],[TargetID]],tblTargets[TargetID],tblTargets[DisplayName],"")</f>
        <v>Attic Lv 4</v>
      </c>
      <c r="D1350" s="41" t="str">
        <f>_xlfn.XLOOKUP(tblCostChecklist[[#This Row],[TargetID]],tblTargets[TargetID],tblTargets[TargetType],"")</f>
        <v>COLLECTION</v>
      </c>
      <c r="E1350" s="41" t="s">
        <v>671</v>
      </c>
      <c r="F1350" s="41">
        <v>1</v>
      </c>
      <c r="G1350" s="41">
        <f>_xlfn.XLOOKUP(
 tblCostChecklist[[#This Row],[RequirementID]],
 tblCost[RequirementID],
 tblCost[QuantityRequired],
 ""
)</f>
        <v>80</v>
      </c>
      <c r="H13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0" s="41" t="str">
        <f>_xlfn.XLOOKUP(tblCostChecklist[[#This Row],[TargetID]],tblTargetStatus[TargetID],tblTargetStatus[Status])</f>
        <v>BLOCKED</v>
      </c>
      <c r="J1350" s="25" t="b">
        <v>0</v>
      </c>
    </row>
    <row r="1351" spans="1:10">
      <c r="A1351" s="41" t="s">
        <v>4988</v>
      </c>
      <c r="B1351" s="41" t="str">
        <f>_xlfn.TEXTAFTER(
 _xlfn.TEXTBEFORE(tblCostChecklist[[#This Row],[RequirementID]],".",-2),
 "cost."
)</f>
        <v>collection.attic@4</v>
      </c>
      <c r="C1351" s="41" t="str">
        <f>_xlfn.XLOOKUP(tblCostChecklist[[#This Row],[TargetID]],tblTargets[TargetID],tblTargets[DisplayName],"")</f>
        <v>Attic Lv 4</v>
      </c>
      <c r="D1351" s="41" t="str">
        <f>_xlfn.XLOOKUP(tblCostChecklist[[#This Row],[TargetID]],tblTargets[TargetID],tblTargets[TargetType],"")</f>
        <v>COLLECTION</v>
      </c>
      <c r="E1351" s="41" t="s">
        <v>1804</v>
      </c>
      <c r="F1351" s="41">
        <v>1</v>
      </c>
      <c r="G1351" s="41">
        <f>_xlfn.XLOOKUP(
 tblCostChecklist[[#This Row],[RequirementID]],
 tblCost[RequirementID],
 tblCost[QuantityRequired],
 ""
)</f>
        <v>12</v>
      </c>
      <c r="H13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1" s="41" t="str">
        <f>_xlfn.XLOOKUP(tblCostChecklist[[#This Row],[TargetID]],tblTargetStatus[TargetID],tblTargetStatus[Status])</f>
        <v>BLOCKED</v>
      </c>
      <c r="J1351" s="25" t="b">
        <v>0</v>
      </c>
    </row>
    <row r="1352" spans="1:10">
      <c r="A1352" s="41" t="s">
        <v>4989</v>
      </c>
      <c r="B1352" s="41" t="str">
        <f>_xlfn.TEXTAFTER(
 _xlfn.TEXTBEFORE(tblCostChecklist[[#This Row],[RequirementID]],".",-2),
 "cost."
)</f>
        <v>collection.attic@4</v>
      </c>
      <c r="C1352" s="41" t="str">
        <f>_xlfn.XLOOKUP(tblCostChecklist[[#This Row],[TargetID]],tblTargets[TargetID],tblTargets[DisplayName],"")</f>
        <v>Attic Lv 4</v>
      </c>
      <c r="D1352" s="41" t="str">
        <f>_xlfn.XLOOKUP(tblCostChecklist[[#This Row],[TargetID]],tblTargets[TargetID],tblTargets[TargetType],"")</f>
        <v>COLLECTION</v>
      </c>
      <c r="E1352" s="41" t="s">
        <v>681</v>
      </c>
      <c r="F1352" s="41">
        <v>1</v>
      </c>
      <c r="G1352" s="41">
        <f>_xlfn.XLOOKUP(
 tblCostChecklist[[#This Row],[RequirementID]],
 tblCost[RequirementID],
 tblCost[QuantityRequired],
 ""
)</f>
        <v>40</v>
      </c>
      <c r="H13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2" s="41" t="str">
        <f>_xlfn.XLOOKUP(tblCostChecklist[[#This Row],[TargetID]],tblTargetStatus[TargetID],tblTargetStatus[Status])</f>
        <v>BLOCKED</v>
      </c>
      <c r="J1352" s="25" t="b">
        <v>0</v>
      </c>
    </row>
    <row r="1353" spans="1:10">
      <c r="A1353" s="41" t="s">
        <v>4990</v>
      </c>
      <c r="B1353" s="41" t="str">
        <f>_xlfn.TEXTAFTER(
 _xlfn.TEXTBEFORE(tblCostChecklist[[#This Row],[RequirementID]],".",-2),
 "cost."
)</f>
        <v>collection.attic@4</v>
      </c>
      <c r="C1353" s="41" t="str">
        <f>_xlfn.XLOOKUP(tblCostChecklist[[#This Row],[TargetID]],tblTargets[TargetID],tblTargets[DisplayName],"")</f>
        <v>Attic Lv 4</v>
      </c>
      <c r="D1353" s="41" t="str">
        <f>_xlfn.XLOOKUP(tblCostChecklist[[#This Row],[TargetID]],tblTargets[TargetID],tblTargets[TargetType],"")</f>
        <v>COLLECTION</v>
      </c>
      <c r="E1353" s="41" t="s">
        <v>682</v>
      </c>
      <c r="F1353" s="41">
        <v>1</v>
      </c>
      <c r="G1353" s="41">
        <f>_xlfn.XLOOKUP(
 tblCostChecklist[[#This Row],[RequirementID]],
 tblCost[RequirementID],
 tblCost[QuantityRequired],
 ""
)</f>
        <v>12</v>
      </c>
      <c r="H13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3" s="41" t="str">
        <f>_xlfn.XLOOKUP(tblCostChecklist[[#This Row],[TargetID]],tblTargetStatus[TargetID],tblTargetStatus[Status])</f>
        <v>BLOCKED</v>
      </c>
      <c r="J1353" s="25" t="b">
        <v>0</v>
      </c>
    </row>
    <row r="1354" spans="1:10">
      <c r="A1354" s="41" t="s">
        <v>4991</v>
      </c>
      <c r="B1354" s="41" t="str">
        <f>_xlfn.TEXTAFTER(
 _xlfn.TEXTBEFORE(tblCostChecklist[[#This Row],[RequirementID]],".",-2),
 "cost."
)</f>
        <v>collection.attic@4</v>
      </c>
      <c r="C1354" s="41" t="str">
        <f>_xlfn.XLOOKUP(tblCostChecklist[[#This Row],[TargetID]],tblTargets[TargetID],tblTargets[DisplayName],"")</f>
        <v>Attic Lv 4</v>
      </c>
      <c r="D1354" s="41" t="str">
        <f>_xlfn.XLOOKUP(tblCostChecklist[[#This Row],[TargetID]],tblTargets[TargetID],tblTargets[TargetType],"")</f>
        <v>COLLECTION</v>
      </c>
      <c r="E1354" s="41" t="s">
        <v>694</v>
      </c>
      <c r="F1354" s="41">
        <v>1</v>
      </c>
      <c r="G1354" s="41">
        <f>_xlfn.XLOOKUP(
 tblCostChecklist[[#This Row],[RequirementID]],
 tblCost[RequirementID],
 tblCost[QuantityRequired],
 ""
)</f>
        <v>12</v>
      </c>
      <c r="H13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4" s="41" t="str">
        <f>_xlfn.XLOOKUP(tblCostChecklist[[#This Row],[TargetID]],tblTargetStatus[TargetID],tblTargetStatus[Status])</f>
        <v>BLOCKED</v>
      </c>
      <c r="J1354" s="25" t="b">
        <v>0</v>
      </c>
    </row>
    <row r="1355" spans="1:10">
      <c r="A1355" s="41" t="s">
        <v>4992</v>
      </c>
      <c r="B1355" s="41" t="str">
        <f>_xlfn.TEXTAFTER(
 _xlfn.TEXTBEFORE(tblCostChecklist[[#This Row],[RequirementID]],".",-2),
 "cost."
)</f>
        <v>collection.attic@4</v>
      </c>
      <c r="C1355" s="41" t="str">
        <f>_xlfn.XLOOKUP(tblCostChecklist[[#This Row],[TargetID]],tblTargets[TargetID],tblTargets[DisplayName],"")</f>
        <v>Attic Lv 4</v>
      </c>
      <c r="D1355" s="41" t="str">
        <f>_xlfn.XLOOKUP(tblCostChecklist[[#This Row],[TargetID]],tblTargets[TargetID],tblTargets[TargetType],"")</f>
        <v>COLLECTION</v>
      </c>
      <c r="E1355" s="41" t="s">
        <v>709</v>
      </c>
      <c r="F1355" s="41">
        <v>1</v>
      </c>
      <c r="G1355" s="41">
        <f>_xlfn.XLOOKUP(
 tblCostChecklist[[#This Row],[RequirementID]],
 tblCost[RequirementID],
 tblCost[QuantityRequired],
 ""
)</f>
        <v>12</v>
      </c>
      <c r="H13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5" s="41" t="str">
        <f>_xlfn.XLOOKUP(tblCostChecklist[[#This Row],[TargetID]],tblTargetStatus[TargetID],tblTargetStatus[Status])</f>
        <v>BLOCKED</v>
      </c>
      <c r="J1355" s="25" t="b">
        <v>0</v>
      </c>
    </row>
    <row r="1356" spans="1:10">
      <c r="A1356" s="41" t="s">
        <v>4993</v>
      </c>
      <c r="B1356" s="41" t="str">
        <f>_xlfn.TEXTAFTER(
 _xlfn.TEXTBEFORE(tblCostChecklist[[#This Row],[RequirementID]],".",-2),
 "cost."
)</f>
        <v>collection.attic@4</v>
      </c>
      <c r="C1356" s="41" t="str">
        <f>_xlfn.XLOOKUP(tblCostChecklist[[#This Row],[TargetID]],tblTargets[TargetID],tblTargets[DisplayName],"")</f>
        <v>Attic Lv 4</v>
      </c>
      <c r="D1356" s="41" t="str">
        <f>_xlfn.XLOOKUP(tblCostChecklist[[#This Row],[TargetID]],tblTargets[TargetID],tblTargets[TargetType],"")</f>
        <v>COLLECTION</v>
      </c>
      <c r="E1356" s="41" t="s">
        <v>1838</v>
      </c>
      <c r="F1356" s="41">
        <v>1</v>
      </c>
      <c r="G1356" s="41">
        <f>_xlfn.XLOOKUP(
 tblCostChecklist[[#This Row],[RequirementID]],
 tblCost[RequirementID],
 tblCost[QuantityRequired],
 ""
)</f>
        <v>80</v>
      </c>
      <c r="H13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6" s="41" t="str">
        <f>_xlfn.XLOOKUP(tblCostChecklist[[#This Row],[TargetID]],tblTargetStatus[TargetID],tblTargetStatus[Status])</f>
        <v>BLOCKED</v>
      </c>
      <c r="J1356" s="25" t="b">
        <v>0</v>
      </c>
    </row>
    <row r="1357" spans="1:10">
      <c r="A1357" s="41" t="s">
        <v>4994</v>
      </c>
      <c r="B1357" s="41" t="str">
        <f>_xlfn.TEXTAFTER(
 _xlfn.TEXTBEFORE(tblCostChecklist[[#This Row],[RequirementID]],".",-2),
 "cost."
)</f>
        <v>collection.attic@4</v>
      </c>
      <c r="C1357" s="41" t="str">
        <f>_xlfn.XLOOKUP(tblCostChecklist[[#This Row],[TargetID]],tblTargets[TargetID],tblTargets[DisplayName],"")</f>
        <v>Attic Lv 4</v>
      </c>
      <c r="D1357" s="41" t="str">
        <f>_xlfn.XLOOKUP(tblCostChecklist[[#This Row],[TargetID]],tblTargets[TargetID],tblTargets[TargetType],"")</f>
        <v>COLLECTION</v>
      </c>
      <c r="E1357" s="41" t="s">
        <v>1840</v>
      </c>
      <c r="F1357" s="41">
        <v>1</v>
      </c>
      <c r="G1357" s="41">
        <f>_xlfn.XLOOKUP(
 tblCostChecklist[[#This Row],[RequirementID]],
 tblCost[RequirementID],
 tblCost[QuantityRequired],
 ""
)</f>
        <v>80</v>
      </c>
      <c r="H13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7" s="41" t="str">
        <f>_xlfn.XLOOKUP(tblCostChecklist[[#This Row],[TargetID]],tblTargetStatus[TargetID],tblTargetStatus[Status])</f>
        <v>BLOCKED</v>
      </c>
      <c r="J1357" s="25" t="b">
        <v>0</v>
      </c>
    </row>
    <row r="1358" spans="1:10">
      <c r="A1358" s="41" t="s">
        <v>4995</v>
      </c>
      <c r="B1358" s="41" t="str">
        <f>_xlfn.TEXTAFTER(
 _xlfn.TEXTBEFORE(tblCostChecklist[[#This Row],[RequirementID]],".",-2),
 "cost."
)</f>
        <v>collection.attic@5</v>
      </c>
      <c r="C1358" s="41" t="str">
        <f>_xlfn.XLOOKUP(tblCostChecklist[[#This Row],[TargetID]],tblTargets[TargetID],tblTargets[DisplayName],"")</f>
        <v>Attic Lv 5</v>
      </c>
      <c r="D1358" s="41" t="str">
        <f>_xlfn.XLOOKUP(tblCostChecklist[[#This Row],[TargetID]],tblTargets[TargetID],tblTargets[TargetType],"")</f>
        <v>COLLECTION</v>
      </c>
      <c r="E1358" s="41" t="s">
        <v>668</v>
      </c>
      <c r="F1358" s="41">
        <v>1</v>
      </c>
      <c r="G1358" s="41">
        <f>_xlfn.XLOOKUP(
 tblCostChecklist[[#This Row],[RequirementID]],
 tblCost[RequirementID],
 tblCost[QuantityRequired],
 ""
)</f>
        <v>15</v>
      </c>
      <c r="H13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8" s="41" t="str">
        <f>_xlfn.XLOOKUP(tblCostChecklist[[#This Row],[TargetID]],tblTargetStatus[TargetID],tblTargetStatus[Status])</f>
        <v>BLOCKED</v>
      </c>
      <c r="J1358" s="25" t="b">
        <v>0</v>
      </c>
    </row>
    <row r="1359" spans="1:10">
      <c r="A1359" s="41" t="s">
        <v>4996</v>
      </c>
      <c r="B1359" s="41" t="str">
        <f>_xlfn.TEXTAFTER(
 _xlfn.TEXTBEFORE(tblCostChecklist[[#This Row],[RequirementID]],".",-2),
 "cost."
)</f>
        <v>collection.attic@5</v>
      </c>
      <c r="C1359" s="41" t="str">
        <f>_xlfn.XLOOKUP(tblCostChecklist[[#This Row],[TargetID]],tblTargets[TargetID],tblTargets[DisplayName],"")</f>
        <v>Attic Lv 5</v>
      </c>
      <c r="D1359" s="41" t="str">
        <f>_xlfn.XLOOKUP(tblCostChecklist[[#This Row],[TargetID]],tblTargets[TargetID],tblTargets[TargetType],"")</f>
        <v>COLLECTION</v>
      </c>
      <c r="E1359" s="41" t="s">
        <v>671</v>
      </c>
      <c r="F1359" s="41">
        <v>1</v>
      </c>
      <c r="G1359" s="41">
        <f>_xlfn.XLOOKUP(
 tblCostChecklist[[#This Row],[RequirementID]],
 tblCost[RequirementID],
 tblCost[QuantityRequired],
 ""
)</f>
        <v>100</v>
      </c>
      <c r="H13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9" s="41" t="str">
        <f>_xlfn.XLOOKUP(tblCostChecklist[[#This Row],[TargetID]],tblTargetStatus[TargetID],tblTargetStatus[Status])</f>
        <v>BLOCKED</v>
      </c>
      <c r="J1359" s="25" t="b">
        <v>0</v>
      </c>
    </row>
    <row r="1360" spans="1:10">
      <c r="A1360" s="41" t="s">
        <v>4997</v>
      </c>
      <c r="B1360" s="41" t="str">
        <f>_xlfn.TEXTAFTER(
 _xlfn.TEXTBEFORE(tblCostChecklist[[#This Row],[RequirementID]],".",-2),
 "cost."
)</f>
        <v>collection.attic@5</v>
      </c>
      <c r="C1360" s="41" t="str">
        <f>_xlfn.XLOOKUP(tblCostChecklist[[#This Row],[TargetID]],tblTargets[TargetID],tblTargets[DisplayName],"")</f>
        <v>Attic Lv 5</v>
      </c>
      <c r="D1360" s="41" t="str">
        <f>_xlfn.XLOOKUP(tblCostChecklist[[#This Row],[TargetID]],tblTargets[TargetID],tblTargets[TargetType],"")</f>
        <v>COLLECTION</v>
      </c>
      <c r="E1360" s="41" t="s">
        <v>1804</v>
      </c>
      <c r="F1360" s="41">
        <v>1</v>
      </c>
      <c r="G1360" s="41">
        <f>_xlfn.XLOOKUP(
 tblCostChecklist[[#This Row],[RequirementID]],
 tblCost[RequirementID],
 tblCost[QuantityRequired],
 ""
)</f>
        <v>15</v>
      </c>
      <c r="H13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0" s="41" t="str">
        <f>_xlfn.XLOOKUP(tblCostChecklist[[#This Row],[TargetID]],tblTargetStatus[TargetID],tblTargetStatus[Status])</f>
        <v>BLOCKED</v>
      </c>
      <c r="J1360" s="25" t="b">
        <v>0</v>
      </c>
    </row>
    <row r="1361" spans="1:10">
      <c r="A1361" s="41" t="s">
        <v>4998</v>
      </c>
      <c r="B1361" s="41" t="str">
        <f>_xlfn.TEXTAFTER(
 _xlfn.TEXTBEFORE(tblCostChecklist[[#This Row],[RequirementID]],".",-2),
 "cost."
)</f>
        <v>collection.attic@5</v>
      </c>
      <c r="C1361" s="41" t="str">
        <f>_xlfn.XLOOKUP(tblCostChecklist[[#This Row],[TargetID]],tblTargets[TargetID],tblTargets[DisplayName],"")</f>
        <v>Attic Lv 5</v>
      </c>
      <c r="D1361" s="41" t="str">
        <f>_xlfn.XLOOKUP(tblCostChecklist[[#This Row],[TargetID]],tblTargets[TargetID],tblTargets[TargetType],"")</f>
        <v>COLLECTION</v>
      </c>
      <c r="E1361" s="41" t="s">
        <v>681</v>
      </c>
      <c r="F1361" s="41">
        <v>1</v>
      </c>
      <c r="G1361" s="41">
        <f>_xlfn.XLOOKUP(
 tblCostChecklist[[#This Row],[RequirementID]],
 tblCost[RequirementID],
 tblCost[QuantityRequired],
 ""
)</f>
        <v>50</v>
      </c>
      <c r="H13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1" s="41" t="str">
        <f>_xlfn.XLOOKUP(tblCostChecklist[[#This Row],[TargetID]],tblTargetStatus[TargetID],tblTargetStatus[Status])</f>
        <v>BLOCKED</v>
      </c>
      <c r="J1361" s="25" t="b">
        <v>0</v>
      </c>
    </row>
    <row r="1362" spans="1:10">
      <c r="A1362" s="41" t="s">
        <v>4999</v>
      </c>
      <c r="B1362" s="41" t="str">
        <f>_xlfn.TEXTAFTER(
 _xlfn.TEXTBEFORE(tblCostChecklist[[#This Row],[RequirementID]],".",-2),
 "cost."
)</f>
        <v>collection.attic@5</v>
      </c>
      <c r="C1362" s="41" t="str">
        <f>_xlfn.XLOOKUP(tblCostChecklist[[#This Row],[TargetID]],tblTargets[TargetID],tblTargets[DisplayName],"")</f>
        <v>Attic Lv 5</v>
      </c>
      <c r="D1362" s="41" t="str">
        <f>_xlfn.XLOOKUP(tblCostChecklist[[#This Row],[TargetID]],tblTargets[TargetID],tblTargets[TargetType],"")</f>
        <v>COLLECTION</v>
      </c>
      <c r="E1362" s="41" t="s">
        <v>682</v>
      </c>
      <c r="F1362" s="41">
        <v>1</v>
      </c>
      <c r="G1362" s="41">
        <f>_xlfn.XLOOKUP(
 tblCostChecklist[[#This Row],[RequirementID]],
 tblCost[RequirementID],
 tblCost[QuantityRequired],
 ""
)</f>
        <v>15</v>
      </c>
      <c r="H13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2" s="41" t="str">
        <f>_xlfn.XLOOKUP(tblCostChecklist[[#This Row],[TargetID]],tblTargetStatus[TargetID],tblTargetStatus[Status])</f>
        <v>BLOCKED</v>
      </c>
      <c r="J1362" s="25" t="b">
        <v>0</v>
      </c>
    </row>
    <row r="1363" spans="1:10">
      <c r="A1363" s="41" t="s">
        <v>5000</v>
      </c>
      <c r="B1363" s="41" t="str">
        <f>_xlfn.TEXTAFTER(
 _xlfn.TEXTBEFORE(tblCostChecklist[[#This Row],[RequirementID]],".",-2),
 "cost."
)</f>
        <v>collection.attic@5</v>
      </c>
      <c r="C1363" s="41" t="str">
        <f>_xlfn.XLOOKUP(tblCostChecklist[[#This Row],[TargetID]],tblTargets[TargetID],tblTargets[DisplayName],"")</f>
        <v>Attic Lv 5</v>
      </c>
      <c r="D1363" s="41" t="str">
        <f>_xlfn.XLOOKUP(tblCostChecklist[[#This Row],[TargetID]],tblTargets[TargetID],tblTargets[TargetType],"")</f>
        <v>COLLECTION</v>
      </c>
      <c r="E1363" s="41" t="s">
        <v>694</v>
      </c>
      <c r="F1363" s="41">
        <v>1</v>
      </c>
      <c r="G1363" s="41">
        <f>_xlfn.XLOOKUP(
 tblCostChecklist[[#This Row],[RequirementID]],
 tblCost[RequirementID],
 tblCost[QuantityRequired],
 ""
)</f>
        <v>15</v>
      </c>
      <c r="H13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3" s="41" t="str">
        <f>_xlfn.XLOOKUP(tblCostChecklist[[#This Row],[TargetID]],tblTargetStatus[TargetID],tblTargetStatus[Status])</f>
        <v>BLOCKED</v>
      </c>
      <c r="J1363" s="25" t="b">
        <v>0</v>
      </c>
    </row>
    <row r="1364" spans="1:10">
      <c r="A1364" s="41" t="s">
        <v>5001</v>
      </c>
      <c r="B1364" s="41" t="str">
        <f>_xlfn.TEXTAFTER(
 _xlfn.TEXTBEFORE(tblCostChecklist[[#This Row],[RequirementID]],".",-2),
 "cost."
)</f>
        <v>collection.attic@5</v>
      </c>
      <c r="C1364" s="41" t="str">
        <f>_xlfn.XLOOKUP(tblCostChecklist[[#This Row],[TargetID]],tblTargets[TargetID],tblTargets[DisplayName],"")</f>
        <v>Attic Lv 5</v>
      </c>
      <c r="D1364" s="41" t="str">
        <f>_xlfn.XLOOKUP(tblCostChecklist[[#This Row],[TargetID]],tblTargets[TargetID],tblTargets[TargetType],"")</f>
        <v>COLLECTION</v>
      </c>
      <c r="E1364" s="41" t="s">
        <v>709</v>
      </c>
      <c r="F1364" s="41">
        <v>1</v>
      </c>
      <c r="G1364" s="41">
        <f>_xlfn.XLOOKUP(
 tblCostChecklist[[#This Row],[RequirementID]],
 tblCost[RequirementID],
 tblCost[QuantityRequired],
 ""
)</f>
        <v>15</v>
      </c>
      <c r="H13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4" s="41" t="str">
        <f>_xlfn.XLOOKUP(tblCostChecklist[[#This Row],[TargetID]],tblTargetStatus[TargetID],tblTargetStatus[Status])</f>
        <v>BLOCKED</v>
      </c>
      <c r="J1364" s="25" t="b">
        <v>0</v>
      </c>
    </row>
    <row r="1365" spans="1:10">
      <c r="A1365" s="41" t="s">
        <v>5002</v>
      </c>
      <c r="B1365" s="41" t="str">
        <f>_xlfn.TEXTAFTER(
 _xlfn.TEXTBEFORE(tblCostChecklist[[#This Row],[RequirementID]],".",-2),
 "cost."
)</f>
        <v>collection.attic@5</v>
      </c>
      <c r="C1365" s="41" t="str">
        <f>_xlfn.XLOOKUP(tblCostChecklist[[#This Row],[TargetID]],tblTargets[TargetID],tblTargets[DisplayName],"")</f>
        <v>Attic Lv 5</v>
      </c>
      <c r="D1365" s="41" t="str">
        <f>_xlfn.XLOOKUP(tblCostChecklist[[#This Row],[TargetID]],tblTargets[TargetID],tblTargets[TargetType],"")</f>
        <v>COLLECTION</v>
      </c>
      <c r="E1365" s="41" t="s">
        <v>1838</v>
      </c>
      <c r="F1365" s="41">
        <v>1</v>
      </c>
      <c r="G1365" s="41">
        <f>_xlfn.XLOOKUP(
 tblCostChecklist[[#This Row],[RequirementID]],
 tblCost[RequirementID],
 tblCost[QuantityRequired],
 ""
)</f>
        <v>100</v>
      </c>
      <c r="H13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5" s="41" t="str">
        <f>_xlfn.XLOOKUP(tblCostChecklist[[#This Row],[TargetID]],tblTargetStatus[TargetID],tblTargetStatus[Status])</f>
        <v>BLOCKED</v>
      </c>
      <c r="J1365" s="25" t="b">
        <v>0</v>
      </c>
    </row>
    <row r="1366" spans="1:10">
      <c r="A1366" s="41" t="s">
        <v>5003</v>
      </c>
      <c r="B1366" s="41" t="str">
        <f>_xlfn.TEXTAFTER(
 _xlfn.TEXTBEFORE(tblCostChecklist[[#This Row],[RequirementID]],".",-2),
 "cost."
)</f>
        <v>collection.attic@5</v>
      </c>
      <c r="C1366" s="41" t="str">
        <f>_xlfn.XLOOKUP(tblCostChecklist[[#This Row],[TargetID]],tblTargets[TargetID],tblTargets[DisplayName],"")</f>
        <v>Attic Lv 5</v>
      </c>
      <c r="D1366" s="41" t="str">
        <f>_xlfn.XLOOKUP(tblCostChecklist[[#This Row],[TargetID]],tblTargets[TargetID],tblTargets[TargetType],"")</f>
        <v>COLLECTION</v>
      </c>
      <c r="E1366" s="41" t="s">
        <v>1840</v>
      </c>
      <c r="F1366" s="41">
        <v>1</v>
      </c>
      <c r="G1366" s="41">
        <f>_xlfn.XLOOKUP(
 tblCostChecklist[[#This Row],[RequirementID]],
 tblCost[RequirementID],
 tblCost[QuantityRequired],
 ""
)</f>
        <v>100</v>
      </c>
      <c r="H13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6" s="41" t="str">
        <f>_xlfn.XLOOKUP(tblCostChecklist[[#This Row],[TargetID]],tblTargetStatus[TargetID],tblTargetStatus[Status])</f>
        <v>BLOCKED</v>
      </c>
      <c r="J1366" s="25" t="b">
        <v>0</v>
      </c>
    </row>
    <row r="1367" spans="1:10">
      <c r="A1367" s="41" t="s">
        <v>5004</v>
      </c>
      <c r="B1367" s="41" t="str">
        <f>_xlfn.TEXTAFTER(
 _xlfn.TEXTBEFORE(tblCostChecklist[[#This Row],[RequirementID]],".",-2),
 "cost."
)</f>
        <v>collection.courtyard_1@1</v>
      </c>
      <c r="C1367" s="41" t="str">
        <f>_xlfn.XLOOKUP(tblCostChecklist[[#This Row],[TargetID]],tblTargets[TargetID],tblTargets[DisplayName],"")</f>
        <v>Courtyard 1 Lv 1</v>
      </c>
      <c r="D1367" s="41" t="str">
        <f>_xlfn.XLOOKUP(tblCostChecklist[[#This Row],[TargetID]],tblTargets[TargetID],tblTargets[TargetType],"")</f>
        <v>COLLECTION</v>
      </c>
      <c r="E1367" s="41" t="s">
        <v>935</v>
      </c>
      <c r="F1367" s="41">
        <v>1</v>
      </c>
      <c r="G1367" s="41">
        <f>_xlfn.XLOOKUP(
 tblCostChecklist[[#This Row],[RequirementID]],
 tblCost[RequirementID],
 tblCost[QuantityRequired],
 ""
)</f>
        <v>20</v>
      </c>
      <c r="H13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7" s="41" t="str">
        <f>_xlfn.XLOOKUP(tblCostChecklist[[#This Row],[TargetID]],tblTargetStatus[TargetID],tblTargetStatus[Status])</f>
        <v>BLOCKED</v>
      </c>
      <c r="J1367" s="25" t="b">
        <v>0</v>
      </c>
    </row>
    <row r="1368" spans="1:10">
      <c r="A1368" s="41" t="s">
        <v>5005</v>
      </c>
      <c r="B1368" s="41" t="str">
        <f>_xlfn.TEXTAFTER(
 _xlfn.TEXTBEFORE(tblCostChecklist[[#This Row],[RequirementID]],".",-2),
 "cost."
)</f>
        <v>collection.courtyard_1@1</v>
      </c>
      <c r="C1368" s="41" t="str">
        <f>_xlfn.XLOOKUP(tblCostChecklist[[#This Row],[TargetID]],tblTargets[TargetID],tblTargets[DisplayName],"")</f>
        <v>Courtyard 1 Lv 1</v>
      </c>
      <c r="D1368" s="41" t="str">
        <f>_xlfn.XLOOKUP(tblCostChecklist[[#This Row],[TargetID]],tblTargets[TargetID],tblTargets[TargetType],"")</f>
        <v>COLLECTION</v>
      </c>
      <c r="E1368" s="41" t="s">
        <v>679</v>
      </c>
      <c r="F1368" s="41">
        <v>1</v>
      </c>
      <c r="G1368" s="41">
        <f>_xlfn.XLOOKUP(
 tblCostChecklist[[#This Row],[RequirementID]],
 tblCost[RequirementID],
 tblCost[QuantityRequired],
 ""
)</f>
        <v>5</v>
      </c>
      <c r="H13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8" s="41" t="str">
        <f>_xlfn.XLOOKUP(tblCostChecklist[[#This Row],[TargetID]],tblTargetStatus[TargetID],tblTargetStatus[Status])</f>
        <v>BLOCKED</v>
      </c>
      <c r="J1368" s="25" t="b">
        <v>0</v>
      </c>
    </row>
    <row r="1369" spans="1:10">
      <c r="A1369" s="41" t="s">
        <v>5006</v>
      </c>
      <c r="B1369" s="41" t="str">
        <f>_xlfn.TEXTAFTER(
 _xlfn.TEXTBEFORE(tblCostChecklist[[#This Row],[RequirementID]],".",-2),
 "cost."
)</f>
        <v>collection.courtyard_1@1</v>
      </c>
      <c r="C1369" s="41" t="str">
        <f>_xlfn.XLOOKUP(tblCostChecklist[[#This Row],[TargetID]],tblTargets[TargetID],tblTargets[DisplayName],"")</f>
        <v>Courtyard 1 Lv 1</v>
      </c>
      <c r="D1369" s="41" t="str">
        <f>_xlfn.XLOOKUP(tblCostChecklist[[#This Row],[TargetID]],tblTargets[TargetID],tblTargets[TargetType],"")</f>
        <v>COLLECTION</v>
      </c>
      <c r="E1369" s="41" t="s">
        <v>679</v>
      </c>
      <c r="F1369" s="41">
        <v>2</v>
      </c>
      <c r="G1369" s="41">
        <f>_xlfn.XLOOKUP(
 tblCostChecklist[[#This Row],[RequirementID]],
 tblCost[RequirementID],
 tblCost[QuantityRequired],
 ""
)</f>
        <v>5</v>
      </c>
      <c r="H13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9" s="41" t="str">
        <f>_xlfn.XLOOKUP(tblCostChecklist[[#This Row],[TargetID]],tblTargetStatus[TargetID],tblTargetStatus[Status])</f>
        <v>BLOCKED</v>
      </c>
      <c r="J1369" s="25" t="b">
        <v>0</v>
      </c>
    </row>
    <row r="1370" spans="1:10">
      <c r="A1370" s="41" t="s">
        <v>5007</v>
      </c>
      <c r="B1370" s="41" t="str">
        <f>_xlfn.TEXTAFTER(
 _xlfn.TEXTBEFORE(tblCostChecklist[[#This Row],[RequirementID]],".",-2),
 "cost."
)</f>
        <v>collection.courtyard_1@1</v>
      </c>
      <c r="C1370" s="41" t="str">
        <f>_xlfn.XLOOKUP(tblCostChecklist[[#This Row],[TargetID]],tblTargets[TargetID],tblTargets[DisplayName],"")</f>
        <v>Courtyard 1 Lv 1</v>
      </c>
      <c r="D1370" s="41" t="str">
        <f>_xlfn.XLOOKUP(tblCostChecklist[[#This Row],[TargetID]],tblTargets[TargetID],tblTargets[TargetType],"")</f>
        <v>COLLECTION</v>
      </c>
      <c r="E1370" s="41" t="s">
        <v>679</v>
      </c>
      <c r="F1370" s="41">
        <v>3</v>
      </c>
      <c r="G1370" s="41">
        <f>_xlfn.XLOOKUP(
 tblCostChecklist[[#This Row],[RequirementID]],
 tblCost[RequirementID],
 tblCost[QuantityRequired],
 ""
)</f>
        <v>5</v>
      </c>
      <c r="H13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0" s="41" t="str">
        <f>_xlfn.XLOOKUP(tblCostChecklist[[#This Row],[TargetID]],tblTargetStatus[TargetID],tblTargetStatus[Status])</f>
        <v>BLOCKED</v>
      </c>
      <c r="J1370" s="25" t="b">
        <v>0</v>
      </c>
    </row>
    <row r="1371" spans="1:10">
      <c r="A1371" s="41" t="s">
        <v>5008</v>
      </c>
      <c r="B1371" s="41" t="str">
        <f>_xlfn.TEXTAFTER(
 _xlfn.TEXTBEFORE(tblCostChecklist[[#This Row],[RequirementID]],".",-2),
 "cost."
)</f>
        <v>collection.courtyard_1@1</v>
      </c>
      <c r="C1371" s="41" t="str">
        <f>_xlfn.XLOOKUP(tblCostChecklist[[#This Row],[TargetID]],tblTargets[TargetID],tblTargets[DisplayName],"")</f>
        <v>Courtyard 1 Lv 1</v>
      </c>
      <c r="D1371" s="41" t="str">
        <f>_xlfn.XLOOKUP(tblCostChecklist[[#This Row],[TargetID]],tblTargets[TargetID],tblTargets[TargetType],"")</f>
        <v>COLLECTION</v>
      </c>
      <c r="E1371" s="41" t="s">
        <v>938</v>
      </c>
      <c r="F1371" s="41">
        <v>1</v>
      </c>
      <c r="G1371" s="41">
        <f>_xlfn.XLOOKUP(
 tblCostChecklist[[#This Row],[RequirementID]],
 tblCost[RequirementID],
 tblCost[QuantityRequired],
 ""
)</f>
        <v>15</v>
      </c>
      <c r="H13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1" s="41" t="str">
        <f>_xlfn.XLOOKUP(tblCostChecklist[[#This Row],[TargetID]],tblTargetStatus[TargetID],tblTargetStatus[Status])</f>
        <v>BLOCKED</v>
      </c>
      <c r="J1371" s="25" t="b">
        <v>0</v>
      </c>
    </row>
    <row r="1372" spans="1:10">
      <c r="A1372" s="41" t="s">
        <v>5009</v>
      </c>
      <c r="B1372" s="41" t="str">
        <f>_xlfn.TEXTAFTER(
 _xlfn.TEXTBEFORE(tblCostChecklist[[#This Row],[RequirementID]],".",-2),
 "cost."
)</f>
        <v>collection.courtyard_1@1</v>
      </c>
      <c r="C1372" s="41" t="str">
        <f>_xlfn.XLOOKUP(tblCostChecklist[[#This Row],[TargetID]],tblTargets[TargetID],tblTargets[DisplayName],"")</f>
        <v>Courtyard 1 Lv 1</v>
      </c>
      <c r="D1372" s="41" t="str">
        <f>_xlfn.XLOOKUP(tblCostChecklist[[#This Row],[TargetID]],tblTargets[TargetID],tblTargets[TargetType],"")</f>
        <v>COLLECTION</v>
      </c>
      <c r="E1372" s="41" t="s">
        <v>1830</v>
      </c>
      <c r="F1372" s="41">
        <v>1</v>
      </c>
      <c r="G1372" s="41">
        <f>_xlfn.XLOOKUP(
 tblCostChecklist[[#This Row],[RequirementID]],
 tblCost[RequirementID],
 tblCost[QuantityRequired],
 ""
)</f>
        <v>10</v>
      </c>
      <c r="H13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2" s="41" t="str">
        <f>_xlfn.XLOOKUP(tblCostChecklist[[#This Row],[TargetID]],tblTargetStatus[TargetID],tblTargetStatus[Status])</f>
        <v>BLOCKED</v>
      </c>
      <c r="J1372" s="25" t="b">
        <v>0</v>
      </c>
    </row>
    <row r="1373" spans="1:10">
      <c r="A1373" s="41" t="s">
        <v>5010</v>
      </c>
      <c r="B1373" s="41" t="str">
        <f>_xlfn.TEXTAFTER(
 _xlfn.TEXTBEFORE(tblCostChecklist[[#This Row],[RequirementID]],".",-2),
 "cost."
)</f>
        <v>collection.courtyard_1@1</v>
      </c>
      <c r="C1373" s="41" t="str">
        <f>_xlfn.XLOOKUP(tblCostChecklist[[#This Row],[TargetID]],tblTargets[TargetID],tblTargets[DisplayName],"")</f>
        <v>Courtyard 1 Lv 1</v>
      </c>
      <c r="D1373" s="41" t="str">
        <f>_xlfn.XLOOKUP(tblCostChecklist[[#This Row],[TargetID]],tblTargets[TargetID],tblTargets[TargetType],"")</f>
        <v>COLLECTION</v>
      </c>
      <c r="E1373" s="41" t="s">
        <v>951</v>
      </c>
      <c r="F1373" s="41">
        <v>1</v>
      </c>
      <c r="G1373" s="41">
        <f>_xlfn.XLOOKUP(
 tblCostChecklist[[#This Row],[RequirementID]],
 tblCost[RequirementID],
 tblCost[QuantityRequired],
 ""
)</f>
        <v>5</v>
      </c>
      <c r="H13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3" s="41" t="str">
        <f>_xlfn.XLOOKUP(tblCostChecklist[[#This Row],[TargetID]],tblTargetStatus[TargetID],tblTargetStatus[Status])</f>
        <v>BLOCKED</v>
      </c>
      <c r="J1373" s="25" t="b">
        <v>0</v>
      </c>
    </row>
    <row r="1374" spans="1:10">
      <c r="A1374" s="41" t="s">
        <v>5011</v>
      </c>
      <c r="B1374" s="41" t="str">
        <f>_xlfn.TEXTAFTER(
 _xlfn.TEXTBEFORE(tblCostChecklist[[#This Row],[RequirementID]],".",-2),
 "cost."
)</f>
        <v>collection.courtyard_1@1</v>
      </c>
      <c r="C1374" s="41" t="str">
        <f>_xlfn.XLOOKUP(tblCostChecklist[[#This Row],[TargetID]],tblTargets[TargetID],tblTargets[DisplayName],"")</f>
        <v>Courtyard 1 Lv 1</v>
      </c>
      <c r="D1374" s="41" t="str">
        <f>_xlfn.XLOOKUP(tblCostChecklist[[#This Row],[TargetID]],tblTargets[TargetID],tblTargets[TargetType],"")</f>
        <v>COLLECTION</v>
      </c>
      <c r="E1374" s="41" t="s">
        <v>951</v>
      </c>
      <c r="F1374" s="41">
        <v>2</v>
      </c>
      <c r="G1374" s="41">
        <f>_xlfn.XLOOKUP(
 tblCostChecklist[[#This Row],[RequirementID]],
 tblCost[RequirementID],
 tblCost[QuantityRequired],
 ""
)</f>
        <v>5</v>
      </c>
      <c r="H13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4" s="41" t="str">
        <f>_xlfn.XLOOKUP(tblCostChecklist[[#This Row],[TargetID]],tblTargetStatus[TargetID],tblTargetStatus[Status])</f>
        <v>BLOCKED</v>
      </c>
      <c r="J1374" s="25" t="b">
        <v>0</v>
      </c>
    </row>
    <row r="1375" spans="1:10">
      <c r="A1375" s="41" t="s">
        <v>5012</v>
      </c>
      <c r="B1375" s="41" t="str">
        <f>_xlfn.TEXTAFTER(
 _xlfn.TEXTBEFORE(tblCostChecklist[[#This Row],[RequirementID]],".",-2),
 "cost."
)</f>
        <v>collection.courtyard_1@1</v>
      </c>
      <c r="C1375" s="41" t="str">
        <f>_xlfn.XLOOKUP(tblCostChecklist[[#This Row],[TargetID]],tblTargets[TargetID],tblTargets[DisplayName],"")</f>
        <v>Courtyard 1 Lv 1</v>
      </c>
      <c r="D1375" s="41" t="str">
        <f>_xlfn.XLOOKUP(tblCostChecklist[[#This Row],[TargetID]],tblTargets[TargetID],tblTargets[TargetType],"")</f>
        <v>COLLECTION</v>
      </c>
      <c r="E1375" s="41" t="s">
        <v>951</v>
      </c>
      <c r="F1375" s="41">
        <v>3</v>
      </c>
      <c r="G1375" s="41">
        <f>_xlfn.XLOOKUP(
 tblCostChecklist[[#This Row],[RequirementID]],
 tblCost[RequirementID],
 tblCost[QuantityRequired],
 ""
)</f>
        <v>5</v>
      </c>
      <c r="H13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5" s="41" t="str">
        <f>_xlfn.XLOOKUP(tblCostChecklist[[#This Row],[TargetID]],tblTargetStatus[TargetID],tblTargetStatus[Status])</f>
        <v>BLOCKED</v>
      </c>
      <c r="J1375" s="25" t="b">
        <v>0</v>
      </c>
    </row>
    <row r="1376" spans="1:10">
      <c r="A1376" s="41" t="s">
        <v>5013</v>
      </c>
      <c r="B1376" s="41" t="str">
        <f>_xlfn.TEXTAFTER(
 _xlfn.TEXTBEFORE(tblCostChecklist[[#This Row],[RequirementID]],".",-2),
 "cost."
)</f>
        <v>collection.courtyard_1@1</v>
      </c>
      <c r="C1376" s="41" t="str">
        <f>_xlfn.XLOOKUP(tblCostChecklist[[#This Row],[TargetID]],tblTargets[TargetID],tblTargets[DisplayName],"")</f>
        <v>Courtyard 1 Lv 1</v>
      </c>
      <c r="D1376" s="41" t="str">
        <f>_xlfn.XLOOKUP(tblCostChecklist[[#This Row],[TargetID]],tblTargets[TargetID],tblTargets[TargetType],"")</f>
        <v>COLLECTION</v>
      </c>
      <c r="E1376" s="41" t="s">
        <v>723</v>
      </c>
      <c r="F1376" s="41">
        <v>1</v>
      </c>
      <c r="G1376" s="41">
        <f>_xlfn.XLOOKUP(
 tblCostChecklist[[#This Row],[RequirementID]],
 tblCost[RequirementID],
 tblCost[QuantityRequired],
 ""
)</f>
        <v>50</v>
      </c>
      <c r="H13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6" s="41" t="str">
        <f>_xlfn.XLOOKUP(tblCostChecklist[[#This Row],[TargetID]],tblTargetStatus[TargetID],tblTargetStatus[Status])</f>
        <v>BLOCKED</v>
      </c>
      <c r="J1376" s="25" t="b">
        <v>0</v>
      </c>
    </row>
    <row r="1377" spans="1:10">
      <c r="A1377" s="41" t="s">
        <v>5014</v>
      </c>
      <c r="B1377" s="41" t="str">
        <f>_xlfn.TEXTAFTER(
 _xlfn.TEXTBEFORE(tblCostChecklist[[#This Row],[RequirementID]],".",-2),
 "cost."
)</f>
        <v>collection.courtyard_1@2</v>
      </c>
      <c r="C1377" s="41" t="str">
        <f>_xlfn.XLOOKUP(tblCostChecklist[[#This Row],[TargetID]],tblTargets[TargetID],tblTargets[DisplayName],"")</f>
        <v>Courtyard 1 Lv 2</v>
      </c>
      <c r="D1377" s="41" t="str">
        <f>_xlfn.XLOOKUP(tblCostChecklist[[#This Row],[TargetID]],tblTargets[TargetID],tblTargets[TargetType],"")</f>
        <v>COLLECTION</v>
      </c>
      <c r="E1377" s="41" t="s">
        <v>935</v>
      </c>
      <c r="F1377" s="41">
        <v>1</v>
      </c>
      <c r="G1377" s="41">
        <f>_xlfn.XLOOKUP(
 tblCostChecklist[[#This Row],[RequirementID]],
 tblCost[RequirementID],
 tblCost[QuantityRequired],
 ""
)</f>
        <v>40</v>
      </c>
      <c r="H13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7" s="41" t="str">
        <f>_xlfn.XLOOKUP(tblCostChecklist[[#This Row],[TargetID]],tblTargetStatus[TargetID],tblTargetStatus[Status])</f>
        <v>BLOCKED</v>
      </c>
      <c r="J1377" s="25" t="b">
        <v>0</v>
      </c>
    </row>
    <row r="1378" spans="1:10">
      <c r="A1378" s="41" t="s">
        <v>5015</v>
      </c>
      <c r="B1378" s="41" t="str">
        <f>_xlfn.TEXTAFTER(
 _xlfn.TEXTBEFORE(tblCostChecklist[[#This Row],[RequirementID]],".",-2),
 "cost."
)</f>
        <v>collection.courtyard_1@2</v>
      </c>
      <c r="C1378" s="41" t="str">
        <f>_xlfn.XLOOKUP(tblCostChecklist[[#This Row],[TargetID]],tblTargets[TargetID],tblTargets[DisplayName],"")</f>
        <v>Courtyard 1 Lv 2</v>
      </c>
      <c r="D1378" s="41" t="str">
        <f>_xlfn.XLOOKUP(tblCostChecklist[[#This Row],[TargetID]],tblTargets[TargetID],tblTargets[TargetType],"")</f>
        <v>COLLECTION</v>
      </c>
      <c r="E1378" s="41" t="s">
        <v>679</v>
      </c>
      <c r="F1378" s="41">
        <v>1</v>
      </c>
      <c r="G1378" s="41">
        <f>_xlfn.XLOOKUP(
 tblCostChecklist[[#This Row],[RequirementID]],
 tblCost[RequirementID],
 tblCost[QuantityRequired],
 ""
)</f>
        <v>10</v>
      </c>
      <c r="H13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8" s="41" t="str">
        <f>_xlfn.XLOOKUP(tblCostChecklist[[#This Row],[TargetID]],tblTargetStatus[TargetID],tblTargetStatus[Status])</f>
        <v>BLOCKED</v>
      </c>
      <c r="J1378" s="25" t="b">
        <v>0</v>
      </c>
    </row>
    <row r="1379" spans="1:10">
      <c r="A1379" s="41" t="s">
        <v>5016</v>
      </c>
      <c r="B1379" s="41" t="str">
        <f>_xlfn.TEXTAFTER(
 _xlfn.TEXTBEFORE(tblCostChecklist[[#This Row],[RequirementID]],".",-2),
 "cost."
)</f>
        <v>collection.courtyard_1@2</v>
      </c>
      <c r="C1379" s="41" t="str">
        <f>_xlfn.XLOOKUP(tblCostChecklist[[#This Row],[TargetID]],tblTargets[TargetID],tblTargets[DisplayName],"")</f>
        <v>Courtyard 1 Lv 2</v>
      </c>
      <c r="D1379" s="41" t="str">
        <f>_xlfn.XLOOKUP(tblCostChecklist[[#This Row],[TargetID]],tblTargets[TargetID],tblTargets[TargetType],"")</f>
        <v>COLLECTION</v>
      </c>
      <c r="E1379" s="41" t="s">
        <v>679</v>
      </c>
      <c r="F1379" s="41">
        <v>2</v>
      </c>
      <c r="G1379" s="41">
        <f>_xlfn.XLOOKUP(
 tblCostChecklist[[#This Row],[RequirementID]],
 tblCost[RequirementID],
 tblCost[QuantityRequired],
 ""
)</f>
        <v>10</v>
      </c>
      <c r="H13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9" s="41" t="str">
        <f>_xlfn.XLOOKUP(tblCostChecklist[[#This Row],[TargetID]],tblTargetStatus[TargetID],tblTargetStatus[Status])</f>
        <v>BLOCKED</v>
      </c>
      <c r="J1379" s="25" t="b">
        <v>0</v>
      </c>
    </row>
    <row r="1380" spans="1:10">
      <c r="A1380" s="41" t="s">
        <v>5017</v>
      </c>
      <c r="B1380" s="41" t="str">
        <f>_xlfn.TEXTAFTER(
 _xlfn.TEXTBEFORE(tblCostChecklist[[#This Row],[RequirementID]],".",-2),
 "cost."
)</f>
        <v>collection.courtyard_1@2</v>
      </c>
      <c r="C1380" s="41" t="str">
        <f>_xlfn.XLOOKUP(tblCostChecklist[[#This Row],[TargetID]],tblTargets[TargetID],tblTargets[DisplayName],"")</f>
        <v>Courtyard 1 Lv 2</v>
      </c>
      <c r="D1380" s="41" t="str">
        <f>_xlfn.XLOOKUP(tblCostChecklist[[#This Row],[TargetID]],tblTargets[TargetID],tblTargets[TargetType],"")</f>
        <v>COLLECTION</v>
      </c>
      <c r="E1380" s="41" t="s">
        <v>679</v>
      </c>
      <c r="F1380" s="41">
        <v>3</v>
      </c>
      <c r="G1380" s="41">
        <f>_xlfn.XLOOKUP(
 tblCostChecklist[[#This Row],[RequirementID]],
 tblCost[RequirementID],
 tblCost[QuantityRequired],
 ""
)</f>
        <v>10</v>
      </c>
      <c r="H13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0" s="41" t="str">
        <f>_xlfn.XLOOKUP(tblCostChecklist[[#This Row],[TargetID]],tblTargetStatus[TargetID],tblTargetStatus[Status])</f>
        <v>BLOCKED</v>
      </c>
      <c r="J1380" s="25" t="b">
        <v>0</v>
      </c>
    </row>
    <row r="1381" spans="1:10">
      <c r="A1381" s="41" t="s">
        <v>5018</v>
      </c>
      <c r="B1381" s="41" t="str">
        <f>_xlfn.TEXTAFTER(
 _xlfn.TEXTBEFORE(tblCostChecklist[[#This Row],[RequirementID]],".",-2),
 "cost."
)</f>
        <v>collection.courtyard_1@2</v>
      </c>
      <c r="C1381" s="41" t="str">
        <f>_xlfn.XLOOKUP(tblCostChecklist[[#This Row],[TargetID]],tblTargets[TargetID],tblTargets[DisplayName],"")</f>
        <v>Courtyard 1 Lv 2</v>
      </c>
      <c r="D1381" s="41" t="str">
        <f>_xlfn.XLOOKUP(tblCostChecklist[[#This Row],[TargetID]],tblTargets[TargetID],tblTargets[TargetType],"")</f>
        <v>COLLECTION</v>
      </c>
      <c r="E1381" s="41" t="s">
        <v>938</v>
      </c>
      <c r="F1381" s="41">
        <v>1</v>
      </c>
      <c r="G1381" s="41">
        <f>_xlfn.XLOOKUP(
 tblCostChecklist[[#This Row],[RequirementID]],
 tblCost[RequirementID],
 tblCost[QuantityRequired],
 ""
)</f>
        <v>30</v>
      </c>
      <c r="H13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1" s="41" t="str">
        <f>_xlfn.XLOOKUP(tblCostChecklist[[#This Row],[TargetID]],tblTargetStatus[TargetID],tblTargetStatus[Status])</f>
        <v>BLOCKED</v>
      </c>
      <c r="J1381" s="25" t="b">
        <v>0</v>
      </c>
    </row>
    <row r="1382" spans="1:10">
      <c r="A1382" s="41" t="s">
        <v>5019</v>
      </c>
      <c r="B1382" s="41" t="str">
        <f>_xlfn.TEXTAFTER(
 _xlfn.TEXTBEFORE(tblCostChecklist[[#This Row],[RequirementID]],".",-2),
 "cost."
)</f>
        <v>collection.courtyard_1@2</v>
      </c>
      <c r="C1382" s="41" t="str">
        <f>_xlfn.XLOOKUP(tblCostChecklist[[#This Row],[TargetID]],tblTargets[TargetID],tblTargets[DisplayName],"")</f>
        <v>Courtyard 1 Lv 2</v>
      </c>
      <c r="D1382" s="41" t="str">
        <f>_xlfn.XLOOKUP(tblCostChecklist[[#This Row],[TargetID]],tblTargets[TargetID],tblTargets[TargetType],"")</f>
        <v>COLLECTION</v>
      </c>
      <c r="E1382" s="41" t="s">
        <v>1830</v>
      </c>
      <c r="F1382" s="41">
        <v>1</v>
      </c>
      <c r="G1382" s="41">
        <f>_xlfn.XLOOKUP(
 tblCostChecklist[[#This Row],[RequirementID]],
 tblCost[RequirementID],
 tblCost[QuantityRequired],
 ""
)</f>
        <v>20</v>
      </c>
      <c r="H13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2" s="41" t="str">
        <f>_xlfn.XLOOKUP(tblCostChecklist[[#This Row],[TargetID]],tblTargetStatus[TargetID],tblTargetStatus[Status])</f>
        <v>BLOCKED</v>
      </c>
      <c r="J1382" s="25" t="b">
        <v>0</v>
      </c>
    </row>
    <row r="1383" spans="1:10">
      <c r="A1383" s="41" t="s">
        <v>5020</v>
      </c>
      <c r="B1383" s="41" t="str">
        <f>_xlfn.TEXTAFTER(
 _xlfn.TEXTBEFORE(tblCostChecklist[[#This Row],[RequirementID]],".",-2),
 "cost."
)</f>
        <v>collection.courtyard_1@2</v>
      </c>
      <c r="C1383" s="41" t="str">
        <f>_xlfn.XLOOKUP(tblCostChecklist[[#This Row],[TargetID]],tblTargets[TargetID],tblTargets[DisplayName],"")</f>
        <v>Courtyard 1 Lv 2</v>
      </c>
      <c r="D1383" s="41" t="str">
        <f>_xlfn.XLOOKUP(tblCostChecklist[[#This Row],[TargetID]],tblTargets[TargetID],tblTargets[TargetType],"")</f>
        <v>COLLECTION</v>
      </c>
      <c r="E1383" s="41" t="s">
        <v>951</v>
      </c>
      <c r="F1383" s="41">
        <v>1</v>
      </c>
      <c r="G1383" s="41">
        <f>_xlfn.XLOOKUP(
 tblCostChecklist[[#This Row],[RequirementID]],
 tblCost[RequirementID],
 tblCost[QuantityRequired],
 ""
)</f>
        <v>10</v>
      </c>
      <c r="H13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3" s="41" t="str">
        <f>_xlfn.XLOOKUP(tblCostChecklist[[#This Row],[TargetID]],tblTargetStatus[TargetID],tblTargetStatus[Status])</f>
        <v>BLOCKED</v>
      </c>
      <c r="J1383" s="25" t="b">
        <v>0</v>
      </c>
    </row>
    <row r="1384" spans="1:10">
      <c r="A1384" s="41" t="s">
        <v>5021</v>
      </c>
      <c r="B1384" s="41" t="str">
        <f>_xlfn.TEXTAFTER(
 _xlfn.TEXTBEFORE(tblCostChecklist[[#This Row],[RequirementID]],".",-2),
 "cost."
)</f>
        <v>collection.courtyard_1@2</v>
      </c>
      <c r="C1384" s="41" t="str">
        <f>_xlfn.XLOOKUP(tblCostChecklist[[#This Row],[TargetID]],tblTargets[TargetID],tblTargets[DisplayName],"")</f>
        <v>Courtyard 1 Lv 2</v>
      </c>
      <c r="D1384" s="41" t="str">
        <f>_xlfn.XLOOKUP(tblCostChecklist[[#This Row],[TargetID]],tblTargets[TargetID],tblTargets[TargetType],"")</f>
        <v>COLLECTION</v>
      </c>
      <c r="E1384" s="41" t="s">
        <v>951</v>
      </c>
      <c r="F1384" s="41">
        <v>2</v>
      </c>
      <c r="G1384" s="41">
        <f>_xlfn.XLOOKUP(
 tblCostChecklist[[#This Row],[RequirementID]],
 tblCost[RequirementID],
 tblCost[QuantityRequired],
 ""
)</f>
        <v>10</v>
      </c>
      <c r="H13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4" s="41" t="str">
        <f>_xlfn.XLOOKUP(tblCostChecklist[[#This Row],[TargetID]],tblTargetStatus[TargetID],tblTargetStatus[Status])</f>
        <v>BLOCKED</v>
      </c>
      <c r="J1384" s="25" t="b">
        <v>0</v>
      </c>
    </row>
    <row r="1385" spans="1:10">
      <c r="A1385" s="41" t="s">
        <v>5022</v>
      </c>
      <c r="B1385" s="41" t="str">
        <f>_xlfn.TEXTAFTER(
 _xlfn.TEXTBEFORE(tblCostChecklist[[#This Row],[RequirementID]],".",-2),
 "cost."
)</f>
        <v>collection.courtyard_1@2</v>
      </c>
      <c r="C1385" s="41" t="str">
        <f>_xlfn.XLOOKUP(tblCostChecklist[[#This Row],[TargetID]],tblTargets[TargetID],tblTargets[DisplayName],"")</f>
        <v>Courtyard 1 Lv 2</v>
      </c>
      <c r="D1385" s="41" t="str">
        <f>_xlfn.XLOOKUP(tblCostChecklist[[#This Row],[TargetID]],tblTargets[TargetID],tblTargets[TargetType],"")</f>
        <v>COLLECTION</v>
      </c>
      <c r="E1385" s="41" t="s">
        <v>951</v>
      </c>
      <c r="F1385" s="41">
        <v>3</v>
      </c>
      <c r="G1385" s="41">
        <f>_xlfn.XLOOKUP(
 tblCostChecklist[[#This Row],[RequirementID]],
 tblCost[RequirementID],
 tblCost[QuantityRequired],
 ""
)</f>
        <v>10</v>
      </c>
      <c r="H13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5" s="41" t="str">
        <f>_xlfn.XLOOKUP(tblCostChecklist[[#This Row],[TargetID]],tblTargetStatus[TargetID],tblTargetStatus[Status])</f>
        <v>BLOCKED</v>
      </c>
      <c r="J1385" s="25" t="b">
        <v>0</v>
      </c>
    </row>
    <row r="1386" spans="1:10">
      <c r="A1386" s="41" t="s">
        <v>5023</v>
      </c>
      <c r="B1386" s="41" t="str">
        <f>_xlfn.TEXTAFTER(
 _xlfn.TEXTBEFORE(tblCostChecklist[[#This Row],[RequirementID]],".",-2),
 "cost."
)</f>
        <v>collection.courtyard_1@2</v>
      </c>
      <c r="C1386" s="41" t="str">
        <f>_xlfn.XLOOKUP(tblCostChecklist[[#This Row],[TargetID]],tblTargets[TargetID],tblTargets[DisplayName],"")</f>
        <v>Courtyard 1 Lv 2</v>
      </c>
      <c r="D1386" s="41" t="str">
        <f>_xlfn.XLOOKUP(tblCostChecklist[[#This Row],[TargetID]],tblTargets[TargetID],tblTargets[TargetType],"")</f>
        <v>COLLECTION</v>
      </c>
      <c r="E1386" s="41" t="s">
        <v>723</v>
      </c>
      <c r="F1386" s="41">
        <v>1</v>
      </c>
      <c r="G1386" s="41">
        <f>_xlfn.XLOOKUP(
 tblCostChecklist[[#This Row],[RequirementID]],
 tblCost[RequirementID],
 tblCost[QuantityRequired],
 ""
)</f>
        <v>100</v>
      </c>
      <c r="H13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6" s="41" t="str">
        <f>_xlfn.XLOOKUP(tblCostChecklist[[#This Row],[TargetID]],tblTargetStatus[TargetID],tblTargetStatus[Status])</f>
        <v>BLOCKED</v>
      </c>
      <c r="J1386" s="25" t="b">
        <v>0</v>
      </c>
    </row>
    <row r="1387" spans="1:10">
      <c r="A1387" s="41" t="s">
        <v>5024</v>
      </c>
      <c r="B1387" s="41" t="str">
        <f>_xlfn.TEXTAFTER(
 _xlfn.TEXTBEFORE(tblCostChecklist[[#This Row],[RequirementID]],".",-2),
 "cost."
)</f>
        <v>collection.courtyard_2@1</v>
      </c>
      <c r="C1387" s="41" t="str">
        <f>_xlfn.XLOOKUP(tblCostChecklist[[#This Row],[TargetID]],tblTargets[TargetID],tblTargets[DisplayName],"")</f>
        <v>Courtyard 2 Lv 1</v>
      </c>
      <c r="D1387" s="41" t="str">
        <f>_xlfn.XLOOKUP(tblCostChecklist[[#This Row],[TargetID]],tblTargets[TargetID],tblTargets[TargetType],"")</f>
        <v>COLLECTION</v>
      </c>
      <c r="E1387" s="41" t="s">
        <v>657</v>
      </c>
      <c r="F1387" s="41">
        <v>1</v>
      </c>
      <c r="G1387" s="41">
        <f>_xlfn.XLOOKUP(
 tblCostChecklist[[#This Row],[RequirementID]],
 tblCost[RequirementID],
 tblCost[QuantityRequired],
 ""
)</f>
        <v>15</v>
      </c>
      <c r="H13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7" s="41" t="str">
        <f>_xlfn.XLOOKUP(tblCostChecklist[[#This Row],[TargetID]],tblTargetStatus[TargetID],tblTargetStatus[Status])</f>
        <v>BLOCKED</v>
      </c>
      <c r="J1387" s="25" t="b">
        <v>0</v>
      </c>
    </row>
    <row r="1388" spans="1:10">
      <c r="A1388" s="41" t="s">
        <v>5025</v>
      </c>
      <c r="B1388" s="41" t="str">
        <f>_xlfn.TEXTAFTER(
 _xlfn.TEXTBEFORE(tblCostChecklist[[#This Row],[RequirementID]],".",-2),
 "cost."
)</f>
        <v>collection.courtyard_2@1</v>
      </c>
      <c r="C1388" s="41" t="str">
        <f>_xlfn.XLOOKUP(tblCostChecklist[[#This Row],[TargetID]],tblTargets[TargetID],tblTargets[DisplayName],"")</f>
        <v>Courtyard 2 Lv 1</v>
      </c>
      <c r="D1388" s="41" t="str">
        <f>_xlfn.XLOOKUP(tblCostChecklist[[#This Row],[TargetID]],tblTargets[TargetID],tblTargets[TargetType],"")</f>
        <v>COLLECTION</v>
      </c>
      <c r="E1388" s="41" t="s">
        <v>657</v>
      </c>
      <c r="F1388" s="41">
        <v>2</v>
      </c>
      <c r="G1388" s="41">
        <f>_xlfn.XLOOKUP(
 tblCostChecklist[[#This Row],[RequirementID]],
 tblCost[RequirementID],
 tblCost[QuantityRequired],
 ""
)</f>
        <v>15</v>
      </c>
      <c r="H13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8" s="41" t="str">
        <f>_xlfn.XLOOKUP(tblCostChecklist[[#This Row],[TargetID]],tblTargetStatus[TargetID],tblTargetStatus[Status])</f>
        <v>BLOCKED</v>
      </c>
      <c r="J1388" s="25" t="b">
        <v>0</v>
      </c>
    </row>
    <row r="1389" spans="1:10">
      <c r="A1389" s="41" t="s">
        <v>5026</v>
      </c>
      <c r="B1389" s="41" t="str">
        <f>_xlfn.TEXTAFTER(
 _xlfn.TEXTBEFORE(tblCostChecklist[[#This Row],[RequirementID]],".",-2),
 "cost."
)</f>
        <v>collection.courtyard_2@1</v>
      </c>
      <c r="C1389" s="41" t="str">
        <f>_xlfn.XLOOKUP(tblCostChecklist[[#This Row],[TargetID]],tblTargets[TargetID],tblTargets[DisplayName],"")</f>
        <v>Courtyard 2 Lv 1</v>
      </c>
      <c r="D1389" s="41" t="str">
        <f>_xlfn.XLOOKUP(tblCostChecklist[[#This Row],[TargetID]],tblTargets[TargetID],tblTargets[TargetType],"")</f>
        <v>COLLECTION</v>
      </c>
      <c r="E1389" s="41" t="s">
        <v>657</v>
      </c>
      <c r="F1389" s="41">
        <v>3</v>
      </c>
      <c r="G1389" s="41">
        <f>_xlfn.XLOOKUP(
 tblCostChecklist[[#This Row],[RequirementID]],
 tblCost[RequirementID],
 tblCost[QuantityRequired],
 ""
)</f>
        <v>15</v>
      </c>
      <c r="H13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9" s="41" t="str">
        <f>_xlfn.XLOOKUP(tblCostChecklist[[#This Row],[TargetID]],tblTargetStatus[TargetID],tblTargetStatus[Status])</f>
        <v>BLOCKED</v>
      </c>
      <c r="J1389" s="25" t="b">
        <v>0</v>
      </c>
    </row>
    <row r="1390" spans="1:10">
      <c r="A1390" s="41" t="s">
        <v>5027</v>
      </c>
      <c r="B1390" s="41" t="str">
        <f>_xlfn.TEXTAFTER(
 _xlfn.TEXTBEFORE(tblCostChecklist[[#This Row],[RequirementID]],".",-2),
 "cost."
)</f>
        <v>collection.gallery_1@1</v>
      </c>
      <c r="C1390" s="41" t="str">
        <f>_xlfn.XLOOKUP(tblCostChecklist[[#This Row],[TargetID]],tblTargets[TargetID],tblTargets[DisplayName],"")</f>
        <v>Gallery 1 Lv 1</v>
      </c>
      <c r="D1390" s="41" t="str">
        <f>_xlfn.XLOOKUP(tblCostChecklist[[#This Row],[TargetID]],tblTargets[TargetID],tblTargets[TargetType],"")</f>
        <v>COLLECTION</v>
      </c>
      <c r="E1390" s="41" t="s">
        <v>655</v>
      </c>
      <c r="F1390" s="41">
        <v>1</v>
      </c>
      <c r="G1390" s="41">
        <f>_xlfn.XLOOKUP(
 tblCostChecklist[[#This Row],[RequirementID]],
 tblCost[RequirementID],
 tblCost[QuantityRequired],
 ""
)</f>
        <v>5</v>
      </c>
      <c r="H13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0" s="41" t="str">
        <f>_xlfn.XLOOKUP(tblCostChecklist[[#This Row],[TargetID]],tblTargetStatus[TargetID],tblTargetStatus[Status])</f>
        <v>BLOCKED</v>
      </c>
      <c r="J1390" s="25" t="b">
        <v>0</v>
      </c>
    </row>
    <row r="1391" spans="1:10">
      <c r="A1391" s="41" t="s">
        <v>5028</v>
      </c>
      <c r="B1391" s="41" t="str">
        <f>_xlfn.TEXTAFTER(
 _xlfn.TEXTBEFORE(tblCostChecklist[[#This Row],[RequirementID]],".",-2),
 "cost."
)</f>
        <v>collection.gallery_1@1</v>
      </c>
      <c r="C1391" s="41" t="str">
        <f>_xlfn.XLOOKUP(tblCostChecklist[[#This Row],[TargetID]],tblTargets[TargetID],tblTargets[DisplayName],"")</f>
        <v>Gallery 1 Lv 1</v>
      </c>
      <c r="D1391" s="41" t="str">
        <f>_xlfn.XLOOKUP(tblCostChecklist[[#This Row],[TargetID]],tblTargets[TargetID],tblTargets[TargetType],"")</f>
        <v>COLLECTION</v>
      </c>
      <c r="E1391" s="41" t="s">
        <v>929</v>
      </c>
      <c r="F1391" s="41">
        <v>1</v>
      </c>
      <c r="G1391" s="41">
        <f>_xlfn.XLOOKUP(
 tblCostChecklist[[#This Row],[RequirementID]],
 tblCost[RequirementID],
 tblCost[QuantityRequired],
 ""
)</f>
        <v>10</v>
      </c>
      <c r="H13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1" s="41" t="str">
        <f>_xlfn.XLOOKUP(tblCostChecklist[[#This Row],[TargetID]],tblTargetStatus[TargetID],tblTargetStatus[Status])</f>
        <v>BLOCKED</v>
      </c>
      <c r="J1391" s="25" t="b">
        <v>0</v>
      </c>
    </row>
    <row r="1392" spans="1:10">
      <c r="A1392" s="41" t="s">
        <v>5029</v>
      </c>
      <c r="B1392" s="41" t="str">
        <f>_xlfn.TEXTAFTER(
 _xlfn.TEXTBEFORE(tblCostChecklist[[#This Row],[RequirementID]],".",-2),
 "cost."
)</f>
        <v>collection.gallery_1@1</v>
      </c>
      <c r="C1392" s="41" t="str">
        <f>_xlfn.XLOOKUP(tblCostChecklist[[#This Row],[TargetID]],tblTargets[TargetID],tblTargets[DisplayName],"")</f>
        <v>Gallery 1 Lv 1</v>
      </c>
      <c r="D1392" s="41" t="str">
        <f>_xlfn.XLOOKUP(tblCostChecklist[[#This Row],[TargetID]],tblTargets[TargetID],tblTargets[TargetType],"")</f>
        <v>COLLECTION</v>
      </c>
      <c r="E1392" s="41" t="s">
        <v>940</v>
      </c>
      <c r="F1392" s="41">
        <v>1</v>
      </c>
      <c r="G1392" s="41">
        <f>_xlfn.XLOOKUP(
 tblCostChecklist[[#This Row],[RequirementID]],
 tblCost[RequirementID],
 tblCost[QuantityRequired],
 ""
)</f>
        <v>10</v>
      </c>
      <c r="H13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2" s="41" t="str">
        <f>_xlfn.XLOOKUP(tblCostChecklist[[#This Row],[TargetID]],tblTargetStatus[TargetID],tblTargetStatus[Status])</f>
        <v>BLOCKED</v>
      </c>
      <c r="J1392" s="25" t="b">
        <v>0</v>
      </c>
    </row>
    <row r="1393" spans="1:10">
      <c r="A1393" s="41" t="s">
        <v>5030</v>
      </c>
      <c r="B1393" s="41" t="str">
        <f>_xlfn.TEXTAFTER(
 _xlfn.TEXTBEFORE(tblCostChecklist[[#This Row],[RequirementID]],".",-2),
 "cost."
)</f>
        <v>collection.gallery_1@1</v>
      </c>
      <c r="C1393" s="41" t="str">
        <f>_xlfn.XLOOKUP(tblCostChecklist[[#This Row],[TargetID]],tblTargets[TargetID],tblTargets[DisplayName],"")</f>
        <v>Gallery 1 Lv 1</v>
      </c>
      <c r="D1393" s="41" t="str">
        <f>_xlfn.XLOOKUP(tblCostChecklist[[#This Row],[TargetID]],tblTargets[TargetID],tblTargets[TargetType],"")</f>
        <v>COLLECTION</v>
      </c>
      <c r="E1393" s="41" t="s">
        <v>690</v>
      </c>
      <c r="F1393" s="41">
        <v>1</v>
      </c>
      <c r="G1393" s="41">
        <f>_xlfn.XLOOKUP(
 tblCostChecklist[[#This Row],[RequirementID]],
 tblCost[RequirementID],
 tblCost[QuantityRequired],
 ""
)</f>
        <v>15</v>
      </c>
      <c r="H13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3" s="41" t="str">
        <f>_xlfn.XLOOKUP(tblCostChecklist[[#This Row],[TargetID]],tblTargetStatus[TargetID],tblTargetStatus[Status])</f>
        <v>BLOCKED</v>
      </c>
      <c r="J1393" s="25" t="b">
        <v>0</v>
      </c>
    </row>
    <row r="1394" spans="1:10">
      <c r="A1394" s="41" t="s">
        <v>5031</v>
      </c>
      <c r="B1394" s="41" t="str">
        <f>_xlfn.TEXTAFTER(
 _xlfn.TEXTBEFORE(tblCostChecklist[[#This Row],[RequirementID]],".",-2),
 "cost."
)</f>
        <v>collection.gallery_1@1</v>
      </c>
      <c r="C1394" s="41" t="str">
        <f>_xlfn.XLOOKUP(tblCostChecklist[[#This Row],[TargetID]],tblTargets[TargetID],tblTargets[DisplayName],"")</f>
        <v>Gallery 1 Lv 1</v>
      </c>
      <c r="D1394" s="41" t="str">
        <f>_xlfn.XLOOKUP(tblCostChecklist[[#This Row],[TargetID]],tblTargets[TargetID],tblTargets[TargetType],"")</f>
        <v>COLLECTION</v>
      </c>
      <c r="E1394" s="41" t="s">
        <v>705</v>
      </c>
      <c r="F1394" s="41">
        <v>1</v>
      </c>
      <c r="G1394" s="41">
        <f>_xlfn.XLOOKUP(
 tblCostChecklist[[#This Row],[RequirementID]],
 tblCost[RequirementID],
 tblCost[QuantityRequired],
 ""
)</f>
        <v>15</v>
      </c>
      <c r="H13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4" s="41" t="str">
        <f>_xlfn.XLOOKUP(tblCostChecklist[[#This Row],[TargetID]],tblTargetStatus[TargetID],tblTargetStatus[Status])</f>
        <v>BLOCKED</v>
      </c>
      <c r="J1394" s="25" t="b">
        <v>0</v>
      </c>
    </row>
    <row r="1395" spans="1:10">
      <c r="A1395" s="41" t="s">
        <v>5032</v>
      </c>
      <c r="B1395" s="41" t="str">
        <f>_xlfn.TEXTAFTER(
 _xlfn.TEXTBEFORE(tblCostChecklist[[#This Row],[RequirementID]],".",-2),
 "cost."
)</f>
        <v>collection.gallery_1@1</v>
      </c>
      <c r="C1395" s="41" t="str">
        <f>_xlfn.XLOOKUP(tblCostChecklist[[#This Row],[TargetID]],tblTargets[TargetID],tblTargets[DisplayName],"")</f>
        <v>Gallery 1 Lv 1</v>
      </c>
      <c r="D1395" s="41" t="str">
        <f>_xlfn.XLOOKUP(tblCostChecklist[[#This Row],[TargetID]],tblTargets[TargetID],tblTargets[TargetType],"")</f>
        <v>COLLECTION</v>
      </c>
      <c r="E1395" s="41" t="s">
        <v>720</v>
      </c>
      <c r="F1395" s="41">
        <v>1</v>
      </c>
      <c r="G1395" s="41">
        <f>_xlfn.XLOOKUP(
 tblCostChecklist[[#This Row],[RequirementID]],
 tblCost[RequirementID],
 tblCost[QuantityRequired],
 ""
)</f>
        <v>5</v>
      </c>
      <c r="H13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5" s="41" t="str">
        <f>_xlfn.XLOOKUP(tblCostChecklist[[#This Row],[TargetID]],tblTargetStatus[TargetID],tblTargetStatus[Status])</f>
        <v>BLOCKED</v>
      </c>
      <c r="J1395" s="25" t="b">
        <v>0</v>
      </c>
    </row>
    <row r="1396" spans="1:10">
      <c r="A1396" s="41" t="s">
        <v>5033</v>
      </c>
      <c r="B1396" s="41" t="str">
        <f>_xlfn.TEXTAFTER(
 _xlfn.TEXTBEFORE(tblCostChecklist[[#This Row],[RequirementID]],".",-2),
 "cost."
)</f>
        <v>collection.gallery_1@2</v>
      </c>
      <c r="C1396" s="41" t="str">
        <f>_xlfn.XLOOKUP(tblCostChecklist[[#This Row],[TargetID]],tblTargets[TargetID],tblTargets[DisplayName],"")</f>
        <v>Gallery 1 Lv 2</v>
      </c>
      <c r="D1396" s="41" t="str">
        <f>_xlfn.XLOOKUP(tblCostChecklist[[#This Row],[TargetID]],tblTargets[TargetID],tblTargets[TargetType],"")</f>
        <v>COLLECTION</v>
      </c>
      <c r="E1396" s="41" t="s">
        <v>655</v>
      </c>
      <c r="F1396" s="41">
        <v>1</v>
      </c>
      <c r="G1396" s="41">
        <f>_xlfn.XLOOKUP(
 tblCostChecklist[[#This Row],[RequirementID]],
 tblCost[RequirementID],
 tblCost[QuantityRequired],
 ""
)</f>
        <v>10</v>
      </c>
      <c r="H13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6" s="41" t="str">
        <f>_xlfn.XLOOKUP(tblCostChecklist[[#This Row],[TargetID]],tblTargetStatus[TargetID],tblTargetStatus[Status])</f>
        <v>BLOCKED</v>
      </c>
      <c r="J1396" s="25" t="b">
        <v>0</v>
      </c>
    </row>
    <row r="1397" spans="1:10">
      <c r="A1397" s="41" t="s">
        <v>5034</v>
      </c>
      <c r="B1397" s="41" t="str">
        <f>_xlfn.TEXTAFTER(
 _xlfn.TEXTBEFORE(tblCostChecklist[[#This Row],[RequirementID]],".",-2),
 "cost."
)</f>
        <v>collection.gallery_1@2</v>
      </c>
      <c r="C1397" s="41" t="str">
        <f>_xlfn.XLOOKUP(tblCostChecklist[[#This Row],[TargetID]],tblTargets[TargetID],tblTargets[DisplayName],"")</f>
        <v>Gallery 1 Lv 2</v>
      </c>
      <c r="D1397" s="41" t="str">
        <f>_xlfn.XLOOKUP(tblCostChecklist[[#This Row],[TargetID]],tblTargets[TargetID],tblTargets[TargetType],"")</f>
        <v>COLLECTION</v>
      </c>
      <c r="E1397" s="41" t="s">
        <v>929</v>
      </c>
      <c r="F1397" s="41">
        <v>1</v>
      </c>
      <c r="G1397" s="41">
        <f>_xlfn.XLOOKUP(
 tblCostChecklist[[#This Row],[RequirementID]],
 tblCost[RequirementID],
 tblCost[QuantityRequired],
 ""
)</f>
        <v>20</v>
      </c>
      <c r="H13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7" s="41" t="str">
        <f>_xlfn.XLOOKUP(tblCostChecklist[[#This Row],[TargetID]],tblTargetStatus[TargetID],tblTargetStatus[Status])</f>
        <v>BLOCKED</v>
      </c>
      <c r="J1397" s="25" t="b">
        <v>0</v>
      </c>
    </row>
    <row r="1398" spans="1:10">
      <c r="A1398" s="41" t="s">
        <v>5035</v>
      </c>
      <c r="B1398" s="41" t="str">
        <f>_xlfn.TEXTAFTER(
 _xlfn.TEXTBEFORE(tblCostChecklist[[#This Row],[RequirementID]],".",-2),
 "cost."
)</f>
        <v>collection.gallery_1@2</v>
      </c>
      <c r="C1398" s="41" t="str">
        <f>_xlfn.XLOOKUP(tblCostChecklist[[#This Row],[TargetID]],tblTargets[TargetID],tblTargets[DisplayName],"")</f>
        <v>Gallery 1 Lv 2</v>
      </c>
      <c r="D1398" s="41" t="str">
        <f>_xlfn.XLOOKUP(tblCostChecklist[[#This Row],[TargetID]],tblTargets[TargetID],tblTargets[TargetType],"")</f>
        <v>COLLECTION</v>
      </c>
      <c r="E1398" s="41" t="s">
        <v>940</v>
      </c>
      <c r="F1398" s="41">
        <v>1</v>
      </c>
      <c r="G1398" s="41">
        <f>_xlfn.XLOOKUP(
 tblCostChecklist[[#This Row],[RequirementID]],
 tblCost[RequirementID],
 tblCost[QuantityRequired],
 ""
)</f>
        <v>20</v>
      </c>
      <c r="H13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8" s="41" t="str">
        <f>_xlfn.XLOOKUP(tblCostChecklist[[#This Row],[TargetID]],tblTargetStatus[TargetID],tblTargetStatus[Status])</f>
        <v>BLOCKED</v>
      </c>
      <c r="J1398" s="25" t="b">
        <v>0</v>
      </c>
    </row>
    <row r="1399" spans="1:10">
      <c r="A1399" s="41" t="s">
        <v>5036</v>
      </c>
      <c r="B1399" s="41" t="str">
        <f>_xlfn.TEXTAFTER(
 _xlfn.TEXTBEFORE(tblCostChecklist[[#This Row],[RequirementID]],".",-2),
 "cost."
)</f>
        <v>collection.gallery_1@2</v>
      </c>
      <c r="C1399" s="41" t="str">
        <f>_xlfn.XLOOKUP(tblCostChecklist[[#This Row],[TargetID]],tblTargets[TargetID],tblTargets[DisplayName],"")</f>
        <v>Gallery 1 Lv 2</v>
      </c>
      <c r="D1399" s="41" t="str">
        <f>_xlfn.XLOOKUP(tblCostChecklist[[#This Row],[TargetID]],tblTargets[TargetID],tblTargets[TargetType],"")</f>
        <v>COLLECTION</v>
      </c>
      <c r="E1399" s="41" t="s">
        <v>690</v>
      </c>
      <c r="F1399" s="41">
        <v>1</v>
      </c>
      <c r="G1399" s="41">
        <f>_xlfn.XLOOKUP(
 tblCostChecklist[[#This Row],[RequirementID]],
 tblCost[RequirementID],
 tblCost[QuantityRequired],
 ""
)</f>
        <v>30</v>
      </c>
      <c r="H13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9" s="41" t="str">
        <f>_xlfn.XLOOKUP(tblCostChecklist[[#This Row],[TargetID]],tblTargetStatus[TargetID],tblTargetStatus[Status])</f>
        <v>BLOCKED</v>
      </c>
      <c r="J1399" s="25" t="b">
        <v>0</v>
      </c>
    </row>
    <row r="1400" spans="1:10">
      <c r="A1400" s="41" t="s">
        <v>5037</v>
      </c>
      <c r="B1400" s="41" t="str">
        <f>_xlfn.TEXTAFTER(
 _xlfn.TEXTBEFORE(tblCostChecklist[[#This Row],[RequirementID]],".",-2),
 "cost."
)</f>
        <v>collection.gallery_1@2</v>
      </c>
      <c r="C1400" s="41" t="str">
        <f>_xlfn.XLOOKUP(tblCostChecklist[[#This Row],[TargetID]],tblTargets[TargetID],tblTargets[DisplayName],"")</f>
        <v>Gallery 1 Lv 2</v>
      </c>
      <c r="D1400" s="41" t="str">
        <f>_xlfn.XLOOKUP(tblCostChecklist[[#This Row],[TargetID]],tblTargets[TargetID],tblTargets[TargetType],"")</f>
        <v>COLLECTION</v>
      </c>
      <c r="E1400" s="41" t="s">
        <v>705</v>
      </c>
      <c r="F1400" s="41">
        <v>1</v>
      </c>
      <c r="G1400" s="41">
        <f>_xlfn.XLOOKUP(
 tblCostChecklist[[#This Row],[RequirementID]],
 tblCost[RequirementID],
 tblCost[QuantityRequired],
 ""
)</f>
        <v>30</v>
      </c>
      <c r="H14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0" s="41" t="str">
        <f>_xlfn.XLOOKUP(tblCostChecklist[[#This Row],[TargetID]],tblTargetStatus[TargetID],tblTargetStatus[Status])</f>
        <v>BLOCKED</v>
      </c>
      <c r="J1400" s="25" t="b">
        <v>0</v>
      </c>
    </row>
    <row r="1401" spans="1:10">
      <c r="A1401" s="41" t="s">
        <v>5038</v>
      </c>
      <c r="B1401" s="41" t="str">
        <f>_xlfn.TEXTAFTER(
 _xlfn.TEXTBEFORE(tblCostChecklist[[#This Row],[RequirementID]],".",-2),
 "cost."
)</f>
        <v>collection.gallery_1@2</v>
      </c>
      <c r="C1401" s="41" t="str">
        <f>_xlfn.XLOOKUP(tblCostChecklist[[#This Row],[TargetID]],tblTargets[TargetID],tblTargets[DisplayName],"")</f>
        <v>Gallery 1 Lv 2</v>
      </c>
      <c r="D1401" s="41" t="str">
        <f>_xlfn.XLOOKUP(tblCostChecklist[[#This Row],[TargetID]],tblTargets[TargetID],tblTargets[TargetType],"")</f>
        <v>COLLECTION</v>
      </c>
      <c r="E1401" s="41" t="s">
        <v>720</v>
      </c>
      <c r="F1401" s="41">
        <v>1</v>
      </c>
      <c r="G1401" s="41">
        <f>_xlfn.XLOOKUP(
 tblCostChecklist[[#This Row],[RequirementID]],
 tblCost[RequirementID],
 tblCost[QuantityRequired],
 ""
)</f>
        <v>10</v>
      </c>
      <c r="H14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1" s="41" t="str">
        <f>_xlfn.XLOOKUP(tblCostChecklist[[#This Row],[TargetID]],tblTargetStatus[TargetID],tblTargetStatus[Status])</f>
        <v>BLOCKED</v>
      </c>
      <c r="J1401" s="25" t="b">
        <v>0</v>
      </c>
    </row>
    <row r="1402" spans="1:10">
      <c r="A1402" s="41" t="s">
        <v>5039</v>
      </c>
      <c r="B1402" s="41" t="str">
        <f>_xlfn.TEXTAFTER(
 _xlfn.TEXTBEFORE(tblCostChecklist[[#This Row],[RequirementID]],".",-2),
 "cost."
)</f>
        <v>collection.gallery_1@3</v>
      </c>
      <c r="C1402" s="41" t="str">
        <f>_xlfn.XLOOKUP(tblCostChecklist[[#This Row],[TargetID]],tblTargets[TargetID],tblTargets[DisplayName],"")</f>
        <v>Gallery 1 Lv 3</v>
      </c>
      <c r="D1402" s="41" t="str">
        <f>_xlfn.XLOOKUP(tblCostChecklist[[#This Row],[TargetID]],tblTargets[TargetID],tblTargets[TargetType],"")</f>
        <v>COLLECTION</v>
      </c>
      <c r="E1402" s="41" t="s">
        <v>655</v>
      </c>
      <c r="F1402" s="41">
        <v>1</v>
      </c>
      <c r="G1402" s="41">
        <f>_xlfn.XLOOKUP(
 tblCostChecklist[[#This Row],[RequirementID]],
 tblCost[RequirementID],
 tblCost[QuantityRequired],
 ""
)</f>
        <v>15</v>
      </c>
      <c r="H14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2" s="41" t="str">
        <f>_xlfn.XLOOKUP(tblCostChecklist[[#This Row],[TargetID]],tblTargetStatus[TargetID],tblTargetStatus[Status])</f>
        <v>BLOCKED</v>
      </c>
      <c r="J1402" s="25" t="b">
        <v>0</v>
      </c>
    </row>
    <row r="1403" spans="1:10">
      <c r="A1403" s="41" t="s">
        <v>5040</v>
      </c>
      <c r="B1403" s="41" t="str">
        <f>_xlfn.TEXTAFTER(
 _xlfn.TEXTBEFORE(tblCostChecklist[[#This Row],[RequirementID]],".",-2),
 "cost."
)</f>
        <v>collection.gallery_1@3</v>
      </c>
      <c r="C1403" s="41" t="str">
        <f>_xlfn.XLOOKUP(tblCostChecklist[[#This Row],[TargetID]],tblTargets[TargetID],tblTargets[DisplayName],"")</f>
        <v>Gallery 1 Lv 3</v>
      </c>
      <c r="D1403" s="41" t="str">
        <f>_xlfn.XLOOKUP(tblCostChecklist[[#This Row],[TargetID]],tblTargets[TargetID],tblTargets[TargetType],"")</f>
        <v>COLLECTION</v>
      </c>
      <c r="E1403" s="41" t="s">
        <v>929</v>
      </c>
      <c r="F1403" s="41">
        <v>1</v>
      </c>
      <c r="G1403" s="41">
        <f>_xlfn.XLOOKUP(
 tblCostChecklist[[#This Row],[RequirementID]],
 tblCost[RequirementID],
 tblCost[QuantityRequired],
 ""
)</f>
        <v>30</v>
      </c>
      <c r="H14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3" s="41" t="str">
        <f>_xlfn.XLOOKUP(tblCostChecklist[[#This Row],[TargetID]],tblTargetStatus[TargetID],tblTargetStatus[Status])</f>
        <v>BLOCKED</v>
      </c>
      <c r="J1403" s="25" t="b">
        <v>0</v>
      </c>
    </row>
    <row r="1404" spans="1:10">
      <c r="A1404" s="41" t="s">
        <v>5041</v>
      </c>
      <c r="B1404" s="41" t="str">
        <f>_xlfn.TEXTAFTER(
 _xlfn.TEXTBEFORE(tblCostChecklist[[#This Row],[RequirementID]],".",-2),
 "cost."
)</f>
        <v>collection.gallery_1@3</v>
      </c>
      <c r="C1404" s="41" t="str">
        <f>_xlfn.XLOOKUP(tblCostChecklist[[#This Row],[TargetID]],tblTargets[TargetID],tblTargets[DisplayName],"")</f>
        <v>Gallery 1 Lv 3</v>
      </c>
      <c r="D1404" s="41" t="str">
        <f>_xlfn.XLOOKUP(tblCostChecklist[[#This Row],[TargetID]],tblTargets[TargetID],tblTargets[TargetType],"")</f>
        <v>COLLECTION</v>
      </c>
      <c r="E1404" s="41" t="s">
        <v>940</v>
      </c>
      <c r="F1404" s="41">
        <v>1</v>
      </c>
      <c r="G1404" s="41">
        <f>_xlfn.XLOOKUP(
 tblCostChecklist[[#This Row],[RequirementID]],
 tblCost[RequirementID],
 tblCost[QuantityRequired],
 ""
)</f>
        <v>30</v>
      </c>
      <c r="H14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4" s="41" t="str">
        <f>_xlfn.XLOOKUP(tblCostChecklist[[#This Row],[TargetID]],tblTargetStatus[TargetID],tblTargetStatus[Status])</f>
        <v>BLOCKED</v>
      </c>
      <c r="J1404" s="25" t="b">
        <v>0</v>
      </c>
    </row>
    <row r="1405" spans="1:10">
      <c r="A1405" s="41" t="s">
        <v>5042</v>
      </c>
      <c r="B1405" s="41" t="str">
        <f>_xlfn.TEXTAFTER(
 _xlfn.TEXTBEFORE(tblCostChecklist[[#This Row],[RequirementID]],".",-2),
 "cost."
)</f>
        <v>collection.gallery_1@3</v>
      </c>
      <c r="C1405" s="41" t="str">
        <f>_xlfn.XLOOKUP(tblCostChecklist[[#This Row],[TargetID]],tblTargets[TargetID],tblTargets[DisplayName],"")</f>
        <v>Gallery 1 Lv 3</v>
      </c>
      <c r="D1405" s="41" t="str">
        <f>_xlfn.XLOOKUP(tblCostChecklist[[#This Row],[TargetID]],tblTargets[TargetID],tblTargets[TargetType],"")</f>
        <v>COLLECTION</v>
      </c>
      <c r="E1405" s="41" t="s">
        <v>690</v>
      </c>
      <c r="F1405" s="41">
        <v>1</v>
      </c>
      <c r="G1405" s="41">
        <f>_xlfn.XLOOKUP(
 tblCostChecklist[[#This Row],[RequirementID]],
 tblCost[RequirementID],
 tblCost[QuantityRequired],
 ""
)</f>
        <v>45</v>
      </c>
      <c r="H14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5" s="41" t="str">
        <f>_xlfn.XLOOKUP(tblCostChecklist[[#This Row],[TargetID]],tblTargetStatus[TargetID],tblTargetStatus[Status])</f>
        <v>BLOCKED</v>
      </c>
      <c r="J1405" s="25" t="b">
        <v>0</v>
      </c>
    </row>
    <row r="1406" spans="1:10">
      <c r="A1406" s="41" t="s">
        <v>5043</v>
      </c>
      <c r="B1406" s="41" t="str">
        <f>_xlfn.TEXTAFTER(
 _xlfn.TEXTBEFORE(tblCostChecklist[[#This Row],[RequirementID]],".",-2),
 "cost."
)</f>
        <v>collection.gallery_1@3</v>
      </c>
      <c r="C1406" s="41" t="str">
        <f>_xlfn.XLOOKUP(tblCostChecklist[[#This Row],[TargetID]],tblTargets[TargetID],tblTargets[DisplayName],"")</f>
        <v>Gallery 1 Lv 3</v>
      </c>
      <c r="D1406" s="41" t="str">
        <f>_xlfn.XLOOKUP(tblCostChecklist[[#This Row],[TargetID]],tblTargets[TargetID],tblTargets[TargetType],"")</f>
        <v>COLLECTION</v>
      </c>
      <c r="E1406" s="41" t="s">
        <v>705</v>
      </c>
      <c r="F1406" s="41">
        <v>1</v>
      </c>
      <c r="G1406" s="41">
        <f>_xlfn.XLOOKUP(
 tblCostChecklist[[#This Row],[RequirementID]],
 tblCost[RequirementID],
 tblCost[QuantityRequired],
 ""
)</f>
        <v>45</v>
      </c>
      <c r="H14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6" s="41" t="str">
        <f>_xlfn.XLOOKUP(tblCostChecklist[[#This Row],[TargetID]],tblTargetStatus[TargetID],tblTargetStatus[Status])</f>
        <v>BLOCKED</v>
      </c>
      <c r="J1406" s="25" t="b">
        <v>0</v>
      </c>
    </row>
    <row r="1407" spans="1:10">
      <c r="A1407" s="41" t="s">
        <v>5044</v>
      </c>
      <c r="B1407" s="41" t="str">
        <f>_xlfn.TEXTAFTER(
 _xlfn.TEXTBEFORE(tblCostChecklist[[#This Row],[RequirementID]],".",-2),
 "cost."
)</f>
        <v>collection.gallery_1@3</v>
      </c>
      <c r="C1407" s="41" t="str">
        <f>_xlfn.XLOOKUP(tblCostChecklist[[#This Row],[TargetID]],tblTargets[TargetID],tblTargets[DisplayName],"")</f>
        <v>Gallery 1 Lv 3</v>
      </c>
      <c r="D1407" s="41" t="str">
        <f>_xlfn.XLOOKUP(tblCostChecklist[[#This Row],[TargetID]],tblTargets[TargetID],tblTargets[TargetType],"")</f>
        <v>COLLECTION</v>
      </c>
      <c r="E1407" s="41" t="s">
        <v>720</v>
      </c>
      <c r="F1407" s="41">
        <v>1</v>
      </c>
      <c r="G1407" s="41">
        <f>_xlfn.XLOOKUP(
 tblCostChecklist[[#This Row],[RequirementID]],
 tblCost[RequirementID],
 tblCost[QuantityRequired],
 ""
)</f>
        <v>15</v>
      </c>
      <c r="H14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7" s="41" t="str">
        <f>_xlfn.XLOOKUP(tblCostChecklist[[#This Row],[TargetID]],tblTargetStatus[TargetID],tblTargetStatus[Status])</f>
        <v>BLOCKED</v>
      </c>
      <c r="J1407" s="25" t="b">
        <v>0</v>
      </c>
    </row>
    <row r="1408" spans="1:10">
      <c r="A1408" s="41" t="s">
        <v>5045</v>
      </c>
      <c r="B1408" s="41" t="str">
        <f>_xlfn.TEXTAFTER(
 _xlfn.TEXTBEFORE(tblCostChecklist[[#This Row],[RequirementID]],".",-2),
 "cost."
)</f>
        <v>collection.gallery_1@4</v>
      </c>
      <c r="C1408" s="41" t="str">
        <f>_xlfn.XLOOKUP(tblCostChecklist[[#This Row],[TargetID]],tblTargets[TargetID],tblTargets[DisplayName],"")</f>
        <v>Gallery 1 Lv 4</v>
      </c>
      <c r="D1408" s="41" t="str">
        <f>_xlfn.XLOOKUP(tblCostChecklist[[#This Row],[TargetID]],tblTargets[TargetID],tblTargets[TargetType],"")</f>
        <v>COLLECTION</v>
      </c>
      <c r="E1408" s="41" t="s">
        <v>655</v>
      </c>
      <c r="F1408" s="41">
        <v>1</v>
      </c>
      <c r="G1408" s="41">
        <f>_xlfn.XLOOKUP(
 tblCostChecklist[[#This Row],[RequirementID]],
 tblCost[RequirementID],
 tblCost[QuantityRequired],
 ""
)</f>
        <v>20</v>
      </c>
      <c r="H14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8" s="41" t="str">
        <f>_xlfn.XLOOKUP(tblCostChecklist[[#This Row],[TargetID]],tblTargetStatus[TargetID],tblTargetStatus[Status])</f>
        <v>BLOCKED</v>
      </c>
      <c r="J1408" s="25" t="b">
        <v>0</v>
      </c>
    </row>
    <row r="1409" spans="1:10">
      <c r="A1409" s="41" t="s">
        <v>5046</v>
      </c>
      <c r="B1409" s="41" t="str">
        <f>_xlfn.TEXTAFTER(
 _xlfn.TEXTBEFORE(tblCostChecklist[[#This Row],[RequirementID]],".",-2),
 "cost."
)</f>
        <v>collection.gallery_1@4</v>
      </c>
      <c r="C1409" s="41" t="str">
        <f>_xlfn.XLOOKUP(tblCostChecklist[[#This Row],[TargetID]],tblTargets[TargetID],tblTargets[DisplayName],"")</f>
        <v>Gallery 1 Lv 4</v>
      </c>
      <c r="D1409" s="41" t="str">
        <f>_xlfn.XLOOKUP(tblCostChecklist[[#This Row],[TargetID]],tblTargets[TargetID],tblTargets[TargetType],"")</f>
        <v>COLLECTION</v>
      </c>
      <c r="E1409" s="41" t="s">
        <v>929</v>
      </c>
      <c r="F1409" s="41">
        <v>1</v>
      </c>
      <c r="G1409" s="41">
        <f>_xlfn.XLOOKUP(
 tblCostChecklist[[#This Row],[RequirementID]],
 tblCost[RequirementID],
 tblCost[QuantityRequired],
 ""
)</f>
        <v>40</v>
      </c>
      <c r="H14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9" s="41" t="str">
        <f>_xlfn.XLOOKUP(tblCostChecklist[[#This Row],[TargetID]],tblTargetStatus[TargetID],tblTargetStatus[Status])</f>
        <v>BLOCKED</v>
      </c>
      <c r="J1409" s="25" t="b">
        <v>0</v>
      </c>
    </row>
    <row r="1410" spans="1:10">
      <c r="A1410" s="41" t="s">
        <v>5047</v>
      </c>
      <c r="B1410" s="41" t="str">
        <f>_xlfn.TEXTAFTER(
 _xlfn.TEXTBEFORE(tblCostChecklist[[#This Row],[RequirementID]],".",-2),
 "cost."
)</f>
        <v>collection.gallery_1@4</v>
      </c>
      <c r="C1410" s="41" t="str">
        <f>_xlfn.XLOOKUP(tblCostChecklist[[#This Row],[TargetID]],tblTargets[TargetID],tblTargets[DisplayName],"")</f>
        <v>Gallery 1 Lv 4</v>
      </c>
      <c r="D1410" s="41" t="str">
        <f>_xlfn.XLOOKUP(tblCostChecklist[[#This Row],[TargetID]],tblTargets[TargetID],tblTargets[TargetType],"")</f>
        <v>COLLECTION</v>
      </c>
      <c r="E1410" s="41" t="s">
        <v>940</v>
      </c>
      <c r="F1410" s="41">
        <v>1</v>
      </c>
      <c r="G1410" s="41">
        <f>_xlfn.XLOOKUP(
 tblCostChecklist[[#This Row],[RequirementID]],
 tblCost[RequirementID],
 tblCost[QuantityRequired],
 ""
)</f>
        <v>40</v>
      </c>
      <c r="H14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0" s="41" t="str">
        <f>_xlfn.XLOOKUP(tblCostChecklist[[#This Row],[TargetID]],tblTargetStatus[TargetID],tblTargetStatus[Status])</f>
        <v>BLOCKED</v>
      </c>
      <c r="J1410" s="25" t="b">
        <v>0</v>
      </c>
    </row>
    <row r="1411" spans="1:10">
      <c r="A1411" s="41" t="s">
        <v>5048</v>
      </c>
      <c r="B1411" s="41" t="str">
        <f>_xlfn.TEXTAFTER(
 _xlfn.TEXTBEFORE(tblCostChecklist[[#This Row],[RequirementID]],".",-2),
 "cost."
)</f>
        <v>collection.gallery_1@4</v>
      </c>
      <c r="C1411" s="41" t="str">
        <f>_xlfn.XLOOKUP(tblCostChecklist[[#This Row],[TargetID]],tblTargets[TargetID],tblTargets[DisplayName],"")</f>
        <v>Gallery 1 Lv 4</v>
      </c>
      <c r="D1411" s="41" t="str">
        <f>_xlfn.XLOOKUP(tblCostChecklist[[#This Row],[TargetID]],tblTargets[TargetID],tblTargets[TargetType],"")</f>
        <v>COLLECTION</v>
      </c>
      <c r="E1411" s="41" t="s">
        <v>690</v>
      </c>
      <c r="F1411" s="41">
        <v>1</v>
      </c>
      <c r="G1411" s="41">
        <f>_xlfn.XLOOKUP(
 tblCostChecklist[[#This Row],[RequirementID]],
 tblCost[RequirementID],
 tblCost[QuantityRequired],
 ""
)</f>
        <v>60</v>
      </c>
      <c r="H14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1" s="41" t="str">
        <f>_xlfn.XLOOKUP(tblCostChecklist[[#This Row],[TargetID]],tblTargetStatus[TargetID],tblTargetStatus[Status])</f>
        <v>BLOCKED</v>
      </c>
      <c r="J1411" s="25" t="b">
        <v>0</v>
      </c>
    </row>
    <row r="1412" spans="1:10">
      <c r="A1412" s="41" t="s">
        <v>5049</v>
      </c>
      <c r="B1412" s="41" t="str">
        <f>_xlfn.TEXTAFTER(
 _xlfn.TEXTBEFORE(tblCostChecklist[[#This Row],[RequirementID]],".",-2),
 "cost."
)</f>
        <v>collection.gallery_1@4</v>
      </c>
      <c r="C1412" s="41" t="str">
        <f>_xlfn.XLOOKUP(tblCostChecklist[[#This Row],[TargetID]],tblTargets[TargetID],tblTargets[DisplayName],"")</f>
        <v>Gallery 1 Lv 4</v>
      </c>
      <c r="D1412" s="41" t="str">
        <f>_xlfn.XLOOKUP(tblCostChecklist[[#This Row],[TargetID]],tblTargets[TargetID],tblTargets[TargetType],"")</f>
        <v>COLLECTION</v>
      </c>
      <c r="E1412" s="41" t="s">
        <v>705</v>
      </c>
      <c r="F1412" s="41">
        <v>1</v>
      </c>
      <c r="G1412" s="41">
        <f>_xlfn.XLOOKUP(
 tblCostChecklist[[#This Row],[RequirementID]],
 tblCost[RequirementID],
 tblCost[QuantityRequired],
 ""
)</f>
        <v>60</v>
      </c>
      <c r="H14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2" s="41" t="str">
        <f>_xlfn.XLOOKUP(tblCostChecklist[[#This Row],[TargetID]],tblTargetStatus[TargetID],tblTargetStatus[Status])</f>
        <v>BLOCKED</v>
      </c>
      <c r="J1412" s="25" t="b">
        <v>0</v>
      </c>
    </row>
    <row r="1413" spans="1:10">
      <c r="A1413" s="41" t="s">
        <v>5050</v>
      </c>
      <c r="B1413" s="41" t="str">
        <f>_xlfn.TEXTAFTER(
 _xlfn.TEXTBEFORE(tblCostChecklist[[#This Row],[RequirementID]],".",-2),
 "cost."
)</f>
        <v>collection.gallery_1@4</v>
      </c>
      <c r="C1413" s="41" t="str">
        <f>_xlfn.XLOOKUP(tblCostChecklist[[#This Row],[TargetID]],tblTargets[TargetID],tblTargets[DisplayName],"")</f>
        <v>Gallery 1 Lv 4</v>
      </c>
      <c r="D1413" s="41" t="str">
        <f>_xlfn.XLOOKUP(tblCostChecklist[[#This Row],[TargetID]],tblTargets[TargetID],tblTargets[TargetType],"")</f>
        <v>COLLECTION</v>
      </c>
      <c r="E1413" s="41" t="s">
        <v>720</v>
      </c>
      <c r="F1413" s="41">
        <v>1</v>
      </c>
      <c r="G1413" s="41">
        <f>_xlfn.XLOOKUP(
 tblCostChecklist[[#This Row],[RequirementID]],
 tblCost[RequirementID],
 tblCost[QuantityRequired],
 ""
)</f>
        <v>20</v>
      </c>
      <c r="H14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3" s="41" t="str">
        <f>_xlfn.XLOOKUP(tblCostChecklist[[#This Row],[TargetID]],tblTargetStatus[TargetID],tblTargetStatus[Status])</f>
        <v>BLOCKED</v>
      </c>
      <c r="J1413" s="25" t="b">
        <v>0</v>
      </c>
    </row>
    <row r="1414" spans="1:10">
      <c r="A1414" s="41" t="s">
        <v>5051</v>
      </c>
      <c r="B1414" s="41" t="str">
        <f>_xlfn.TEXTAFTER(
 _xlfn.TEXTBEFORE(tblCostChecklist[[#This Row],[RequirementID]],".",-2),
 "cost."
)</f>
        <v>collection.gallery_1@5</v>
      </c>
      <c r="C1414" s="41" t="str">
        <f>_xlfn.XLOOKUP(tblCostChecklist[[#This Row],[TargetID]],tblTargets[TargetID],tblTargets[DisplayName],"")</f>
        <v>Gallery 1 Lv 5</v>
      </c>
      <c r="D1414" s="41" t="str">
        <f>_xlfn.XLOOKUP(tblCostChecklist[[#This Row],[TargetID]],tblTargets[TargetID],tblTargets[TargetType],"")</f>
        <v>COLLECTION</v>
      </c>
      <c r="E1414" s="41" t="s">
        <v>655</v>
      </c>
      <c r="F1414" s="41">
        <v>1</v>
      </c>
      <c r="G1414" s="41">
        <f>_xlfn.XLOOKUP(
 tblCostChecklist[[#This Row],[RequirementID]],
 tblCost[RequirementID],
 tblCost[QuantityRequired],
 ""
)</f>
        <v>25</v>
      </c>
      <c r="H14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4" s="41" t="str">
        <f>_xlfn.XLOOKUP(tblCostChecklist[[#This Row],[TargetID]],tblTargetStatus[TargetID],tblTargetStatus[Status])</f>
        <v>BLOCKED</v>
      </c>
      <c r="J1414" s="25" t="b">
        <v>0</v>
      </c>
    </row>
    <row r="1415" spans="1:10">
      <c r="A1415" s="41" t="s">
        <v>5052</v>
      </c>
      <c r="B1415" s="41" t="str">
        <f>_xlfn.TEXTAFTER(
 _xlfn.TEXTBEFORE(tblCostChecklist[[#This Row],[RequirementID]],".",-2),
 "cost."
)</f>
        <v>collection.gallery_1@5</v>
      </c>
      <c r="C1415" s="41" t="str">
        <f>_xlfn.XLOOKUP(tblCostChecklist[[#This Row],[TargetID]],tblTargets[TargetID],tblTargets[DisplayName],"")</f>
        <v>Gallery 1 Lv 5</v>
      </c>
      <c r="D1415" s="41" t="str">
        <f>_xlfn.XLOOKUP(tblCostChecklist[[#This Row],[TargetID]],tblTargets[TargetID],tblTargets[TargetType],"")</f>
        <v>COLLECTION</v>
      </c>
      <c r="E1415" s="41" t="s">
        <v>929</v>
      </c>
      <c r="F1415" s="41">
        <v>1</v>
      </c>
      <c r="G1415" s="41">
        <f>_xlfn.XLOOKUP(
 tblCostChecklist[[#This Row],[RequirementID]],
 tblCost[RequirementID],
 tblCost[QuantityRequired],
 ""
)</f>
        <v>50</v>
      </c>
      <c r="H14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5" s="41" t="str">
        <f>_xlfn.XLOOKUP(tblCostChecklist[[#This Row],[TargetID]],tblTargetStatus[TargetID],tblTargetStatus[Status])</f>
        <v>BLOCKED</v>
      </c>
      <c r="J1415" s="25" t="b">
        <v>0</v>
      </c>
    </row>
    <row r="1416" spans="1:10">
      <c r="A1416" s="41" t="s">
        <v>5053</v>
      </c>
      <c r="B1416" s="41" t="str">
        <f>_xlfn.TEXTAFTER(
 _xlfn.TEXTBEFORE(tblCostChecklist[[#This Row],[RequirementID]],".",-2),
 "cost."
)</f>
        <v>collection.gallery_1@5</v>
      </c>
      <c r="C1416" s="41" t="str">
        <f>_xlfn.XLOOKUP(tblCostChecklist[[#This Row],[TargetID]],tblTargets[TargetID],tblTargets[DisplayName],"")</f>
        <v>Gallery 1 Lv 5</v>
      </c>
      <c r="D1416" s="41" t="str">
        <f>_xlfn.XLOOKUP(tblCostChecklist[[#This Row],[TargetID]],tblTargets[TargetID],tblTargets[TargetType],"")</f>
        <v>COLLECTION</v>
      </c>
      <c r="E1416" s="41" t="s">
        <v>940</v>
      </c>
      <c r="F1416" s="41">
        <v>1</v>
      </c>
      <c r="G1416" s="41">
        <f>_xlfn.XLOOKUP(
 tblCostChecklist[[#This Row],[RequirementID]],
 tblCost[RequirementID],
 tblCost[QuantityRequired],
 ""
)</f>
        <v>50</v>
      </c>
      <c r="H14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6" s="41" t="str">
        <f>_xlfn.XLOOKUP(tblCostChecklist[[#This Row],[TargetID]],tblTargetStatus[TargetID],tblTargetStatus[Status])</f>
        <v>BLOCKED</v>
      </c>
      <c r="J1416" s="25" t="b">
        <v>0</v>
      </c>
    </row>
    <row r="1417" spans="1:10">
      <c r="A1417" s="41" t="s">
        <v>5054</v>
      </c>
      <c r="B1417" s="41" t="str">
        <f>_xlfn.TEXTAFTER(
 _xlfn.TEXTBEFORE(tblCostChecklist[[#This Row],[RequirementID]],".",-2),
 "cost."
)</f>
        <v>collection.gallery_1@5</v>
      </c>
      <c r="C1417" s="41" t="str">
        <f>_xlfn.XLOOKUP(tblCostChecklist[[#This Row],[TargetID]],tblTargets[TargetID],tblTargets[DisplayName],"")</f>
        <v>Gallery 1 Lv 5</v>
      </c>
      <c r="D1417" s="41" t="str">
        <f>_xlfn.XLOOKUP(tblCostChecklist[[#This Row],[TargetID]],tblTargets[TargetID],tblTargets[TargetType],"")</f>
        <v>COLLECTION</v>
      </c>
      <c r="E1417" s="41" t="s">
        <v>690</v>
      </c>
      <c r="F1417" s="41">
        <v>1</v>
      </c>
      <c r="G1417" s="41">
        <f>_xlfn.XLOOKUP(
 tblCostChecklist[[#This Row],[RequirementID]],
 tblCost[RequirementID],
 tblCost[QuantityRequired],
 ""
)</f>
        <v>75</v>
      </c>
      <c r="H14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7" s="41" t="str">
        <f>_xlfn.XLOOKUP(tblCostChecklist[[#This Row],[TargetID]],tblTargetStatus[TargetID],tblTargetStatus[Status])</f>
        <v>BLOCKED</v>
      </c>
      <c r="J1417" s="25" t="b">
        <v>0</v>
      </c>
    </row>
    <row r="1418" spans="1:10">
      <c r="A1418" s="41" t="s">
        <v>5055</v>
      </c>
      <c r="B1418" s="41" t="str">
        <f>_xlfn.TEXTAFTER(
 _xlfn.TEXTBEFORE(tblCostChecklist[[#This Row],[RequirementID]],".",-2),
 "cost."
)</f>
        <v>collection.gallery_1@5</v>
      </c>
      <c r="C1418" s="41" t="str">
        <f>_xlfn.XLOOKUP(tblCostChecklist[[#This Row],[TargetID]],tblTargets[TargetID],tblTargets[DisplayName],"")</f>
        <v>Gallery 1 Lv 5</v>
      </c>
      <c r="D1418" s="41" t="str">
        <f>_xlfn.XLOOKUP(tblCostChecklist[[#This Row],[TargetID]],tblTargets[TargetID],tblTargets[TargetType],"")</f>
        <v>COLLECTION</v>
      </c>
      <c r="E1418" s="41" t="s">
        <v>705</v>
      </c>
      <c r="F1418" s="41">
        <v>1</v>
      </c>
      <c r="G1418" s="41">
        <f>_xlfn.XLOOKUP(
 tblCostChecklist[[#This Row],[RequirementID]],
 tblCost[RequirementID],
 tblCost[QuantityRequired],
 ""
)</f>
        <v>75</v>
      </c>
      <c r="H14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8" s="41" t="str">
        <f>_xlfn.XLOOKUP(tblCostChecklist[[#This Row],[TargetID]],tblTargetStatus[TargetID],tblTargetStatus[Status])</f>
        <v>BLOCKED</v>
      </c>
      <c r="J1418" s="25" t="b">
        <v>0</v>
      </c>
    </row>
    <row r="1419" spans="1:10">
      <c r="A1419" s="41" t="s">
        <v>5056</v>
      </c>
      <c r="B1419" s="41" t="str">
        <f>_xlfn.TEXTAFTER(
 _xlfn.TEXTBEFORE(tblCostChecklist[[#This Row],[RequirementID]],".",-2),
 "cost."
)</f>
        <v>collection.gallery_1@5</v>
      </c>
      <c r="C1419" s="41" t="str">
        <f>_xlfn.XLOOKUP(tblCostChecklist[[#This Row],[TargetID]],tblTargets[TargetID],tblTargets[DisplayName],"")</f>
        <v>Gallery 1 Lv 5</v>
      </c>
      <c r="D1419" s="41" t="str">
        <f>_xlfn.XLOOKUP(tblCostChecklist[[#This Row],[TargetID]],tblTargets[TargetID],tblTargets[TargetType],"")</f>
        <v>COLLECTION</v>
      </c>
      <c r="E1419" s="41" t="s">
        <v>720</v>
      </c>
      <c r="F1419" s="41">
        <v>1</v>
      </c>
      <c r="G1419" s="41">
        <f>_xlfn.XLOOKUP(
 tblCostChecklist[[#This Row],[RequirementID]],
 tblCost[RequirementID],
 tblCost[QuantityRequired],
 ""
)</f>
        <v>25</v>
      </c>
      <c r="H14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9" s="41" t="str">
        <f>_xlfn.XLOOKUP(tblCostChecklist[[#This Row],[TargetID]],tblTargetStatus[TargetID],tblTargetStatus[Status])</f>
        <v>BLOCKED</v>
      </c>
      <c r="J1419" s="25" t="b">
        <v>0</v>
      </c>
    </row>
    <row r="1420" spans="1:10">
      <c r="A1420" s="41" t="s">
        <v>5057</v>
      </c>
      <c r="B1420" s="41" t="str">
        <f>_xlfn.TEXTAFTER(
 _xlfn.TEXTBEFORE(tblCostChecklist[[#This Row],[RequirementID]],".",-2),
 "cost."
)</f>
        <v>collection.gallery_2@1</v>
      </c>
      <c r="C1420" s="41" t="str">
        <f>_xlfn.XLOOKUP(tblCostChecklist[[#This Row],[TargetID]],tblTargets[TargetID],tblTargets[DisplayName],"")</f>
        <v>Gallery 2 Lv 1</v>
      </c>
      <c r="D1420" s="41" t="str">
        <f>_xlfn.XLOOKUP(tblCostChecklist[[#This Row],[TargetID]],tblTargets[TargetID],tblTargets[TargetType],"")</f>
        <v>COLLECTION</v>
      </c>
      <c r="E1420" s="41" t="s">
        <v>937</v>
      </c>
      <c r="F1420" s="41">
        <v>1</v>
      </c>
      <c r="G1420" s="41">
        <f>_xlfn.XLOOKUP(
 tblCostChecklist[[#This Row],[RequirementID]],
 tblCost[RequirementID],
 tblCost[QuantityRequired],
 ""
)</f>
        <v>3</v>
      </c>
      <c r="H14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0" s="41" t="str">
        <f>_xlfn.XLOOKUP(tblCostChecklist[[#This Row],[TargetID]],tblTargetStatus[TargetID],tblTargetStatus[Status])</f>
        <v>BLOCKED</v>
      </c>
      <c r="J1420" s="25" t="b">
        <v>0</v>
      </c>
    </row>
    <row r="1421" spans="1:10">
      <c r="A1421" s="41" t="s">
        <v>5058</v>
      </c>
      <c r="B1421" s="41" t="str">
        <f>_xlfn.TEXTAFTER(
 _xlfn.TEXTBEFORE(tblCostChecklist[[#This Row],[RequirementID]],".",-2),
 "cost."
)</f>
        <v>collection.gallery_2@1</v>
      </c>
      <c r="C1421" s="41" t="str">
        <f>_xlfn.XLOOKUP(tblCostChecklist[[#This Row],[TargetID]],tblTargets[TargetID],tblTargets[DisplayName],"")</f>
        <v>Gallery 2 Lv 1</v>
      </c>
      <c r="D1421" s="41" t="str">
        <f>_xlfn.XLOOKUP(tblCostChecklist[[#This Row],[TargetID]],tblTargets[TargetID],tblTargets[TargetType],"")</f>
        <v>COLLECTION</v>
      </c>
      <c r="E1421" s="41" t="s">
        <v>939</v>
      </c>
      <c r="F1421" s="41">
        <v>1</v>
      </c>
      <c r="G1421" s="41">
        <f>_xlfn.XLOOKUP(
 tblCostChecklist[[#This Row],[RequirementID]],
 tblCost[RequirementID],
 tblCost[QuantityRequired],
 ""
)</f>
        <v>1</v>
      </c>
      <c r="H14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1" s="41" t="str">
        <f>_xlfn.XLOOKUP(tblCostChecklist[[#This Row],[TargetID]],tblTargetStatus[TargetID],tblTargetStatus[Status])</f>
        <v>BLOCKED</v>
      </c>
      <c r="J1421" s="25" t="b">
        <v>0</v>
      </c>
    </row>
    <row r="1422" spans="1:10">
      <c r="A1422" s="41" t="s">
        <v>5059</v>
      </c>
      <c r="B1422" s="41" t="str">
        <f>_xlfn.TEXTAFTER(
 _xlfn.TEXTBEFORE(tblCostChecklist[[#This Row],[RequirementID]],".",-2),
 "cost."
)</f>
        <v>collection.gallery_2@1</v>
      </c>
      <c r="C1422" s="41" t="str">
        <f>_xlfn.XLOOKUP(tblCostChecklist[[#This Row],[TargetID]],tblTargets[TargetID],tblTargets[DisplayName],"")</f>
        <v>Gallery 2 Lv 1</v>
      </c>
      <c r="D1422" s="41" t="str">
        <f>_xlfn.XLOOKUP(tblCostChecklist[[#This Row],[TargetID]],tblTargets[TargetID],tblTargets[TargetType],"")</f>
        <v>COLLECTION</v>
      </c>
      <c r="E1422" s="41" t="s">
        <v>1847</v>
      </c>
      <c r="F1422" s="41">
        <v>1</v>
      </c>
      <c r="G1422" s="41">
        <f>_xlfn.XLOOKUP(
 tblCostChecklist[[#This Row],[RequirementID]],
 tblCost[RequirementID],
 tblCost[QuantityRequired],
 ""
)</f>
        <v>3</v>
      </c>
      <c r="H14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2" s="41" t="str">
        <f>_xlfn.XLOOKUP(tblCostChecklist[[#This Row],[TargetID]],tblTargetStatus[TargetID],tblTargetStatus[Status])</f>
        <v>BLOCKED</v>
      </c>
      <c r="J1422" s="25" t="b">
        <v>0</v>
      </c>
    </row>
    <row r="1423" spans="1:10">
      <c r="A1423" s="41" t="s">
        <v>5060</v>
      </c>
      <c r="B1423" s="41" t="str">
        <f>_xlfn.TEXTAFTER(
 _xlfn.TEXTBEFORE(tblCostChecklist[[#This Row],[RequirementID]],".",-2),
 "cost."
)</f>
        <v>collection.gallery_2@2</v>
      </c>
      <c r="C1423" s="41" t="str">
        <f>_xlfn.XLOOKUP(tblCostChecklist[[#This Row],[TargetID]],tblTargets[TargetID],tblTargets[DisplayName],"")</f>
        <v>Gallery 2 Lv 2</v>
      </c>
      <c r="D1423" s="41" t="str">
        <f>_xlfn.XLOOKUP(tblCostChecklist[[#This Row],[TargetID]],tblTargets[TargetID],tblTargets[TargetType],"")</f>
        <v>COLLECTION</v>
      </c>
      <c r="E1423" s="41" t="s">
        <v>937</v>
      </c>
      <c r="F1423" s="41">
        <v>1</v>
      </c>
      <c r="G1423" s="41">
        <f>_xlfn.XLOOKUP(
 tblCostChecklist[[#This Row],[RequirementID]],
 tblCost[RequirementID],
 tblCost[QuantityRequired],
 ""
)</f>
        <v>6</v>
      </c>
      <c r="H14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3" s="41" t="str">
        <f>_xlfn.XLOOKUP(tblCostChecklist[[#This Row],[TargetID]],tblTargetStatus[TargetID],tblTargetStatus[Status])</f>
        <v>BLOCKED</v>
      </c>
      <c r="J1423" s="25" t="b">
        <v>0</v>
      </c>
    </row>
    <row r="1424" spans="1:10">
      <c r="A1424" s="41" t="s">
        <v>5061</v>
      </c>
      <c r="B1424" s="41" t="str">
        <f>_xlfn.TEXTAFTER(
 _xlfn.TEXTBEFORE(tblCostChecklist[[#This Row],[RequirementID]],".",-2),
 "cost."
)</f>
        <v>collection.gallery_2@2</v>
      </c>
      <c r="C1424" s="41" t="str">
        <f>_xlfn.XLOOKUP(tblCostChecklist[[#This Row],[TargetID]],tblTargets[TargetID],tblTargets[DisplayName],"")</f>
        <v>Gallery 2 Lv 2</v>
      </c>
      <c r="D1424" s="41" t="str">
        <f>_xlfn.XLOOKUP(tblCostChecklist[[#This Row],[TargetID]],tblTargets[TargetID],tblTargets[TargetType],"")</f>
        <v>COLLECTION</v>
      </c>
      <c r="E1424" s="41" t="s">
        <v>939</v>
      </c>
      <c r="F1424" s="41">
        <v>1</v>
      </c>
      <c r="G1424" s="41">
        <f>_xlfn.XLOOKUP(
 tblCostChecklist[[#This Row],[RequirementID]],
 tblCost[RequirementID],
 tblCost[QuantityRequired],
 ""
)</f>
        <v>2</v>
      </c>
      <c r="H14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4" s="41" t="str">
        <f>_xlfn.XLOOKUP(tblCostChecklist[[#This Row],[TargetID]],tblTargetStatus[TargetID],tblTargetStatus[Status])</f>
        <v>BLOCKED</v>
      </c>
      <c r="J1424" s="25" t="b">
        <v>0</v>
      </c>
    </row>
    <row r="1425" spans="1:10">
      <c r="A1425" s="41" t="s">
        <v>5062</v>
      </c>
      <c r="B1425" s="41" t="str">
        <f>_xlfn.TEXTAFTER(
 _xlfn.TEXTBEFORE(tblCostChecklist[[#This Row],[RequirementID]],".",-2),
 "cost."
)</f>
        <v>collection.gallery_2@2</v>
      </c>
      <c r="C1425" s="41" t="str">
        <f>_xlfn.XLOOKUP(tblCostChecklist[[#This Row],[TargetID]],tblTargets[TargetID],tblTargets[DisplayName],"")</f>
        <v>Gallery 2 Lv 2</v>
      </c>
      <c r="D1425" s="41" t="str">
        <f>_xlfn.XLOOKUP(tblCostChecklist[[#This Row],[TargetID]],tblTargets[TargetID],tblTargets[TargetType],"")</f>
        <v>COLLECTION</v>
      </c>
      <c r="E1425" s="41" t="s">
        <v>1847</v>
      </c>
      <c r="F1425" s="41">
        <v>1</v>
      </c>
      <c r="G1425" s="41">
        <f>_xlfn.XLOOKUP(
 tblCostChecklist[[#This Row],[RequirementID]],
 tblCost[RequirementID],
 tblCost[QuantityRequired],
 ""
)</f>
        <v>6</v>
      </c>
      <c r="H14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5" s="41" t="str">
        <f>_xlfn.XLOOKUP(tblCostChecklist[[#This Row],[TargetID]],tblTargetStatus[TargetID],tblTargetStatus[Status])</f>
        <v>BLOCKED</v>
      </c>
      <c r="J1425" s="25" t="b">
        <v>0</v>
      </c>
    </row>
    <row r="1426" spans="1:10">
      <c r="A1426" s="41" t="s">
        <v>5063</v>
      </c>
      <c r="B1426" s="41" t="str">
        <f>_xlfn.TEXTAFTER(
 _xlfn.TEXTBEFORE(tblCostChecklist[[#This Row],[RequirementID]],".",-2),
 "cost."
)</f>
        <v>collection.gallery_2@3</v>
      </c>
      <c r="C1426" s="41" t="str">
        <f>_xlfn.XLOOKUP(tblCostChecklist[[#This Row],[TargetID]],tblTargets[TargetID],tblTargets[DisplayName],"")</f>
        <v>Gallery 2 Lv 3</v>
      </c>
      <c r="D1426" s="41" t="str">
        <f>_xlfn.XLOOKUP(tblCostChecklist[[#This Row],[TargetID]],tblTargets[TargetID],tblTargets[TargetType],"")</f>
        <v>COLLECTION</v>
      </c>
      <c r="E1426" s="41" t="s">
        <v>937</v>
      </c>
      <c r="F1426" s="41">
        <v>1</v>
      </c>
      <c r="G1426" s="41">
        <f>_xlfn.XLOOKUP(
 tblCostChecklist[[#This Row],[RequirementID]],
 tblCost[RequirementID],
 tblCost[QuantityRequired],
 ""
)</f>
        <v>9</v>
      </c>
      <c r="H14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6" s="41" t="str">
        <f>_xlfn.XLOOKUP(tblCostChecklist[[#This Row],[TargetID]],tblTargetStatus[TargetID],tblTargetStatus[Status])</f>
        <v>BLOCKED</v>
      </c>
      <c r="J1426" s="25" t="b">
        <v>0</v>
      </c>
    </row>
    <row r="1427" spans="1:10">
      <c r="A1427" s="41" t="s">
        <v>5064</v>
      </c>
      <c r="B1427" s="41" t="str">
        <f>_xlfn.TEXTAFTER(
 _xlfn.TEXTBEFORE(tblCostChecklist[[#This Row],[RequirementID]],".",-2),
 "cost."
)</f>
        <v>collection.gallery_2@3</v>
      </c>
      <c r="C1427" s="41" t="str">
        <f>_xlfn.XLOOKUP(tblCostChecklist[[#This Row],[TargetID]],tblTargets[TargetID],tblTargets[DisplayName],"")</f>
        <v>Gallery 2 Lv 3</v>
      </c>
      <c r="D1427" s="41" t="str">
        <f>_xlfn.XLOOKUP(tblCostChecklist[[#This Row],[TargetID]],tblTargets[TargetID],tblTargets[TargetType],"")</f>
        <v>COLLECTION</v>
      </c>
      <c r="E1427" s="41" t="s">
        <v>939</v>
      </c>
      <c r="F1427" s="41">
        <v>1</v>
      </c>
      <c r="G1427" s="41">
        <f>_xlfn.XLOOKUP(
 tblCostChecklist[[#This Row],[RequirementID]],
 tblCost[RequirementID],
 tblCost[QuantityRequired],
 ""
)</f>
        <v>3</v>
      </c>
      <c r="H14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7" s="41" t="str">
        <f>_xlfn.XLOOKUP(tblCostChecklist[[#This Row],[TargetID]],tblTargetStatus[TargetID],tblTargetStatus[Status])</f>
        <v>BLOCKED</v>
      </c>
      <c r="J1427" s="25" t="b">
        <v>0</v>
      </c>
    </row>
    <row r="1428" spans="1:10">
      <c r="A1428" s="41" t="s">
        <v>5065</v>
      </c>
      <c r="B1428" s="41" t="str">
        <f>_xlfn.TEXTAFTER(
 _xlfn.TEXTBEFORE(tblCostChecklist[[#This Row],[RequirementID]],".",-2),
 "cost."
)</f>
        <v>collection.gallery_2@3</v>
      </c>
      <c r="C1428" s="41" t="str">
        <f>_xlfn.XLOOKUP(tblCostChecklist[[#This Row],[TargetID]],tblTargets[TargetID],tblTargets[DisplayName],"")</f>
        <v>Gallery 2 Lv 3</v>
      </c>
      <c r="D1428" s="41" t="str">
        <f>_xlfn.XLOOKUP(tblCostChecklist[[#This Row],[TargetID]],tblTargets[TargetID],tblTargets[TargetType],"")</f>
        <v>COLLECTION</v>
      </c>
      <c r="E1428" s="41" t="s">
        <v>1847</v>
      </c>
      <c r="F1428" s="41">
        <v>1</v>
      </c>
      <c r="G1428" s="41">
        <f>_xlfn.XLOOKUP(
 tblCostChecklist[[#This Row],[RequirementID]],
 tblCost[RequirementID],
 tblCost[QuantityRequired],
 ""
)</f>
        <v>9</v>
      </c>
      <c r="H14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8" s="41" t="str">
        <f>_xlfn.XLOOKUP(tblCostChecklist[[#This Row],[TargetID]],tblTargetStatus[TargetID],tblTargetStatus[Status])</f>
        <v>BLOCKED</v>
      </c>
      <c r="J1428" s="25" t="b">
        <v>0</v>
      </c>
    </row>
    <row r="1429" spans="1:10">
      <c r="A1429" s="41" t="s">
        <v>5066</v>
      </c>
      <c r="B1429" s="41" t="str">
        <f>_xlfn.TEXTAFTER(
 _xlfn.TEXTBEFORE(tblCostChecklist[[#This Row],[RequirementID]],".",-2),
 "cost."
)</f>
        <v>collection.gallery_2@4</v>
      </c>
      <c r="C1429" s="41" t="str">
        <f>_xlfn.XLOOKUP(tblCostChecklist[[#This Row],[TargetID]],tblTargets[TargetID],tblTargets[DisplayName],"")</f>
        <v>Gallery 2 Lv 4</v>
      </c>
      <c r="D1429" s="41" t="str">
        <f>_xlfn.XLOOKUP(tblCostChecklist[[#This Row],[TargetID]],tblTargets[TargetID],tblTargets[TargetType],"")</f>
        <v>COLLECTION</v>
      </c>
      <c r="E1429" s="41" t="s">
        <v>937</v>
      </c>
      <c r="F1429" s="41">
        <v>1</v>
      </c>
      <c r="G1429" s="41">
        <f>_xlfn.XLOOKUP(
 tblCostChecklist[[#This Row],[RequirementID]],
 tblCost[RequirementID],
 tblCost[QuantityRequired],
 ""
)</f>
        <v>12</v>
      </c>
      <c r="H14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9" s="41" t="str">
        <f>_xlfn.XLOOKUP(tblCostChecklist[[#This Row],[TargetID]],tblTargetStatus[TargetID],tblTargetStatus[Status])</f>
        <v>BLOCKED</v>
      </c>
      <c r="J1429" s="25" t="b">
        <v>0</v>
      </c>
    </row>
    <row r="1430" spans="1:10">
      <c r="A1430" s="41" t="s">
        <v>5067</v>
      </c>
      <c r="B1430" s="41" t="str">
        <f>_xlfn.TEXTAFTER(
 _xlfn.TEXTBEFORE(tblCostChecklist[[#This Row],[RequirementID]],".",-2),
 "cost."
)</f>
        <v>collection.gallery_2@4</v>
      </c>
      <c r="C1430" s="41" t="str">
        <f>_xlfn.XLOOKUP(tblCostChecklist[[#This Row],[TargetID]],tblTargets[TargetID],tblTargets[DisplayName],"")</f>
        <v>Gallery 2 Lv 4</v>
      </c>
      <c r="D1430" s="41" t="str">
        <f>_xlfn.XLOOKUP(tblCostChecklist[[#This Row],[TargetID]],tblTargets[TargetID],tblTargets[TargetType],"")</f>
        <v>COLLECTION</v>
      </c>
      <c r="E1430" s="41" t="s">
        <v>939</v>
      </c>
      <c r="F1430" s="41">
        <v>1</v>
      </c>
      <c r="G1430" s="41">
        <f>_xlfn.XLOOKUP(
 tblCostChecklist[[#This Row],[RequirementID]],
 tblCost[RequirementID],
 tblCost[QuantityRequired],
 ""
)</f>
        <v>4</v>
      </c>
      <c r="H14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0" s="41" t="str">
        <f>_xlfn.XLOOKUP(tblCostChecklist[[#This Row],[TargetID]],tblTargetStatus[TargetID],tblTargetStatus[Status])</f>
        <v>BLOCKED</v>
      </c>
      <c r="J1430" s="25" t="b">
        <v>0</v>
      </c>
    </row>
    <row r="1431" spans="1:10">
      <c r="A1431" s="41" t="s">
        <v>5068</v>
      </c>
      <c r="B1431" s="41" t="str">
        <f>_xlfn.TEXTAFTER(
 _xlfn.TEXTBEFORE(tblCostChecklist[[#This Row],[RequirementID]],".",-2),
 "cost."
)</f>
        <v>collection.gallery_2@4</v>
      </c>
      <c r="C1431" s="41" t="str">
        <f>_xlfn.XLOOKUP(tblCostChecklist[[#This Row],[TargetID]],tblTargets[TargetID],tblTargets[DisplayName],"")</f>
        <v>Gallery 2 Lv 4</v>
      </c>
      <c r="D1431" s="41" t="str">
        <f>_xlfn.XLOOKUP(tblCostChecklist[[#This Row],[TargetID]],tblTargets[TargetID],tblTargets[TargetType],"")</f>
        <v>COLLECTION</v>
      </c>
      <c r="E1431" s="41" t="s">
        <v>1847</v>
      </c>
      <c r="F1431" s="41">
        <v>1</v>
      </c>
      <c r="G1431" s="41">
        <f>_xlfn.XLOOKUP(
 tblCostChecklist[[#This Row],[RequirementID]],
 tblCost[RequirementID],
 tblCost[QuantityRequired],
 ""
)</f>
        <v>12</v>
      </c>
      <c r="H14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1" s="41" t="str">
        <f>_xlfn.XLOOKUP(tblCostChecklist[[#This Row],[TargetID]],tblTargetStatus[TargetID],tblTargetStatus[Status])</f>
        <v>BLOCKED</v>
      </c>
      <c r="J1431" s="25" t="b">
        <v>0</v>
      </c>
    </row>
    <row r="1432" spans="1:10">
      <c r="A1432" s="41" t="s">
        <v>5069</v>
      </c>
      <c r="B1432" s="41" t="str">
        <f>_xlfn.TEXTAFTER(
 _xlfn.TEXTBEFORE(tblCostChecklist[[#This Row],[RequirementID]],".",-2),
 "cost."
)</f>
        <v>collection.gallery_2@5</v>
      </c>
      <c r="C1432" s="41" t="str">
        <f>_xlfn.XLOOKUP(tblCostChecklist[[#This Row],[TargetID]],tblTargets[TargetID],tblTargets[DisplayName],"")</f>
        <v>Gallery 2 Lv 5</v>
      </c>
      <c r="D1432" s="41" t="str">
        <f>_xlfn.XLOOKUP(tblCostChecklist[[#This Row],[TargetID]],tblTargets[TargetID],tblTargets[TargetType],"")</f>
        <v>COLLECTION</v>
      </c>
      <c r="E1432" s="41" t="s">
        <v>937</v>
      </c>
      <c r="F1432" s="41">
        <v>1</v>
      </c>
      <c r="G1432" s="41">
        <f>_xlfn.XLOOKUP(
 tblCostChecklist[[#This Row],[RequirementID]],
 tblCost[RequirementID],
 tblCost[QuantityRequired],
 ""
)</f>
        <v>15</v>
      </c>
      <c r="H14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2" s="41" t="str">
        <f>_xlfn.XLOOKUP(tblCostChecklist[[#This Row],[TargetID]],tblTargetStatus[TargetID],tblTargetStatus[Status])</f>
        <v>BLOCKED</v>
      </c>
      <c r="J1432" s="25" t="b">
        <v>0</v>
      </c>
    </row>
    <row r="1433" spans="1:10">
      <c r="A1433" s="41" t="s">
        <v>5070</v>
      </c>
      <c r="B1433" s="41" t="str">
        <f>_xlfn.TEXTAFTER(
 _xlfn.TEXTBEFORE(tblCostChecklist[[#This Row],[RequirementID]],".",-2),
 "cost."
)</f>
        <v>collection.gallery_2@5</v>
      </c>
      <c r="C1433" s="41" t="str">
        <f>_xlfn.XLOOKUP(tblCostChecklist[[#This Row],[TargetID]],tblTargets[TargetID],tblTargets[DisplayName],"")</f>
        <v>Gallery 2 Lv 5</v>
      </c>
      <c r="D1433" s="41" t="str">
        <f>_xlfn.XLOOKUP(tblCostChecklist[[#This Row],[TargetID]],tblTargets[TargetID],tblTargets[TargetType],"")</f>
        <v>COLLECTION</v>
      </c>
      <c r="E1433" s="41" t="s">
        <v>939</v>
      </c>
      <c r="F1433" s="41">
        <v>1</v>
      </c>
      <c r="G1433" s="41">
        <f>_xlfn.XLOOKUP(
 tblCostChecklist[[#This Row],[RequirementID]],
 tblCost[RequirementID],
 tblCost[QuantityRequired],
 ""
)</f>
        <v>5</v>
      </c>
      <c r="H14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3" s="41" t="str">
        <f>_xlfn.XLOOKUP(tblCostChecklist[[#This Row],[TargetID]],tblTargetStatus[TargetID],tblTargetStatus[Status])</f>
        <v>BLOCKED</v>
      </c>
      <c r="J1433" s="25" t="b">
        <v>0</v>
      </c>
    </row>
    <row r="1434" spans="1:10">
      <c r="A1434" s="41" t="s">
        <v>5071</v>
      </c>
      <c r="B1434" s="41" t="str">
        <f>_xlfn.TEXTAFTER(
 _xlfn.TEXTBEFORE(tblCostChecklist[[#This Row],[RequirementID]],".",-2),
 "cost."
)</f>
        <v>collection.gallery_2@5</v>
      </c>
      <c r="C1434" s="41" t="str">
        <f>_xlfn.XLOOKUP(tblCostChecklist[[#This Row],[TargetID]],tblTargets[TargetID],tblTargets[DisplayName],"")</f>
        <v>Gallery 2 Lv 5</v>
      </c>
      <c r="D1434" s="41" t="str">
        <f>_xlfn.XLOOKUP(tblCostChecklist[[#This Row],[TargetID]],tblTargets[TargetID],tblTargets[TargetType],"")</f>
        <v>COLLECTION</v>
      </c>
      <c r="E1434" s="41" t="s">
        <v>1847</v>
      </c>
      <c r="F1434" s="41">
        <v>1</v>
      </c>
      <c r="G1434" s="41">
        <f>_xlfn.XLOOKUP(
 tblCostChecklist[[#This Row],[RequirementID]],
 tblCost[RequirementID],
 tblCost[QuantityRequired],
 ""
)</f>
        <v>15</v>
      </c>
      <c r="H14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4" s="41" t="str">
        <f>_xlfn.XLOOKUP(tblCostChecklist[[#This Row],[TargetID]],tblTargetStatus[TargetID],tblTargetStatus[Status])</f>
        <v>BLOCKED</v>
      </c>
      <c r="J1434" s="25" t="b">
        <v>0</v>
      </c>
    </row>
    <row r="1435" spans="1:10">
      <c r="A1435" s="41" t="s">
        <v>5072</v>
      </c>
      <c r="B1435" s="41" t="str">
        <f>_xlfn.TEXTAFTER(
 _xlfn.TEXTBEFORE(tblCostChecklist[[#This Row],[RequirementID]],".",-2),
 "cost."
)</f>
        <v>collection.gallery_3@1</v>
      </c>
      <c r="C1435" s="41" t="str">
        <f>_xlfn.XLOOKUP(tblCostChecklist[[#This Row],[TargetID]],tblTargets[TargetID],tblTargets[DisplayName],"")</f>
        <v>Gallery 3 Lv 1</v>
      </c>
      <c r="D1435" s="41" t="str">
        <f>_xlfn.XLOOKUP(tblCostChecklist[[#This Row],[TargetID]],tblTargets[TargetID],tblTargets[TargetType],"")</f>
        <v>COLLECTION</v>
      </c>
      <c r="E1435" s="41" t="s">
        <v>661</v>
      </c>
      <c r="F1435" s="41">
        <v>1</v>
      </c>
      <c r="G1435" s="41">
        <f>_xlfn.XLOOKUP(
 tblCostChecklist[[#This Row],[RequirementID]],
 tblCost[RequirementID],
 tblCost[QuantityRequired],
 ""
)</f>
        <v>5</v>
      </c>
      <c r="H14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5" s="41" t="str">
        <f>_xlfn.XLOOKUP(tblCostChecklist[[#This Row],[TargetID]],tblTargetStatus[TargetID],tblTargetStatus[Status])</f>
        <v>BLOCKED</v>
      </c>
      <c r="J1435" s="25" t="b">
        <v>0</v>
      </c>
    </row>
    <row r="1436" spans="1:10">
      <c r="A1436" s="41" t="s">
        <v>5073</v>
      </c>
      <c r="B1436" s="41" t="str">
        <f>_xlfn.TEXTAFTER(
 _xlfn.TEXTBEFORE(tblCostChecklist[[#This Row],[RequirementID]],".",-2),
 "cost."
)</f>
        <v>collection.gallery_3@1</v>
      </c>
      <c r="C1436" s="41" t="str">
        <f>_xlfn.XLOOKUP(tblCostChecklist[[#This Row],[TargetID]],tblTargets[TargetID],tblTargets[DisplayName],"")</f>
        <v>Gallery 3 Lv 1</v>
      </c>
      <c r="D1436" s="41" t="str">
        <f>_xlfn.XLOOKUP(tblCostChecklist[[#This Row],[TargetID]],tblTargets[TargetID],tblTargets[TargetType],"")</f>
        <v>COLLECTION</v>
      </c>
      <c r="E1436" s="41" t="s">
        <v>676</v>
      </c>
      <c r="F1436" s="41">
        <v>1</v>
      </c>
      <c r="G1436" s="41">
        <f>_xlfn.XLOOKUP(
 tblCostChecklist[[#This Row],[RequirementID]],
 tblCost[RequirementID],
 tblCost[QuantityRequired],
 ""
)</f>
        <v>5</v>
      </c>
      <c r="H14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6" s="41" t="str">
        <f>_xlfn.XLOOKUP(tblCostChecklist[[#This Row],[TargetID]],tblTargetStatus[TargetID],tblTargetStatus[Status])</f>
        <v>BLOCKED</v>
      </c>
      <c r="J1436" s="25" t="b">
        <v>0</v>
      </c>
    </row>
    <row r="1437" spans="1:10">
      <c r="A1437" s="41" t="s">
        <v>5074</v>
      </c>
      <c r="B1437" s="41" t="str">
        <f>_xlfn.TEXTAFTER(
 _xlfn.TEXTBEFORE(tblCostChecklist[[#This Row],[RequirementID]],".",-2),
 "cost."
)</f>
        <v>collection.gallery_3@1</v>
      </c>
      <c r="C1437" s="41" t="str">
        <f>_xlfn.XLOOKUP(tblCostChecklist[[#This Row],[TargetID]],tblTargets[TargetID],tblTargets[DisplayName],"")</f>
        <v>Gallery 3 Lv 1</v>
      </c>
      <c r="D1437" s="41" t="str">
        <f>_xlfn.XLOOKUP(tblCostChecklist[[#This Row],[TargetID]],tblTargets[TargetID],tblTargets[TargetType],"")</f>
        <v>COLLECTION</v>
      </c>
      <c r="E1437" s="41" t="s">
        <v>703</v>
      </c>
      <c r="F1437" s="41">
        <v>1</v>
      </c>
      <c r="G1437" s="41">
        <f>_xlfn.XLOOKUP(
 tblCostChecklist[[#This Row],[RequirementID]],
 tblCost[RequirementID],
 tblCost[QuantityRequired],
 ""
)</f>
        <v>5</v>
      </c>
      <c r="H14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7" s="41" t="str">
        <f>_xlfn.XLOOKUP(tblCostChecklist[[#This Row],[TargetID]],tblTargetStatus[TargetID],tblTargetStatus[Status])</f>
        <v>BLOCKED</v>
      </c>
      <c r="J1437" s="25" t="b">
        <v>0</v>
      </c>
    </row>
    <row r="1438" spans="1:10">
      <c r="A1438" s="41" t="s">
        <v>5075</v>
      </c>
      <c r="B1438" s="41" t="str">
        <f>_xlfn.TEXTAFTER(
 _xlfn.TEXTBEFORE(tblCostChecklist[[#This Row],[RequirementID]],".",-2),
 "cost."
)</f>
        <v>collection.gallery_3@1</v>
      </c>
      <c r="C1438" s="41" t="str">
        <f>_xlfn.XLOOKUP(tblCostChecklist[[#This Row],[TargetID]],tblTargets[TargetID],tblTargets[DisplayName],"")</f>
        <v>Gallery 3 Lv 1</v>
      </c>
      <c r="D1438" s="41" t="str">
        <f>_xlfn.XLOOKUP(tblCostChecklist[[#This Row],[TargetID]],tblTargets[TargetID],tblTargets[TargetType],"")</f>
        <v>COLLECTION</v>
      </c>
      <c r="E1438" s="41" t="s">
        <v>706</v>
      </c>
      <c r="F1438" s="41">
        <v>1</v>
      </c>
      <c r="G1438" s="41">
        <f>_xlfn.XLOOKUP(
 tblCostChecklist[[#This Row],[RequirementID]],
 tblCost[RequirementID],
 tblCost[QuantityRequired],
 ""
)</f>
        <v>5</v>
      </c>
      <c r="H14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8" s="41" t="str">
        <f>_xlfn.XLOOKUP(tblCostChecklist[[#This Row],[TargetID]],tblTargetStatus[TargetID],tblTargetStatus[Status])</f>
        <v>BLOCKED</v>
      </c>
      <c r="J1438" s="25" t="b">
        <v>0</v>
      </c>
    </row>
    <row r="1439" spans="1:10">
      <c r="A1439" s="41" t="s">
        <v>5076</v>
      </c>
      <c r="B1439" s="41" t="str">
        <f>_xlfn.TEXTAFTER(
 _xlfn.TEXTBEFORE(tblCostChecklist[[#This Row],[RequirementID]],".",-2),
 "cost."
)</f>
        <v>collection.gallery_3@1</v>
      </c>
      <c r="C1439" s="41" t="str">
        <f>_xlfn.XLOOKUP(tblCostChecklist[[#This Row],[TargetID]],tblTargets[TargetID],tblTargets[DisplayName],"")</f>
        <v>Gallery 3 Lv 1</v>
      </c>
      <c r="D1439" s="41" t="str">
        <f>_xlfn.XLOOKUP(tblCostChecklist[[#This Row],[TargetID]],tblTargets[TargetID],tblTargets[TargetType],"")</f>
        <v>COLLECTION</v>
      </c>
      <c r="E1439" s="41" t="s">
        <v>958</v>
      </c>
      <c r="F1439" s="41">
        <v>1</v>
      </c>
      <c r="G1439" s="41">
        <f>_xlfn.XLOOKUP(
 tblCostChecklist[[#This Row],[RequirementID]],
 tblCost[RequirementID],
 tblCost[QuantityRequired],
 ""
)</f>
        <v>5</v>
      </c>
      <c r="H14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9" s="41" t="str">
        <f>_xlfn.XLOOKUP(tblCostChecklist[[#This Row],[TargetID]],tblTargetStatus[TargetID],tblTargetStatus[Status])</f>
        <v>BLOCKED</v>
      </c>
      <c r="J1439" s="25" t="b">
        <v>0</v>
      </c>
    </row>
    <row r="1440" spans="1:10">
      <c r="A1440" s="41" t="s">
        <v>5077</v>
      </c>
      <c r="B1440" s="41" t="str">
        <f>_xlfn.TEXTAFTER(
 _xlfn.TEXTBEFORE(tblCostChecklist[[#This Row],[RequirementID]],".",-2),
 "cost."
)</f>
        <v>collection.gallery_3@2</v>
      </c>
      <c r="C1440" s="41" t="str">
        <f>_xlfn.XLOOKUP(tblCostChecklist[[#This Row],[TargetID]],tblTargets[TargetID],tblTargets[DisplayName],"")</f>
        <v>Gallery 3 Lv 2</v>
      </c>
      <c r="D1440" s="41" t="str">
        <f>_xlfn.XLOOKUP(tblCostChecklist[[#This Row],[TargetID]],tblTargets[TargetID],tblTargets[TargetType],"")</f>
        <v>COLLECTION</v>
      </c>
      <c r="E1440" s="41" t="s">
        <v>661</v>
      </c>
      <c r="F1440" s="41">
        <v>1</v>
      </c>
      <c r="G1440" s="41">
        <f>_xlfn.XLOOKUP(
 tblCostChecklist[[#This Row],[RequirementID]],
 tblCost[RequirementID],
 tblCost[QuantityRequired],
 ""
)</f>
        <v>10</v>
      </c>
      <c r="H14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0" s="41" t="str">
        <f>_xlfn.XLOOKUP(tblCostChecklist[[#This Row],[TargetID]],tblTargetStatus[TargetID],tblTargetStatus[Status])</f>
        <v>BLOCKED</v>
      </c>
      <c r="J1440" s="25" t="b">
        <v>0</v>
      </c>
    </row>
    <row r="1441" spans="1:10">
      <c r="A1441" s="41" t="s">
        <v>5078</v>
      </c>
      <c r="B1441" s="41" t="str">
        <f>_xlfn.TEXTAFTER(
 _xlfn.TEXTBEFORE(tblCostChecklist[[#This Row],[RequirementID]],".",-2),
 "cost."
)</f>
        <v>collection.gallery_3@2</v>
      </c>
      <c r="C1441" s="41" t="str">
        <f>_xlfn.XLOOKUP(tblCostChecklist[[#This Row],[TargetID]],tblTargets[TargetID],tblTargets[DisplayName],"")</f>
        <v>Gallery 3 Lv 2</v>
      </c>
      <c r="D1441" s="41" t="str">
        <f>_xlfn.XLOOKUP(tblCostChecklist[[#This Row],[TargetID]],tblTargets[TargetID],tblTargets[TargetType],"")</f>
        <v>COLLECTION</v>
      </c>
      <c r="E1441" s="41" t="s">
        <v>676</v>
      </c>
      <c r="F1441" s="41">
        <v>1</v>
      </c>
      <c r="G1441" s="41">
        <f>_xlfn.XLOOKUP(
 tblCostChecklist[[#This Row],[RequirementID]],
 tblCost[RequirementID],
 tblCost[QuantityRequired],
 ""
)</f>
        <v>10</v>
      </c>
      <c r="H14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1" s="41" t="str">
        <f>_xlfn.XLOOKUP(tblCostChecklist[[#This Row],[TargetID]],tblTargetStatus[TargetID],tblTargetStatus[Status])</f>
        <v>BLOCKED</v>
      </c>
      <c r="J1441" s="25" t="b">
        <v>0</v>
      </c>
    </row>
    <row r="1442" spans="1:10">
      <c r="A1442" s="41" t="s">
        <v>5079</v>
      </c>
      <c r="B1442" s="41" t="str">
        <f>_xlfn.TEXTAFTER(
 _xlfn.TEXTBEFORE(tblCostChecklist[[#This Row],[RequirementID]],".",-2),
 "cost."
)</f>
        <v>collection.gallery_3@2</v>
      </c>
      <c r="C1442" s="41" t="str">
        <f>_xlfn.XLOOKUP(tblCostChecklist[[#This Row],[TargetID]],tblTargets[TargetID],tblTargets[DisplayName],"")</f>
        <v>Gallery 3 Lv 2</v>
      </c>
      <c r="D1442" s="41" t="str">
        <f>_xlfn.XLOOKUP(tblCostChecklist[[#This Row],[TargetID]],tblTargets[TargetID],tblTargets[TargetType],"")</f>
        <v>COLLECTION</v>
      </c>
      <c r="E1442" s="41" t="s">
        <v>703</v>
      </c>
      <c r="F1442" s="41">
        <v>1</v>
      </c>
      <c r="G1442" s="41">
        <f>_xlfn.XLOOKUP(
 tblCostChecklist[[#This Row],[RequirementID]],
 tblCost[RequirementID],
 tblCost[QuantityRequired],
 ""
)</f>
        <v>10</v>
      </c>
      <c r="H14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2" s="41" t="str">
        <f>_xlfn.XLOOKUP(tblCostChecklist[[#This Row],[TargetID]],tblTargetStatus[TargetID],tblTargetStatus[Status])</f>
        <v>BLOCKED</v>
      </c>
      <c r="J1442" s="25" t="b">
        <v>0</v>
      </c>
    </row>
    <row r="1443" spans="1:10">
      <c r="A1443" s="41" t="s">
        <v>5080</v>
      </c>
      <c r="B1443" s="41" t="str">
        <f>_xlfn.TEXTAFTER(
 _xlfn.TEXTBEFORE(tblCostChecklist[[#This Row],[RequirementID]],".",-2),
 "cost."
)</f>
        <v>collection.gallery_3@2</v>
      </c>
      <c r="C1443" s="41" t="str">
        <f>_xlfn.XLOOKUP(tblCostChecklist[[#This Row],[TargetID]],tblTargets[TargetID],tblTargets[DisplayName],"")</f>
        <v>Gallery 3 Lv 2</v>
      </c>
      <c r="D1443" s="41" t="str">
        <f>_xlfn.XLOOKUP(tblCostChecklist[[#This Row],[TargetID]],tblTargets[TargetID],tblTargets[TargetType],"")</f>
        <v>COLLECTION</v>
      </c>
      <c r="E1443" s="41" t="s">
        <v>706</v>
      </c>
      <c r="F1443" s="41">
        <v>1</v>
      </c>
      <c r="G1443" s="41">
        <f>_xlfn.XLOOKUP(
 tblCostChecklist[[#This Row],[RequirementID]],
 tblCost[RequirementID],
 tblCost[QuantityRequired],
 ""
)</f>
        <v>10</v>
      </c>
      <c r="H14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3" s="41" t="str">
        <f>_xlfn.XLOOKUP(tblCostChecklist[[#This Row],[TargetID]],tblTargetStatus[TargetID],tblTargetStatus[Status])</f>
        <v>BLOCKED</v>
      </c>
      <c r="J1443" s="25" t="b">
        <v>0</v>
      </c>
    </row>
    <row r="1444" spans="1:10">
      <c r="A1444" s="41" t="s">
        <v>5081</v>
      </c>
      <c r="B1444" s="41" t="str">
        <f>_xlfn.TEXTAFTER(
 _xlfn.TEXTBEFORE(tblCostChecklist[[#This Row],[RequirementID]],".",-2),
 "cost."
)</f>
        <v>collection.gallery_3@2</v>
      </c>
      <c r="C1444" s="41" t="str">
        <f>_xlfn.XLOOKUP(tblCostChecklist[[#This Row],[TargetID]],tblTargets[TargetID],tblTargets[DisplayName],"")</f>
        <v>Gallery 3 Lv 2</v>
      </c>
      <c r="D1444" s="41" t="str">
        <f>_xlfn.XLOOKUP(tblCostChecklist[[#This Row],[TargetID]],tblTargets[TargetID],tblTargets[TargetType],"")</f>
        <v>COLLECTION</v>
      </c>
      <c r="E1444" s="41" t="s">
        <v>958</v>
      </c>
      <c r="F1444" s="41">
        <v>1</v>
      </c>
      <c r="G1444" s="41">
        <f>_xlfn.XLOOKUP(
 tblCostChecklist[[#This Row],[RequirementID]],
 tblCost[RequirementID],
 tblCost[QuantityRequired],
 ""
)</f>
        <v>10</v>
      </c>
      <c r="H14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4" s="41" t="str">
        <f>_xlfn.XLOOKUP(tblCostChecklist[[#This Row],[TargetID]],tblTargetStatus[TargetID],tblTargetStatus[Status])</f>
        <v>BLOCKED</v>
      </c>
      <c r="J1444" s="25" t="b">
        <v>0</v>
      </c>
    </row>
    <row r="1445" spans="1:10">
      <c r="A1445" s="41" t="s">
        <v>5082</v>
      </c>
      <c r="B1445" s="41" t="str">
        <f>_xlfn.TEXTAFTER(
 _xlfn.TEXTBEFORE(tblCostChecklist[[#This Row],[RequirementID]],".",-2),
 "cost."
)</f>
        <v>collection.gallery_3@3</v>
      </c>
      <c r="C1445" s="41" t="str">
        <f>_xlfn.XLOOKUP(tblCostChecklist[[#This Row],[TargetID]],tblTargets[TargetID],tblTargets[DisplayName],"")</f>
        <v>Gallery 3 Lv 3</v>
      </c>
      <c r="D1445" s="41" t="str">
        <f>_xlfn.XLOOKUP(tblCostChecklist[[#This Row],[TargetID]],tblTargets[TargetID],tblTargets[TargetType],"")</f>
        <v>COLLECTION</v>
      </c>
      <c r="E1445" s="41" t="s">
        <v>661</v>
      </c>
      <c r="F1445" s="41">
        <v>1</v>
      </c>
      <c r="G1445" s="41">
        <f>_xlfn.XLOOKUP(
 tblCostChecklist[[#This Row],[RequirementID]],
 tblCost[RequirementID],
 tblCost[QuantityRequired],
 ""
)</f>
        <v>15</v>
      </c>
      <c r="H14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5" s="41" t="str">
        <f>_xlfn.XLOOKUP(tblCostChecklist[[#This Row],[TargetID]],tblTargetStatus[TargetID],tblTargetStatus[Status])</f>
        <v>BLOCKED</v>
      </c>
      <c r="J1445" s="25" t="b">
        <v>0</v>
      </c>
    </row>
    <row r="1446" spans="1:10">
      <c r="A1446" s="41" t="s">
        <v>5083</v>
      </c>
      <c r="B1446" s="41" t="str">
        <f>_xlfn.TEXTAFTER(
 _xlfn.TEXTBEFORE(tblCostChecklist[[#This Row],[RequirementID]],".",-2),
 "cost."
)</f>
        <v>collection.gallery_3@3</v>
      </c>
      <c r="C1446" s="41" t="str">
        <f>_xlfn.XLOOKUP(tblCostChecklist[[#This Row],[TargetID]],tblTargets[TargetID],tblTargets[DisplayName],"")</f>
        <v>Gallery 3 Lv 3</v>
      </c>
      <c r="D1446" s="41" t="str">
        <f>_xlfn.XLOOKUP(tblCostChecklist[[#This Row],[TargetID]],tblTargets[TargetID],tblTargets[TargetType],"")</f>
        <v>COLLECTION</v>
      </c>
      <c r="E1446" s="41" t="s">
        <v>676</v>
      </c>
      <c r="F1446" s="41">
        <v>1</v>
      </c>
      <c r="G1446" s="41">
        <f>_xlfn.XLOOKUP(
 tblCostChecklist[[#This Row],[RequirementID]],
 tblCost[RequirementID],
 tblCost[QuantityRequired],
 ""
)</f>
        <v>15</v>
      </c>
      <c r="H14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6" s="41" t="str">
        <f>_xlfn.XLOOKUP(tblCostChecklist[[#This Row],[TargetID]],tblTargetStatus[TargetID],tblTargetStatus[Status])</f>
        <v>BLOCKED</v>
      </c>
      <c r="J1446" s="25" t="b">
        <v>0</v>
      </c>
    </row>
    <row r="1447" spans="1:10">
      <c r="A1447" s="41" t="s">
        <v>5084</v>
      </c>
      <c r="B1447" s="41" t="str">
        <f>_xlfn.TEXTAFTER(
 _xlfn.TEXTBEFORE(tblCostChecklist[[#This Row],[RequirementID]],".",-2),
 "cost."
)</f>
        <v>collection.gallery_3@3</v>
      </c>
      <c r="C1447" s="41" t="str">
        <f>_xlfn.XLOOKUP(tblCostChecklist[[#This Row],[TargetID]],tblTargets[TargetID],tblTargets[DisplayName],"")</f>
        <v>Gallery 3 Lv 3</v>
      </c>
      <c r="D1447" s="41" t="str">
        <f>_xlfn.XLOOKUP(tblCostChecklist[[#This Row],[TargetID]],tblTargets[TargetID],tblTargets[TargetType],"")</f>
        <v>COLLECTION</v>
      </c>
      <c r="E1447" s="41" t="s">
        <v>703</v>
      </c>
      <c r="F1447" s="41">
        <v>1</v>
      </c>
      <c r="G1447" s="41">
        <f>_xlfn.XLOOKUP(
 tblCostChecklist[[#This Row],[RequirementID]],
 tblCost[RequirementID],
 tblCost[QuantityRequired],
 ""
)</f>
        <v>15</v>
      </c>
      <c r="H14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7" s="41" t="str">
        <f>_xlfn.XLOOKUP(tblCostChecklist[[#This Row],[TargetID]],tblTargetStatus[TargetID],tblTargetStatus[Status])</f>
        <v>BLOCKED</v>
      </c>
      <c r="J1447" s="25" t="b">
        <v>0</v>
      </c>
    </row>
    <row r="1448" spans="1:10">
      <c r="A1448" s="41" t="s">
        <v>5085</v>
      </c>
      <c r="B1448" s="41" t="str">
        <f>_xlfn.TEXTAFTER(
 _xlfn.TEXTBEFORE(tblCostChecklist[[#This Row],[RequirementID]],".",-2),
 "cost."
)</f>
        <v>collection.gallery_3@3</v>
      </c>
      <c r="C1448" s="41" t="str">
        <f>_xlfn.XLOOKUP(tblCostChecklist[[#This Row],[TargetID]],tblTargets[TargetID],tblTargets[DisplayName],"")</f>
        <v>Gallery 3 Lv 3</v>
      </c>
      <c r="D1448" s="41" t="str">
        <f>_xlfn.XLOOKUP(tblCostChecklist[[#This Row],[TargetID]],tblTargets[TargetID],tblTargets[TargetType],"")</f>
        <v>COLLECTION</v>
      </c>
      <c r="E1448" s="41" t="s">
        <v>706</v>
      </c>
      <c r="F1448" s="41">
        <v>1</v>
      </c>
      <c r="G1448" s="41">
        <f>_xlfn.XLOOKUP(
 tblCostChecklist[[#This Row],[RequirementID]],
 tblCost[RequirementID],
 tblCost[QuantityRequired],
 ""
)</f>
        <v>15</v>
      </c>
      <c r="H14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8" s="41" t="str">
        <f>_xlfn.XLOOKUP(tblCostChecklist[[#This Row],[TargetID]],tblTargetStatus[TargetID],tblTargetStatus[Status])</f>
        <v>BLOCKED</v>
      </c>
      <c r="J1448" s="25" t="b">
        <v>0</v>
      </c>
    </row>
    <row r="1449" spans="1:10">
      <c r="A1449" s="41" t="s">
        <v>5086</v>
      </c>
      <c r="B1449" s="41" t="str">
        <f>_xlfn.TEXTAFTER(
 _xlfn.TEXTBEFORE(tblCostChecklist[[#This Row],[RequirementID]],".",-2),
 "cost."
)</f>
        <v>collection.gallery_3@3</v>
      </c>
      <c r="C1449" s="41" t="str">
        <f>_xlfn.XLOOKUP(tblCostChecklist[[#This Row],[TargetID]],tblTargets[TargetID],tblTargets[DisplayName],"")</f>
        <v>Gallery 3 Lv 3</v>
      </c>
      <c r="D1449" s="41" t="str">
        <f>_xlfn.XLOOKUP(tblCostChecklist[[#This Row],[TargetID]],tblTargets[TargetID],tblTargets[TargetType],"")</f>
        <v>COLLECTION</v>
      </c>
      <c r="E1449" s="41" t="s">
        <v>958</v>
      </c>
      <c r="F1449" s="41">
        <v>1</v>
      </c>
      <c r="G1449" s="41">
        <f>_xlfn.XLOOKUP(
 tblCostChecklist[[#This Row],[RequirementID]],
 tblCost[RequirementID],
 tblCost[QuantityRequired],
 ""
)</f>
        <v>15</v>
      </c>
      <c r="H14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9" s="41" t="str">
        <f>_xlfn.XLOOKUP(tblCostChecklist[[#This Row],[TargetID]],tblTargetStatus[TargetID],tblTargetStatus[Status])</f>
        <v>BLOCKED</v>
      </c>
      <c r="J1449" s="25" t="b">
        <v>0</v>
      </c>
    </row>
    <row r="1450" spans="1:10">
      <c r="A1450" s="41" t="s">
        <v>5087</v>
      </c>
      <c r="B1450" s="41" t="str">
        <f>_xlfn.TEXTAFTER(
 _xlfn.TEXTBEFORE(tblCostChecklist[[#This Row],[RequirementID]],".",-2),
 "cost."
)</f>
        <v>collection.gallery_3@4</v>
      </c>
      <c r="C1450" s="41" t="str">
        <f>_xlfn.XLOOKUP(tblCostChecklist[[#This Row],[TargetID]],tblTargets[TargetID],tblTargets[DisplayName],"")</f>
        <v>Gallery 3 Lv 4</v>
      </c>
      <c r="D1450" s="41" t="str">
        <f>_xlfn.XLOOKUP(tblCostChecklist[[#This Row],[TargetID]],tblTargets[TargetID],tblTargets[TargetType],"")</f>
        <v>COLLECTION</v>
      </c>
      <c r="E1450" s="41" t="s">
        <v>661</v>
      </c>
      <c r="F1450" s="41">
        <v>1</v>
      </c>
      <c r="G1450" s="41">
        <f>_xlfn.XLOOKUP(
 tblCostChecklist[[#This Row],[RequirementID]],
 tblCost[RequirementID],
 tblCost[QuantityRequired],
 ""
)</f>
        <v>20</v>
      </c>
      <c r="H14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0" s="41" t="str">
        <f>_xlfn.XLOOKUP(tblCostChecklist[[#This Row],[TargetID]],tblTargetStatus[TargetID],tblTargetStatus[Status])</f>
        <v>BLOCKED</v>
      </c>
      <c r="J1450" s="25" t="b">
        <v>0</v>
      </c>
    </row>
    <row r="1451" spans="1:10">
      <c r="A1451" s="41" t="s">
        <v>5088</v>
      </c>
      <c r="B1451" s="41" t="str">
        <f>_xlfn.TEXTAFTER(
 _xlfn.TEXTBEFORE(tblCostChecklist[[#This Row],[RequirementID]],".",-2),
 "cost."
)</f>
        <v>collection.gallery_3@4</v>
      </c>
      <c r="C1451" s="41" t="str">
        <f>_xlfn.XLOOKUP(tblCostChecklist[[#This Row],[TargetID]],tblTargets[TargetID],tblTargets[DisplayName],"")</f>
        <v>Gallery 3 Lv 4</v>
      </c>
      <c r="D1451" s="41" t="str">
        <f>_xlfn.XLOOKUP(tblCostChecklist[[#This Row],[TargetID]],tblTargets[TargetID],tblTargets[TargetType],"")</f>
        <v>COLLECTION</v>
      </c>
      <c r="E1451" s="41" t="s">
        <v>676</v>
      </c>
      <c r="F1451" s="41">
        <v>1</v>
      </c>
      <c r="G1451" s="41">
        <f>_xlfn.XLOOKUP(
 tblCostChecklist[[#This Row],[RequirementID]],
 tblCost[RequirementID],
 tblCost[QuantityRequired],
 ""
)</f>
        <v>20</v>
      </c>
      <c r="H14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1" s="41" t="str">
        <f>_xlfn.XLOOKUP(tblCostChecklist[[#This Row],[TargetID]],tblTargetStatus[TargetID],tblTargetStatus[Status])</f>
        <v>BLOCKED</v>
      </c>
      <c r="J1451" s="25" t="b">
        <v>0</v>
      </c>
    </row>
    <row r="1452" spans="1:10">
      <c r="A1452" s="41" t="s">
        <v>5089</v>
      </c>
      <c r="B1452" s="41" t="str">
        <f>_xlfn.TEXTAFTER(
 _xlfn.TEXTBEFORE(tblCostChecklist[[#This Row],[RequirementID]],".",-2),
 "cost."
)</f>
        <v>collection.gallery_3@4</v>
      </c>
      <c r="C1452" s="41" t="str">
        <f>_xlfn.XLOOKUP(tblCostChecklist[[#This Row],[TargetID]],tblTargets[TargetID],tblTargets[DisplayName],"")</f>
        <v>Gallery 3 Lv 4</v>
      </c>
      <c r="D1452" s="41" t="str">
        <f>_xlfn.XLOOKUP(tblCostChecklist[[#This Row],[TargetID]],tblTargets[TargetID],tblTargets[TargetType],"")</f>
        <v>COLLECTION</v>
      </c>
      <c r="E1452" s="41" t="s">
        <v>703</v>
      </c>
      <c r="F1452" s="41">
        <v>1</v>
      </c>
      <c r="G1452" s="41">
        <f>_xlfn.XLOOKUP(
 tblCostChecklist[[#This Row],[RequirementID]],
 tblCost[RequirementID],
 tblCost[QuantityRequired],
 ""
)</f>
        <v>20</v>
      </c>
      <c r="H14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2" s="41" t="str">
        <f>_xlfn.XLOOKUP(tblCostChecklist[[#This Row],[TargetID]],tblTargetStatus[TargetID],tblTargetStatus[Status])</f>
        <v>BLOCKED</v>
      </c>
      <c r="J1452" s="25" t="b">
        <v>0</v>
      </c>
    </row>
    <row r="1453" spans="1:10">
      <c r="A1453" s="41" t="s">
        <v>5090</v>
      </c>
      <c r="B1453" s="41" t="str">
        <f>_xlfn.TEXTAFTER(
 _xlfn.TEXTBEFORE(tblCostChecklist[[#This Row],[RequirementID]],".",-2),
 "cost."
)</f>
        <v>collection.gallery_3@4</v>
      </c>
      <c r="C1453" s="41" t="str">
        <f>_xlfn.XLOOKUP(tblCostChecklist[[#This Row],[TargetID]],tblTargets[TargetID],tblTargets[DisplayName],"")</f>
        <v>Gallery 3 Lv 4</v>
      </c>
      <c r="D1453" s="41" t="str">
        <f>_xlfn.XLOOKUP(tblCostChecklist[[#This Row],[TargetID]],tblTargets[TargetID],tblTargets[TargetType],"")</f>
        <v>COLLECTION</v>
      </c>
      <c r="E1453" s="41" t="s">
        <v>706</v>
      </c>
      <c r="F1453" s="41">
        <v>1</v>
      </c>
      <c r="G1453" s="41">
        <f>_xlfn.XLOOKUP(
 tblCostChecklist[[#This Row],[RequirementID]],
 tblCost[RequirementID],
 tblCost[QuantityRequired],
 ""
)</f>
        <v>20</v>
      </c>
      <c r="H14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3" s="41" t="str">
        <f>_xlfn.XLOOKUP(tblCostChecklist[[#This Row],[TargetID]],tblTargetStatus[TargetID],tblTargetStatus[Status])</f>
        <v>BLOCKED</v>
      </c>
      <c r="J1453" s="25" t="b">
        <v>0</v>
      </c>
    </row>
    <row r="1454" spans="1:10">
      <c r="A1454" s="41" t="s">
        <v>5091</v>
      </c>
      <c r="B1454" s="41" t="str">
        <f>_xlfn.TEXTAFTER(
 _xlfn.TEXTBEFORE(tblCostChecklist[[#This Row],[RequirementID]],".",-2),
 "cost."
)</f>
        <v>collection.gallery_3@4</v>
      </c>
      <c r="C1454" s="41" t="str">
        <f>_xlfn.XLOOKUP(tblCostChecklist[[#This Row],[TargetID]],tblTargets[TargetID],tblTargets[DisplayName],"")</f>
        <v>Gallery 3 Lv 4</v>
      </c>
      <c r="D1454" s="41" t="str">
        <f>_xlfn.XLOOKUP(tblCostChecklist[[#This Row],[TargetID]],tblTargets[TargetID],tblTargets[TargetType],"")</f>
        <v>COLLECTION</v>
      </c>
      <c r="E1454" s="41" t="s">
        <v>958</v>
      </c>
      <c r="F1454" s="41">
        <v>1</v>
      </c>
      <c r="G1454" s="41">
        <f>_xlfn.XLOOKUP(
 tblCostChecklist[[#This Row],[RequirementID]],
 tblCost[RequirementID],
 tblCost[QuantityRequired],
 ""
)</f>
        <v>20</v>
      </c>
      <c r="H14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4" s="41" t="str">
        <f>_xlfn.XLOOKUP(tblCostChecklist[[#This Row],[TargetID]],tblTargetStatus[TargetID],tblTargetStatus[Status])</f>
        <v>BLOCKED</v>
      </c>
      <c r="J1454" s="25" t="b">
        <v>0</v>
      </c>
    </row>
    <row r="1455" spans="1:10">
      <c r="A1455" s="41" t="s">
        <v>5092</v>
      </c>
      <c r="B1455" s="41" t="str">
        <f>_xlfn.TEXTAFTER(
 _xlfn.TEXTBEFORE(tblCostChecklist[[#This Row],[RequirementID]],".",-2),
 "cost."
)</f>
        <v>collection.gallery_3@5</v>
      </c>
      <c r="C1455" s="41" t="str">
        <f>_xlfn.XLOOKUP(tblCostChecklist[[#This Row],[TargetID]],tblTargets[TargetID],tblTargets[DisplayName],"")</f>
        <v>Gallery 3 Lv 5</v>
      </c>
      <c r="D1455" s="41" t="str">
        <f>_xlfn.XLOOKUP(tblCostChecklist[[#This Row],[TargetID]],tblTargets[TargetID],tblTargets[TargetType],"")</f>
        <v>COLLECTION</v>
      </c>
      <c r="E1455" s="41" t="s">
        <v>661</v>
      </c>
      <c r="F1455" s="41">
        <v>1</v>
      </c>
      <c r="G1455" s="41">
        <f>_xlfn.XLOOKUP(
 tblCostChecklist[[#This Row],[RequirementID]],
 tblCost[RequirementID],
 tblCost[QuantityRequired],
 ""
)</f>
        <v>25</v>
      </c>
      <c r="H14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5" s="41" t="str">
        <f>_xlfn.XLOOKUP(tblCostChecklist[[#This Row],[TargetID]],tblTargetStatus[TargetID],tblTargetStatus[Status])</f>
        <v>BLOCKED</v>
      </c>
      <c r="J1455" s="25" t="b">
        <v>0</v>
      </c>
    </row>
    <row r="1456" spans="1:10">
      <c r="A1456" s="41" t="s">
        <v>5093</v>
      </c>
      <c r="B1456" s="41" t="str">
        <f>_xlfn.TEXTAFTER(
 _xlfn.TEXTBEFORE(tblCostChecklist[[#This Row],[RequirementID]],".",-2),
 "cost."
)</f>
        <v>collection.gallery_3@5</v>
      </c>
      <c r="C1456" s="41" t="str">
        <f>_xlfn.XLOOKUP(tblCostChecklist[[#This Row],[TargetID]],tblTargets[TargetID],tblTargets[DisplayName],"")</f>
        <v>Gallery 3 Lv 5</v>
      </c>
      <c r="D1456" s="41" t="str">
        <f>_xlfn.XLOOKUP(tblCostChecklist[[#This Row],[TargetID]],tblTargets[TargetID],tblTargets[TargetType],"")</f>
        <v>COLLECTION</v>
      </c>
      <c r="E1456" s="41" t="s">
        <v>676</v>
      </c>
      <c r="F1456" s="41">
        <v>1</v>
      </c>
      <c r="G1456" s="41">
        <f>_xlfn.XLOOKUP(
 tblCostChecklist[[#This Row],[RequirementID]],
 tblCost[RequirementID],
 tblCost[QuantityRequired],
 ""
)</f>
        <v>25</v>
      </c>
      <c r="H14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6" s="41" t="str">
        <f>_xlfn.XLOOKUP(tblCostChecklist[[#This Row],[TargetID]],tblTargetStatus[TargetID],tblTargetStatus[Status])</f>
        <v>BLOCKED</v>
      </c>
      <c r="J1456" s="25" t="b">
        <v>0</v>
      </c>
    </row>
    <row r="1457" spans="1:10">
      <c r="A1457" s="41" t="s">
        <v>5094</v>
      </c>
      <c r="B1457" s="41" t="str">
        <f>_xlfn.TEXTAFTER(
 _xlfn.TEXTBEFORE(tblCostChecklist[[#This Row],[RequirementID]],".",-2),
 "cost."
)</f>
        <v>collection.gallery_3@5</v>
      </c>
      <c r="C1457" s="41" t="str">
        <f>_xlfn.XLOOKUP(tblCostChecklist[[#This Row],[TargetID]],tblTargets[TargetID],tblTargets[DisplayName],"")</f>
        <v>Gallery 3 Lv 5</v>
      </c>
      <c r="D1457" s="41" t="str">
        <f>_xlfn.XLOOKUP(tblCostChecklist[[#This Row],[TargetID]],tblTargets[TargetID],tblTargets[TargetType],"")</f>
        <v>COLLECTION</v>
      </c>
      <c r="E1457" s="41" t="s">
        <v>703</v>
      </c>
      <c r="F1457" s="41">
        <v>1</v>
      </c>
      <c r="G1457" s="41">
        <f>_xlfn.XLOOKUP(
 tblCostChecklist[[#This Row],[RequirementID]],
 tblCost[RequirementID],
 tblCost[QuantityRequired],
 ""
)</f>
        <v>25</v>
      </c>
      <c r="H14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7" s="41" t="str">
        <f>_xlfn.XLOOKUP(tblCostChecklist[[#This Row],[TargetID]],tblTargetStatus[TargetID],tblTargetStatus[Status])</f>
        <v>BLOCKED</v>
      </c>
      <c r="J1457" s="25" t="b">
        <v>0</v>
      </c>
    </row>
    <row r="1458" spans="1:10">
      <c r="A1458" s="41" t="s">
        <v>5095</v>
      </c>
      <c r="B1458" s="41" t="str">
        <f>_xlfn.TEXTAFTER(
 _xlfn.TEXTBEFORE(tblCostChecklist[[#This Row],[RequirementID]],".",-2),
 "cost."
)</f>
        <v>collection.gallery_3@5</v>
      </c>
      <c r="C1458" s="41" t="str">
        <f>_xlfn.XLOOKUP(tblCostChecklist[[#This Row],[TargetID]],tblTargets[TargetID],tblTargets[DisplayName],"")</f>
        <v>Gallery 3 Lv 5</v>
      </c>
      <c r="D1458" s="41" t="str">
        <f>_xlfn.XLOOKUP(tblCostChecklist[[#This Row],[TargetID]],tblTargets[TargetID],tblTargets[TargetType],"")</f>
        <v>COLLECTION</v>
      </c>
      <c r="E1458" s="41" t="s">
        <v>706</v>
      </c>
      <c r="F1458" s="41">
        <v>1</v>
      </c>
      <c r="G1458" s="41">
        <f>_xlfn.XLOOKUP(
 tblCostChecklist[[#This Row],[RequirementID]],
 tblCost[RequirementID],
 tblCost[QuantityRequired],
 ""
)</f>
        <v>25</v>
      </c>
      <c r="H14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8" s="41" t="str">
        <f>_xlfn.XLOOKUP(tblCostChecklist[[#This Row],[TargetID]],tblTargetStatus[TargetID],tblTargetStatus[Status])</f>
        <v>BLOCKED</v>
      </c>
      <c r="J1458" s="25" t="b">
        <v>0</v>
      </c>
    </row>
    <row r="1459" spans="1:10">
      <c r="A1459" s="41" t="s">
        <v>5096</v>
      </c>
      <c r="B1459" s="41" t="str">
        <f>_xlfn.TEXTAFTER(
 _xlfn.TEXTBEFORE(tblCostChecklist[[#This Row],[RequirementID]],".",-2),
 "cost."
)</f>
        <v>collection.gallery_3@5</v>
      </c>
      <c r="C1459" s="41" t="str">
        <f>_xlfn.XLOOKUP(tblCostChecklist[[#This Row],[TargetID]],tblTargets[TargetID],tblTargets[DisplayName],"")</f>
        <v>Gallery 3 Lv 5</v>
      </c>
      <c r="D1459" s="41" t="str">
        <f>_xlfn.XLOOKUP(tblCostChecklist[[#This Row],[TargetID]],tblTargets[TargetID],tblTargets[TargetType],"")</f>
        <v>COLLECTION</v>
      </c>
      <c r="E1459" s="41" t="s">
        <v>958</v>
      </c>
      <c r="F1459" s="41">
        <v>1</v>
      </c>
      <c r="G1459" s="41">
        <f>_xlfn.XLOOKUP(
 tblCostChecklist[[#This Row],[RequirementID]],
 tblCost[RequirementID],
 tblCost[QuantityRequired],
 ""
)</f>
        <v>25</v>
      </c>
      <c r="H14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9" s="41" t="str">
        <f>_xlfn.XLOOKUP(tblCostChecklist[[#This Row],[TargetID]],tblTargetStatus[TargetID],tblTargetStatus[Status])</f>
        <v>BLOCKED</v>
      </c>
      <c r="J1459" s="25" t="b">
        <v>0</v>
      </c>
    </row>
    <row r="1460" spans="1:10">
      <c r="A1460" s="41" t="s">
        <v>5097</v>
      </c>
      <c r="B1460" s="41" t="str">
        <f>_xlfn.TEXTAFTER(
 _xlfn.TEXTBEFORE(tblCostChecklist[[#This Row],[RequirementID]],".",-2),
 "cost."
)</f>
        <v>collection.historical_library_1@1</v>
      </c>
      <c r="C1460" s="41" t="str">
        <f>_xlfn.XLOOKUP(tblCostChecklist[[#This Row],[TargetID]],tblTargets[TargetID],tblTargets[DisplayName],"")</f>
        <v>Historical Library 1 Lv 1</v>
      </c>
      <c r="D1460" s="41" t="str">
        <f>_xlfn.XLOOKUP(tblCostChecklist[[#This Row],[TargetID]],tblTargets[TargetID],tblTargets[TargetType],"")</f>
        <v>COLLECTION</v>
      </c>
      <c r="E1460" s="41" t="s">
        <v>662</v>
      </c>
      <c r="F1460" s="41">
        <v>1</v>
      </c>
      <c r="G1460" s="41">
        <f>_xlfn.XLOOKUP(
 tblCostChecklist[[#This Row],[RequirementID]],
 tblCost[RequirementID],
 tblCost[QuantityRequired],
 ""
)</f>
        <v>20</v>
      </c>
      <c r="H14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0" s="41" t="str">
        <f>_xlfn.XLOOKUP(tblCostChecklist[[#This Row],[TargetID]],tblTargetStatus[TargetID],tblTargetStatus[Status])</f>
        <v>BLOCKED</v>
      </c>
      <c r="J1460" s="25" t="b">
        <v>0</v>
      </c>
    </row>
    <row r="1461" spans="1:10">
      <c r="A1461" s="41" t="s">
        <v>5098</v>
      </c>
      <c r="B1461" s="41" t="str">
        <f>_xlfn.TEXTAFTER(
 _xlfn.TEXTBEFORE(tblCostChecklist[[#This Row],[RequirementID]],".",-2),
 "cost."
)</f>
        <v>collection.historical_library_1@1</v>
      </c>
      <c r="C1461" s="41" t="str">
        <f>_xlfn.XLOOKUP(tblCostChecklist[[#This Row],[TargetID]],tblTargets[TargetID],tblTargets[DisplayName],"")</f>
        <v>Historical Library 1 Lv 1</v>
      </c>
      <c r="D1461" s="41" t="str">
        <f>_xlfn.XLOOKUP(tblCostChecklist[[#This Row],[TargetID]],tblTargets[TargetID],tblTargets[TargetType],"")</f>
        <v>COLLECTION</v>
      </c>
      <c r="E1461" s="41" t="s">
        <v>677</v>
      </c>
      <c r="F1461" s="41">
        <v>1</v>
      </c>
      <c r="G1461" s="41">
        <f>_xlfn.XLOOKUP(
 tblCostChecklist[[#This Row],[RequirementID]],
 tblCost[RequirementID],
 tblCost[QuantityRequired],
 ""
)</f>
        <v>10</v>
      </c>
      <c r="H14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1" s="41" t="str">
        <f>_xlfn.XLOOKUP(tblCostChecklist[[#This Row],[TargetID]],tblTargetStatus[TargetID],tblTargetStatus[Status])</f>
        <v>BLOCKED</v>
      </c>
      <c r="J1461" s="25" t="b">
        <v>0</v>
      </c>
    </row>
    <row r="1462" spans="1:10">
      <c r="A1462" s="41" t="s">
        <v>5099</v>
      </c>
      <c r="B1462" s="41" t="str">
        <f>_xlfn.TEXTAFTER(
 _xlfn.TEXTBEFORE(tblCostChecklist[[#This Row],[RequirementID]],".",-2),
 "cost."
)</f>
        <v>collection.historical_library_1@1</v>
      </c>
      <c r="C1462" s="41" t="str">
        <f>_xlfn.XLOOKUP(tblCostChecklist[[#This Row],[TargetID]],tblTargets[TargetID],tblTargets[DisplayName],"")</f>
        <v>Historical Library 1 Lv 1</v>
      </c>
      <c r="D1462" s="41" t="str">
        <f>_xlfn.XLOOKUP(tblCostChecklist[[#This Row],[TargetID]],tblTargets[TargetID],tblTargets[TargetType],"")</f>
        <v>COLLECTION</v>
      </c>
      <c r="E1462" s="41" t="s">
        <v>696</v>
      </c>
      <c r="F1462" s="41">
        <v>1</v>
      </c>
      <c r="G1462" s="41">
        <f>_xlfn.XLOOKUP(
 tblCostChecklist[[#This Row],[RequirementID]],
 tblCost[RequirementID],
 tblCost[QuantityRequired],
 ""
)</f>
        <v>30</v>
      </c>
      <c r="H14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2" s="41" t="str">
        <f>_xlfn.XLOOKUP(tblCostChecklist[[#This Row],[TargetID]],tblTargetStatus[TargetID],tblTargetStatus[Status])</f>
        <v>BLOCKED</v>
      </c>
      <c r="J1462" s="25" t="b">
        <v>0</v>
      </c>
    </row>
    <row r="1463" spans="1:10">
      <c r="A1463" s="41" t="s">
        <v>5100</v>
      </c>
      <c r="B1463" s="41" t="str">
        <f>_xlfn.TEXTAFTER(
 _xlfn.TEXTBEFORE(tblCostChecklist[[#This Row],[RequirementID]],".",-2),
 "cost."
)</f>
        <v>collection.historical_library_1@1</v>
      </c>
      <c r="C1463" s="41" t="str">
        <f>_xlfn.XLOOKUP(tblCostChecklist[[#This Row],[TargetID]],tblTargets[TargetID],tblTargets[DisplayName],"")</f>
        <v>Historical Library 1 Lv 1</v>
      </c>
      <c r="D1463" s="41" t="str">
        <f>_xlfn.XLOOKUP(tblCostChecklist[[#This Row],[TargetID]],tblTargets[TargetID],tblTargets[TargetType],"")</f>
        <v>COLLECTION</v>
      </c>
      <c r="E1463" s="41" t="s">
        <v>710</v>
      </c>
      <c r="F1463" s="41">
        <v>1</v>
      </c>
      <c r="G1463" s="41">
        <f>_xlfn.XLOOKUP(
 tblCostChecklist[[#This Row],[RequirementID]],
 tblCost[RequirementID],
 tblCost[QuantityRequired],
 ""
)</f>
        <v>1</v>
      </c>
      <c r="H14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3" s="41" t="str">
        <f>_xlfn.XLOOKUP(tblCostChecklist[[#This Row],[TargetID]],tblTargetStatus[TargetID],tblTargetStatus[Status])</f>
        <v>BLOCKED</v>
      </c>
      <c r="J1463" s="25" t="b">
        <v>0</v>
      </c>
    </row>
    <row r="1464" spans="1:10">
      <c r="A1464" s="41" t="s">
        <v>5101</v>
      </c>
      <c r="B1464" s="41" t="str">
        <f>_xlfn.TEXTAFTER(
 _xlfn.TEXTBEFORE(tblCostChecklist[[#This Row],[RequirementID]],".",-2),
 "cost."
)</f>
        <v>collection.historical_library_1@2</v>
      </c>
      <c r="C1464" s="41" t="str">
        <f>_xlfn.XLOOKUP(tblCostChecklist[[#This Row],[TargetID]],tblTargets[TargetID],tblTargets[DisplayName],"")</f>
        <v>Historical Library 1 Lv 2</v>
      </c>
      <c r="D1464" s="41" t="str">
        <f>_xlfn.XLOOKUP(tblCostChecklist[[#This Row],[TargetID]],tblTargets[TargetID],tblTargets[TargetType],"")</f>
        <v>COLLECTION</v>
      </c>
      <c r="E1464" s="41" t="s">
        <v>662</v>
      </c>
      <c r="F1464" s="41">
        <v>1</v>
      </c>
      <c r="G1464" s="41">
        <f>_xlfn.XLOOKUP(
 tblCostChecklist[[#This Row],[RequirementID]],
 tblCost[RequirementID],
 tblCost[QuantityRequired],
 ""
)</f>
        <v>40</v>
      </c>
      <c r="H14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1464" s="41" t="str">
        <f>_xlfn.XLOOKUP(tblCostChecklist[[#This Row],[TargetID]],tblTargetStatus[TargetID],tblTargetStatus[Status])</f>
        <v>BLOCKED</v>
      </c>
      <c r="J1464" s="25" t="b">
        <v>0</v>
      </c>
    </row>
    <row r="1465" spans="1:10">
      <c r="A1465" s="41" t="s">
        <v>5102</v>
      </c>
      <c r="B1465" s="41" t="str">
        <f>_xlfn.TEXTAFTER(
 _xlfn.TEXTBEFORE(tblCostChecklist[[#This Row],[RequirementID]],".",-2),
 "cost."
)</f>
        <v>collection.historical_library_1@2</v>
      </c>
      <c r="C1465" s="41" t="str">
        <f>_xlfn.XLOOKUP(tblCostChecklist[[#This Row],[TargetID]],tblTargets[TargetID],tblTargets[DisplayName],"")</f>
        <v>Historical Library 1 Lv 2</v>
      </c>
      <c r="D1465" s="41" t="str">
        <f>_xlfn.XLOOKUP(tblCostChecklist[[#This Row],[TargetID]],tblTargets[TargetID],tblTargets[TargetType],"")</f>
        <v>COLLECTION</v>
      </c>
      <c r="E1465" s="41" t="s">
        <v>677</v>
      </c>
      <c r="F1465" s="41">
        <v>1</v>
      </c>
      <c r="G1465" s="41">
        <f>_xlfn.XLOOKUP(
 tblCostChecklist[[#This Row],[RequirementID]],
 tblCost[RequirementID],
 tblCost[QuantityRequired],
 ""
)</f>
        <v>20</v>
      </c>
      <c r="H14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1465" s="41" t="str">
        <f>_xlfn.XLOOKUP(tblCostChecklist[[#This Row],[TargetID]],tblTargetStatus[TargetID],tblTargetStatus[Status])</f>
        <v>BLOCKED</v>
      </c>
      <c r="J1465" s="25" t="b">
        <v>0</v>
      </c>
    </row>
    <row r="1466" spans="1:10">
      <c r="A1466" s="41" t="s">
        <v>5103</v>
      </c>
      <c r="B1466" s="41" t="str">
        <f>_xlfn.TEXTAFTER(
 _xlfn.TEXTBEFORE(tblCostChecklist[[#This Row],[RequirementID]],".",-2),
 "cost."
)</f>
        <v>collection.historical_library_1@2</v>
      </c>
      <c r="C1466" s="41" t="str">
        <f>_xlfn.XLOOKUP(tblCostChecklist[[#This Row],[TargetID]],tblTargets[TargetID],tblTargets[DisplayName],"")</f>
        <v>Historical Library 1 Lv 2</v>
      </c>
      <c r="D1466" s="41" t="str">
        <f>_xlfn.XLOOKUP(tblCostChecklist[[#This Row],[TargetID]],tblTargets[TargetID],tblTargets[TargetType],"")</f>
        <v>COLLECTION</v>
      </c>
      <c r="E1466" s="41" t="s">
        <v>696</v>
      </c>
      <c r="F1466" s="41">
        <v>1</v>
      </c>
      <c r="G1466" s="41">
        <f>_xlfn.XLOOKUP(
 tblCostChecklist[[#This Row],[RequirementID]],
 tblCost[RequirementID],
 tblCost[QuantityRequired],
 ""
)</f>
        <v>60</v>
      </c>
      <c r="H14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1466" s="41" t="str">
        <f>_xlfn.XLOOKUP(tblCostChecklist[[#This Row],[TargetID]],tblTargetStatus[TargetID],tblTargetStatus[Status])</f>
        <v>BLOCKED</v>
      </c>
      <c r="J1466" s="25" t="b">
        <v>0</v>
      </c>
    </row>
    <row r="1467" spans="1:10">
      <c r="A1467" s="41" t="s">
        <v>5104</v>
      </c>
      <c r="B1467" s="41" t="str">
        <f>_xlfn.TEXTAFTER(
 _xlfn.TEXTBEFORE(tblCostChecklist[[#This Row],[RequirementID]],".",-2),
 "cost."
)</f>
        <v>collection.historical_library_1@2</v>
      </c>
      <c r="C1467" s="41" t="str">
        <f>_xlfn.XLOOKUP(tblCostChecklist[[#This Row],[TargetID]],tblTargets[TargetID],tblTargets[DisplayName],"")</f>
        <v>Historical Library 1 Lv 2</v>
      </c>
      <c r="D1467" s="41" t="str">
        <f>_xlfn.XLOOKUP(tblCostChecklist[[#This Row],[TargetID]],tblTargets[TargetID],tblTargets[TargetType],"")</f>
        <v>COLLECTION</v>
      </c>
      <c r="E1467" s="41" t="s">
        <v>710</v>
      </c>
      <c r="F1467" s="41">
        <v>1</v>
      </c>
      <c r="G1467" s="41">
        <f>_xlfn.XLOOKUP(
 tblCostChecklist[[#This Row],[RequirementID]],
 tblCost[RequirementID],
 tblCost[QuantityRequired],
 ""
)</f>
        <v>2</v>
      </c>
      <c r="H14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1467" s="41" t="str">
        <f>_xlfn.XLOOKUP(tblCostChecklist[[#This Row],[TargetID]],tblTargetStatus[TargetID],tblTargetStatus[Status])</f>
        <v>BLOCKED</v>
      </c>
      <c r="J1467" s="25" t="b">
        <v>0</v>
      </c>
    </row>
    <row r="1468" spans="1:10">
      <c r="A1468" s="41" t="s">
        <v>5105</v>
      </c>
      <c r="B1468" s="41" t="str">
        <f>_xlfn.TEXTAFTER(
 _xlfn.TEXTBEFORE(tblCostChecklist[[#This Row],[RequirementID]],".",-2),
 "cost."
)</f>
        <v>collection.historical_library_1@3</v>
      </c>
      <c r="C1468" s="41" t="str">
        <f>_xlfn.XLOOKUP(tblCostChecklist[[#This Row],[TargetID]],tblTargets[TargetID],tblTargets[DisplayName],"")</f>
        <v>Historical Library 1 Lv 3</v>
      </c>
      <c r="D1468" s="41" t="str">
        <f>_xlfn.XLOOKUP(tblCostChecklist[[#This Row],[TargetID]],tblTargets[TargetID],tblTargets[TargetType],"")</f>
        <v>COLLECTION</v>
      </c>
      <c r="E1468" s="41" t="s">
        <v>662</v>
      </c>
      <c r="F1468" s="41">
        <v>1</v>
      </c>
      <c r="G1468" s="41">
        <f>_xlfn.XLOOKUP(
 tblCostChecklist[[#This Row],[RequirementID]],
 tblCost[RequirementID],
 tblCost[QuantityRequired],
 ""
)</f>
        <v>60</v>
      </c>
      <c r="H14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8" s="41" t="str">
        <f>_xlfn.XLOOKUP(tblCostChecklist[[#This Row],[TargetID]],tblTargetStatus[TargetID],tblTargetStatus[Status])</f>
        <v>BLOCKED</v>
      </c>
      <c r="J1468" s="25" t="b">
        <v>0</v>
      </c>
    </row>
    <row r="1469" spans="1:10">
      <c r="A1469" s="41" t="s">
        <v>5106</v>
      </c>
      <c r="B1469" s="41" t="str">
        <f>_xlfn.TEXTAFTER(
 _xlfn.TEXTBEFORE(tblCostChecklist[[#This Row],[RequirementID]],".",-2),
 "cost."
)</f>
        <v>collection.historical_library_1@3</v>
      </c>
      <c r="C1469" s="41" t="str">
        <f>_xlfn.XLOOKUP(tblCostChecklist[[#This Row],[TargetID]],tblTargets[TargetID],tblTargets[DisplayName],"")</f>
        <v>Historical Library 1 Lv 3</v>
      </c>
      <c r="D1469" s="41" t="str">
        <f>_xlfn.XLOOKUP(tblCostChecklist[[#This Row],[TargetID]],tblTargets[TargetID],tblTargets[TargetType],"")</f>
        <v>COLLECTION</v>
      </c>
      <c r="E1469" s="41" t="s">
        <v>677</v>
      </c>
      <c r="F1469" s="41">
        <v>1</v>
      </c>
      <c r="G1469" s="41">
        <f>_xlfn.XLOOKUP(
 tblCostChecklist[[#This Row],[RequirementID]],
 tblCost[RequirementID],
 tblCost[QuantityRequired],
 ""
)</f>
        <v>30</v>
      </c>
      <c r="H14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9" s="41" t="str">
        <f>_xlfn.XLOOKUP(tblCostChecklist[[#This Row],[TargetID]],tblTargetStatus[TargetID],tblTargetStatus[Status])</f>
        <v>BLOCKED</v>
      </c>
      <c r="J1469" s="25" t="b">
        <v>0</v>
      </c>
    </row>
    <row r="1470" spans="1:10">
      <c r="A1470" s="41" t="s">
        <v>5107</v>
      </c>
      <c r="B1470" s="41" t="str">
        <f>_xlfn.TEXTAFTER(
 _xlfn.TEXTBEFORE(tblCostChecklist[[#This Row],[RequirementID]],".",-2),
 "cost."
)</f>
        <v>collection.historical_library_1@3</v>
      </c>
      <c r="C1470" s="41" t="str">
        <f>_xlfn.XLOOKUP(tblCostChecklist[[#This Row],[TargetID]],tblTargets[TargetID],tblTargets[DisplayName],"")</f>
        <v>Historical Library 1 Lv 3</v>
      </c>
      <c r="D1470" s="41" t="str">
        <f>_xlfn.XLOOKUP(tblCostChecklist[[#This Row],[TargetID]],tblTargets[TargetID],tblTargets[TargetType],"")</f>
        <v>COLLECTION</v>
      </c>
      <c r="E1470" s="41" t="s">
        <v>696</v>
      </c>
      <c r="F1470" s="41">
        <v>1</v>
      </c>
      <c r="G1470" s="41">
        <f>_xlfn.XLOOKUP(
 tblCostChecklist[[#This Row],[RequirementID]],
 tblCost[RequirementID],
 tblCost[QuantityRequired],
 ""
)</f>
        <v>90</v>
      </c>
      <c r="H14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0" s="41" t="str">
        <f>_xlfn.XLOOKUP(tblCostChecklist[[#This Row],[TargetID]],tblTargetStatus[TargetID],tblTargetStatus[Status])</f>
        <v>BLOCKED</v>
      </c>
      <c r="J1470" s="25" t="b">
        <v>0</v>
      </c>
    </row>
    <row r="1471" spans="1:10">
      <c r="A1471" s="41" t="s">
        <v>5108</v>
      </c>
      <c r="B1471" s="41" t="str">
        <f>_xlfn.TEXTAFTER(
 _xlfn.TEXTBEFORE(tblCostChecklist[[#This Row],[RequirementID]],".",-2),
 "cost."
)</f>
        <v>collection.historical_library_1@3</v>
      </c>
      <c r="C1471" s="41" t="str">
        <f>_xlfn.XLOOKUP(tblCostChecklist[[#This Row],[TargetID]],tblTargets[TargetID],tblTargets[DisplayName],"")</f>
        <v>Historical Library 1 Lv 3</v>
      </c>
      <c r="D1471" s="41" t="str">
        <f>_xlfn.XLOOKUP(tblCostChecklist[[#This Row],[TargetID]],tblTargets[TargetID],tblTargets[TargetType],"")</f>
        <v>COLLECTION</v>
      </c>
      <c r="E1471" s="41" t="s">
        <v>710</v>
      </c>
      <c r="F1471" s="41">
        <v>1</v>
      </c>
      <c r="G1471" s="41">
        <f>_xlfn.XLOOKUP(
 tblCostChecklist[[#This Row],[RequirementID]],
 tblCost[RequirementID],
 tblCost[QuantityRequired],
 ""
)</f>
        <v>3</v>
      </c>
      <c r="H14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1" s="41" t="str">
        <f>_xlfn.XLOOKUP(tblCostChecklist[[#This Row],[TargetID]],tblTargetStatus[TargetID],tblTargetStatus[Status])</f>
        <v>BLOCKED</v>
      </c>
      <c r="J1471" s="25" t="b">
        <v>0</v>
      </c>
    </row>
    <row r="1472" spans="1:10">
      <c r="A1472" s="41" t="s">
        <v>5109</v>
      </c>
      <c r="B1472" s="41" t="str">
        <f>_xlfn.TEXTAFTER(
 _xlfn.TEXTBEFORE(tblCostChecklist[[#This Row],[RequirementID]],".",-2),
 "cost."
)</f>
        <v>collection.historical_library_2@1</v>
      </c>
      <c r="C1472" s="41" t="str">
        <f>_xlfn.XLOOKUP(tblCostChecklist[[#This Row],[TargetID]],tblTargets[TargetID],tblTargets[DisplayName],"")</f>
        <v>Historical Library 2 Lv 1</v>
      </c>
      <c r="D1472" s="41" t="str">
        <f>_xlfn.XLOOKUP(tblCostChecklist[[#This Row],[TargetID]],tblTargets[TargetID],tblTargets[TargetType],"")</f>
        <v>COLLECTION</v>
      </c>
      <c r="E1472" s="41" t="s">
        <v>1811</v>
      </c>
      <c r="F1472" s="41">
        <v>1</v>
      </c>
      <c r="G1472" s="41">
        <f>_xlfn.XLOOKUP(
 tblCostChecklist[[#This Row],[RequirementID]],
 tblCost[RequirementID],
 tblCost[QuantityRequired],
 ""
)</f>
        <v>20</v>
      </c>
      <c r="H14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2" s="41" t="str">
        <f>_xlfn.XLOOKUP(tblCostChecklist[[#This Row],[TargetID]],tblTargetStatus[TargetID],tblTargetStatus[Status])</f>
        <v>BLOCKED</v>
      </c>
      <c r="J1472" s="25" t="b">
        <v>0</v>
      </c>
    </row>
    <row r="1473" spans="1:10">
      <c r="A1473" s="41" t="s">
        <v>5110</v>
      </c>
      <c r="B1473" s="41" t="str">
        <f>_xlfn.TEXTAFTER(
 _xlfn.TEXTBEFORE(tblCostChecklist[[#This Row],[RequirementID]],".",-2),
 "cost."
)</f>
        <v>collection.historical_library_2@1</v>
      </c>
      <c r="C1473" s="41" t="str">
        <f>_xlfn.XLOOKUP(tblCostChecklist[[#This Row],[TargetID]],tblTargets[TargetID],tblTargets[DisplayName],"")</f>
        <v>Historical Library 2 Lv 1</v>
      </c>
      <c r="D1473" s="41" t="str">
        <f>_xlfn.XLOOKUP(tblCostChecklist[[#This Row],[TargetID]],tblTargets[TargetID],tblTargets[TargetType],"")</f>
        <v>COLLECTION</v>
      </c>
      <c r="E1473" s="41" t="s">
        <v>1812</v>
      </c>
      <c r="F1473" s="41">
        <v>1</v>
      </c>
      <c r="G1473" s="41">
        <f>_xlfn.XLOOKUP(
 tblCostChecklist[[#This Row],[RequirementID]],
 tblCost[RequirementID],
 tblCost[QuantityRequired],
 ""
)</f>
        <v>10</v>
      </c>
      <c r="H14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3" s="41" t="str">
        <f>_xlfn.XLOOKUP(tblCostChecklist[[#This Row],[TargetID]],tblTargetStatus[TargetID],tblTargetStatus[Status])</f>
        <v>BLOCKED</v>
      </c>
      <c r="J1473" s="25" t="b">
        <v>0</v>
      </c>
    </row>
    <row r="1474" spans="1:10">
      <c r="A1474" s="41" t="s">
        <v>5111</v>
      </c>
      <c r="B1474" s="41" t="str">
        <f>_xlfn.TEXTAFTER(
 _xlfn.TEXTBEFORE(tblCostChecklist[[#This Row],[RequirementID]],".",-2),
 "cost."
)</f>
        <v>collection.historical_library_2@1</v>
      </c>
      <c r="C1474" s="41" t="str">
        <f>_xlfn.XLOOKUP(tblCostChecklist[[#This Row],[TargetID]],tblTargets[TargetID],tblTargets[DisplayName],"")</f>
        <v>Historical Library 2 Lv 1</v>
      </c>
      <c r="D1474" s="41" t="str">
        <f>_xlfn.XLOOKUP(tblCostChecklist[[#This Row],[TargetID]],tblTargets[TargetID],tblTargets[TargetType],"")</f>
        <v>COLLECTION</v>
      </c>
      <c r="E1474" s="41" t="s">
        <v>1813</v>
      </c>
      <c r="F1474" s="41">
        <v>1</v>
      </c>
      <c r="G1474" s="41">
        <f>_xlfn.XLOOKUP(
 tblCostChecklist[[#This Row],[RequirementID]],
 tblCost[RequirementID],
 tblCost[QuantityRequired],
 ""
)</f>
        <v>5</v>
      </c>
      <c r="H14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4" s="41" t="str">
        <f>_xlfn.XLOOKUP(tblCostChecklist[[#This Row],[TargetID]],tblTargetStatus[TargetID],tblTargetStatus[Status])</f>
        <v>BLOCKED</v>
      </c>
      <c r="J1474" s="25" t="b">
        <v>0</v>
      </c>
    </row>
    <row r="1475" spans="1:10">
      <c r="A1475" s="41" t="s">
        <v>5112</v>
      </c>
      <c r="B1475" s="41" t="str">
        <f>_xlfn.TEXTAFTER(
 _xlfn.TEXTBEFORE(tblCostChecklist[[#This Row],[RequirementID]],".",-2),
 "cost."
)</f>
        <v>collection.historical_library_2@2</v>
      </c>
      <c r="C1475" s="41" t="str">
        <f>_xlfn.XLOOKUP(tblCostChecklist[[#This Row],[TargetID]],tblTargets[TargetID],tblTargets[DisplayName],"")</f>
        <v>Historical Library 2 Lv 2</v>
      </c>
      <c r="D1475" s="41" t="str">
        <f>_xlfn.XLOOKUP(tblCostChecklist[[#This Row],[TargetID]],tblTargets[TargetID],tblTargets[TargetType],"")</f>
        <v>COLLECTION</v>
      </c>
      <c r="E1475" s="41" t="s">
        <v>1811</v>
      </c>
      <c r="F1475" s="41">
        <v>1</v>
      </c>
      <c r="G1475" s="41">
        <f>_xlfn.XLOOKUP(
 tblCostChecklist[[#This Row],[RequirementID]],
 tblCost[RequirementID],
 tblCost[QuantityRequired],
 ""
)</f>
        <v>40</v>
      </c>
      <c r="H14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5" s="41" t="str">
        <f>_xlfn.XLOOKUP(tblCostChecklist[[#This Row],[TargetID]],tblTargetStatus[TargetID],tblTargetStatus[Status])</f>
        <v>BLOCKED</v>
      </c>
      <c r="J1475" s="25" t="b">
        <v>0</v>
      </c>
    </row>
    <row r="1476" spans="1:10">
      <c r="A1476" s="41" t="s">
        <v>5113</v>
      </c>
      <c r="B1476" s="41" t="str">
        <f>_xlfn.TEXTAFTER(
 _xlfn.TEXTBEFORE(tblCostChecklist[[#This Row],[RequirementID]],".",-2),
 "cost."
)</f>
        <v>collection.historical_library_2@2</v>
      </c>
      <c r="C1476" s="41" t="str">
        <f>_xlfn.XLOOKUP(tblCostChecklist[[#This Row],[TargetID]],tblTargets[TargetID],tblTargets[DisplayName],"")</f>
        <v>Historical Library 2 Lv 2</v>
      </c>
      <c r="D1476" s="41" t="str">
        <f>_xlfn.XLOOKUP(tblCostChecklist[[#This Row],[TargetID]],tblTargets[TargetID],tblTargets[TargetType],"")</f>
        <v>COLLECTION</v>
      </c>
      <c r="E1476" s="41" t="s">
        <v>1812</v>
      </c>
      <c r="F1476" s="41">
        <v>1</v>
      </c>
      <c r="G1476" s="41">
        <f>_xlfn.XLOOKUP(
 tblCostChecklist[[#This Row],[RequirementID]],
 tblCost[RequirementID],
 tblCost[QuantityRequired],
 ""
)</f>
        <v>20</v>
      </c>
      <c r="H14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6" s="41" t="str">
        <f>_xlfn.XLOOKUP(tblCostChecklist[[#This Row],[TargetID]],tblTargetStatus[TargetID],tblTargetStatus[Status])</f>
        <v>BLOCKED</v>
      </c>
      <c r="J1476" s="25" t="b">
        <v>0</v>
      </c>
    </row>
    <row r="1477" spans="1:10">
      <c r="A1477" s="41" t="s">
        <v>5114</v>
      </c>
      <c r="B1477" s="41" t="str">
        <f>_xlfn.TEXTAFTER(
 _xlfn.TEXTBEFORE(tblCostChecklist[[#This Row],[RequirementID]],".",-2),
 "cost."
)</f>
        <v>collection.historical_library_2@2</v>
      </c>
      <c r="C1477" s="41" t="str">
        <f>_xlfn.XLOOKUP(tblCostChecklist[[#This Row],[TargetID]],tblTargets[TargetID],tblTargets[DisplayName],"")</f>
        <v>Historical Library 2 Lv 2</v>
      </c>
      <c r="D1477" s="41" t="str">
        <f>_xlfn.XLOOKUP(tblCostChecklist[[#This Row],[TargetID]],tblTargets[TargetID],tblTargets[TargetType],"")</f>
        <v>COLLECTION</v>
      </c>
      <c r="E1477" s="41" t="s">
        <v>1813</v>
      </c>
      <c r="F1477" s="41">
        <v>1</v>
      </c>
      <c r="G1477" s="41">
        <f>_xlfn.XLOOKUP(
 tblCostChecklist[[#This Row],[RequirementID]],
 tblCost[RequirementID],
 tblCost[QuantityRequired],
 ""
)</f>
        <v>10</v>
      </c>
      <c r="H14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7" s="41" t="str">
        <f>_xlfn.XLOOKUP(tblCostChecklist[[#This Row],[TargetID]],tblTargetStatus[TargetID],tblTargetStatus[Status])</f>
        <v>BLOCKED</v>
      </c>
      <c r="J1477" s="25" t="b">
        <v>0</v>
      </c>
    </row>
    <row r="1478" spans="1:10">
      <c r="A1478" s="41" t="s">
        <v>5115</v>
      </c>
      <c r="B1478" s="41" t="str">
        <f>_xlfn.TEXTAFTER(
 _xlfn.TEXTBEFORE(tblCostChecklist[[#This Row],[RequirementID]],".",-2),
 "cost."
)</f>
        <v>collection.historical_library_2@3</v>
      </c>
      <c r="C1478" s="41" t="str">
        <f>_xlfn.XLOOKUP(tblCostChecklist[[#This Row],[TargetID]],tblTargets[TargetID],tblTargets[DisplayName],"")</f>
        <v>Historical Library 2 Lv 3</v>
      </c>
      <c r="D1478" s="41" t="str">
        <f>_xlfn.XLOOKUP(tblCostChecklist[[#This Row],[TargetID]],tblTargets[TargetID],tblTargets[TargetType],"")</f>
        <v>COLLECTION</v>
      </c>
      <c r="E1478" s="41" t="s">
        <v>1811</v>
      </c>
      <c r="F1478" s="41">
        <v>1</v>
      </c>
      <c r="G1478" s="41">
        <f>_xlfn.XLOOKUP(
 tblCostChecklist[[#This Row],[RequirementID]],
 tblCost[RequirementID],
 tblCost[QuantityRequired],
 ""
)</f>
        <v>60</v>
      </c>
      <c r="H14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1478" s="41" t="str">
        <f>_xlfn.XLOOKUP(tblCostChecklist[[#This Row],[TargetID]],tblTargetStatus[TargetID],tblTargetStatus[Status])</f>
        <v>BLOCKED</v>
      </c>
      <c r="J1478" s="25" t="b">
        <v>0</v>
      </c>
    </row>
    <row r="1479" spans="1:10">
      <c r="A1479" s="41" t="s">
        <v>5116</v>
      </c>
      <c r="B1479" s="41" t="str">
        <f>_xlfn.TEXTAFTER(
 _xlfn.TEXTBEFORE(tblCostChecklist[[#This Row],[RequirementID]],".",-2),
 "cost."
)</f>
        <v>collection.historical_library_2@3</v>
      </c>
      <c r="C1479" s="41" t="str">
        <f>_xlfn.XLOOKUP(tblCostChecklist[[#This Row],[TargetID]],tblTargets[TargetID],tblTargets[DisplayName],"")</f>
        <v>Historical Library 2 Lv 3</v>
      </c>
      <c r="D1479" s="41" t="str">
        <f>_xlfn.XLOOKUP(tblCostChecklist[[#This Row],[TargetID]],tblTargets[TargetID],tblTargets[TargetType],"")</f>
        <v>COLLECTION</v>
      </c>
      <c r="E1479" s="41" t="s">
        <v>1812</v>
      </c>
      <c r="F1479" s="41">
        <v>1</v>
      </c>
      <c r="G1479" s="41">
        <f>_xlfn.XLOOKUP(
 tblCostChecklist[[#This Row],[RequirementID]],
 tblCost[RequirementID],
 tblCost[QuantityRequired],
 ""
)</f>
        <v>30</v>
      </c>
      <c r="H14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1479" s="41" t="str">
        <f>_xlfn.XLOOKUP(tblCostChecklist[[#This Row],[TargetID]],tblTargetStatus[TargetID],tblTargetStatus[Status])</f>
        <v>BLOCKED</v>
      </c>
      <c r="J1479" s="25" t="b">
        <v>0</v>
      </c>
    </row>
    <row r="1480" spans="1:10">
      <c r="A1480" s="41" t="s">
        <v>5117</v>
      </c>
      <c r="B1480" s="41" t="str">
        <f>_xlfn.TEXTAFTER(
 _xlfn.TEXTBEFORE(tblCostChecklist[[#This Row],[RequirementID]],".",-2),
 "cost."
)</f>
        <v>collection.historical_library_2@3</v>
      </c>
      <c r="C1480" s="41" t="str">
        <f>_xlfn.XLOOKUP(tblCostChecklist[[#This Row],[TargetID]],tblTargets[TargetID],tblTargets[DisplayName],"")</f>
        <v>Historical Library 2 Lv 3</v>
      </c>
      <c r="D1480" s="41" t="str">
        <f>_xlfn.XLOOKUP(tblCostChecklist[[#This Row],[TargetID]],tblTargets[TargetID],tblTargets[TargetType],"")</f>
        <v>COLLECTION</v>
      </c>
      <c r="E1480" s="41" t="s">
        <v>1813</v>
      </c>
      <c r="F1480" s="41">
        <v>1</v>
      </c>
      <c r="G1480" s="41">
        <f>_xlfn.XLOOKUP(
 tblCostChecklist[[#This Row],[RequirementID]],
 tblCost[RequirementID],
 tblCost[QuantityRequired],
 ""
)</f>
        <v>15</v>
      </c>
      <c r="H14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1480" s="41" t="str">
        <f>_xlfn.XLOOKUP(tblCostChecklist[[#This Row],[TargetID]],tblTargetStatus[TargetID],tblTargetStatus[Status])</f>
        <v>BLOCKED</v>
      </c>
      <c r="J1480" s="25" t="b">
        <v>0</v>
      </c>
    </row>
    <row r="1481" spans="1:10">
      <c r="A1481" s="41" t="s">
        <v>5118</v>
      </c>
      <c r="B1481" s="41" t="str">
        <f>_xlfn.TEXTAFTER(
 _xlfn.TEXTBEFORE(tblCostChecklist[[#This Row],[RequirementID]],".",-2),
 "cost."
)</f>
        <v>collection.horse@1</v>
      </c>
      <c r="C1481" s="41" t="str">
        <f>_xlfn.XLOOKUP(tblCostChecklist[[#This Row],[TargetID]],tblTargets[TargetID],tblTargets[DisplayName],"")</f>
        <v>Horse Lv 1</v>
      </c>
      <c r="D1481" s="41" t="str">
        <f>_xlfn.XLOOKUP(tblCostChecklist[[#This Row],[TargetID]],tblTargets[TargetID],tblTargets[TargetType],"")</f>
        <v>COLLECTION</v>
      </c>
      <c r="E1481" s="41" t="s">
        <v>666</v>
      </c>
      <c r="F1481" s="41">
        <v>1</v>
      </c>
      <c r="G1481" s="41">
        <f>_xlfn.XLOOKUP(
 tblCostChecklist[[#This Row],[RequirementID]],
 tblCost[RequirementID],
 tblCost[QuantityRequired],
 ""
)</f>
        <v>3000</v>
      </c>
      <c r="H14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1481" s="41" t="str">
        <f>_xlfn.XLOOKUP(tblCostChecklist[[#This Row],[TargetID]],tblTargetStatus[TargetID],tblTargetStatus[Status])</f>
        <v>BLOCKED</v>
      </c>
      <c r="J1481" s="25" t="b">
        <v>0</v>
      </c>
    </row>
    <row r="1482" spans="1:10">
      <c r="A1482" s="41" t="s">
        <v>5119</v>
      </c>
      <c r="B1482" s="41" t="str">
        <f>_xlfn.TEXTAFTER(
 _xlfn.TEXTBEFORE(tblCostChecklist[[#This Row],[RequirementID]],".",-2),
 "cost."
)</f>
        <v>collection.kitchen_and_buttery_1@1</v>
      </c>
      <c r="C1482" s="41" t="str">
        <f>_xlfn.XLOOKUP(tblCostChecklist[[#This Row],[TargetID]],tblTargets[TargetID],tblTargets[DisplayName],"")</f>
        <v>Kitchen And Buttery 1 Lv 1</v>
      </c>
      <c r="D1482" s="41" t="str">
        <f>_xlfn.XLOOKUP(tblCostChecklist[[#This Row],[TargetID]],tblTargets[TargetID],tblTargets[TargetType],"")</f>
        <v>COLLECTION</v>
      </c>
      <c r="E1482" s="41" t="s">
        <v>938</v>
      </c>
      <c r="F1482" s="41">
        <v>1</v>
      </c>
      <c r="G1482" s="41">
        <f>_xlfn.XLOOKUP(
 tblCostChecklist[[#This Row],[RequirementID]],
 tblCost[RequirementID],
 tblCost[QuantityRequired],
 ""
)</f>
        <v>10</v>
      </c>
      <c r="H14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2" s="41" t="str">
        <f>_xlfn.XLOOKUP(tblCostChecklist[[#This Row],[TargetID]],tblTargetStatus[TargetID],tblTargetStatus[Status])</f>
        <v>BLOCKED</v>
      </c>
      <c r="J1482" s="25" t="b">
        <v>0</v>
      </c>
    </row>
    <row r="1483" spans="1:10">
      <c r="A1483" s="41" t="s">
        <v>5120</v>
      </c>
      <c r="B1483" s="41" t="str">
        <f>_xlfn.TEXTAFTER(
 _xlfn.TEXTBEFORE(tblCostChecklist[[#This Row],[RequirementID]],".",-2),
 "cost."
)</f>
        <v>collection.kitchen_and_buttery_1@1</v>
      </c>
      <c r="C1483" s="41" t="str">
        <f>_xlfn.XLOOKUP(tblCostChecklist[[#This Row],[TargetID]],tblTargets[TargetID],tblTargets[DisplayName],"")</f>
        <v>Kitchen And Buttery 1 Lv 1</v>
      </c>
      <c r="D1483" s="41" t="str">
        <f>_xlfn.XLOOKUP(tblCostChecklist[[#This Row],[TargetID]],tblTargets[TargetID],tblTargets[TargetType],"")</f>
        <v>COLLECTION</v>
      </c>
      <c r="E1483" s="41" t="s">
        <v>855</v>
      </c>
      <c r="F1483" s="41">
        <v>1</v>
      </c>
      <c r="G1483" s="41">
        <f>_xlfn.XLOOKUP(
 tblCostChecklist[[#This Row],[RequirementID]],
 tblCost[RequirementID],
 tblCost[QuantityRequired],
 ""
)</f>
        <v>10</v>
      </c>
      <c r="H14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3" s="41" t="str">
        <f>_xlfn.XLOOKUP(tblCostChecklist[[#This Row],[TargetID]],tblTargetStatus[TargetID],tblTargetStatus[Status])</f>
        <v>BLOCKED</v>
      </c>
      <c r="J1483" s="25" t="b">
        <v>0</v>
      </c>
    </row>
    <row r="1484" spans="1:10">
      <c r="A1484" s="41" t="s">
        <v>5121</v>
      </c>
      <c r="B1484" s="41" t="str">
        <f>_xlfn.TEXTAFTER(
 _xlfn.TEXTBEFORE(tblCostChecklist[[#This Row],[RequirementID]],".",-2),
 "cost."
)</f>
        <v>collection.kitchen_and_buttery_1@1</v>
      </c>
      <c r="C1484" s="41" t="str">
        <f>_xlfn.XLOOKUP(tblCostChecklist[[#This Row],[TargetID]],tblTargets[TargetID],tblTargets[DisplayName],"")</f>
        <v>Kitchen And Buttery 1 Lv 1</v>
      </c>
      <c r="D1484" s="41" t="str">
        <f>_xlfn.XLOOKUP(tblCostChecklist[[#This Row],[TargetID]],tblTargets[TargetID],tblTargets[TargetType],"")</f>
        <v>COLLECTION</v>
      </c>
      <c r="E1484" s="41" t="s">
        <v>695</v>
      </c>
      <c r="F1484" s="41">
        <v>1</v>
      </c>
      <c r="G1484" s="41">
        <f>_xlfn.XLOOKUP(
 tblCostChecklist[[#This Row],[RequirementID]],
 tblCost[RequirementID],
 tblCost[QuantityRequired],
 ""
)</f>
        <v>15</v>
      </c>
      <c r="H14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4" s="41" t="str">
        <f>_xlfn.XLOOKUP(tblCostChecklist[[#This Row],[TargetID]],tblTargetStatus[TargetID],tblTargetStatus[Status])</f>
        <v>BLOCKED</v>
      </c>
      <c r="J1484" s="25" t="b">
        <v>0</v>
      </c>
    </row>
    <row r="1485" spans="1:10">
      <c r="A1485" s="41" t="s">
        <v>5122</v>
      </c>
      <c r="B1485" s="41" t="str">
        <f>_xlfn.TEXTAFTER(
 _xlfn.TEXTBEFORE(tblCostChecklist[[#This Row],[RequirementID]],".",-2),
 "cost."
)</f>
        <v>collection.kitchen_and_buttery_1@1</v>
      </c>
      <c r="C1485" s="41" t="str">
        <f>_xlfn.XLOOKUP(tblCostChecklist[[#This Row],[TargetID]],tblTargets[TargetID],tblTargets[DisplayName],"")</f>
        <v>Kitchen And Buttery 1 Lv 1</v>
      </c>
      <c r="D1485" s="41" t="str">
        <f>_xlfn.XLOOKUP(tblCostChecklist[[#This Row],[TargetID]],tblTargets[TargetID],tblTargets[TargetType],"")</f>
        <v>COLLECTION</v>
      </c>
      <c r="E1485" s="41" t="s">
        <v>701</v>
      </c>
      <c r="F1485" s="41">
        <v>1</v>
      </c>
      <c r="G1485" s="41">
        <f>_xlfn.XLOOKUP(
 tblCostChecklist[[#This Row],[RequirementID]],
 tblCost[RequirementID],
 tblCost[QuantityRequired],
 ""
)</f>
        <v>50</v>
      </c>
      <c r="H14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5" s="41" t="str">
        <f>_xlfn.XLOOKUP(tblCostChecklist[[#This Row],[TargetID]],tblTargetStatus[TargetID],tblTargetStatus[Status])</f>
        <v>BLOCKED</v>
      </c>
      <c r="J1485" s="25" t="b">
        <v>0</v>
      </c>
    </row>
    <row r="1486" spans="1:10">
      <c r="A1486" s="41" t="s">
        <v>5123</v>
      </c>
      <c r="B1486" s="41" t="str">
        <f>_xlfn.TEXTAFTER(
 _xlfn.TEXTBEFORE(tblCostChecklist[[#This Row],[RequirementID]],".",-2),
 "cost."
)</f>
        <v>collection.kitchen_and_buttery_1@1</v>
      </c>
      <c r="C1486" s="41" t="str">
        <f>_xlfn.XLOOKUP(tblCostChecklist[[#This Row],[TargetID]],tblTargets[TargetID],tblTargets[DisplayName],"")</f>
        <v>Kitchen And Buttery 1 Lv 1</v>
      </c>
      <c r="D1486" s="41" t="str">
        <f>_xlfn.XLOOKUP(tblCostChecklist[[#This Row],[TargetID]],tblTargets[TargetID],tblTargets[TargetType],"")</f>
        <v>COLLECTION</v>
      </c>
      <c r="E1486" s="41" t="s">
        <v>701</v>
      </c>
      <c r="F1486" s="41">
        <v>2</v>
      </c>
      <c r="G1486" s="41">
        <f>_xlfn.XLOOKUP(
 tblCostChecklist[[#This Row],[RequirementID]],
 tblCost[RequirementID],
 tblCost[QuantityRequired],
 ""
)</f>
        <v>50</v>
      </c>
      <c r="H14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6" s="41" t="str">
        <f>_xlfn.XLOOKUP(tblCostChecklist[[#This Row],[TargetID]],tblTargetStatus[TargetID],tblTargetStatus[Status])</f>
        <v>BLOCKED</v>
      </c>
      <c r="J1486" s="25" t="b">
        <v>0</v>
      </c>
    </row>
    <row r="1487" spans="1:10">
      <c r="A1487" s="41" t="s">
        <v>5124</v>
      </c>
      <c r="B1487" s="41" t="str">
        <f>_xlfn.TEXTAFTER(
 _xlfn.TEXTBEFORE(tblCostChecklist[[#This Row],[RequirementID]],".",-2),
 "cost."
)</f>
        <v>collection.kitchen_and_buttery_1@1</v>
      </c>
      <c r="C1487" s="41" t="str">
        <f>_xlfn.XLOOKUP(tblCostChecklist[[#This Row],[TargetID]],tblTargets[TargetID],tblTargets[DisplayName],"")</f>
        <v>Kitchen And Buttery 1 Lv 1</v>
      </c>
      <c r="D1487" s="41" t="str">
        <f>_xlfn.XLOOKUP(tblCostChecklist[[#This Row],[TargetID]],tblTargets[TargetID],tblTargets[TargetType],"")</f>
        <v>COLLECTION</v>
      </c>
      <c r="E1487" s="41" t="s">
        <v>701</v>
      </c>
      <c r="F1487" s="41">
        <v>3</v>
      </c>
      <c r="G1487" s="41">
        <f>_xlfn.XLOOKUP(
 tblCostChecklist[[#This Row],[RequirementID]],
 tblCost[RequirementID],
 tblCost[QuantityRequired],
 ""
)</f>
        <v>50</v>
      </c>
      <c r="H14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7" s="41" t="str">
        <f>_xlfn.XLOOKUP(tblCostChecklist[[#This Row],[TargetID]],tblTargetStatus[TargetID],tblTargetStatus[Status])</f>
        <v>BLOCKED</v>
      </c>
      <c r="J1487" s="25" t="b">
        <v>0</v>
      </c>
    </row>
    <row r="1488" spans="1:10">
      <c r="A1488" s="41" t="s">
        <v>5125</v>
      </c>
      <c r="B1488" s="41" t="str">
        <f>_xlfn.TEXTAFTER(
 _xlfn.TEXTBEFORE(tblCostChecklist[[#This Row],[RequirementID]],".",-2),
 "cost."
)</f>
        <v>collection.kitchen_and_buttery_1@1</v>
      </c>
      <c r="C1488" s="41" t="str">
        <f>_xlfn.XLOOKUP(tblCostChecklist[[#This Row],[TargetID]],tblTargets[TargetID],tblTargets[DisplayName],"")</f>
        <v>Kitchen And Buttery 1 Lv 1</v>
      </c>
      <c r="D1488" s="41" t="str">
        <f>_xlfn.XLOOKUP(tblCostChecklist[[#This Row],[TargetID]],tblTargets[TargetID],tblTargets[TargetType],"")</f>
        <v>COLLECTION</v>
      </c>
      <c r="E1488" s="41" t="s">
        <v>701</v>
      </c>
      <c r="F1488" s="41">
        <v>4</v>
      </c>
      <c r="G1488" s="41">
        <f>_xlfn.XLOOKUP(
 tblCostChecklist[[#This Row],[RequirementID]],
 tblCost[RequirementID],
 tblCost[QuantityRequired],
 ""
)</f>
        <v>50</v>
      </c>
      <c r="H14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8" s="41" t="str">
        <f>_xlfn.XLOOKUP(tblCostChecklist[[#This Row],[TargetID]],tblTargetStatus[TargetID],tblTargetStatus[Status])</f>
        <v>BLOCKED</v>
      </c>
      <c r="J1488" s="25" t="b">
        <v>0</v>
      </c>
    </row>
    <row r="1489" spans="1:10">
      <c r="A1489" s="41" t="s">
        <v>5126</v>
      </c>
      <c r="B1489" s="41" t="str">
        <f>_xlfn.TEXTAFTER(
 _xlfn.TEXTBEFORE(tblCostChecklist[[#This Row],[RequirementID]],".",-2),
 "cost."
)</f>
        <v>collection.kitchen_and_buttery_1@1</v>
      </c>
      <c r="C1489" s="41" t="str">
        <f>_xlfn.XLOOKUP(tblCostChecklist[[#This Row],[TargetID]],tblTargets[TargetID],tblTargets[DisplayName],"")</f>
        <v>Kitchen And Buttery 1 Lv 1</v>
      </c>
      <c r="D1489" s="41" t="str">
        <f>_xlfn.XLOOKUP(tblCostChecklist[[#This Row],[TargetID]],tblTargets[TargetID],tblTargets[TargetType],"")</f>
        <v>COLLECTION</v>
      </c>
      <c r="E1489" s="41" t="s">
        <v>701</v>
      </c>
      <c r="F1489" s="41">
        <v>5</v>
      </c>
      <c r="G1489" s="41">
        <f>_xlfn.XLOOKUP(
 tblCostChecklist[[#This Row],[RequirementID]],
 tblCost[RequirementID],
 tblCost[QuantityRequired],
 ""
)</f>
        <v>50</v>
      </c>
      <c r="H14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9" s="41" t="str">
        <f>_xlfn.XLOOKUP(tblCostChecklist[[#This Row],[TargetID]],tblTargetStatus[TargetID],tblTargetStatus[Status])</f>
        <v>BLOCKED</v>
      </c>
      <c r="J1489" s="25" t="b">
        <v>0</v>
      </c>
    </row>
    <row r="1490" spans="1:10">
      <c r="A1490" s="41" t="s">
        <v>5127</v>
      </c>
      <c r="B1490" s="41" t="str">
        <f>_xlfn.TEXTAFTER(
 _xlfn.TEXTBEFORE(tblCostChecklist[[#This Row],[RequirementID]],".",-2),
 "cost."
)</f>
        <v>collection.kitchen_and_buttery_1@1</v>
      </c>
      <c r="C1490" s="41" t="str">
        <f>_xlfn.XLOOKUP(tblCostChecklist[[#This Row],[TargetID]],tblTargets[TargetID],tblTargets[DisplayName],"")</f>
        <v>Kitchen And Buttery 1 Lv 1</v>
      </c>
      <c r="D1490" s="41" t="str">
        <f>_xlfn.XLOOKUP(tblCostChecklist[[#This Row],[TargetID]],tblTargets[TargetID],tblTargets[TargetType],"")</f>
        <v>COLLECTION</v>
      </c>
      <c r="E1490" s="41" t="s">
        <v>701</v>
      </c>
      <c r="F1490" s="41">
        <v>6</v>
      </c>
      <c r="G1490" s="41">
        <f>_xlfn.XLOOKUP(
 tblCostChecklist[[#This Row],[RequirementID]],
 tblCost[RequirementID],
 tblCost[QuantityRequired],
 ""
)</f>
        <v>50</v>
      </c>
      <c r="H14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0" s="41" t="str">
        <f>_xlfn.XLOOKUP(tblCostChecklist[[#This Row],[TargetID]],tblTargetStatus[TargetID],tblTargetStatus[Status])</f>
        <v>BLOCKED</v>
      </c>
      <c r="J1490" s="25" t="b">
        <v>0</v>
      </c>
    </row>
    <row r="1491" spans="1:10">
      <c r="A1491" s="41" t="s">
        <v>5128</v>
      </c>
      <c r="B1491" s="41" t="str">
        <f>_xlfn.TEXTAFTER(
 _xlfn.TEXTBEFORE(tblCostChecklist[[#This Row],[RequirementID]],".",-2),
 "cost."
)</f>
        <v>collection.kitchen_and_buttery_1@1</v>
      </c>
      <c r="C1491" s="41" t="str">
        <f>_xlfn.XLOOKUP(tblCostChecklist[[#This Row],[TargetID]],tblTargets[TargetID],tblTargets[DisplayName],"")</f>
        <v>Kitchen And Buttery 1 Lv 1</v>
      </c>
      <c r="D1491" s="41" t="str">
        <f>_xlfn.XLOOKUP(tblCostChecklist[[#This Row],[TargetID]],tblTargets[TargetID],tblTargets[TargetType],"")</f>
        <v>COLLECTION</v>
      </c>
      <c r="E1491" s="41" t="s">
        <v>701</v>
      </c>
      <c r="F1491" s="41">
        <v>7</v>
      </c>
      <c r="G1491" s="41">
        <f>_xlfn.XLOOKUP(
 tblCostChecklist[[#This Row],[RequirementID]],
 tblCost[RequirementID],
 tblCost[QuantityRequired],
 ""
)</f>
        <v>50</v>
      </c>
      <c r="H14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1" s="41" t="str">
        <f>_xlfn.XLOOKUP(tblCostChecklist[[#This Row],[TargetID]],tblTargetStatus[TargetID],tblTargetStatus[Status])</f>
        <v>BLOCKED</v>
      </c>
      <c r="J1491" s="25" t="b">
        <v>0</v>
      </c>
    </row>
    <row r="1492" spans="1:10">
      <c r="A1492" s="41" t="s">
        <v>5129</v>
      </c>
      <c r="B1492" s="41" t="str">
        <f>_xlfn.TEXTAFTER(
 _xlfn.TEXTBEFORE(tblCostChecklist[[#This Row],[RequirementID]],".",-2),
 "cost."
)</f>
        <v>collection.kitchen_and_buttery_1@1</v>
      </c>
      <c r="C1492" s="41" t="str">
        <f>_xlfn.XLOOKUP(tblCostChecklist[[#This Row],[TargetID]],tblTargets[TargetID],tblTargets[DisplayName],"")</f>
        <v>Kitchen And Buttery 1 Lv 1</v>
      </c>
      <c r="D1492" s="41" t="str">
        <f>_xlfn.XLOOKUP(tblCostChecklist[[#This Row],[TargetID]],tblTargets[TargetID],tblTargets[TargetType],"")</f>
        <v>COLLECTION</v>
      </c>
      <c r="E1492" s="41" t="s">
        <v>701</v>
      </c>
      <c r="F1492" s="41">
        <v>8</v>
      </c>
      <c r="G1492" s="41">
        <f>_xlfn.XLOOKUP(
 tblCostChecklist[[#This Row],[RequirementID]],
 tblCost[RequirementID],
 tblCost[QuantityRequired],
 ""
)</f>
        <v>50</v>
      </c>
      <c r="H14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2" s="41" t="str">
        <f>_xlfn.XLOOKUP(tblCostChecklist[[#This Row],[TargetID]],tblTargetStatus[TargetID],tblTargetStatus[Status])</f>
        <v>BLOCKED</v>
      </c>
      <c r="J1492" s="25" t="b">
        <v>0</v>
      </c>
    </row>
    <row r="1493" spans="1:10">
      <c r="A1493" s="41" t="s">
        <v>5130</v>
      </c>
      <c r="B1493" s="41" t="str">
        <f>_xlfn.TEXTAFTER(
 _xlfn.TEXTBEFORE(tblCostChecklist[[#This Row],[RequirementID]],".",-2),
 "cost."
)</f>
        <v>collection.kitchen_and_buttery_1@1</v>
      </c>
      <c r="C1493" s="41" t="str">
        <f>_xlfn.XLOOKUP(tblCostChecklist[[#This Row],[TargetID]],tblTargets[TargetID],tblTargets[DisplayName],"")</f>
        <v>Kitchen And Buttery 1 Lv 1</v>
      </c>
      <c r="D1493" s="41" t="str">
        <f>_xlfn.XLOOKUP(tblCostChecklist[[#This Row],[TargetID]],tblTargets[TargetID],tblTargets[TargetType],"")</f>
        <v>COLLECTION</v>
      </c>
      <c r="E1493" s="41" t="s">
        <v>713</v>
      </c>
      <c r="F1493" s="41">
        <v>1</v>
      </c>
      <c r="G1493" s="41">
        <f>_xlfn.XLOOKUP(
 tblCostChecklist[[#This Row],[RequirementID]],
 tblCost[RequirementID],
 tblCost[QuantityRequired],
 ""
)</f>
        <v>15</v>
      </c>
      <c r="H14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3" s="41" t="str">
        <f>_xlfn.XLOOKUP(tblCostChecklist[[#This Row],[TargetID]],tblTargetStatus[TargetID],tblTargetStatus[Status])</f>
        <v>BLOCKED</v>
      </c>
      <c r="J1493" s="25" t="b">
        <v>0</v>
      </c>
    </row>
    <row r="1494" spans="1:10">
      <c r="A1494" s="41" t="s">
        <v>5131</v>
      </c>
      <c r="B1494" s="41" t="str">
        <f>_xlfn.TEXTAFTER(
 _xlfn.TEXTBEFORE(tblCostChecklist[[#This Row],[RequirementID]],".",-2),
 "cost."
)</f>
        <v>collection.kitchen_and_buttery_1@2</v>
      </c>
      <c r="C1494" s="41" t="str">
        <f>_xlfn.XLOOKUP(tblCostChecklist[[#This Row],[TargetID]],tblTargets[TargetID],tblTargets[DisplayName],"")</f>
        <v>Kitchen And Buttery 1 Lv 2</v>
      </c>
      <c r="D1494" s="41" t="str">
        <f>_xlfn.XLOOKUP(tblCostChecklist[[#This Row],[TargetID]],tblTargets[TargetID],tblTargets[TargetType],"")</f>
        <v>COLLECTION</v>
      </c>
      <c r="E1494" s="41" t="s">
        <v>938</v>
      </c>
      <c r="F1494" s="41">
        <v>1</v>
      </c>
      <c r="G1494" s="41">
        <f>_xlfn.XLOOKUP(
 tblCostChecklist[[#This Row],[RequirementID]],
 tblCost[RequirementID],
 tblCost[QuantityRequired],
 ""
)</f>
        <v>20</v>
      </c>
      <c r="H14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4" s="41" t="str">
        <f>_xlfn.XLOOKUP(tblCostChecklist[[#This Row],[TargetID]],tblTargetStatus[TargetID],tblTargetStatus[Status])</f>
        <v>BLOCKED</v>
      </c>
      <c r="J1494" s="25" t="b">
        <v>0</v>
      </c>
    </row>
    <row r="1495" spans="1:10">
      <c r="A1495" s="41" t="s">
        <v>5132</v>
      </c>
      <c r="B1495" s="41" t="str">
        <f>_xlfn.TEXTAFTER(
 _xlfn.TEXTBEFORE(tblCostChecklist[[#This Row],[RequirementID]],".",-2),
 "cost."
)</f>
        <v>collection.kitchen_and_buttery_1@2</v>
      </c>
      <c r="C1495" s="41" t="str">
        <f>_xlfn.XLOOKUP(tblCostChecklist[[#This Row],[TargetID]],tblTargets[TargetID],tblTargets[DisplayName],"")</f>
        <v>Kitchen And Buttery 1 Lv 2</v>
      </c>
      <c r="D1495" s="41" t="str">
        <f>_xlfn.XLOOKUP(tblCostChecklist[[#This Row],[TargetID]],tblTargets[TargetID],tblTargets[TargetType],"")</f>
        <v>COLLECTION</v>
      </c>
      <c r="E1495" s="41" t="s">
        <v>855</v>
      </c>
      <c r="F1495" s="41">
        <v>1</v>
      </c>
      <c r="G1495" s="41">
        <f>_xlfn.XLOOKUP(
 tblCostChecklist[[#This Row],[RequirementID]],
 tblCost[RequirementID],
 tblCost[QuantityRequired],
 ""
)</f>
        <v>20</v>
      </c>
      <c r="H14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5" s="41" t="str">
        <f>_xlfn.XLOOKUP(tblCostChecklist[[#This Row],[TargetID]],tblTargetStatus[TargetID],tblTargetStatus[Status])</f>
        <v>BLOCKED</v>
      </c>
      <c r="J1495" s="25" t="b">
        <v>0</v>
      </c>
    </row>
    <row r="1496" spans="1:10">
      <c r="A1496" s="41" t="s">
        <v>5133</v>
      </c>
      <c r="B1496" s="41" t="str">
        <f>_xlfn.TEXTAFTER(
 _xlfn.TEXTBEFORE(tblCostChecklist[[#This Row],[RequirementID]],".",-2),
 "cost."
)</f>
        <v>collection.kitchen_and_buttery_1@2</v>
      </c>
      <c r="C1496" s="41" t="str">
        <f>_xlfn.XLOOKUP(tblCostChecklist[[#This Row],[TargetID]],tblTargets[TargetID],tblTargets[DisplayName],"")</f>
        <v>Kitchen And Buttery 1 Lv 2</v>
      </c>
      <c r="D1496" s="41" t="str">
        <f>_xlfn.XLOOKUP(tblCostChecklist[[#This Row],[TargetID]],tblTargets[TargetID],tblTargets[TargetType],"")</f>
        <v>COLLECTION</v>
      </c>
      <c r="E1496" s="41" t="s">
        <v>695</v>
      </c>
      <c r="F1496" s="41">
        <v>1</v>
      </c>
      <c r="G1496" s="41">
        <f>_xlfn.XLOOKUP(
 tblCostChecklist[[#This Row],[RequirementID]],
 tblCost[RequirementID],
 tblCost[QuantityRequired],
 ""
)</f>
        <v>30</v>
      </c>
      <c r="H14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6" s="41" t="str">
        <f>_xlfn.XLOOKUP(tblCostChecklist[[#This Row],[TargetID]],tblTargetStatus[TargetID],tblTargetStatus[Status])</f>
        <v>BLOCKED</v>
      </c>
      <c r="J1496" s="25" t="b">
        <v>0</v>
      </c>
    </row>
    <row r="1497" spans="1:10">
      <c r="A1497" s="41" t="s">
        <v>5134</v>
      </c>
      <c r="B1497" s="41" t="str">
        <f>_xlfn.TEXTAFTER(
 _xlfn.TEXTBEFORE(tblCostChecklist[[#This Row],[RequirementID]],".",-2),
 "cost."
)</f>
        <v>collection.kitchen_and_buttery_1@2</v>
      </c>
      <c r="C1497" s="41" t="str">
        <f>_xlfn.XLOOKUP(tblCostChecklist[[#This Row],[TargetID]],tblTargets[TargetID],tblTargets[DisplayName],"")</f>
        <v>Kitchen And Buttery 1 Lv 2</v>
      </c>
      <c r="D1497" s="41" t="str">
        <f>_xlfn.XLOOKUP(tblCostChecklist[[#This Row],[TargetID]],tblTargets[TargetID],tblTargets[TargetType],"")</f>
        <v>COLLECTION</v>
      </c>
      <c r="E1497" s="41" t="s">
        <v>701</v>
      </c>
      <c r="F1497" s="41">
        <v>1</v>
      </c>
      <c r="G1497" s="41">
        <f>_xlfn.XLOOKUP(
 tblCostChecklist[[#This Row],[RequirementID]],
 tblCost[RequirementID],
 tblCost[QuantityRequired],
 ""
)</f>
        <v>100</v>
      </c>
      <c r="H14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7" s="41" t="str">
        <f>_xlfn.XLOOKUP(tblCostChecklist[[#This Row],[TargetID]],tblTargetStatus[TargetID],tblTargetStatus[Status])</f>
        <v>BLOCKED</v>
      </c>
      <c r="J1497" s="25" t="b">
        <v>0</v>
      </c>
    </row>
    <row r="1498" spans="1:10">
      <c r="A1498" s="41" t="s">
        <v>5135</v>
      </c>
      <c r="B1498" s="41" t="str">
        <f>_xlfn.TEXTAFTER(
 _xlfn.TEXTBEFORE(tblCostChecklist[[#This Row],[RequirementID]],".",-2),
 "cost."
)</f>
        <v>collection.kitchen_and_buttery_1@2</v>
      </c>
      <c r="C1498" s="41" t="str">
        <f>_xlfn.XLOOKUP(tblCostChecklist[[#This Row],[TargetID]],tblTargets[TargetID],tblTargets[DisplayName],"")</f>
        <v>Kitchen And Buttery 1 Lv 2</v>
      </c>
      <c r="D1498" s="41" t="str">
        <f>_xlfn.XLOOKUP(tblCostChecklist[[#This Row],[TargetID]],tblTargets[TargetID],tblTargets[TargetType],"")</f>
        <v>COLLECTION</v>
      </c>
      <c r="E1498" s="41" t="s">
        <v>701</v>
      </c>
      <c r="F1498" s="41">
        <v>2</v>
      </c>
      <c r="G1498" s="41">
        <f>_xlfn.XLOOKUP(
 tblCostChecklist[[#This Row],[RequirementID]],
 tblCost[RequirementID],
 tblCost[QuantityRequired],
 ""
)</f>
        <v>100</v>
      </c>
      <c r="H14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8" s="41" t="str">
        <f>_xlfn.XLOOKUP(tblCostChecklist[[#This Row],[TargetID]],tblTargetStatus[TargetID],tblTargetStatus[Status])</f>
        <v>BLOCKED</v>
      </c>
      <c r="J1498" s="25" t="b">
        <v>0</v>
      </c>
    </row>
    <row r="1499" spans="1:10">
      <c r="A1499" s="41" t="s">
        <v>5136</v>
      </c>
      <c r="B1499" s="41" t="str">
        <f>_xlfn.TEXTAFTER(
 _xlfn.TEXTBEFORE(tblCostChecklist[[#This Row],[RequirementID]],".",-2),
 "cost."
)</f>
        <v>collection.kitchen_and_buttery_1@2</v>
      </c>
      <c r="C1499" s="41" t="str">
        <f>_xlfn.XLOOKUP(tblCostChecklist[[#This Row],[TargetID]],tblTargets[TargetID],tblTargets[DisplayName],"")</f>
        <v>Kitchen And Buttery 1 Lv 2</v>
      </c>
      <c r="D1499" s="41" t="str">
        <f>_xlfn.XLOOKUP(tblCostChecklist[[#This Row],[TargetID]],tblTargets[TargetID],tblTargets[TargetType],"")</f>
        <v>COLLECTION</v>
      </c>
      <c r="E1499" s="41" t="s">
        <v>701</v>
      </c>
      <c r="F1499" s="41">
        <v>3</v>
      </c>
      <c r="G1499" s="41">
        <f>_xlfn.XLOOKUP(
 tblCostChecklist[[#This Row],[RequirementID]],
 tblCost[RequirementID],
 tblCost[QuantityRequired],
 ""
)</f>
        <v>100</v>
      </c>
      <c r="H14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9" s="41" t="str">
        <f>_xlfn.XLOOKUP(tblCostChecklist[[#This Row],[TargetID]],tblTargetStatus[TargetID],tblTargetStatus[Status])</f>
        <v>BLOCKED</v>
      </c>
      <c r="J1499" s="25" t="b">
        <v>0</v>
      </c>
    </row>
    <row r="1500" spans="1:10">
      <c r="A1500" s="41" t="s">
        <v>5137</v>
      </c>
      <c r="B1500" s="41" t="str">
        <f>_xlfn.TEXTAFTER(
 _xlfn.TEXTBEFORE(tblCostChecklist[[#This Row],[RequirementID]],".",-2),
 "cost."
)</f>
        <v>collection.kitchen_and_buttery_1@2</v>
      </c>
      <c r="C1500" s="41" t="str">
        <f>_xlfn.XLOOKUP(tblCostChecklist[[#This Row],[TargetID]],tblTargets[TargetID],tblTargets[DisplayName],"")</f>
        <v>Kitchen And Buttery 1 Lv 2</v>
      </c>
      <c r="D1500" s="41" t="str">
        <f>_xlfn.XLOOKUP(tblCostChecklist[[#This Row],[TargetID]],tblTargets[TargetID],tblTargets[TargetType],"")</f>
        <v>COLLECTION</v>
      </c>
      <c r="E1500" s="41" t="s">
        <v>701</v>
      </c>
      <c r="F1500" s="41">
        <v>4</v>
      </c>
      <c r="G1500" s="41">
        <f>_xlfn.XLOOKUP(
 tblCostChecklist[[#This Row],[RequirementID]],
 tblCost[RequirementID],
 tblCost[QuantityRequired],
 ""
)</f>
        <v>100</v>
      </c>
      <c r="H15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0" s="41" t="str">
        <f>_xlfn.XLOOKUP(tblCostChecklist[[#This Row],[TargetID]],tblTargetStatus[TargetID],tblTargetStatus[Status])</f>
        <v>BLOCKED</v>
      </c>
      <c r="J1500" s="25" t="b">
        <v>0</v>
      </c>
    </row>
    <row r="1501" spans="1:10">
      <c r="A1501" s="41" t="s">
        <v>5138</v>
      </c>
      <c r="B1501" s="41" t="str">
        <f>_xlfn.TEXTAFTER(
 _xlfn.TEXTBEFORE(tblCostChecklist[[#This Row],[RequirementID]],".",-2),
 "cost."
)</f>
        <v>collection.kitchen_and_buttery_1@2</v>
      </c>
      <c r="C1501" s="41" t="str">
        <f>_xlfn.XLOOKUP(tblCostChecklist[[#This Row],[TargetID]],tblTargets[TargetID],tblTargets[DisplayName],"")</f>
        <v>Kitchen And Buttery 1 Lv 2</v>
      </c>
      <c r="D1501" s="41" t="str">
        <f>_xlfn.XLOOKUP(tblCostChecklist[[#This Row],[TargetID]],tblTargets[TargetID],tblTargets[TargetType],"")</f>
        <v>COLLECTION</v>
      </c>
      <c r="E1501" s="41" t="s">
        <v>701</v>
      </c>
      <c r="F1501" s="41">
        <v>5</v>
      </c>
      <c r="G1501" s="41">
        <f>_xlfn.XLOOKUP(
 tblCostChecklist[[#This Row],[RequirementID]],
 tblCost[RequirementID],
 tblCost[QuantityRequired],
 ""
)</f>
        <v>100</v>
      </c>
      <c r="H15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1" s="41" t="str">
        <f>_xlfn.XLOOKUP(tblCostChecklist[[#This Row],[TargetID]],tblTargetStatus[TargetID],tblTargetStatus[Status])</f>
        <v>BLOCKED</v>
      </c>
      <c r="J1501" s="25" t="b">
        <v>0</v>
      </c>
    </row>
    <row r="1502" spans="1:10">
      <c r="A1502" s="41" t="s">
        <v>5139</v>
      </c>
      <c r="B1502" s="41" t="str">
        <f>_xlfn.TEXTAFTER(
 _xlfn.TEXTBEFORE(tblCostChecklist[[#This Row],[RequirementID]],".",-2),
 "cost."
)</f>
        <v>collection.kitchen_and_buttery_1@2</v>
      </c>
      <c r="C1502" s="41" t="str">
        <f>_xlfn.XLOOKUP(tblCostChecklist[[#This Row],[TargetID]],tblTargets[TargetID],tblTargets[DisplayName],"")</f>
        <v>Kitchen And Buttery 1 Lv 2</v>
      </c>
      <c r="D1502" s="41" t="str">
        <f>_xlfn.XLOOKUP(tblCostChecklist[[#This Row],[TargetID]],tblTargets[TargetID],tblTargets[TargetType],"")</f>
        <v>COLLECTION</v>
      </c>
      <c r="E1502" s="41" t="s">
        <v>701</v>
      </c>
      <c r="F1502" s="41">
        <v>6</v>
      </c>
      <c r="G1502" s="41">
        <f>_xlfn.XLOOKUP(
 tblCostChecklist[[#This Row],[RequirementID]],
 tblCost[RequirementID],
 tblCost[QuantityRequired],
 ""
)</f>
        <v>100</v>
      </c>
      <c r="H15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2" s="41" t="str">
        <f>_xlfn.XLOOKUP(tblCostChecklist[[#This Row],[TargetID]],tblTargetStatus[TargetID],tblTargetStatus[Status])</f>
        <v>BLOCKED</v>
      </c>
      <c r="J1502" s="25" t="b">
        <v>0</v>
      </c>
    </row>
    <row r="1503" spans="1:10">
      <c r="A1503" s="41" t="s">
        <v>5140</v>
      </c>
      <c r="B1503" s="41" t="str">
        <f>_xlfn.TEXTAFTER(
 _xlfn.TEXTBEFORE(tblCostChecklist[[#This Row],[RequirementID]],".",-2),
 "cost."
)</f>
        <v>collection.kitchen_and_buttery_1@2</v>
      </c>
      <c r="C1503" s="41" t="str">
        <f>_xlfn.XLOOKUP(tblCostChecklist[[#This Row],[TargetID]],tblTargets[TargetID],tblTargets[DisplayName],"")</f>
        <v>Kitchen And Buttery 1 Lv 2</v>
      </c>
      <c r="D1503" s="41" t="str">
        <f>_xlfn.XLOOKUP(tblCostChecklist[[#This Row],[TargetID]],tblTargets[TargetID],tblTargets[TargetType],"")</f>
        <v>COLLECTION</v>
      </c>
      <c r="E1503" s="41" t="s">
        <v>701</v>
      </c>
      <c r="F1503" s="41">
        <v>7</v>
      </c>
      <c r="G1503" s="41">
        <f>_xlfn.XLOOKUP(
 tblCostChecklist[[#This Row],[RequirementID]],
 tblCost[RequirementID],
 tblCost[QuantityRequired],
 ""
)</f>
        <v>100</v>
      </c>
      <c r="H15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3" s="41" t="str">
        <f>_xlfn.XLOOKUP(tblCostChecklist[[#This Row],[TargetID]],tblTargetStatus[TargetID],tblTargetStatus[Status])</f>
        <v>BLOCKED</v>
      </c>
      <c r="J1503" s="25" t="b">
        <v>0</v>
      </c>
    </row>
    <row r="1504" spans="1:10">
      <c r="A1504" s="41" t="s">
        <v>5141</v>
      </c>
      <c r="B1504" s="41" t="str">
        <f>_xlfn.TEXTAFTER(
 _xlfn.TEXTBEFORE(tblCostChecklist[[#This Row],[RequirementID]],".",-2),
 "cost."
)</f>
        <v>collection.kitchen_and_buttery_1@2</v>
      </c>
      <c r="C1504" s="41" t="str">
        <f>_xlfn.XLOOKUP(tblCostChecklist[[#This Row],[TargetID]],tblTargets[TargetID],tblTargets[DisplayName],"")</f>
        <v>Kitchen And Buttery 1 Lv 2</v>
      </c>
      <c r="D1504" s="41" t="str">
        <f>_xlfn.XLOOKUP(tblCostChecklist[[#This Row],[TargetID]],tblTargets[TargetID],tblTargets[TargetType],"")</f>
        <v>COLLECTION</v>
      </c>
      <c r="E1504" s="41" t="s">
        <v>701</v>
      </c>
      <c r="F1504" s="41">
        <v>8</v>
      </c>
      <c r="G1504" s="41">
        <f>_xlfn.XLOOKUP(
 tblCostChecklist[[#This Row],[RequirementID]],
 tblCost[RequirementID],
 tblCost[QuantityRequired],
 ""
)</f>
        <v>100</v>
      </c>
      <c r="H15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4" s="41" t="str">
        <f>_xlfn.XLOOKUP(tblCostChecklist[[#This Row],[TargetID]],tblTargetStatus[TargetID],tblTargetStatus[Status])</f>
        <v>BLOCKED</v>
      </c>
      <c r="J1504" s="25" t="b">
        <v>0</v>
      </c>
    </row>
    <row r="1505" spans="1:10">
      <c r="A1505" s="41" t="s">
        <v>5142</v>
      </c>
      <c r="B1505" s="41" t="str">
        <f>_xlfn.TEXTAFTER(
 _xlfn.TEXTBEFORE(tblCostChecklist[[#This Row],[RequirementID]],".",-2),
 "cost."
)</f>
        <v>collection.kitchen_and_buttery_1@2</v>
      </c>
      <c r="C1505" s="41" t="str">
        <f>_xlfn.XLOOKUP(tblCostChecklist[[#This Row],[TargetID]],tblTargets[TargetID],tblTargets[DisplayName],"")</f>
        <v>Kitchen And Buttery 1 Lv 2</v>
      </c>
      <c r="D1505" s="41" t="str">
        <f>_xlfn.XLOOKUP(tblCostChecklist[[#This Row],[TargetID]],tblTargets[TargetID],tblTargets[TargetType],"")</f>
        <v>COLLECTION</v>
      </c>
      <c r="E1505" s="41" t="s">
        <v>713</v>
      </c>
      <c r="F1505" s="41">
        <v>1</v>
      </c>
      <c r="G1505" s="41">
        <f>_xlfn.XLOOKUP(
 tblCostChecklist[[#This Row],[RequirementID]],
 tblCost[RequirementID],
 tblCost[QuantityRequired],
 ""
)</f>
        <v>30</v>
      </c>
      <c r="H15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5" s="41" t="str">
        <f>_xlfn.XLOOKUP(tblCostChecklist[[#This Row],[TargetID]],tblTargetStatus[TargetID],tblTargetStatus[Status])</f>
        <v>BLOCKED</v>
      </c>
      <c r="J1505" s="25" t="b">
        <v>0</v>
      </c>
    </row>
    <row r="1506" spans="1:10">
      <c r="A1506" s="41" t="s">
        <v>5143</v>
      </c>
      <c r="B1506" s="41" t="str">
        <f>_xlfn.TEXTAFTER(
 _xlfn.TEXTBEFORE(tblCostChecklist[[#This Row],[RequirementID]],".",-2),
 "cost."
)</f>
        <v>collection.kitchen_and_buttery_1@3</v>
      </c>
      <c r="C1506" s="41" t="str">
        <f>_xlfn.XLOOKUP(tblCostChecklist[[#This Row],[TargetID]],tblTargets[TargetID],tblTargets[DisplayName],"")</f>
        <v>Kitchen And Buttery 1 Lv 3</v>
      </c>
      <c r="D1506" s="41" t="str">
        <f>_xlfn.XLOOKUP(tblCostChecklist[[#This Row],[TargetID]],tblTargets[TargetID],tblTargets[TargetType],"")</f>
        <v>COLLECTION</v>
      </c>
      <c r="E1506" s="41" t="s">
        <v>938</v>
      </c>
      <c r="F1506" s="41">
        <v>1</v>
      </c>
      <c r="G1506" s="41">
        <f>_xlfn.XLOOKUP(
 tblCostChecklist[[#This Row],[RequirementID]],
 tblCost[RequirementID],
 tblCost[QuantityRequired],
 ""
)</f>
        <v>30</v>
      </c>
      <c r="H15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6" s="41" t="str">
        <f>_xlfn.XLOOKUP(tblCostChecklist[[#This Row],[TargetID]],tblTargetStatus[TargetID],tblTargetStatus[Status])</f>
        <v>BLOCKED</v>
      </c>
      <c r="J1506" s="25" t="b">
        <v>0</v>
      </c>
    </row>
    <row r="1507" spans="1:10">
      <c r="A1507" s="41" t="s">
        <v>5144</v>
      </c>
      <c r="B1507" s="41" t="str">
        <f>_xlfn.TEXTAFTER(
 _xlfn.TEXTBEFORE(tblCostChecklist[[#This Row],[RequirementID]],".",-2),
 "cost."
)</f>
        <v>collection.kitchen_and_buttery_1@3</v>
      </c>
      <c r="C1507" s="41" t="str">
        <f>_xlfn.XLOOKUP(tblCostChecklist[[#This Row],[TargetID]],tblTargets[TargetID],tblTargets[DisplayName],"")</f>
        <v>Kitchen And Buttery 1 Lv 3</v>
      </c>
      <c r="D1507" s="41" t="str">
        <f>_xlfn.XLOOKUP(tblCostChecklist[[#This Row],[TargetID]],tblTargets[TargetID],tblTargets[TargetType],"")</f>
        <v>COLLECTION</v>
      </c>
      <c r="E1507" s="41" t="s">
        <v>855</v>
      </c>
      <c r="F1507" s="41">
        <v>1</v>
      </c>
      <c r="G1507" s="41">
        <f>_xlfn.XLOOKUP(
 tblCostChecklist[[#This Row],[RequirementID]],
 tblCost[RequirementID],
 tblCost[QuantityRequired],
 ""
)</f>
        <v>30</v>
      </c>
      <c r="H15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7" s="41" t="str">
        <f>_xlfn.XLOOKUP(tblCostChecklist[[#This Row],[TargetID]],tblTargetStatus[TargetID],tblTargetStatus[Status])</f>
        <v>BLOCKED</v>
      </c>
      <c r="J1507" s="25" t="b">
        <v>0</v>
      </c>
    </row>
    <row r="1508" spans="1:10">
      <c r="A1508" s="41" t="s">
        <v>5145</v>
      </c>
      <c r="B1508" s="41" t="str">
        <f>_xlfn.TEXTAFTER(
 _xlfn.TEXTBEFORE(tblCostChecklist[[#This Row],[RequirementID]],".",-2),
 "cost."
)</f>
        <v>collection.kitchen_and_buttery_1@3</v>
      </c>
      <c r="C1508" s="41" t="str">
        <f>_xlfn.XLOOKUP(tblCostChecklist[[#This Row],[TargetID]],tblTargets[TargetID],tblTargets[DisplayName],"")</f>
        <v>Kitchen And Buttery 1 Lv 3</v>
      </c>
      <c r="D1508" s="41" t="str">
        <f>_xlfn.XLOOKUP(tblCostChecklist[[#This Row],[TargetID]],tblTargets[TargetID],tblTargets[TargetType],"")</f>
        <v>COLLECTION</v>
      </c>
      <c r="E1508" s="41" t="s">
        <v>695</v>
      </c>
      <c r="F1508" s="41">
        <v>1</v>
      </c>
      <c r="G1508" s="41">
        <f>_xlfn.XLOOKUP(
 tblCostChecklist[[#This Row],[RequirementID]],
 tblCost[RequirementID],
 tblCost[QuantityRequired],
 ""
)</f>
        <v>45</v>
      </c>
      <c r="H15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8" s="41" t="str">
        <f>_xlfn.XLOOKUP(tblCostChecklist[[#This Row],[TargetID]],tblTargetStatus[TargetID],tblTargetStatus[Status])</f>
        <v>BLOCKED</v>
      </c>
      <c r="J1508" s="25" t="b">
        <v>0</v>
      </c>
    </row>
    <row r="1509" spans="1:10">
      <c r="A1509" s="41" t="s">
        <v>5146</v>
      </c>
      <c r="B1509" s="41" t="str">
        <f>_xlfn.TEXTAFTER(
 _xlfn.TEXTBEFORE(tblCostChecklist[[#This Row],[RequirementID]],".",-2),
 "cost."
)</f>
        <v>collection.kitchen_and_buttery_1@3</v>
      </c>
      <c r="C1509" s="41" t="str">
        <f>_xlfn.XLOOKUP(tblCostChecklist[[#This Row],[TargetID]],tblTargets[TargetID],tblTargets[DisplayName],"")</f>
        <v>Kitchen And Buttery 1 Lv 3</v>
      </c>
      <c r="D1509" s="41" t="str">
        <f>_xlfn.XLOOKUP(tblCostChecklist[[#This Row],[TargetID]],tblTargets[TargetID],tblTargets[TargetType],"")</f>
        <v>COLLECTION</v>
      </c>
      <c r="E1509" s="41" t="s">
        <v>701</v>
      </c>
      <c r="F1509" s="41">
        <v>1</v>
      </c>
      <c r="G1509" s="41">
        <f>_xlfn.XLOOKUP(
 tblCostChecklist[[#This Row],[RequirementID]],
 tblCost[RequirementID],
 tblCost[QuantityRequired],
 ""
)</f>
        <v>150</v>
      </c>
      <c r="H15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9" s="41" t="str">
        <f>_xlfn.XLOOKUP(tblCostChecklist[[#This Row],[TargetID]],tblTargetStatus[TargetID],tblTargetStatus[Status])</f>
        <v>BLOCKED</v>
      </c>
      <c r="J1509" s="25" t="b">
        <v>0</v>
      </c>
    </row>
    <row r="1510" spans="1:10">
      <c r="A1510" s="41" t="s">
        <v>5147</v>
      </c>
      <c r="B1510" s="41" t="str">
        <f>_xlfn.TEXTAFTER(
 _xlfn.TEXTBEFORE(tblCostChecklist[[#This Row],[RequirementID]],".",-2),
 "cost."
)</f>
        <v>collection.kitchen_and_buttery_1@3</v>
      </c>
      <c r="C1510" s="41" t="str">
        <f>_xlfn.XLOOKUP(tblCostChecklist[[#This Row],[TargetID]],tblTargets[TargetID],tblTargets[DisplayName],"")</f>
        <v>Kitchen And Buttery 1 Lv 3</v>
      </c>
      <c r="D1510" s="41" t="str">
        <f>_xlfn.XLOOKUP(tblCostChecklist[[#This Row],[TargetID]],tblTargets[TargetID],tblTargets[TargetType],"")</f>
        <v>COLLECTION</v>
      </c>
      <c r="E1510" s="41" t="s">
        <v>701</v>
      </c>
      <c r="F1510" s="41">
        <v>2</v>
      </c>
      <c r="G1510" s="41">
        <f>_xlfn.XLOOKUP(
 tblCostChecklist[[#This Row],[RequirementID]],
 tblCost[RequirementID],
 tblCost[QuantityRequired],
 ""
)</f>
        <v>150</v>
      </c>
      <c r="H15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0" s="41" t="str">
        <f>_xlfn.XLOOKUP(tblCostChecklist[[#This Row],[TargetID]],tblTargetStatus[TargetID],tblTargetStatus[Status])</f>
        <v>BLOCKED</v>
      </c>
      <c r="J1510" s="25" t="b">
        <v>0</v>
      </c>
    </row>
    <row r="1511" spans="1:10">
      <c r="A1511" s="41" t="s">
        <v>5148</v>
      </c>
      <c r="B1511" s="41" t="str">
        <f>_xlfn.TEXTAFTER(
 _xlfn.TEXTBEFORE(tblCostChecklist[[#This Row],[RequirementID]],".",-2),
 "cost."
)</f>
        <v>collection.kitchen_and_buttery_1@3</v>
      </c>
      <c r="C1511" s="41" t="str">
        <f>_xlfn.XLOOKUP(tblCostChecklist[[#This Row],[TargetID]],tblTargets[TargetID],tblTargets[DisplayName],"")</f>
        <v>Kitchen And Buttery 1 Lv 3</v>
      </c>
      <c r="D1511" s="41" t="str">
        <f>_xlfn.XLOOKUP(tblCostChecklist[[#This Row],[TargetID]],tblTargets[TargetID],tblTargets[TargetType],"")</f>
        <v>COLLECTION</v>
      </c>
      <c r="E1511" s="41" t="s">
        <v>701</v>
      </c>
      <c r="F1511" s="41">
        <v>3</v>
      </c>
      <c r="G1511" s="41">
        <f>_xlfn.XLOOKUP(
 tblCostChecklist[[#This Row],[RequirementID]],
 tblCost[RequirementID],
 tblCost[QuantityRequired],
 ""
)</f>
        <v>150</v>
      </c>
      <c r="H15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1" s="41" t="str">
        <f>_xlfn.XLOOKUP(tblCostChecklist[[#This Row],[TargetID]],tblTargetStatus[TargetID],tblTargetStatus[Status])</f>
        <v>BLOCKED</v>
      </c>
      <c r="J1511" s="25" t="b">
        <v>0</v>
      </c>
    </row>
    <row r="1512" spans="1:10">
      <c r="A1512" s="41" t="s">
        <v>5149</v>
      </c>
      <c r="B1512" s="41" t="str">
        <f>_xlfn.TEXTAFTER(
 _xlfn.TEXTBEFORE(tblCostChecklist[[#This Row],[RequirementID]],".",-2),
 "cost."
)</f>
        <v>collection.kitchen_and_buttery_1@3</v>
      </c>
      <c r="C1512" s="41" t="str">
        <f>_xlfn.XLOOKUP(tblCostChecklist[[#This Row],[TargetID]],tblTargets[TargetID],tblTargets[DisplayName],"")</f>
        <v>Kitchen And Buttery 1 Lv 3</v>
      </c>
      <c r="D1512" s="41" t="str">
        <f>_xlfn.XLOOKUP(tblCostChecklist[[#This Row],[TargetID]],tblTargets[TargetID],tblTargets[TargetType],"")</f>
        <v>COLLECTION</v>
      </c>
      <c r="E1512" s="41" t="s">
        <v>701</v>
      </c>
      <c r="F1512" s="41">
        <v>4</v>
      </c>
      <c r="G1512" s="41">
        <f>_xlfn.XLOOKUP(
 tblCostChecklist[[#This Row],[RequirementID]],
 tblCost[RequirementID],
 tblCost[QuantityRequired],
 ""
)</f>
        <v>150</v>
      </c>
      <c r="H15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2" s="41" t="str">
        <f>_xlfn.XLOOKUP(tblCostChecklist[[#This Row],[TargetID]],tblTargetStatus[TargetID],tblTargetStatus[Status])</f>
        <v>BLOCKED</v>
      </c>
      <c r="J1512" s="25" t="b">
        <v>0</v>
      </c>
    </row>
    <row r="1513" spans="1:10">
      <c r="A1513" s="41" t="s">
        <v>5150</v>
      </c>
      <c r="B1513" s="41" t="str">
        <f>_xlfn.TEXTAFTER(
 _xlfn.TEXTBEFORE(tblCostChecklist[[#This Row],[RequirementID]],".",-2),
 "cost."
)</f>
        <v>collection.kitchen_and_buttery_1@3</v>
      </c>
      <c r="C1513" s="41" t="str">
        <f>_xlfn.XLOOKUP(tblCostChecklist[[#This Row],[TargetID]],tblTargets[TargetID],tblTargets[DisplayName],"")</f>
        <v>Kitchen And Buttery 1 Lv 3</v>
      </c>
      <c r="D1513" s="41" t="str">
        <f>_xlfn.XLOOKUP(tblCostChecklist[[#This Row],[TargetID]],tblTargets[TargetID],tblTargets[TargetType],"")</f>
        <v>COLLECTION</v>
      </c>
      <c r="E1513" s="41" t="s">
        <v>701</v>
      </c>
      <c r="F1513" s="41">
        <v>5</v>
      </c>
      <c r="G1513" s="41">
        <f>_xlfn.XLOOKUP(
 tblCostChecklist[[#This Row],[RequirementID]],
 tblCost[RequirementID],
 tblCost[QuantityRequired],
 ""
)</f>
        <v>150</v>
      </c>
      <c r="H15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3" s="41" t="str">
        <f>_xlfn.XLOOKUP(tblCostChecklist[[#This Row],[TargetID]],tblTargetStatus[TargetID],tblTargetStatus[Status])</f>
        <v>BLOCKED</v>
      </c>
      <c r="J1513" s="25" t="b">
        <v>0</v>
      </c>
    </row>
    <row r="1514" spans="1:10">
      <c r="A1514" s="41" t="s">
        <v>5151</v>
      </c>
      <c r="B1514" s="41" t="str">
        <f>_xlfn.TEXTAFTER(
 _xlfn.TEXTBEFORE(tblCostChecklist[[#This Row],[RequirementID]],".",-2),
 "cost."
)</f>
        <v>collection.kitchen_and_buttery_1@3</v>
      </c>
      <c r="C1514" s="41" t="str">
        <f>_xlfn.XLOOKUP(tblCostChecklist[[#This Row],[TargetID]],tblTargets[TargetID],tblTargets[DisplayName],"")</f>
        <v>Kitchen And Buttery 1 Lv 3</v>
      </c>
      <c r="D1514" s="41" t="str">
        <f>_xlfn.XLOOKUP(tblCostChecklist[[#This Row],[TargetID]],tblTargets[TargetID],tblTargets[TargetType],"")</f>
        <v>COLLECTION</v>
      </c>
      <c r="E1514" s="41" t="s">
        <v>701</v>
      </c>
      <c r="F1514" s="41">
        <v>6</v>
      </c>
      <c r="G1514" s="41">
        <f>_xlfn.XLOOKUP(
 tblCostChecklist[[#This Row],[RequirementID]],
 tblCost[RequirementID],
 tblCost[QuantityRequired],
 ""
)</f>
        <v>150</v>
      </c>
      <c r="H15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4" s="41" t="str">
        <f>_xlfn.XLOOKUP(tblCostChecklist[[#This Row],[TargetID]],tblTargetStatus[TargetID],tblTargetStatus[Status])</f>
        <v>BLOCKED</v>
      </c>
      <c r="J1514" s="25" t="b">
        <v>0</v>
      </c>
    </row>
    <row r="1515" spans="1:10">
      <c r="A1515" s="41" t="s">
        <v>5152</v>
      </c>
      <c r="B1515" s="41" t="str">
        <f>_xlfn.TEXTAFTER(
 _xlfn.TEXTBEFORE(tblCostChecklist[[#This Row],[RequirementID]],".",-2),
 "cost."
)</f>
        <v>collection.kitchen_and_buttery_1@3</v>
      </c>
      <c r="C1515" s="41" t="str">
        <f>_xlfn.XLOOKUP(tblCostChecklist[[#This Row],[TargetID]],tblTargets[TargetID],tblTargets[DisplayName],"")</f>
        <v>Kitchen And Buttery 1 Lv 3</v>
      </c>
      <c r="D1515" s="41" t="str">
        <f>_xlfn.XLOOKUP(tblCostChecklist[[#This Row],[TargetID]],tblTargets[TargetID],tblTargets[TargetType],"")</f>
        <v>COLLECTION</v>
      </c>
      <c r="E1515" s="41" t="s">
        <v>701</v>
      </c>
      <c r="F1515" s="41">
        <v>7</v>
      </c>
      <c r="G1515" s="41">
        <f>_xlfn.XLOOKUP(
 tblCostChecklist[[#This Row],[RequirementID]],
 tblCost[RequirementID],
 tblCost[QuantityRequired],
 ""
)</f>
        <v>150</v>
      </c>
      <c r="H15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5" s="41" t="str">
        <f>_xlfn.XLOOKUP(tblCostChecklist[[#This Row],[TargetID]],tblTargetStatus[TargetID],tblTargetStatus[Status])</f>
        <v>BLOCKED</v>
      </c>
      <c r="J1515" s="25" t="b">
        <v>0</v>
      </c>
    </row>
    <row r="1516" spans="1:10">
      <c r="A1516" s="41" t="s">
        <v>5153</v>
      </c>
      <c r="B1516" s="41" t="str">
        <f>_xlfn.TEXTAFTER(
 _xlfn.TEXTBEFORE(tblCostChecklist[[#This Row],[RequirementID]],".",-2),
 "cost."
)</f>
        <v>collection.kitchen_and_buttery_1@3</v>
      </c>
      <c r="C1516" s="41" t="str">
        <f>_xlfn.XLOOKUP(tblCostChecklist[[#This Row],[TargetID]],tblTargets[TargetID],tblTargets[DisplayName],"")</f>
        <v>Kitchen And Buttery 1 Lv 3</v>
      </c>
      <c r="D1516" s="41" t="str">
        <f>_xlfn.XLOOKUP(tblCostChecklist[[#This Row],[TargetID]],tblTargets[TargetID],tblTargets[TargetType],"")</f>
        <v>COLLECTION</v>
      </c>
      <c r="E1516" s="41" t="s">
        <v>701</v>
      </c>
      <c r="F1516" s="41">
        <v>8</v>
      </c>
      <c r="G1516" s="41">
        <f>_xlfn.XLOOKUP(
 tblCostChecklist[[#This Row],[RequirementID]],
 tblCost[RequirementID],
 tblCost[QuantityRequired],
 ""
)</f>
        <v>150</v>
      </c>
      <c r="H15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6" s="41" t="str">
        <f>_xlfn.XLOOKUP(tblCostChecklist[[#This Row],[TargetID]],tblTargetStatus[TargetID],tblTargetStatus[Status])</f>
        <v>BLOCKED</v>
      </c>
      <c r="J1516" s="25" t="b">
        <v>0</v>
      </c>
    </row>
    <row r="1517" spans="1:10">
      <c r="A1517" s="41" t="s">
        <v>5154</v>
      </c>
      <c r="B1517" s="41" t="str">
        <f>_xlfn.TEXTAFTER(
 _xlfn.TEXTBEFORE(tblCostChecklist[[#This Row],[RequirementID]],".",-2),
 "cost."
)</f>
        <v>collection.kitchen_and_buttery_1@3</v>
      </c>
      <c r="C1517" s="41" t="str">
        <f>_xlfn.XLOOKUP(tblCostChecklist[[#This Row],[TargetID]],tblTargets[TargetID],tblTargets[DisplayName],"")</f>
        <v>Kitchen And Buttery 1 Lv 3</v>
      </c>
      <c r="D1517" s="41" t="str">
        <f>_xlfn.XLOOKUP(tblCostChecklist[[#This Row],[TargetID]],tblTargets[TargetID],tblTargets[TargetType],"")</f>
        <v>COLLECTION</v>
      </c>
      <c r="E1517" s="41" t="s">
        <v>713</v>
      </c>
      <c r="F1517" s="41">
        <v>1</v>
      </c>
      <c r="G1517" s="41">
        <f>_xlfn.XLOOKUP(
 tblCostChecklist[[#This Row],[RequirementID]],
 tblCost[RequirementID],
 tblCost[QuantityRequired],
 ""
)</f>
        <v>45</v>
      </c>
      <c r="H15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7" s="41" t="str">
        <f>_xlfn.XLOOKUP(tblCostChecklist[[#This Row],[TargetID]],tblTargetStatus[TargetID],tblTargetStatus[Status])</f>
        <v>BLOCKED</v>
      </c>
      <c r="J1517" s="25" t="b">
        <v>0</v>
      </c>
    </row>
    <row r="1518" spans="1:10">
      <c r="A1518" s="41" t="s">
        <v>5155</v>
      </c>
      <c r="B1518" s="41" t="str">
        <f>_xlfn.TEXTAFTER(
 _xlfn.TEXTBEFORE(tblCostChecklist[[#This Row],[RequirementID]],".",-2),
 "cost."
)</f>
        <v>collection.kitchen_and_buttery_1@4</v>
      </c>
      <c r="C1518" s="41" t="str">
        <f>_xlfn.XLOOKUP(tblCostChecklist[[#This Row],[TargetID]],tblTargets[TargetID],tblTargets[DisplayName],"")</f>
        <v>Kitchen And Buttery 1 Lv 4</v>
      </c>
      <c r="D1518" s="41" t="str">
        <f>_xlfn.XLOOKUP(tblCostChecklist[[#This Row],[TargetID]],tblTargets[TargetID],tblTargets[TargetType],"")</f>
        <v>COLLECTION</v>
      </c>
      <c r="E1518" s="41" t="s">
        <v>938</v>
      </c>
      <c r="F1518" s="41">
        <v>1</v>
      </c>
      <c r="G1518" s="41">
        <f>_xlfn.XLOOKUP(
 tblCostChecklist[[#This Row],[RequirementID]],
 tblCost[RequirementID],
 tblCost[QuantityRequired],
 ""
)</f>
        <v>40</v>
      </c>
      <c r="H15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18" s="41" t="str">
        <f>_xlfn.XLOOKUP(tblCostChecklist[[#This Row],[TargetID]],tblTargetStatus[TargetID],tblTargetStatus[Status])</f>
        <v>BLOCKED</v>
      </c>
      <c r="J1518" s="25" t="b">
        <v>0</v>
      </c>
    </row>
    <row r="1519" spans="1:10">
      <c r="A1519" s="41" t="s">
        <v>5156</v>
      </c>
      <c r="B1519" s="41" t="str">
        <f>_xlfn.TEXTAFTER(
 _xlfn.TEXTBEFORE(tblCostChecklist[[#This Row],[RequirementID]],".",-2),
 "cost."
)</f>
        <v>collection.kitchen_and_buttery_1@4</v>
      </c>
      <c r="C1519" s="41" t="str">
        <f>_xlfn.XLOOKUP(tblCostChecklist[[#This Row],[TargetID]],tblTargets[TargetID],tblTargets[DisplayName],"")</f>
        <v>Kitchen And Buttery 1 Lv 4</v>
      </c>
      <c r="D1519" s="41" t="str">
        <f>_xlfn.XLOOKUP(tblCostChecklist[[#This Row],[TargetID]],tblTargets[TargetID],tblTargets[TargetType],"")</f>
        <v>COLLECTION</v>
      </c>
      <c r="E1519" s="41" t="s">
        <v>855</v>
      </c>
      <c r="F1519" s="41">
        <v>1</v>
      </c>
      <c r="G1519" s="41">
        <f>_xlfn.XLOOKUP(
 tblCostChecklist[[#This Row],[RequirementID]],
 tblCost[RequirementID],
 tblCost[QuantityRequired],
 ""
)</f>
        <v>40</v>
      </c>
      <c r="H15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19" s="41" t="str">
        <f>_xlfn.XLOOKUP(tblCostChecklist[[#This Row],[TargetID]],tblTargetStatus[TargetID],tblTargetStatus[Status])</f>
        <v>BLOCKED</v>
      </c>
      <c r="J1519" s="25" t="b">
        <v>0</v>
      </c>
    </row>
    <row r="1520" spans="1:10">
      <c r="A1520" s="41" t="s">
        <v>5157</v>
      </c>
      <c r="B1520" s="41" t="str">
        <f>_xlfn.TEXTAFTER(
 _xlfn.TEXTBEFORE(tblCostChecklist[[#This Row],[RequirementID]],".",-2),
 "cost."
)</f>
        <v>collection.kitchen_and_buttery_1@4</v>
      </c>
      <c r="C1520" s="41" t="str">
        <f>_xlfn.XLOOKUP(tblCostChecklist[[#This Row],[TargetID]],tblTargets[TargetID],tblTargets[DisplayName],"")</f>
        <v>Kitchen And Buttery 1 Lv 4</v>
      </c>
      <c r="D1520" s="41" t="str">
        <f>_xlfn.XLOOKUP(tblCostChecklist[[#This Row],[TargetID]],tblTargets[TargetID],tblTargets[TargetType],"")</f>
        <v>COLLECTION</v>
      </c>
      <c r="E1520" s="41" t="s">
        <v>695</v>
      </c>
      <c r="F1520" s="41">
        <v>1</v>
      </c>
      <c r="G1520" s="41">
        <f>_xlfn.XLOOKUP(
 tblCostChecklist[[#This Row],[RequirementID]],
 tblCost[RequirementID],
 tblCost[QuantityRequired],
 ""
)</f>
        <v>60</v>
      </c>
      <c r="H15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0" s="41" t="str">
        <f>_xlfn.XLOOKUP(tblCostChecklist[[#This Row],[TargetID]],tblTargetStatus[TargetID],tblTargetStatus[Status])</f>
        <v>BLOCKED</v>
      </c>
      <c r="J1520" s="25" t="b">
        <v>0</v>
      </c>
    </row>
    <row r="1521" spans="1:10">
      <c r="A1521" s="41" t="s">
        <v>5158</v>
      </c>
      <c r="B1521" s="41" t="str">
        <f>_xlfn.TEXTAFTER(
 _xlfn.TEXTBEFORE(tblCostChecklist[[#This Row],[RequirementID]],".",-2),
 "cost."
)</f>
        <v>collection.kitchen_and_buttery_1@4</v>
      </c>
      <c r="C1521" s="41" t="str">
        <f>_xlfn.XLOOKUP(tblCostChecklist[[#This Row],[TargetID]],tblTargets[TargetID],tblTargets[DisplayName],"")</f>
        <v>Kitchen And Buttery 1 Lv 4</v>
      </c>
      <c r="D1521" s="41" t="str">
        <f>_xlfn.XLOOKUP(tblCostChecklist[[#This Row],[TargetID]],tblTargets[TargetID],tblTargets[TargetType],"")</f>
        <v>COLLECTION</v>
      </c>
      <c r="E1521" s="41" t="s">
        <v>701</v>
      </c>
      <c r="F1521" s="41">
        <v>1</v>
      </c>
      <c r="G1521" s="41">
        <f>_xlfn.XLOOKUP(
 tblCostChecklist[[#This Row],[RequirementID]],
 tblCost[RequirementID],
 tblCost[QuantityRequired],
 ""
)</f>
        <v>200</v>
      </c>
      <c r="H15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1" s="41" t="str">
        <f>_xlfn.XLOOKUP(tblCostChecklist[[#This Row],[TargetID]],tblTargetStatus[TargetID],tblTargetStatus[Status])</f>
        <v>BLOCKED</v>
      </c>
      <c r="J1521" s="25" t="b">
        <v>0</v>
      </c>
    </row>
    <row r="1522" spans="1:10">
      <c r="A1522" s="41" t="s">
        <v>5159</v>
      </c>
      <c r="B1522" s="41" t="str">
        <f>_xlfn.TEXTAFTER(
 _xlfn.TEXTBEFORE(tblCostChecklist[[#This Row],[RequirementID]],".",-2),
 "cost."
)</f>
        <v>collection.kitchen_and_buttery_1@4</v>
      </c>
      <c r="C1522" s="41" t="str">
        <f>_xlfn.XLOOKUP(tblCostChecklist[[#This Row],[TargetID]],tblTargets[TargetID],tblTargets[DisplayName],"")</f>
        <v>Kitchen And Buttery 1 Lv 4</v>
      </c>
      <c r="D1522" s="41" t="str">
        <f>_xlfn.XLOOKUP(tblCostChecklist[[#This Row],[TargetID]],tblTargets[TargetID],tblTargets[TargetType],"")</f>
        <v>COLLECTION</v>
      </c>
      <c r="E1522" s="41" t="s">
        <v>701</v>
      </c>
      <c r="F1522" s="41">
        <v>2</v>
      </c>
      <c r="G1522" s="41">
        <f>_xlfn.XLOOKUP(
 tblCostChecklist[[#This Row],[RequirementID]],
 tblCost[RequirementID],
 tblCost[QuantityRequired],
 ""
)</f>
        <v>200</v>
      </c>
      <c r="H15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2" s="41" t="str">
        <f>_xlfn.XLOOKUP(tblCostChecklist[[#This Row],[TargetID]],tblTargetStatus[TargetID],tblTargetStatus[Status])</f>
        <v>BLOCKED</v>
      </c>
      <c r="J1522" s="25" t="b">
        <v>0</v>
      </c>
    </row>
    <row r="1523" spans="1:10">
      <c r="A1523" s="41" t="s">
        <v>5160</v>
      </c>
      <c r="B1523" s="41" t="str">
        <f>_xlfn.TEXTAFTER(
 _xlfn.TEXTBEFORE(tblCostChecklist[[#This Row],[RequirementID]],".",-2),
 "cost."
)</f>
        <v>collection.kitchen_and_buttery_1@4</v>
      </c>
      <c r="C1523" s="41" t="str">
        <f>_xlfn.XLOOKUP(tblCostChecklist[[#This Row],[TargetID]],tblTargets[TargetID],tblTargets[DisplayName],"")</f>
        <v>Kitchen And Buttery 1 Lv 4</v>
      </c>
      <c r="D1523" s="41" t="str">
        <f>_xlfn.XLOOKUP(tblCostChecklist[[#This Row],[TargetID]],tblTargets[TargetID],tblTargets[TargetType],"")</f>
        <v>COLLECTION</v>
      </c>
      <c r="E1523" s="41" t="s">
        <v>701</v>
      </c>
      <c r="F1523" s="41">
        <v>3</v>
      </c>
      <c r="G1523" s="41">
        <f>_xlfn.XLOOKUP(
 tblCostChecklist[[#This Row],[RequirementID]],
 tblCost[RequirementID],
 tblCost[QuantityRequired],
 ""
)</f>
        <v>200</v>
      </c>
      <c r="H15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3" s="41" t="str">
        <f>_xlfn.XLOOKUP(tblCostChecklist[[#This Row],[TargetID]],tblTargetStatus[TargetID],tblTargetStatus[Status])</f>
        <v>BLOCKED</v>
      </c>
      <c r="J1523" s="25" t="b">
        <v>0</v>
      </c>
    </row>
    <row r="1524" spans="1:10">
      <c r="A1524" s="41" t="s">
        <v>5161</v>
      </c>
      <c r="B1524" s="41" t="str">
        <f>_xlfn.TEXTAFTER(
 _xlfn.TEXTBEFORE(tblCostChecklist[[#This Row],[RequirementID]],".",-2),
 "cost."
)</f>
        <v>collection.kitchen_and_buttery_1@4</v>
      </c>
      <c r="C1524" s="41" t="str">
        <f>_xlfn.XLOOKUP(tblCostChecklist[[#This Row],[TargetID]],tblTargets[TargetID],tblTargets[DisplayName],"")</f>
        <v>Kitchen And Buttery 1 Lv 4</v>
      </c>
      <c r="D1524" s="41" t="str">
        <f>_xlfn.XLOOKUP(tblCostChecklist[[#This Row],[TargetID]],tblTargets[TargetID],tblTargets[TargetType],"")</f>
        <v>COLLECTION</v>
      </c>
      <c r="E1524" s="41" t="s">
        <v>701</v>
      </c>
      <c r="F1524" s="41">
        <v>4</v>
      </c>
      <c r="G1524" s="41">
        <f>_xlfn.XLOOKUP(
 tblCostChecklist[[#This Row],[RequirementID]],
 tblCost[RequirementID],
 tblCost[QuantityRequired],
 ""
)</f>
        <v>200</v>
      </c>
      <c r="H15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4" s="41" t="str">
        <f>_xlfn.XLOOKUP(tblCostChecklist[[#This Row],[TargetID]],tblTargetStatus[TargetID],tblTargetStatus[Status])</f>
        <v>BLOCKED</v>
      </c>
      <c r="J1524" s="25" t="b">
        <v>0</v>
      </c>
    </row>
    <row r="1525" spans="1:10">
      <c r="A1525" s="41" t="s">
        <v>5162</v>
      </c>
      <c r="B1525" s="41" t="str">
        <f>_xlfn.TEXTAFTER(
 _xlfn.TEXTBEFORE(tblCostChecklist[[#This Row],[RequirementID]],".",-2),
 "cost."
)</f>
        <v>collection.kitchen_and_buttery_1@4</v>
      </c>
      <c r="C1525" s="41" t="str">
        <f>_xlfn.XLOOKUP(tblCostChecklist[[#This Row],[TargetID]],tblTargets[TargetID],tblTargets[DisplayName],"")</f>
        <v>Kitchen And Buttery 1 Lv 4</v>
      </c>
      <c r="D1525" s="41" t="str">
        <f>_xlfn.XLOOKUP(tblCostChecklist[[#This Row],[TargetID]],tblTargets[TargetID],tblTargets[TargetType],"")</f>
        <v>COLLECTION</v>
      </c>
      <c r="E1525" s="41" t="s">
        <v>701</v>
      </c>
      <c r="F1525" s="41">
        <v>5</v>
      </c>
      <c r="G1525" s="41">
        <f>_xlfn.XLOOKUP(
 tblCostChecklist[[#This Row],[RequirementID]],
 tblCost[RequirementID],
 tblCost[QuantityRequired],
 ""
)</f>
        <v>200</v>
      </c>
      <c r="H15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5" s="41" t="str">
        <f>_xlfn.XLOOKUP(tblCostChecklist[[#This Row],[TargetID]],tblTargetStatus[TargetID],tblTargetStatus[Status])</f>
        <v>BLOCKED</v>
      </c>
      <c r="J1525" s="25" t="b">
        <v>0</v>
      </c>
    </row>
    <row r="1526" spans="1:10">
      <c r="A1526" s="41" t="s">
        <v>5163</v>
      </c>
      <c r="B1526" s="41" t="str">
        <f>_xlfn.TEXTAFTER(
 _xlfn.TEXTBEFORE(tblCostChecklist[[#This Row],[RequirementID]],".",-2),
 "cost."
)</f>
        <v>collection.kitchen_and_buttery_1@4</v>
      </c>
      <c r="C1526" s="41" t="str">
        <f>_xlfn.XLOOKUP(tblCostChecklist[[#This Row],[TargetID]],tblTargets[TargetID],tblTargets[DisplayName],"")</f>
        <v>Kitchen And Buttery 1 Lv 4</v>
      </c>
      <c r="D1526" s="41" t="str">
        <f>_xlfn.XLOOKUP(tblCostChecklist[[#This Row],[TargetID]],tblTargets[TargetID],tblTargets[TargetType],"")</f>
        <v>COLLECTION</v>
      </c>
      <c r="E1526" s="41" t="s">
        <v>701</v>
      </c>
      <c r="F1526" s="41">
        <v>6</v>
      </c>
      <c r="G1526" s="41">
        <f>_xlfn.XLOOKUP(
 tblCostChecklist[[#This Row],[RequirementID]],
 tblCost[RequirementID],
 tblCost[QuantityRequired],
 ""
)</f>
        <v>200</v>
      </c>
      <c r="H15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6" s="41" t="str">
        <f>_xlfn.XLOOKUP(tblCostChecklist[[#This Row],[TargetID]],tblTargetStatus[TargetID],tblTargetStatus[Status])</f>
        <v>BLOCKED</v>
      </c>
      <c r="J1526" s="25" t="b">
        <v>0</v>
      </c>
    </row>
    <row r="1527" spans="1:10">
      <c r="A1527" s="41" t="s">
        <v>5164</v>
      </c>
      <c r="B1527" s="41" t="str">
        <f>_xlfn.TEXTAFTER(
 _xlfn.TEXTBEFORE(tblCostChecklist[[#This Row],[RequirementID]],".",-2),
 "cost."
)</f>
        <v>collection.kitchen_and_buttery_1@4</v>
      </c>
      <c r="C1527" s="41" t="str">
        <f>_xlfn.XLOOKUP(tblCostChecklist[[#This Row],[TargetID]],tblTargets[TargetID],tblTargets[DisplayName],"")</f>
        <v>Kitchen And Buttery 1 Lv 4</v>
      </c>
      <c r="D1527" s="41" t="str">
        <f>_xlfn.XLOOKUP(tblCostChecklist[[#This Row],[TargetID]],tblTargets[TargetID],tblTargets[TargetType],"")</f>
        <v>COLLECTION</v>
      </c>
      <c r="E1527" s="41" t="s">
        <v>701</v>
      </c>
      <c r="F1527" s="41">
        <v>7</v>
      </c>
      <c r="G1527" s="41">
        <f>_xlfn.XLOOKUP(
 tblCostChecklist[[#This Row],[RequirementID]],
 tblCost[RequirementID],
 tblCost[QuantityRequired],
 ""
)</f>
        <v>200</v>
      </c>
      <c r="H15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7" s="41" t="str">
        <f>_xlfn.XLOOKUP(tblCostChecklist[[#This Row],[TargetID]],tblTargetStatus[TargetID],tblTargetStatus[Status])</f>
        <v>BLOCKED</v>
      </c>
      <c r="J1527" s="25" t="b">
        <v>0</v>
      </c>
    </row>
    <row r="1528" spans="1:10">
      <c r="A1528" s="41" t="s">
        <v>5165</v>
      </c>
      <c r="B1528" s="41" t="str">
        <f>_xlfn.TEXTAFTER(
 _xlfn.TEXTBEFORE(tblCostChecklist[[#This Row],[RequirementID]],".",-2),
 "cost."
)</f>
        <v>collection.kitchen_and_buttery_1@4</v>
      </c>
      <c r="C1528" s="41" t="str">
        <f>_xlfn.XLOOKUP(tblCostChecklist[[#This Row],[TargetID]],tblTargets[TargetID],tblTargets[DisplayName],"")</f>
        <v>Kitchen And Buttery 1 Lv 4</v>
      </c>
      <c r="D1528" s="41" t="str">
        <f>_xlfn.XLOOKUP(tblCostChecklist[[#This Row],[TargetID]],tblTargets[TargetID],tblTargets[TargetType],"")</f>
        <v>COLLECTION</v>
      </c>
      <c r="E1528" s="41" t="s">
        <v>701</v>
      </c>
      <c r="F1528" s="41">
        <v>8</v>
      </c>
      <c r="G1528" s="41">
        <f>_xlfn.XLOOKUP(
 tblCostChecklist[[#This Row],[RequirementID]],
 tblCost[RequirementID],
 tblCost[QuantityRequired],
 ""
)</f>
        <v>200</v>
      </c>
      <c r="H15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8" s="41" t="str">
        <f>_xlfn.XLOOKUP(tblCostChecklist[[#This Row],[TargetID]],tblTargetStatus[TargetID],tblTargetStatus[Status])</f>
        <v>BLOCKED</v>
      </c>
      <c r="J1528" s="25" t="b">
        <v>0</v>
      </c>
    </row>
    <row r="1529" spans="1:10">
      <c r="A1529" s="41" t="s">
        <v>5166</v>
      </c>
      <c r="B1529" s="41" t="str">
        <f>_xlfn.TEXTAFTER(
 _xlfn.TEXTBEFORE(tblCostChecklist[[#This Row],[RequirementID]],".",-2),
 "cost."
)</f>
        <v>collection.kitchen_and_buttery_1@4</v>
      </c>
      <c r="C1529" s="41" t="str">
        <f>_xlfn.XLOOKUP(tblCostChecklist[[#This Row],[TargetID]],tblTargets[TargetID],tblTargets[DisplayName],"")</f>
        <v>Kitchen And Buttery 1 Lv 4</v>
      </c>
      <c r="D1529" s="41" t="str">
        <f>_xlfn.XLOOKUP(tblCostChecklist[[#This Row],[TargetID]],tblTargets[TargetID],tblTargets[TargetType],"")</f>
        <v>COLLECTION</v>
      </c>
      <c r="E1529" s="41" t="s">
        <v>713</v>
      </c>
      <c r="F1529" s="41">
        <v>1</v>
      </c>
      <c r="G1529" s="41">
        <f>_xlfn.XLOOKUP(
 tblCostChecklist[[#This Row],[RequirementID]],
 tblCost[RequirementID],
 tblCost[QuantityRequired],
 ""
)</f>
        <v>60</v>
      </c>
      <c r="H15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9" s="41" t="str">
        <f>_xlfn.XLOOKUP(tblCostChecklist[[#This Row],[TargetID]],tblTargetStatus[TargetID],tblTargetStatus[Status])</f>
        <v>BLOCKED</v>
      </c>
      <c r="J1529" s="25" t="b">
        <v>0</v>
      </c>
    </row>
    <row r="1530" spans="1:10">
      <c r="A1530" s="41" t="s">
        <v>5167</v>
      </c>
      <c r="B1530" s="41" t="str">
        <f>_xlfn.TEXTAFTER(
 _xlfn.TEXTBEFORE(tblCostChecklist[[#This Row],[RequirementID]],".",-2),
 "cost."
)</f>
        <v>collection.kitchen_and_buttery_1@5</v>
      </c>
      <c r="C1530" s="41" t="str">
        <f>_xlfn.XLOOKUP(tblCostChecklist[[#This Row],[TargetID]],tblTargets[TargetID],tblTargets[DisplayName],"")</f>
        <v>Kitchen And Buttery 1 Lv 5</v>
      </c>
      <c r="D1530" s="41" t="str">
        <f>_xlfn.XLOOKUP(tblCostChecklist[[#This Row],[TargetID]],tblTargets[TargetID],tblTargets[TargetType],"")</f>
        <v>COLLECTION</v>
      </c>
      <c r="E1530" s="41" t="s">
        <v>938</v>
      </c>
      <c r="F1530" s="41">
        <v>1</v>
      </c>
      <c r="G1530" s="41">
        <f>_xlfn.XLOOKUP(
 tblCostChecklist[[#This Row],[RequirementID]],
 tblCost[RequirementID],
 tblCost[QuantityRequired],
 ""
)</f>
        <v>50</v>
      </c>
      <c r="H15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0" s="41" t="str">
        <f>_xlfn.XLOOKUP(tblCostChecklist[[#This Row],[TargetID]],tblTargetStatus[TargetID],tblTargetStatus[Status])</f>
        <v>BLOCKED</v>
      </c>
      <c r="J1530" s="25" t="b">
        <v>0</v>
      </c>
    </row>
    <row r="1531" spans="1:10">
      <c r="A1531" s="41" t="s">
        <v>5168</v>
      </c>
      <c r="B1531" s="41" t="str">
        <f>_xlfn.TEXTAFTER(
 _xlfn.TEXTBEFORE(tblCostChecklist[[#This Row],[RequirementID]],".",-2),
 "cost."
)</f>
        <v>collection.kitchen_and_buttery_1@5</v>
      </c>
      <c r="C1531" s="41" t="str">
        <f>_xlfn.XLOOKUP(tblCostChecklist[[#This Row],[TargetID]],tblTargets[TargetID],tblTargets[DisplayName],"")</f>
        <v>Kitchen And Buttery 1 Lv 5</v>
      </c>
      <c r="D1531" s="41" t="str">
        <f>_xlfn.XLOOKUP(tblCostChecklist[[#This Row],[TargetID]],tblTargets[TargetID],tblTargets[TargetType],"")</f>
        <v>COLLECTION</v>
      </c>
      <c r="E1531" s="41" t="s">
        <v>855</v>
      </c>
      <c r="F1531" s="41">
        <v>1</v>
      </c>
      <c r="G1531" s="41">
        <f>_xlfn.XLOOKUP(
 tblCostChecklist[[#This Row],[RequirementID]],
 tblCost[RequirementID],
 tblCost[QuantityRequired],
 ""
)</f>
        <v>50</v>
      </c>
      <c r="H15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1" s="41" t="str">
        <f>_xlfn.XLOOKUP(tblCostChecklist[[#This Row],[TargetID]],tblTargetStatus[TargetID],tblTargetStatus[Status])</f>
        <v>BLOCKED</v>
      </c>
      <c r="J1531" s="25" t="b">
        <v>0</v>
      </c>
    </row>
    <row r="1532" spans="1:10">
      <c r="A1532" s="41" t="s">
        <v>5169</v>
      </c>
      <c r="B1532" s="41" t="str">
        <f>_xlfn.TEXTAFTER(
 _xlfn.TEXTBEFORE(tblCostChecklist[[#This Row],[RequirementID]],".",-2),
 "cost."
)</f>
        <v>collection.kitchen_and_buttery_1@5</v>
      </c>
      <c r="C1532" s="41" t="str">
        <f>_xlfn.XLOOKUP(tblCostChecklist[[#This Row],[TargetID]],tblTargets[TargetID],tblTargets[DisplayName],"")</f>
        <v>Kitchen And Buttery 1 Lv 5</v>
      </c>
      <c r="D1532" s="41" t="str">
        <f>_xlfn.XLOOKUP(tblCostChecklist[[#This Row],[TargetID]],tblTargets[TargetID],tblTargets[TargetType],"")</f>
        <v>COLLECTION</v>
      </c>
      <c r="E1532" s="41" t="s">
        <v>695</v>
      </c>
      <c r="F1532" s="41">
        <v>1</v>
      </c>
      <c r="G1532" s="41">
        <f>_xlfn.XLOOKUP(
 tblCostChecklist[[#This Row],[RequirementID]],
 tblCost[RequirementID],
 tblCost[QuantityRequired],
 ""
)</f>
        <v>75</v>
      </c>
      <c r="H15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2" s="41" t="str">
        <f>_xlfn.XLOOKUP(tblCostChecklist[[#This Row],[TargetID]],tblTargetStatus[TargetID],tblTargetStatus[Status])</f>
        <v>BLOCKED</v>
      </c>
      <c r="J1532" s="25" t="b">
        <v>0</v>
      </c>
    </row>
    <row r="1533" spans="1:10">
      <c r="A1533" s="41" t="s">
        <v>5170</v>
      </c>
      <c r="B1533" s="41" t="str">
        <f>_xlfn.TEXTAFTER(
 _xlfn.TEXTBEFORE(tblCostChecklist[[#This Row],[RequirementID]],".",-2),
 "cost."
)</f>
        <v>collection.kitchen_and_buttery_1@5</v>
      </c>
      <c r="C1533" s="41" t="str">
        <f>_xlfn.XLOOKUP(tblCostChecklist[[#This Row],[TargetID]],tblTargets[TargetID],tblTargets[DisplayName],"")</f>
        <v>Kitchen And Buttery 1 Lv 5</v>
      </c>
      <c r="D1533" s="41" t="str">
        <f>_xlfn.XLOOKUP(tblCostChecklist[[#This Row],[TargetID]],tblTargets[TargetID],tblTargets[TargetType],"")</f>
        <v>COLLECTION</v>
      </c>
      <c r="E1533" s="41" t="s">
        <v>701</v>
      </c>
      <c r="F1533" s="41">
        <v>1</v>
      </c>
      <c r="G1533" s="41">
        <f>_xlfn.XLOOKUP(
 tblCostChecklist[[#This Row],[RequirementID]],
 tblCost[RequirementID],
 tblCost[QuantityRequired],
 ""
)</f>
        <v>250</v>
      </c>
      <c r="H15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3" s="41" t="str">
        <f>_xlfn.XLOOKUP(tblCostChecklist[[#This Row],[TargetID]],tblTargetStatus[TargetID],tblTargetStatus[Status])</f>
        <v>BLOCKED</v>
      </c>
      <c r="J1533" s="25" t="b">
        <v>0</v>
      </c>
    </row>
    <row r="1534" spans="1:10">
      <c r="A1534" s="41" t="s">
        <v>5171</v>
      </c>
      <c r="B1534" s="41" t="str">
        <f>_xlfn.TEXTAFTER(
 _xlfn.TEXTBEFORE(tblCostChecklist[[#This Row],[RequirementID]],".",-2),
 "cost."
)</f>
        <v>collection.kitchen_and_buttery_1@5</v>
      </c>
      <c r="C1534" s="41" t="str">
        <f>_xlfn.XLOOKUP(tblCostChecklist[[#This Row],[TargetID]],tblTargets[TargetID],tblTargets[DisplayName],"")</f>
        <v>Kitchen And Buttery 1 Lv 5</v>
      </c>
      <c r="D1534" s="41" t="str">
        <f>_xlfn.XLOOKUP(tblCostChecklist[[#This Row],[TargetID]],tblTargets[TargetID],tblTargets[TargetType],"")</f>
        <v>COLLECTION</v>
      </c>
      <c r="E1534" s="41" t="s">
        <v>701</v>
      </c>
      <c r="F1534" s="41">
        <v>2</v>
      </c>
      <c r="G1534" s="41">
        <f>_xlfn.XLOOKUP(
 tblCostChecklist[[#This Row],[RequirementID]],
 tblCost[RequirementID],
 tblCost[QuantityRequired],
 ""
)</f>
        <v>250</v>
      </c>
      <c r="H15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4" s="41" t="str">
        <f>_xlfn.XLOOKUP(tblCostChecklist[[#This Row],[TargetID]],tblTargetStatus[TargetID],tblTargetStatus[Status])</f>
        <v>BLOCKED</v>
      </c>
      <c r="J1534" s="25" t="b">
        <v>0</v>
      </c>
    </row>
    <row r="1535" spans="1:10">
      <c r="A1535" s="41" t="s">
        <v>5172</v>
      </c>
      <c r="B1535" s="41" t="str">
        <f>_xlfn.TEXTAFTER(
 _xlfn.TEXTBEFORE(tblCostChecklist[[#This Row],[RequirementID]],".",-2),
 "cost."
)</f>
        <v>collection.kitchen_and_buttery_1@5</v>
      </c>
      <c r="C1535" s="41" t="str">
        <f>_xlfn.XLOOKUP(tblCostChecklist[[#This Row],[TargetID]],tblTargets[TargetID],tblTargets[DisplayName],"")</f>
        <v>Kitchen And Buttery 1 Lv 5</v>
      </c>
      <c r="D1535" s="41" t="str">
        <f>_xlfn.XLOOKUP(tblCostChecklist[[#This Row],[TargetID]],tblTargets[TargetID],tblTargets[TargetType],"")</f>
        <v>COLLECTION</v>
      </c>
      <c r="E1535" s="41" t="s">
        <v>701</v>
      </c>
      <c r="F1535" s="41">
        <v>3</v>
      </c>
      <c r="G1535" s="41">
        <f>_xlfn.XLOOKUP(
 tblCostChecklist[[#This Row],[RequirementID]],
 tblCost[RequirementID],
 tblCost[QuantityRequired],
 ""
)</f>
        <v>250</v>
      </c>
      <c r="H15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5" s="41" t="str">
        <f>_xlfn.XLOOKUP(tblCostChecklist[[#This Row],[TargetID]],tblTargetStatus[TargetID],tblTargetStatus[Status])</f>
        <v>BLOCKED</v>
      </c>
      <c r="J1535" s="25" t="b">
        <v>0</v>
      </c>
    </row>
    <row r="1536" spans="1:10">
      <c r="A1536" s="41" t="s">
        <v>5173</v>
      </c>
      <c r="B1536" s="41" t="str">
        <f>_xlfn.TEXTAFTER(
 _xlfn.TEXTBEFORE(tblCostChecklist[[#This Row],[RequirementID]],".",-2),
 "cost."
)</f>
        <v>collection.kitchen_and_buttery_1@5</v>
      </c>
      <c r="C1536" s="41" t="str">
        <f>_xlfn.XLOOKUP(tblCostChecklist[[#This Row],[TargetID]],tblTargets[TargetID],tblTargets[DisplayName],"")</f>
        <v>Kitchen And Buttery 1 Lv 5</v>
      </c>
      <c r="D1536" s="41" t="str">
        <f>_xlfn.XLOOKUP(tblCostChecklist[[#This Row],[TargetID]],tblTargets[TargetID],tblTargets[TargetType],"")</f>
        <v>COLLECTION</v>
      </c>
      <c r="E1536" s="41" t="s">
        <v>701</v>
      </c>
      <c r="F1536" s="41">
        <v>4</v>
      </c>
      <c r="G1536" s="41">
        <f>_xlfn.XLOOKUP(
 tblCostChecklist[[#This Row],[RequirementID]],
 tblCost[RequirementID],
 tblCost[QuantityRequired],
 ""
)</f>
        <v>250</v>
      </c>
      <c r="H15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6" s="41" t="str">
        <f>_xlfn.XLOOKUP(tblCostChecklist[[#This Row],[TargetID]],tblTargetStatus[TargetID],tblTargetStatus[Status])</f>
        <v>BLOCKED</v>
      </c>
      <c r="J1536" s="25" t="b">
        <v>0</v>
      </c>
    </row>
    <row r="1537" spans="1:10">
      <c r="A1537" s="41" t="s">
        <v>5174</v>
      </c>
      <c r="B1537" s="41" t="str">
        <f>_xlfn.TEXTAFTER(
 _xlfn.TEXTBEFORE(tblCostChecklist[[#This Row],[RequirementID]],".",-2),
 "cost."
)</f>
        <v>collection.kitchen_and_buttery_1@5</v>
      </c>
      <c r="C1537" s="41" t="str">
        <f>_xlfn.XLOOKUP(tblCostChecklist[[#This Row],[TargetID]],tblTargets[TargetID],tblTargets[DisplayName],"")</f>
        <v>Kitchen And Buttery 1 Lv 5</v>
      </c>
      <c r="D1537" s="41" t="str">
        <f>_xlfn.XLOOKUP(tblCostChecklist[[#This Row],[TargetID]],tblTargets[TargetID],tblTargets[TargetType],"")</f>
        <v>COLLECTION</v>
      </c>
      <c r="E1537" s="41" t="s">
        <v>701</v>
      </c>
      <c r="F1537" s="41">
        <v>5</v>
      </c>
      <c r="G1537" s="41">
        <f>_xlfn.XLOOKUP(
 tblCostChecklist[[#This Row],[RequirementID]],
 tblCost[RequirementID],
 tblCost[QuantityRequired],
 ""
)</f>
        <v>250</v>
      </c>
      <c r="H15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7" s="41" t="str">
        <f>_xlfn.XLOOKUP(tblCostChecklist[[#This Row],[TargetID]],tblTargetStatus[TargetID],tblTargetStatus[Status])</f>
        <v>BLOCKED</v>
      </c>
      <c r="J1537" s="25" t="b">
        <v>0</v>
      </c>
    </row>
    <row r="1538" spans="1:10">
      <c r="A1538" s="41" t="s">
        <v>5175</v>
      </c>
      <c r="B1538" s="41" t="str">
        <f>_xlfn.TEXTAFTER(
 _xlfn.TEXTBEFORE(tblCostChecklist[[#This Row],[RequirementID]],".",-2),
 "cost."
)</f>
        <v>collection.kitchen_and_buttery_1@5</v>
      </c>
      <c r="C1538" s="41" t="str">
        <f>_xlfn.XLOOKUP(tblCostChecklist[[#This Row],[TargetID]],tblTargets[TargetID],tblTargets[DisplayName],"")</f>
        <v>Kitchen And Buttery 1 Lv 5</v>
      </c>
      <c r="D1538" s="41" t="str">
        <f>_xlfn.XLOOKUP(tblCostChecklist[[#This Row],[TargetID]],tblTargets[TargetID],tblTargets[TargetType],"")</f>
        <v>COLLECTION</v>
      </c>
      <c r="E1538" s="41" t="s">
        <v>701</v>
      </c>
      <c r="F1538" s="41">
        <v>6</v>
      </c>
      <c r="G1538" s="41">
        <f>_xlfn.XLOOKUP(
 tblCostChecklist[[#This Row],[RequirementID]],
 tblCost[RequirementID],
 tblCost[QuantityRequired],
 ""
)</f>
        <v>250</v>
      </c>
      <c r="H15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8" s="41" t="str">
        <f>_xlfn.XLOOKUP(tblCostChecklist[[#This Row],[TargetID]],tblTargetStatus[TargetID],tblTargetStatus[Status])</f>
        <v>BLOCKED</v>
      </c>
      <c r="J1538" s="25" t="b">
        <v>0</v>
      </c>
    </row>
    <row r="1539" spans="1:10">
      <c r="A1539" s="41" t="s">
        <v>5176</v>
      </c>
      <c r="B1539" s="41" t="str">
        <f>_xlfn.TEXTAFTER(
 _xlfn.TEXTBEFORE(tblCostChecklist[[#This Row],[RequirementID]],".",-2),
 "cost."
)</f>
        <v>collection.kitchen_and_buttery_1@5</v>
      </c>
      <c r="C1539" s="41" t="str">
        <f>_xlfn.XLOOKUP(tblCostChecklist[[#This Row],[TargetID]],tblTargets[TargetID],tblTargets[DisplayName],"")</f>
        <v>Kitchen And Buttery 1 Lv 5</v>
      </c>
      <c r="D1539" s="41" t="str">
        <f>_xlfn.XLOOKUP(tblCostChecklist[[#This Row],[TargetID]],tblTargets[TargetID],tblTargets[TargetType],"")</f>
        <v>COLLECTION</v>
      </c>
      <c r="E1539" s="41" t="s">
        <v>701</v>
      </c>
      <c r="F1539" s="41">
        <v>7</v>
      </c>
      <c r="G1539" s="41">
        <f>_xlfn.XLOOKUP(
 tblCostChecklist[[#This Row],[RequirementID]],
 tblCost[RequirementID],
 tblCost[QuantityRequired],
 ""
)</f>
        <v>250</v>
      </c>
      <c r="H15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9" s="41" t="str">
        <f>_xlfn.XLOOKUP(tblCostChecklist[[#This Row],[TargetID]],tblTargetStatus[TargetID],tblTargetStatus[Status])</f>
        <v>BLOCKED</v>
      </c>
      <c r="J1539" s="25" t="b">
        <v>0</v>
      </c>
    </row>
    <row r="1540" spans="1:10">
      <c r="A1540" s="41" t="s">
        <v>5177</v>
      </c>
      <c r="B1540" s="41" t="str">
        <f>_xlfn.TEXTAFTER(
 _xlfn.TEXTBEFORE(tblCostChecklist[[#This Row],[RequirementID]],".",-2),
 "cost."
)</f>
        <v>collection.kitchen_and_buttery_1@5</v>
      </c>
      <c r="C1540" s="41" t="str">
        <f>_xlfn.XLOOKUP(tblCostChecklist[[#This Row],[TargetID]],tblTargets[TargetID],tblTargets[DisplayName],"")</f>
        <v>Kitchen And Buttery 1 Lv 5</v>
      </c>
      <c r="D1540" s="41" t="str">
        <f>_xlfn.XLOOKUP(tblCostChecklist[[#This Row],[TargetID]],tblTargets[TargetID],tblTargets[TargetType],"")</f>
        <v>COLLECTION</v>
      </c>
      <c r="E1540" s="41" t="s">
        <v>701</v>
      </c>
      <c r="F1540" s="41">
        <v>8</v>
      </c>
      <c r="G1540" s="41">
        <f>_xlfn.XLOOKUP(
 tblCostChecklist[[#This Row],[RequirementID]],
 tblCost[RequirementID],
 tblCost[QuantityRequired],
 ""
)</f>
        <v>250</v>
      </c>
      <c r="H15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0" s="41" t="str">
        <f>_xlfn.XLOOKUP(tblCostChecklist[[#This Row],[TargetID]],tblTargetStatus[TargetID],tblTargetStatus[Status])</f>
        <v>BLOCKED</v>
      </c>
      <c r="J1540" s="25" t="b">
        <v>0</v>
      </c>
    </row>
    <row r="1541" spans="1:10">
      <c r="A1541" s="41" t="s">
        <v>5178</v>
      </c>
      <c r="B1541" s="41" t="str">
        <f>_xlfn.TEXTAFTER(
 _xlfn.TEXTBEFORE(tblCostChecklist[[#This Row],[RequirementID]],".",-2),
 "cost."
)</f>
        <v>collection.kitchen_and_buttery_1@5</v>
      </c>
      <c r="C1541" s="41" t="str">
        <f>_xlfn.XLOOKUP(tblCostChecklist[[#This Row],[TargetID]],tblTargets[TargetID],tblTargets[DisplayName],"")</f>
        <v>Kitchen And Buttery 1 Lv 5</v>
      </c>
      <c r="D1541" s="41" t="str">
        <f>_xlfn.XLOOKUP(tblCostChecklist[[#This Row],[TargetID]],tblTargets[TargetID],tblTargets[TargetType],"")</f>
        <v>COLLECTION</v>
      </c>
      <c r="E1541" s="41" t="s">
        <v>713</v>
      </c>
      <c r="F1541" s="41">
        <v>1</v>
      </c>
      <c r="G1541" s="41">
        <f>_xlfn.XLOOKUP(
 tblCostChecklist[[#This Row],[RequirementID]],
 tblCost[RequirementID],
 tblCost[QuantityRequired],
 ""
)</f>
        <v>75</v>
      </c>
      <c r="H15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1" s="41" t="str">
        <f>_xlfn.XLOOKUP(tblCostChecklist[[#This Row],[TargetID]],tblTargetStatus[TargetID],tblTargetStatus[Status])</f>
        <v>BLOCKED</v>
      </c>
      <c r="J1541" s="25" t="b">
        <v>0</v>
      </c>
    </row>
    <row r="1542" spans="1:10">
      <c r="A1542" s="41" t="s">
        <v>5179</v>
      </c>
      <c r="B1542" s="41" t="str">
        <f>_xlfn.TEXTAFTER(
 _xlfn.TEXTBEFORE(tblCostChecklist[[#This Row],[RequirementID]],".",-2),
 "cost."
)</f>
        <v>collection.kitchen_and_buttery_2@1</v>
      </c>
      <c r="C1542" s="41" t="str">
        <f>_xlfn.XLOOKUP(tblCostChecklist[[#This Row],[TargetID]],tblTargets[TargetID],tblTargets[DisplayName],"")</f>
        <v>Kitchen And Buttery 2 Lv 1</v>
      </c>
      <c r="D1542" s="41" t="str">
        <f>_xlfn.XLOOKUP(tblCostChecklist[[#This Row],[TargetID]],tblTargets[TargetID],tblTargets[TargetType],"")</f>
        <v>COLLECTION</v>
      </c>
      <c r="E1542" s="41" t="s">
        <v>663</v>
      </c>
      <c r="F1542" s="41">
        <v>1</v>
      </c>
      <c r="G1542" s="41">
        <f>_xlfn.XLOOKUP(
 tblCostChecklist[[#This Row],[RequirementID]],
 tblCost[RequirementID],
 tblCost[QuantityRequired],
 ""
)</f>
        <v>100</v>
      </c>
      <c r="H15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2" s="41" t="str">
        <f>_xlfn.XLOOKUP(tblCostChecklist[[#This Row],[TargetID]],tblTargetStatus[TargetID],tblTargetStatus[Status])</f>
        <v>BLOCKED</v>
      </c>
      <c r="J1542" s="25" t="b">
        <v>0</v>
      </c>
    </row>
    <row r="1543" spans="1:10">
      <c r="A1543" s="41" t="s">
        <v>5180</v>
      </c>
      <c r="B1543" s="41" t="str">
        <f>_xlfn.TEXTAFTER(
 _xlfn.TEXTBEFORE(tblCostChecklist[[#This Row],[RequirementID]],".",-2),
 "cost."
)</f>
        <v>collection.kitchen_and_buttery_2@1</v>
      </c>
      <c r="C1543" s="41" t="str">
        <f>_xlfn.XLOOKUP(tblCostChecklist[[#This Row],[TargetID]],tblTargets[TargetID],tblTargets[DisplayName],"")</f>
        <v>Kitchen And Buttery 2 Lv 1</v>
      </c>
      <c r="D1543" s="41" t="str">
        <f>_xlfn.XLOOKUP(tblCostChecklist[[#This Row],[TargetID]],tblTargets[TargetID],tblTargets[TargetType],"")</f>
        <v>COLLECTION</v>
      </c>
      <c r="E1543" s="41" t="s">
        <v>695</v>
      </c>
      <c r="F1543" s="41">
        <v>1</v>
      </c>
      <c r="G1543" s="41">
        <f>_xlfn.XLOOKUP(
 tblCostChecklist[[#This Row],[RequirementID]],
 tblCost[RequirementID],
 tblCost[QuantityRequired],
 ""
)</f>
        <v>20</v>
      </c>
      <c r="H15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3" s="41" t="str">
        <f>_xlfn.XLOOKUP(tblCostChecklist[[#This Row],[TargetID]],tblTargetStatus[TargetID],tblTargetStatus[Status])</f>
        <v>BLOCKED</v>
      </c>
      <c r="J1543" s="25" t="b">
        <v>0</v>
      </c>
    </row>
    <row r="1544" spans="1:10">
      <c r="A1544" s="41" t="s">
        <v>5181</v>
      </c>
      <c r="B1544" s="41" t="str">
        <f>_xlfn.TEXTAFTER(
 _xlfn.TEXTBEFORE(tblCostChecklist[[#This Row],[RequirementID]],".",-2),
 "cost."
)</f>
        <v>collection.kitchen_and_buttery_2@1</v>
      </c>
      <c r="C1544" s="41" t="str">
        <f>_xlfn.XLOOKUP(tblCostChecklist[[#This Row],[TargetID]],tblTargets[TargetID],tblTargets[DisplayName],"")</f>
        <v>Kitchen And Buttery 2 Lv 1</v>
      </c>
      <c r="D1544" s="41" t="str">
        <f>_xlfn.XLOOKUP(tblCostChecklist[[#This Row],[TargetID]],tblTargets[TargetID],tblTargets[TargetType],"")</f>
        <v>COLLECTION</v>
      </c>
      <c r="E1544" s="41" t="s">
        <v>701</v>
      </c>
      <c r="F1544" s="41">
        <v>1</v>
      </c>
      <c r="G1544" s="41">
        <f>_xlfn.XLOOKUP(
 tblCostChecklist[[#This Row],[RequirementID]],
 tblCost[RequirementID],
 tblCost[QuantityRequired],
 ""
)</f>
        <v>100</v>
      </c>
      <c r="H15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4" s="41" t="str">
        <f>_xlfn.XLOOKUP(tblCostChecklist[[#This Row],[TargetID]],tblTargetStatus[TargetID],tblTargetStatus[Status])</f>
        <v>BLOCKED</v>
      </c>
      <c r="J1544" s="25" t="b">
        <v>0</v>
      </c>
    </row>
    <row r="1545" spans="1:10">
      <c r="A1545" s="41" t="s">
        <v>5182</v>
      </c>
      <c r="B1545" s="41" t="str">
        <f>_xlfn.TEXTAFTER(
 _xlfn.TEXTBEFORE(tblCostChecklist[[#This Row],[RequirementID]],".",-2),
 "cost."
)</f>
        <v>collection.kitchen_and_buttery_2@1</v>
      </c>
      <c r="C1545" s="41" t="str">
        <f>_xlfn.XLOOKUP(tblCostChecklist[[#This Row],[TargetID]],tblTargets[TargetID],tblTargets[DisplayName],"")</f>
        <v>Kitchen And Buttery 2 Lv 1</v>
      </c>
      <c r="D1545" s="41" t="str">
        <f>_xlfn.XLOOKUP(tblCostChecklist[[#This Row],[TargetID]],tblTargets[TargetID],tblTargets[TargetType],"")</f>
        <v>COLLECTION</v>
      </c>
      <c r="E1545" s="41" t="s">
        <v>701</v>
      </c>
      <c r="F1545" s="41">
        <v>2</v>
      </c>
      <c r="G1545" s="41">
        <f>_xlfn.XLOOKUP(
 tblCostChecklist[[#This Row],[RequirementID]],
 tblCost[RequirementID],
 tblCost[QuantityRequired],
 ""
)</f>
        <v>100</v>
      </c>
      <c r="H15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5" s="41" t="str">
        <f>_xlfn.XLOOKUP(tblCostChecklist[[#This Row],[TargetID]],tblTargetStatus[TargetID],tblTargetStatus[Status])</f>
        <v>BLOCKED</v>
      </c>
      <c r="J1545" s="25" t="b">
        <v>0</v>
      </c>
    </row>
    <row r="1546" spans="1:10">
      <c r="A1546" s="41" t="s">
        <v>5183</v>
      </c>
      <c r="B1546" s="41" t="str">
        <f>_xlfn.TEXTAFTER(
 _xlfn.TEXTBEFORE(tblCostChecklist[[#This Row],[RequirementID]],".",-2),
 "cost."
)</f>
        <v>collection.kitchen_and_buttery_2@1</v>
      </c>
      <c r="C1546" s="41" t="str">
        <f>_xlfn.XLOOKUP(tblCostChecklist[[#This Row],[TargetID]],tblTargets[TargetID],tblTargets[DisplayName],"")</f>
        <v>Kitchen And Buttery 2 Lv 1</v>
      </c>
      <c r="D1546" s="41" t="str">
        <f>_xlfn.XLOOKUP(tblCostChecklist[[#This Row],[TargetID]],tblTargets[TargetID],tblTargets[TargetType],"")</f>
        <v>COLLECTION</v>
      </c>
      <c r="E1546" s="41" t="s">
        <v>701</v>
      </c>
      <c r="F1546" s="41">
        <v>3</v>
      </c>
      <c r="G1546" s="41">
        <f>_xlfn.XLOOKUP(
 tblCostChecklist[[#This Row],[RequirementID]],
 tblCost[RequirementID],
 tblCost[QuantityRequired],
 ""
)</f>
        <v>200</v>
      </c>
      <c r="H15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6" s="41" t="str">
        <f>_xlfn.XLOOKUP(tblCostChecklist[[#This Row],[TargetID]],tblTargetStatus[TargetID],tblTargetStatus[Status])</f>
        <v>BLOCKED</v>
      </c>
      <c r="J1546" s="25" t="b">
        <v>0</v>
      </c>
    </row>
    <row r="1547" spans="1:10">
      <c r="A1547" s="41" t="s">
        <v>5184</v>
      </c>
      <c r="B1547" s="41" t="str">
        <f>_xlfn.TEXTAFTER(
 _xlfn.TEXTBEFORE(tblCostChecklist[[#This Row],[RequirementID]],".",-2),
 "cost."
)</f>
        <v>collection.mushroom_farm@1</v>
      </c>
      <c r="C1547" s="41" t="str">
        <f>_xlfn.XLOOKUP(tblCostChecklist[[#This Row],[TargetID]],tblTargets[TargetID],tblTargets[DisplayName],"")</f>
        <v>Mushroom Farm Lv 1</v>
      </c>
      <c r="D1547" s="41" t="str">
        <f>_xlfn.XLOOKUP(tblCostChecklist[[#This Row],[TargetID]],tblTargets[TargetID],tblTargets[TargetType],"")</f>
        <v>COLLECTION</v>
      </c>
      <c r="E1547" s="41" t="s">
        <v>1815</v>
      </c>
      <c r="F1547" s="41">
        <v>1</v>
      </c>
      <c r="G1547" s="41">
        <f>_xlfn.XLOOKUP(
 tblCostChecklist[[#This Row],[RequirementID]],
 tblCost[RequirementID],
 tblCost[QuantityRequired],
 ""
)</f>
        <v>10</v>
      </c>
      <c r="H15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7" s="41" t="str">
        <f>_xlfn.XLOOKUP(tblCostChecklist[[#This Row],[TargetID]],tblTargetStatus[TargetID],tblTargetStatus[Status])</f>
        <v>BLOCKED</v>
      </c>
      <c r="J1547" s="25" t="b">
        <v>0</v>
      </c>
    </row>
    <row r="1548" spans="1:10">
      <c r="A1548" s="41" t="s">
        <v>5185</v>
      </c>
      <c r="B1548" s="41" t="str">
        <f>_xlfn.TEXTAFTER(
 _xlfn.TEXTBEFORE(tblCostChecklist[[#This Row],[RequirementID]],".",-2),
 "cost."
)</f>
        <v>collection.mushroom_farm@1</v>
      </c>
      <c r="C1548" s="41" t="str">
        <f>_xlfn.XLOOKUP(tblCostChecklist[[#This Row],[TargetID]],tblTargets[TargetID],tblTargets[DisplayName],"")</f>
        <v>Mushroom Farm Lv 1</v>
      </c>
      <c r="D1548" s="41" t="str">
        <f>_xlfn.XLOOKUP(tblCostChecklist[[#This Row],[TargetID]],tblTargets[TargetID],tblTargets[TargetType],"")</f>
        <v>COLLECTION</v>
      </c>
      <c r="E1548" s="41" t="s">
        <v>1815</v>
      </c>
      <c r="F1548" s="41">
        <v>2</v>
      </c>
      <c r="G1548" s="41">
        <f>_xlfn.XLOOKUP(
 tblCostChecklist[[#This Row],[RequirementID]],
 tblCost[RequirementID],
 tblCost[QuantityRequired],
 ""
)</f>
        <v>10</v>
      </c>
      <c r="H15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8" s="41" t="str">
        <f>_xlfn.XLOOKUP(tblCostChecklist[[#This Row],[TargetID]],tblTargetStatus[TargetID],tblTargetStatus[Status])</f>
        <v>BLOCKED</v>
      </c>
      <c r="J1548" s="25" t="b">
        <v>0</v>
      </c>
    </row>
    <row r="1549" spans="1:10">
      <c r="A1549" s="41" t="s">
        <v>5186</v>
      </c>
      <c r="B1549" s="41" t="str">
        <f>_xlfn.TEXTAFTER(
 _xlfn.TEXTBEFORE(tblCostChecklist[[#This Row],[RequirementID]],".",-2),
 "cost."
)</f>
        <v>collection.mushroom_farm@1</v>
      </c>
      <c r="C1549" s="41" t="str">
        <f>_xlfn.XLOOKUP(tblCostChecklist[[#This Row],[TargetID]],tblTargets[TargetID],tblTargets[DisplayName],"")</f>
        <v>Mushroom Farm Lv 1</v>
      </c>
      <c r="D1549" s="41" t="str">
        <f>_xlfn.XLOOKUP(tblCostChecklist[[#This Row],[TargetID]],tblTargets[TargetID],tblTargets[TargetType],"")</f>
        <v>COLLECTION</v>
      </c>
      <c r="E1549" s="41" t="s">
        <v>1815</v>
      </c>
      <c r="F1549" s="41">
        <v>3</v>
      </c>
      <c r="G1549" s="41">
        <f>_xlfn.XLOOKUP(
 tblCostChecklist[[#This Row],[RequirementID]],
 tblCost[RequirementID],
 tblCost[QuantityRequired],
 ""
)</f>
        <v>10</v>
      </c>
      <c r="H15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9" s="41" t="str">
        <f>_xlfn.XLOOKUP(tblCostChecklist[[#This Row],[TargetID]],tblTargetStatus[TargetID],tblTargetStatus[Status])</f>
        <v>BLOCKED</v>
      </c>
      <c r="J1549" s="25" t="b">
        <v>0</v>
      </c>
    </row>
    <row r="1550" spans="1:10">
      <c r="A1550" s="41" t="s">
        <v>5187</v>
      </c>
      <c r="B1550" s="41" t="str">
        <f>_xlfn.TEXTAFTER(
 _xlfn.TEXTBEFORE(tblCostChecklist[[#This Row],[RequirementID]],".",-2),
 "cost."
)</f>
        <v>collection.mushroom_farm@1</v>
      </c>
      <c r="C1550" s="41" t="str">
        <f>_xlfn.XLOOKUP(tblCostChecklist[[#This Row],[TargetID]],tblTargets[TargetID],tblTargets[DisplayName],"")</f>
        <v>Mushroom Farm Lv 1</v>
      </c>
      <c r="D1550" s="41" t="str">
        <f>_xlfn.XLOOKUP(tblCostChecklist[[#This Row],[TargetID]],tblTargets[TargetID],tblTargets[TargetType],"")</f>
        <v>COLLECTION</v>
      </c>
      <c r="E1550" s="41" t="s">
        <v>1815</v>
      </c>
      <c r="F1550" s="41">
        <v>4</v>
      </c>
      <c r="G1550" s="41">
        <f>_xlfn.XLOOKUP(
 tblCostChecklist[[#This Row],[RequirementID]],
 tblCost[RequirementID],
 tblCost[QuantityRequired],
 ""
)</f>
        <v>10</v>
      </c>
      <c r="H15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0" s="41" t="str">
        <f>_xlfn.XLOOKUP(tblCostChecklist[[#This Row],[TargetID]],tblTargetStatus[TargetID],tblTargetStatus[Status])</f>
        <v>BLOCKED</v>
      </c>
      <c r="J1550" s="25" t="b">
        <v>0</v>
      </c>
    </row>
    <row r="1551" spans="1:10">
      <c r="A1551" s="41" t="s">
        <v>5188</v>
      </c>
      <c r="B1551" s="41" t="str">
        <f>_xlfn.TEXTAFTER(
 _xlfn.TEXTBEFORE(tblCostChecklist[[#This Row],[RequirementID]],".",-2),
 "cost."
)</f>
        <v>collection.mushroom_farm@1</v>
      </c>
      <c r="C1551" s="41" t="str">
        <f>_xlfn.XLOOKUP(tblCostChecklist[[#This Row],[TargetID]],tblTargets[TargetID],tblTargets[DisplayName],"")</f>
        <v>Mushroom Farm Lv 1</v>
      </c>
      <c r="D1551" s="41" t="str">
        <f>_xlfn.XLOOKUP(tblCostChecklist[[#This Row],[TargetID]],tblTargets[TargetID],tblTargets[TargetType],"")</f>
        <v>COLLECTION</v>
      </c>
      <c r="E1551" s="41" t="s">
        <v>1815</v>
      </c>
      <c r="F1551" s="41">
        <v>5</v>
      </c>
      <c r="G1551" s="41">
        <f>_xlfn.XLOOKUP(
 tblCostChecklist[[#This Row],[RequirementID]],
 tblCost[RequirementID],
 tblCost[QuantityRequired],
 ""
)</f>
        <v>10</v>
      </c>
      <c r="H15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1" s="41" t="str">
        <f>_xlfn.XLOOKUP(tblCostChecklist[[#This Row],[TargetID]],tblTargetStatus[TargetID],tblTargetStatus[Status])</f>
        <v>BLOCKED</v>
      </c>
      <c r="J1551" s="25" t="b">
        <v>0</v>
      </c>
    </row>
    <row r="1552" spans="1:10">
      <c r="A1552" s="41" t="s">
        <v>5189</v>
      </c>
      <c r="B1552" s="41" t="str">
        <f>_xlfn.TEXTAFTER(
 _xlfn.TEXTBEFORE(tblCostChecklist[[#This Row],[RequirementID]],".",-2),
 "cost."
)</f>
        <v>collection.mushroom_farm@1</v>
      </c>
      <c r="C1552" s="41" t="str">
        <f>_xlfn.XLOOKUP(tblCostChecklist[[#This Row],[TargetID]],tblTargets[TargetID],tblTargets[DisplayName],"")</f>
        <v>Mushroom Farm Lv 1</v>
      </c>
      <c r="D1552" s="41" t="str">
        <f>_xlfn.XLOOKUP(tblCostChecklist[[#This Row],[TargetID]],tblTargets[TargetID],tblTargets[TargetType],"")</f>
        <v>COLLECTION</v>
      </c>
      <c r="E1552" s="41" t="s">
        <v>1815</v>
      </c>
      <c r="F1552" s="41">
        <v>6</v>
      </c>
      <c r="G1552" s="41">
        <f>_xlfn.XLOOKUP(
 tblCostChecklist[[#This Row],[RequirementID]],
 tblCost[RequirementID],
 tblCost[QuantityRequired],
 ""
)</f>
        <v>10</v>
      </c>
      <c r="H15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2" s="41" t="str">
        <f>_xlfn.XLOOKUP(tblCostChecklist[[#This Row],[TargetID]],tblTargetStatus[TargetID],tblTargetStatus[Status])</f>
        <v>BLOCKED</v>
      </c>
      <c r="J1552" s="25" t="b">
        <v>0</v>
      </c>
    </row>
    <row r="1553" spans="1:10">
      <c r="A1553" s="41" t="s">
        <v>5190</v>
      </c>
      <c r="B1553" s="41" t="str">
        <f>_xlfn.TEXTAFTER(
 _xlfn.TEXTBEFORE(tblCostChecklist[[#This Row],[RequirementID]],".",-2),
 "cost."
)</f>
        <v>collection.mushroom_farm@2</v>
      </c>
      <c r="C1553" s="41" t="str">
        <f>_xlfn.XLOOKUP(tblCostChecklist[[#This Row],[TargetID]],tblTargets[TargetID],tblTargets[DisplayName],"")</f>
        <v>Mushroom Farm Lv 2</v>
      </c>
      <c r="D1553" s="41" t="str">
        <f>_xlfn.XLOOKUP(tblCostChecklist[[#This Row],[TargetID]],tblTargets[TargetID],tblTargets[TargetType],"")</f>
        <v>COLLECTION</v>
      </c>
      <c r="E1553" s="41" t="s">
        <v>1815</v>
      </c>
      <c r="F1553" s="41">
        <v>1</v>
      </c>
      <c r="G1553" s="41">
        <f>_xlfn.XLOOKUP(
 tblCostChecklist[[#This Row],[RequirementID]],
 tblCost[RequirementID],
 tblCost[QuantityRequired],
 ""
)</f>
        <v>20</v>
      </c>
      <c r="H15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3" s="41" t="str">
        <f>_xlfn.XLOOKUP(tblCostChecklist[[#This Row],[TargetID]],tblTargetStatus[TargetID],tblTargetStatus[Status])</f>
        <v>BLOCKED</v>
      </c>
      <c r="J1553" s="25" t="b">
        <v>0</v>
      </c>
    </row>
    <row r="1554" spans="1:10">
      <c r="A1554" s="41" t="s">
        <v>5191</v>
      </c>
      <c r="B1554" s="41" t="str">
        <f>_xlfn.TEXTAFTER(
 _xlfn.TEXTBEFORE(tblCostChecklist[[#This Row],[RequirementID]],".",-2),
 "cost."
)</f>
        <v>collection.mushroom_farm@2</v>
      </c>
      <c r="C1554" s="41" t="str">
        <f>_xlfn.XLOOKUP(tblCostChecklist[[#This Row],[TargetID]],tblTargets[TargetID],tblTargets[DisplayName],"")</f>
        <v>Mushroom Farm Lv 2</v>
      </c>
      <c r="D1554" s="41" t="str">
        <f>_xlfn.XLOOKUP(tblCostChecklist[[#This Row],[TargetID]],tblTargets[TargetID],tblTargets[TargetType],"")</f>
        <v>COLLECTION</v>
      </c>
      <c r="E1554" s="41" t="s">
        <v>1815</v>
      </c>
      <c r="F1554" s="41">
        <v>2</v>
      </c>
      <c r="G1554" s="41">
        <f>_xlfn.XLOOKUP(
 tblCostChecklist[[#This Row],[RequirementID]],
 tblCost[RequirementID],
 tblCost[QuantityRequired],
 ""
)</f>
        <v>20</v>
      </c>
      <c r="H15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4" s="41" t="str">
        <f>_xlfn.XLOOKUP(tblCostChecklist[[#This Row],[TargetID]],tblTargetStatus[TargetID],tblTargetStatus[Status])</f>
        <v>BLOCKED</v>
      </c>
      <c r="J1554" s="25" t="b">
        <v>0</v>
      </c>
    </row>
    <row r="1555" spans="1:10">
      <c r="A1555" s="41" t="s">
        <v>5192</v>
      </c>
      <c r="B1555" s="41" t="str">
        <f>_xlfn.TEXTAFTER(
 _xlfn.TEXTBEFORE(tblCostChecklist[[#This Row],[RequirementID]],".",-2),
 "cost."
)</f>
        <v>collection.mushroom_farm@2</v>
      </c>
      <c r="C1555" s="41" t="str">
        <f>_xlfn.XLOOKUP(tblCostChecklist[[#This Row],[TargetID]],tblTargets[TargetID],tblTargets[DisplayName],"")</f>
        <v>Mushroom Farm Lv 2</v>
      </c>
      <c r="D1555" s="41" t="str">
        <f>_xlfn.XLOOKUP(tblCostChecklist[[#This Row],[TargetID]],tblTargets[TargetID],tblTargets[TargetType],"")</f>
        <v>COLLECTION</v>
      </c>
      <c r="E1555" s="41" t="s">
        <v>1815</v>
      </c>
      <c r="F1555" s="41">
        <v>3</v>
      </c>
      <c r="G1555" s="41">
        <f>_xlfn.XLOOKUP(
 tblCostChecklist[[#This Row],[RequirementID]],
 tblCost[RequirementID],
 tblCost[QuantityRequired],
 ""
)</f>
        <v>20</v>
      </c>
      <c r="H15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5" s="41" t="str">
        <f>_xlfn.XLOOKUP(tblCostChecklist[[#This Row],[TargetID]],tblTargetStatus[TargetID],tblTargetStatus[Status])</f>
        <v>BLOCKED</v>
      </c>
      <c r="J1555" s="25" t="b">
        <v>0</v>
      </c>
    </row>
    <row r="1556" spans="1:10">
      <c r="A1556" s="41" t="s">
        <v>5193</v>
      </c>
      <c r="B1556" s="41" t="str">
        <f>_xlfn.TEXTAFTER(
 _xlfn.TEXTBEFORE(tblCostChecklist[[#This Row],[RequirementID]],".",-2),
 "cost."
)</f>
        <v>collection.mushroom_farm@2</v>
      </c>
      <c r="C1556" s="41" t="str">
        <f>_xlfn.XLOOKUP(tblCostChecklist[[#This Row],[TargetID]],tblTargets[TargetID],tblTargets[DisplayName],"")</f>
        <v>Mushroom Farm Lv 2</v>
      </c>
      <c r="D1556" s="41" t="str">
        <f>_xlfn.XLOOKUP(tblCostChecklist[[#This Row],[TargetID]],tblTargets[TargetID],tblTargets[TargetType],"")</f>
        <v>COLLECTION</v>
      </c>
      <c r="E1556" s="41" t="s">
        <v>1815</v>
      </c>
      <c r="F1556" s="41">
        <v>4</v>
      </c>
      <c r="G1556" s="41">
        <f>_xlfn.XLOOKUP(
 tblCostChecklist[[#This Row],[RequirementID]],
 tblCost[RequirementID],
 tblCost[QuantityRequired],
 ""
)</f>
        <v>20</v>
      </c>
      <c r="H15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6" s="41" t="str">
        <f>_xlfn.XLOOKUP(tblCostChecklist[[#This Row],[TargetID]],tblTargetStatus[TargetID],tblTargetStatus[Status])</f>
        <v>BLOCKED</v>
      </c>
      <c r="J1556" s="25" t="b">
        <v>0</v>
      </c>
    </row>
    <row r="1557" spans="1:10">
      <c r="A1557" s="41" t="s">
        <v>5194</v>
      </c>
      <c r="B1557" s="41" t="str">
        <f>_xlfn.TEXTAFTER(
 _xlfn.TEXTBEFORE(tblCostChecklist[[#This Row],[RequirementID]],".",-2),
 "cost."
)</f>
        <v>collection.mushroom_farm@2</v>
      </c>
      <c r="C1557" s="41" t="str">
        <f>_xlfn.XLOOKUP(tblCostChecklist[[#This Row],[TargetID]],tblTargets[TargetID],tblTargets[DisplayName],"")</f>
        <v>Mushroom Farm Lv 2</v>
      </c>
      <c r="D1557" s="41" t="str">
        <f>_xlfn.XLOOKUP(tblCostChecklist[[#This Row],[TargetID]],tblTargets[TargetID],tblTargets[TargetType],"")</f>
        <v>COLLECTION</v>
      </c>
      <c r="E1557" s="41" t="s">
        <v>1815</v>
      </c>
      <c r="F1557" s="41">
        <v>5</v>
      </c>
      <c r="G1557" s="41">
        <f>_xlfn.XLOOKUP(
 tblCostChecklist[[#This Row],[RequirementID]],
 tblCost[RequirementID],
 tblCost[QuantityRequired],
 ""
)</f>
        <v>20</v>
      </c>
      <c r="H15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7" s="41" t="str">
        <f>_xlfn.XLOOKUP(tblCostChecklist[[#This Row],[TargetID]],tblTargetStatus[TargetID],tblTargetStatus[Status])</f>
        <v>BLOCKED</v>
      </c>
      <c r="J1557" s="25" t="b">
        <v>0</v>
      </c>
    </row>
    <row r="1558" spans="1:10">
      <c r="A1558" s="41" t="s">
        <v>5195</v>
      </c>
      <c r="B1558" s="41" t="str">
        <f>_xlfn.TEXTAFTER(
 _xlfn.TEXTBEFORE(tblCostChecklist[[#This Row],[RequirementID]],".",-2),
 "cost."
)</f>
        <v>collection.mushroom_farm@2</v>
      </c>
      <c r="C1558" s="41" t="str">
        <f>_xlfn.XLOOKUP(tblCostChecklist[[#This Row],[TargetID]],tblTargets[TargetID],tblTargets[DisplayName],"")</f>
        <v>Mushroom Farm Lv 2</v>
      </c>
      <c r="D1558" s="41" t="str">
        <f>_xlfn.XLOOKUP(tblCostChecklist[[#This Row],[TargetID]],tblTargets[TargetID],tblTargets[TargetType],"")</f>
        <v>COLLECTION</v>
      </c>
      <c r="E1558" s="41" t="s">
        <v>1815</v>
      </c>
      <c r="F1558" s="41">
        <v>6</v>
      </c>
      <c r="G1558" s="41">
        <f>_xlfn.XLOOKUP(
 tblCostChecklist[[#This Row],[RequirementID]],
 tblCost[RequirementID],
 tblCost[QuantityRequired],
 ""
)</f>
        <v>20</v>
      </c>
      <c r="H15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8" s="41" t="str">
        <f>_xlfn.XLOOKUP(tblCostChecklist[[#This Row],[TargetID]],tblTargetStatus[TargetID],tblTargetStatus[Status])</f>
        <v>BLOCKED</v>
      </c>
      <c r="J1558" s="25" t="b">
        <v>0</v>
      </c>
    </row>
    <row r="1559" spans="1:10">
      <c r="A1559" s="41" t="s">
        <v>5196</v>
      </c>
      <c r="B1559" s="41" t="str">
        <f>_xlfn.TEXTAFTER(
 _xlfn.TEXTBEFORE(tblCostChecklist[[#This Row],[RequirementID]],".",-2),
 "cost."
)</f>
        <v>collection.orangery@1</v>
      </c>
      <c r="C1559" s="41" t="str">
        <f>_xlfn.XLOOKUP(tblCostChecklist[[#This Row],[TargetID]],tblTargets[TargetID],tblTargets[DisplayName],"")</f>
        <v>Orangery Lv 1</v>
      </c>
      <c r="D1559" s="41" t="str">
        <f>_xlfn.XLOOKUP(tblCostChecklist[[#This Row],[TargetID]],tblTargets[TargetID],tblTargets[TargetType],"")</f>
        <v>COLLECTION</v>
      </c>
      <c r="E1559" s="41" t="s">
        <v>1794</v>
      </c>
      <c r="F1559" s="41">
        <v>1</v>
      </c>
      <c r="G1559" s="41">
        <f>_xlfn.XLOOKUP(
 tblCostChecklist[[#This Row],[RequirementID]],
 tblCost[RequirementID],
 tblCost[QuantityRequired],
 ""
)</f>
        <v>10</v>
      </c>
      <c r="H15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9" s="41" t="str">
        <f>_xlfn.XLOOKUP(tblCostChecklist[[#This Row],[TargetID]],tblTargetStatus[TargetID],tblTargetStatus[Status])</f>
        <v>BLOCKED</v>
      </c>
      <c r="J1559" s="25" t="b">
        <v>0</v>
      </c>
    </row>
    <row r="1560" spans="1:10">
      <c r="A1560" s="41" t="s">
        <v>5197</v>
      </c>
      <c r="B1560" s="41" t="str">
        <f>_xlfn.TEXTAFTER(
 _xlfn.TEXTBEFORE(tblCostChecklist[[#This Row],[RequirementID]],".",-2),
 "cost."
)</f>
        <v>collection.orangery@1</v>
      </c>
      <c r="C1560" s="41" t="str">
        <f>_xlfn.XLOOKUP(tblCostChecklist[[#This Row],[TargetID]],tblTargets[TargetID],tblTargets[DisplayName],"")</f>
        <v>Orangery Lv 1</v>
      </c>
      <c r="D1560" s="41" t="str">
        <f>_xlfn.XLOOKUP(tblCostChecklist[[#This Row],[TargetID]],tblTargets[TargetID],tblTargets[TargetType],"")</f>
        <v>COLLECTION</v>
      </c>
      <c r="E1560" s="41" t="s">
        <v>1794</v>
      </c>
      <c r="F1560" s="41">
        <v>2</v>
      </c>
      <c r="G1560" s="41">
        <f>_xlfn.XLOOKUP(
 tblCostChecklist[[#This Row],[RequirementID]],
 tblCost[RequirementID],
 tblCost[QuantityRequired],
 ""
)</f>
        <v>10</v>
      </c>
      <c r="H15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0" s="41" t="str">
        <f>_xlfn.XLOOKUP(tblCostChecklist[[#This Row],[TargetID]],tblTargetStatus[TargetID],tblTargetStatus[Status])</f>
        <v>BLOCKED</v>
      </c>
      <c r="J1560" s="25" t="b">
        <v>0</v>
      </c>
    </row>
    <row r="1561" spans="1:10">
      <c r="A1561" s="41" t="s">
        <v>5198</v>
      </c>
      <c r="B1561" s="41" t="str">
        <f>_xlfn.TEXTAFTER(
 _xlfn.TEXTBEFORE(tblCostChecklist[[#This Row],[RequirementID]],".",-2),
 "cost."
)</f>
        <v>collection.orangery@1</v>
      </c>
      <c r="C1561" s="41" t="str">
        <f>_xlfn.XLOOKUP(tblCostChecklist[[#This Row],[TargetID]],tblTargets[TargetID],tblTargets[DisplayName],"")</f>
        <v>Orangery Lv 1</v>
      </c>
      <c r="D1561" s="41" t="str">
        <f>_xlfn.XLOOKUP(tblCostChecklist[[#This Row],[TargetID]],tblTargets[TargetID],tblTargets[TargetType],"")</f>
        <v>COLLECTION</v>
      </c>
      <c r="E1561" s="41" t="s">
        <v>1794</v>
      </c>
      <c r="F1561" s="41">
        <v>3</v>
      </c>
      <c r="G1561" s="41">
        <f>_xlfn.XLOOKUP(
 tblCostChecklist[[#This Row],[RequirementID]],
 tblCost[RequirementID],
 tblCost[QuantityRequired],
 ""
)</f>
        <v>10</v>
      </c>
      <c r="H15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1" s="41" t="str">
        <f>_xlfn.XLOOKUP(tblCostChecklist[[#This Row],[TargetID]],tblTargetStatus[TargetID],tblTargetStatus[Status])</f>
        <v>BLOCKED</v>
      </c>
      <c r="J1561" s="25" t="b">
        <v>0</v>
      </c>
    </row>
    <row r="1562" spans="1:10">
      <c r="A1562" s="41" t="s">
        <v>5199</v>
      </c>
      <c r="B1562" s="41" t="str">
        <f>_xlfn.TEXTAFTER(
 _xlfn.TEXTBEFORE(tblCostChecklist[[#This Row],[RequirementID]],".",-2),
 "cost."
)</f>
        <v>collection.orangery@1</v>
      </c>
      <c r="C1562" s="41" t="str">
        <f>_xlfn.XLOOKUP(tblCostChecklist[[#This Row],[TargetID]],tblTargets[TargetID],tblTargets[DisplayName],"")</f>
        <v>Orangery Lv 1</v>
      </c>
      <c r="D1562" s="41" t="str">
        <f>_xlfn.XLOOKUP(tblCostChecklist[[#This Row],[TargetID]],tblTargets[TargetID],tblTargets[TargetType],"")</f>
        <v>COLLECTION</v>
      </c>
      <c r="E1562" s="41" t="s">
        <v>1794</v>
      </c>
      <c r="F1562" s="41">
        <v>4</v>
      </c>
      <c r="G1562" s="41">
        <f>_xlfn.XLOOKUP(
 tblCostChecklist[[#This Row],[RequirementID]],
 tblCost[RequirementID],
 tblCost[QuantityRequired],
 ""
)</f>
        <v>10</v>
      </c>
      <c r="H15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2" s="41" t="str">
        <f>_xlfn.XLOOKUP(tblCostChecklist[[#This Row],[TargetID]],tblTargetStatus[TargetID],tblTargetStatus[Status])</f>
        <v>BLOCKED</v>
      </c>
      <c r="J1562" s="25" t="b">
        <v>0</v>
      </c>
    </row>
    <row r="1563" spans="1:10">
      <c r="A1563" s="41" t="s">
        <v>5200</v>
      </c>
      <c r="B1563" s="41" t="str">
        <f>_xlfn.TEXTAFTER(
 _xlfn.TEXTBEFORE(tblCostChecklist[[#This Row],[RequirementID]],".",-2),
 "cost."
)</f>
        <v>collection.orangery@1</v>
      </c>
      <c r="C1563" s="41" t="str">
        <f>_xlfn.XLOOKUP(tblCostChecklist[[#This Row],[TargetID]],tblTargets[TargetID],tblTargets[DisplayName],"")</f>
        <v>Orangery Lv 1</v>
      </c>
      <c r="D1563" s="41" t="str">
        <f>_xlfn.XLOOKUP(tblCostChecklist[[#This Row],[TargetID]],tblTargets[TargetID],tblTargets[TargetType],"")</f>
        <v>COLLECTION</v>
      </c>
      <c r="E1563" s="41" t="s">
        <v>1794</v>
      </c>
      <c r="F1563" s="41">
        <v>5</v>
      </c>
      <c r="G1563" s="41">
        <f>_xlfn.XLOOKUP(
 tblCostChecklist[[#This Row],[RequirementID]],
 tblCost[RequirementID],
 tblCost[QuantityRequired],
 ""
)</f>
        <v>10</v>
      </c>
      <c r="H15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3" s="41" t="str">
        <f>_xlfn.XLOOKUP(tblCostChecklist[[#This Row],[TargetID]],tblTargetStatus[TargetID],tblTargetStatus[Status])</f>
        <v>BLOCKED</v>
      </c>
      <c r="J1563" s="25" t="b">
        <v>0</v>
      </c>
    </row>
    <row r="1564" spans="1:10">
      <c r="A1564" s="41" t="s">
        <v>5201</v>
      </c>
      <c r="B1564" s="41" t="str">
        <f>_xlfn.TEXTAFTER(
 _xlfn.TEXTBEFORE(tblCostChecklist[[#This Row],[RequirementID]],".",-2),
 "cost."
)</f>
        <v>collection.orangery@1</v>
      </c>
      <c r="C1564" s="41" t="str">
        <f>_xlfn.XLOOKUP(tblCostChecklist[[#This Row],[TargetID]],tblTargets[TargetID],tblTargets[DisplayName],"")</f>
        <v>Orangery Lv 1</v>
      </c>
      <c r="D1564" s="41" t="str">
        <f>_xlfn.XLOOKUP(tblCostChecklist[[#This Row],[TargetID]],tblTargets[TargetID],tblTargets[TargetType],"")</f>
        <v>COLLECTION</v>
      </c>
      <c r="E1564" s="41" t="s">
        <v>1794</v>
      </c>
      <c r="F1564" s="41">
        <v>6</v>
      </c>
      <c r="G1564" s="41">
        <f>_xlfn.XLOOKUP(
 tblCostChecklist[[#This Row],[RequirementID]],
 tblCost[RequirementID],
 tblCost[QuantityRequired],
 ""
)</f>
        <v>10</v>
      </c>
      <c r="H15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4" s="41" t="str">
        <f>_xlfn.XLOOKUP(tblCostChecklist[[#This Row],[TargetID]],tblTargetStatus[TargetID],tblTargetStatus[Status])</f>
        <v>BLOCKED</v>
      </c>
      <c r="J1564" s="25" t="b">
        <v>0</v>
      </c>
    </row>
    <row r="1565" spans="1:10">
      <c r="A1565" s="41" t="s">
        <v>5202</v>
      </c>
      <c r="B1565" s="41" t="str">
        <f>_xlfn.TEXTAFTER(
 _xlfn.TEXTBEFORE(tblCostChecklist[[#This Row],[RequirementID]],".",-2),
 "cost."
)</f>
        <v>collection.orangery@1</v>
      </c>
      <c r="C1565" s="41" t="str">
        <f>_xlfn.XLOOKUP(tblCostChecklist[[#This Row],[TargetID]],tblTargets[TargetID],tblTargets[DisplayName],"")</f>
        <v>Orangery Lv 1</v>
      </c>
      <c r="D1565" s="41" t="str">
        <f>_xlfn.XLOOKUP(tblCostChecklist[[#This Row],[TargetID]],tblTargets[TargetID],tblTargets[TargetType],"")</f>
        <v>COLLECTION</v>
      </c>
      <c r="E1565" s="41" t="s">
        <v>717</v>
      </c>
      <c r="F1565" s="41">
        <v>1</v>
      </c>
      <c r="G1565" s="41">
        <f>_xlfn.XLOOKUP(
 tblCostChecklist[[#This Row],[RequirementID]],
 tblCost[RequirementID],
 tblCost[QuantityRequired],
 ""
)</f>
        <v>50</v>
      </c>
      <c r="H15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5" s="41" t="str">
        <f>_xlfn.XLOOKUP(tblCostChecklist[[#This Row],[TargetID]],tblTargetStatus[TargetID],tblTargetStatus[Status])</f>
        <v>BLOCKED</v>
      </c>
      <c r="J1565" s="25" t="b">
        <v>0</v>
      </c>
    </row>
    <row r="1566" spans="1:10">
      <c r="A1566" s="41" t="s">
        <v>5203</v>
      </c>
      <c r="B1566" s="41" t="str">
        <f>_xlfn.TEXTAFTER(
 _xlfn.TEXTBEFORE(tblCostChecklist[[#This Row],[RequirementID]],".",-2),
 "cost."
)</f>
        <v>collection.orangery@1</v>
      </c>
      <c r="C1566" s="41" t="str">
        <f>_xlfn.XLOOKUP(tblCostChecklist[[#This Row],[TargetID]],tblTargets[TargetID],tblTargets[DisplayName],"")</f>
        <v>Orangery Lv 1</v>
      </c>
      <c r="D1566" s="41" t="str">
        <f>_xlfn.XLOOKUP(tblCostChecklist[[#This Row],[TargetID]],tblTargets[TargetID],tblTargets[TargetType],"")</f>
        <v>COLLECTION</v>
      </c>
      <c r="E1566" s="41" t="s">
        <v>717</v>
      </c>
      <c r="F1566" s="41">
        <v>2</v>
      </c>
      <c r="G1566" s="41">
        <f>_xlfn.XLOOKUP(
 tblCostChecklist[[#This Row],[RequirementID]],
 tblCost[RequirementID],
 tblCost[QuantityRequired],
 ""
)</f>
        <v>50</v>
      </c>
      <c r="H15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6" s="41" t="str">
        <f>_xlfn.XLOOKUP(tblCostChecklist[[#This Row],[TargetID]],tblTargetStatus[TargetID],tblTargetStatus[Status])</f>
        <v>BLOCKED</v>
      </c>
      <c r="J1566" s="25" t="b">
        <v>0</v>
      </c>
    </row>
    <row r="1567" spans="1:10">
      <c r="A1567" s="41" t="s">
        <v>5204</v>
      </c>
      <c r="B1567" s="41" t="str">
        <f>_xlfn.TEXTAFTER(
 _xlfn.TEXTBEFORE(tblCostChecklist[[#This Row],[RequirementID]],".",-2),
 "cost."
)</f>
        <v>collection.orangery@2</v>
      </c>
      <c r="C1567" s="41" t="str">
        <f>_xlfn.XLOOKUP(tblCostChecklist[[#This Row],[TargetID]],tblTargets[TargetID],tblTargets[DisplayName],"")</f>
        <v>Orangery Lv 2</v>
      </c>
      <c r="D1567" s="41" t="str">
        <f>_xlfn.XLOOKUP(tblCostChecklist[[#This Row],[TargetID]],tblTargets[TargetID],tblTargets[TargetType],"")</f>
        <v>COLLECTION</v>
      </c>
      <c r="E1567" s="41" t="s">
        <v>1794</v>
      </c>
      <c r="F1567" s="41">
        <v>1</v>
      </c>
      <c r="G1567" s="41">
        <f>_xlfn.XLOOKUP(
 tblCostChecklist[[#This Row],[RequirementID]],
 tblCost[RequirementID],
 tblCost[QuantityRequired],
 ""
)</f>
        <v>20</v>
      </c>
      <c r="H15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7" s="41" t="str">
        <f>_xlfn.XLOOKUP(tblCostChecklist[[#This Row],[TargetID]],tblTargetStatus[TargetID],tblTargetStatus[Status])</f>
        <v>BLOCKED</v>
      </c>
      <c r="J1567" s="25" t="b">
        <v>0</v>
      </c>
    </row>
    <row r="1568" spans="1:10">
      <c r="A1568" s="41" t="s">
        <v>5205</v>
      </c>
      <c r="B1568" s="41" t="str">
        <f>_xlfn.TEXTAFTER(
 _xlfn.TEXTBEFORE(tblCostChecklist[[#This Row],[RequirementID]],".",-2),
 "cost."
)</f>
        <v>collection.orangery@2</v>
      </c>
      <c r="C1568" s="41" t="str">
        <f>_xlfn.XLOOKUP(tblCostChecklist[[#This Row],[TargetID]],tblTargets[TargetID],tblTargets[DisplayName],"")</f>
        <v>Orangery Lv 2</v>
      </c>
      <c r="D1568" s="41" t="str">
        <f>_xlfn.XLOOKUP(tblCostChecklist[[#This Row],[TargetID]],tblTargets[TargetID],tblTargets[TargetType],"")</f>
        <v>COLLECTION</v>
      </c>
      <c r="E1568" s="41" t="s">
        <v>1794</v>
      </c>
      <c r="F1568" s="41">
        <v>2</v>
      </c>
      <c r="G1568" s="41">
        <f>_xlfn.XLOOKUP(
 tblCostChecklist[[#This Row],[RequirementID]],
 tblCost[RequirementID],
 tblCost[QuantityRequired],
 ""
)</f>
        <v>20</v>
      </c>
      <c r="H15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8" s="41" t="str">
        <f>_xlfn.XLOOKUP(tblCostChecklist[[#This Row],[TargetID]],tblTargetStatus[TargetID],tblTargetStatus[Status])</f>
        <v>BLOCKED</v>
      </c>
      <c r="J1568" s="25" t="b">
        <v>0</v>
      </c>
    </row>
    <row r="1569" spans="1:10">
      <c r="A1569" s="41" t="s">
        <v>5206</v>
      </c>
      <c r="B1569" s="41" t="str">
        <f>_xlfn.TEXTAFTER(
 _xlfn.TEXTBEFORE(tblCostChecklist[[#This Row],[RequirementID]],".",-2),
 "cost."
)</f>
        <v>collection.orangery@2</v>
      </c>
      <c r="C1569" s="41" t="str">
        <f>_xlfn.XLOOKUP(tblCostChecklist[[#This Row],[TargetID]],tblTargets[TargetID],tblTargets[DisplayName],"")</f>
        <v>Orangery Lv 2</v>
      </c>
      <c r="D1569" s="41" t="str">
        <f>_xlfn.XLOOKUP(tblCostChecklist[[#This Row],[TargetID]],tblTargets[TargetID],tblTargets[TargetType],"")</f>
        <v>COLLECTION</v>
      </c>
      <c r="E1569" s="41" t="s">
        <v>1794</v>
      </c>
      <c r="F1569" s="41">
        <v>3</v>
      </c>
      <c r="G1569" s="41">
        <f>_xlfn.XLOOKUP(
 tblCostChecklist[[#This Row],[RequirementID]],
 tblCost[RequirementID],
 tblCost[QuantityRequired],
 ""
)</f>
        <v>20</v>
      </c>
      <c r="H15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9" s="41" t="str">
        <f>_xlfn.XLOOKUP(tblCostChecklist[[#This Row],[TargetID]],tblTargetStatus[TargetID],tblTargetStatus[Status])</f>
        <v>BLOCKED</v>
      </c>
      <c r="J1569" s="25" t="b">
        <v>0</v>
      </c>
    </row>
    <row r="1570" spans="1:10">
      <c r="A1570" s="41" t="s">
        <v>5207</v>
      </c>
      <c r="B1570" s="41" t="str">
        <f>_xlfn.TEXTAFTER(
 _xlfn.TEXTBEFORE(tblCostChecklist[[#This Row],[RequirementID]],".",-2),
 "cost."
)</f>
        <v>collection.orangery@2</v>
      </c>
      <c r="C1570" s="41" t="str">
        <f>_xlfn.XLOOKUP(tblCostChecklist[[#This Row],[TargetID]],tblTargets[TargetID],tblTargets[DisplayName],"")</f>
        <v>Orangery Lv 2</v>
      </c>
      <c r="D1570" s="41" t="str">
        <f>_xlfn.XLOOKUP(tblCostChecklist[[#This Row],[TargetID]],tblTargets[TargetID],tblTargets[TargetType],"")</f>
        <v>COLLECTION</v>
      </c>
      <c r="E1570" s="41" t="s">
        <v>1794</v>
      </c>
      <c r="F1570" s="41">
        <v>4</v>
      </c>
      <c r="G1570" s="41">
        <f>_xlfn.XLOOKUP(
 tblCostChecklist[[#This Row],[RequirementID]],
 tblCost[RequirementID],
 tblCost[QuantityRequired],
 ""
)</f>
        <v>20</v>
      </c>
      <c r="H15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0" s="41" t="str">
        <f>_xlfn.XLOOKUP(tblCostChecklist[[#This Row],[TargetID]],tblTargetStatus[TargetID],tblTargetStatus[Status])</f>
        <v>BLOCKED</v>
      </c>
      <c r="J1570" s="25" t="b">
        <v>0</v>
      </c>
    </row>
    <row r="1571" spans="1:10">
      <c r="A1571" s="41" t="s">
        <v>5208</v>
      </c>
      <c r="B1571" s="41" t="str">
        <f>_xlfn.TEXTAFTER(
 _xlfn.TEXTBEFORE(tblCostChecklist[[#This Row],[RequirementID]],".",-2),
 "cost."
)</f>
        <v>collection.orangery@2</v>
      </c>
      <c r="C1571" s="41" t="str">
        <f>_xlfn.XLOOKUP(tblCostChecklist[[#This Row],[TargetID]],tblTargets[TargetID],tblTargets[DisplayName],"")</f>
        <v>Orangery Lv 2</v>
      </c>
      <c r="D1571" s="41" t="str">
        <f>_xlfn.XLOOKUP(tblCostChecklist[[#This Row],[TargetID]],tblTargets[TargetID],tblTargets[TargetType],"")</f>
        <v>COLLECTION</v>
      </c>
      <c r="E1571" s="41" t="s">
        <v>1794</v>
      </c>
      <c r="F1571" s="41">
        <v>5</v>
      </c>
      <c r="G1571" s="41">
        <f>_xlfn.XLOOKUP(
 tblCostChecklist[[#This Row],[RequirementID]],
 tblCost[RequirementID],
 tblCost[QuantityRequired],
 ""
)</f>
        <v>20</v>
      </c>
      <c r="H15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1" s="41" t="str">
        <f>_xlfn.XLOOKUP(tblCostChecklist[[#This Row],[TargetID]],tblTargetStatus[TargetID],tblTargetStatus[Status])</f>
        <v>BLOCKED</v>
      </c>
      <c r="J1571" s="25" t="b">
        <v>0</v>
      </c>
    </row>
    <row r="1572" spans="1:10">
      <c r="A1572" s="41" t="s">
        <v>5209</v>
      </c>
      <c r="B1572" s="41" t="str">
        <f>_xlfn.TEXTAFTER(
 _xlfn.TEXTBEFORE(tblCostChecklist[[#This Row],[RequirementID]],".",-2),
 "cost."
)</f>
        <v>collection.orangery@2</v>
      </c>
      <c r="C1572" s="41" t="str">
        <f>_xlfn.XLOOKUP(tblCostChecklist[[#This Row],[TargetID]],tblTargets[TargetID],tblTargets[DisplayName],"")</f>
        <v>Orangery Lv 2</v>
      </c>
      <c r="D1572" s="41" t="str">
        <f>_xlfn.XLOOKUP(tblCostChecklist[[#This Row],[TargetID]],tblTargets[TargetID],tblTargets[TargetType],"")</f>
        <v>COLLECTION</v>
      </c>
      <c r="E1572" s="41" t="s">
        <v>1794</v>
      </c>
      <c r="F1572" s="41">
        <v>6</v>
      </c>
      <c r="G1572" s="41">
        <f>_xlfn.XLOOKUP(
 tblCostChecklist[[#This Row],[RequirementID]],
 tblCost[RequirementID],
 tblCost[QuantityRequired],
 ""
)</f>
        <v>20</v>
      </c>
      <c r="H15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2" s="41" t="str">
        <f>_xlfn.XLOOKUP(tblCostChecklist[[#This Row],[TargetID]],tblTargetStatus[TargetID],tblTargetStatus[Status])</f>
        <v>BLOCKED</v>
      </c>
      <c r="J1572" s="25" t="b">
        <v>0</v>
      </c>
    </row>
    <row r="1573" spans="1:10">
      <c r="A1573" s="41" t="s">
        <v>5210</v>
      </c>
      <c r="B1573" s="41" t="str">
        <f>_xlfn.TEXTAFTER(
 _xlfn.TEXTBEFORE(tblCostChecklist[[#This Row],[RequirementID]],".",-2),
 "cost."
)</f>
        <v>collection.orangery@2</v>
      </c>
      <c r="C1573" s="41" t="str">
        <f>_xlfn.XLOOKUP(tblCostChecklist[[#This Row],[TargetID]],tblTargets[TargetID],tblTargets[DisplayName],"")</f>
        <v>Orangery Lv 2</v>
      </c>
      <c r="D1573" s="41" t="str">
        <f>_xlfn.XLOOKUP(tblCostChecklist[[#This Row],[TargetID]],tblTargets[TargetID],tblTargets[TargetType],"")</f>
        <v>COLLECTION</v>
      </c>
      <c r="E1573" s="41" t="s">
        <v>717</v>
      </c>
      <c r="F1573" s="41">
        <v>1</v>
      </c>
      <c r="G1573" s="41">
        <f>_xlfn.XLOOKUP(
 tblCostChecklist[[#This Row],[RequirementID]],
 tblCost[RequirementID],
 tblCost[QuantityRequired],
 ""
)</f>
        <v>100</v>
      </c>
      <c r="H15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3" s="41" t="str">
        <f>_xlfn.XLOOKUP(tblCostChecklist[[#This Row],[TargetID]],tblTargetStatus[TargetID],tblTargetStatus[Status])</f>
        <v>BLOCKED</v>
      </c>
      <c r="J1573" s="25" t="b">
        <v>0</v>
      </c>
    </row>
    <row r="1574" spans="1:10">
      <c r="A1574" s="41" t="s">
        <v>5211</v>
      </c>
      <c r="B1574" s="41" t="str">
        <f>_xlfn.TEXTAFTER(
 _xlfn.TEXTBEFORE(tblCostChecklist[[#This Row],[RequirementID]],".",-2),
 "cost."
)</f>
        <v>collection.orangery@2</v>
      </c>
      <c r="C1574" s="41" t="str">
        <f>_xlfn.XLOOKUP(tblCostChecklist[[#This Row],[TargetID]],tblTargets[TargetID],tblTargets[DisplayName],"")</f>
        <v>Orangery Lv 2</v>
      </c>
      <c r="D1574" s="41" t="str">
        <f>_xlfn.XLOOKUP(tblCostChecklist[[#This Row],[TargetID]],tblTargets[TargetID],tblTargets[TargetType],"")</f>
        <v>COLLECTION</v>
      </c>
      <c r="E1574" s="41" t="s">
        <v>717</v>
      </c>
      <c r="F1574" s="41">
        <v>2</v>
      </c>
      <c r="G1574" s="41">
        <f>_xlfn.XLOOKUP(
 tblCostChecklist[[#This Row],[RequirementID]],
 tblCost[RequirementID],
 tblCost[QuantityRequired],
 ""
)</f>
        <v>100</v>
      </c>
      <c r="H15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4" s="41" t="str">
        <f>_xlfn.XLOOKUP(tblCostChecklist[[#This Row],[TargetID]],tblTargetStatus[TargetID],tblTargetStatus[Status])</f>
        <v>BLOCKED</v>
      </c>
      <c r="J1574" s="25" t="b">
        <v>0</v>
      </c>
    </row>
    <row r="1575" spans="1:10">
      <c r="A1575" s="41" t="s">
        <v>5212</v>
      </c>
      <c r="B1575" s="41" t="str">
        <f>_xlfn.TEXTAFTER(
 _xlfn.TEXTBEFORE(tblCostChecklist[[#This Row],[RequirementID]],".",-2),
 "cost."
)</f>
        <v>collection.pantry_1@1</v>
      </c>
      <c r="C1575" s="41" t="str">
        <f>_xlfn.XLOOKUP(tblCostChecklist[[#This Row],[TargetID]],tblTargets[TargetID],tblTargets[DisplayName],"")</f>
        <v>Pantry 1 Lv 1</v>
      </c>
      <c r="D1575" s="41" t="str">
        <f>_xlfn.XLOOKUP(tblCostChecklist[[#This Row],[TargetID]],tblTargets[TargetID],tblTargets[TargetType],"")</f>
        <v>COLLECTION</v>
      </c>
      <c r="E1575" s="41" t="s">
        <v>1790</v>
      </c>
      <c r="F1575" s="41">
        <v>1</v>
      </c>
      <c r="G1575" s="41">
        <f>_xlfn.XLOOKUP(
 tblCostChecklist[[#This Row],[RequirementID]],
 tblCost[RequirementID],
 tblCost[QuantityRequired],
 ""
)</f>
        <v>5</v>
      </c>
      <c r="H15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5" s="41" t="str">
        <f>_xlfn.XLOOKUP(tblCostChecklist[[#This Row],[TargetID]],tblTargetStatus[TargetID],tblTargetStatus[Status])</f>
        <v>BLOCKED</v>
      </c>
      <c r="J1575" s="25" t="b">
        <v>0</v>
      </c>
    </row>
    <row r="1576" spans="1:10">
      <c r="A1576" s="41" t="s">
        <v>5213</v>
      </c>
      <c r="B1576" s="41" t="str">
        <f>_xlfn.TEXTAFTER(
 _xlfn.TEXTBEFORE(tblCostChecklist[[#This Row],[RequirementID]],".",-2),
 "cost."
)</f>
        <v>collection.pantry_1@1</v>
      </c>
      <c r="C1576" s="41" t="str">
        <f>_xlfn.XLOOKUP(tblCostChecklist[[#This Row],[TargetID]],tblTargets[TargetID],tblTargets[DisplayName],"")</f>
        <v>Pantry 1 Lv 1</v>
      </c>
      <c r="D1576" s="41" t="str">
        <f>_xlfn.XLOOKUP(tblCostChecklist[[#This Row],[TargetID]],tblTargets[TargetID],tblTargets[TargetType],"")</f>
        <v>COLLECTION</v>
      </c>
      <c r="E1576" s="41" t="s">
        <v>659</v>
      </c>
      <c r="F1576" s="41">
        <v>1</v>
      </c>
      <c r="G1576" s="41">
        <f>_xlfn.XLOOKUP(
 tblCostChecklist[[#This Row],[RequirementID]],
 tblCost[RequirementID],
 tblCost[QuantityRequired],
 ""
)</f>
        <v>10</v>
      </c>
      <c r="H15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6" s="41" t="str">
        <f>_xlfn.XLOOKUP(tblCostChecklist[[#This Row],[TargetID]],tblTargetStatus[TargetID],tblTargetStatus[Status])</f>
        <v>BLOCKED</v>
      </c>
      <c r="J1576" s="25" t="b">
        <v>0</v>
      </c>
    </row>
    <row r="1577" spans="1:10">
      <c r="A1577" s="41" t="s">
        <v>5214</v>
      </c>
      <c r="B1577" s="41" t="str">
        <f>_xlfn.TEXTAFTER(
 _xlfn.TEXTBEFORE(tblCostChecklist[[#This Row],[RequirementID]],".",-2),
 "cost."
)</f>
        <v>collection.pantry_1@1</v>
      </c>
      <c r="C1577" s="41" t="str">
        <f>_xlfn.XLOOKUP(tblCostChecklist[[#This Row],[TargetID]],tblTargets[TargetID],tblTargets[DisplayName],"")</f>
        <v>Pantry 1 Lv 1</v>
      </c>
      <c r="D1577" s="41" t="str">
        <f>_xlfn.XLOOKUP(tblCostChecklist[[#This Row],[TargetID]],tblTargets[TargetID],tblTargets[TargetType],"")</f>
        <v>COLLECTION</v>
      </c>
      <c r="E1577" s="41" t="s">
        <v>1802</v>
      </c>
      <c r="F1577" s="41">
        <v>1</v>
      </c>
      <c r="G1577" s="41">
        <f>_xlfn.XLOOKUP(
 tblCostChecklist[[#This Row],[RequirementID]],
 tblCost[RequirementID],
 tblCost[QuantityRequired],
 ""
)</f>
        <v>10</v>
      </c>
      <c r="H15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7" s="41" t="str">
        <f>_xlfn.XLOOKUP(tblCostChecklist[[#This Row],[TargetID]],tblTargetStatus[TargetID],tblTargetStatus[Status])</f>
        <v>BLOCKED</v>
      </c>
      <c r="J1577" s="25" t="b">
        <v>0</v>
      </c>
    </row>
    <row r="1578" spans="1:10">
      <c r="A1578" s="41" t="s">
        <v>5215</v>
      </c>
      <c r="B1578" s="41" t="str">
        <f>_xlfn.TEXTAFTER(
 _xlfn.TEXTBEFORE(tblCostChecklist[[#This Row],[RequirementID]],".",-2),
 "cost."
)</f>
        <v>collection.pantry_1@1</v>
      </c>
      <c r="C1578" s="41" t="str">
        <f>_xlfn.XLOOKUP(tblCostChecklist[[#This Row],[TargetID]],tblTargets[TargetID],tblTargets[DisplayName],"")</f>
        <v>Pantry 1 Lv 1</v>
      </c>
      <c r="D1578" s="41" t="str">
        <f>_xlfn.XLOOKUP(tblCostChecklist[[#This Row],[TargetID]],tblTargets[TargetID],tblTargets[TargetType],"")</f>
        <v>COLLECTION</v>
      </c>
      <c r="E1578" s="41" t="s">
        <v>934</v>
      </c>
      <c r="F1578" s="41">
        <v>1</v>
      </c>
      <c r="G1578" s="41">
        <f>_xlfn.XLOOKUP(
 tblCostChecklist[[#This Row],[RequirementID]],
 tblCost[RequirementID],
 tblCost[QuantityRequired],
 ""
)</f>
        <v>40</v>
      </c>
      <c r="H15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8" s="41" t="str">
        <f>_xlfn.XLOOKUP(tblCostChecklist[[#This Row],[TargetID]],tblTargetStatus[TargetID],tblTargetStatus[Status])</f>
        <v>BLOCKED</v>
      </c>
      <c r="J1578" s="25" t="b">
        <v>0</v>
      </c>
    </row>
    <row r="1579" spans="1:10">
      <c r="A1579" s="41" t="s">
        <v>5216</v>
      </c>
      <c r="B1579" s="41" t="str">
        <f>_xlfn.TEXTAFTER(
 _xlfn.TEXTBEFORE(tblCostChecklist[[#This Row],[RequirementID]],".",-2),
 "cost."
)</f>
        <v>collection.pantry_1@1</v>
      </c>
      <c r="C1579" s="41" t="str">
        <f>_xlfn.XLOOKUP(tblCostChecklist[[#This Row],[TargetID]],tblTargets[TargetID],tblTargets[DisplayName],"")</f>
        <v>Pantry 1 Lv 1</v>
      </c>
      <c r="D1579" s="41" t="str">
        <f>_xlfn.XLOOKUP(tblCostChecklist[[#This Row],[TargetID]],tblTargets[TargetID],tblTargets[TargetType],"")</f>
        <v>COLLECTION</v>
      </c>
      <c r="E1579" s="41" t="s">
        <v>674</v>
      </c>
      <c r="F1579" s="41">
        <v>1</v>
      </c>
      <c r="G1579" s="41">
        <f>_xlfn.XLOOKUP(
 tblCostChecklist[[#This Row],[RequirementID]],
 tblCost[RequirementID],
 tblCost[QuantityRequired],
 ""
)</f>
        <v>10</v>
      </c>
      <c r="H15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9" s="41" t="str">
        <f>_xlfn.XLOOKUP(tblCostChecklist[[#This Row],[TargetID]],tblTargetStatus[TargetID],tblTargetStatus[Status])</f>
        <v>BLOCKED</v>
      </c>
      <c r="J1579" s="25" t="b">
        <v>0</v>
      </c>
    </row>
    <row r="1580" spans="1:10">
      <c r="A1580" s="41" t="s">
        <v>5217</v>
      </c>
      <c r="B1580" s="41" t="str">
        <f>_xlfn.TEXTAFTER(
 _xlfn.TEXTBEFORE(tblCostChecklist[[#This Row],[RequirementID]],".",-2),
 "cost."
)</f>
        <v>collection.pantry_1@1</v>
      </c>
      <c r="C1580" s="41" t="str">
        <f>_xlfn.XLOOKUP(tblCostChecklist[[#This Row],[TargetID]],tblTargets[TargetID],tblTargets[DisplayName],"")</f>
        <v>Pantry 1 Lv 1</v>
      </c>
      <c r="D1580" s="41" t="str">
        <f>_xlfn.XLOOKUP(tblCostChecklist[[#This Row],[TargetID]],tblTargets[TargetID],tblTargets[TargetType],"")</f>
        <v>COLLECTION</v>
      </c>
      <c r="E1580" s="41" t="s">
        <v>697</v>
      </c>
      <c r="F1580" s="41">
        <v>1</v>
      </c>
      <c r="G1580" s="41">
        <f>_xlfn.XLOOKUP(
 tblCostChecklist[[#This Row],[RequirementID]],
 tblCost[RequirementID],
 tblCost[QuantityRequired],
 ""
)</f>
        <v>10</v>
      </c>
      <c r="H15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0" s="41" t="str">
        <f>_xlfn.XLOOKUP(tblCostChecklist[[#This Row],[TargetID]],tblTargetStatus[TargetID],tblTargetStatus[Status])</f>
        <v>BLOCKED</v>
      </c>
      <c r="J1580" s="25" t="b">
        <v>0</v>
      </c>
    </row>
    <row r="1581" spans="1:10">
      <c r="A1581" s="41" t="s">
        <v>5218</v>
      </c>
      <c r="B1581" s="41" t="str">
        <f>_xlfn.TEXTAFTER(
 _xlfn.TEXTBEFORE(tblCostChecklist[[#This Row],[RequirementID]],".",-2),
 "cost."
)</f>
        <v>collection.pantry_1@1</v>
      </c>
      <c r="C1581" s="41" t="str">
        <f>_xlfn.XLOOKUP(tblCostChecklist[[#This Row],[TargetID]],tblTargets[TargetID],tblTargets[DisplayName],"")</f>
        <v>Pantry 1 Lv 1</v>
      </c>
      <c r="D1581" s="41" t="str">
        <f>_xlfn.XLOOKUP(tblCostChecklist[[#This Row],[TargetID]],tblTargets[TargetID],tblTargets[TargetType],"")</f>
        <v>COLLECTION</v>
      </c>
      <c r="E1581" s="41" t="s">
        <v>707</v>
      </c>
      <c r="F1581" s="41">
        <v>1</v>
      </c>
      <c r="G1581" s="41">
        <f>_xlfn.XLOOKUP(
 tblCostChecklist[[#This Row],[RequirementID]],
 tblCost[RequirementID],
 tblCost[QuantityRequired],
 ""
)</f>
        <v>40</v>
      </c>
      <c r="H15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1" s="41" t="str">
        <f>_xlfn.XLOOKUP(tblCostChecklist[[#This Row],[TargetID]],tblTargetStatus[TargetID],tblTargetStatus[Status])</f>
        <v>BLOCKED</v>
      </c>
      <c r="J1581" s="25" t="b">
        <v>0</v>
      </c>
    </row>
    <row r="1582" spans="1:10">
      <c r="A1582" s="41" t="s">
        <v>5219</v>
      </c>
      <c r="B1582" s="41" t="str">
        <f>_xlfn.TEXTAFTER(
 _xlfn.TEXTBEFORE(tblCostChecklist[[#This Row],[RequirementID]],".",-2),
 "cost."
)</f>
        <v>collection.pantry_1@1</v>
      </c>
      <c r="C1582" s="41" t="str">
        <f>_xlfn.XLOOKUP(tblCostChecklist[[#This Row],[TargetID]],tblTargets[TargetID],tblTargets[DisplayName],"")</f>
        <v>Pantry 1 Lv 1</v>
      </c>
      <c r="D1582" s="41" t="str">
        <f>_xlfn.XLOOKUP(tblCostChecklist[[#This Row],[TargetID]],tblTargets[TargetID],tblTargets[TargetType],"")</f>
        <v>COLLECTION</v>
      </c>
      <c r="E1582" s="41" t="s">
        <v>948</v>
      </c>
      <c r="F1582" s="41">
        <v>1</v>
      </c>
      <c r="G1582" s="41">
        <f>_xlfn.XLOOKUP(
 tblCostChecklist[[#This Row],[RequirementID]],
 tblCost[RequirementID],
 tblCost[QuantityRequired],
 ""
)</f>
        <v>10</v>
      </c>
      <c r="H15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2" s="41" t="str">
        <f>_xlfn.XLOOKUP(tblCostChecklist[[#This Row],[TargetID]],tblTargetStatus[TargetID],tblTargetStatus[Status])</f>
        <v>BLOCKED</v>
      </c>
      <c r="J1582" s="25" t="b">
        <v>0</v>
      </c>
    </row>
    <row r="1583" spans="1:10">
      <c r="A1583" s="41" t="s">
        <v>5220</v>
      </c>
      <c r="B1583" s="41" t="str">
        <f>_xlfn.TEXTAFTER(
 _xlfn.TEXTBEFORE(tblCostChecklist[[#This Row],[RequirementID]],".",-2),
 "cost."
)</f>
        <v>collection.pantry_1@1</v>
      </c>
      <c r="C1583" s="41" t="str">
        <f>_xlfn.XLOOKUP(tblCostChecklist[[#This Row],[TargetID]],tblTargets[TargetID],tblTargets[DisplayName],"")</f>
        <v>Pantry 1 Lv 1</v>
      </c>
      <c r="D1583" s="41" t="str">
        <f>_xlfn.XLOOKUP(tblCostChecklist[[#This Row],[TargetID]],tblTargets[TargetID],tblTargets[TargetType],"")</f>
        <v>COLLECTION</v>
      </c>
      <c r="E1583" s="41" t="s">
        <v>711</v>
      </c>
      <c r="F1583" s="41">
        <v>1</v>
      </c>
      <c r="G1583" s="41">
        <f>_xlfn.XLOOKUP(
 tblCostChecklist[[#This Row],[RequirementID]],
 tblCost[RequirementID],
 tblCost[QuantityRequired],
 ""
)</f>
        <v>10</v>
      </c>
      <c r="H15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3" s="41" t="str">
        <f>_xlfn.XLOOKUP(tblCostChecklist[[#This Row],[TargetID]],tblTargetStatus[TargetID],tblTargetStatus[Status])</f>
        <v>BLOCKED</v>
      </c>
      <c r="J1583" s="25" t="b">
        <v>0</v>
      </c>
    </row>
    <row r="1584" spans="1:10">
      <c r="A1584" s="41" t="s">
        <v>5221</v>
      </c>
      <c r="B1584" s="41" t="str">
        <f>_xlfn.TEXTAFTER(
 _xlfn.TEXTBEFORE(tblCostChecklist[[#This Row],[RequirementID]],".",-2),
 "cost."
)</f>
        <v>collection.pantry_1@1</v>
      </c>
      <c r="C1584" s="41" t="str">
        <f>_xlfn.XLOOKUP(tblCostChecklist[[#This Row],[TargetID]],tblTargets[TargetID],tblTargets[DisplayName],"")</f>
        <v>Pantry 1 Lv 1</v>
      </c>
      <c r="D1584" s="41" t="str">
        <f>_xlfn.XLOOKUP(tblCostChecklist[[#This Row],[TargetID]],tblTargets[TargetID],tblTargets[TargetType],"")</f>
        <v>COLLECTION</v>
      </c>
      <c r="E1584" s="41" t="s">
        <v>715</v>
      </c>
      <c r="F1584" s="41">
        <v>1</v>
      </c>
      <c r="G1584" s="41">
        <f>_xlfn.XLOOKUP(
 tblCostChecklist[[#This Row],[RequirementID]],
 tblCost[RequirementID],
 tblCost[QuantityRequired],
 ""
)</f>
        <v>5</v>
      </c>
      <c r="H15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4" s="41" t="str">
        <f>_xlfn.XLOOKUP(tblCostChecklist[[#This Row],[TargetID]],tblTargetStatus[TargetID],tblTargetStatus[Status])</f>
        <v>BLOCKED</v>
      </c>
      <c r="J1584" s="25" t="b">
        <v>0</v>
      </c>
    </row>
    <row r="1585" spans="1:10">
      <c r="A1585" s="41" t="s">
        <v>5222</v>
      </c>
      <c r="B1585" s="41" t="str">
        <f>_xlfn.TEXTAFTER(
 _xlfn.TEXTBEFORE(tblCostChecklist[[#This Row],[RequirementID]],".",-2),
 "cost."
)</f>
        <v>collection.pantry_1@1</v>
      </c>
      <c r="C1585" s="41" t="str">
        <f>_xlfn.XLOOKUP(tblCostChecklist[[#This Row],[TargetID]],tblTargets[TargetID],tblTargets[DisplayName],"")</f>
        <v>Pantry 1 Lv 1</v>
      </c>
      <c r="D1585" s="41" t="str">
        <f>_xlfn.XLOOKUP(tblCostChecklist[[#This Row],[TargetID]],tblTargets[TargetID],tblTargets[TargetType],"")</f>
        <v>COLLECTION</v>
      </c>
      <c r="E1585" s="41" t="s">
        <v>719</v>
      </c>
      <c r="F1585" s="41">
        <v>1</v>
      </c>
      <c r="G1585" s="41">
        <f>_xlfn.XLOOKUP(
 tblCostChecklist[[#This Row],[RequirementID]],
 tblCost[RequirementID],
 tblCost[QuantityRequired],
 ""
)</f>
        <v>10</v>
      </c>
      <c r="H15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5" s="41" t="str">
        <f>_xlfn.XLOOKUP(tblCostChecklist[[#This Row],[TargetID]],tblTargetStatus[TargetID],tblTargetStatus[Status])</f>
        <v>BLOCKED</v>
      </c>
      <c r="J1585" s="25" t="b">
        <v>0</v>
      </c>
    </row>
    <row r="1586" spans="1:10">
      <c r="A1586" s="41" t="s">
        <v>5223</v>
      </c>
      <c r="B1586" s="41" t="str">
        <f>_xlfn.TEXTAFTER(
 _xlfn.TEXTBEFORE(tblCostChecklist[[#This Row],[RequirementID]],".",-2),
 "cost."
)</f>
        <v>collection.pantry_1@1</v>
      </c>
      <c r="C1586" s="41" t="str">
        <f>_xlfn.XLOOKUP(tblCostChecklist[[#This Row],[TargetID]],tblTargets[TargetID],tblTargets[DisplayName],"")</f>
        <v>Pantry 1 Lv 1</v>
      </c>
      <c r="D1586" s="41" t="str">
        <f>_xlfn.XLOOKUP(tblCostChecklist[[#This Row],[TargetID]],tblTargets[TargetID],tblTargets[TargetType],"")</f>
        <v>COLLECTION</v>
      </c>
      <c r="E1586" s="41" t="s">
        <v>956</v>
      </c>
      <c r="F1586" s="41">
        <v>1</v>
      </c>
      <c r="G1586" s="41">
        <f>_xlfn.XLOOKUP(
 tblCostChecklist[[#This Row],[RequirementID]],
 tblCost[RequirementID],
 tblCost[QuantityRequired],
 ""
)</f>
        <v>5</v>
      </c>
      <c r="H15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6" s="41" t="str">
        <f>_xlfn.XLOOKUP(tblCostChecklist[[#This Row],[TargetID]],tblTargetStatus[TargetID],tblTargetStatus[Status])</f>
        <v>BLOCKED</v>
      </c>
      <c r="J1586" s="25" t="b">
        <v>0</v>
      </c>
    </row>
    <row r="1587" spans="1:10">
      <c r="A1587" s="41" t="s">
        <v>5224</v>
      </c>
      <c r="B1587" s="41" t="str">
        <f>_xlfn.TEXTAFTER(
 _xlfn.TEXTBEFORE(tblCostChecklist[[#This Row],[RequirementID]],".",-2),
 "cost."
)</f>
        <v>collection.pantry_1@2</v>
      </c>
      <c r="C1587" s="41" t="str">
        <f>_xlfn.XLOOKUP(tblCostChecklist[[#This Row],[TargetID]],tblTargets[TargetID],tblTargets[DisplayName],"")</f>
        <v>Pantry 1 Lv 2</v>
      </c>
      <c r="D1587" s="41" t="str">
        <f>_xlfn.XLOOKUP(tblCostChecklist[[#This Row],[TargetID]],tblTargets[TargetID],tblTargets[TargetType],"")</f>
        <v>COLLECTION</v>
      </c>
      <c r="E1587" s="41" t="s">
        <v>1790</v>
      </c>
      <c r="F1587" s="41">
        <v>1</v>
      </c>
      <c r="G1587" s="41">
        <f>_xlfn.XLOOKUP(
 tblCostChecklist[[#This Row],[RequirementID]],
 tblCost[RequirementID],
 tblCost[QuantityRequired],
 ""
)</f>
        <v>10</v>
      </c>
      <c r="H15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7" s="41" t="str">
        <f>_xlfn.XLOOKUP(tblCostChecklist[[#This Row],[TargetID]],tblTargetStatus[TargetID],tblTargetStatus[Status])</f>
        <v>BLOCKED</v>
      </c>
      <c r="J1587" s="25" t="b">
        <v>0</v>
      </c>
    </row>
    <row r="1588" spans="1:10">
      <c r="A1588" s="41" t="s">
        <v>5225</v>
      </c>
      <c r="B1588" s="41" t="str">
        <f>_xlfn.TEXTAFTER(
 _xlfn.TEXTBEFORE(tblCostChecklist[[#This Row],[RequirementID]],".",-2),
 "cost."
)</f>
        <v>collection.pantry_1@2</v>
      </c>
      <c r="C1588" s="41" t="str">
        <f>_xlfn.XLOOKUP(tblCostChecklist[[#This Row],[TargetID]],tblTargets[TargetID],tblTargets[DisplayName],"")</f>
        <v>Pantry 1 Lv 2</v>
      </c>
      <c r="D1588" s="41" t="str">
        <f>_xlfn.XLOOKUP(tblCostChecklist[[#This Row],[TargetID]],tblTargets[TargetID],tblTargets[TargetType],"")</f>
        <v>COLLECTION</v>
      </c>
      <c r="E1588" s="41" t="s">
        <v>659</v>
      </c>
      <c r="F1588" s="41">
        <v>1</v>
      </c>
      <c r="G1588" s="41">
        <f>_xlfn.XLOOKUP(
 tblCostChecklist[[#This Row],[RequirementID]],
 tblCost[RequirementID],
 tblCost[QuantityRequired],
 ""
)</f>
        <v>20</v>
      </c>
      <c r="H15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8" s="41" t="str">
        <f>_xlfn.XLOOKUP(tblCostChecklist[[#This Row],[TargetID]],tblTargetStatus[TargetID],tblTargetStatus[Status])</f>
        <v>BLOCKED</v>
      </c>
      <c r="J1588" s="25" t="b">
        <v>0</v>
      </c>
    </row>
    <row r="1589" spans="1:10">
      <c r="A1589" s="41" t="s">
        <v>5226</v>
      </c>
      <c r="B1589" s="41" t="str">
        <f>_xlfn.TEXTAFTER(
 _xlfn.TEXTBEFORE(tblCostChecklist[[#This Row],[RequirementID]],".",-2),
 "cost."
)</f>
        <v>collection.pantry_1@2</v>
      </c>
      <c r="C1589" s="41" t="str">
        <f>_xlfn.XLOOKUP(tblCostChecklist[[#This Row],[TargetID]],tblTargets[TargetID],tblTargets[DisplayName],"")</f>
        <v>Pantry 1 Lv 2</v>
      </c>
      <c r="D1589" s="41" t="str">
        <f>_xlfn.XLOOKUP(tblCostChecklist[[#This Row],[TargetID]],tblTargets[TargetID],tblTargets[TargetType],"")</f>
        <v>COLLECTION</v>
      </c>
      <c r="E1589" s="41" t="s">
        <v>1802</v>
      </c>
      <c r="F1589" s="41">
        <v>1</v>
      </c>
      <c r="G1589" s="41">
        <f>_xlfn.XLOOKUP(
 tblCostChecklist[[#This Row],[RequirementID]],
 tblCost[RequirementID],
 tblCost[QuantityRequired],
 ""
)</f>
        <v>20</v>
      </c>
      <c r="H15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9" s="41" t="str">
        <f>_xlfn.XLOOKUP(tblCostChecklist[[#This Row],[TargetID]],tblTargetStatus[TargetID],tblTargetStatus[Status])</f>
        <v>BLOCKED</v>
      </c>
      <c r="J1589" s="25" t="b">
        <v>0</v>
      </c>
    </row>
    <row r="1590" spans="1:10">
      <c r="A1590" s="41" t="s">
        <v>5227</v>
      </c>
      <c r="B1590" s="41" t="str">
        <f>_xlfn.TEXTAFTER(
 _xlfn.TEXTBEFORE(tblCostChecklist[[#This Row],[RequirementID]],".",-2),
 "cost."
)</f>
        <v>collection.pantry_1@2</v>
      </c>
      <c r="C1590" s="41" t="str">
        <f>_xlfn.XLOOKUP(tblCostChecklist[[#This Row],[TargetID]],tblTargets[TargetID],tblTargets[DisplayName],"")</f>
        <v>Pantry 1 Lv 2</v>
      </c>
      <c r="D1590" s="41" t="str">
        <f>_xlfn.XLOOKUP(tblCostChecklist[[#This Row],[TargetID]],tblTargets[TargetID],tblTargets[TargetType],"")</f>
        <v>COLLECTION</v>
      </c>
      <c r="E1590" s="41" t="s">
        <v>934</v>
      </c>
      <c r="F1590" s="41">
        <v>1</v>
      </c>
      <c r="G1590" s="41">
        <f>_xlfn.XLOOKUP(
 tblCostChecklist[[#This Row],[RequirementID]],
 tblCost[RequirementID],
 tblCost[QuantityRequired],
 ""
)</f>
        <v>80</v>
      </c>
      <c r="H15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0" s="41" t="str">
        <f>_xlfn.XLOOKUP(tblCostChecklist[[#This Row],[TargetID]],tblTargetStatus[TargetID],tblTargetStatus[Status])</f>
        <v>BLOCKED</v>
      </c>
      <c r="J1590" s="25" t="b">
        <v>0</v>
      </c>
    </row>
    <row r="1591" spans="1:10">
      <c r="A1591" s="41" t="s">
        <v>5228</v>
      </c>
      <c r="B1591" s="41" t="str">
        <f>_xlfn.TEXTAFTER(
 _xlfn.TEXTBEFORE(tblCostChecklist[[#This Row],[RequirementID]],".",-2),
 "cost."
)</f>
        <v>collection.pantry_1@2</v>
      </c>
      <c r="C1591" s="41" t="str">
        <f>_xlfn.XLOOKUP(tblCostChecklist[[#This Row],[TargetID]],tblTargets[TargetID],tblTargets[DisplayName],"")</f>
        <v>Pantry 1 Lv 2</v>
      </c>
      <c r="D1591" s="41" t="str">
        <f>_xlfn.XLOOKUP(tblCostChecklist[[#This Row],[TargetID]],tblTargets[TargetID],tblTargets[TargetType],"")</f>
        <v>COLLECTION</v>
      </c>
      <c r="E1591" s="41" t="s">
        <v>674</v>
      </c>
      <c r="F1591" s="41">
        <v>1</v>
      </c>
      <c r="G1591" s="41">
        <f>_xlfn.XLOOKUP(
 tblCostChecklist[[#This Row],[RequirementID]],
 tblCost[RequirementID],
 tblCost[QuantityRequired],
 ""
)</f>
        <v>20</v>
      </c>
      <c r="H15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1" s="41" t="str">
        <f>_xlfn.XLOOKUP(tblCostChecklist[[#This Row],[TargetID]],tblTargetStatus[TargetID],tblTargetStatus[Status])</f>
        <v>BLOCKED</v>
      </c>
      <c r="J1591" s="25" t="b">
        <v>0</v>
      </c>
    </row>
    <row r="1592" spans="1:10">
      <c r="A1592" s="41" t="s">
        <v>5229</v>
      </c>
      <c r="B1592" s="41" t="str">
        <f>_xlfn.TEXTAFTER(
 _xlfn.TEXTBEFORE(tblCostChecklist[[#This Row],[RequirementID]],".",-2),
 "cost."
)</f>
        <v>collection.pantry_1@2</v>
      </c>
      <c r="C1592" s="41" t="str">
        <f>_xlfn.XLOOKUP(tblCostChecklist[[#This Row],[TargetID]],tblTargets[TargetID],tblTargets[DisplayName],"")</f>
        <v>Pantry 1 Lv 2</v>
      </c>
      <c r="D1592" s="41" t="str">
        <f>_xlfn.XLOOKUP(tblCostChecklist[[#This Row],[TargetID]],tblTargets[TargetID],tblTargets[TargetType],"")</f>
        <v>COLLECTION</v>
      </c>
      <c r="E1592" s="41" t="s">
        <v>697</v>
      </c>
      <c r="F1592" s="41">
        <v>1</v>
      </c>
      <c r="G1592" s="41">
        <f>_xlfn.XLOOKUP(
 tblCostChecklist[[#This Row],[RequirementID]],
 tblCost[RequirementID],
 tblCost[QuantityRequired],
 ""
)</f>
        <v>20</v>
      </c>
      <c r="H15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2" s="41" t="str">
        <f>_xlfn.XLOOKUP(tblCostChecklist[[#This Row],[TargetID]],tblTargetStatus[TargetID],tblTargetStatus[Status])</f>
        <v>BLOCKED</v>
      </c>
      <c r="J1592" s="25" t="b">
        <v>0</v>
      </c>
    </row>
    <row r="1593" spans="1:10">
      <c r="A1593" s="41" t="s">
        <v>5230</v>
      </c>
      <c r="B1593" s="41" t="str">
        <f>_xlfn.TEXTAFTER(
 _xlfn.TEXTBEFORE(tblCostChecklist[[#This Row],[RequirementID]],".",-2),
 "cost."
)</f>
        <v>collection.pantry_1@2</v>
      </c>
      <c r="C1593" s="41" t="str">
        <f>_xlfn.XLOOKUP(tblCostChecklist[[#This Row],[TargetID]],tblTargets[TargetID],tblTargets[DisplayName],"")</f>
        <v>Pantry 1 Lv 2</v>
      </c>
      <c r="D1593" s="41" t="str">
        <f>_xlfn.XLOOKUP(tblCostChecklist[[#This Row],[TargetID]],tblTargets[TargetID],tblTargets[TargetType],"")</f>
        <v>COLLECTION</v>
      </c>
      <c r="E1593" s="41" t="s">
        <v>707</v>
      </c>
      <c r="F1593" s="41">
        <v>1</v>
      </c>
      <c r="G1593" s="41">
        <f>_xlfn.XLOOKUP(
 tblCostChecklist[[#This Row],[RequirementID]],
 tblCost[RequirementID],
 tblCost[QuantityRequired],
 ""
)</f>
        <v>80</v>
      </c>
      <c r="H15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3" s="41" t="str">
        <f>_xlfn.XLOOKUP(tblCostChecklist[[#This Row],[TargetID]],tblTargetStatus[TargetID],tblTargetStatus[Status])</f>
        <v>BLOCKED</v>
      </c>
      <c r="J1593" s="25" t="b">
        <v>0</v>
      </c>
    </row>
    <row r="1594" spans="1:10">
      <c r="A1594" s="41" t="s">
        <v>5231</v>
      </c>
      <c r="B1594" s="41" t="str">
        <f>_xlfn.TEXTAFTER(
 _xlfn.TEXTBEFORE(tblCostChecklist[[#This Row],[RequirementID]],".",-2),
 "cost."
)</f>
        <v>collection.pantry_1@2</v>
      </c>
      <c r="C1594" s="41" t="str">
        <f>_xlfn.XLOOKUP(tblCostChecklist[[#This Row],[TargetID]],tblTargets[TargetID],tblTargets[DisplayName],"")</f>
        <v>Pantry 1 Lv 2</v>
      </c>
      <c r="D1594" s="41" t="str">
        <f>_xlfn.XLOOKUP(tblCostChecklist[[#This Row],[TargetID]],tblTargets[TargetID],tblTargets[TargetType],"")</f>
        <v>COLLECTION</v>
      </c>
      <c r="E1594" s="41" t="s">
        <v>948</v>
      </c>
      <c r="F1594" s="41">
        <v>1</v>
      </c>
      <c r="G1594" s="41">
        <f>_xlfn.XLOOKUP(
 tblCostChecklist[[#This Row],[RequirementID]],
 tblCost[RequirementID],
 tblCost[QuantityRequired],
 ""
)</f>
        <v>20</v>
      </c>
      <c r="H15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4" s="41" t="str">
        <f>_xlfn.XLOOKUP(tblCostChecklist[[#This Row],[TargetID]],tblTargetStatus[TargetID],tblTargetStatus[Status])</f>
        <v>BLOCKED</v>
      </c>
      <c r="J1594" s="25" t="b">
        <v>0</v>
      </c>
    </row>
    <row r="1595" spans="1:10">
      <c r="A1595" s="41" t="s">
        <v>5232</v>
      </c>
      <c r="B1595" s="41" t="str">
        <f>_xlfn.TEXTAFTER(
 _xlfn.TEXTBEFORE(tblCostChecklist[[#This Row],[RequirementID]],".",-2),
 "cost."
)</f>
        <v>collection.pantry_1@2</v>
      </c>
      <c r="C1595" s="41" t="str">
        <f>_xlfn.XLOOKUP(tblCostChecklist[[#This Row],[TargetID]],tblTargets[TargetID],tblTargets[DisplayName],"")</f>
        <v>Pantry 1 Lv 2</v>
      </c>
      <c r="D1595" s="41" t="str">
        <f>_xlfn.XLOOKUP(tblCostChecklist[[#This Row],[TargetID]],tblTargets[TargetID],tblTargets[TargetType],"")</f>
        <v>COLLECTION</v>
      </c>
      <c r="E1595" s="41" t="s">
        <v>711</v>
      </c>
      <c r="F1595" s="41">
        <v>1</v>
      </c>
      <c r="G1595" s="41">
        <f>_xlfn.XLOOKUP(
 tblCostChecklist[[#This Row],[RequirementID]],
 tblCost[RequirementID],
 tblCost[QuantityRequired],
 ""
)</f>
        <v>20</v>
      </c>
      <c r="H15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5" s="41" t="str">
        <f>_xlfn.XLOOKUP(tblCostChecklist[[#This Row],[TargetID]],tblTargetStatus[TargetID],tblTargetStatus[Status])</f>
        <v>BLOCKED</v>
      </c>
      <c r="J1595" s="25" t="b">
        <v>0</v>
      </c>
    </row>
    <row r="1596" spans="1:10">
      <c r="A1596" s="41" t="s">
        <v>5233</v>
      </c>
      <c r="B1596" s="41" t="str">
        <f>_xlfn.TEXTAFTER(
 _xlfn.TEXTBEFORE(tblCostChecklist[[#This Row],[RequirementID]],".",-2),
 "cost."
)</f>
        <v>collection.pantry_1@2</v>
      </c>
      <c r="C1596" s="41" t="str">
        <f>_xlfn.XLOOKUP(tblCostChecklist[[#This Row],[TargetID]],tblTargets[TargetID],tblTargets[DisplayName],"")</f>
        <v>Pantry 1 Lv 2</v>
      </c>
      <c r="D1596" s="41" t="str">
        <f>_xlfn.XLOOKUP(tblCostChecklist[[#This Row],[TargetID]],tblTargets[TargetID],tblTargets[TargetType],"")</f>
        <v>COLLECTION</v>
      </c>
      <c r="E1596" s="41" t="s">
        <v>715</v>
      </c>
      <c r="F1596" s="41">
        <v>1</v>
      </c>
      <c r="G1596" s="41">
        <f>_xlfn.XLOOKUP(
 tblCostChecklist[[#This Row],[RequirementID]],
 tblCost[RequirementID],
 tblCost[QuantityRequired],
 ""
)</f>
        <v>10</v>
      </c>
      <c r="H15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6" s="41" t="str">
        <f>_xlfn.XLOOKUP(tblCostChecklist[[#This Row],[TargetID]],tblTargetStatus[TargetID],tblTargetStatus[Status])</f>
        <v>BLOCKED</v>
      </c>
      <c r="J1596" s="25" t="b">
        <v>0</v>
      </c>
    </row>
    <row r="1597" spans="1:10">
      <c r="A1597" s="41" t="s">
        <v>5234</v>
      </c>
      <c r="B1597" s="41" t="str">
        <f>_xlfn.TEXTAFTER(
 _xlfn.TEXTBEFORE(tblCostChecklist[[#This Row],[RequirementID]],".",-2),
 "cost."
)</f>
        <v>collection.pantry_1@2</v>
      </c>
      <c r="C1597" s="41" t="str">
        <f>_xlfn.XLOOKUP(tblCostChecklist[[#This Row],[TargetID]],tblTargets[TargetID],tblTargets[DisplayName],"")</f>
        <v>Pantry 1 Lv 2</v>
      </c>
      <c r="D1597" s="41" t="str">
        <f>_xlfn.XLOOKUP(tblCostChecklist[[#This Row],[TargetID]],tblTargets[TargetID],tblTargets[TargetType],"")</f>
        <v>COLLECTION</v>
      </c>
      <c r="E1597" s="41" t="s">
        <v>719</v>
      </c>
      <c r="F1597" s="41">
        <v>1</v>
      </c>
      <c r="G1597" s="41">
        <f>_xlfn.XLOOKUP(
 tblCostChecklist[[#This Row],[RequirementID]],
 tblCost[RequirementID],
 tblCost[QuantityRequired],
 ""
)</f>
        <v>20</v>
      </c>
      <c r="H15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7" s="41" t="str">
        <f>_xlfn.XLOOKUP(tblCostChecklist[[#This Row],[TargetID]],tblTargetStatus[TargetID],tblTargetStatus[Status])</f>
        <v>BLOCKED</v>
      </c>
      <c r="J1597" s="25" t="b">
        <v>0</v>
      </c>
    </row>
    <row r="1598" spans="1:10">
      <c r="A1598" s="41" t="s">
        <v>5235</v>
      </c>
      <c r="B1598" s="41" t="str">
        <f>_xlfn.TEXTAFTER(
 _xlfn.TEXTBEFORE(tblCostChecklist[[#This Row],[RequirementID]],".",-2),
 "cost."
)</f>
        <v>collection.pantry_1@2</v>
      </c>
      <c r="C1598" s="41" t="str">
        <f>_xlfn.XLOOKUP(tblCostChecklist[[#This Row],[TargetID]],tblTargets[TargetID],tblTargets[DisplayName],"")</f>
        <v>Pantry 1 Lv 2</v>
      </c>
      <c r="D1598" s="41" t="str">
        <f>_xlfn.XLOOKUP(tblCostChecklist[[#This Row],[TargetID]],tblTargets[TargetID],tblTargets[TargetType],"")</f>
        <v>COLLECTION</v>
      </c>
      <c r="E1598" s="41" t="s">
        <v>956</v>
      </c>
      <c r="F1598" s="41">
        <v>1</v>
      </c>
      <c r="G1598" s="41">
        <f>_xlfn.XLOOKUP(
 tblCostChecklist[[#This Row],[RequirementID]],
 tblCost[RequirementID],
 tblCost[QuantityRequired],
 ""
)</f>
        <v>10</v>
      </c>
      <c r="H15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8" s="41" t="str">
        <f>_xlfn.XLOOKUP(tblCostChecklist[[#This Row],[TargetID]],tblTargetStatus[TargetID],tblTargetStatus[Status])</f>
        <v>BLOCKED</v>
      </c>
      <c r="J1598" s="25" t="b">
        <v>0</v>
      </c>
    </row>
    <row r="1599" spans="1:10">
      <c r="A1599" s="41" t="s">
        <v>5236</v>
      </c>
      <c r="B1599" s="41" t="str">
        <f>_xlfn.TEXTAFTER(
 _xlfn.TEXTBEFORE(tblCostChecklist[[#This Row],[RequirementID]],".",-2),
 "cost."
)</f>
        <v>collection.pantry_1@3</v>
      </c>
      <c r="C1599" s="41" t="str">
        <f>_xlfn.XLOOKUP(tblCostChecklist[[#This Row],[TargetID]],tblTargets[TargetID],tblTargets[DisplayName],"")</f>
        <v>Pantry 1 Lv 3</v>
      </c>
      <c r="D1599" s="41" t="str">
        <f>_xlfn.XLOOKUP(tblCostChecklist[[#This Row],[TargetID]],tblTargets[TargetID],tblTargets[TargetType],"")</f>
        <v>COLLECTION</v>
      </c>
      <c r="E1599" s="41" t="s">
        <v>1790</v>
      </c>
      <c r="F1599" s="41">
        <v>1</v>
      </c>
      <c r="G1599" s="41">
        <f>_xlfn.XLOOKUP(
 tblCostChecklist[[#This Row],[RequirementID]],
 tblCost[RequirementID],
 tblCost[QuantityRequired],
 ""
)</f>
        <v>15</v>
      </c>
      <c r="H15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9" s="41" t="str">
        <f>_xlfn.XLOOKUP(tblCostChecklist[[#This Row],[TargetID]],tblTargetStatus[TargetID],tblTargetStatus[Status])</f>
        <v>BLOCKED</v>
      </c>
      <c r="J1599" s="25" t="b">
        <v>0</v>
      </c>
    </row>
    <row r="1600" spans="1:10">
      <c r="A1600" s="41" t="s">
        <v>5237</v>
      </c>
      <c r="B1600" s="41" t="str">
        <f>_xlfn.TEXTAFTER(
 _xlfn.TEXTBEFORE(tblCostChecklist[[#This Row],[RequirementID]],".",-2),
 "cost."
)</f>
        <v>collection.pantry_1@3</v>
      </c>
      <c r="C1600" s="41" t="str">
        <f>_xlfn.XLOOKUP(tblCostChecklist[[#This Row],[TargetID]],tblTargets[TargetID],tblTargets[DisplayName],"")</f>
        <v>Pantry 1 Lv 3</v>
      </c>
      <c r="D1600" s="41" t="str">
        <f>_xlfn.XLOOKUP(tblCostChecklist[[#This Row],[TargetID]],tblTargets[TargetID],tblTargets[TargetType],"")</f>
        <v>COLLECTION</v>
      </c>
      <c r="E1600" s="41" t="s">
        <v>659</v>
      </c>
      <c r="F1600" s="41">
        <v>1</v>
      </c>
      <c r="G1600" s="41">
        <f>_xlfn.XLOOKUP(
 tblCostChecklist[[#This Row],[RequirementID]],
 tblCost[RequirementID],
 tblCost[QuantityRequired],
 ""
)</f>
        <v>30</v>
      </c>
      <c r="H16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0" s="41" t="str">
        <f>_xlfn.XLOOKUP(tblCostChecklist[[#This Row],[TargetID]],tblTargetStatus[TargetID],tblTargetStatus[Status])</f>
        <v>BLOCKED</v>
      </c>
      <c r="J1600" s="25" t="b">
        <v>0</v>
      </c>
    </row>
    <row r="1601" spans="1:10">
      <c r="A1601" s="41" t="s">
        <v>5238</v>
      </c>
      <c r="B1601" s="41" t="str">
        <f>_xlfn.TEXTAFTER(
 _xlfn.TEXTBEFORE(tblCostChecklist[[#This Row],[RequirementID]],".",-2),
 "cost."
)</f>
        <v>collection.pantry_1@3</v>
      </c>
      <c r="C1601" s="41" t="str">
        <f>_xlfn.XLOOKUP(tblCostChecklist[[#This Row],[TargetID]],tblTargets[TargetID],tblTargets[DisplayName],"")</f>
        <v>Pantry 1 Lv 3</v>
      </c>
      <c r="D1601" s="41" t="str">
        <f>_xlfn.XLOOKUP(tblCostChecklist[[#This Row],[TargetID]],tblTargets[TargetID],tblTargets[TargetType],"")</f>
        <v>COLLECTION</v>
      </c>
      <c r="E1601" s="41" t="s">
        <v>1802</v>
      </c>
      <c r="F1601" s="41">
        <v>1</v>
      </c>
      <c r="G1601" s="41">
        <f>_xlfn.XLOOKUP(
 tblCostChecklist[[#This Row],[RequirementID]],
 tblCost[RequirementID],
 tblCost[QuantityRequired],
 ""
)</f>
        <v>30</v>
      </c>
      <c r="H16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1" s="41" t="str">
        <f>_xlfn.XLOOKUP(tblCostChecklist[[#This Row],[TargetID]],tblTargetStatus[TargetID],tblTargetStatus[Status])</f>
        <v>BLOCKED</v>
      </c>
      <c r="J1601" s="25" t="b">
        <v>0</v>
      </c>
    </row>
    <row r="1602" spans="1:10">
      <c r="A1602" s="41" t="s">
        <v>5239</v>
      </c>
      <c r="B1602" s="41" t="str">
        <f>_xlfn.TEXTAFTER(
 _xlfn.TEXTBEFORE(tblCostChecklist[[#This Row],[RequirementID]],".",-2),
 "cost."
)</f>
        <v>collection.pantry_1@3</v>
      </c>
      <c r="C1602" s="41" t="str">
        <f>_xlfn.XLOOKUP(tblCostChecklist[[#This Row],[TargetID]],tblTargets[TargetID],tblTargets[DisplayName],"")</f>
        <v>Pantry 1 Lv 3</v>
      </c>
      <c r="D1602" s="41" t="str">
        <f>_xlfn.XLOOKUP(tblCostChecklist[[#This Row],[TargetID]],tblTargets[TargetID],tblTargets[TargetType],"")</f>
        <v>COLLECTION</v>
      </c>
      <c r="E1602" s="41" t="s">
        <v>934</v>
      </c>
      <c r="F1602" s="41">
        <v>1</v>
      </c>
      <c r="G1602" s="41">
        <f>_xlfn.XLOOKUP(
 tblCostChecklist[[#This Row],[RequirementID]],
 tblCost[RequirementID],
 tblCost[QuantityRequired],
 ""
)</f>
        <v>120</v>
      </c>
      <c r="H16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2" s="41" t="str">
        <f>_xlfn.XLOOKUP(tblCostChecklist[[#This Row],[TargetID]],tblTargetStatus[TargetID],tblTargetStatus[Status])</f>
        <v>BLOCKED</v>
      </c>
      <c r="J1602" s="25" t="b">
        <v>0</v>
      </c>
    </row>
    <row r="1603" spans="1:10">
      <c r="A1603" s="41" t="s">
        <v>5240</v>
      </c>
      <c r="B1603" s="41" t="str">
        <f>_xlfn.TEXTAFTER(
 _xlfn.TEXTBEFORE(tblCostChecklist[[#This Row],[RequirementID]],".",-2),
 "cost."
)</f>
        <v>collection.pantry_1@3</v>
      </c>
      <c r="C1603" s="41" t="str">
        <f>_xlfn.XLOOKUP(tblCostChecklist[[#This Row],[TargetID]],tblTargets[TargetID],tblTargets[DisplayName],"")</f>
        <v>Pantry 1 Lv 3</v>
      </c>
      <c r="D1603" s="41" t="str">
        <f>_xlfn.XLOOKUP(tblCostChecklist[[#This Row],[TargetID]],tblTargets[TargetID],tblTargets[TargetType],"")</f>
        <v>COLLECTION</v>
      </c>
      <c r="E1603" s="41" t="s">
        <v>674</v>
      </c>
      <c r="F1603" s="41">
        <v>1</v>
      </c>
      <c r="G1603" s="41">
        <f>_xlfn.XLOOKUP(
 tblCostChecklist[[#This Row],[RequirementID]],
 tblCost[RequirementID],
 tblCost[QuantityRequired],
 ""
)</f>
        <v>30</v>
      </c>
      <c r="H16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3" s="41" t="str">
        <f>_xlfn.XLOOKUP(tblCostChecklist[[#This Row],[TargetID]],tblTargetStatus[TargetID],tblTargetStatus[Status])</f>
        <v>BLOCKED</v>
      </c>
      <c r="J1603" s="25" t="b">
        <v>0</v>
      </c>
    </row>
    <row r="1604" spans="1:10">
      <c r="A1604" s="41" t="s">
        <v>5241</v>
      </c>
      <c r="B1604" s="41" t="str">
        <f>_xlfn.TEXTAFTER(
 _xlfn.TEXTBEFORE(tblCostChecklist[[#This Row],[RequirementID]],".",-2),
 "cost."
)</f>
        <v>collection.pantry_1@3</v>
      </c>
      <c r="C1604" s="41" t="str">
        <f>_xlfn.XLOOKUP(tblCostChecklist[[#This Row],[TargetID]],tblTargets[TargetID],tblTargets[DisplayName],"")</f>
        <v>Pantry 1 Lv 3</v>
      </c>
      <c r="D1604" s="41" t="str">
        <f>_xlfn.XLOOKUP(tblCostChecklist[[#This Row],[TargetID]],tblTargets[TargetID],tblTargets[TargetType],"")</f>
        <v>COLLECTION</v>
      </c>
      <c r="E1604" s="41" t="s">
        <v>697</v>
      </c>
      <c r="F1604" s="41">
        <v>1</v>
      </c>
      <c r="G1604" s="41">
        <f>_xlfn.XLOOKUP(
 tblCostChecklist[[#This Row],[RequirementID]],
 tblCost[RequirementID],
 tblCost[QuantityRequired],
 ""
)</f>
        <v>30</v>
      </c>
      <c r="H16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4" s="41" t="str">
        <f>_xlfn.XLOOKUP(tblCostChecklist[[#This Row],[TargetID]],tblTargetStatus[TargetID],tblTargetStatus[Status])</f>
        <v>BLOCKED</v>
      </c>
      <c r="J1604" s="25" t="b">
        <v>0</v>
      </c>
    </row>
    <row r="1605" spans="1:10">
      <c r="A1605" s="41" t="s">
        <v>5242</v>
      </c>
      <c r="B1605" s="41" t="str">
        <f>_xlfn.TEXTAFTER(
 _xlfn.TEXTBEFORE(tblCostChecklist[[#This Row],[RequirementID]],".",-2),
 "cost."
)</f>
        <v>collection.pantry_1@3</v>
      </c>
      <c r="C1605" s="41" t="str">
        <f>_xlfn.XLOOKUP(tblCostChecklist[[#This Row],[TargetID]],tblTargets[TargetID],tblTargets[DisplayName],"")</f>
        <v>Pantry 1 Lv 3</v>
      </c>
      <c r="D1605" s="41" t="str">
        <f>_xlfn.XLOOKUP(tblCostChecklist[[#This Row],[TargetID]],tblTargets[TargetID],tblTargets[TargetType],"")</f>
        <v>COLLECTION</v>
      </c>
      <c r="E1605" s="41" t="s">
        <v>707</v>
      </c>
      <c r="F1605" s="41">
        <v>1</v>
      </c>
      <c r="G1605" s="41">
        <f>_xlfn.XLOOKUP(
 tblCostChecklist[[#This Row],[RequirementID]],
 tblCost[RequirementID],
 tblCost[QuantityRequired],
 ""
)</f>
        <v>120</v>
      </c>
      <c r="H16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5" s="41" t="str">
        <f>_xlfn.XLOOKUP(tblCostChecklist[[#This Row],[TargetID]],tblTargetStatus[TargetID],tblTargetStatus[Status])</f>
        <v>BLOCKED</v>
      </c>
      <c r="J1605" s="25" t="b">
        <v>0</v>
      </c>
    </row>
    <row r="1606" spans="1:10">
      <c r="A1606" s="41" t="s">
        <v>5243</v>
      </c>
      <c r="B1606" s="41" t="str">
        <f>_xlfn.TEXTAFTER(
 _xlfn.TEXTBEFORE(tblCostChecklist[[#This Row],[RequirementID]],".",-2),
 "cost."
)</f>
        <v>collection.pantry_1@3</v>
      </c>
      <c r="C1606" s="41" t="str">
        <f>_xlfn.XLOOKUP(tblCostChecklist[[#This Row],[TargetID]],tblTargets[TargetID],tblTargets[DisplayName],"")</f>
        <v>Pantry 1 Lv 3</v>
      </c>
      <c r="D1606" s="41" t="str">
        <f>_xlfn.XLOOKUP(tblCostChecklist[[#This Row],[TargetID]],tblTargets[TargetID],tblTargets[TargetType],"")</f>
        <v>COLLECTION</v>
      </c>
      <c r="E1606" s="41" t="s">
        <v>948</v>
      </c>
      <c r="F1606" s="41">
        <v>1</v>
      </c>
      <c r="G1606" s="41">
        <f>_xlfn.XLOOKUP(
 tblCostChecklist[[#This Row],[RequirementID]],
 tblCost[RequirementID],
 tblCost[QuantityRequired],
 ""
)</f>
        <v>30</v>
      </c>
      <c r="H16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6" s="41" t="str">
        <f>_xlfn.XLOOKUP(tblCostChecklist[[#This Row],[TargetID]],tblTargetStatus[TargetID],tblTargetStatus[Status])</f>
        <v>BLOCKED</v>
      </c>
      <c r="J1606" s="25" t="b">
        <v>0</v>
      </c>
    </row>
    <row r="1607" spans="1:10">
      <c r="A1607" s="41" t="s">
        <v>5244</v>
      </c>
      <c r="B1607" s="41" t="str">
        <f>_xlfn.TEXTAFTER(
 _xlfn.TEXTBEFORE(tblCostChecklist[[#This Row],[RequirementID]],".",-2),
 "cost."
)</f>
        <v>collection.pantry_1@3</v>
      </c>
      <c r="C1607" s="41" t="str">
        <f>_xlfn.XLOOKUP(tblCostChecklist[[#This Row],[TargetID]],tblTargets[TargetID],tblTargets[DisplayName],"")</f>
        <v>Pantry 1 Lv 3</v>
      </c>
      <c r="D1607" s="41" t="str">
        <f>_xlfn.XLOOKUP(tblCostChecklist[[#This Row],[TargetID]],tblTargets[TargetID],tblTargets[TargetType],"")</f>
        <v>COLLECTION</v>
      </c>
      <c r="E1607" s="41" t="s">
        <v>711</v>
      </c>
      <c r="F1607" s="41">
        <v>1</v>
      </c>
      <c r="G1607" s="41">
        <f>_xlfn.XLOOKUP(
 tblCostChecklist[[#This Row],[RequirementID]],
 tblCost[RequirementID],
 tblCost[QuantityRequired],
 ""
)</f>
        <v>30</v>
      </c>
      <c r="H16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7" s="41" t="str">
        <f>_xlfn.XLOOKUP(tblCostChecklist[[#This Row],[TargetID]],tblTargetStatus[TargetID],tblTargetStatus[Status])</f>
        <v>BLOCKED</v>
      </c>
      <c r="J1607" s="25" t="b">
        <v>0</v>
      </c>
    </row>
    <row r="1608" spans="1:10">
      <c r="A1608" s="41" t="s">
        <v>5245</v>
      </c>
      <c r="B1608" s="41" t="str">
        <f>_xlfn.TEXTAFTER(
 _xlfn.TEXTBEFORE(tblCostChecklist[[#This Row],[RequirementID]],".",-2),
 "cost."
)</f>
        <v>collection.pantry_1@3</v>
      </c>
      <c r="C1608" s="41" t="str">
        <f>_xlfn.XLOOKUP(tblCostChecklist[[#This Row],[TargetID]],tblTargets[TargetID],tblTargets[DisplayName],"")</f>
        <v>Pantry 1 Lv 3</v>
      </c>
      <c r="D1608" s="41" t="str">
        <f>_xlfn.XLOOKUP(tblCostChecklist[[#This Row],[TargetID]],tblTargets[TargetID],tblTargets[TargetType],"")</f>
        <v>COLLECTION</v>
      </c>
      <c r="E1608" s="41" t="s">
        <v>715</v>
      </c>
      <c r="F1608" s="41">
        <v>1</v>
      </c>
      <c r="G1608" s="41">
        <f>_xlfn.XLOOKUP(
 tblCostChecklist[[#This Row],[RequirementID]],
 tblCost[RequirementID],
 tblCost[QuantityRequired],
 ""
)</f>
        <v>15</v>
      </c>
      <c r="H16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8" s="41" t="str">
        <f>_xlfn.XLOOKUP(tblCostChecklist[[#This Row],[TargetID]],tblTargetStatus[TargetID],tblTargetStatus[Status])</f>
        <v>BLOCKED</v>
      </c>
      <c r="J1608" s="25" t="b">
        <v>0</v>
      </c>
    </row>
    <row r="1609" spans="1:10">
      <c r="A1609" s="41" t="s">
        <v>5246</v>
      </c>
      <c r="B1609" s="41" t="str">
        <f>_xlfn.TEXTAFTER(
 _xlfn.TEXTBEFORE(tblCostChecklist[[#This Row],[RequirementID]],".",-2),
 "cost."
)</f>
        <v>collection.pantry_1@3</v>
      </c>
      <c r="C1609" s="41" t="str">
        <f>_xlfn.XLOOKUP(tblCostChecklist[[#This Row],[TargetID]],tblTargets[TargetID],tblTargets[DisplayName],"")</f>
        <v>Pantry 1 Lv 3</v>
      </c>
      <c r="D1609" s="41" t="str">
        <f>_xlfn.XLOOKUP(tblCostChecklist[[#This Row],[TargetID]],tblTargets[TargetID],tblTargets[TargetType],"")</f>
        <v>COLLECTION</v>
      </c>
      <c r="E1609" s="41" t="s">
        <v>719</v>
      </c>
      <c r="F1609" s="41">
        <v>1</v>
      </c>
      <c r="G1609" s="41">
        <f>_xlfn.XLOOKUP(
 tblCostChecklist[[#This Row],[RequirementID]],
 tblCost[RequirementID],
 tblCost[QuantityRequired],
 ""
)</f>
        <v>30</v>
      </c>
      <c r="H16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9" s="41" t="str">
        <f>_xlfn.XLOOKUP(tblCostChecklist[[#This Row],[TargetID]],tblTargetStatus[TargetID],tblTargetStatus[Status])</f>
        <v>BLOCKED</v>
      </c>
      <c r="J1609" s="25" t="b">
        <v>0</v>
      </c>
    </row>
    <row r="1610" spans="1:10">
      <c r="A1610" s="41" t="s">
        <v>5247</v>
      </c>
      <c r="B1610" s="41" t="str">
        <f>_xlfn.TEXTAFTER(
 _xlfn.TEXTBEFORE(tblCostChecklist[[#This Row],[RequirementID]],".",-2),
 "cost."
)</f>
        <v>collection.pantry_1@3</v>
      </c>
      <c r="C1610" s="41" t="str">
        <f>_xlfn.XLOOKUP(tblCostChecklist[[#This Row],[TargetID]],tblTargets[TargetID],tblTargets[DisplayName],"")</f>
        <v>Pantry 1 Lv 3</v>
      </c>
      <c r="D1610" s="41" t="str">
        <f>_xlfn.XLOOKUP(tblCostChecklist[[#This Row],[TargetID]],tblTargets[TargetID],tblTargets[TargetType],"")</f>
        <v>COLLECTION</v>
      </c>
      <c r="E1610" s="41" t="s">
        <v>956</v>
      </c>
      <c r="F1610" s="41">
        <v>1</v>
      </c>
      <c r="G1610" s="41">
        <f>_xlfn.XLOOKUP(
 tblCostChecklist[[#This Row],[RequirementID]],
 tblCost[RequirementID],
 tblCost[QuantityRequired],
 ""
)</f>
        <v>15</v>
      </c>
      <c r="H16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0" s="41" t="str">
        <f>_xlfn.XLOOKUP(tblCostChecklist[[#This Row],[TargetID]],tblTargetStatus[TargetID],tblTargetStatus[Status])</f>
        <v>BLOCKED</v>
      </c>
      <c r="J1610" s="25" t="b">
        <v>0</v>
      </c>
    </row>
    <row r="1611" spans="1:10">
      <c r="A1611" s="41" t="s">
        <v>5248</v>
      </c>
      <c r="B1611" s="41" t="str">
        <f>_xlfn.TEXTAFTER(
 _xlfn.TEXTBEFORE(tblCostChecklist[[#This Row],[RequirementID]],".",-2),
 "cost."
)</f>
        <v>collection.pantry_1@4</v>
      </c>
      <c r="C1611" s="41" t="str">
        <f>_xlfn.XLOOKUP(tblCostChecklist[[#This Row],[TargetID]],tblTargets[TargetID],tblTargets[DisplayName],"")</f>
        <v>Pantry 1 Lv 4</v>
      </c>
      <c r="D1611" s="41" t="str">
        <f>_xlfn.XLOOKUP(tblCostChecklist[[#This Row],[TargetID]],tblTargets[TargetID],tblTargets[TargetType],"")</f>
        <v>COLLECTION</v>
      </c>
      <c r="E1611" s="41" t="s">
        <v>1790</v>
      </c>
      <c r="F1611" s="41">
        <v>1</v>
      </c>
      <c r="G1611" s="41">
        <f>_xlfn.XLOOKUP(
 tblCostChecklist[[#This Row],[RequirementID]],
 tblCost[RequirementID],
 tblCost[QuantityRequired],
 ""
)</f>
        <v>20</v>
      </c>
      <c r="H16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1" s="41" t="str">
        <f>_xlfn.XLOOKUP(tblCostChecklist[[#This Row],[TargetID]],tblTargetStatus[TargetID],tblTargetStatus[Status])</f>
        <v>BLOCKED</v>
      </c>
      <c r="J1611" s="25" t="b">
        <v>0</v>
      </c>
    </row>
    <row r="1612" spans="1:10">
      <c r="A1612" s="41" t="s">
        <v>5249</v>
      </c>
      <c r="B1612" s="41" t="str">
        <f>_xlfn.TEXTAFTER(
 _xlfn.TEXTBEFORE(tblCostChecklist[[#This Row],[RequirementID]],".",-2),
 "cost."
)</f>
        <v>collection.pantry_1@4</v>
      </c>
      <c r="C1612" s="41" t="str">
        <f>_xlfn.XLOOKUP(tblCostChecklist[[#This Row],[TargetID]],tblTargets[TargetID],tblTargets[DisplayName],"")</f>
        <v>Pantry 1 Lv 4</v>
      </c>
      <c r="D1612" s="41" t="str">
        <f>_xlfn.XLOOKUP(tblCostChecklist[[#This Row],[TargetID]],tblTargets[TargetID],tblTargets[TargetType],"")</f>
        <v>COLLECTION</v>
      </c>
      <c r="E1612" s="41" t="s">
        <v>659</v>
      </c>
      <c r="F1612" s="41">
        <v>1</v>
      </c>
      <c r="G1612" s="41">
        <f>_xlfn.XLOOKUP(
 tblCostChecklist[[#This Row],[RequirementID]],
 tblCost[RequirementID],
 tblCost[QuantityRequired],
 ""
)</f>
        <v>40</v>
      </c>
      <c r="H16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2" s="41" t="str">
        <f>_xlfn.XLOOKUP(tblCostChecklist[[#This Row],[TargetID]],tblTargetStatus[TargetID],tblTargetStatus[Status])</f>
        <v>BLOCKED</v>
      </c>
      <c r="J1612" s="25" t="b">
        <v>0</v>
      </c>
    </row>
    <row r="1613" spans="1:10">
      <c r="A1613" s="41" t="s">
        <v>5250</v>
      </c>
      <c r="B1613" s="41" t="str">
        <f>_xlfn.TEXTAFTER(
 _xlfn.TEXTBEFORE(tblCostChecklist[[#This Row],[RequirementID]],".",-2),
 "cost."
)</f>
        <v>collection.pantry_1@4</v>
      </c>
      <c r="C1613" s="41" t="str">
        <f>_xlfn.XLOOKUP(tblCostChecklist[[#This Row],[TargetID]],tblTargets[TargetID],tblTargets[DisplayName],"")</f>
        <v>Pantry 1 Lv 4</v>
      </c>
      <c r="D1613" s="41" t="str">
        <f>_xlfn.XLOOKUP(tblCostChecklist[[#This Row],[TargetID]],tblTargets[TargetID],tblTargets[TargetType],"")</f>
        <v>COLLECTION</v>
      </c>
      <c r="E1613" s="41" t="s">
        <v>1802</v>
      </c>
      <c r="F1613" s="41">
        <v>1</v>
      </c>
      <c r="G1613" s="41">
        <f>_xlfn.XLOOKUP(
 tblCostChecklist[[#This Row],[RequirementID]],
 tblCost[RequirementID],
 tblCost[QuantityRequired],
 ""
)</f>
        <v>40</v>
      </c>
      <c r="H16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3" s="41" t="str">
        <f>_xlfn.XLOOKUP(tblCostChecklist[[#This Row],[TargetID]],tblTargetStatus[TargetID],tblTargetStatus[Status])</f>
        <v>BLOCKED</v>
      </c>
      <c r="J1613" s="25" t="b">
        <v>0</v>
      </c>
    </row>
    <row r="1614" spans="1:10">
      <c r="A1614" s="41" t="s">
        <v>5251</v>
      </c>
      <c r="B1614" s="41" t="str">
        <f>_xlfn.TEXTAFTER(
 _xlfn.TEXTBEFORE(tblCostChecklist[[#This Row],[RequirementID]],".",-2),
 "cost."
)</f>
        <v>collection.pantry_1@4</v>
      </c>
      <c r="C1614" s="41" t="str">
        <f>_xlfn.XLOOKUP(tblCostChecklist[[#This Row],[TargetID]],tblTargets[TargetID],tblTargets[DisplayName],"")</f>
        <v>Pantry 1 Lv 4</v>
      </c>
      <c r="D1614" s="41" t="str">
        <f>_xlfn.XLOOKUP(tblCostChecklist[[#This Row],[TargetID]],tblTargets[TargetID],tblTargets[TargetType],"")</f>
        <v>COLLECTION</v>
      </c>
      <c r="E1614" s="41" t="s">
        <v>934</v>
      </c>
      <c r="F1614" s="41">
        <v>1</v>
      </c>
      <c r="G1614" s="41">
        <f>_xlfn.XLOOKUP(
 tblCostChecklist[[#This Row],[RequirementID]],
 tblCost[RequirementID],
 tblCost[QuantityRequired],
 ""
)</f>
        <v>160</v>
      </c>
      <c r="H16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4" s="41" t="str">
        <f>_xlfn.XLOOKUP(tblCostChecklist[[#This Row],[TargetID]],tblTargetStatus[TargetID],tblTargetStatus[Status])</f>
        <v>BLOCKED</v>
      </c>
      <c r="J1614" s="25" t="b">
        <v>0</v>
      </c>
    </row>
    <row r="1615" spans="1:10">
      <c r="A1615" s="41" t="s">
        <v>5252</v>
      </c>
      <c r="B1615" s="41" t="str">
        <f>_xlfn.TEXTAFTER(
 _xlfn.TEXTBEFORE(tblCostChecklist[[#This Row],[RequirementID]],".",-2),
 "cost."
)</f>
        <v>collection.pantry_1@4</v>
      </c>
      <c r="C1615" s="41" t="str">
        <f>_xlfn.XLOOKUP(tblCostChecklist[[#This Row],[TargetID]],tblTargets[TargetID],tblTargets[DisplayName],"")</f>
        <v>Pantry 1 Lv 4</v>
      </c>
      <c r="D1615" s="41" t="str">
        <f>_xlfn.XLOOKUP(tblCostChecklist[[#This Row],[TargetID]],tblTargets[TargetID],tblTargets[TargetType],"")</f>
        <v>COLLECTION</v>
      </c>
      <c r="E1615" s="41" t="s">
        <v>674</v>
      </c>
      <c r="F1615" s="41">
        <v>1</v>
      </c>
      <c r="G1615" s="41">
        <f>_xlfn.XLOOKUP(
 tblCostChecklist[[#This Row],[RequirementID]],
 tblCost[RequirementID],
 tblCost[QuantityRequired],
 ""
)</f>
        <v>40</v>
      </c>
      <c r="H16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5" s="41" t="str">
        <f>_xlfn.XLOOKUP(tblCostChecklist[[#This Row],[TargetID]],tblTargetStatus[TargetID],tblTargetStatus[Status])</f>
        <v>BLOCKED</v>
      </c>
      <c r="J1615" s="25" t="b">
        <v>0</v>
      </c>
    </row>
    <row r="1616" spans="1:10">
      <c r="A1616" s="41" t="s">
        <v>5253</v>
      </c>
      <c r="B1616" s="41" t="str">
        <f>_xlfn.TEXTAFTER(
 _xlfn.TEXTBEFORE(tblCostChecklist[[#This Row],[RequirementID]],".",-2),
 "cost."
)</f>
        <v>collection.pantry_1@4</v>
      </c>
      <c r="C1616" s="41" t="str">
        <f>_xlfn.XLOOKUP(tblCostChecklist[[#This Row],[TargetID]],tblTargets[TargetID],tblTargets[DisplayName],"")</f>
        <v>Pantry 1 Lv 4</v>
      </c>
      <c r="D1616" s="41" t="str">
        <f>_xlfn.XLOOKUP(tblCostChecklist[[#This Row],[TargetID]],tblTargets[TargetID],tblTargets[TargetType],"")</f>
        <v>COLLECTION</v>
      </c>
      <c r="E1616" s="41" t="s">
        <v>697</v>
      </c>
      <c r="F1616" s="41">
        <v>1</v>
      </c>
      <c r="G1616" s="41">
        <f>_xlfn.XLOOKUP(
 tblCostChecklist[[#This Row],[RequirementID]],
 tblCost[RequirementID],
 tblCost[QuantityRequired],
 ""
)</f>
        <v>40</v>
      </c>
      <c r="H16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6" s="41" t="str">
        <f>_xlfn.XLOOKUP(tblCostChecklist[[#This Row],[TargetID]],tblTargetStatus[TargetID],tblTargetStatus[Status])</f>
        <v>BLOCKED</v>
      </c>
      <c r="J1616" s="25" t="b">
        <v>0</v>
      </c>
    </row>
    <row r="1617" spans="1:10">
      <c r="A1617" s="41" t="s">
        <v>5254</v>
      </c>
      <c r="B1617" s="41" t="str">
        <f>_xlfn.TEXTAFTER(
 _xlfn.TEXTBEFORE(tblCostChecklist[[#This Row],[RequirementID]],".",-2),
 "cost."
)</f>
        <v>collection.pantry_1@4</v>
      </c>
      <c r="C1617" s="41" t="str">
        <f>_xlfn.XLOOKUP(tblCostChecklist[[#This Row],[TargetID]],tblTargets[TargetID],tblTargets[DisplayName],"")</f>
        <v>Pantry 1 Lv 4</v>
      </c>
      <c r="D1617" s="41" t="str">
        <f>_xlfn.XLOOKUP(tblCostChecklist[[#This Row],[TargetID]],tblTargets[TargetID],tblTargets[TargetType],"")</f>
        <v>COLLECTION</v>
      </c>
      <c r="E1617" s="41" t="s">
        <v>707</v>
      </c>
      <c r="F1617" s="41">
        <v>1</v>
      </c>
      <c r="G1617" s="41">
        <f>_xlfn.XLOOKUP(
 tblCostChecklist[[#This Row],[RequirementID]],
 tblCost[RequirementID],
 tblCost[QuantityRequired],
 ""
)</f>
        <v>160</v>
      </c>
      <c r="H16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7" s="41" t="str">
        <f>_xlfn.XLOOKUP(tblCostChecklist[[#This Row],[TargetID]],tblTargetStatus[TargetID],tblTargetStatus[Status])</f>
        <v>BLOCKED</v>
      </c>
      <c r="J1617" s="25" t="b">
        <v>0</v>
      </c>
    </row>
    <row r="1618" spans="1:10">
      <c r="A1618" s="41" t="s">
        <v>5255</v>
      </c>
      <c r="B1618" s="41" t="str">
        <f>_xlfn.TEXTAFTER(
 _xlfn.TEXTBEFORE(tblCostChecklist[[#This Row],[RequirementID]],".",-2),
 "cost."
)</f>
        <v>collection.pantry_1@4</v>
      </c>
      <c r="C1618" s="41" t="str">
        <f>_xlfn.XLOOKUP(tblCostChecklist[[#This Row],[TargetID]],tblTargets[TargetID],tblTargets[DisplayName],"")</f>
        <v>Pantry 1 Lv 4</v>
      </c>
      <c r="D1618" s="41" t="str">
        <f>_xlfn.XLOOKUP(tblCostChecklist[[#This Row],[TargetID]],tblTargets[TargetID],tblTargets[TargetType],"")</f>
        <v>COLLECTION</v>
      </c>
      <c r="E1618" s="41" t="s">
        <v>948</v>
      </c>
      <c r="F1618" s="41">
        <v>1</v>
      </c>
      <c r="G1618" s="41">
        <f>_xlfn.XLOOKUP(
 tblCostChecklist[[#This Row],[RequirementID]],
 tblCost[RequirementID],
 tblCost[QuantityRequired],
 ""
)</f>
        <v>40</v>
      </c>
      <c r="H16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8" s="41" t="str">
        <f>_xlfn.XLOOKUP(tblCostChecklist[[#This Row],[TargetID]],tblTargetStatus[TargetID],tblTargetStatus[Status])</f>
        <v>BLOCKED</v>
      </c>
      <c r="J1618" s="25" t="b">
        <v>0</v>
      </c>
    </row>
    <row r="1619" spans="1:10">
      <c r="A1619" s="41" t="s">
        <v>5256</v>
      </c>
      <c r="B1619" s="41" t="str">
        <f>_xlfn.TEXTAFTER(
 _xlfn.TEXTBEFORE(tblCostChecklist[[#This Row],[RequirementID]],".",-2),
 "cost."
)</f>
        <v>collection.pantry_1@4</v>
      </c>
      <c r="C1619" s="41" t="str">
        <f>_xlfn.XLOOKUP(tblCostChecklist[[#This Row],[TargetID]],tblTargets[TargetID],tblTargets[DisplayName],"")</f>
        <v>Pantry 1 Lv 4</v>
      </c>
      <c r="D1619" s="41" t="str">
        <f>_xlfn.XLOOKUP(tblCostChecklist[[#This Row],[TargetID]],tblTargets[TargetID],tblTargets[TargetType],"")</f>
        <v>COLLECTION</v>
      </c>
      <c r="E1619" s="41" t="s">
        <v>711</v>
      </c>
      <c r="F1619" s="41">
        <v>1</v>
      </c>
      <c r="G1619" s="41">
        <f>_xlfn.XLOOKUP(
 tblCostChecklist[[#This Row],[RequirementID]],
 tblCost[RequirementID],
 tblCost[QuantityRequired],
 ""
)</f>
        <v>40</v>
      </c>
      <c r="H16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9" s="41" t="str">
        <f>_xlfn.XLOOKUP(tblCostChecklist[[#This Row],[TargetID]],tblTargetStatus[TargetID],tblTargetStatus[Status])</f>
        <v>BLOCKED</v>
      </c>
      <c r="J1619" s="25" t="b">
        <v>0</v>
      </c>
    </row>
    <row r="1620" spans="1:10">
      <c r="A1620" s="41" t="s">
        <v>5257</v>
      </c>
      <c r="B1620" s="41" t="str">
        <f>_xlfn.TEXTAFTER(
 _xlfn.TEXTBEFORE(tblCostChecklist[[#This Row],[RequirementID]],".",-2),
 "cost."
)</f>
        <v>collection.pantry_1@4</v>
      </c>
      <c r="C1620" s="41" t="str">
        <f>_xlfn.XLOOKUP(tblCostChecklist[[#This Row],[TargetID]],tblTargets[TargetID],tblTargets[DisplayName],"")</f>
        <v>Pantry 1 Lv 4</v>
      </c>
      <c r="D1620" s="41" t="str">
        <f>_xlfn.XLOOKUP(tblCostChecklist[[#This Row],[TargetID]],tblTargets[TargetID],tblTargets[TargetType],"")</f>
        <v>COLLECTION</v>
      </c>
      <c r="E1620" s="41" t="s">
        <v>715</v>
      </c>
      <c r="F1620" s="41">
        <v>1</v>
      </c>
      <c r="G1620" s="41">
        <f>_xlfn.XLOOKUP(
 tblCostChecklist[[#This Row],[RequirementID]],
 tblCost[RequirementID],
 tblCost[QuantityRequired],
 ""
)</f>
        <v>20</v>
      </c>
      <c r="H16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20" s="41" t="str">
        <f>_xlfn.XLOOKUP(tblCostChecklist[[#This Row],[TargetID]],tblTargetStatus[TargetID],tblTargetStatus[Status])</f>
        <v>BLOCKED</v>
      </c>
      <c r="J1620" s="25" t="b">
        <v>0</v>
      </c>
    </row>
    <row r="1621" spans="1:10">
      <c r="A1621" s="41" t="s">
        <v>5258</v>
      </c>
      <c r="B1621" s="41" t="str">
        <f>_xlfn.TEXTAFTER(
 _xlfn.TEXTBEFORE(tblCostChecklist[[#This Row],[RequirementID]],".",-2),
 "cost."
)</f>
        <v>collection.pantry_1@4</v>
      </c>
      <c r="C1621" s="41" t="str">
        <f>_xlfn.XLOOKUP(tblCostChecklist[[#This Row],[TargetID]],tblTargets[TargetID],tblTargets[DisplayName],"")</f>
        <v>Pantry 1 Lv 4</v>
      </c>
      <c r="D1621" s="41" t="str">
        <f>_xlfn.XLOOKUP(tblCostChecklist[[#This Row],[TargetID]],tblTargets[TargetID],tblTargets[TargetType],"")</f>
        <v>COLLECTION</v>
      </c>
      <c r="E1621" s="41" t="s">
        <v>719</v>
      </c>
      <c r="F1621" s="41">
        <v>1</v>
      </c>
      <c r="G1621" s="41">
        <f>_xlfn.XLOOKUP(
 tblCostChecklist[[#This Row],[RequirementID]],
 tblCost[RequirementID],
 tblCost[QuantityRequired],
 ""
)</f>
        <v>40</v>
      </c>
      <c r="H16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21" s="41" t="str">
        <f>_xlfn.XLOOKUP(tblCostChecklist[[#This Row],[TargetID]],tblTargetStatus[TargetID],tblTargetStatus[Status])</f>
        <v>BLOCKED</v>
      </c>
      <c r="J1621" s="25" t="b">
        <v>0</v>
      </c>
    </row>
    <row r="1622" spans="1:10">
      <c r="A1622" s="41" t="s">
        <v>5259</v>
      </c>
      <c r="B1622" s="41" t="str">
        <f>_xlfn.TEXTAFTER(
 _xlfn.TEXTBEFORE(tblCostChecklist[[#This Row],[RequirementID]],".",-2),
 "cost."
)</f>
        <v>collection.pantry_1@4</v>
      </c>
      <c r="C1622" s="41" t="str">
        <f>_xlfn.XLOOKUP(tblCostChecklist[[#This Row],[TargetID]],tblTargets[TargetID],tblTargets[DisplayName],"")</f>
        <v>Pantry 1 Lv 4</v>
      </c>
      <c r="D1622" s="41" t="str">
        <f>_xlfn.XLOOKUP(tblCostChecklist[[#This Row],[TargetID]],tblTargets[TargetID],tblTargets[TargetType],"")</f>
        <v>COLLECTION</v>
      </c>
      <c r="E1622" s="41" t="s">
        <v>956</v>
      </c>
      <c r="F1622" s="41">
        <v>1</v>
      </c>
      <c r="G1622" s="41">
        <f>_xlfn.XLOOKUP(
 tblCostChecklist[[#This Row],[RequirementID]],
 tblCost[RequirementID],
 tblCost[QuantityRequired],
 ""
)</f>
        <v>20</v>
      </c>
      <c r="H16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22" s="41" t="str">
        <f>_xlfn.XLOOKUP(tblCostChecklist[[#This Row],[TargetID]],tblTargetStatus[TargetID],tblTargetStatus[Status])</f>
        <v>BLOCKED</v>
      </c>
      <c r="J1622" s="25" t="b">
        <v>0</v>
      </c>
    </row>
    <row r="1623" spans="1:10">
      <c r="A1623" s="41" t="s">
        <v>5260</v>
      </c>
      <c r="B1623" s="41" t="str">
        <f>_xlfn.TEXTAFTER(
 _xlfn.TEXTBEFORE(tblCostChecklist[[#This Row],[RequirementID]],".",-2),
 "cost."
)</f>
        <v>collection.pantry_1@5</v>
      </c>
      <c r="C1623" s="41" t="str">
        <f>_xlfn.XLOOKUP(tblCostChecklist[[#This Row],[TargetID]],tblTargets[TargetID],tblTargets[DisplayName],"")</f>
        <v>Pantry 1 Lv 5</v>
      </c>
      <c r="D1623" s="41" t="str">
        <f>_xlfn.XLOOKUP(tblCostChecklist[[#This Row],[TargetID]],tblTargets[TargetID],tblTargets[TargetType],"")</f>
        <v>COLLECTION</v>
      </c>
      <c r="E1623" s="41" t="s">
        <v>1790</v>
      </c>
      <c r="F1623" s="41">
        <v>1</v>
      </c>
      <c r="G1623" s="41">
        <f>_xlfn.XLOOKUP(
 tblCostChecklist[[#This Row],[RequirementID]],
 tblCost[RequirementID],
 tblCost[QuantityRequired],
 ""
)</f>
        <v>25</v>
      </c>
      <c r="H16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3" s="41" t="str">
        <f>_xlfn.XLOOKUP(tblCostChecklist[[#This Row],[TargetID]],tblTargetStatus[TargetID],tblTargetStatus[Status])</f>
        <v>BLOCKED</v>
      </c>
      <c r="J1623" s="25" t="b">
        <v>0</v>
      </c>
    </row>
    <row r="1624" spans="1:10">
      <c r="A1624" s="41" t="s">
        <v>5261</v>
      </c>
      <c r="B1624" s="41" t="str">
        <f>_xlfn.TEXTAFTER(
 _xlfn.TEXTBEFORE(tblCostChecklist[[#This Row],[RequirementID]],".",-2),
 "cost."
)</f>
        <v>collection.pantry_1@5</v>
      </c>
      <c r="C1624" s="41" t="str">
        <f>_xlfn.XLOOKUP(tblCostChecklist[[#This Row],[TargetID]],tblTargets[TargetID],tblTargets[DisplayName],"")</f>
        <v>Pantry 1 Lv 5</v>
      </c>
      <c r="D1624" s="41" t="str">
        <f>_xlfn.XLOOKUP(tblCostChecklist[[#This Row],[TargetID]],tblTargets[TargetID],tblTargets[TargetType],"")</f>
        <v>COLLECTION</v>
      </c>
      <c r="E1624" s="41" t="s">
        <v>659</v>
      </c>
      <c r="F1624" s="41">
        <v>1</v>
      </c>
      <c r="G1624" s="41">
        <f>_xlfn.XLOOKUP(
 tblCostChecklist[[#This Row],[RequirementID]],
 tblCost[RequirementID],
 tblCost[QuantityRequired],
 ""
)</f>
        <v>50</v>
      </c>
      <c r="H16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4" s="41" t="str">
        <f>_xlfn.XLOOKUP(tblCostChecklist[[#This Row],[TargetID]],tblTargetStatus[TargetID],tblTargetStatus[Status])</f>
        <v>BLOCKED</v>
      </c>
      <c r="J1624" s="25" t="b">
        <v>0</v>
      </c>
    </row>
    <row r="1625" spans="1:10">
      <c r="A1625" s="41" t="s">
        <v>5262</v>
      </c>
      <c r="B1625" s="41" t="str">
        <f>_xlfn.TEXTAFTER(
 _xlfn.TEXTBEFORE(tblCostChecklist[[#This Row],[RequirementID]],".",-2),
 "cost."
)</f>
        <v>collection.pantry_1@5</v>
      </c>
      <c r="C1625" s="41" t="str">
        <f>_xlfn.XLOOKUP(tblCostChecklist[[#This Row],[TargetID]],tblTargets[TargetID],tblTargets[DisplayName],"")</f>
        <v>Pantry 1 Lv 5</v>
      </c>
      <c r="D1625" s="41" t="str">
        <f>_xlfn.XLOOKUP(tblCostChecklist[[#This Row],[TargetID]],tblTargets[TargetID],tblTargets[TargetType],"")</f>
        <v>COLLECTION</v>
      </c>
      <c r="E1625" s="41" t="s">
        <v>1802</v>
      </c>
      <c r="F1625" s="41">
        <v>1</v>
      </c>
      <c r="G1625" s="41">
        <f>_xlfn.XLOOKUP(
 tblCostChecklist[[#This Row],[RequirementID]],
 tblCost[RequirementID],
 tblCost[QuantityRequired],
 ""
)</f>
        <v>50</v>
      </c>
      <c r="H16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5" s="41" t="str">
        <f>_xlfn.XLOOKUP(tblCostChecklist[[#This Row],[TargetID]],tblTargetStatus[TargetID],tblTargetStatus[Status])</f>
        <v>BLOCKED</v>
      </c>
      <c r="J1625" s="25" t="b">
        <v>0</v>
      </c>
    </row>
    <row r="1626" spans="1:10">
      <c r="A1626" s="41" t="s">
        <v>5263</v>
      </c>
      <c r="B1626" s="41" t="str">
        <f>_xlfn.TEXTAFTER(
 _xlfn.TEXTBEFORE(tblCostChecklist[[#This Row],[RequirementID]],".",-2),
 "cost."
)</f>
        <v>collection.pantry_1@5</v>
      </c>
      <c r="C1626" s="41" t="str">
        <f>_xlfn.XLOOKUP(tblCostChecklist[[#This Row],[TargetID]],tblTargets[TargetID],tblTargets[DisplayName],"")</f>
        <v>Pantry 1 Lv 5</v>
      </c>
      <c r="D1626" s="41" t="str">
        <f>_xlfn.XLOOKUP(tblCostChecklist[[#This Row],[TargetID]],tblTargets[TargetID],tblTargets[TargetType],"")</f>
        <v>COLLECTION</v>
      </c>
      <c r="E1626" s="41" t="s">
        <v>934</v>
      </c>
      <c r="F1626" s="41">
        <v>1</v>
      </c>
      <c r="G1626" s="41">
        <f>_xlfn.XLOOKUP(
 tblCostChecklist[[#This Row],[RequirementID]],
 tblCost[RequirementID],
 tblCost[QuantityRequired],
 ""
)</f>
        <v>200</v>
      </c>
      <c r="H16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6" s="41" t="str">
        <f>_xlfn.XLOOKUP(tblCostChecklist[[#This Row],[TargetID]],tblTargetStatus[TargetID],tblTargetStatus[Status])</f>
        <v>BLOCKED</v>
      </c>
      <c r="J1626" s="25" t="b">
        <v>0</v>
      </c>
    </row>
    <row r="1627" spans="1:10">
      <c r="A1627" s="41" t="s">
        <v>5264</v>
      </c>
      <c r="B1627" s="41" t="str">
        <f>_xlfn.TEXTAFTER(
 _xlfn.TEXTBEFORE(tblCostChecklist[[#This Row],[RequirementID]],".",-2),
 "cost."
)</f>
        <v>collection.pantry_1@5</v>
      </c>
      <c r="C1627" s="41" t="str">
        <f>_xlfn.XLOOKUP(tblCostChecklist[[#This Row],[TargetID]],tblTargets[TargetID],tblTargets[DisplayName],"")</f>
        <v>Pantry 1 Lv 5</v>
      </c>
      <c r="D1627" s="41" t="str">
        <f>_xlfn.XLOOKUP(tblCostChecklist[[#This Row],[TargetID]],tblTargets[TargetID],tblTargets[TargetType],"")</f>
        <v>COLLECTION</v>
      </c>
      <c r="E1627" s="41" t="s">
        <v>674</v>
      </c>
      <c r="F1627" s="41">
        <v>1</v>
      </c>
      <c r="G1627" s="41">
        <f>_xlfn.XLOOKUP(
 tblCostChecklist[[#This Row],[RequirementID]],
 tblCost[RequirementID],
 tblCost[QuantityRequired],
 ""
)</f>
        <v>50</v>
      </c>
      <c r="H16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7" s="41" t="str">
        <f>_xlfn.XLOOKUP(tblCostChecklist[[#This Row],[TargetID]],tblTargetStatus[TargetID],tblTargetStatus[Status])</f>
        <v>BLOCKED</v>
      </c>
      <c r="J1627" s="25" t="b">
        <v>0</v>
      </c>
    </row>
    <row r="1628" spans="1:10">
      <c r="A1628" s="41" t="s">
        <v>5265</v>
      </c>
      <c r="B1628" s="41" t="str">
        <f>_xlfn.TEXTAFTER(
 _xlfn.TEXTBEFORE(tblCostChecklist[[#This Row],[RequirementID]],".",-2),
 "cost."
)</f>
        <v>collection.pantry_1@5</v>
      </c>
      <c r="C1628" s="41" t="str">
        <f>_xlfn.XLOOKUP(tblCostChecklist[[#This Row],[TargetID]],tblTargets[TargetID],tblTargets[DisplayName],"")</f>
        <v>Pantry 1 Lv 5</v>
      </c>
      <c r="D1628" s="41" t="str">
        <f>_xlfn.XLOOKUP(tblCostChecklist[[#This Row],[TargetID]],tblTargets[TargetID],tblTargets[TargetType],"")</f>
        <v>COLLECTION</v>
      </c>
      <c r="E1628" s="41" t="s">
        <v>697</v>
      </c>
      <c r="F1628" s="41">
        <v>1</v>
      </c>
      <c r="G1628" s="41">
        <f>_xlfn.XLOOKUP(
 tblCostChecklist[[#This Row],[RequirementID]],
 tblCost[RequirementID],
 tblCost[QuantityRequired],
 ""
)</f>
        <v>50</v>
      </c>
      <c r="H16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8" s="41" t="str">
        <f>_xlfn.XLOOKUP(tblCostChecklist[[#This Row],[TargetID]],tblTargetStatus[TargetID],tblTargetStatus[Status])</f>
        <v>BLOCKED</v>
      </c>
      <c r="J1628" s="25" t="b">
        <v>0</v>
      </c>
    </row>
    <row r="1629" spans="1:10">
      <c r="A1629" s="41" t="s">
        <v>5266</v>
      </c>
      <c r="B1629" s="41" t="str">
        <f>_xlfn.TEXTAFTER(
 _xlfn.TEXTBEFORE(tblCostChecklist[[#This Row],[RequirementID]],".",-2),
 "cost."
)</f>
        <v>collection.pantry_1@5</v>
      </c>
      <c r="C1629" s="41" t="str">
        <f>_xlfn.XLOOKUP(tblCostChecklist[[#This Row],[TargetID]],tblTargets[TargetID],tblTargets[DisplayName],"")</f>
        <v>Pantry 1 Lv 5</v>
      </c>
      <c r="D1629" s="41" t="str">
        <f>_xlfn.XLOOKUP(tblCostChecklist[[#This Row],[TargetID]],tblTargets[TargetID],tblTargets[TargetType],"")</f>
        <v>COLLECTION</v>
      </c>
      <c r="E1629" s="41" t="s">
        <v>707</v>
      </c>
      <c r="F1629" s="41">
        <v>1</v>
      </c>
      <c r="G1629" s="41">
        <f>_xlfn.XLOOKUP(
 tblCostChecklist[[#This Row],[RequirementID]],
 tblCost[RequirementID],
 tblCost[QuantityRequired],
 ""
)</f>
        <v>200</v>
      </c>
      <c r="H16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9" s="41" t="str">
        <f>_xlfn.XLOOKUP(tblCostChecklist[[#This Row],[TargetID]],tblTargetStatus[TargetID],tblTargetStatus[Status])</f>
        <v>BLOCKED</v>
      </c>
      <c r="J1629" s="25" t="b">
        <v>0</v>
      </c>
    </row>
    <row r="1630" spans="1:10">
      <c r="A1630" s="41" t="s">
        <v>5267</v>
      </c>
      <c r="B1630" s="41" t="str">
        <f>_xlfn.TEXTAFTER(
 _xlfn.TEXTBEFORE(tblCostChecklist[[#This Row],[RequirementID]],".",-2),
 "cost."
)</f>
        <v>collection.pantry_1@5</v>
      </c>
      <c r="C1630" s="41" t="str">
        <f>_xlfn.XLOOKUP(tblCostChecklist[[#This Row],[TargetID]],tblTargets[TargetID],tblTargets[DisplayName],"")</f>
        <v>Pantry 1 Lv 5</v>
      </c>
      <c r="D1630" s="41" t="str">
        <f>_xlfn.XLOOKUP(tblCostChecklist[[#This Row],[TargetID]],tblTargets[TargetID],tblTargets[TargetType],"")</f>
        <v>COLLECTION</v>
      </c>
      <c r="E1630" s="41" t="s">
        <v>948</v>
      </c>
      <c r="F1630" s="41">
        <v>1</v>
      </c>
      <c r="G1630" s="41">
        <f>_xlfn.XLOOKUP(
 tblCostChecklist[[#This Row],[RequirementID]],
 tblCost[RequirementID],
 tblCost[QuantityRequired],
 ""
)</f>
        <v>50</v>
      </c>
      <c r="H16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30" s="41" t="str">
        <f>_xlfn.XLOOKUP(tblCostChecklist[[#This Row],[TargetID]],tblTargetStatus[TargetID],tblTargetStatus[Status])</f>
        <v>BLOCKED</v>
      </c>
      <c r="J1630" s="25" t="b">
        <v>0</v>
      </c>
    </row>
    <row r="1631" spans="1:10">
      <c r="A1631" s="41" t="s">
        <v>5268</v>
      </c>
      <c r="B1631" s="41" t="str">
        <f>_xlfn.TEXTAFTER(
 _xlfn.TEXTBEFORE(tblCostChecklist[[#This Row],[RequirementID]],".",-2),
 "cost."
)</f>
        <v>collection.pantry_1@5</v>
      </c>
      <c r="C1631" s="41" t="str">
        <f>_xlfn.XLOOKUP(tblCostChecklist[[#This Row],[TargetID]],tblTargets[TargetID],tblTargets[DisplayName],"")</f>
        <v>Pantry 1 Lv 5</v>
      </c>
      <c r="D1631" s="41" t="str">
        <f>_xlfn.XLOOKUP(tblCostChecklist[[#This Row],[TargetID]],tblTargets[TargetID],tblTargets[TargetType],"")</f>
        <v>COLLECTION</v>
      </c>
      <c r="E1631" s="41" t="s">
        <v>711</v>
      </c>
      <c r="F1631" s="41">
        <v>1</v>
      </c>
      <c r="G1631" s="41">
        <f>_xlfn.XLOOKUP(
 tblCostChecklist[[#This Row],[RequirementID]],
 tblCost[RequirementID],
 tblCost[QuantityRequired],
 ""
)</f>
        <v>50</v>
      </c>
      <c r="H16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31" s="41" t="str">
        <f>_xlfn.XLOOKUP(tblCostChecklist[[#This Row],[TargetID]],tblTargetStatus[TargetID],tblTargetStatus[Status])</f>
        <v>BLOCKED</v>
      </c>
      <c r="J1631" s="25" t="b">
        <v>0</v>
      </c>
    </row>
    <row r="1632" spans="1:10">
      <c r="A1632" s="41" t="s">
        <v>5269</v>
      </c>
      <c r="B1632" s="41" t="str">
        <f>_xlfn.TEXTAFTER(
 _xlfn.TEXTBEFORE(tblCostChecklist[[#This Row],[RequirementID]],".",-2),
 "cost."
)</f>
        <v>collection.pantry_1@5</v>
      </c>
      <c r="C1632" s="41" t="str">
        <f>_xlfn.XLOOKUP(tblCostChecklist[[#This Row],[TargetID]],tblTargets[TargetID],tblTargets[DisplayName],"")</f>
        <v>Pantry 1 Lv 5</v>
      </c>
      <c r="D1632" s="41" t="str">
        <f>_xlfn.XLOOKUP(tblCostChecklist[[#This Row],[TargetID]],tblTargets[TargetID],tblTargets[TargetType],"")</f>
        <v>COLLECTION</v>
      </c>
      <c r="E1632" s="41" t="s">
        <v>715</v>
      </c>
      <c r="F1632" s="41">
        <v>1</v>
      </c>
      <c r="G1632" s="41">
        <f>_xlfn.XLOOKUP(
 tblCostChecklist[[#This Row],[RequirementID]],
 tblCost[RequirementID],
 tblCost[QuantityRequired],
 ""
)</f>
        <v>25</v>
      </c>
      <c r="H16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32" s="41" t="str">
        <f>_xlfn.XLOOKUP(tblCostChecklist[[#This Row],[TargetID]],tblTargetStatus[TargetID],tblTargetStatus[Status])</f>
        <v>BLOCKED</v>
      </c>
      <c r="J1632" s="25" t="b">
        <v>0</v>
      </c>
    </row>
    <row r="1633" spans="1:10">
      <c r="A1633" s="41" t="s">
        <v>5270</v>
      </c>
      <c r="B1633" s="41" t="str">
        <f>_xlfn.TEXTAFTER(
 _xlfn.TEXTBEFORE(tblCostChecklist[[#This Row],[RequirementID]],".",-2),
 "cost."
)</f>
        <v>collection.pantry_1@5</v>
      </c>
      <c r="C1633" s="41" t="str">
        <f>_xlfn.XLOOKUP(tblCostChecklist[[#This Row],[TargetID]],tblTargets[TargetID],tblTargets[DisplayName],"")</f>
        <v>Pantry 1 Lv 5</v>
      </c>
      <c r="D1633" s="41" t="str">
        <f>_xlfn.XLOOKUP(tblCostChecklist[[#This Row],[TargetID]],tblTargets[TargetID],tblTargets[TargetType],"")</f>
        <v>COLLECTION</v>
      </c>
      <c r="E1633" s="41" t="s">
        <v>719</v>
      </c>
      <c r="F1633" s="41">
        <v>1</v>
      </c>
      <c r="G1633" s="41">
        <f>_xlfn.XLOOKUP(
 tblCostChecklist[[#This Row],[RequirementID]],
 tblCost[RequirementID],
 tblCost[QuantityRequired],
 ""
)</f>
        <v>50</v>
      </c>
      <c r="H16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33" s="41" t="str">
        <f>_xlfn.XLOOKUP(tblCostChecklist[[#This Row],[TargetID]],tblTargetStatus[TargetID],tblTargetStatus[Status])</f>
        <v>BLOCKED</v>
      </c>
      <c r="J1633" s="25" t="b">
        <v>0</v>
      </c>
    </row>
    <row r="1634" spans="1:10">
      <c r="A1634" s="41" t="s">
        <v>5271</v>
      </c>
      <c r="B1634" s="41" t="str">
        <f>_xlfn.TEXTAFTER(
 _xlfn.TEXTBEFORE(tblCostChecklist[[#This Row],[RequirementID]],".",-2),
 "cost."
)</f>
        <v>collection.pantry_1@5</v>
      </c>
      <c r="C1634" s="41" t="str">
        <f>_xlfn.XLOOKUP(tblCostChecklist[[#This Row],[TargetID]],tblTargets[TargetID],tblTargets[DisplayName],"")</f>
        <v>Pantry 1 Lv 5</v>
      </c>
      <c r="D1634" s="41" t="str">
        <f>_xlfn.XLOOKUP(tblCostChecklist[[#This Row],[TargetID]],tblTargets[TargetID],tblTargets[TargetType],"")</f>
        <v>COLLECTION</v>
      </c>
      <c r="E1634" s="41" t="s">
        <v>956</v>
      </c>
      <c r="F1634" s="41">
        <v>1</v>
      </c>
      <c r="G1634" s="41">
        <f>_xlfn.XLOOKUP(
 tblCostChecklist[[#This Row],[RequirementID]],
 tblCost[RequirementID],
 tblCost[QuantityRequired],
 ""
)</f>
        <v>25</v>
      </c>
      <c r="H16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34" s="41" t="str">
        <f>_xlfn.XLOOKUP(tblCostChecklist[[#This Row],[TargetID]],tblTargetStatus[TargetID],tblTargetStatus[Status])</f>
        <v>BLOCKED</v>
      </c>
      <c r="J1634" s="25" t="b">
        <v>0</v>
      </c>
    </row>
    <row r="1635" spans="1:10">
      <c r="A1635" s="41" t="s">
        <v>5272</v>
      </c>
      <c r="B1635" s="41" t="str">
        <f>_xlfn.TEXTAFTER(
 _xlfn.TEXTBEFORE(tblCostChecklist[[#This Row],[RequirementID]],".",-2),
 "cost."
)</f>
        <v>collection.pantry_2@1</v>
      </c>
      <c r="C1635" s="41" t="str">
        <f>_xlfn.XLOOKUP(tblCostChecklist[[#This Row],[TargetID]],tblTargets[TargetID],tblTargets[DisplayName],"")</f>
        <v>Pantry 2 Lv 1</v>
      </c>
      <c r="D1635" s="41" t="str">
        <f>_xlfn.XLOOKUP(tblCostChecklist[[#This Row],[TargetID]],tblTargets[TargetID],tblTargets[TargetType],"")</f>
        <v>COLLECTION</v>
      </c>
      <c r="E1635" s="41" t="s">
        <v>701</v>
      </c>
      <c r="F1635" s="41">
        <v>1</v>
      </c>
      <c r="G1635" s="41">
        <f>_xlfn.XLOOKUP(
 tblCostChecklist[[#This Row],[RequirementID]],
 tblCost[RequirementID],
 tblCost[QuantityRequired],
 ""
)</f>
        <v>100</v>
      </c>
      <c r="H16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35" s="41" t="str">
        <f>_xlfn.XLOOKUP(tblCostChecklist[[#This Row],[TargetID]],tblTargetStatus[TargetID],tblTargetStatus[Status])</f>
        <v>BLOCKED</v>
      </c>
      <c r="J1635" s="25" t="b">
        <v>0</v>
      </c>
    </row>
    <row r="1636" spans="1:10">
      <c r="A1636" s="41" t="s">
        <v>5273</v>
      </c>
      <c r="B1636" s="41" t="str">
        <f>_xlfn.TEXTAFTER(
 _xlfn.TEXTBEFORE(tblCostChecklist[[#This Row],[RequirementID]],".",-2),
 "cost."
)</f>
        <v>collection.pantry_2@1</v>
      </c>
      <c r="C1636" s="41" t="str">
        <f>_xlfn.XLOOKUP(tblCostChecklist[[#This Row],[TargetID]],tblTargets[TargetID],tblTargets[DisplayName],"")</f>
        <v>Pantry 2 Lv 1</v>
      </c>
      <c r="D1636" s="41" t="str">
        <f>_xlfn.XLOOKUP(tblCostChecklist[[#This Row],[TargetID]],tblTargets[TargetID],tblTargets[TargetType],"")</f>
        <v>COLLECTION</v>
      </c>
      <c r="E1636" s="41" t="s">
        <v>701</v>
      </c>
      <c r="F1636" s="41">
        <v>2</v>
      </c>
      <c r="G1636" s="41">
        <f>_xlfn.XLOOKUP(
 tblCostChecklist[[#This Row],[RequirementID]],
 tblCost[RequirementID],
 tblCost[QuantityRequired],
 ""
)</f>
        <v>100</v>
      </c>
      <c r="H16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36" s="41" t="str">
        <f>_xlfn.XLOOKUP(tblCostChecklist[[#This Row],[TargetID]],tblTargetStatus[TargetID],tblTargetStatus[Status])</f>
        <v>BLOCKED</v>
      </c>
      <c r="J1636" s="25" t="b">
        <v>0</v>
      </c>
    </row>
    <row r="1637" spans="1:10">
      <c r="A1637" s="41" t="s">
        <v>5274</v>
      </c>
      <c r="B1637" s="41" t="str">
        <f>_xlfn.TEXTAFTER(
 _xlfn.TEXTBEFORE(tblCostChecklist[[#This Row],[RequirementID]],".",-2),
 "cost."
)</f>
        <v>collection.pantry_2@1</v>
      </c>
      <c r="C1637" s="41" t="str">
        <f>_xlfn.XLOOKUP(tblCostChecklist[[#This Row],[TargetID]],tblTargets[TargetID],tblTargets[DisplayName],"")</f>
        <v>Pantry 2 Lv 1</v>
      </c>
      <c r="D1637" s="41" t="str">
        <f>_xlfn.XLOOKUP(tblCostChecklist[[#This Row],[TargetID]],tblTargets[TargetID],tblTargets[TargetType],"")</f>
        <v>COLLECTION</v>
      </c>
      <c r="E1637" s="41" t="s">
        <v>716</v>
      </c>
      <c r="F1637" s="41">
        <v>1</v>
      </c>
      <c r="G1637" s="41">
        <f>_xlfn.XLOOKUP(
 tblCostChecklist[[#This Row],[RequirementID]],
 tblCost[RequirementID],
 tblCost[QuantityRequired],
 ""
)</f>
        <v>100</v>
      </c>
      <c r="H16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37" s="41" t="str">
        <f>_xlfn.XLOOKUP(tblCostChecklist[[#This Row],[TargetID]],tblTargetStatus[TargetID],tblTargetStatus[Status])</f>
        <v>BLOCKED</v>
      </c>
      <c r="J1637" s="25" t="b">
        <v>0</v>
      </c>
    </row>
    <row r="1638" spans="1:10">
      <c r="A1638" s="41" t="s">
        <v>5275</v>
      </c>
      <c r="B1638" s="41" t="str">
        <f>_xlfn.TEXTAFTER(
 _xlfn.TEXTBEFORE(tblCostChecklist[[#This Row],[RequirementID]],".",-2),
 "cost."
)</f>
        <v>collection.pantry_2@1</v>
      </c>
      <c r="C1638" s="41" t="str">
        <f>_xlfn.XLOOKUP(tblCostChecklist[[#This Row],[TargetID]],tblTargets[TargetID],tblTargets[DisplayName],"")</f>
        <v>Pantry 2 Lv 1</v>
      </c>
      <c r="D1638" s="41" t="str">
        <f>_xlfn.XLOOKUP(tblCostChecklist[[#This Row],[TargetID]],tblTargets[TargetID],tblTargets[TargetType],"")</f>
        <v>COLLECTION</v>
      </c>
      <c r="E1638" s="41" t="s">
        <v>717</v>
      </c>
      <c r="F1638" s="41">
        <v>1</v>
      </c>
      <c r="G1638" s="41">
        <f>_xlfn.XLOOKUP(
 tblCostChecklist[[#This Row],[RequirementID]],
 tblCost[RequirementID],
 tblCost[QuantityRequired],
 ""
)</f>
        <v>100</v>
      </c>
      <c r="H16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38" s="41" t="str">
        <f>_xlfn.XLOOKUP(tblCostChecklist[[#This Row],[TargetID]],tblTargetStatus[TargetID],tblTargetStatus[Status])</f>
        <v>BLOCKED</v>
      </c>
      <c r="J1638" s="25" t="b">
        <v>0</v>
      </c>
    </row>
    <row r="1639" spans="1:10">
      <c r="A1639" s="41" t="s">
        <v>5276</v>
      </c>
      <c r="B1639" s="41" t="str">
        <f>_xlfn.TEXTAFTER(
 _xlfn.TEXTBEFORE(tblCostChecklist[[#This Row],[RequirementID]],".",-2),
 "cost."
)</f>
        <v>collection.pantry_2@2</v>
      </c>
      <c r="C1639" s="41" t="str">
        <f>_xlfn.XLOOKUP(tblCostChecklist[[#This Row],[TargetID]],tblTargets[TargetID],tblTargets[DisplayName],"")</f>
        <v>Pantry 2 Lv 2</v>
      </c>
      <c r="D1639" s="41" t="str">
        <f>_xlfn.XLOOKUP(tblCostChecklist[[#This Row],[TargetID]],tblTargets[TargetID],tblTargets[TargetType],"")</f>
        <v>COLLECTION</v>
      </c>
      <c r="E1639" s="41" t="s">
        <v>701</v>
      </c>
      <c r="F1639" s="41">
        <v>1</v>
      </c>
      <c r="G1639" s="41">
        <f>_xlfn.XLOOKUP(
 tblCostChecklist[[#This Row],[RequirementID]],
 tblCost[RequirementID],
 tblCost[QuantityRequired],
 ""
)</f>
        <v>200</v>
      </c>
      <c r="H16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39" s="41" t="str">
        <f>_xlfn.XLOOKUP(tblCostChecklist[[#This Row],[TargetID]],tblTargetStatus[TargetID],tblTargetStatus[Status])</f>
        <v>BLOCKED</v>
      </c>
      <c r="J1639" s="25" t="b">
        <v>0</v>
      </c>
    </row>
    <row r="1640" spans="1:10">
      <c r="A1640" s="41" t="s">
        <v>5277</v>
      </c>
      <c r="B1640" s="41" t="str">
        <f>_xlfn.TEXTAFTER(
 _xlfn.TEXTBEFORE(tblCostChecklist[[#This Row],[RequirementID]],".",-2),
 "cost."
)</f>
        <v>collection.pantry_2@2</v>
      </c>
      <c r="C1640" s="41" t="str">
        <f>_xlfn.XLOOKUP(tblCostChecklist[[#This Row],[TargetID]],tblTargets[TargetID],tblTargets[DisplayName],"")</f>
        <v>Pantry 2 Lv 2</v>
      </c>
      <c r="D1640" s="41" t="str">
        <f>_xlfn.XLOOKUP(tblCostChecklist[[#This Row],[TargetID]],tblTargets[TargetID],tblTargets[TargetType],"")</f>
        <v>COLLECTION</v>
      </c>
      <c r="E1640" s="41" t="s">
        <v>701</v>
      </c>
      <c r="F1640" s="41">
        <v>2</v>
      </c>
      <c r="G1640" s="41">
        <f>_xlfn.XLOOKUP(
 tblCostChecklist[[#This Row],[RequirementID]],
 tblCost[RequirementID],
 tblCost[QuantityRequired],
 ""
)</f>
        <v>200</v>
      </c>
      <c r="H16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0" s="41" t="str">
        <f>_xlfn.XLOOKUP(tblCostChecklist[[#This Row],[TargetID]],tblTargetStatus[TargetID],tblTargetStatus[Status])</f>
        <v>BLOCKED</v>
      </c>
      <c r="J1640" s="25" t="b">
        <v>0</v>
      </c>
    </row>
    <row r="1641" spans="1:10">
      <c r="A1641" s="41" t="s">
        <v>5278</v>
      </c>
      <c r="B1641" s="41" t="str">
        <f>_xlfn.TEXTAFTER(
 _xlfn.TEXTBEFORE(tblCostChecklist[[#This Row],[RequirementID]],".",-2),
 "cost."
)</f>
        <v>collection.pantry_2@2</v>
      </c>
      <c r="C1641" s="41" t="str">
        <f>_xlfn.XLOOKUP(tblCostChecklist[[#This Row],[TargetID]],tblTargets[TargetID],tblTargets[DisplayName],"")</f>
        <v>Pantry 2 Lv 2</v>
      </c>
      <c r="D1641" s="41" t="str">
        <f>_xlfn.XLOOKUP(tblCostChecklist[[#This Row],[TargetID]],tblTargets[TargetID],tblTargets[TargetType],"")</f>
        <v>COLLECTION</v>
      </c>
      <c r="E1641" s="41" t="s">
        <v>716</v>
      </c>
      <c r="F1641" s="41">
        <v>1</v>
      </c>
      <c r="G1641" s="41">
        <f>_xlfn.XLOOKUP(
 tblCostChecklist[[#This Row],[RequirementID]],
 tblCost[RequirementID],
 tblCost[QuantityRequired],
 ""
)</f>
        <v>200</v>
      </c>
      <c r="H16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1" s="41" t="str">
        <f>_xlfn.XLOOKUP(tblCostChecklist[[#This Row],[TargetID]],tblTargetStatus[TargetID],tblTargetStatus[Status])</f>
        <v>BLOCKED</v>
      </c>
      <c r="J1641" s="25" t="b">
        <v>0</v>
      </c>
    </row>
    <row r="1642" spans="1:10">
      <c r="A1642" s="41" t="s">
        <v>5279</v>
      </c>
      <c r="B1642" s="41" t="str">
        <f>_xlfn.TEXTAFTER(
 _xlfn.TEXTBEFORE(tblCostChecklist[[#This Row],[RequirementID]],".",-2),
 "cost."
)</f>
        <v>collection.pantry_2@2</v>
      </c>
      <c r="C1642" s="41" t="str">
        <f>_xlfn.XLOOKUP(tblCostChecklist[[#This Row],[TargetID]],tblTargets[TargetID],tblTargets[DisplayName],"")</f>
        <v>Pantry 2 Lv 2</v>
      </c>
      <c r="D1642" s="41" t="str">
        <f>_xlfn.XLOOKUP(tblCostChecklist[[#This Row],[TargetID]],tblTargets[TargetID],tblTargets[TargetType],"")</f>
        <v>COLLECTION</v>
      </c>
      <c r="E1642" s="41" t="s">
        <v>717</v>
      </c>
      <c r="F1642" s="41">
        <v>1</v>
      </c>
      <c r="G1642" s="41">
        <f>_xlfn.XLOOKUP(
 tblCostChecklist[[#This Row],[RequirementID]],
 tblCost[RequirementID],
 tblCost[QuantityRequired],
 ""
)</f>
        <v>200</v>
      </c>
      <c r="H16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2" s="41" t="str">
        <f>_xlfn.XLOOKUP(tblCostChecklist[[#This Row],[TargetID]],tblTargetStatus[TargetID],tblTargetStatus[Status])</f>
        <v>BLOCKED</v>
      </c>
      <c r="J1642" s="25" t="b">
        <v>0</v>
      </c>
    </row>
    <row r="1643" spans="1:10">
      <c r="A1643" s="41" t="s">
        <v>5280</v>
      </c>
      <c r="B1643" s="41" t="str">
        <f>_xlfn.TEXTAFTER(
 _xlfn.TEXTBEFORE(tblCostChecklist[[#This Row],[RequirementID]],".",-2),
 "cost."
)</f>
        <v>collection.pantry_2@3</v>
      </c>
      <c r="C1643" s="41" t="str">
        <f>_xlfn.XLOOKUP(tblCostChecklist[[#This Row],[TargetID]],tblTargets[TargetID],tblTargets[DisplayName],"")</f>
        <v>Pantry 2 Lv 3</v>
      </c>
      <c r="D1643" s="41" t="str">
        <f>_xlfn.XLOOKUP(tblCostChecklist[[#This Row],[TargetID]],tblTargets[TargetID],tblTargets[TargetType],"")</f>
        <v>COLLECTION</v>
      </c>
      <c r="E1643" s="41" t="s">
        <v>701</v>
      </c>
      <c r="F1643" s="41">
        <v>1</v>
      </c>
      <c r="G1643" s="41">
        <f>_xlfn.XLOOKUP(
 tblCostChecklist[[#This Row],[RequirementID]],
 tblCost[RequirementID],
 tblCost[QuantityRequired],
 ""
)</f>
        <v>300</v>
      </c>
      <c r="H16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3" s="41" t="str">
        <f>_xlfn.XLOOKUP(tblCostChecklist[[#This Row],[TargetID]],tblTargetStatus[TargetID],tblTargetStatus[Status])</f>
        <v>BLOCKED</v>
      </c>
      <c r="J1643" s="25" t="b">
        <v>0</v>
      </c>
    </row>
    <row r="1644" spans="1:10">
      <c r="A1644" s="41" t="s">
        <v>5281</v>
      </c>
      <c r="B1644" s="41" t="str">
        <f>_xlfn.TEXTAFTER(
 _xlfn.TEXTBEFORE(tblCostChecklist[[#This Row],[RequirementID]],".",-2),
 "cost."
)</f>
        <v>collection.pantry_2@3</v>
      </c>
      <c r="C1644" s="41" t="str">
        <f>_xlfn.XLOOKUP(tblCostChecklist[[#This Row],[TargetID]],tblTargets[TargetID],tblTargets[DisplayName],"")</f>
        <v>Pantry 2 Lv 3</v>
      </c>
      <c r="D1644" s="41" t="str">
        <f>_xlfn.XLOOKUP(tblCostChecklist[[#This Row],[TargetID]],tblTargets[TargetID],tblTargets[TargetType],"")</f>
        <v>COLLECTION</v>
      </c>
      <c r="E1644" s="41" t="s">
        <v>701</v>
      </c>
      <c r="F1644" s="41">
        <v>2</v>
      </c>
      <c r="G1644" s="41">
        <f>_xlfn.XLOOKUP(
 tblCostChecklist[[#This Row],[RequirementID]],
 tblCost[RequirementID],
 tblCost[QuantityRequired],
 ""
)</f>
        <v>300</v>
      </c>
      <c r="H16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4" s="41" t="str">
        <f>_xlfn.XLOOKUP(tblCostChecklist[[#This Row],[TargetID]],tblTargetStatus[TargetID],tblTargetStatus[Status])</f>
        <v>BLOCKED</v>
      </c>
      <c r="J1644" s="25" t="b">
        <v>0</v>
      </c>
    </row>
    <row r="1645" spans="1:10">
      <c r="A1645" s="41" t="s">
        <v>5282</v>
      </c>
      <c r="B1645" s="41" t="str">
        <f>_xlfn.TEXTAFTER(
 _xlfn.TEXTBEFORE(tblCostChecklist[[#This Row],[RequirementID]],".",-2),
 "cost."
)</f>
        <v>collection.pantry_2@3</v>
      </c>
      <c r="C1645" s="41" t="str">
        <f>_xlfn.XLOOKUP(tblCostChecklist[[#This Row],[TargetID]],tblTargets[TargetID],tblTargets[DisplayName],"")</f>
        <v>Pantry 2 Lv 3</v>
      </c>
      <c r="D1645" s="41" t="str">
        <f>_xlfn.XLOOKUP(tblCostChecklist[[#This Row],[TargetID]],tblTargets[TargetID],tblTargets[TargetType],"")</f>
        <v>COLLECTION</v>
      </c>
      <c r="E1645" s="41" t="s">
        <v>716</v>
      </c>
      <c r="F1645" s="41">
        <v>1</v>
      </c>
      <c r="G1645" s="41">
        <f>_xlfn.XLOOKUP(
 tblCostChecklist[[#This Row],[RequirementID]],
 tblCost[RequirementID],
 tblCost[QuantityRequired],
 ""
)</f>
        <v>300</v>
      </c>
      <c r="H16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5" s="41" t="str">
        <f>_xlfn.XLOOKUP(tblCostChecklist[[#This Row],[TargetID]],tblTargetStatus[TargetID],tblTargetStatus[Status])</f>
        <v>BLOCKED</v>
      </c>
      <c r="J1645" s="25" t="b">
        <v>0</v>
      </c>
    </row>
    <row r="1646" spans="1:10">
      <c r="A1646" s="41" t="s">
        <v>5283</v>
      </c>
      <c r="B1646" s="41" t="str">
        <f>_xlfn.TEXTAFTER(
 _xlfn.TEXTBEFORE(tblCostChecklist[[#This Row],[RequirementID]],".",-2),
 "cost."
)</f>
        <v>collection.pantry_2@3</v>
      </c>
      <c r="C1646" s="41" t="str">
        <f>_xlfn.XLOOKUP(tblCostChecklist[[#This Row],[TargetID]],tblTargets[TargetID],tblTargets[DisplayName],"")</f>
        <v>Pantry 2 Lv 3</v>
      </c>
      <c r="D1646" s="41" t="str">
        <f>_xlfn.XLOOKUP(tblCostChecklist[[#This Row],[TargetID]],tblTargets[TargetID],tblTargets[TargetType],"")</f>
        <v>COLLECTION</v>
      </c>
      <c r="E1646" s="41" t="s">
        <v>717</v>
      </c>
      <c r="F1646" s="41">
        <v>1</v>
      </c>
      <c r="G1646" s="41">
        <f>_xlfn.XLOOKUP(
 tblCostChecklist[[#This Row],[RequirementID]],
 tblCost[RequirementID],
 tblCost[QuantityRequired],
 ""
)</f>
        <v>300</v>
      </c>
      <c r="H16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6" s="41" t="str">
        <f>_xlfn.XLOOKUP(tblCostChecklist[[#This Row],[TargetID]],tblTargetStatus[TargetID],tblTargetStatus[Status])</f>
        <v>BLOCKED</v>
      </c>
      <c r="J1646" s="25" t="b">
        <v>0</v>
      </c>
    </row>
    <row r="1647" spans="1:10">
      <c r="A1647" s="41" t="s">
        <v>5284</v>
      </c>
      <c r="B1647" s="41" t="str">
        <f>_xlfn.TEXTAFTER(
 _xlfn.TEXTBEFORE(tblCostChecklist[[#This Row],[RequirementID]],".",-2),
 "cost."
)</f>
        <v>collection.pantry_2@4</v>
      </c>
      <c r="C1647" s="41" t="str">
        <f>_xlfn.XLOOKUP(tblCostChecklist[[#This Row],[TargetID]],tblTargets[TargetID],tblTargets[DisplayName],"")</f>
        <v>Pantry 2 Lv 4</v>
      </c>
      <c r="D1647" s="41" t="str">
        <f>_xlfn.XLOOKUP(tblCostChecklist[[#This Row],[TargetID]],tblTargets[TargetID],tblTargets[TargetType],"")</f>
        <v>COLLECTION</v>
      </c>
      <c r="E1647" s="41" t="s">
        <v>701</v>
      </c>
      <c r="F1647" s="41">
        <v>1</v>
      </c>
      <c r="G1647" s="41">
        <f>_xlfn.XLOOKUP(
 tblCostChecklist[[#This Row],[RequirementID]],
 tblCost[RequirementID],
 tblCost[QuantityRequired],
 ""
)</f>
        <v>400</v>
      </c>
      <c r="H16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7" s="41" t="str">
        <f>_xlfn.XLOOKUP(tblCostChecklist[[#This Row],[TargetID]],tblTargetStatus[TargetID],tblTargetStatus[Status])</f>
        <v>BLOCKED</v>
      </c>
      <c r="J1647" s="25" t="b">
        <v>0</v>
      </c>
    </row>
    <row r="1648" spans="1:10">
      <c r="A1648" s="41" t="s">
        <v>5285</v>
      </c>
      <c r="B1648" s="41" t="str">
        <f>_xlfn.TEXTAFTER(
 _xlfn.TEXTBEFORE(tblCostChecklist[[#This Row],[RequirementID]],".",-2),
 "cost."
)</f>
        <v>collection.pantry_2@4</v>
      </c>
      <c r="C1648" s="41" t="str">
        <f>_xlfn.XLOOKUP(tblCostChecklist[[#This Row],[TargetID]],tblTargets[TargetID],tblTargets[DisplayName],"")</f>
        <v>Pantry 2 Lv 4</v>
      </c>
      <c r="D1648" s="41" t="str">
        <f>_xlfn.XLOOKUP(tblCostChecklist[[#This Row],[TargetID]],tblTargets[TargetID],tblTargets[TargetType],"")</f>
        <v>COLLECTION</v>
      </c>
      <c r="E1648" s="41" t="s">
        <v>701</v>
      </c>
      <c r="F1648" s="41">
        <v>2</v>
      </c>
      <c r="G1648" s="41">
        <f>_xlfn.XLOOKUP(
 tblCostChecklist[[#This Row],[RequirementID]],
 tblCost[RequirementID],
 tblCost[QuantityRequired],
 ""
)</f>
        <v>400</v>
      </c>
      <c r="H16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8" s="41" t="str">
        <f>_xlfn.XLOOKUP(tblCostChecklist[[#This Row],[TargetID]],tblTargetStatus[TargetID],tblTargetStatus[Status])</f>
        <v>BLOCKED</v>
      </c>
      <c r="J1648" s="25" t="b">
        <v>0</v>
      </c>
    </row>
    <row r="1649" spans="1:10">
      <c r="A1649" s="41" t="s">
        <v>5286</v>
      </c>
      <c r="B1649" s="41" t="str">
        <f>_xlfn.TEXTAFTER(
 _xlfn.TEXTBEFORE(tblCostChecklist[[#This Row],[RequirementID]],".",-2),
 "cost."
)</f>
        <v>collection.pantry_2@4</v>
      </c>
      <c r="C1649" s="41" t="str">
        <f>_xlfn.XLOOKUP(tblCostChecklist[[#This Row],[TargetID]],tblTargets[TargetID],tblTargets[DisplayName],"")</f>
        <v>Pantry 2 Lv 4</v>
      </c>
      <c r="D1649" s="41" t="str">
        <f>_xlfn.XLOOKUP(tblCostChecklist[[#This Row],[TargetID]],tblTargets[TargetID],tblTargets[TargetType],"")</f>
        <v>COLLECTION</v>
      </c>
      <c r="E1649" s="41" t="s">
        <v>716</v>
      </c>
      <c r="F1649" s="41">
        <v>1</v>
      </c>
      <c r="G1649" s="41">
        <f>_xlfn.XLOOKUP(
 tblCostChecklist[[#This Row],[RequirementID]],
 tblCost[RequirementID],
 tblCost[QuantityRequired],
 ""
)</f>
        <v>400</v>
      </c>
      <c r="H16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9" s="41" t="str">
        <f>_xlfn.XLOOKUP(tblCostChecklist[[#This Row],[TargetID]],tblTargetStatus[TargetID],tblTargetStatus[Status])</f>
        <v>BLOCKED</v>
      </c>
      <c r="J1649" s="25" t="b">
        <v>0</v>
      </c>
    </row>
    <row r="1650" spans="1:10">
      <c r="A1650" s="41" t="s">
        <v>5287</v>
      </c>
      <c r="B1650" s="41" t="str">
        <f>_xlfn.TEXTAFTER(
 _xlfn.TEXTBEFORE(tblCostChecklist[[#This Row],[RequirementID]],".",-2),
 "cost."
)</f>
        <v>collection.pantry_2@4</v>
      </c>
      <c r="C1650" s="41" t="str">
        <f>_xlfn.XLOOKUP(tblCostChecklist[[#This Row],[TargetID]],tblTargets[TargetID],tblTargets[DisplayName],"")</f>
        <v>Pantry 2 Lv 4</v>
      </c>
      <c r="D1650" s="41" t="str">
        <f>_xlfn.XLOOKUP(tblCostChecklist[[#This Row],[TargetID]],tblTargets[TargetID],tblTargets[TargetType],"")</f>
        <v>COLLECTION</v>
      </c>
      <c r="E1650" s="41" t="s">
        <v>717</v>
      </c>
      <c r="F1650" s="41">
        <v>1</v>
      </c>
      <c r="G1650" s="41">
        <f>_xlfn.XLOOKUP(
 tblCostChecklist[[#This Row],[RequirementID]],
 tblCost[RequirementID],
 tblCost[QuantityRequired],
 ""
)</f>
        <v>400</v>
      </c>
      <c r="H16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0" s="41" t="str">
        <f>_xlfn.XLOOKUP(tblCostChecklist[[#This Row],[TargetID]],tblTargetStatus[TargetID],tblTargetStatus[Status])</f>
        <v>BLOCKED</v>
      </c>
      <c r="J1650" s="25" t="b">
        <v>0</v>
      </c>
    </row>
    <row r="1651" spans="1:10">
      <c r="A1651" s="41" t="s">
        <v>5288</v>
      </c>
      <c r="B1651" s="41" t="str">
        <f>_xlfn.TEXTAFTER(
 _xlfn.TEXTBEFORE(tblCostChecklist[[#This Row],[RequirementID]],".",-2),
 "cost."
)</f>
        <v>collection.pantry_2@5</v>
      </c>
      <c r="C1651" s="41" t="str">
        <f>_xlfn.XLOOKUP(tblCostChecklist[[#This Row],[TargetID]],tblTargets[TargetID],tblTargets[DisplayName],"")</f>
        <v>Pantry 2 Lv 5</v>
      </c>
      <c r="D1651" s="41" t="str">
        <f>_xlfn.XLOOKUP(tblCostChecklist[[#This Row],[TargetID]],tblTargets[TargetID],tblTargets[TargetType],"")</f>
        <v>COLLECTION</v>
      </c>
      <c r="E1651" s="41" t="s">
        <v>701</v>
      </c>
      <c r="F1651" s="41">
        <v>1</v>
      </c>
      <c r="G1651" s="41">
        <f>_xlfn.XLOOKUP(
 tblCostChecklist[[#This Row],[RequirementID]],
 tblCost[RequirementID],
 tblCost[QuantityRequired],
 ""
)</f>
        <v>500</v>
      </c>
      <c r="H16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1" s="41" t="str">
        <f>_xlfn.XLOOKUP(tblCostChecklist[[#This Row],[TargetID]],tblTargetStatus[TargetID],tblTargetStatus[Status])</f>
        <v>BLOCKED</v>
      </c>
      <c r="J1651" s="25" t="b">
        <v>0</v>
      </c>
    </row>
    <row r="1652" spans="1:10">
      <c r="A1652" s="41" t="s">
        <v>5289</v>
      </c>
      <c r="B1652" s="41" t="str">
        <f>_xlfn.TEXTAFTER(
 _xlfn.TEXTBEFORE(tblCostChecklist[[#This Row],[RequirementID]],".",-2),
 "cost."
)</f>
        <v>collection.pantry_2@5</v>
      </c>
      <c r="C1652" s="41" t="str">
        <f>_xlfn.XLOOKUP(tblCostChecklist[[#This Row],[TargetID]],tblTargets[TargetID],tblTargets[DisplayName],"")</f>
        <v>Pantry 2 Lv 5</v>
      </c>
      <c r="D1652" s="41" t="str">
        <f>_xlfn.XLOOKUP(tblCostChecklist[[#This Row],[TargetID]],tblTargets[TargetID],tblTargets[TargetType],"")</f>
        <v>COLLECTION</v>
      </c>
      <c r="E1652" s="41" t="s">
        <v>701</v>
      </c>
      <c r="F1652" s="41">
        <v>2</v>
      </c>
      <c r="G1652" s="41">
        <f>_xlfn.XLOOKUP(
 tblCostChecklist[[#This Row],[RequirementID]],
 tblCost[RequirementID],
 tblCost[QuantityRequired],
 ""
)</f>
        <v>500</v>
      </c>
      <c r="H16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2" s="41" t="str">
        <f>_xlfn.XLOOKUP(tblCostChecklist[[#This Row],[TargetID]],tblTargetStatus[TargetID],tblTargetStatus[Status])</f>
        <v>BLOCKED</v>
      </c>
      <c r="J1652" s="25" t="b">
        <v>0</v>
      </c>
    </row>
    <row r="1653" spans="1:10">
      <c r="A1653" s="41" t="s">
        <v>5290</v>
      </c>
      <c r="B1653" s="41" t="str">
        <f>_xlfn.TEXTAFTER(
 _xlfn.TEXTBEFORE(tblCostChecklist[[#This Row],[RequirementID]],".",-2),
 "cost."
)</f>
        <v>collection.pantry_2@5</v>
      </c>
      <c r="C1653" s="41" t="str">
        <f>_xlfn.XLOOKUP(tblCostChecklist[[#This Row],[TargetID]],tblTargets[TargetID],tblTargets[DisplayName],"")</f>
        <v>Pantry 2 Lv 5</v>
      </c>
      <c r="D1653" s="41" t="str">
        <f>_xlfn.XLOOKUP(tblCostChecklist[[#This Row],[TargetID]],tblTargets[TargetID],tblTargets[TargetType],"")</f>
        <v>COLLECTION</v>
      </c>
      <c r="E1653" s="41" t="s">
        <v>716</v>
      </c>
      <c r="F1653" s="41">
        <v>1</v>
      </c>
      <c r="G1653" s="41">
        <f>_xlfn.XLOOKUP(
 tblCostChecklist[[#This Row],[RequirementID]],
 tblCost[RequirementID],
 tblCost[QuantityRequired],
 ""
)</f>
        <v>500</v>
      </c>
      <c r="H16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3" s="41" t="str">
        <f>_xlfn.XLOOKUP(tblCostChecklist[[#This Row],[TargetID]],tblTargetStatus[TargetID],tblTargetStatus[Status])</f>
        <v>BLOCKED</v>
      </c>
      <c r="J1653" s="25" t="b">
        <v>0</v>
      </c>
    </row>
    <row r="1654" spans="1:10">
      <c r="A1654" s="41" t="s">
        <v>5291</v>
      </c>
      <c r="B1654" s="41" t="str">
        <f>_xlfn.TEXTAFTER(
 _xlfn.TEXTBEFORE(tblCostChecklist[[#This Row],[RequirementID]],".",-2),
 "cost."
)</f>
        <v>collection.pantry_2@5</v>
      </c>
      <c r="C1654" s="41" t="str">
        <f>_xlfn.XLOOKUP(tblCostChecklist[[#This Row],[TargetID]],tblTargets[TargetID],tblTargets[DisplayName],"")</f>
        <v>Pantry 2 Lv 5</v>
      </c>
      <c r="D1654" s="41" t="str">
        <f>_xlfn.XLOOKUP(tblCostChecklist[[#This Row],[TargetID]],tblTargets[TargetID],tblTargets[TargetType],"")</f>
        <v>COLLECTION</v>
      </c>
      <c r="E1654" s="41" t="s">
        <v>717</v>
      </c>
      <c r="F1654" s="41">
        <v>1</v>
      </c>
      <c r="G1654" s="41">
        <f>_xlfn.XLOOKUP(
 tblCostChecklist[[#This Row],[RequirementID]],
 tblCost[RequirementID],
 tblCost[QuantityRequired],
 ""
)</f>
        <v>500</v>
      </c>
      <c r="H16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4" s="41" t="str">
        <f>_xlfn.XLOOKUP(tblCostChecklist[[#This Row],[TargetID]],tblTargetStatus[TargetID],tblTargetStatus[Status])</f>
        <v>BLOCKED</v>
      </c>
      <c r="J1654" s="25" t="b">
        <v>0</v>
      </c>
    </row>
    <row r="1655" spans="1:10">
      <c r="A1655" s="41" t="s">
        <v>5292</v>
      </c>
      <c r="B1655" s="41" t="str">
        <f>_xlfn.TEXTAFTER(
 _xlfn.TEXTBEFORE(tblCostChecklist[[#This Row],[RequirementID]],".",-2),
 "cost."
)</f>
        <v>collection.pantry_3@1</v>
      </c>
      <c r="C1655" s="41" t="str">
        <f>_xlfn.XLOOKUP(tblCostChecklist[[#This Row],[TargetID]],tblTargets[TargetID],tblTargets[DisplayName],"")</f>
        <v>Pantry 3 Lv 1</v>
      </c>
      <c r="D1655" s="41" t="str">
        <f>_xlfn.XLOOKUP(tblCostChecklist[[#This Row],[TargetID]],tblTargets[TargetID],tblTargets[TargetType],"")</f>
        <v>COLLECTION</v>
      </c>
      <c r="E1655" s="41" t="s">
        <v>663</v>
      </c>
      <c r="F1655" s="41">
        <v>1</v>
      </c>
      <c r="G1655" s="41">
        <f>_xlfn.XLOOKUP(
 tblCostChecklist[[#This Row],[RequirementID]],
 tblCost[RequirementID],
 tblCost[QuantityRequired],
 ""
)</f>
        <v>100</v>
      </c>
      <c r="H16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5" s="41" t="str">
        <f>_xlfn.XLOOKUP(tblCostChecklist[[#This Row],[TargetID]],tblTargetStatus[TargetID],tblTargetStatus[Status])</f>
        <v>BLOCKED</v>
      </c>
      <c r="J1655" s="25" t="b">
        <v>0</v>
      </c>
    </row>
    <row r="1656" spans="1:10">
      <c r="A1656" s="41" t="s">
        <v>5293</v>
      </c>
      <c r="B1656" s="41" t="str">
        <f>_xlfn.TEXTAFTER(
 _xlfn.TEXTBEFORE(tblCostChecklist[[#This Row],[RequirementID]],".",-2),
 "cost."
)</f>
        <v>collection.pantry_3@1</v>
      </c>
      <c r="C1656" s="41" t="str">
        <f>_xlfn.XLOOKUP(tblCostChecklist[[#This Row],[TargetID]],tblTargets[TargetID],tblTargets[DisplayName],"")</f>
        <v>Pantry 3 Lv 1</v>
      </c>
      <c r="D1656" s="41" t="str">
        <f>_xlfn.XLOOKUP(tblCostChecklist[[#This Row],[TargetID]],tblTargets[TargetID],tblTargets[TargetType],"")</f>
        <v>COLLECTION</v>
      </c>
      <c r="E1656" s="41" t="s">
        <v>664</v>
      </c>
      <c r="F1656" s="41">
        <v>1</v>
      </c>
      <c r="G1656" s="41">
        <f>_xlfn.XLOOKUP(
 tblCostChecklist[[#This Row],[RequirementID]],
 tblCost[RequirementID],
 tblCost[QuantityRequired],
 ""
)</f>
        <v>100</v>
      </c>
      <c r="H16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6" s="41" t="str">
        <f>_xlfn.XLOOKUP(tblCostChecklist[[#This Row],[TargetID]],tblTargetStatus[TargetID],tblTargetStatus[Status])</f>
        <v>BLOCKED</v>
      </c>
      <c r="J1656" s="25" t="b">
        <v>0</v>
      </c>
    </row>
    <row r="1657" spans="1:10">
      <c r="A1657" s="41" t="s">
        <v>5294</v>
      </c>
      <c r="B1657" s="41" t="str">
        <f>_xlfn.TEXTAFTER(
 _xlfn.TEXTBEFORE(tblCostChecklist[[#This Row],[RequirementID]],".",-2),
 "cost."
)</f>
        <v>collection.pantry_3@1</v>
      </c>
      <c r="C1657" s="41" t="str">
        <f>_xlfn.XLOOKUP(tblCostChecklist[[#This Row],[TargetID]],tblTargets[TargetID],tblTargets[DisplayName],"")</f>
        <v>Pantry 3 Lv 1</v>
      </c>
      <c r="D1657" s="41" t="str">
        <f>_xlfn.XLOOKUP(tblCostChecklist[[#This Row],[TargetID]],tblTargets[TargetID],tblTargets[TargetType],"")</f>
        <v>COLLECTION</v>
      </c>
      <c r="E1657" s="41" t="s">
        <v>678</v>
      </c>
      <c r="F1657" s="41">
        <v>1</v>
      </c>
      <c r="G1657" s="41">
        <f>_xlfn.XLOOKUP(
 tblCostChecklist[[#This Row],[RequirementID]],
 tblCost[RequirementID],
 tblCost[QuantityRequired],
 ""
)</f>
        <v>100</v>
      </c>
      <c r="H16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7" s="41" t="str">
        <f>_xlfn.XLOOKUP(tblCostChecklist[[#This Row],[TargetID]],tblTargetStatus[TargetID],tblTargetStatus[Status])</f>
        <v>BLOCKED</v>
      </c>
      <c r="J1657" s="25" t="b">
        <v>0</v>
      </c>
    </row>
    <row r="1658" spans="1:10">
      <c r="A1658" s="41" t="s">
        <v>5295</v>
      </c>
      <c r="B1658" s="41" t="str">
        <f>_xlfn.TEXTAFTER(
 _xlfn.TEXTBEFORE(tblCostChecklist[[#This Row],[RequirementID]],".",-2),
 "cost."
)</f>
        <v>collection.pantry_3@1</v>
      </c>
      <c r="C1658" s="41" t="str">
        <f>_xlfn.XLOOKUP(tblCostChecklist[[#This Row],[TargetID]],tblTargets[TargetID],tblTargets[DisplayName],"")</f>
        <v>Pantry 3 Lv 1</v>
      </c>
      <c r="D1658" s="41" t="str">
        <f>_xlfn.XLOOKUP(tblCostChecklist[[#This Row],[TargetID]],tblTargets[TargetID],tblTargets[TargetType],"")</f>
        <v>COLLECTION</v>
      </c>
      <c r="E1658" s="41" t="s">
        <v>1810</v>
      </c>
      <c r="F1658" s="41">
        <v>1</v>
      </c>
      <c r="G1658" s="41">
        <f>_xlfn.XLOOKUP(
 tblCostChecklist[[#This Row],[RequirementID]],
 tblCost[RequirementID],
 tblCost[QuantityRequired],
 ""
)</f>
        <v>100</v>
      </c>
      <c r="H16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8" s="41" t="str">
        <f>_xlfn.XLOOKUP(tblCostChecklist[[#This Row],[TargetID]],tblTargetStatus[TargetID],tblTargetStatus[Status])</f>
        <v>BLOCKED</v>
      </c>
      <c r="J1658" s="25" t="b">
        <v>0</v>
      </c>
    </row>
    <row r="1659" spans="1:10">
      <c r="A1659" s="41" t="s">
        <v>5296</v>
      </c>
      <c r="B1659" s="41" t="str">
        <f>_xlfn.TEXTAFTER(
 _xlfn.TEXTBEFORE(tblCostChecklist[[#This Row],[RequirementID]],".",-2),
 "cost."
)</f>
        <v>collection.pantry_3@2</v>
      </c>
      <c r="C1659" s="41" t="str">
        <f>_xlfn.XLOOKUP(tblCostChecklist[[#This Row],[TargetID]],tblTargets[TargetID],tblTargets[DisplayName],"")</f>
        <v>Pantry 3 Lv 2</v>
      </c>
      <c r="D1659" s="41" t="str">
        <f>_xlfn.XLOOKUP(tblCostChecklist[[#This Row],[TargetID]],tblTargets[TargetID],tblTargets[TargetType],"")</f>
        <v>COLLECTION</v>
      </c>
      <c r="E1659" s="41" t="s">
        <v>663</v>
      </c>
      <c r="F1659" s="41">
        <v>1</v>
      </c>
      <c r="G1659" s="41">
        <f>_xlfn.XLOOKUP(
 tblCostChecklist[[#This Row],[RequirementID]],
 tblCost[RequirementID],
 tblCost[QuantityRequired],
 ""
)</f>
        <v>200</v>
      </c>
      <c r="H16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9" s="41" t="str">
        <f>_xlfn.XLOOKUP(tblCostChecklist[[#This Row],[TargetID]],tblTargetStatus[TargetID],tblTargetStatus[Status])</f>
        <v>BLOCKED</v>
      </c>
      <c r="J1659" s="25" t="b">
        <v>0</v>
      </c>
    </row>
    <row r="1660" spans="1:10">
      <c r="A1660" s="41" t="s">
        <v>5297</v>
      </c>
      <c r="B1660" s="41" t="str">
        <f>_xlfn.TEXTAFTER(
 _xlfn.TEXTBEFORE(tblCostChecklist[[#This Row],[RequirementID]],".",-2),
 "cost."
)</f>
        <v>collection.pantry_3@2</v>
      </c>
      <c r="C1660" s="41" t="str">
        <f>_xlfn.XLOOKUP(tblCostChecklist[[#This Row],[TargetID]],tblTargets[TargetID],tblTargets[DisplayName],"")</f>
        <v>Pantry 3 Lv 2</v>
      </c>
      <c r="D1660" s="41" t="str">
        <f>_xlfn.XLOOKUP(tblCostChecklist[[#This Row],[TargetID]],tblTargets[TargetID],tblTargets[TargetType],"")</f>
        <v>COLLECTION</v>
      </c>
      <c r="E1660" s="41" t="s">
        <v>664</v>
      </c>
      <c r="F1660" s="41">
        <v>1</v>
      </c>
      <c r="G1660" s="41">
        <f>_xlfn.XLOOKUP(
 tblCostChecklist[[#This Row],[RequirementID]],
 tblCost[RequirementID],
 tblCost[QuantityRequired],
 ""
)</f>
        <v>200</v>
      </c>
      <c r="H16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0" s="41" t="str">
        <f>_xlfn.XLOOKUP(tblCostChecklist[[#This Row],[TargetID]],tblTargetStatus[TargetID],tblTargetStatus[Status])</f>
        <v>BLOCKED</v>
      </c>
      <c r="J1660" s="25" t="b">
        <v>0</v>
      </c>
    </row>
    <row r="1661" spans="1:10">
      <c r="A1661" s="41" t="s">
        <v>5298</v>
      </c>
      <c r="B1661" s="41" t="str">
        <f>_xlfn.TEXTAFTER(
 _xlfn.TEXTBEFORE(tblCostChecklist[[#This Row],[RequirementID]],".",-2),
 "cost."
)</f>
        <v>collection.pantry_3@2</v>
      </c>
      <c r="C1661" s="41" t="str">
        <f>_xlfn.XLOOKUP(tblCostChecklist[[#This Row],[TargetID]],tblTargets[TargetID],tblTargets[DisplayName],"")</f>
        <v>Pantry 3 Lv 2</v>
      </c>
      <c r="D1661" s="41" t="str">
        <f>_xlfn.XLOOKUP(tblCostChecklist[[#This Row],[TargetID]],tblTargets[TargetID],tblTargets[TargetType],"")</f>
        <v>COLLECTION</v>
      </c>
      <c r="E1661" s="41" t="s">
        <v>678</v>
      </c>
      <c r="F1661" s="41">
        <v>1</v>
      </c>
      <c r="G1661" s="41">
        <f>_xlfn.XLOOKUP(
 tblCostChecklist[[#This Row],[RequirementID]],
 tblCost[RequirementID],
 tblCost[QuantityRequired],
 ""
)</f>
        <v>200</v>
      </c>
      <c r="H16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1" s="41" t="str">
        <f>_xlfn.XLOOKUP(tblCostChecklist[[#This Row],[TargetID]],tblTargetStatus[TargetID],tblTargetStatus[Status])</f>
        <v>BLOCKED</v>
      </c>
      <c r="J1661" s="25" t="b">
        <v>0</v>
      </c>
    </row>
    <row r="1662" spans="1:10">
      <c r="A1662" s="41" t="s">
        <v>5299</v>
      </c>
      <c r="B1662" s="41" t="str">
        <f>_xlfn.TEXTAFTER(
 _xlfn.TEXTBEFORE(tblCostChecklist[[#This Row],[RequirementID]],".",-2),
 "cost."
)</f>
        <v>collection.pantry_3@2</v>
      </c>
      <c r="C1662" s="41" t="str">
        <f>_xlfn.XLOOKUP(tblCostChecklist[[#This Row],[TargetID]],tblTargets[TargetID],tblTargets[DisplayName],"")</f>
        <v>Pantry 3 Lv 2</v>
      </c>
      <c r="D1662" s="41" t="str">
        <f>_xlfn.XLOOKUP(tblCostChecklist[[#This Row],[TargetID]],tblTargets[TargetID],tblTargets[TargetType],"")</f>
        <v>COLLECTION</v>
      </c>
      <c r="E1662" s="41" t="s">
        <v>1810</v>
      </c>
      <c r="F1662" s="41">
        <v>1</v>
      </c>
      <c r="G1662" s="41">
        <f>_xlfn.XLOOKUP(
 tblCostChecklist[[#This Row],[RequirementID]],
 tblCost[RequirementID],
 tblCost[QuantityRequired],
 ""
)</f>
        <v>200</v>
      </c>
      <c r="H16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2" s="41" t="str">
        <f>_xlfn.XLOOKUP(tblCostChecklist[[#This Row],[TargetID]],tblTargetStatus[TargetID],tblTargetStatus[Status])</f>
        <v>BLOCKED</v>
      </c>
      <c r="J1662" s="25" t="b">
        <v>0</v>
      </c>
    </row>
    <row r="1663" spans="1:10">
      <c r="A1663" s="41" t="s">
        <v>5300</v>
      </c>
      <c r="B1663" s="41" t="str">
        <f>_xlfn.TEXTAFTER(
 _xlfn.TEXTBEFORE(tblCostChecklist[[#This Row],[RequirementID]],".",-2),
 "cost."
)</f>
        <v>collection.pantry_3@3</v>
      </c>
      <c r="C1663" s="41" t="str">
        <f>_xlfn.XLOOKUP(tblCostChecklist[[#This Row],[TargetID]],tblTargets[TargetID],tblTargets[DisplayName],"")</f>
        <v>Pantry 3 Lv 3</v>
      </c>
      <c r="D1663" s="41" t="str">
        <f>_xlfn.XLOOKUP(tblCostChecklist[[#This Row],[TargetID]],tblTargets[TargetID],tblTargets[TargetType],"")</f>
        <v>COLLECTION</v>
      </c>
      <c r="E1663" s="41" t="s">
        <v>663</v>
      </c>
      <c r="F1663" s="41">
        <v>1</v>
      </c>
      <c r="G1663" s="41">
        <f>_xlfn.XLOOKUP(
 tblCostChecklist[[#This Row],[RequirementID]],
 tblCost[RequirementID],
 tblCost[QuantityRequired],
 ""
)</f>
        <v>300</v>
      </c>
      <c r="H16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3" s="41" t="str">
        <f>_xlfn.XLOOKUP(tblCostChecklist[[#This Row],[TargetID]],tblTargetStatus[TargetID],tblTargetStatus[Status])</f>
        <v>BLOCKED</v>
      </c>
      <c r="J1663" s="25" t="b">
        <v>0</v>
      </c>
    </row>
    <row r="1664" spans="1:10">
      <c r="A1664" s="41" t="s">
        <v>5301</v>
      </c>
      <c r="B1664" s="41" t="str">
        <f>_xlfn.TEXTAFTER(
 _xlfn.TEXTBEFORE(tblCostChecklist[[#This Row],[RequirementID]],".",-2),
 "cost."
)</f>
        <v>collection.pantry_3@3</v>
      </c>
      <c r="C1664" s="41" t="str">
        <f>_xlfn.XLOOKUP(tblCostChecklist[[#This Row],[TargetID]],tblTargets[TargetID],tblTargets[DisplayName],"")</f>
        <v>Pantry 3 Lv 3</v>
      </c>
      <c r="D1664" s="41" t="str">
        <f>_xlfn.XLOOKUP(tblCostChecklist[[#This Row],[TargetID]],tblTargets[TargetID],tblTargets[TargetType],"")</f>
        <v>COLLECTION</v>
      </c>
      <c r="E1664" s="41" t="s">
        <v>664</v>
      </c>
      <c r="F1664" s="41">
        <v>1</v>
      </c>
      <c r="G1664" s="41">
        <f>_xlfn.XLOOKUP(
 tblCostChecklist[[#This Row],[RequirementID]],
 tblCost[RequirementID],
 tblCost[QuantityRequired],
 ""
)</f>
        <v>300</v>
      </c>
      <c r="H16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4" s="41" t="str">
        <f>_xlfn.XLOOKUP(tblCostChecklist[[#This Row],[TargetID]],tblTargetStatus[TargetID],tblTargetStatus[Status])</f>
        <v>BLOCKED</v>
      </c>
      <c r="J1664" s="25" t="b">
        <v>0</v>
      </c>
    </row>
    <row r="1665" spans="1:10">
      <c r="A1665" s="41" t="s">
        <v>5302</v>
      </c>
      <c r="B1665" s="41" t="str">
        <f>_xlfn.TEXTAFTER(
 _xlfn.TEXTBEFORE(tblCostChecklist[[#This Row],[RequirementID]],".",-2),
 "cost."
)</f>
        <v>collection.pantry_3@3</v>
      </c>
      <c r="C1665" s="41" t="str">
        <f>_xlfn.XLOOKUP(tblCostChecklist[[#This Row],[TargetID]],tblTargets[TargetID],tblTargets[DisplayName],"")</f>
        <v>Pantry 3 Lv 3</v>
      </c>
      <c r="D1665" s="41" t="str">
        <f>_xlfn.XLOOKUP(tblCostChecklist[[#This Row],[TargetID]],tblTargets[TargetID],tblTargets[TargetType],"")</f>
        <v>COLLECTION</v>
      </c>
      <c r="E1665" s="41" t="s">
        <v>678</v>
      </c>
      <c r="F1665" s="41">
        <v>1</v>
      </c>
      <c r="G1665" s="41">
        <f>_xlfn.XLOOKUP(
 tblCostChecklist[[#This Row],[RequirementID]],
 tblCost[RequirementID],
 tblCost[QuantityRequired],
 ""
)</f>
        <v>300</v>
      </c>
      <c r="H16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5" s="41" t="str">
        <f>_xlfn.XLOOKUP(tblCostChecklist[[#This Row],[TargetID]],tblTargetStatus[TargetID],tblTargetStatus[Status])</f>
        <v>BLOCKED</v>
      </c>
      <c r="J1665" s="25" t="b">
        <v>0</v>
      </c>
    </row>
    <row r="1666" spans="1:10">
      <c r="A1666" s="41" t="s">
        <v>5303</v>
      </c>
      <c r="B1666" s="41" t="str">
        <f>_xlfn.TEXTAFTER(
 _xlfn.TEXTBEFORE(tblCostChecklist[[#This Row],[RequirementID]],".",-2),
 "cost."
)</f>
        <v>collection.pantry_3@3</v>
      </c>
      <c r="C1666" s="41" t="str">
        <f>_xlfn.XLOOKUP(tblCostChecklist[[#This Row],[TargetID]],tblTargets[TargetID],tblTargets[DisplayName],"")</f>
        <v>Pantry 3 Lv 3</v>
      </c>
      <c r="D1666" s="41" t="str">
        <f>_xlfn.XLOOKUP(tblCostChecklist[[#This Row],[TargetID]],tblTargets[TargetID],tblTargets[TargetType],"")</f>
        <v>COLLECTION</v>
      </c>
      <c r="E1666" s="41" t="s">
        <v>1810</v>
      </c>
      <c r="F1666" s="41">
        <v>1</v>
      </c>
      <c r="G1666" s="41">
        <f>_xlfn.XLOOKUP(
 tblCostChecklist[[#This Row],[RequirementID]],
 tblCost[RequirementID],
 tblCost[QuantityRequired],
 ""
)</f>
        <v>300</v>
      </c>
      <c r="H16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6" s="41" t="str">
        <f>_xlfn.XLOOKUP(tblCostChecklist[[#This Row],[TargetID]],tblTargetStatus[TargetID],tblTargetStatus[Status])</f>
        <v>BLOCKED</v>
      </c>
      <c r="J1666" s="25" t="b">
        <v>0</v>
      </c>
    </row>
    <row r="1667" spans="1:10">
      <c r="A1667" s="41" t="s">
        <v>5304</v>
      </c>
      <c r="B1667" s="41" t="str">
        <f>_xlfn.TEXTAFTER(
 _xlfn.TEXTBEFORE(tblCostChecklist[[#This Row],[RequirementID]],".",-2),
 "cost."
)</f>
        <v>collection.pantry_3@4</v>
      </c>
      <c r="C1667" s="41" t="str">
        <f>_xlfn.XLOOKUP(tblCostChecklist[[#This Row],[TargetID]],tblTargets[TargetID],tblTargets[DisplayName],"")</f>
        <v>Pantry 3 Lv 4</v>
      </c>
      <c r="D1667" s="41" t="str">
        <f>_xlfn.XLOOKUP(tblCostChecklist[[#This Row],[TargetID]],tblTargets[TargetID],tblTargets[TargetType],"")</f>
        <v>COLLECTION</v>
      </c>
      <c r="E1667" s="41" t="s">
        <v>663</v>
      </c>
      <c r="F1667" s="41">
        <v>1</v>
      </c>
      <c r="G1667" s="41">
        <f>_xlfn.XLOOKUP(
 tblCostChecklist[[#This Row],[RequirementID]],
 tblCost[RequirementID],
 tblCost[QuantityRequired],
 ""
)</f>
        <v>400</v>
      </c>
      <c r="H16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7" s="41" t="str">
        <f>_xlfn.XLOOKUP(tblCostChecklist[[#This Row],[TargetID]],tblTargetStatus[TargetID],tblTargetStatus[Status])</f>
        <v>BLOCKED</v>
      </c>
      <c r="J1667" s="25" t="b">
        <v>0</v>
      </c>
    </row>
    <row r="1668" spans="1:10">
      <c r="A1668" s="41" t="s">
        <v>5305</v>
      </c>
      <c r="B1668" s="41" t="str">
        <f>_xlfn.TEXTAFTER(
 _xlfn.TEXTBEFORE(tblCostChecklist[[#This Row],[RequirementID]],".",-2),
 "cost."
)</f>
        <v>collection.pantry_3@4</v>
      </c>
      <c r="C1668" s="41" t="str">
        <f>_xlfn.XLOOKUP(tblCostChecklist[[#This Row],[TargetID]],tblTargets[TargetID],tblTargets[DisplayName],"")</f>
        <v>Pantry 3 Lv 4</v>
      </c>
      <c r="D1668" s="41" t="str">
        <f>_xlfn.XLOOKUP(tblCostChecklist[[#This Row],[TargetID]],tblTargets[TargetID],tblTargets[TargetType],"")</f>
        <v>COLLECTION</v>
      </c>
      <c r="E1668" s="41" t="s">
        <v>664</v>
      </c>
      <c r="F1668" s="41">
        <v>1</v>
      </c>
      <c r="G1668" s="41">
        <f>_xlfn.XLOOKUP(
 tblCostChecklist[[#This Row],[RequirementID]],
 tblCost[RequirementID],
 tblCost[QuantityRequired],
 ""
)</f>
        <v>400</v>
      </c>
      <c r="H16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8" s="41" t="str">
        <f>_xlfn.XLOOKUP(tblCostChecklist[[#This Row],[TargetID]],tblTargetStatus[TargetID],tblTargetStatus[Status])</f>
        <v>BLOCKED</v>
      </c>
      <c r="J1668" s="25" t="b">
        <v>0</v>
      </c>
    </row>
    <row r="1669" spans="1:10">
      <c r="A1669" s="41" t="s">
        <v>5306</v>
      </c>
      <c r="B1669" s="41" t="str">
        <f>_xlfn.TEXTAFTER(
 _xlfn.TEXTBEFORE(tblCostChecklist[[#This Row],[RequirementID]],".",-2),
 "cost."
)</f>
        <v>collection.pantry_3@4</v>
      </c>
      <c r="C1669" s="41" t="str">
        <f>_xlfn.XLOOKUP(tblCostChecklist[[#This Row],[TargetID]],tblTargets[TargetID],tblTargets[DisplayName],"")</f>
        <v>Pantry 3 Lv 4</v>
      </c>
      <c r="D1669" s="41" t="str">
        <f>_xlfn.XLOOKUP(tblCostChecklist[[#This Row],[TargetID]],tblTargets[TargetID],tblTargets[TargetType],"")</f>
        <v>COLLECTION</v>
      </c>
      <c r="E1669" s="41" t="s">
        <v>678</v>
      </c>
      <c r="F1669" s="41">
        <v>1</v>
      </c>
      <c r="G1669" s="41">
        <f>_xlfn.XLOOKUP(
 tblCostChecklist[[#This Row],[RequirementID]],
 tblCost[RequirementID],
 tblCost[QuantityRequired],
 ""
)</f>
        <v>400</v>
      </c>
      <c r="H16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9" s="41" t="str">
        <f>_xlfn.XLOOKUP(tblCostChecklist[[#This Row],[TargetID]],tblTargetStatus[TargetID],tblTargetStatus[Status])</f>
        <v>BLOCKED</v>
      </c>
      <c r="J1669" s="25" t="b">
        <v>0</v>
      </c>
    </row>
    <row r="1670" spans="1:10">
      <c r="A1670" s="41" t="s">
        <v>5307</v>
      </c>
      <c r="B1670" s="41" t="str">
        <f>_xlfn.TEXTAFTER(
 _xlfn.TEXTBEFORE(tblCostChecklist[[#This Row],[RequirementID]],".",-2),
 "cost."
)</f>
        <v>collection.pantry_3@4</v>
      </c>
      <c r="C1670" s="41" t="str">
        <f>_xlfn.XLOOKUP(tblCostChecklist[[#This Row],[TargetID]],tblTargets[TargetID],tblTargets[DisplayName],"")</f>
        <v>Pantry 3 Lv 4</v>
      </c>
      <c r="D1670" s="41" t="str">
        <f>_xlfn.XLOOKUP(tblCostChecklist[[#This Row],[TargetID]],tblTargets[TargetID],tblTargets[TargetType],"")</f>
        <v>COLLECTION</v>
      </c>
      <c r="E1670" s="41" t="s">
        <v>1810</v>
      </c>
      <c r="F1670" s="41">
        <v>1</v>
      </c>
      <c r="G1670" s="41">
        <f>_xlfn.XLOOKUP(
 tblCostChecklist[[#This Row],[RequirementID]],
 tblCost[RequirementID],
 tblCost[QuantityRequired],
 ""
)</f>
        <v>400</v>
      </c>
      <c r="H16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0" s="41" t="str">
        <f>_xlfn.XLOOKUP(tblCostChecklist[[#This Row],[TargetID]],tblTargetStatus[TargetID],tblTargetStatus[Status])</f>
        <v>BLOCKED</v>
      </c>
      <c r="J1670" s="25" t="b">
        <v>0</v>
      </c>
    </row>
    <row r="1671" spans="1:10">
      <c r="A1671" s="41" t="s">
        <v>5308</v>
      </c>
      <c r="B1671" s="41" t="str">
        <f>_xlfn.TEXTAFTER(
 _xlfn.TEXTBEFORE(tblCostChecklist[[#This Row],[RequirementID]],".",-2),
 "cost."
)</f>
        <v>collection.pantry_3@5</v>
      </c>
      <c r="C1671" s="41" t="str">
        <f>_xlfn.XLOOKUP(tblCostChecklist[[#This Row],[TargetID]],tblTargets[TargetID],tblTargets[DisplayName],"")</f>
        <v>Pantry 3 Lv 5</v>
      </c>
      <c r="D1671" s="41" t="str">
        <f>_xlfn.XLOOKUP(tblCostChecklist[[#This Row],[TargetID]],tblTargets[TargetID],tblTargets[TargetType],"")</f>
        <v>COLLECTION</v>
      </c>
      <c r="E1671" s="41" t="s">
        <v>663</v>
      </c>
      <c r="F1671" s="41">
        <v>1</v>
      </c>
      <c r="G1671" s="41">
        <f>_xlfn.XLOOKUP(
 tblCostChecklist[[#This Row],[RequirementID]],
 tblCost[RequirementID],
 tblCost[QuantityRequired],
 ""
)</f>
        <v>500</v>
      </c>
      <c r="H16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1671" s="41" t="str">
        <f>_xlfn.XLOOKUP(tblCostChecklist[[#This Row],[TargetID]],tblTargetStatus[TargetID],tblTargetStatus[Status])</f>
        <v>BLOCKED</v>
      </c>
      <c r="J1671" s="25" t="b">
        <v>0</v>
      </c>
    </row>
    <row r="1672" spans="1:10">
      <c r="A1672" s="41" t="s">
        <v>5309</v>
      </c>
      <c r="B1672" s="41" t="str">
        <f>_xlfn.TEXTAFTER(
 _xlfn.TEXTBEFORE(tblCostChecklist[[#This Row],[RequirementID]],".",-2),
 "cost."
)</f>
        <v>collection.pantry_3@5</v>
      </c>
      <c r="C1672" s="41" t="str">
        <f>_xlfn.XLOOKUP(tblCostChecklist[[#This Row],[TargetID]],tblTargets[TargetID],tblTargets[DisplayName],"")</f>
        <v>Pantry 3 Lv 5</v>
      </c>
      <c r="D1672" s="41" t="str">
        <f>_xlfn.XLOOKUP(tblCostChecklist[[#This Row],[TargetID]],tblTargets[TargetID],tblTargets[TargetType],"")</f>
        <v>COLLECTION</v>
      </c>
      <c r="E1672" s="41" t="s">
        <v>664</v>
      </c>
      <c r="F1672" s="41">
        <v>1</v>
      </c>
      <c r="G1672" s="41">
        <f>_xlfn.XLOOKUP(
 tblCostChecklist[[#This Row],[RequirementID]],
 tblCost[RequirementID],
 tblCost[QuantityRequired],
 ""
)</f>
        <v>500</v>
      </c>
      <c r="H16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1672" s="41" t="str">
        <f>_xlfn.XLOOKUP(tblCostChecklist[[#This Row],[TargetID]],tblTargetStatus[TargetID],tblTargetStatus[Status])</f>
        <v>BLOCKED</v>
      </c>
      <c r="J1672" s="25" t="b">
        <v>0</v>
      </c>
    </row>
    <row r="1673" spans="1:10">
      <c r="A1673" s="41" t="s">
        <v>5310</v>
      </c>
      <c r="B1673" s="41" t="str">
        <f>_xlfn.TEXTAFTER(
 _xlfn.TEXTBEFORE(tblCostChecklist[[#This Row],[RequirementID]],".",-2),
 "cost."
)</f>
        <v>collection.pantry_3@5</v>
      </c>
      <c r="C1673" s="41" t="str">
        <f>_xlfn.XLOOKUP(tblCostChecklist[[#This Row],[TargetID]],tblTargets[TargetID],tblTargets[DisplayName],"")</f>
        <v>Pantry 3 Lv 5</v>
      </c>
      <c r="D1673" s="41" t="str">
        <f>_xlfn.XLOOKUP(tblCostChecklist[[#This Row],[TargetID]],tblTargets[TargetID],tblTargets[TargetType],"")</f>
        <v>COLLECTION</v>
      </c>
      <c r="E1673" s="41" t="s">
        <v>678</v>
      </c>
      <c r="F1673" s="41">
        <v>1</v>
      </c>
      <c r="G1673" s="41">
        <f>_xlfn.XLOOKUP(
 tblCostChecklist[[#This Row],[RequirementID]],
 tblCost[RequirementID],
 tblCost[QuantityRequired],
 ""
)</f>
        <v>500</v>
      </c>
      <c r="H16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1673" s="41" t="str">
        <f>_xlfn.XLOOKUP(tblCostChecklist[[#This Row],[TargetID]],tblTargetStatus[TargetID],tblTargetStatus[Status])</f>
        <v>BLOCKED</v>
      </c>
      <c r="J1673" s="25" t="b">
        <v>0</v>
      </c>
    </row>
    <row r="1674" spans="1:10">
      <c r="A1674" s="41" t="s">
        <v>5311</v>
      </c>
      <c r="B1674" s="41" t="str">
        <f>_xlfn.TEXTAFTER(
 _xlfn.TEXTBEFORE(tblCostChecklist[[#This Row],[RequirementID]],".",-2),
 "cost."
)</f>
        <v>collection.pantry_3@5</v>
      </c>
      <c r="C1674" s="41" t="str">
        <f>_xlfn.XLOOKUP(tblCostChecklist[[#This Row],[TargetID]],tblTargets[TargetID],tblTargets[DisplayName],"")</f>
        <v>Pantry 3 Lv 5</v>
      </c>
      <c r="D1674" s="41" t="str">
        <f>_xlfn.XLOOKUP(tblCostChecklist[[#This Row],[TargetID]],tblTargets[TargetID],tblTargets[TargetType],"")</f>
        <v>COLLECTION</v>
      </c>
      <c r="E1674" s="41" t="s">
        <v>1810</v>
      </c>
      <c r="F1674" s="41">
        <v>1</v>
      </c>
      <c r="G1674" s="41">
        <f>_xlfn.XLOOKUP(
 tblCostChecklist[[#This Row],[RequirementID]],
 tblCost[RequirementID],
 tblCost[QuantityRequired],
 ""
)</f>
        <v>500</v>
      </c>
      <c r="H16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1674" s="41" t="str">
        <f>_xlfn.XLOOKUP(tblCostChecklist[[#This Row],[TargetID]],tblTargetStatus[TargetID],tblTargetStatus[Status])</f>
        <v>BLOCKED</v>
      </c>
      <c r="J1674" s="25" t="b">
        <v>0</v>
      </c>
    </row>
    <row r="1675" spans="1:10">
      <c r="A1675" s="41" t="s">
        <v>5312</v>
      </c>
      <c r="B1675" s="41" t="str">
        <f>_xlfn.TEXTAFTER(
 _xlfn.TEXTBEFORE(tblCostChecklist[[#This Row],[RequirementID]],".",-2),
 "cost."
)</f>
        <v>collection.pantry_4@1</v>
      </c>
      <c r="C1675" s="41" t="str">
        <f>_xlfn.XLOOKUP(tblCostChecklist[[#This Row],[TargetID]],tblTargets[TargetID],tblTargets[DisplayName],"")</f>
        <v>Pantry 4 Lv 1</v>
      </c>
      <c r="D1675" s="41" t="str">
        <f>_xlfn.XLOOKUP(tblCostChecklist[[#This Row],[TargetID]],tblTargets[TargetID],tblTargets[TargetType],"")</f>
        <v>COLLECTION</v>
      </c>
      <c r="E1675" s="41" t="s">
        <v>669</v>
      </c>
      <c r="F1675" s="41">
        <v>1</v>
      </c>
      <c r="G1675" s="41">
        <f>_xlfn.XLOOKUP(
 tblCostChecklist[[#This Row],[RequirementID]],
 tblCost[RequirementID],
 tblCost[QuantityRequired],
 ""
)</f>
        <v>20</v>
      </c>
      <c r="H16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5" s="41" t="str">
        <f>_xlfn.XLOOKUP(tblCostChecklist[[#This Row],[TargetID]],tblTargetStatus[TargetID],tblTargetStatus[Status])</f>
        <v>BLOCKED</v>
      </c>
      <c r="J1675" s="25" t="b">
        <v>0</v>
      </c>
    </row>
    <row r="1676" spans="1:10">
      <c r="A1676" s="41" t="s">
        <v>5313</v>
      </c>
      <c r="B1676" s="41" t="str">
        <f>_xlfn.TEXTAFTER(
 _xlfn.TEXTBEFORE(tblCostChecklist[[#This Row],[RequirementID]],".",-2),
 "cost."
)</f>
        <v>collection.pantry_4@1</v>
      </c>
      <c r="C1676" s="41" t="str">
        <f>_xlfn.XLOOKUP(tblCostChecklist[[#This Row],[TargetID]],tblTargets[TargetID],tblTargets[DisplayName],"")</f>
        <v>Pantry 4 Lv 1</v>
      </c>
      <c r="D1676" s="41" t="str">
        <f>_xlfn.XLOOKUP(tblCostChecklist[[#This Row],[TargetID]],tblTargets[TargetID],tblTargets[TargetType],"")</f>
        <v>COLLECTION</v>
      </c>
      <c r="E1676" s="41" t="s">
        <v>689</v>
      </c>
      <c r="F1676" s="41">
        <v>1</v>
      </c>
      <c r="G1676" s="41">
        <f>_xlfn.XLOOKUP(
 tblCostChecklist[[#This Row],[RequirementID]],
 tblCost[RequirementID],
 tblCost[QuantityRequired],
 ""
)</f>
        <v>20</v>
      </c>
      <c r="H16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6" s="41" t="str">
        <f>_xlfn.XLOOKUP(tblCostChecklist[[#This Row],[TargetID]],tblTargetStatus[TargetID],tblTargetStatus[Status])</f>
        <v>BLOCKED</v>
      </c>
      <c r="J1676" s="25" t="b">
        <v>0</v>
      </c>
    </row>
    <row r="1677" spans="1:10">
      <c r="A1677" s="41" t="s">
        <v>5314</v>
      </c>
      <c r="B1677" s="41" t="str">
        <f>_xlfn.TEXTAFTER(
 _xlfn.TEXTBEFORE(tblCostChecklist[[#This Row],[RequirementID]],".",-2),
 "cost."
)</f>
        <v>collection.pantry_4@1</v>
      </c>
      <c r="C1677" s="41" t="str">
        <f>_xlfn.XLOOKUP(tblCostChecklist[[#This Row],[TargetID]],tblTargets[TargetID],tblTargets[DisplayName],"")</f>
        <v>Pantry 4 Lv 1</v>
      </c>
      <c r="D1677" s="41" t="str">
        <f>_xlfn.XLOOKUP(tblCostChecklist[[#This Row],[TargetID]],tblTargets[TargetID],tblTargets[TargetType],"")</f>
        <v>COLLECTION</v>
      </c>
      <c r="E1677" s="41" t="s">
        <v>1849</v>
      </c>
      <c r="F1677" s="41">
        <v>1</v>
      </c>
      <c r="G1677" s="41">
        <f>_xlfn.XLOOKUP(
 tblCostChecklist[[#This Row],[RequirementID]],
 tblCost[RequirementID],
 tblCost[QuantityRequired],
 ""
)</f>
        <v>10</v>
      </c>
      <c r="H16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7" s="41" t="str">
        <f>_xlfn.XLOOKUP(tblCostChecklist[[#This Row],[TargetID]],tblTargetStatus[TargetID],tblTargetStatus[Status])</f>
        <v>BLOCKED</v>
      </c>
      <c r="J1677" s="25" t="b">
        <v>0</v>
      </c>
    </row>
    <row r="1678" spans="1:10">
      <c r="A1678" s="41" t="s">
        <v>5315</v>
      </c>
      <c r="B1678" s="41" t="str">
        <f>_xlfn.TEXTAFTER(
 _xlfn.TEXTBEFORE(tblCostChecklist[[#This Row],[RequirementID]],".",-2),
 "cost."
)</f>
        <v>collection.statue@1</v>
      </c>
      <c r="C1678" s="41" t="str">
        <f>_xlfn.XLOOKUP(tblCostChecklist[[#This Row],[TargetID]],tblTargets[TargetID],tblTargets[DisplayName],"")</f>
        <v>Statue Lv 1</v>
      </c>
      <c r="D1678" s="41" t="str">
        <f>_xlfn.XLOOKUP(tblCostChecklist[[#This Row],[TargetID]],tblTargets[TargetID],tblTargets[TargetType],"")</f>
        <v>COLLECTION</v>
      </c>
      <c r="E1678" s="41" t="s">
        <v>717</v>
      </c>
      <c r="F1678" s="41">
        <v>1</v>
      </c>
      <c r="G1678" s="41">
        <f>_xlfn.XLOOKUP(
 tblCostChecklist[[#This Row],[RequirementID]],
 tblCost[RequirementID],
 tblCost[QuantityRequired],
 ""
)</f>
        <v>200</v>
      </c>
      <c r="H16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8" s="41" t="str">
        <f>_xlfn.XLOOKUP(tblCostChecklist[[#This Row],[TargetID]],tblTargetStatus[TargetID],tblTargetStatus[Status])</f>
        <v>BLOCKED</v>
      </c>
      <c r="J1678" s="25" t="b">
        <v>0</v>
      </c>
    </row>
    <row r="1679" spans="1:10">
      <c r="A1679" s="41" t="s">
        <v>5316</v>
      </c>
      <c r="B1679" s="41" t="str">
        <f>_xlfn.TEXTAFTER(
 _xlfn.TEXTBEFORE(tblCostChecklist[[#This Row],[RequirementID]],".",-2),
 "cost."
)</f>
        <v>collection.tavern@1</v>
      </c>
      <c r="C1679" s="41" t="str">
        <f>_xlfn.XLOOKUP(tblCostChecklist[[#This Row],[TargetID]],tblTargets[TargetID],tblTargets[DisplayName],"")</f>
        <v>Tavern Lv 1</v>
      </c>
      <c r="D1679" s="41" t="str">
        <f>_xlfn.XLOOKUP(tblCostChecklist[[#This Row],[TargetID]],tblTargets[TargetID],tblTargets[TargetType],"")</f>
        <v>COLLECTION</v>
      </c>
      <c r="E1679" s="41" t="s">
        <v>1793</v>
      </c>
      <c r="F1679" s="41">
        <v>1</v>
      </c>
      <c r="G1679" s="41">
        <f>_xlfn.XLOOKUP(
 tblCostChecklist[[#This Row],[RequirementID]],
 tblCost[RequirementID],
 tblCost[QuantityRequired],
 ""
)</f>
        <v>10</v>
      </c>
      <c r="H16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9" s="41" t="str">
        <f>_xlfn.XLOOKUP(tblCostChecklist[[#This Row],[TargetID]],tblTargetStatus[TargetID],tblTargetStatus[Status])</f>
        <v>BLOCKED</v>
      </c>
      <c r="J1679" s="25" t="b">
        <v>0</v>
      </c>
    </row>
    <row r="1680" spans="1:10">
      <c r="A1680" s="41" t="s">
        <v>5317</v>
      </c>
      <c r="B1680" s="41" t="str">
        <f>_xlfn.TEXTAFTER(
 _xlfn.TEXTBEFORE(tblCostChecklist[[#This Row],[RequirementID]],".",-2),
 "cost."
)</f>
        <v>collection.tavern@1</v>
      </c>
      <c r="C1680" s="41" t="str">
        <f>_xlfn.XLOOKUP(tblCostChecklist[[#This Row],[TargetID]],tblTargets[TargetID],tblTargets[DisplayName],"")</f>
        <v>Tavern Lv 1</v>
      </c>
      <c r="D1680" s="41" t="str">
        <f>_xlfn.XLOOKUP(tblCostChecklist[[#This Row],[TargetID]],tblTargets[TargetID],tblTargets[TargetType],"")</f>
        <v>COLLECTION</v>
      </c>
      <c r="E1680" s="41" t="s">
        <v>1801</v>
      </c>
      <c r="F1680" s="41">
        <v>1</v>
      </c>
      <c r="G1680" s="41">
        <f>_xlfn.XLOOKUP(
 tblCostChecklist[[#This Row],[RequirementID]],
 tblCost[RequirementID],
 tblCost[QuantityRequired],
 ""
)</f>
        <v>10</v>
      </c>
      <c r="H16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0" s="41" t="str">
        <f>_xlfn.XLOOKUP(tblCostChecklist[[#This Row],[TargetID]],tblTargetStatus[TargetID],tblTargetStatus[Status])</f>
        <v>BLOCKED</v>
      </c>
      <c r="J1680" s="25" t="b">
        <v>0</v>
      </c>
    </row>
    <row r="1681" spans="1:10">
      <c r="A1681" s="41" t="s">
        <v>5318</v>
      </c>
      <c r="B1681" s="41" t="str">
        <f>_xlfn.TEXTAFTER(
 _xlfn.TEXTBEFORE(tblCostChecklist[[#This Row],[RequirementID]],".",-2),
 "cost."
)</f>
        <v>collection.tavern@1</v>
      </c>
      <c r="C1681" s="41" t="str">
        <f>_xlfn.XLOOKUP(tblCostChecklist[[#This Row],[TargetID]],tblTargets[TargetID],tblTargets[DisplayName],"")</f>
        <v>Tavern Lv 1</v>
      </c>
      <c r="D1681" s="41" t="str">
        <f>_xlfn.XLOOKUP(tblCostChecklist[[#This Row],[TargetID]],tblTargets[TargetID],tblTargets[TargetType],"")</f>
        <v>COLLECTION</v>
      </c>
      <c r="E1681" s="41" t="s">
        <v>1805</v>
      </c>
      <c r="F1681" s="41">
        <v>1</v>
      </c>
      <c r="G1681" s="41">
        <f>_xlfn.XLOOKUP(
 tblCostChecklist[[#This Row],[RequirementID]],
 tblCost[RequirementID],
 tblCost[QuantityRequired],
 ""
)</f>
        <v>10</v>
      </c>
      <c r="H16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1" s="41" t="str">
        <f>_xlfn.XLOOKUP(tblCostChecklist[[#This Row],[TargetID]],tblTargetStatus[TargetID],tblTargetStatus[Status])</f>
        <v>BLOCKED</v>
      </c>
      <c r="J1681" s="25" t="b">
        <v>0</v>
      </c>
    </row>
    <row r="1682" spans="1:10">
      <c r="A1682" s="41" t="s">
        <v>5319</v>
      </c>
      <c r="B1682" s="41" t="str">
        <f>_xlfn.TEXTAFTER(
 _xlfn.TEXTBEFORE(tblCostChecklist[[#This Row],[RequirementID]],".",-2),
 "cost."
)</f>
        <v>collection.tavern@1</v>
      </c>
      <c r="C1682" s="41" t="str">
        <f>_xlfn.XLOOKUP(tblCostChecklist[[#This Row],[TargetID]],tblTargets[TargetID],tblTargets[DisplayName],"")</f>
        <v>Tavern Lv 1</v>
      </c>
      <c r="D1682" s="41" t="str">
        <f>_xlfn.XLOOKUP(tblCostChecklist[[#This Row],[TargetID]],tblTargets[TargetID],tblTargets[TargetType],"")</f>
        <v>COLLECTION</v>
      </c>
      <c r="E1682" s="41" t="s">
        <v>1814</v>
      </c>
      <c r="F1682" s="41">
        <v>1</v>
      </c>
      <c r="G1682" s="41">
        <f>_xlfn.XLOOKUP(
 tblCostChecklist[[#This Row],[RequirementID]],
 tblCost[RequirementID],
 tblCost[QuantityRequired],
 ""
)</f>
        <v>20</v>
      </c>
      <c r="H16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2" s="41" t="str">
        <f>_xlfn.XLOOKUP(tblCostChecklist[[#This Row],[TargetID]],tblTargetStatus[TargetID],tblTargetStatus[Status])</f>
        <v>BLOCKED</v>
      </c>
      <c r="J1682" s="25" t="b">
        <v>0</v>
      </c>
    </row>
    <row r="1683" spans="1:10">
      <c r="A1683" s="41" t="s">
        <v>5320</v>
      </c>
      <c r="B1683" s="41" t="str">
        <f>_xlfn.TEXTAFTER(
 _xlfn.TEXTBEFORE(tblCostChecklist[[#This Row],[RequirementID]],".",-2),
 "cost."
)</f>
        <v>collection.tavern@1</v>
      </c>
      <c r="C1683" s="41" t="str">
        <f>_xlfn.XLOOKUP(tblCostChecklist[[#This Row],[TargetID]],tblTargets[TargetID],tblTargets[DisplayName],"")</f>
        <v>Tavern Lv 1</v>
      </c>
      <c r="D1683" s="41" t="str">
        <f>_xlfn.XLOOKUP(tblCostChecklist[[#This Row],[TargetID]],tblTargets[TargetID],tblTargets[TargetType],"")</f>
        <v>COLLECTION</v>
      </c>
      <c r="E1683" s="41" t="s">
        <v>1821</v>
      </c>
      <c r="F1683" s="41">
        <v>1</v>
      </c>
      <c r="G1683" s="41">
        <f>_xlfn.XLOOKUP(
 tblCostChecklist[[#This Row],[RequirementID]],
 tblCost[RequirementID],
 tblCost[QuantityRequired],
 ""
)</f>
        <v>10</v>
      </c>
      <c r="H16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3" s="41" t="str">
        <f>_xlfn.XLOOKUP(tblCostChecklist[[#This Row],[TargetID]],tblTargetStatus[TargetID],tblTargetStatus[Status])</f>
        <v>BLOCKED</v>
      </c>
      <c r="J1683" s="25" t="b">
        <v>0</v>
      </c>
    </row>
    <row r="1684" spans="1:10">
      <c r="A1684" s="41" t="s">
        <v>5321</v>
      </c>
      <c r="B1684" s="41" t="str">
        <f>_xlfn.TEXTAFTER(
 _xlfn.TEXTBEFORE(tblCostChecklist[[#This Row],[RequirementID]],".",-2),
 "cost."
)</f>
        <v>collection.tavern@1</v>
      </c>
      <c r="C1684" s="41" t="str">
        <f>_xlfn.XLOOKUP(tblCostChecklist[[#This Row],[TargetID]],tblTargets[TargetID],tblTargets[DisplayName],"")</f>
        <v>Tavern Lv 1</v>
      </c>
      <c r="D1684" s="41" t="str">
        <f>_xlfn.XLOOKUP(tblCostChecklist[[#This Row],[TargetID]],tblTargets[TargetID],tblTargets[TargetType],"")</f>
        <v>COLLECTION</v>
      </c>
      <c r="E1684" s="41" t="s">
        <v>704</v>
      </c>
      <c r="F1684" s="41">
        <v>1</v>
      </c>
      <c r="G1684" s="41">
        <f>_xlfn.XLOOKUP(
 tblCostChecklist[[#This Row],[RequirementID]],
 tblCost[RequirementID],
 tblCost[QuantityRequired],
 ""
)</f>
        <v>10</v>
      </c>
      <c r="H16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4" s="41" t="str">
        <f>_xlfn.XLOOKUP(tblCostChecklist[[#This Row],[TargetID]],tblTargetStatus[TargetID],tblTargetStatus[Status])</f>
        <v>BLOCKED</v>
      </c>
      <c r="J1684" s="25" t="b">
        <v>0</v>
      </c>
    </row>
    <row r="1685" spans="1:10">
      <c r="A1685" s="41" t="s">
        <v>5322</v>
      </c>
      <c r="B1685" s="41" t="str">
        <f>_xlfn.TEXTAFTER(
 _xlfn.TEXTBEFORE(tblCostChecklist[[#This Row],[RequirementID]],".",-2),
 "cost."
)</f>
        <v>collection.tavern@1</v>
      </c>
      <c r="C1685" s="41" t="str">
        <f>_xlfn.XLOOKUP(tblCostChecklist[[#This Row],[TargetID]],tblTargets[TargetID],tblTargets[DisplayName],"")</f>
        <v>Tavern Lv 1</v>
      </c>
      <c r="D1685" s="41" t="str">
        <f>_xlfn.XLOOKUP(tblCostChecklist[[#This Row],[TargetID]],tblTargets[TargetID],tblTargets[TargetType],"")</f>
        <v>COLLECTION</v>
      </c>
      <c r="E1685" s="41" t="s">
        <v>1839</v>
      </c>
      <c r="F1685" s="41">
        <v>1</v>
      </c>
      <c r="G1685" s="41">
        <f>_xlfn.XLOOKUP(
 tblCostChecklist[[#This Row],[RequirementID]],
 tblCost[RequirementID],
 tblCost[QuantityRequired],
 ""
)</f>
        <v>10</v>
      </c>
      <c r="H16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5" s="41" t="str">
        <f>_xlfn.XLOOKUP(tblCostChecklist[[#This Row],[TargetID]],tblTargetStatus[TargetID],tblTargetStatus[Status])</f>
        <v>BLOCKED</v>
      </c>
      <c r="J1685" s="25" t="b">
        <v>0</v>
      </c>
    </row>
    <row r="1686" spans="1:10">
      <c r="A1686" s="41" t="s">
        <v>5323</v>
      </c>
      <c r="B1686" s="41" t="str">
        <f>_xlfn.TEXTAFTER(
 _xlfn.TEXTBEFORE(tblCostChecklist[[#This Row],[RequirementID]],".",-2),
 "cost."
)</f>
        <v>collection.tavern@1</v>
      </c>
      <c r="C1686" s="41" t="str">
        <f>_xlfn.XLOOKUP(tblCostChecklist[[#This Row],[TargetID]],tblTargets[TargetID],tblTargets[DisplayName],"")</f>
        <v>Tavern Lv 1</v>
      </c>
      <c r="D1686" s="41" t="str">
        <f>_xlfn.XLOOKUP(tblCostChecklist[[#This Row],[TargetID]],tblTargets[TargetID],tblTargets[TargetType],"")</f>
        <v>COLLECTION</v>
      </c>
      <c r="E1686" s="41" t="s">
        <v>718</v>
      </c>
      <c r="F1686" s="41">
        <v>1</v>
      </c>
      <c r="G1686" s="41">
        <f>_xlfn.XLOOKUP(
 tblCostChecklist[[#This Row],[RequirementID]],
 tblCost[RequirementID],
 tblCost[QuantityRequired],
 ""
)</f>
        <v>10</v>
      </c>
      <c r="H16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6" s="41" t="str">
        <f>_xlfn.XLOOKUP(tblCostChecklist[[#This Row],[TargetID]],tblTargetStatus[TargetID],tblTargetStatus[Status])</f>
        <v>BLOCKED</v>
      </c>
      <c r="J1686" s="25" t="b">
        <v>0</v>
      </c>
    </row>
    <row r="1687" spans="1:10">
      <c r="A1687" s="41" t="s">
        <v>5324</v>
      </c>
      <c r="B1687" s="41" t="str">
        <f>_xlfn.TEXTAFTER(
 _xlfn.TEXTBEFORE(tblCostChecklist[[#This Row],[RequirementID]],".",-2),
 "cost."
)</f>
        <v>collection.tavern@1</v>
      </c>
      <c r="C1687" s="41" t="str">
        <f>_xlfn.XLOOKUP(tblCostChecklist[[#This Row],[TargetID]],tblTargets[TargetID],tblTargets[DisplayName],"")</f>
        <v>Tavern Lv 1</v>
      </c>
      <c r="D1687" s="41" t="str">
        <f>_xlfn.XLOOKUP(tblCostChecklist[[#This Row],[TargetID]],tblTargets[TargetID],tblTargets[TargetType],"")</f>
        <v>COLLECTION</v>
      </c>
      <c r="E1687" s="41" t="s">
        <v>1848</v>
      </c>
      <c r="F1687" s="41">
        <v>1</v>
      </c>
      <c r="G1687" s="41">
        <f>_xlfn.XLOOKUP(
 tblCostChecklist[[#This Row],[RequirementID]],
 tblCost[RequirementID],
 tblCost[QuantityRequired],
 ""
)</f>
        <v>10</v>
      </c>
      <c r="H16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7" s="41" t="str">
        <f>_xlfn.XLOOKUP(tblCostChecklist[[#This Row],[TargetID]],tblTargetStatus[TargetID],tblTargetStatus[Status])</f>
        <v>BLOCKED</v>
      </c>
      <c r="J1687" s="25" t="b">
        <v>0</v>
      </c>
    </row>
    <row r="1688" spans="1:10">
      <c r="A1688" s="41" t="s">
        <v>5325</v>
      </c>
      <c r="B1688" s="41" t="str">
        <f>_xlfn.TEXTAFTER(
 _xlfn.TEXTBEFORE(tblCostChecklist[[#This Row],[RequirementID]],".",-2),
 "cost."
)</f>
        <v>collection.tavern@2</v>
      </c>
      <c r="C1688" s="41" t="str">
        <f>_xlfn.XLOOKUP(tblCostChecklist[[#This Row],[TargetID]],tblTargets[TargetID],tblTargets[DisplayName],"")</f>
        <v>Tavern Lv 2</v>
      </c>
      <c r="D1688" s="41" t="str">
        <f>_xlfn.XLOOKUP(tblCostChecklist[[#This Row],[TargetID]],tblTargets[TargetID],tblTargets[TargetType],"")</f>
        <v>COLLECTION</v>
      </c>
      <c r="E1688" s="41" t="s">
        <v>1793</v>
      </c>
      <c r="F1688" s="41">
        <v>1</v>
      </c>
      <c r="G1688" s="41">
        <f>_xlfn.XLOOKUP(
 tblCostChecklist[[#This Row],[RequirementID]],
 tblCost[RequirementID],
 tblCost[QuantityRequired],
 ""
)</f>
        <v>20</v>
      </c>
      <c r="H16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8" s="41" t="str">
        <f>_xlfn.XLOOKUP(tblCostChecklist[[#This Row],[TargetID]],tblTargetStatus[TargetID],tblTargetStatus[Status])</f>
        <v>BLOCKED</v>
      </c>
      <c r="J1688" s="25" t="b">
        <v>0</v>
      </c>
    </row>
    <row r="1689" spans="1:10">
      <c r="A1689" s="41" t="s">
        <v>5326</v>
      </c>
      <c r="B1689" s="41" t="str">
        <f>_xlfn.TEXTAFTER(
 _xlfn.TEXTBEFORE(tblCostChecklist[[#This Row],[RequirementID]],".",-2),
 "cost."
)</f>
        <v>collection.tavern@2</v>
      </c>
      <c r="C1689" s="41" t="str">
        <f>_xlfn.XLOOKUP(tblCostChecklist[[#This Row],[TargetID]],tblTargets[TargetID],tblTargets[DisplayName],"")</f>
        <v>Tavern Lv 2</v>
      </c>
      <c r="D1689" s="41" t="str">
        <f>_xlfn.XLOOKUP(tblCostChecklist[[#This Row],[TargetID]],tblTargets[TargetID],tblTargets[TargetType],"")</f>
        <v>COLLECTION</v>
      </c>
      <c r="E1689" s="41" t="s">
        <v>1801</v>
      </c>
      <c r="F1689" s="41">
        <v>1</v>
      </c>
      <c r="G1689" s="41">
        <f>_xlfn.XLOOKUP(
 tblCostChecklist[[#This Row],[RequirementID]],
 tblCost[RequirementID],
 tblCost[QuantityRequired],
 ""
)</f>
        <v>20</v>
      </c>
      <c r="H16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9" s="41" t="str">
        <f>_xlfn.XLOOKUP(tblCostChecklist[[#This Row],[TargetID]],tblTargetStatus[TargetID],tblTargetStatus[Status])</f>
        <v>BLOCKED</v>
      </c>
      <c r="J1689" s="25" t="b">
        <v>0</v>
      </c>
    </row>
    <row r="1690" spans="1:10">
      <c r="A1690" s="41" t="s">
        <v>5327</v>
      </c>
      <c r="B1690" s="41" t="str">
        <f>_xlfn.TEXTAFTER(
 _xlfn.TEXTBEFORE(tblCostChecklist[[#This Row],[RequirementID]],".",-2),
 "cost."
)</f>
        <v>collection.tavern@2</v>
      </c>
      <c r="C1690" s="41" t="str">
        <f>_xlfn.XLOOKUP(tblCostChecklist[[#This Row],[TargetID]],tblTargets[TargetID],tblTargets[DisplayName],"")</f>
        <v>Tavern Lv 2</v>
      </c>
      <c r="D1690" s="41" t="str">
        <f>_xlfn.XLOOKUP(tblCostChecklist[[#This Row],[TargetID]],tblTargets[TargetID],tblTargets[TargetType],"")</f>
        <v>COLLECTION</v>
      </c>
      <c r="E1690" s="41" t="s">
        <v>1805</v>
      </c>
      <c r="F1690" s="41">
        <v>1</v>
      </c>
      <c r="G1690" s="41">
        <f>_xlfn.XLOOKUP(
 tblCostChecklist[[#This Row],[RequirementID]],
 tblCost[RequirementID],
 tblCost[QuantityRequired],
 ""
)</f>
        <v>20</v>
      </c>
      <c r="H16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0" s="41" t="str">
        <f>_xlfn.XLOOKUP(tblCostChecklist[[#This Row],[TargetID]],tblTargetStatus[TargetID],tblTargetStatus[Status])</f>
        <v>BLOCKED</v>
      </c>
      <c r="J1690" s="25" t="b">
        <v>0</v>
      </c>
    </row>
    <row r="1691" spans="1:10">
      <c r="A1691" s="41" t="s">
        <v>5328</v>
      </c>
      <c r="B1691" s="41" t="str">
        <f>_xlfn.TEXTAFTER(
 _xlfn.TEXTBEFORE(tblCostChecklist[[#This Row],[RequirementID]],".",-2),
 "cost."
)</f>
        <v>collection.tavern@2</v>
      </c>
      <c r="C1691" s="41" t="str">
        <f>_xlfn.XLOOKUP(tblCostChecklist[[#This Row],[TargetID]],tblTargets[TargetID],tblTargets[DisplayName],"")</f>
        <v>Tavern Lv 2</v>
      </c>
      <c r="D1691" s="41" t="str">
        <f>_xlfn.XLOOKUP(tblCostChecklist[[#This Row],[TargetID]],tblTargets[TargetID],tblTargets[TargetType],"")</f>
        <v>COLLECTION</v>
      </c>
      <c r="E1691" s="41" t="s">
        <v>1814</v>
      </c>
      <c r="F1691" s="41">
        <v>1</v>
      </c>
      <c r="G1691" s="41">
        <f>_xlfn.XLOOKUP(
 tblCostChecklist[[#This Row],[RequirementID]],
 tblCost[RequirementID],
 tblCost[QuantityRequired],
 ""
)</f>
        <v>40</v>
      </c>
      <c r="H16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1" s="41" t="str">
        <f>_xlfn.XLOOKUP(tblCostChecklist[[#This Row],[TargetID]],tblTargetStatus[TargetID],tblTargetStatus[Status])</f>
        <v>BLOCKED</v>
      </c>
      <c r="J1691" s="25" t="b">
        <v>0</v>
      </c>
    </row>
    <row r="1692" spans="1:10">
      <c r="A1692" s="41" t="s">
        <v>5329</v>
      </c>
      <c r="B1692" s="41" t="str">
        <f>_xlfn.TEXTAFTER(
 _xlfn.TEXTBEFORE(tblCostChecklist[[#This Row],[RequirementID]],".",-2),
 "cost."
)</f>
        <v>collection.tavern@2</v>
      </c>
      <c r="C1692" s="41" t="str">
        <f>_xlfn.XLOOKUP(tblCostChecklist[[#This Row],[TargetID]],tblTargets[TargetID],tblTargets[DisplayName],"")</f>
        <v>Tavern Lv 2</v>
      </c>
      <c r="D1692" s="41" t="str">
        <f>_xlfn.XLOOKUP(tblCostChecklist[[#This Row],[TargetID]],tblTargets[TargetID],tblTargets[TargetType],"")</f>
        <v>COLLECTION</v>
      </c>
      <c r="E1692" s="41" t="s">
        <v>1821</v>
      </c>
      <c r="F1692" s="41">
        <v>1</v>
      </c>
      <c r="G1692" s="41">
        <f>_xlfn.XLOOKUP(
 tblCostChecklist[[#This Row],[RequirementID]],
 tblCost[RequirementID],
 tblCost[QuantityRequired],
 ""
)</f>
        <v>20</v>
      </c>
      <c r="H16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2" s="41" t="str">
        <f>_xlfn.XLOOKUP(tblCostChecklist[[#This Row],[TargetID]],tblTargetStatus[TargetID],tblTargetStatus[Status])</f>
        <v>BLOCKED</v>
      </c>
      <c r="J1692" s="25" t="b">
        <v>0</v>
      </c>
    </row>
    <row r="1693" spans="1:10">
      <c r="A1693" s="41" t="s">
        <v>5330</v>
      </c>
      <c r="B1693" s="41" t="str">
        <f>_xlfn.TEXTAFTER(
 _xlfn.TEXTBEFORE(tblCostChecklist[[#This Row],[RequirementID]],".",-2),
 "cost."
)</f>
        <v>collection.tavern@2</v>
      </c>
      <c r="C1693" s="41" t="str">
        <f>_xlfn.XLOOKUP(tblCostChecklist[[#This Row],[TargetID]],tblTargets[TargetID],tblTargets[DisplayName],"")</f>
        <v>Tavern Lv 2</v>
      </c>
      <c r="D1693" s="41" t="str">
        <f>_xlfn.XLOOKUP(tblCostChecklist[[#This Row],[TargetID]],tblTargets[TargetID],tblTargets[TargetType],"")</f>
        <v>COLLECTION</v>
      </c>
      <c r="E1693" s="41" t="s">
        <v>704</v>
      </c>
      <c r="F1693" s="41">
        <v>1</v>
      </c>
      <c r="G1693" s="41">
        <f>_xlfn.XLOOKUP(
 tblCostChecklist[[#This Row],[RequirementID]],
 tblCost[RequirementID],
 tblCost[QuantityRequired],
 ""
)</f>
        <v>20</v>
      </c>
      <c r="H16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3" s="41" t="str">
        <f>_xlfn.XLOOKUP(tblCostChecklist[[#This Row],[TargetID]],tblTargetStatus[TargetID],tblTargetStatus[Status])</f>
        <v>BLOCKED</v>
      </c>
      <c r="J1693" s="25" t="b">
        <v>0</v>
      </c>
    </row>
    <row r="1694" spans="1:10">
      <c r="A1694" s="41" t="s">
        <v>5331</v>
      </c>
      <c r="B1694" s="41" t="str">
        <f>_xlfn.TEXTAFTER(
 _xlfn.TEXTBEFORE(tblCostChecklist[[#This Row],[RequirementID]],".",-2),
 "cost."
)</f>
        <v>collection.tavern@2</v>
      </c>
      <c r="C1694" s="41" t="str">
        <f>_xlfn.XLOOKUP(tblCostChecklist[[#This Row],[TargetID]],tblTargets[TargetID],tblTargets[DisplayName],"")</f>
        <v>Tavern Lv 2</v>
      </c>
      <c r="D1694" s="41" t="str">
        <f>_xlfn.XLOOKUP(tblCostChecklist[[#This Row],[TargetID]],tblTargets[TargetID],tblTargets[TargetType],"")</f>
        <v>COLLECTION</v>
      </c>
      <c r="E1694" s="41" t="s">
        <v>1839</v>
      </c>
      <c r="F1694" s="41">
        <v>1</v>
      </c>
      <c r="G1694" s="41">
        <f>_xlfn.XLOOKUP(
 tblCostChecklist[[#This Row],[RequirementID]],
 tblCost[RequirementID],
 tblCost[QuantityRequired],
 ""
)</f>
        <v>20</v>
      </c>
      <c r="H16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4" s="41" t="str">
        <f>_xlfn.XLOOKUP(tblCostChecklist[[#This Row],[TargetID]],tblTargetStatus[TargetID],tblTargetStatus[Status])</f>
        <v>BLOCKED</v>
      </c>
      <c r="J1694" s="25" t="b">
        <v>0</v>
      </c>
    </row>
    <row r="1695" spans="1:10">
      <c r="A1695" s="41" t="s">
        <v>5332</v>
      </c>
      <c r="B1695" s="41" t="str">
        <f>_xlfn.TEXTAFTER(
 _xlfn.TEXTBEFORE(tblCostChecklist[[#This Row],[RequirementID]],".",-2),
 "cost."
)</f>
        <v>collection.tavern@2</v>
      </c>
      <c r="C1695" s="41" t="str">
        <f>_xlfn.XLOOKUP(tblCostChecklist[[#This Row],[TargetID]],tblTargets[TargetID],tblTargets[DisplayName],"")</f>
        <v>Tavern Lv 2</v>
      </c>
      <c r="D1695" s="41" t="str">
        <f>_xlfn.XLOOKUP(tblCostChecklist[[#This Row],[TargetID]],tblTargets[TargetID],tblTargets[TargetType],"")</f>
        <v>COLLECTION</v>
      </c>
      <c r="E1695" s="41" t="s">
        <v>718</v>
      </c>
      <c r="F1695" s="41">
        <v>1</v>
      </c>
      <c r="G1695" s="41">
        <f>_xlfn.XLOOKUP(
 tblCostChecklist[[#This Row],[RequirementID]],
 tblCost[RequirementID],
 tblCost[QuantityRequired],
 ""
)</f>
        <v>20</v>
      </c>
      <c r="H16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5" s="41" t="str">
        <f>_xlfn.XLOOKUP(tblCostChecklist[[#This Row],[TargetID]],tblTargetStatus[TargetID],tblTargetStatus[Status])</f>
        <v>BLOCKED</v>
      </c>
      <c r="J1695" s="25" t="b">
        <v>0</v>
      </c>
    </row>
    <row r="1696" spans="1:10">
      <c r="A1696" s="41" t="s">
        <v>5333</v>
      </c>
      <c r="B1696" s="41" t="str">
        <f>_xlfn.TEXTAFTER(
 _xlfn.TEXTBEFORE(tblCostChecklist[[#This Row],[RequirementID]],".",-2),
 "cost."
)</f>
        <v>collection.tavern@2</v>
      </c>
      <c r="C1696" s="41" t="str">
        <f>_xlfn.XLOOKUP(tblCostChecklist[[#This Row],[TargetID]],tblTargets[TargetID],tblTargets[DisplayName],"")</f>
        <v>Tavern Lv 2</v>
      </c>
      <c r="D1696" s="41" t="str">
        <f>_xlfn.XLOOKUP(tblCostChecklist[[#This Row],[TargetID]],tblTargets[TargetID],tblTargets[TargetType],"")</f>
        <v>COLLECTION</v>
      </c>
      <c r="E1696" s="41" t="s">
        <v>1848</v>
      </c>
      <c r="F1696" s="41">
        <v>1</v>
      </c>
      <c r="G1696" s="41">
        <f>_xlfn.XLOOKUP(
 tblCostChecklist[[#This Row],[RequirementID]],
 tblCost[RequirementID],
 tblCost[QuantityRequired],
 ""
)</f>
        <v>20</v>
      </c>
      <c r="H16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6" s="41" t="str">
        <f>_xlfn.XLOOKUP(tblCostChecklist[[#This Row],[TargetID]],tblTargetStatus[TargetID],tblTargetStatus[Status])</f>
        <v>BLOCKED</v>
      </c>
      <c r="J1696" s="25" t="b">
        <v>0</v>
      </c>
    </row>
    <row r="1697" spans="1:10">
      <c r="A1697" s="41" t="s">
        <v>5334</v>
      </c>
      <c r="B1697" s="41" t="str">
        <f>_xlfn.TEXTAFTER(
 _xlfn.TEXTBEFORE(tblCostChecklist[[#This Row],[RequirementID]],".",-2),
 "cost."
)</f>
        <v>collection.treasury_1@1</v>
      </c>
      <c r="C1697" s="41" t="str">
        <f>_xlfn.XLOOKUP(tblCostChecklist[[#This Row],[TargetID]],tblTargets[TargetID],tblTargets[DisplayName],"")</f>
        <v>Treasury 1 Lv 1</v>
      </c>
      <c r="D1697" s="41" t="str">
        <f>_xlfn.XLOOKUP(tblCostChecklist[[#This Row],[TargetID]],tblTargets[TargetID],tblTargets[TargetType],"")</f>
        <v>COLLECTION</v>
      </c>
      <c r="E1697" s="41" t="s">
        <v>666</v>
      </c>
      <c r="F1697" s="41">
        <v>1</v>
      </c>
      <c r="G1697" s="41">
        <f>_xlfn.XLOOKUP(
 tblCostChecklist[[#This Row],[RequirementID]],
 tblCost[RequirementID],
 tblCost[QuantityRequired],
 ""
)</f>
        <v>1000</v>
      </c>
      <c r="H16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7" s="41" t="str">
        <f>_xlfn.XLOOKUP(tblCostChecklist[[#This Row],[TargetID]],tblTargetStatus[TargetID],tblTargetStatus[Status])</f>
        <v>BLOCKED</v>
      </c>
      <c r="J1697" s="25" t="b">
        <v>0</v>
      </c>
    </row>
    <row r="1698" spans="1:10">
      <c r="A1698" s="41" t="s">
        <v>5335</v>
      </c>
      <c r="B1698" s="41" t="str">
        <f>_xlfn.TEXTAFTER(
 _xlfn.TEXTBEFORE(tblCostChecklist[[#This Row],[RequirementID]],".",-2),
 "cost."
)</f>
        <v>collection.treasury_1@1</v>
      </c>
      <c r="C1698" s="41" t="str">
        <f>_xlfn.XLOOKUP(tblCostChecklist[[#This Row],[TargetID]],tblTargets[TargetID],tblTargets[DisplayName],"")</f>
        <v>Treasury 1 Lv 1</v>
      </c>
      <c r="D1698" s="41" t="str">
        <f>_xlfn.XLOOKUP(tblCostChecklist[[#This Row],[TargetID]],tblTargets[TargetID],tblTargets[TargetType],"")</f>
        <v>COLLECTION</v>
      </c>
      <c r="E1698" s="41" t="s">
        <v>666</v>
      </c>
      <c r="F1698" s="41">
        <v>2</v>
      </c>
      <c r="G1698" s="41">
        <f>_xlfn.XLOOKUP(
 tblCostChecklist[[#This Row],[RequirementID]],
 tblCost[RequirementID],
 tblCost[QuantityRequired],
 ""
)</f>
        <v>1000</v>
      </c>
      <c r="H16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8" s="41" t="str">
        <f>_xlfn.XLOOKUP(tblCostChecklist[[#This Row],[TargetID]],tblTargetStatus[TargetID],tblTargetStatus[Status])</f>
        <v>BLOCKED</v>
      </c>
      <c r="J1698" s="25" t="b">
        <v>0</v>
      </c>
    </row>
    <row r="1699" spans="1:10">
      <c r="A1699" s="41" t="s">
        <v>5336</v>
      </c>
      <c r="B1699" s="41" t="str">
        <f>_xlfn.TEXTAFTER(
 _xlfn.TEXTBEFORE(tblCostChecklist[[#This Row],[RequirementID]],".",-2),
 "cost."
)</f>
        <v>collection.treasury_1@1</v>
      </c>
      <c r="C1699" s="41" t="str">
        <f>_xlfn.XLOOKUP(tblCostChecklist[[#This Row],[TargetID]],tblTargets[TargetID],tblTargets[DisplayName],"")</f>
        <v>Treasury 1 Lv 1</v>
      </c>
      <c r="D1699" s="41" t="str">
        <f>_xlfn.XLOOKUP(tblCostChecklist[[#This Row],[TargetID]],tblTargets[TargetID],tblTargets[TargetType],"")</f>
        <v>COLLECTION</v>
      </c>
      <c r="E1699" s="41" t="s">
        <v>667</v>
      </c>
      <c r="F1699" s="41">
        <v>1</v>
      </c>
      <c r="G1699" s="41">
        <f>_xlfn.XLOOKUP(
 tblCostChecklist[[#This Row],[RequirementID]],
 tblCost[RequirementID],
 tblCost[QuantityRequired],
 ""
)</f>
        <v>250</v>
      </c>
      <c r="H16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9" s="41" t="str">
        <f>_xlfn.XLOOKUP(tblCostChecklist[[#This Row],[TargetID]],tblTargetStatus[TargetID],tblTargetStatus[Status])</f>
        <v>BLOCKED</v>
      </c>
      <c r="J1699" s="25" t="b">
        <v>0</v>
      </c>
    </row>
    <row r="1700" spans="1:10">
      <c r="A1700" s="41" t="s">
        <v>5337</v>
      </c>
      <c r="B1700" s="41" t="str">
        <f>_xlfn.TEXTAFTER(
 _xlfn.TEXTBEFORE(tblCostChecklist[[#This Row],[RequirementID]],".",-2),
 "cost."
)</f>
        <v>collection.treasury_1@1</v>
      </c>
      <c r="C1700" s="41" t="str">
        <f>_xlfn.XLOOKUP(tblCostChecklist[[#This Row],[TargetID]],tblTargets[TargetID],tblTargets[DisplayName],"")</f>
        <v>Treasury 1 Lv 1</v>
      </c>
      <c r="D1700" s="41" t="str">
        <f>_xlfn.XLOOKUP(tblCostChecklist[[#This Row],[TargetID]],tblTargets[TargetID],tblTargets[TargetType],"")</f>
        <v>COLLECTION</v>
      </c>
      <c r="E1700" s="41" t="s">
        <v>1803</v>
      </c>
      <c r="F1700" s="41">
        <v>1</v>
      </c>
      <c r="G1700" s="41">
        <f>_xlfn.XLOOKUP(
 tblCostChecklist[[#This Row],[RequirementID]],
 tblCost[RequirementID],
 tblCost[QuantityRequired],
 ""
)</f>
        <v>250</v>
      </c>
      <c r="H17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0" s="41" t="str">
        <f>_xlfn.XLOOKUP(tblCostChecklist[[#This Row],[TargetID]],tblTargetStatus[TargetID],tblTargetStatus[Status])</f>
        <v>BLOCKED</v>
      </c>
      <c r="J1700" s="25" t="b">
        <v>0</v>
      </c>
    </row>
    <row r="1701" spans="1:10">
      <c r="A1701" s="41" t="s">
        <v>5338</v>
      </c>
      <c r="B1701" s="41" t="str">
        <f>_xlfn.TEXTAFTER(
 _xlfn.TEXTBEFORE(tblCostChecklist[[#This Row],[RequirementID]],".",-2),
 "cost."
)</f>
        <v>collection.treasury_1@1</v>
      </c>
      <c r="C1701" s="41" t="str">
        <f>_xlfn.XLOOKUP(tblCostChecklist[[#This Row],[TargetID]],tblTargets[TargetID],tblTargets[DisplayName],"")</f>
        <v>Treasury 1 Lv 1</v>
      </c>
      <c r="D1701" s="41" t="str">
        <f>_xlfn.XLOOKUP(tblCostChecklist[[#This Row],[TargetID]],tblTargets[TargetID],tblTargets[TargetType],"")</f>
        <v>COLLECTION</v>
      </c>
      <c r="E1701" s="41" t="s">
        <v>680</v>
      </c>
      <c r="F1701" s="41">
        <v>1</v>
      </c>
      <c r="G1701" s="41">
        <f>_xlfn.XLOOKUP(
 tblCostChecklist[[#This Row],[RequirementID]],
 tblCost[RequirementID],
 tblCost[QuantityRequired],
 ""
)</f>
        <v>10</v>
      </c>
      <c r="H17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1" s="41" t="str">
        <f>_xlfn.XLOOKUP(tblCostChecklist[[#This Row],[TargetID]],tblTargetStatus[TargetID],tblTargetStatus[Status])</f>
        <v>BLOCKED</v>
      </c>
      <c r="J1701" s="25" t="b">
        <v>0</v>
      </c>
    </row>
    <row r="1702" spans="1:10">
      <c r="A1702" s="41" t="s">
        <v>5339</v>
      </c>
      <c r="B1702" s="41" t="str">
        <f>_xlfn.TEXTAFTER(
 _xlfn.TEXTBEFORE(tblCostChecklist[[#This Row],[RequirementID]],".",-2),
 "cost."
)</f>
        <v>collection.treasury_1@1</v>
      </c>
      <c r="C1702" s="41" t="str">
        <f>_xlfn.XLOOKUP(tblCostChecklist[[#This Row],[TargetID]],tblTargets[TargetID],tblTargets[DisplayName],"")</f>
        <v>Treasury 1 Lv 1</v>
      </c>
      <c r="D1702" s="41" t="str">
        <f>_xlfn.XLOOKUP(tblCostChecklist[[#This Row],[TargetID]],tblTargets[TargetID],tblTargets[TargetType],"")</f>
        <v>COLLECTION</v>
      </c>
      <c r="E1702" s="41" t="s">
        <v>699</v>
      </c>
      <c r="F1702" s="41">
        <v>1</v>
      </c>
      <c r="G1702" s="41">
        <f>_xlfn.XLOOKUP(
 tblCostChecklist[[#This Row],[RequirementID]],
 tblCost[RequirementID],
 tblCost[QuantityRequired],
 ""
)</f>
        <v>5</v>
      </c>
      <c r="H17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2" s="41" t="str">
        <f>_xlfn.XLOOKUP(tblCostChecklist[[#This Row],[TargetID]],tblTargetStatus[TargetID],tblTargetStatus[Status])</f>
        <v>BLOCKED</v>
      </c>
      <c r="J1702" s="25" t="b">
        <v>0</v>
      </c>
    </row>
    <row r="1703" spans="1:10">
      <c r="A1703" s="41" t="s">
        <v>5340</v>
      </c>
      <c r="B1703" s="41" t="str">
        <f>_xlfn.TEXTAFTER(
 _xlfn.TEXTBEFORE(tblCostChecklist[[#This Row],[RequirementID]],".",-2),
 "cost."
)</f>
        <v>collection.treasury_1@1</v>
      </c>
      <c r="C1703" s="41" t="str">
        <f>_xlfn.XLOOKUP(tblCostChecklist[[#This Row],[TargetID]],tblTargets[TargetID],tblTargets[DisplayName],"")</f>
        <v>Treasury 1 Lv 1</v>
      </c>
      <c r="D1703" s="41" t="str">
        <f>_xlfn.XLOOKUP(tblCostChecklist[[#This Row],[TargetID]],tblTargets[TargetID],tblTargets[TargetType],"")</f>
        <v>COLLECTION</v>
      </c>
      <c r="E1703" s="41" t="s">
        <v>708</v>
      </c>
      <c r="F1703" s="41">
        <v>1</v>
      </c>
      <c r="G1703" s="41">
        <f>_xlfn.XLOOKUP(
 tblCostChecklist[[#This Row],[RequirementID]],
 tblCost[RequirementID],
 tblCost[QuantityRequired],
 ""
)</f>
        <v>5</v>
      </c>
      <c r="H17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3" s="41" t="str">
        <f>_xlfn.XLOOKUP(tblCostChecklist[[#This Row],[TargetID]],tblTargetStatus[TargetID],tblTargetStatus[Status])</f>
        <v>BLOCKED</v>
      </c>
      <c r="J1703" s="25" t="b">
        <v>0</v>
      </c>
    </row>
    <row r="1704" spans="1:10">
      <c r="A1704" s="41" t="s">
        <v>5341</v>
      </c>
      <c r="B1704" s="41" t="str">
        <f>_xlfn.TEXTAFTER(
 _xlfn.TEXTBEFORE(tblCostChecklist[[#This Row],[RequirementID]],".",-2),
 "cost."
)</f>
        <v>collection.treasury_1@1</v>
      </c>
      <c r="C1704" s="41" t="str">
        <f>_xlfn.XLOOKUP(tblCostChecklist[[#This Row],[TargetID]],tblTargets[TargetID],tblTargets[DisplayName],"")</f>
        <v>Treasury 1 Lv 1</v>
      </c>
      <c r="D1704" s="41" t="str">
        <f>_xlfn.XLOOKUP(tblCostChecklist[[#This Row],[TargetID]],tblTargets[TargetID],tblTargets[TargetType],"")</f>
        <v>COLLECTION</v>
      </c>
      <c r="E1704" s="41" t="s">
        <v>721</v>
      </c>
      <c r="F1704" s="41">
        <v>1</v>
      </c>
      <c r="G1704" s="41">
        <f>_xlfn.XLOOKUP(
 tblCostChecklist[[#This Row],[RequirementID]],
 tblCost[RequirementID],
 tblCost[QuantityRequired],
 ""
)</f>
        <v>10</v>
      </c>
      <c r="H17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4" s="41" t="str">
        <f>_xlfn.XLOOKUP(tblCostChecklist[[#This Row],[TargetID]],tblTargetStatus[TargetID],tblTargetStatus[Status])</f>
        <v>BLOCKED</v>
      </c>
      <c r="J1704" s="25" t="b">
        <v>0</v>
      </c>
    </row>
    <row r="1705" spans="1:10">
      <c r="A1705" s="41" t="s">
        <v>5342</v>
      </c>
      <c r="B1705" s="41" t="str">
        <f>_xlfn.TEXTAFTER(
 _xlfn.TEXTBEFORE(tblCostChecklist[[#This Row],[RequirementID]],".",-2),
 "cost."
)</f>
        <v>collection.treasury_1@2</v>
      </c>
      <c r="C1705" s="41" t="str">
        <f>_xlfn.XLOOKUP(tblCostChecklist[[#This Row],[TargetID]],tblTargets[TargetID],tblTargets[DisplayName],"")</f>
        <v>Treasury 1 Lv 2</v>
      </c>
      <c r="D1705" s="41" t="str">
        <f>_xlfn.XLOOKUP(tblCostChecklist[[#This Row],[TargetID]],tblTargets[TargetID],tblTargets[TargetType],"")</f>
        <v>COLLECTION</v>
      </c>
      <c r="E1705" s="41" t="s">
        <v>666</v>
      </c>
      <c r="F1705" s="41">
        <v>1</v>
      </c>
      <c r="G1705" s="41">
        <f>_xlfn.XLOOKUP(
 tblCostChecklist[[#This Row],[RequirementID]],
 tblCost[RequirementID],
 tblCost[QuantityRequired],
 ""
)</f>
        <v>2000</v>
      </c>
      <c r="H17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5" s="41" t="str">
        <f>_xlfn.XLOOKUP(tblCostChecklist[[#This Row],[TargetID]],tblTargetStatus[TargetID],tblTargetStatus[Status])</f>
        <v>BLOCKED</v>
      </c>
      <c r="J1705" s="25" t="b">
        <v>0</v>
      </c>
    </row>
    <row r="1706" spans="1:10">
      <c r="A1706" s="41" t="s">
        <v>5343</v>
      </c>
      <c r="B1706" s="41" t="str">
        <f>_xlfn.TEXTAFTER(
 _xlfn.TEXTBEFORE(tblCostChecklist[[#This Row],[RequirementID]],".",-2),
 "cost."
)</f>
        <v>collection.treasury_1@2</v>
      </c>
      <c r="C1706" s="41" t="str">
        <f>_xlfn.XLOOKUP(tblCostChecklist[[#This Row],[TargetID]],tblTargets[TargetID],tblTargets[DisplayName],"")</f>
        <v>Treasury 1 Lv 2</v>
      </c>
      <c r="D1706" s="41" t="str">
        <f>_xlfn.XLOOKUP(tblCostChecklist[[#This Row],[TargetID]],tblTargets[TargetID],tblTargets[TargetType],"")</f>
        <v>COLLECTION</v>
      </c>
      <c r="E1706" s="41" t="s">
        <v>666</v>
      </c>
      <c r="F1706" s="41">
        <v>2</v>
      </c>
      <c r="G1706" s="41">
        <f>_xlfn.XLOOKUP(
 tblCostChecklist[[#This Row],[RequirementID]],
 tblCost[RequirementID],
 tblCost[QuantityRequired],
 ""
)</f>
        <v>2000</v>
      </c>
      <c r="H17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6" s="41" t="str">
        <f>_xlfn.XLOOKUP(tblCostChecklist[[#This Row],[TargetID]],tblTargetStatus[TargetID],tblTargetStatus[Status])</f>
        <v>BLOCKED</v>
      </c>
      <c r="J1706" s="25" t="b">
        <v>0</v>
      </c>
    </row>
    <row r="1707" spans="1:10">
      <c r="A1707" s="41" t="s">
        <v>5344</v>
      </c>
      <c r="B1707" s="41" t="str">
        <f>_xlfn.TEXTAFTER(
 _xlfn.TEXTBEFORE(tblCostChecklist[[#This Row],[RequirementID]],".",-2),
 "cost."
)</f>
        <v>collection.treasury_1@2</v>
      </c>
      <c r="C1707" s="41" t="str">
        <f>_xlfn.XLOOKUP(tblCostChecklist[[#This Row],[TargetID]],tblTargets[TargetID],tblTargets[DisplayName],"")</f>
        <v>Treasury 1 Lv 2</v>
      </c>
      <c r="D1707" s="41" t="str">
        <f>_xlfn.XLOOKUP(tblCostChecklist[[#This Row],[TargetID]],tblTargets[TargetID],tblTargets[TargetType],"")</f>
        <v>COLLECTION</v>
      </c>
      <c r="E1707" s="41" t="s">
        <v>667</v>
      </c>
      <c r="F1707" s="41">
        <v>1</v>
      </c>
      <c r="G1707" s="41">
        <f>_xlfn.XLOOKUP(
 tblCostChecklist[[#This Row],[RequirementID]],
 tblCost[RequirementID],
 tblCost[QuantityRequired],
 ""
)</f>
        <v>500</v>
      </c>
      <c r="H17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7" s="41" t="str">
        <f>_xlfn.XLOOKUP(tblCostChecklist[[#This Row],[TargetID]],tblTargetStatus[TargetID],tblTargetStatus[Status])</f>
        <v>BLOCKED</v>
      </c>
      <c r="J1707" s="25" t="b">
        <v>0</v>
      </c>
    </row>
    <row r="1708" spans="1:10">
      <c r="A1708" s="41" t="s">
        <v>5345</v>
      </c>
      <c r="B1708" s="41" t="str">
        <f>_xlfn.TEXTAFTER(
 _xlfn.TEXTBEFORE(tblCostChecklist[[#This Row],[RequirementID]],".",-2),
 "cost."
)</f>
        <v>collection.treasury_1@2</v>
      </c>
      <c r="C1708" s="41" t="str">
        <f>_xlfn.XLOOKUP(tblCostChecklist[[#This Row],[TargetID]],tblTargets[TargetID],tblTargets[DisplayName],"")</f>
        <v>Treasury 1 Lv 2</v>
      </c>
      <c r="D1708" s="41" t="str">
        <f>_xlfn.XLOOKUP(tblCostChecklist[[#This Row],[TargetID]],tblTargets[TargetID],tblTargets[TargetType],"")</f>
        <v>COLLECTION</v>
      </c>
      <c r="E1708" s="41" t="s">
        <v>1803</v>
      </c>
      <c r="F1708" s="41">
        <v>1</v>
      </c>
      <c r="G1708" s="41">
        <f>_xlfn.XLOOKUP(
 tblCostChecklist[[#This Row],[RequirementID]],
 tblCost[RequirementID],
 tblCost[QuantityRequired],
 ""
)</f>
        <v>500</v>
      </c>
      <c r="H17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8" s="41" t="str">
        <f>_xlfn.XLOOKUP(tblCostChecklist[[#This Row],[TargetID]],tblTargetStatus[TargetID],tblTargetStatus[Status])</f>
        <v>BLOCKED</v>
      </c>
      <c r="J1708" s="25" t="b">
        <v>0</v>
      </c>
    </row>
    <row r="1709" spans="1:10">
      <c r="A1709" s="41" t="s">
        <v>5346</v>
      </c>
      <c r="B1709" s="41" t="str">
        <f>_xlfn.TEXTAFTER(
 _xlfn.TEXTBEFORE(tblCostChecklist[[#This Row],[RequirementID]],".",-2),
 "cost."
)</f>
        <v>collection.treasury_1@2</v>
      </c>
      <c r="C1709" s="41" t="str">
        <f>_xlfn.XLOOKUP(tblCostChecklist[[#This Row],[TargetID]],tblTargets[TargetID],tblTargets[DisplayName],"")</f>
        <v>Treasury 1 Lv 2</v>
      </c>
      <c r="D1709" s="41" t="str">
        <f>_xlfn.XLOOKUP(tblCostChecklist[[#This Row],[TargetID]],tblTargets[TargetID],tblTargets[TargetType],"")</f>
        <v>COLLECTION</v>
      </c>
      <c r="E1709" s="41" t="s">
        <v>680</v>
      </c>
      <c r="F1709" s="41">
        <v>1</v>
      </c>
      <c r="G1709" s="41">
        <f>_xlfn.XLOOKUP(
 tblCostChecklist[[#This Row],[RequirementID]],
 tblCost[RequirementID],
 tblCost[QuantityRequired],
 ""
)</f>
        <v>20</v>
      </c>
      <c r="H17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9" s="41" t="str">
        <f>_xlfn.XLOOKUP(tblCostChecklist[[#This Row],[TargetID]],tblTargetStatus[TargetID],tblTargetStatus[Status])</f>
        <v>BLOCKED</v>
      </c>
      <c r="J1709" s="25" t="b">
        <v>0</v>
      </c>
    </row>
    <row r="1710" spans="1:10">
      <c r="A1710" s="41" t="s">
        <v>5347</v>
      </c>
      <c r="B1710" s="41" t="str">
        <f>_xlfn.TEXTAFTER(
 _xlfn.TEXTBEFORE(tblCostChecklist[[#This Row],[RequirementID]],".",-2),
 "cost."
)</f>
        <v>collection.treasury_1@2</v>
      </c>
      <c r="C1710" s="41" t="str">
        <f>_xlfn.XLOOKUP(tblCostChecklist[[#This Row],[TargetID]],tblTargets[TargetID],tblTargets[DisplayName],"")</f>
        <v>Treasury 1 Lv 2</v>
      </c>
      <c r="D1710" s="41" t="str">
        <f>_xlfn.XLOOKUP(tblCostChecklist[[#This Row],[TargetID]],tblTargets[TargetID],tblTargets[TargetType],"")</f>
        <v>COLLECTION</v>
      </c>
      <c r="E1710" s="41" t="s">
        <v>699</v>
      </c>
      <c r="F1710" s="41">
        <v>1</v>
      </c>
      <c r="G1710" s="41">
        <f>_xlfn.XLOOKUP(
 tblCostChecklist[[#This Row],[RequirementID]],
 tblCost[RequirementID],
 tblCost[QuantityRequired],
 ""
)</f>
        <v>10</v>
      </c>
      <c r="H17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0" s="41" t="str">
        <f>_xlfn.XLOOKUP(tblCostChecklist[[#This Row],[TargetID]],tblTargetStatus[TargetID],tblTargetStatus[Status])</f>
        <v>BLOCKED</v>
      </c>
      <c r="J1710" s="25" t="b">
        <v>0</v>
      </c>
    </row>
    <row r="1711" spans="1:10">
      <c r="A1711" s="41" t="s">
        <v>5348</v>
      </c>
      <c r="B1711" s="41" t="str">
        <f>_xlfn.TEXTAFTER(
 _xlfn.TEXTBEFORE(tblCostChecklist[[#This Row],[RequirementID]],".",-2),
 "cost."
)</f>
        <v>collection.treasury_1@2</v>
      </c>
      <c r="C1711" s="41" t="str">
        <f>_xlfn.XLOOKUP(tblCostChecklist[[#This Row],[TargetID]],tblTargets[TargetID],tblTargets[DisplayName],"")</f>
        <v>Treasury 1 Lv 2</v>
      </c>
      <c r="D1711" s="41" t="str">
        <f>_xlfn.XLOOKUP(tblCostChecklist[[#This Row],[TargetID]],tblTargets[TargetID],tblTargets[TargetType],"")</f>
        <v>COLLECTION</v>
      </c>
      <c r="E1711" s="41" t="s">
        <v>708</v>
      </c>
      <c r="F1711" s="41">
        <v>1</v>
      </c>
      <c r="G1711" s="41">
        <f>_xlfn.XLOOKUP(
 tblCostChecklist[[#This Row],[RequirementID]],
 tblCost[RequirementID],
 tblCost[QuantityRequired],
 ""
)</f>
        <v>10</v>
      </c>
      <c r="H17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1" s="41" t="str">
        <f>_xlfn.XLOOKUP(tblCostChecklist[[#This Row],[TargetID]],tblTargetStatus[TargetID],tblTargetStatus[Status])</f>
        <v>BLOCKED</v>
      </c>
      <c r="J1711" s="25" t="b">
        <v>0</v>
      </c>
    </row>
    <row r="1712" spans="1:10">
      <c r="A1712" s="41" t="s">
        <v>5349</v>
      </c>
      <c r="B1712" s="41" t="str">
        <f>_xlfn.TEXTAFTER(
 _xlfn.TEXTBEFORE(tblCostChecklist[[#This Row],[RequirementID]],".",-2),
 "cost."
)</f>
        <v>collection.treasury_1@2</v>
      </c>
      <c r="C1712" s="41" t="str">
        <f>_xlfn.XLOOKUP(tblCostChecklist[[#This Row],[TargetID]],tblTargets[TargetID],tblTargets[DisplayName],"")</f>
        <v>Treasury 1 Lv 2</v>
      </c>
      <c r="D1712" s="41" t="str">
        <f>_xlfn.XLOOKUP(tblCostChecklist[[#This Row],[TargetID]],tblTargets[TargetID],tblTargets[TargetType],"")</f>
        <v>COLLECTION</v>
      </c>
      <c r="E1712" s="41" t="s">
        <v>721</v>
      </c>
      <c r="F1712" s="41">
        <v>1</v>
      </c>
      <c r="G1712" s="41">
        <f>_xlfn.XLOOKUP(
 tblCostChecklist[[#This Row],[RequirementID]],
 tblCost[RequirementID],
 tblCost[QuantityRequired],
 ""
)</f>
        <v>20</v>
      </c>
      <c r="H17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2" s="41" t="str">
        <f>_xlfn.XLOOKUP(tblCostChecklist[[#This Row],[TargetID]],tblTargetStatus[TargetID],tblTargetStatus[Status])</f>
        <v>BLOCKED</v>
      </c>
      <c r="J1712" s="25" t="b">
        <v>0</v>
      </c>
    </row>
    <row r="1713" spans="1:10">
      <c r="A1713" s="41" t="s">
        <v>5350</v>
      </c>
      <c r="B1713" s="41" t="str">
        <f>_xlfn.TEXTAFTER(
 _xlfn.TEXTBEFORE(tblCostChecklist[[#This Row],[RequirementID]],".",-2),
 "cost."
)</f>
        <v>collection.treasury_1@3</v>
      </c>
      <c r="C1713" s="41" t="str">
        <f>_xlfn.XLOOKUP(tblCostChecklist[[#This Row],[TargetID]],tblTargets[TargetID],tblTargets[DisplayName],"")</f>
        <v>Treasury 1 Lv 3</v>
      </c>
      <c r="D1713" s="41" t="str">
        <f>_xlfn.XLOOKUP(tblCostChecklist[[#This Row],[TargetID]],tblTargets[TargetID],tblTargets[TargetType],"")</f>
        <v>COLLECTION</v>
      </c>
      <c r="E1713" s="41" t="s">
        <v>666</v>
      </c>
      <c r="F1713" s="41">
        <v>1</v>
      </c>
      <c r="G1713" s="41">
        <f>_xlfn.XLOOKUP(
 tblCostChecklist[[#This Row],[RequirementID]],
 tblCost[RequirementID],
 tblCost[QuantityRequired],
 ""
)</f>
        <v>3000</v>
      </c>
      <c r="H17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3" s="41" t="str">
        <f>_xlfn.XLOOKUP(tblCostChecklist[[#This Row],[TargetID]],tblTargetStatus[TargetID],tblTargetStatus[Status])</f>
        <v>BLOCKED</v>
      </c>
      <c r="J1713" s="25" t="b">
        <v>0</v>
      </c>
    </row>
    <row r="1714" spans="1:10">
      <c r="A1714" s="41" t="s">
        <v>5351</v>
      </c>
      <c r="B1714" s="41" t="str">
        <f>_xlfn.TEXTAFTER(
 _xlfn.TEXTBEFORE(tblCostChecklist[[#This Row],[RequirementID]],".",-2),
 "cost."
)</f>
        <v>collection.treasury_1@3</v>
      </c>
      <c r="C1714" s="41" t="str">
        <f>_xlfn.XLOOKUP(tblCostChecklist[[#This Row],[TargetID]],tblTargets[TargetID],tblTargets[DisplayName],"")</f>
        <v>Treasury 1 Lv 3</v>
      </c>
      <c r="D1714" s="41" t="str">
        <f>_xlfn.XLOOKUP(tblCostChecklist[[#This Row],[TargetID]],tblTargets[TargetID],tblTargets[TargetType],"")</f>
        <v>COLLECTION</v>
      </c>
      <c r="E1714" s="41" t="s">
        <v>666</v>
      </c>
      <c r="F1714" s="41">
        <v>2</v>
      </c>
      <c r="G1714" s="41">
        <f>_xlfn.XLOOKUP(
 tblCostChecklist[[#This Row],[RequirementID]],
 tblCost[RequirementID],
 tblCost[QuantityRequired],
 ""
)</f>
        <v>3000</v>
      </c>
      <c r="H17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4" s="41" t="str">
        <f>_xlfn.XLOOKUP(tblCostChecklist[[#This Row],[TargetID]],tblTargetStatus[TargetID],tblTargetStatus[Status])</f>
        <v>BLOCKED</v>
      </c>
      <c r="J1714" s="25" t="b">
        <v>0</v>
      </c>
    </row>
    <row r="1715" spans="1:10">
      <c r="A1715" s="41" t="s">
        <v>5352</v>
      </c>
      <c r="B1715" s="41" t="str">
        <f>_xlfn.TEXTAFTER(
 _xlfn.TEXTBEFORE(tblCostChecklist[[#This Row],[RequirementID]],".",-2),
 "cost."
)</f>
        <v>collection.treasury_1@3</v>
      </c>
      <c r="C1715" s="41" t="str">
        <f>_xlfn.XLOOKUP(tblCostChecklist[[#This Row],[TargetID]],tblTargets[TargetID],tblTargets[DisplayName],"")</f>
        <v>Treasury 1 Lv 3</v>
      </c>
      <c r="D1715" s="41" t="str">
        <f>_xlfn.XLOOKUP(tblCostChecklist[[#This Row],[TargetID]],tblTargets[TargetID],tblTargets[TargetType],"")</f>
        <v>COLLECTION</v>
      </c>
      <c r="E1715" s="41" t="s">
        <v>667</v>
      </c>
      <c r="F1715" s="41">
        <v>1</v>
      </c>
      <c r="G1715" s="41">
        <f>_xlfn.XLOOKUP(
 tblCostChecklist[[#This Row],[RequirementID]],
 tblCost[RequirementID],
 tblCost[QuantityRequired],
 ""
)</f>
        <v>750</v>
      </c>
      <c r="H17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5" s="41" t="str">
        <f>_xlfn.XLOOKUP(tblCostChecklist[[#This Row],[TargetID]],tblTargetStatus[TargetID],tblTargetStatus[Status])</f>
        <v>BLOCKED</v>
      </c>
      <c r="J1715" s="25" t="b">
        <v>0</v>
      </c>
    </row>
    <row r="1716" spans="1:10">
      <c r="A1716" s="41" t="s">
        <v>5353</v>
      </c>
      <c r="B1716" s="41" t="str">
        <f>_xlfn.TEXTAFTER(
 _xlfn.TEXTBEFORE(tblCostChecklist[[#This Row],[RequirementID]],".",-2),
 "cost."
)</f>
        <v>collection.treasury_1@3</v>
      </c>
      <c r="C1716" s="41" t="str">
        <f>_xlfn.XLOOKUP(tblCostChecklist[[#This Row],[TargetID]],tblTargets[TargetID],tblTargets[DisplayName],"")</f>
        <v>Treasury 1 Lv 3</v>
      </c>
      <c r="D1716" s="41" t="str">
        <f>_xlfn.XLOOKUP(tblCostChecklist[[#This Row],[TargetID]],tblTargets[TargetID],tblTargets[TargetType],"")</f>
        <v>COLLECTION</v>
      </c>
      <c r="E1716" s="41" t="s">
        <v>1803</v>
      </c>
      <c r="F1716" s="41">
        <v>1</v>
      </c>
      <c r="G1716" s="41">
        <f>_xlfn.XLOOKUP(
 tblCostChecklist[[#This Row],[RequirementID]],
 tblCost[RequirementID],
 tblCost[QuantityRequired],
 ""
)</f>
        <v>750</v>
      </c>
      <c r="H17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6" s="41" t="str">
        <f>_xlfn.XLOOKUP(tblCostChecklist[[#This Row],[TargetID]],tblTargetStatus[TargetID],tblTargetStatus[Status])</f>
        <v>BLOCKED</v>
      </c>
      <c r="J1716" s="25" t="b">
        <v>0</v>
      </c>
    </row>
    <row r="1717" spans="1:10">
      <c r="A1717" s="41" t="s">
        <v>5354</v>
      </c>
      <c r="B1717" s="41" t="str">
        <f>_xlfn.TEXTAFTER(
 _xlfn.TEXTBEFORE(tblCostChecklist[[#This Row],[RequirementID]],".",-2),
 "cost."
)</f>
        <v>collection.treasury_1@3</v>
      </c>
      <c r="C1717" s="41" t="str">
        <f>_xlfn.XLOOKUP(tblCostChecklist[[#This Row],[TargetID]],tblTargets[TargetID],tblTargets[DisplayName],"")</f>
        <v>Treasury 1 Lv 3</v>
      </c>
      <c r="D1717" s="41" t="str">
        <f>_xlfn.XLOOKUP(tblCostChecklist[[#This Row],[TargetID]],tblTargets[TargetID],tblTargets[TargetType],"")</f>
        <v>COLLECTION</v>
      </c>
      <c r="E1717" s="41" t="s">
        <v>680</v>
      </c>
      <c r="F1717" s="41">
        <v>1</v>
      </c>
      <c r="G1717" s="41">
        <f>_xlfn.XLOOKUP(
 tblCostChecklist[[#This Row],[RequirementID]],
 tblCost[RequirementID],
 tblCost[QuantityRequired],
 ""
)</f>
        <v>30</v>
      </c>
      <c r="H17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7" s="41" t="str">
        <f>_xlfn.XLOOKUP(tblCostChecklist[[#This Row],[TargetID]],tblTargetStatus[TargetID],tblTargetStatus[Status])</f>
        <v>BLOCKED</v>
      </c>
      <c r="J1717" s="25" t="b">
        <v>0</v>
      </c>
    </row>
    <row r="1718" spans="1:10">
      <c r="A1718" s="41" t="s">
        <v>5355</v>
      </c>
      <c r="B1718" s="41" t="str">
        <f>_xlfn.TEXTAFTER(
 _xlfn.TEXTBEFORE(tblCostChecklist[[#This Row],[RequirementID]],".",-2),
 "cost."
)</f>
        <v>collection.treasury_1@3</v>
      </c>
      <c r="C1718" s="41" t="str">
        <f>_xlfn.XLOOKUP(tblCostChecklist[[#This Row],[TargetID]],tblTargets[TargetID],tblTargets[DisplayName],"")</f>
        <v>Treasury 1 Lv 3</v>
      </c>
      <c r="D1718" s="41" t="str">
        <f>_xlfn.XLOOKUP(tblCostChecklist[[#This Row],[TargetID]],tblTargets[TargetID],tblTargets[TargetType],"")</f>
        <v>COLLECTION</v>
      </c>
      <c r="E1718" s="41" t="s">
        <v>699</v>
      </c>
      <c r="F1718" s="41">
        <v>1</v>
      </c>
      <c r="G1718" s="41">
        <f>_xlfn.XLOOKUP(
 tblCostChecklist[[#This Row],[RequirementID]],
 tblCost[RequirementID],
 tblCost[QuantityRequired],
 ""
)</f>
        <v>15</v>
      </c>
      <c r="H17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8" s="41" t="str">
        <f>_xlfn.XLOOKUP(tblCostChecklist[[#This Row],[TargetID]],tblTargetStatus[TargetID],tblTargetStatus[Status])</f>
        <v>BLOCKED</v>
      </c>
      <c r="J1718" s="25" t="b">
        <v>0</v>
      </c>
    </row>
    <row r="1719" spans="1:10">
      <c r="A1719" s="41" t="s">
        <v>5356</v>
      </c>
      <c r="B1719" s="41" t="str">
        <f>_xlfn.TEXTAFTER(
 _xlfn.TEXTBEFORE(tblCostChecklist[[#This Row],[RequirementID]],".",-2),
 "cost."
)</f>
        <v>collection.treasury_1@3</v>
      </c>
      <c r="C1719" s="41" t="str">
        <f>_xlfn.XLOOKUP(tblCostChecklist[[#This Row],[TargetID]],tblTargets[TargetID],tblTargets[DisplayName],"")</f>
        <v>Treasury 1 Lv 3</v>
      </c>
      <c r="D1719" s="41" t="str">
        <f>_xlfn.XLOOKUP(tblCostChecklist[[#This Row],[TargetID]],tblTargets[TargetID],tblTargets[TargetType],"")</f>
        <v>COLLECTION</v>
      </c>
      <c r="E1719" s="41" t="s">
        <v>708</v>
      </c>
      <c r="F1719" s="41">
        <v>1</v>
      </c>
      <c r="G1719" s="41">
        <f>_xlfn.XLOOKUP(
 tblCostChecklist[[#This Row],[RequirementID]],
 tblCost[RequirementID],
 tblCost[QuantityRequired],
 ""
)</f>
        <v>15</v>
      </c>
      <c r="H17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9" s="41" t="str">
        <f>_xlfn.XLOOKUP(tblCostChecklist[[#This Row],[TargetID]],tblTargetStatus[TargetID],tblTargetStatus[Status])</f>
        <v>BLOCKED</v>
      </c>
      <c r="J1719" s="25" t="b">
        <v>0</v>
      </c>
    </row>
    <row r="1720" spans="1:10">
      <c r="A1720" s="41" t="s">
        <v>5357</v>
      </c>
      <c r="B1720" s="41" t="str">
        <f>_xlfn.TEXTAFTER(
 _xlfn.TEXTBEFORE(tblCostChecklist[[#This Row],[RequirementID]],".",-2),
 "cost."
)</f>
        <v>collection.treasury_1@3</v>
      </c>
      <c r="C1720" s="41" t="str">
        <f>_xlfn.XLOOKUP(tblCostChecklist[[#This Row],[TargetID]],tblTargets[TargetID],tblTargets[DisplayName],"")</f>
        <v>Treasury 1 Lv 3</v>
      </c>
      <c r="D1720" s="41" t="str">
        <f>_xlfn.XLOOKUP(tblCostChecklist[[#This Row],[TargetID]],tblTargets[TargetID],tblTargets[TargetType],"")</f>
        <v>COLLECTION</v>
      </c>
      <c r="E1720" s="41" t="s">
        <v>721</v>
      </c>
      <c r="F1720" s="41">
        <v>1</v>
      </c>
      <c r="G1720" s="41">
        <f>_xlfn.XLOOKUP(
 tblCostChecklist[[#This Row],[RequirementID]],
 tblCost[RequirementID],
 tblCost[QuantityRequired],
 ""
)</f>
        <v>30</v>
      </c>
      <c r="H17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0" s="41" t="str">
        <f>_xlfn.XLOOKUP(tblCostChecklist[[#This Row],[TargetID]],tblTargetStatus[TargetID],tblTargetStatus[Status])</f>
        <v>BLOCKED</v>
      </c>
      <c r="J1720" s="25" t="b">
        <v>0</v>
      </c>
    </row>
    <row r="1721" spans="1:10">
      <c r="A1721" s="41" t="s">
        <v>5358</v>
      </c>
      <c r="B1721" s="41" t="str">
        <f>_xlfn.TEXTAFTER(
 _xlfn.TEXTBEFORE(tblCostChecklist[[#This Row],[RequirementID]],".",-2),
 "cost."
)</f>
        <v>collection.treasury_1@4</v>
      </c>
      <c r="C1721" s="41" t="str">
        <f>_xlfn.XLOOKUP(tblCostChecklist[[#This Row],[TargetID]],tblTargets[TargetID],tblTargets[DisplayName],"")</f>
        <v>Treasury 1 Lv 4</v>
      </c>
      <c r="D1721" s="41" t="str">
        <f>_xlfn.XLOOKUP(tblCostChecklist[[#This Row],[TargetID]],tblTargets[TargetID],tblTargets[TargetType],"")</f>
        <v>COLLECTION</v>
      </c>
      <c r="E1721" s="41" t="s">
        <v>666</v>
      </c>
      <c r="F1721" s="41">
        <v>1</v>
      </c>
      <c r="G1721" s="41">
        <f>_xlfn.XLOOKUP(
 tblCostChecklist[[#This Row],[RequirementID]],
 tblCost[RequirementID],
 tblCost[QuantityRequired],
 ""
)</f>
        <v>4000</v>
      </c>
      <c r="H17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1" s="41" t="str">
        <f>_xlfn.XLOOKUP(tblCostChecklist[[#This Row],[TargetID]],tblTargetStatus[TargetID],tblTargetStatus[Status])</f>
        <v>BLOCKED</v>
      </c>
      <c r="J1721" s="25" t="b">
        <v>0</v>
      </c>
    </row>
    <row r="1722" spans="1:10">
      <c r="A1722" s="41" t="s">
        <v>5359</v>
      </c>
      <c r="B1722" s="41" t="str">
        <f>_xlfn.TEXTAFTER(
 _xlfn.TEXTBEFORE(tblCostChecklist[[#This Row],[RequirementID]],".",-2),
 "cost."
)</f>
        <v>collection.treasury_1@4</v>
      </c>
      <c r="C1722" s="41" t="str">
        <f>_xlfn.XLOOKUP(tblCostChecklist[[#This Row],[TargetID]],tblTargets[TargetID],tblTargets[DisplayName],"")</f>
        <v>Treasury 1 Lv 4</v>
      </c>
      <c r="D1722" s="41" t="str">
        <f>_xlfn.XLOOKUP(tblCostChecklist[[#This Row],[TargetID]],tblTargets[TargetID],tblTargets[TargetType],"")</f>
        <v>COLLECTION</v>
      </c>
      <c r="E1722" s="41" t="s">
        <v>666</v>
      </c>
      <c r="F1722" s="41">
        <v>2</v>
      </c>
      <c r="G1722" s="41">
        <f>_xlfn.XLOOKUP(
 tblCostChecklist[[#This Row],[RequirementID]],
 tblCost[RequirementID],
 tblCost[QuantityRequired],
 ""
)</f>
        <v>4000</v>
      </c>
      <c r="H17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2" s="41" t="str">
        <f>_xlfn.XLOOKUP(tblCostChecklist[[#This Row],[TargetID]],tblTargetStatus[TargetID],tblTargetStatus[Status])</f>
        <v>BLOCKED</v>
      </c>
      <c r="J1722" s="25" t="b">
        <v>0</v>
      </c>
    </row>
    <row r="1723" spans="1:10">
      <c r="A1723" s="41" t="s">
        <v>5360</v>
      </c>
      <c r="B1723" s="41" t="str">
        <f>_xlfn.TEXTAFTER(
 _xlfn.TEXTBEFORE(tblCostChecklist[[#This Row],[RequirementID]],".",-2),
 "cost."
)</f>
        <v>collection.treasury_1@4</v>
      </c>
      <c r="C1723" s="41" t="str">
        <f>_xlfn.XLOOKUP(tblCostChecklist[[#This Row],[TargetID]],tblTargets[TargetID],tblTargets[DisplayName],"")</f>
        <v>Treasury 1 Lv 4</v>
      </c>
      <c r="D1723" s="41" t="str">
        <f>_xlfn.XLOOKUP(tblCostChecklist[[#This Row],[TargetID]],tblTargets[TargetID],tblTargets[TargetType],"")</f>
        <v>COLLECTION</v>
      </c>
      <c r="E1723" s="41" t="s">
        <v>667</v>
      </c>
      <c r="F1723" s="41">
        <v>1</v>
      </c>
      <c r="G1723" s="41">
        <f>_xlfn.XLOOKUP(
 tblCostChecklist[[#This Row],[RequirementID]],
 tblCost[RequirementID],
 tblCost[QuantityRequired],
 ""
)</f>
        <v>1000</v>
      </c>
      <c r="H17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3" s="41" t="str">
        <f>_xlfn.XLOOKUP(tblCostChecklist[[#This Row],[TargetID]],tblTargetStatus[TargetID],tblTargetStatus[Status])</f>
        <v>BLOCKED</v>
      </c>
      <c r="J1723" s="25" t="b">
        <v>0</v>
      </c>
    </row>
    <row r="1724" spans="1:10">
      <c r="A1724" s="41" t="s">
        <v>5361</v>
      </c>
      <c r="B1724" s="41" t="str">
        <f>_xlfn.TEXTAFTER(
 _xlfn.TEXTBEFORE(tblCostChecklist[[#This Row],[RequirementID]],".",-2),
 "cost."
)</f>
        <v>collection.treasury_1@4</v>
      </c>
      <c r="C1724" s="41" t="str">
        <f>_xlfn.XLOOKUP(tblCostChecklist[[#This Row],[TargetID]],tblTargets[TargetID],tblTargets[DisplayName],"")</f>
        <v>Treasury 1 Lv 4</v>
      </c>
      <c r="D1724" s="41" t="str">
        <f>_xlfn.XLOOKUP(tblCostChecklist[[#This Row],[TargetID]],tblTargets[TargetID],tblTargets[TargetType],"")</f>
        <v>COLLECTION</v>
      </c>
      <c r="E1724" s="41" t="s">
        <v>1803</v>
      </c>
      <c r="F1724" s="41">
        <v>1</v>
      </c>
      <c r="G1724" s="41">
        <f>_xlfn.XLOOKUP(
 tblCostChecklist[[#This Row],[RequirementID]],
 tblCost[RequirementID],
 tblCost[QuantityRequired],
 ""
)</f>
        <v>1000</v>
      </c>
      <c r="H17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4" s="41" t="str">
        <f>_xlfn.XLOOKUP(tblCostChecklist[[#This Row],[TargetID]],tblTargetStatus[TargetID],tblTargetStatus[Status])</f>
        <v>BLOCKED</v>
      </c>
      <c r="J1724" s="25" t="b">
        <v>0</v>
      </c>
    </row>
    <row r="1725" spans="1:10">
      <c r="A1725" s="41" t="s">
        <v>5362</v>
      </c>
      <c r="B1725" s="41" t="str">
        <f>_xlfn.TEXTAFTER(
 _xlfn.TEXTBEFORE(tblCostChecklist[[#This Row],[RequirementID]],".",-2),
 "cost."
)</f>
        <v>collection.treasury_1@4</v>
      </c>
      <c r="C1725" s="41" t="str">
        <f>_xlfn.XLOOKUP(tblCostChecklist[[#This Row],[TargetID]],tblTargets[TargetID],tblTargets[DisplayName],"")</f>
        <v>Treasury 1 Lv 4</v>
      </c>
      <c r="D1725" s="41" t="str">
        <f>_xlfn.XLOOKUP(tblCostChecklist[[#This Row],[TargetID]],tblTargets[TargetID],tblTargets[TargetType],"")</f>
        <v>COLLECTION</v>
      </c>
      <c r="E1725" s="41" t="s">
        <v>680</v>
      </c>
      <c r="F1725" s="41">
        <v>1</v>
      </c>
      <c r="G1725" s="41">
        <f>_xlfn.XLOOKUP(
 tblCostChecklist[[#This Row],[RequirementID]],
 tblCost[RequirementID],
 tblCost[QuantityRequired],
 ""
)</f>
        <v>40</v>
      </c>
      <c r="H17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5" s="41" t="str">
        <f>_xlfn.XLOOKUP(tblCostChecklist[[#This Row],[TargetID]],tblTargetStatus[TargetID],tblTargetStatus[Status])</f>
        <v>BLOCKED</v>
      </c>
      <c r="J1725" s="25" t="b">
        <v>0</v>
      </c>
    </row>
    <row r="1726" spans="1:10">
      <c r="A1726" s="41" t="s">
        <v>5363</v>
      </c>
      <c r="B1726" s="41" t="str">
        <f>_xlfn.TEXTAFTER(
 _xlfn.TEXTBEFORE(tblCostChecklist[[#This Row],[RequirementID]],".",-2),
 "cost."
)</f>
        <v>collection.treasury_1@4</v>
      </c>
      <c r="C1726" s="41" t="str">
        <f>_xlfn.XLOOKUP(tblCostChecklist[[#This Row],[TargetID]],tblTargets[TargetID],tblTargets[DisplayName],"")</f>
        <v>Treasury 1 Lv 4</v>
      </c>
      <c r="D1726" s="41" t="str">
        <f>_xlfn.XLOOKUP(tblCostChecklist[[#This Row],[TargetID]],tblTargets[TargetID],tblTargets[TargetType],"")</f>
        <v>COLLECTION</v>
      </c>
      <c r="E1726" s="41" t="s">
        <v>699</v>
      </c>
      <c r="F1726" s="41">
        <v>1</v>
      </c>
      <c r="G1726" s="41">
        <f>_xlfn.XLOOKUP(
 tblCostChecklist[[#This Row],[RequirementID]],
 tblCost[RequirementID],
 tblCost[QuantityRequired],
 ""
)</f>
        <v>20</v>
      </c>
      <c r="H17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6" s="41" t="str">
        <f>_xlfn.XLOOKUP(tblCostChecklist[[#This Row],[TargetID]],tblTargetStatus[TargetID],tblTargetStatus[Status])</f>
        <v>BLOCKED</v>
      </c>
      <c r="J1726" s="25" t="b">
        <v>0</v>
      </c>
    </row>
    <row r="1727" spans="1:10">
      <c r="A1727" s="41" t="s">
        <v>5364</v>
      </c>
      <c r="B1727" s="41" t="str">
        <f>_xlfn.TEXTAFTER(
 _xlfn.TEXTBEFORE(tblCostChecklist[[#This Row],[RequirementID]],".",-2),
 "cost."
)</f>
        <v>collection.treasury_1@4</v>
      </c>
      <c r="C1727" s="41" t="str">
        <f>_xlfn.XLOOKUP(tblCostChecklist[[#This Row],[TargetID]],tblTargets[TargetID],tblTargets[DisplayName],"")</f>
        <v>Treasury 1 Lv 4</v>
      </c>
      <c r="D1727" s="41" t="str">
        <f>_xlfn.XLOOKUP(tblCostChecklist[[#This Row],[TargetID]],tblTargets[TargetID],tblTargets[TargetType],"")</f>
        <v>COLLECTION</v>
      </c>
      <c r="E1727" s="41" t="s">
        <v>708</v>
      </c>
      <c r="F1727" s="41">
        <v>1</v>
      </c>
      <c r="G1727" s="41">
        <f>_xlfn.XLOOKUP(
 tblCostChecklist[[#This Row],[RequirementID]],
 tblCost[RequirementID],
 tblCost[QuantityRequired],
 ""
)</f>
        <v>20</v>
      </c>
      <c r="H17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7" s="41" t="str">
        <f>_xlfn.XLOOKUP(tblCostChecklist[[#This Row],[TargetID]],tblTargetStatus[TargetID],tblTargetStatus[Status])</f>
        <v>BLOCKED</v>
      </c>
      <c r="J1727" s="25" t="b">
        <v>0</v>
      </c>
    </row>
    <row r="1728" spans="1:10">
      <c r="A1728" s="41" t="s">
        <v>5365</v>
      </c>
      <c r="B1728" s="41" t="str">
        <f>_xlfn.TEXTAFTER(
 _xlfn.TEXTBEFORE(tblCostChecklist[[#This Row],[RequirementID]],".",-2),
 "cost."
)</f>
        <v>collection.treasury_1@4</v>
      </c>
      <c r="C1728" s="41" t="str">
        <f>_xlfn.XLOOKUP(tblCostChecklist[[#This Row],[TargetID]],tblTargets[TargetID],tblTargets[DisplayName],"")</f>
        <v>Treasury 1 Lv 4</v>
      </c>
      <c r="D1728" s="41" t="str">
        <f>_xlfn.XLOOKUP(tblCostChecklist[[#This Row],[TargetID]],tblTargets[TargetID],tblTargets[TargetType],"")</f>
        <v>COLLECTION</v>
      </c>
      <c r="E1728" s="41" t="s">
        <v>721</v>
      </c>
      <c r="F1728" s="41">
        <v>1</v>
      </c>
      <c r="G1728" s="41">
        <f>_xlfn.XLOOKUP(
 tblCostChecklist[[#This Row],[RequirementID]],
 tblCost[RequirementID],
 tblCost[QuantityRequired],
 ""
)</f>
        <v>40</v>
      </c>
      <c r="H17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8" s="41" t="str">
        <f>_xlfn.XLOOKUP(tblCostChecklist[[#This Row],[TargetID]],tblTargetStatus[TargetID],tblTargetStatus[Status])</f>
        <v>BLOCKED</v>
      </c>
      <c r="J1728" s="25" t="b">
        <v>0</v>
      </c>
    </row>
    <row r="1729" spans="1:10">
      <c r="A1729" s="41" t="s">
        <v>5366</v>
      </c>
      <c r="B1729" s="41" t="str">
        <f>_xlfn.TEXTAFTER(
 _xlfn.TEXTBEFORE(tblCostChecklist[[#This Row],[RequirementID]],".",-2),
 "cost."
)</f>
        <v>collection.treasury_1@5</v>
      </c>
      <c r="C1729" s="41" t="str">
        <f>_xlfn.XLOOKUP(tblCostChecklist[[#This Row],[TargetID]],tblTargets[TargetID],tblTargets[DisplayName],"")</f>
        <v>Treasury 1 Lv 5</v>
      </c>
      <c r="D1729" s="41" t="str">
        <f>_xlfn.XLOOKUP(tblCostChecklist[[#This Row],[TargetID]],tblTargets[TargetID],tblTargets[TargetType],"")</f>
        <v>COLLECTION</v>
      </c>
      <c r="E1729" s="41" t="s">
        <v>666</v>
      </c>
      <c r="F1729" s="41">
        <v>1</v>
      </c>
      <c r="G1729" s="41">
        <f>_xlfn.XLOOKUP(
 tblCostChecklist[[#This Row],[RequirementID]],
 tblCost[RequirementID],
 tblCost[QuantityRequired],
 ""
)</f>
        <v>5000</v>
      </c>
      <c r="H17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9" s="41" t="str">
        <f>_xlfn.XLOOKUP(tblCostChecklist[[#This Row],[TargetID]],tblTargetStatus[TargetID],tblTargetStatus[Status])</f>
        <v>BLOCKED</v>
      </c>
      <c r="J1729" s="25" t="b">
        <v>0</v>
      </c>
    </row>
    <row r="1730" spans="1:10">
      <c r="A1730" s="41" t="s">
        <v>5367</v>
      </c>
      <c r="B1730" s="41" t="str">
        <f>_xlfn.TEXTAFTER(
 _xlfn.TEXTBEFORE(tblCostChecklist[[#This Row],[RequirementID]],".",-2),
 "cost."
)</f>
        <v>collection.treasury_1@5</v>
      </c>
      <c r="C1730" s="41" t="str">
        <f>_xlfn.XLOOKUP(tblCostChecklist[[#This Row],[TargetID]],tblTargets[TargetID],tblTargets[DisplayName],"")</f>
        <v>Treasury 1 Lv 5</v>
      </c>
      <c r="D1730" s="41" t="str">
        <f>_xlfn.XLOOKUP(tblCostChecklist[[#This Row],[TargetID]],tblTargets[TargetID],tblTargets[TargetType],"")</f>
        <v>COLLECTION</v>
      </c>
      <c r="E1730" s="41" t="s">
        <v>666</v>
      </c>
      <c r="F1730" s="41">
        <v>2</v>
      </c>
      <c r="G1730" s="41">
        <f>_xlfn.XLOOKUP(
 tblCostChecklist[[#This Row],[RequirementID]],
 tblCost[RequirementID],
 tblCost[QuantityRequired],
 ""
)</f>
        <v>5000</v>
      </c>
      <c r="H17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0" s="41" t="str">
        <f>_xlfn.XLOOKUP(tblCostChecklist[[#This Row],[TargetID]],tblTargetStatus[TargetID],tblTargetStatus[Status])</f>
        <v>BLOCKED</v>
      </c>
      <c r="J1730" s="25" t="b">
        <v>0</v>
      </c>
    </row>
    <row r="1731" spans="1:10">
      <c r="A1731" s="41" t="s">
        <v>5368</v>
      </c>
      <c r="B1731" s="41" t="str">
        <f>_xlfn.TEXTAFTER(
 _xlfn.TEXTBEFORE(tblCostChecklist[[#This Row],[RequirementID]],".",-2),
 "cost."
)</f>
        <v>collection.treasury_1@5</v>
      </c>
      <c r="C1731" s="41" t="str">
        <f>_xlfn.XLOOKUP(tblCostChecklist[[#This Row],[TargetID]],tblTargets[TargetID],tblTargets[DisplayName],"")</f>
        <v>Treasury 1 Lv 5</v>
      </c>
      <c r="D1731" s="41" t="str">
        <f>_xlfn.XLOOKUP(tblCostChecklist[[#This Row],[TargetID]],tblTargets[TargetID],tblTargets[TargetType],"")</f>
        <v>COLLECTION</v>
      </c>
      <c r="E1731" s="41" t="s">
        <v>667</v>
      </c>
      <c r="F1731" s="41">
        <v>1</v>
      </c>
      <c r="G1731" s="41">
        <f>_xlfn.XLOOKUP(
 tblCostChecklist[[#This Row],[RequirementID]],
 tblCost[RequirementID],
 tblCost[QuantityRequired],
 ""
)</f>
        <v>1250</v>
      </c>
      <c r="H17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1" s="41" t="str">
        <f>_xlfn.XLOOKUP(tblCostChecklist[[#This Row],[TargetID]],tblTargetStatus[TargetID],tblTargetStatus[Status])</f>
        <v>BLOCKED</v>
      </c>
      <c r="J1731" s="25" t="b">
        <v>0</v>
      </c>
    </row>
    <row r="1732" spans="1:10">
      <c r="A1732" s="41" t="s">
        <v>5369</v>
      </c>
      <c r="B1732" s="41" t="str">
        <f>_xlfn.TEXTAFTER(
 _xlfn.TEXTBEFORE(tblCostChecklist[[#This Row],[RequirementID]],".",-2),
 "cost."
)</f>
        <v>collection.treasury_1@5</v>
      </c>
      <c r="C1732" s="41" t="str">
        <f>_xlfn.XLOOKUP(tblCostChecklist[[#This Row],[TargetID]],tblTargets[TargetID],tblTargets[DisplayName],"")</f>
        <v>Treasury 1 Lv 5</v>
      </c>
      <c r="D1732" s="41" t="str">
        <f>_xlfn.XLOOKUP(tblCostChecklist[[#This Row],[TargetID]],tblTargets[TargetID],tblTargets[TargetType],"")</f>
        <v>COLLECTION</v>
      </c>
      <c r="E1732" s="41" t="s">
        <v>1803</v>
      </c>
      <c r="F1732" s="41">
        <v>1</v>
      </c>
      <c r="G1732" s="41">
        <f>_xlfn.XLOOKUP(
 tblCostChecklist[[#This Row],[RequirementID]],
 tblCost[RequirementID],
 tblCost[QuantityRequired],
 ""
)</f>
        <v>1250</v>
      </c>
      <c r="H17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2" s="41" t="str">
        <f>_xlfn.XLOOKUP(tblCostChecklist[[#This Row],[TargetID]],tblTargetStatus[TargetID],tblTargetStatus[Status])</f>
        <v>BLOCKED</v>
      </c>
      <c r="J1732" s="25" t="b">
        <v>0</v>
      </c>
    </row>
    <row r="1733" spans="1:10">
      <c r="A1733" s="41" t="s">
        <v>5370</v>
      </c>
      <c r="B1733" s="41" t="str">
        <f>_xlfn.TEXTAFTER(
 _xlfn.TEXTBEFORE(tblCostChecklist[[#This Row],[RequirementID]],".",-2),
 "cost."
)</f>
        <v>collection.treasury_1@5</v>
      </c>
      <c r="C1733" s="41" t="str">
        <f>_xlfn.XLOOKUP(tblCostChecklist[[#This Row],[TargetID]],tblTargets[TargetID],tblTargets[DisplayName],"")</f>
        <v>Treasury 1 Lv 5</v>
      </c>
      <c r="D1733" s="41" t="str">
        <f>_xlfn.XLOOKUP(tblCostChecklist[[#This Row],[TargetID]],tblTargets[TargetID],tblTargets[TargetType],"")</f>
        <v>COLLECTION</v>
      </c>
      <c r="E1733" s="41" t="s">
        <v>680</v>
      </c>
      <c r="F1733" s="41">
        <v>1</v>
      </c>
      <c r="G1733" s="41">
        <f>_xlfn.XLOOKUP(
 tblCostChecklist[[#This Row],[RequirementID]],
 tblCost[RequirementID],
 tblCost[QuantityRequired],
 ""
)</f>
        <v>50</v>
      </c>
      <c r="H17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3" s="41" t="str">
        <f>_xlfn.XLOOKUP(tblCostChecklist[[#This Row],[TargetID]],tblTargetStatus[TargetID],tblTargetStatus[Status])</f>
        <v>BLOCKED</v>
      </c>
      <c r="J1733" s="25" t="b">
        <v>0</v>
      </c>
    </row>
    <row r="1734" spans="1:10">
      <c r="A1734" s="41" t="s">
        <v>5371</v>
      </c>
      <c r="B1734" s="41" t="str">
        <f>_xlfn.TEXTAFTER(
 _xlfn.TEXTBEFORE(tblCostChecklist[[#This Row],[RequirementID]],".",-2),
 "cost."
)</f>
        <v>collection.treasury_1@5</v>
      </c>
      <c r="C1734" s="41" t="str">
        <f>_xlfn.XLOOKUP(tblCostChecklist[[#This Row],[TargetID]],tblTargets[TargetID],tblTargets[DisplayName],"")</f>
        <v>Treasury 1 Lv 5</v>
      </c>
      <c r="D1734" s="41" t="str">
        <f>_xlfn.XLOOKUP(tblCostChecklist[[#This Row],[TargetID]],tblTargets[TargetID],tblTargets[TargetType],"")</f>
        <v>COLLECTION</v>
      </c>
      <c r="E1734" s="41" t="s">
        <v>699</v>
      </c>
      <c r="F1734" s="41">
        <v>1</v>
      </c>
      <c r="G1734" s="41">
        <f>_xlfn.XLOOKUP(
 tblCostChecklist[[#This Row],[RequirementID]],
 tblCost[RequirementID],
 tblCost[QuantityRequired],
 ""
)</f>
        <v>25</v>
      </c>
      <c r="H17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4" s="41" t="str">
        <f>_xlfn.XLOOKUP(tblCostChecklist[[#This Row],[TargetID]],tblTargetStatus[TargetID],tblTargetStatus[Status])</f>
        <v>BLOCKED</v>
      </c>
      <c r="J1734" s="25" t="b">
        <v>0</v>
      </c>
    </row>
    <row r="1735" spans="1:10">
      <c r="A1735" s="41" t="s">
        <v>5372</v>
      </c>
      <c r="B1735" s="41" t="str">
        <f>_xlfn.TEXTAFTER(
 _xlfn.TEXTBEFORE(tblCostChecklist[[#This Row],[RequirementID]],".",-2),
 "cost."
)</f>
        <v>collection.treasury_1@5</v>
      </c>
      <c r="C1735" s="41" t="str">
        <f>_xlfn.XLOOKUP(tblCostChecklist[[#This Row],[TargetID]],tblTargets[TargetID],tblTargets[DisplayName],"")</f>
        <v>Treasury 1 Lv 5</v>
      </c>
      <c r="D1735" s="41" t="str">
        <f>_xlfn.XLOOKUP(tblCostChecklist[[#This Row],[TargetID]],tblTargets[TargetID],tblTargets[TargetType],"")</f>
        <v>COLLECTION</v>
      </c>
      <c r="E1735" s="41" t="s">
        <v>708</v>
      </c>
      <c r="F1735" s="41">
        <v>1</v>
      </c>
      <c r="G1735" s="41">
        <f>_xlfn.XLOOKUP(
 tblCostChecklist[[#This Row],[RequirementID]],
 tblCost[RequirementID],
 tblCost[QuantityRequired],
 ""
)</f>
        <v>25</v>
      </c>
      <c r="H17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5" s="41" t="str">
        <f>_xlfn.XLOOKUP(tblCostChecklist[[#This Row],[TargetID]],tblTargetStatus[TargetID],tblTargetStatus[Status])</f>
        <v>BLOCKED</v>
      </c>
      <c r="J1735" s="25" t="b">
        <v>0</v>
      </c>
    </row>
    <row r="1736" spans="1:10">
      <c r="A1736" s="41" t="s">
        <v>5373</v>
      </c>
      <c r="B1736" s="41" t="str">
        <f>_xlfn.TEXTAFTER(
 _xlfn.TEXTBEFORE(tblCostChecklist[[#This Row],[RequirementID]],".",-2),
 "cost."
)</f>
        <v>collection.treasury_1@5</v>
      </c>
      <c r="C1736" s="41" t="str">
        <f>_xlfn.XLOOKUP(tblCostChecklist[[#This Row],[TargetID]],tblTargets[TargetID],tblTargets[DisplayName],"")</f>
        <v>Treasury 1 Lv 5</v>
      </c>
      <c r="D1736" s="41" t="str">
        <f>_xlfn.XLOOKUP(tblCostChecklist[[#This Row],[TargetID]],tblTargets[TargetID],tblTargets[TargetType],"")</f>
        <v>COLLECTION</v>
      </c>
      <c r="E1736" s="41" t="s">
        <v>721</v>
      </c>
      <c r="F1736" s="41">
        <v>1</v>
      </c>
      <c r="G1736" s="41">
        <f>_xlfn.XLOOKUP(
 tblCostChecklist[[#This Row],[RequirementID]],
 tblCost[RequirementID],
 tblCost[QuantityRequired],
 ""
)</f>
        <v>50</v>
      </c>
      <c r="H17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6" s="41" t="str">
        <f>_xlfn.XLOOKUP(tblCostChecklist[[#This Row],[TargetID]],tblTargetStatus[TargetID],tblTargetStatus[Status])</f>
        <v>BLOCKED</v>
      </c>
      <c r="J1736" s="25" t="b">
        <v>0</v>
      </c>
    </row>
    <row r="1737" spans="1:10">
      <c r="A1737" s="41" t="s">
        <v>5374</v>
      </c>
      <c r="B1737" s="41" t="str">
        <f>_xlfn.TEXTAFTER(
 _xlfn.TEXTBEFORE(tblCostChecklist[[#This Row],[RequirementID]],".",-2),
 "cost."
)</f>
        <v>collection.treasury_2@1</v>
      </c>
      <c r="C1737" s="41" t="str">
        <f>_xlfn.XLOOKUP(tblCostChecklist[[#This Row],[TargetID]],tblTargets[TargetID],tblTargets[DisplayName],"")</f>
        <v>Treasury 2 Lv 1</v>
      </c>
      <c r="D1737" s="41" t="str">
        <f>_xlfn.XLOOKUP(tblCostChecklist[[#This Row],[TargetID]],tblTargets[TargetID],tblTargets[TargetType],"")</f>
        <v>COLLECTION</v>
      </c>
      <c r="E1737" s="41" t="s">
        <v>947</v>
      </c>
      <c r="F1737" s="41">
        <v>1</v>
      </c>
      <c r="G1737" s="41">
        <f>_xlfn.XLOOKUP(
 tblCostChecklist[[#This Row],[RequirementID]],
 tblCost[RequirementID],
 tblCost[QuantityRequired],
 ""
)</f>
        <v>3</v>
      </c>
      <c r="H17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7" s="41" t="str">
        <f>_xlfn.XLOOKUP(tblCostChecklist[[#This Row],[TargetID]],tblTargetStatus[TargetID],tblTargetStatus[Status])</f>
        <v>BLOCKED</v>
      </c>
      <c r="J1737" s="25" t="b">
        <v>0</v>
      </c>
    </row>
    <row r="1738" spans="1:10">
      <c r="A1738" s="41" t="s">
        <v>5375</v>
      </c>
      <c r="B1738" s="41" t="str">
        <f>_xlfn.TEXTAFTER(
 _xlfn.TEXTBEFORE(tblCostChecklist[[#This Row],[RequirementID]],".",-2),
 "cost."
)</f>
        <v>collection.treasury_2@1</v>
      </c>
      <c r="C1738" s="41" t="str">
        <f>_xlfn.XLOOKUP(tblCostChecklist[[#This Row],[TargetID]],tblTargets[TargetID],tblTargets[DisplayName],"")</f>
        <v>Treasury 2 Lv 1</v>
      </c>
      <c r="D1738" s="41" t="str">
        <f>_xlfn.XLOOKUP(tblCostChecklist[[#This Row],[TargetID]],tblTargets[TargetID],tblTargets[TargetType],"")</f>
        <v>COLLECTION</v>
      </c>
      <c r="E1738" s="41" t="s">
        <v>1831</v>
      </c>
      <c r="F1738" s="41">
        <v>1</v>
      </c>
      <c r="G1738" s="41">
        <f>_xlfn.XLOOKUP(
 tblCostChecklist[[#This Row],[RequirementID]],
 tblCost[RequirementID],
 tblCost[QuantityRequired],
 ""
)</f>
        <v>3</v>
      </c>
      <c r="H17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8" s="41" t="str">
        <f>_xlfn.XLOOKUP(tblCostChecklist[[#This Row],[TargetID]],tblTargetStatus[TargetID],tblTargetStatus[Status])</f>
        <v>BLOCKED</v>
      </c>
      <c r="J1738" s="25" t="b">
        <v>0</v>
      </c>
    </row>
    <row r="1739" spans="1:10">
      <c r="A1739" s="41" t="s">
        <v>5376</v>
      </c>
      <c r="B1739" s="41" t="str">
        <f>_xlfn.TEXTAFTER(
 _xlfn.TEXTBEFORE(tblCostChecklist[[#This Row],[RequirementID]],".",-2),
 "cost."
)</f>
        <v>collection.treasury_2@1</v>
      </c>
      <c r="C1739" s="41" t="str">
        <f>_xlfn.XLOOKUP(tblCostChecklist[[#This Row],[TargetID]],tblTargets[TargetID],tblTargets[DisplayName],"")</f>
        <v>Treasury 2 Lv 1</v>
      </c>
      <c r="D1739" s="41" t="str">
        <f>_xlfn.XLOOKUP(tblCostChecklist[[#This Row],[TargetID]],tblTargets[TargetID],tblTargets[TargetType],"")</f>
        <v>COLLECTION</v>
      </c>
      <c r="E1739" s="41" t="s">
        <v>1832</v>
      </c>
      <c r="F1739" s="41">
        <v>1</v>
      </c>
      <c r="G1739" s="41">
        <f>_xlfn.XLOOKUP(
 tblCostChecklist[[#This Row],[RequirementID]],
 tblCost[RequirementID],
 tblCost[QuantityRequired],
 ""
)</f>
        <v>3</v>
      </c>
      <c r="H17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9" s="41" t="str">
        <f>_xlfn.XLOOKUP(tblCostChecklist[[#This Row],[TargetID]],tblTargetStatus[TargetID],tblTargetStatus[Status])</f>
        <v>BLOCKED</v>
      </c>
      <c r="J1739" s="25" t="b">
        <v>0</v>
      </c>
    </row>
    <row r="1740" spans="1:10">
      <c r="A1740" s="41" t="s">
        <v>5377</v>
      </c>
      <c r="B1740" s="41" t="str">
        <f>_xlfn.TEXTAFTER(
 _xlfn.TEXTBEFORE(tblCostChecklist[[#This Row],[RequirementID]],".",-2),
 "cost."
)</f>
        <v>collection.treasury_2@1</v>
      </c>
      <c r="C1740" s="41" t="str">
        <f>_xlfn.XLOOKUP(tblCostChecklist[[#This Row],[TargetID]],tblTargets[TargetID],tblTargets[DisplayName],"")</f>
        <v>Treasury 2 Lv 1</v>
      </c>
      <c r="D1740" s="41" t="str">
        <f>_xlfn.XLOOKUP(tblCostChecklist[[#This Row],[TargetID]],tblTargets[TargetID],tblTargets[TargetType],"")</f>
        <v>COLLECTION</v>
      </c>
      <c r="E1740" s="41" t="s">
        <v>1833</v>
      </c>
      <c r="F1740" s="41">
        <v>1</v>
      </c>
      <c r="G1740" s="41">
        <f>_xlfn.XLOOKUP(
 tblCostChecklist[[#This Row],[RequirementID]],
 tblCost[RequirementID],
 tblCost[QuantityRequired],
 ""
)</f>
        <v>3</v>
      </c>
      <c r="H17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0" s="41" t="str">
        <f>_xlfn.XLOOKUP(tblCostChecklist[[#This Row],[TargetID]],tblTargetStatus[TargetID],tblTargetStatus[Status])</f>
        <v>BLOCKED</v>
      </c>
      <c r="J1740" s="25" t="b">
        <v>0</v>
      </c>
    </row>
    <row r="1741" spans="1:10">
      <c r="A1741" s="41" t="s">
        <v>5378</v>
      </c>
      <c r="B1741" s="41" t="str">
        <f>_xlfn.TEXTAFTER(
 _xlfn.TEXTBEFORE(tblCostChecklist[[#This Row],[RequirementID]],".",-2),
 "cost."
)</f>
        <v>collection.treasury_2@1</v>
      </c>
      <c r="C1741" s="41" t="str">
        <f>_xlfn.XLOOKUP(tblCostChecklist[[#This Row],[TargetID]],tblTargets[TargetID],tblTargets[DisplayName],"")</f>
        <v>Treasury 2 Lv 1</v>
      </c>
      <c r="D1741" s="41" t="str">
        <f>_xlfn.XLOOKUP(tblCostChecklist[[#This Row],[TargetID]],tblTargets[TargetID],tblTargets[TargetType],"")</f>
        <v>COLLECTION</v>
      </c>
      <c r="E1741" s="41" t="s">
        <v>1834</v>
      </c>
      <c r="F1741" s="41">
        <v>1</v>
      </c>
      <c r="G1741" s="41">
        <f>_xlfn.XLOOKUP(
 tblCostChecklist[[#This Row],[RequirementID]],
 tblCost[RequirementID],
 tblCost[QuantityRequired],
 ""
)</f>
        <v>3</v>
      </c>
      <c r="H17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1" s="41" t="str">
        <f>_xlfn.XLOOKUP(tblCostChecklist[[#This Row],[TargetID]],tblTargetStatus[TargetID],tblTargetStatus[Status])</f>
        <v>BLOCKED</v>
      </c>
      <c r="J1741" s="25" t="b">
        <v>0</v>
      </c>
    </row>
    <row r="1742" spans="1:10">
      <c r="A1742" s="41" t="s">
        <v>5379</v>
      </c>
      <c r="B1742" s="41" t="str">
        <f>_xlfn.TEXTAFTER(
 _xlfn.TEXTBEFORE(tblCostChecklist[[#This Row],[RequirementID]],".",-2),
 "cost."
)</f>
        <v>collection.treasury_2@2</v>
      </c>
      <c r="C1742" s="41" t="str">
        <f>_xlfn.XLOOKUP(tblCostChecklist[[#This Row],[TargetID]],tblTargets[TargetID],tblTargets[DisplayName],"")</f>
        <v>Treasury 2 Lv 2</v>
      </c>
      <c r="D1742" s="41" t="str">
        <f>_xlfn.XLOOKUP(tblCostChecklist[[#This Row],[TargetID]],tblTargets[TargetID],tblTargets[TargetType],"")</f>
        <v>COLLECTION</v>
      </c>
      <c r="E1742" s="41" t="s">
        <v>947</v>
      </c>
      <c r="F1742" s="41">
        <v>1</v>
      </c>
      <c r="G1742" s="41">
        <f>_xlfn.XLOOKUP(
 tblCostChecklist[[#This Row],[RequirementID]],
 tblCost[RequirementID],
 tblCost[QuantityRequired],
 ""
)</f>
        <v>6</v>
      </c>
      <c r="H17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2" s="41" t="str">
        <f>_xlfn.XLOOKUP(tblCostChecklist[[#This Row],[TargetID]],tblTargetStatus[TargetID],tblTargetStatus[Status])</f>
        <v>BLOCKED</v>
      </c>
      <c r="J1742" s="25" t="b">
        <v>0</v>
      </c>
    </row>
    <row r="1743" spans="1:10">
      <c r="A1743" s="41" t="s">
        <v>5380</v>
      </c>
      <c r="B1743" s="41" t="str">
        <f>_xlfn.TEXTAFTER(
 _xlfn.TEXTBEFORE(tblCostChecklist[[#This Row],[RequirementID]],".",-2),
 "cost."
)</f>
        <v>collection.treasury_2@2</v>
      </c>
      <c r="C1743" s="41" t="str">
        <f>_xlfn.XLOOKUP(tblCostChecklist[[#This Row],[TargetID]],tblTargets[TargetID],tblTargets[DisplayName],"")</f>
        <v>Treasury 2 Lv 2</v>
      </c>
      <c r="D1743" s="41" t="str">
        <f>_xlfn.XLOOKUP(tblCostChecklist[[#This Row],[TargetID]],tblTargets[TargetID],tblTargets[TargetType],"")</f>
        <v>COLLECTION</v>
      </c>
      <c r="E1743" s="41" t="s">
        <v>1831</v>
      </c>
      <c r="F1743" s="41">
        <v>1</v>
      </c>
      <c r="G1743" s="41">
        <f>_xlfn.XLOOKUP(
 tblCostChecklist[[#This Row],[RequirementID]],
 tblCost[RequirementID],
 tblCost[QuantityRequired],
 ""
)</f>
        <v>6</v>
      </c>
      <c r="H17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3" s="41" t="str">
        <f>_xlfn.XLOOKUP(tblCostChecklist[[#This Row],[TargetID]],tblTargetStatus[TargetID],tblTargetStatus[Status])</f>
        <v>BLOCKED</v>
      </c>
      <c r="J1743" s="25" t="b">
        <v>0</v>
      </c>
    </row>
    <row r="1744" spans="1:10">
      <c r="A1744" s="41" t="s">
        <v>5381</v>
      </c>
      <c r="B1744" s="41" t="str">
        <f>_xlfn.TEXTAFTER(
 _xlfn.TEXTBEFORE(tblCostChecklist[[#This Row],[RequirementID]],".",-2),
 "cost."
)</f>
        <v>collection.treasury_2@2</v>
      </c>
      <c r="C1744" s="41" t="str">
        <f>_xlfn.XLOOKUP(tblCostChecklist[[#This Row],[TargetID]],tblTargets[TargetID],tblTargets[DisplayName],"")</f>
        <v>Treasury 2 Lv 2</v>
      </c>
      <c r="D1744" s="41" t="str">
        <f>_xlfn.XLOOKUP(tblCostChecklist[[#This Row],[TargetID]],tblTargets[TargetID],tblTargets[TargetType],"")</f>
        <v>COLLECTION</v>
      </c>
      <c r="E1744" s="41" t="s">
        <v>1832</v>
      </c>
      <c r="F1744" s="41">
        <v>1</v>
      </c>
      <c r="G1744" s="41">
        <f>_xlfn.XLOOKUP(
 tblCostChecklist[[#This Row],[RequirementID]],
 tblCost[RequirementID],
 tblCost[QuantityRequired],
 ""
)</f>
        <v>6</v>
      </c>
      <c r="H17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4" s="41" t="str">
        <f>_xlfn.XLOOKUP(tblCostChecklist[[#This Row],[TargetID]],tblTargetStatus[TargetID],tblTargetStatus[Status])</f>
        <v>BLOCKED</v>
      </c>
      <c r="J1744" s="25" t="b">
        <v>0</v>
      </c>
    </row>
    <row r="1745" spans="1:10">
      <c r="A1745" s="41" t="s">
        <v>5382</v>
      </c>
      <c r="B1745" s="41" t="str">
        <f>_xlfn.TEXTAFTER(
 _xlfn.TEXTBEFORE(tblCostChecklist[[#This Row],[RequirementID]],".",-2),
 "cost."
)</f>
        <v>collection.treasury_2@2</v>
      </c>
      <c r="C1745" s="41" t="str">
        <f>_xlfn.XLOOKUP(tblCostChecklist[[#This Row],[TargetID]],tblTargets[TargetID],tblTargets[DisplayName],"")</f>
        <v>Treasury 2 Lv 2</v>
      </c>
      <c r="D1745" s="41" t="str">
        <f>_xlfn.XLOOKUP(tblCostChecklist[[#This Row],[TargetID]],tblTargets[TargetID],tblTargets[TargetType],"")</f>
        <v>COLLECTION</v>
      </c>
      <c r="E1745" s="41" t="s">
        <v>1833</v>
      </c>
      <c r="F1745" s="41">
        <v>1</v>
      </c>
      <c r="G1745" s="41">
        <f>_xlfn.XLOOKUP(
 tblCostChecklist[[#This Row],[RequirementID]],
 tblCost[RequirementID],
 tblCost[QuantityRequired],
 ""
)</f>
        <v>6</v>
      </c>
      <c r="H17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5" s="41" t="str">
        <f>_xlfn.XLOOKUP(tblCostChecklist[[#This Row],[TargetID]],tblTargetStatus[TargetID],tblTargetStatus[Status])</f>
        <v>BLOCKED</v>
      </c>
      <c r="J1745" s="25" t="b">
        <v>0</v>
      </c>
    </row>
    <row r="1746" spans="1:10">
      <c r="A1746" s="41" t="s">
        <v>5383</v>
      </c>
      <c r="B1746" s="41" t="str">
        <f>_xlfn.TEXTAFTER(
 _xlfn.TEXTBEFORE(tblCostChecklist[[#This Row],[RequirementID]],".",-2),
 "cost."
)</f>
        <v>collection.treasury_2@2</v>
      </c>
      <c r="C1746" s="41" t="str">
        <f>_xlfn.XLOOKUP(tblCostChecklist[[#This Row],[TargetID]],tblTargets[TargetID],tblTargets[DisplayName],"")</f>
        <v>Treasury 2 Lv 2</v>
      </c>
      <c r="D1746" s="41" t="str">
        <f>_xlfn.XLOOKUP(tblCostChecklist[[#This Row],[TargetID]],tblTargets[TargetID],tblTargets[TargetType],"")</f>
        <v>COLLECTION</v>
      </c>
      <c r="E1746" s="41" t="s">
        <v>1834</v>
      </c>
      <c r="F1746" s="41">
        <v>1</v>
      </c>
      <c r="G1746" s="41">
        <f>_xlfn.XLOOKUP(
 tblCostChecklist[[#This Row],[RequirementID]],
 tblCost[RequirementID],
 tblCost[QuantityRequired],
 ""
)</f>
        <v>6</v>
      </c>
      <c r="H17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6" s="41" t="str">
        <f>_xlfn.XLOOKUP(tblCostChecklist[[#This Row],[TargetID]],tblTargetStatus[TargetID],tblTargetStatus[Status])</f>
        <v>BLOCKED</v>
      </c>
      <c r="J1746" s="25" t="b">
        <v>0</v>
      </c>
    </row>
    <row r="1747" spans="1:10">
      <c r="A1747" s="41" t="s">
        <v>5384</v>
      </c>
      <c r="B1747" s="41" t="str">
        <f>_xlfn.TEXTAFTER(
 _xlfn.TEXTBEFORE(tblCostChecklist[[#This Row],[RequirementID]],".",-2),
 "cost."
)</f>
        <v>collection.treasury_2@3</v>
      </c>
      <c r="C1747" s="41" t="str">
        <f>_xlfn.XLOOKUP(tblCostChecklist[[#This Row],[TargetID]],tblTargets[TargetID],tblTargets[DisplayName],"")</f>
        <v>Treasury 2 Lv 3</v>
      </c>
      <c r="D1747" s="41" t="str">
        <f>_xlfn.XLOOKUP(tblCostChecklist[[#This Row],[TargetID]],tblTargets[TargetID],tblTargets[TargetType],"")</f>
        <v>COLLECTION</v>
      </c>
      <c r="E1747" s="41" t="s">
        <v>947</v>
      </c>
      <c r="F1747" s="41">
        <v>1</v>
      </c>
      <c r="G1747" s="41">
        <f>_xlfn.XLOOKUP(
 tblCostChecklist[[#This Row],[RequirementID]],
 tblCost[RequirementID],
 tblCost[QuantityRequired],
 ""
)</f>
        <v>9</v>
      </c>
      <c r="H17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7" s="41" t="str">
        <f>_xlfn.XLOOKUP(tblCostChecklist[[#This Row],[TargetID]],tblTargetStatus[TargetID],tblTargetStatus[Status])</f>
        <v>BLOCKED</v>
      </c>
      <c r="J1747" s="25" t="b">
        <v>0</v>
      </c>
    </row>
    <row r="1748" spans="1:10">
      <c r="A1748" s="41" t="s">
        <v>5385</v>
      </c>
      <c r="B1748" s="41" t="str">
        <f>_xlfn.TEXTAFTER(
 _xlfn.TEXTBEFORE(tblCostChecklist[[#This Row],[RequirementID]],".",-2),
 "cost."
)</f>
        <v>collection.treasury_2@3</v>
      </c>
      <c r="C1748" s="41" t="str">
        <f>_xlfn.XLOOKUP(tblCostChecklist[[#This Row],[TargetID]],tblTargets[TargetID],tblTargets[DisplayName],"")</f>
        <v>Treasury 2 Lv 3</v>
      </c>
      <c r="D1748" s="41" t="str">
        <f>_xlfn.XLOOKUP(tblCostChecklist[[#This Row],[TargetID]],tblTargets[TargetID],tblTargets[TargetType],"")</f>
        <v>COLLECTION</v>
      </c>
      <c r="E1748" s="41" t="s">
        <v>1831</v>
      </c>
      <c r="F1748" s="41">
        <v>1</v>
      </c>
      <c r="G1748" s="41">
        <f>_xlfn.XLOOKUP(
 tblCostChecklist[[#This Row],[RequirementID]],
 tblCost[RequirementID],
 tblCost[QuantityRequired],
 ""
)</f>
        <v>9</v>
      </c>
      <c r="H17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8" s="41" t="str">
        <f>_xlfn.XLOOKUP(tblCostChecklist[[#This Row],[TargetID]],tblTargetStatus[TargetID],tblTargetStatus[Status])</f>
        <v>BLOCKED</v>
      </c>
      <c r="J1748" s="25" t="b">
        <v>0</v>
      </c>
    </row>
    <row r="1749" spans="1:10">
      <c r="A1749" s="41" t="s">
        <v>5386</v>
      </c>
      <c r="B1749" s="41" t="str">
        <f>_xlfn.TEXTAFTER(
 _xlfn.TEXTBEFORE(tblCostChecklist[[#This Row],[RequirementID]],".",-2),
 "cost."
)</f>
        <v>collection.treasury_2@3</v>
      </c>
      <c r="C1749" s="41" t="str">
        <f>_xlfn.XLOOKUP(tblCostChecklist[[#This Row],[TargetID]],tblTargets[TargetID],tblTargets[DisplayName],"")</f>
        <v>Treasury 2 Lv 3</v>
      </c>
      <c r="D1749" s="41" t="str">
        <f>_xlfn.XLOOKUP(tblCostChecklist[[#This Row],[TargetID]],tblTargets[TargetID],tblTargets[TargetType],"")</f>
        <v>COLLECTION</v>
      </c>
      <c r="E1749" s="41" t="s">
        <v>1832</v>
      </c>
      <c r="F1749" s="41">
        <v>1</v>
      </c>
      <c r="G1749" s="41">
        <f>_xlfn.XLOOKUP(
 tblCostChecklist[[#This Row],[RequirementID]],
 tblCost[RequirementID],
 tblCost[QuantityRequired],
 ""
)</f>
        <v>9</v>
      </c>
      <c r="H17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9" s="41" t="str">
        <f>_xlfn.XLOOKUP(tblCostChecklist[[#This Row],[TargetID]],tblTargetStatus[TargetID],tblTargetStatus[Status])</f>
        <v>BLOCKED</v>
      </c>
      <c r="J1749" s="25" t="b">
        <v>0</v>
      </c>
    </row>
    <row r="1750" spans="1:10">
      <c r="A1750" s="41" t="s">
        <v>5387</v>
      </c>
      <c r="B1750" s="41" t="str">
        <f>_xlfn.TEXTAFTER(
 _xlfn.TEXTBEFORE(tblCostChecklist[[#This Row],[RequirementID]],".",-2),
 "cost."
)</f>
        <v>collection.treasury_2@3</v>
      </c>
      <c r="C1750" s="41" t="str">
        <f>_xlfn.XLOOKUP(tblCostChecklist[[#This Row],[TargetID]],tblTargets[TargetID],tblTargets[DisplayName],"")</f>
        <v>Treasury 2 Lv 3</v>
      </c>
      <c r="D1750" s="41" t="str">
        <f>_xlfn.XLOOKUP(tblCostChecklist[[#This Row],[TargetID]],tblTargets[TargetID],tblTargets[TargetType],"")</f>
        <v>COLLECTION</v>
      </c>
      <c r="E1750" s="41" t="s">
        <v>1833</v>
      </c>
      <c r="F1750" s="41">
        <v>1</v>
      </c>
      <c r="G1750" s="41">
        <f>_xlfn.XLOOKUP(
 tblCostChecklist[[#This Row],[RequirementID]],
 tblCost[RequirementID],
 tblCost[QuantityRequired],
 ""
)</f>
        <v>9</v>
      </c>
      <c r="H17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0" s="41" t="str">
        <f>_xlfn.XLOOKUP(tblCostChecklist[[#This Row],[TargetID]],tblTargetStatus[TargetID],tblTargetStatus[Status])</f>
        <v>BLOCKED</v>
      </c>
      <c r="J1750" s="25" t="b">
        <v>0</v>
      </c>
    </row>
    <row r="1751" spans="1:10">
      <c r="A1751" s="41" t="s">
        <v>5388</v>
      </c>
      <c r="B1751" s="41" t="str">
        <f>_xlfn.TEXTAFTER(
 _xlfn.TEXTBEFORE(tblCostChecklist[[#This Row],[RequirementID]],".",-2),
 "cost."
)</f>
        <v>collection.treasury_2@3</v>
      </c>
      <c r="C1751" s="41" t="str">
        <f>_xlfn.XLOOKUP(tblCostChecklist[[#This Row],[TargetID]],tblTargets[TargetID],tblTargets[DisplayName],"")</f>
        <v>Treasury 2 Lv 3</v>
      </c>
      <c r="D1751" s="41" t="str">
        <f>_xlfn.XLOOKUP(tblCostChecklist[[#This Row],[TargetID]],tblTargets[TargetID],tblTargets[TargetType],"")</f>
        <v>COLLECTION</v>
      </c>
      <c r="E1751" s="41" t="s">
        <v>1834</v>
      </c>
      <c r="F1751" s="41">
        <v>1</v>
      </c>
      <c r="G1751" s="41">
        <f>_xlfn.XLOOKUP(
 tblCostChecklist[[#This Row],[RequirementID]],
 tblCost[RequirementID],
 tblCost[QuantityRequired],
 ""
)</f>
        <v>9</v>
      </c>
      <c r="H17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1" s="41" t="str">
        <f>_xlfn.XLOOKUP(tblCostChecklist[[#This Row],[TargetID]],tblTargetStatus[TargetID],tblTargetStatus[Status])</f>
        <v>BLOCKED</v>
      </c>
      <c r="J1751" s="25" t="b">
        <v>0</v>
      </c>
    </row>
    <row r="1752" spans="1:10">
      <c r="A1752" s="41" t="s">
        <v>5389</v>
      </c>
      <c r="B1752" s="41" t="str">
        <f>_xlfn.TEXTAFTER(
 _xlfn.TEXTBEFORE(tblCostChecklist[[#This Row],[RequirementID]],".",-2),
 "cost."
)</f>
        <v>collection.treasury_3@1</v>
      </c>
      <c r="C1752" s="41" t="str">
        <f>_xlfn.XLOOKUP(tblCostChecklist[[#This Row],[TargetID]],tblTargets[TargetID],tblTargets[DisplayName],"")</f>
        <v>Treasury 3 Lv 1</v>
      </c>
      <c r="D1752" s="41" t="str">
        <f>_xlfn.XLOOKUP(tblCostChecklist[[#This Row],[TargetID]],tblTargets[TargetID],tblTargets[TargetType],"")</f>
        <v>COLLECTION</v>
      </c>
      <c r="E1752" s="41" t="s">
        <v>930</v>
      </c>
      <c r="F1752" s="41">
        <v>1</v>
      </c>
      <c r="G1752" s="41">
        <f>_xlfn.XLOOKUP(
 tblCostChecklist[[#This Row],[RequirementID]],
 tblCost[RequirementID],
 tblCost[QuantityRequired],
 ""
)</f>
        <v>3</v>
      </c>
      <c r="H17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2" s="41" t="str">
        <f>_xlfn.XLOOKUP(tblCostChecklist[[#This Row],[TargetID]],tblTargetStatus[TargetID],tblTargetStatus[Status])</f>
        <v>BLOCKED</v>
      </c>
      <c r="J1752" s="25" t="b">
        <v>0</v>
      </c>
    </row>
    <row r="1753" spans="1:10">
      <c r="A1753" s="41" t="s">
        <v>5390</v>
      </c>
      <c r="B1753" s="41" t="str">
        <f>_xlfn.TEXTAFTER(
 _xlfn.TEXTBEFORE(tblCostChecklist[[#This Row],[RequirementID]],".",-2),
 "cost."
)</f>
        <v>collection.treasury_3@1</v>
      </c>
      <c r="C1753" s="41" t="str">
        <f>_xlfn.XLOOKUP(tblCostChecklist[[#This Row],[TargetID]],tblTargets[TargetID],tblTargets[DisplayName],"")</f>
        <v>Treasury 3 Lv 1</v>
      </c>
      <c r="D1753" s="41" t="str">
        <f>_xlfn.XLOOKUP(tblCostChecklist[[#This Row],[TargetID]],tblTargets[TargetID],tblTargets[TargetType],"")</f>
        <v>COLLECTION</v>
      </c>
      <c r="E1753" s="41" t="s">
        <v>1806</v>
      </c>
      <c r="F1753" s="41">
        <v>1</v>
      </c>
      <c r="G1753" s="41">
        <f>_xlfn.XLOOKUP(
 tblCostChecklist[[#This Row],[RequirementID]],
 tblCost[RequirementID],
 tblCost[QuantityRequired],
 ""
)</f>
        <v>1</v>
      </c>
      <c r="H17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3" s="41" t="str">
        <f>_xlfn.XLOOKUP(tblCostChecklist[[#This Row],[TargetID]],tblTargetStatus[TargetID],tblTargetStatus[Status])</f>
        <v>BLOCKED</v>
      </c>
      <c r="J1753" s="25" t="b">
        <v>0</v>
      </c>
    </row>
    <row r="1754" spans="1:10">
      <c r="A1754" s="41" t="s">
        <v>5391</v>
      </c>
      <c r="B1754" s="41" t="str">
        <f>_xlfn.TEXTAFTER(
 _xlfn.TEXTBEFORE(tblCostChecklist[[#This Row],[RequirementID]],".",-2),
 "cost."
)</f>
        <v>collection.treasury_3@1</v>
      </c>
      <c r="C1754" s="41" t="str">
        <f>_xlfn.XLOOKUP(tblCostChecklist[[#This Row],[TargetID]],tblTargets[TargetID],tblTargets[DisplayName],"")</f>
        <v>Treasury 3 Lv 1</v>
      </c>
      <c r="D1754" s="41" t="str">
        <f>_xlfn.XLOOKUP(tblCostChecklist[[#This Row],[TargetID]],tblTargets[TargetID],tblTargets[TargetType],"")</f>
        <v>COLLECTION</v>
      </c>
      <c r="E1754" s="41" t="s">
        <v>1806</v>
      </c>
      <c r="F1754" s="41">
        <v>2</v>
      </c>
      <c r="G1754" s="41">
        <f>_xlfn.XLOOKUP(
 tblCostChecklist[[#This Row],[RequirementID]],
 tblCost[RequirementID],
 tblCost[QuantityRequired],
 ""
)</f>
        <v>1</v>
      </c>
      <c r="H17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4" s="41" t="str">
        <f>_xlfn.XLOOKUP(tblCostChecklist[[#This Row],[TargetID]],tblTargetStatus[TargetID],tblTargetStatus[Status])</f>
        <v>BLOCKED</v>
      </c>
      <c r="J1754" s="25" t="b">
        <v>0</v>
      </c>
    </row>
    <row r="1755" spans="1:10">
      <c r="A1755" s="41" t="s">
        <v>5392</v>
      </c>
      <c r="B1755" s="41" t="str">
        <f>_xlfn.TEXTAFTER(
 _xlfn.TEXTBEFORE(tblCostChecklist[[#This Row],[RequirementID]],".",-2),
 "cost."
)</f>
        <v>collection.treasury_3@1</v>
      </c>
      <c r="C1755" s="41" t="str">
        <f>_xlfn.XLOOKUP(tblCostChecklist[[#This Row],[TargetID]],tblTargets[TargetID],tblTargets[DisplayName],"")</f>
        <v>Treasury 3 Lv 1</v>
      </c>
      <c r="D1755" s="41" t="str">
        <f>_xlfn.XLOOKUP(tblCostChecklist[[#This Row],[TargetID]],tblTargets[TargetID],tblTargets[TargetType],"")</f>
        <v>COLLECTION</v>
      </c>
      <c r="E1755" s="41" t="s">
        <v>1829</v>
      </c>
      <c r="F1755" s="41">
        <v>1</v>
      </c>
      <c r="G1755" s="41">
        <f>_xlfn.XLOOKUP(
 tblCostChecklist[[#This Row],[RequirementID]],
 tblCost[RequirementID],
 tblCost[QuantityRequired],
 ""
)</f>
        <v>1</v>
      </c>
      <c r="H17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5" s="41" t="str">
        <f>_xlfn.XLOOKUP(tblCostChecklist[[#This Row],[TargetID]],tblTargetStatus[TargetID],tblTargetStatus[Status])</f>
        <v>BLOCKED</v>
      </c>
      <c r="J1755" s="25" t="b">
        <v>0</v>
      </c>
    </row>
    <row r="1756" spans="1:10">
      <c r="A1756" s="41" t="s">
        <v>5393</v>
      </c>
      <c r="B1756" s="41" t="str">
        <f>_xlfn.TEXTAFTER(
 _xlfn.TEXTBEFORE(tblCostChecklist[[#This Row],[RequirementID]],".",-2),
 "cost."
)</f>
        <v>collection.treasury_3@1</v>
      </c>
      <c r="C1756" s="41" t="str">
        <f>_xlfn.XLOOKUP(tblCostChecklist[[#This Row],[TargetID]],tblTargets[TargetID],tblTargets[DisplayName],"")</f>
        <v>Treasury 3 Lv 1</v>
      </c>
      <c r="D1756" s="41" t="str">
        <f>_xlfn.XLOOKUP(tblCostChecklist[[#This Row],[TargetID]],tblTargets[TargetID],tblTargets[TargetType],"")</f>
        <v>COLLECTION</v>
      </c>
      <c r="E1756" s="41" t="s">
        <v>946</v>
      </c>
      <c r="F1756" s="41">
        <v>1</v>
      </c>
      <c r="G1756" s="41">
        <f>_xlfn.XLOOKUP(
 tblCostChecklist[[#This Row],[RequirementID]],
 tblCost[RequirementID],
 tblCost[QuantityRequired],
 ""
)</f>
        <v>1</v>
      </c>
      <c r="H17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6" s="41" t="str">
        <f>_xlfn.XLOOKUP(tblCostChecklist[[#This Row],[TargetID]],tblTargetStatus[TargetID],tblTargetStatus[Status])</f>
        <v>BLOCKED</v>
      </c>
      <c r="J1756" s="25" t="b">
        <v>0</v>
      </c>
    </row>
    <row r="1757" spans="1:10">
      <c r="A1757" s="41" t="s">
        <v>5394</v>
      </c>
      <c r="B1757" s="41" t="str">
        <f>_xlfn.TEXTAFTER(
 _xlfn.TEXTBEFORE(tblCostChecklist[[#This Row],[RequirementID]],".",-2),
 "cost."
)</f>
        <v>craftifact.astrolabe</v>
      </c>
      <c r="C1757" s="41" t="str">
        <f>_xlfn.XLOOKUP(tblCostChecklist[[#This Row],[TargetID]],tblTargets[TargetID],tblTargets[DisplayName],"")</f>
        <v>Astrolabe</v>
      </c>
      <c r="D1757" s="41" t="str">
        <f>_xlfn.XLOOKUP(tblCostChecklist[[#This Row],[TargetID]],tblTargets[TargetID],tblTargets[TargetType],"")</f>
        <v>CRAFTIFACT</v>
      </c>
      <c r="E1757" s="41" t="s">
        <v>662</v>
      </c>
      <c r="F1757" s="41">
        <v>1</v>
      </c>
      <c r="G1757" s="41">
        <f>_xlfn.XLOOKUP(
 tblCostChecklist[[#This Row],[RequirementID]],
 tblCost[RequirementID],
 tblCost[QuantityRequired],
 ""
)</f>
        <v>15</v>
      </c>
      <c r="H17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7" s="41" t="str">
        <f>_xlfn.XLOOKUP(tblCostChecklist[[#This Row],[TargetID]],tblTargetStatus[TargetID],tblTargetStatus[Status])</f>
        <v>BLOCKED</v>
      </c>
      <c r="J1757" s="25" t="b">
        <v>0</v>
      </c>
    </row>
    <row r="1758" spans="1:10">
      <c r="A1758" s="41" t="s">
        <v>5395</v>
      </c>
      <c r="B1758" s="41" t="str">
        <f>_xlfn.TEXTAFTER(
 _xlfn.TEXTBEFORE(tblCostChecklist[[#This Row],[RequirementID]],".",-2),
 "cost."
)</f>
        <v>craftifact.astrolabe</v>
      </c>
      <c r="C1758" s="41" t="str">
        <f>_xlfn.XLOOKUP(tblCostChecklist[[#This Row],[TargetID]],tblTargets[TargetID],tblTargets[DisplayName],"")</f>
        <v>Astrolabe</v>
      </c>
      <c r="D1758" s="41" t="str">
        <f>_xlfn.XLOOKUP(tblCostChecklist[[#This Row],[TargetID]],tblTargets[TargetID],tblTargets[TargetType],"")</f>
        <v>CRAFTIFACT</v>
      </c>
      <c r="E1758" s="41" t="s">
        <v>666</v>
      </c>
      <c r="F1758" s="41">
        <v>1</v>
      </c>
      <c r="G1758" s="41">
        <f>_xlfn.XLOOKUP(
 tblCostChecklist[[#This Row],[RequirementID]],
 tblCost[RequirementID],
 tblCost[QuantityRequired],
 ""
)</f>
        <v>1000</v>
      </c>
      <c r="H17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8" s="41" t="str">
        <f>_xlfn.XLOOKUP(tblCostChecklist[[#This Row],[TargetID]],tblTargetStatus[TargetID],tblTargetStatus[Status])</f>
        <v>BLOCKED</v>
      </c>
      <c r="J1758" s="25" t="b">
        <v>0</v>
      </c>
    </row>
    <row r="1759" spans="1:10">
      <c r="A1759" s="41" t="s">
        <v>5396</v>
      </c>
      <c r="B1759" s="41" t="str">
        <f>_xlfn.TEXTAFTER(
 _xlfn.TEXTBEFORE(tblCostChecklist[[#This Row],[RequirementID]],".",-2),
 "cost."
)</f>
        <v>craftifact.astrolabe</v>
      </c>
      <c r="C1759" s="41" t="str">
        <f>_xlfn.XLOOKUP(tblCostChecklist[[#This Row],[TargetID]],tblTargets[TargetID],tblTargets[DisplayName],"")</f>
        <v>Astrolabe</v>
      </c>
      <c r="D1759" s="41" t="str">
        <f>_xlfn.XLOOKUP(tblCostChecklist[[#This Row],[TargetID]],tblTargets[TargetID],tblTargets[TargetType],"")</f>
        <v>CRAFTIFACT</v>
      </c>
      <c r="E1759" s="41" t="s">
        <v>686</v>
      </c>
      <c r="F1759" s="41">
        <v>1</v>
      </c>
      <c r="G1759" s="41">
        <f>_xlfn.XLOOKUP(
 tblCostChecklist[[#This Row],[RequirementID]],
 tblCost[RequirementID],
 tblCost[QuantityRequired],
 ""
)</f>
        <v>10</v>
      </c>
      <c r="H17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9" s="41" t="str">
        <f>_xlfn.XLOOKUP(tblCostChecklist[[#This Row],[TargetID]],tblTargetStatus[TargetID],tblTargetStatus[Status])</f>
        <v>BLOCKED</v>
      </c>
      <c r="J1759" s="25" t="b">
        <v>0</v>
      </c>
    </row>
    <row r="1760" spans="1:10">
      <c r="A1760" s="41" t="s">
        <v>5397</v>
      </c>
      <c r="B1760" s="41" t="str">
        <f>_xlfn.TEXTAFTER(
 _xlfn.TEXTBEFORE(tblCostChecklist[[#This Row],[RequirementID]],".",-2),
 "cost."
)</f>
        <v>craftifact.astrolabe</v>
      </c>
      <c r="C1760" s="41" t="str">
        <f>_xlfn.XLOOKUP(tblCostChecklist[[#This Row],[TargetID]],tblTargets[TargetID],tblTargets[DisplayName],"")</f>
        <v>Astrolabe</v>
      </c>
      <c r="D1760" s="41" t="str">
        <f>_xlfn.XLOOKUP(tblCostChecklist[[#This Row],[TargetID]],tblTargets[TargetID],tblTargets[TargetType],"")</f>
        <v>CRAFTIFACT</v>
      </c>
      <c r="E1760" s="41" t="s">
        <v>696</v>
      </c>
      <c r="F1760" s="41">
        <v>1</v>
      </c>
      <c r="G1760" s="41">
        <f>_xlfn.XLOOKUP(
 tblCostChecklist[[#This Row],[RequirementID]],
 tblCost[RequirementID],
 tblCost[QuantityRequired],
 ""
)</f>
        <v>40</v>
      </c>
      <c r="H17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0" s="41" t="str">
        <f>_xlfn.XLOOKUP(tblCostChecklist[[#This Row],[TargetID]],tblTargetStatus[TargetID],tblTargetStatus[Status])</f>
        <v>BLOCKED</v>
      </c>
      <c r="J1760" s="25" t="b">
        <v>0</v>
      </c>
    </row>
    <row r="1761" spans="1:10">
      <c r="A1761" s="41" t="s">
        <v>5398</v>
      </c>
      <c r="B1761" s="41" t="str">
        <f>_xlfn.TEXTAFTER(
 _xlfn.TEXTBEFORE(tblCostChecklist[[#This Row],[RequirementID]],".",-2),
 "cost."
)</f>
        <v>craftifact.astrolabe</v>
      </c>
      <c r="C1761" s="41" t="str">
        <f>_xlfn.XLOOKUP(tblCostChecklist[[#This Row],[TargetID]],tblTargets[TargetID],tblTargets[DisplayName],"")</f>
        <v>Astrolabe</v>
      </c>
      <c r="D1761" s="41" t="str">
        <f>_xlfn.XLOOKUP(tblCostChecklist[[#This Row],[TargetID]],tblTargets[TargetID],tblTargets[TargetType],"")</f>
        <v>CRAFTIFACT</v>
      </c>
      <c r="E1761" s="41" t="s">
        <v>708</v>
      </c>
      <c r="F1761" s="41">
        <v>1</v>
      </c>
      <c r="G1761" s="41">
        <f>_xlfn.XLOOKUP(
 tblCostChecklist[[#This Row],[RequirementID]],
 tblCost[RequirementID],
 tblCost[QuantityRequired],
 ""
)</f>
        <v>10</v>
      </c>
      <c r="H17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1" s="41" t="str">
        <f>_xlfn.XLOOKUP(tblCostChecklist[[#This Row],[TargetID]],tblTargetStatus[TargetID],tblTargetStatus[Status])</f>
        <v>BLOCKED</v>
      </c>
      <c r="J1761" s="25" t="b">
        <v>0</v>
      </c>
    </row>
    <row r="1762" spans="1:10">
      <c r="A1762" s="41" t="s">
        <v>5399</v>
      </c>
      <c r="B1762" s="41" t="str">
        <f>_xlfn.TEXTAFTER(
 _xlfn.TEXTBEFORE(tblCostChecklist[[#This Row],[RequirementID]],".",-2),
 "cost."
)</f>
        <v>craftifact.barometer</v>
      </c>
      <c r="C1762" s="41" t="str">
        <f>_xlfn.XLOOKUP(tblCostChecklist[[#This Row],[TargetID]],tblTargets[TargetID],tblTargets[DisplayName],"")</f>
        <v>Barometer</v>
      </c>
      <c r="D1762" s="41" t="str">
        <f>_xlfn.XLOOKUP(tblCostChecklist[[#This Row],[TargetID]],tblTargets[TargetID],tblTargets[TargetType],"")</f>
        <v>CRAFTIFACT</v>
      </c>
      <c r="E1762" s="41" t="s">
        <v>662</v>
      </c>
      <c r="F1762" s="41">
        <v>1</v>
      </c>
      <c r="G1762" s="41">
        <f>_xlfn.XLOOKUP(
 tblCostChecklist[[#This Row],[RequirementID]],
 tblCost[RequirementID],
 tblCost[QuantityRequired],
 ""
)</f>
        <v>40</v>
      </c>
      <c r="H17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2" s="41" t="str">
        <f>_xlfn.XLOOKUP(tblCostChecklist[[#This Row],[TargetID]],tblTargetStatus[TargetID],tblTargetStatus[Status])</f>
        <v>BLOCKED</v>
      </c>
      <c r="J1762" s="25" t="b">
        <v>0</v>
      </c>
    </row>
    <row r="1763" spans="1:10">
      <c r="A1763" s="41" t="s">
        <v>5400</v>
      </c>
      <c r="B1763" s="41" t="str">
        <f>_xlfn.TEXTAFTER(
 _xlfn.TEXTBEFORE(tblCostChecklist[[#This Row],[RequirementID]],".",-2),
 "cost."
)</f>
        <v>craftifact.barometer</v>
      </c>
      <c r="C1763" s="41" t="str">
        <f>_xlfn.XLOOKUP(tblCostChecklist[[#This Row],[TargetID]],tblTargets[TargetID],tblTargets[DisplayName],"")</f>
        <v>Barometer</v>
      </c>
      <c r="D1763" s="41" t="str">
        <f>_xlfn.XLOOKUP(tblCostChecklist[[#This Row],[TargetID]],tblTargets[TargetID],tblTargets[TargetType],"")</f>
        <v>CRAFTIFACT</v>
      </c>
      <c r="E1763" s="41" t="s">
        <v>666</v>
      </c>
      <c r="F1763" s="41">
        <v>1</v>
      </c>
      <c r="G1763" s="41">
        <f>_xlfn.XLOOKUP(
 tblCostChecklist[[#This Row],[RequirementID]],
 tblCost[RequirementID],
 tblCost[QuantityRequired],
 ""
)</f>
        <v>1000</v>
      </c>
      <c r="H17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3" s="41" t="str">
        <f>_xlfn.XLOOKUP(tblCostChecklist[[#This Row],[TargetID]],tblTargetStatus[TargetID],tblTargetStatus[Status])</f>
        <v>BLOCKED</v>
      </c>
      <c r="J1763" s="25" t="b">
        <v>0</v>
      </c>
    </row>
    <row r="1764" spans="1:10">
      <c r="A1764" s="41" t="s">
        <v>5401</v>
      </c>
      <c r="B1764" s="41" t="str">
        <f>_xlfn.TEXTAFTER(
 _xlfn.TEXTBEFORE(tblCostChecklist[[#This Row],[RequirementID]],".",-2),
 "cost."
)</f>
        <v>craftifact.barometer</v>
      </c>
      <c r="C1764" s="41" t="str">
        <f>_xlfn.XLOOKUP(tblCostChecklist[[#This Row],[TargetID]],tblTargets[TargetID],tblTargets[DisplayName],"")</f>
        <v>Barometer</v>
      </c>
      <c r="D1764" s="41" t="str">
        <f>_xlfn.XLOOKUP(tblCostChecklist[[#This Row],[TargetID]],tblTargets[TargetID],tblTargets[TargetType],"")</f>
        <v>CRAFTIFACT</v>
      </c>
      <c r="E1764" s="41" t="s">
        <v>674</v>
      </c>
      <c r="F1764" s="41">
        <v>1</v>
      </c>
      <c r="G1764" s="41">
        <f>_xlfn.XLOOKUP(
 tblCostChecklist[[#This Row],[RequirementID]],
 tblCost[RequirementID],
 tblCost[QuantityRequired],
 ""
)</f>
        <v>20</v>
      </c>
      <c r="H17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4" s="41" t="str">
        <f>_xlfn.XLOOKUP(tblCostChecklist[[#This Row],[TargetID]],tblTargetStatus[TargetID],tblTargetStatus[Status])</f>
        <v>BLOCKED</v>
      </c>
      <c r="J1764" s="25" t="b">
        <v>0</v>
      </c>
    </row>
    <row r="1765" spans="1:10">
      <c r="A1765" s="41" t="s">
        <v>5402</v>
      </c>
      <c r="B1765" s="41" t="str">
        <f>_xlfn.TEXTAFTER(
 _xlfn.TEXTBEFORE(tblCostChecklist[[#This Row],[RequirementID]],".",-2),
 "cost."
)</f>
        <v>craftifact.barometer</v>
      </c>
      <c r="C1765" s="41" t="str">
        <f>_xlfn.XLOOKUP(tblCostChecklist[[#This Row],[TargetID]],tblTargets[TargetID],tblTargets[DisplayName],"")</f>
        <v>Barometer</v>
      </c>
      <c r="D1765" s="41" t="str">
        <f>_xlfn.XLOOKUP(tblCostChecklist[[#This Row],[TargetID]],tblTargets[TargetID],tblTargets[TargetType],"")</f>
        <v>CRAFTIFACT</v>
      </c>
      <c r="E1765" s="41" t="s">
        <v>687</v>
      </c>
      <c r="F1765" s="41">
        <v>1</v>
      </c>
      <c r="G1765" s="41">
        <f>_xlfn.XLOOKUP(
 tblCostChecklist[[#This Row],[RequirementID]],
 tblCost[RequirementID],
 tblCost[QuantityRequired],
 ""
)</f>
        <v>25</v>
      </c>
      <c r="H17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5" s="41" t="str">
        <f>_xlfn.XLOOKUP(tblCostChecklist[[#This Row],[TargetID]],tblTargetStatus[TargetID],tblTargetStatus[Status])</f>
        <v>BLOCKED</v>
      </c>
      <c r="J1765" s="25" t="b">
        <v>0</v>
      </c>
    </row>
    <row r="1766" spans="1:10">
      <c r="A1766" s="41" t="s">
        <v>5403</v>
      </c>
      <c r="B1766" s="41" t="str">
        <f>_xlfn.TEXTAFTER(
 _xlfn.TEXTBEFORE(tblCostChecklist[[#This Row],[RequirementID]],".",-2),
 "cost."
)</f>
        <v>craftifact.barometer</v>
      </c>
      <c r="C1766" s="41" t="str">
        <f>_xlfn.XLOOKUP(tblCostChecklist[[#This Row],[TargetID]],tblTargets[TargetID],tblTargets[DisplayName],"")</f>
        <v>Barometer</v>
      </c>
      <c r="D1766" s="41" t="str">
        <f>_xlfn.XLOOKUP(tblCostChecklist[[#This Row],[TargetID]],tblTargets[TargetID],tblTargets[TargetType],"")</f>
        <v>CRAFTIFACT</v>
      </c>
      <c r="E1766" s="41" t="s">
        <v>697</v>
      </c>
      <c r="F1766" s="41">
        <v>1</v>
      </c>
      <c r="G1766" s="41">
        <f>_xlfn.XLOOKUP(
 tblCostChecklist[[#This Row],[RequirementID]],
 tblCost[RequirementID],
 tblCost[QuantityRequired],
 ""
)</f>
        <v>20</v>
      </c>
      <c r="H17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6" s="41" t="str">
        <f>_xlfn.XLOOKUP(tblCostChecklist[[#This Row],[TargetID]],tblTargetStatus[TargetID],tblTargetStatus[Status])</f>
        <v>BLOCKED</v>
      </c>
      <c r="J1766" s="25" t="b">
        <v>0</v>
      </c>
    </row>
    <row r="1767" spans="1:10">
      <c r="A1767" s="41" t="s">
        <v>5404</v>
      </c>
      <c r="B1767" s="41" t="str">
        <f>_xlfn.TEXTAFTER(
 _xlfn.TEXTBEFORE(tblCostChecklist[[#This Row],[RequirementID]],".",-2),
 "cost."
)</f>
        <v>craftifact.cinema_projector</v>
      </c>
      <c r="C1767" s="41" t="str">
        <f>_xlfn.XLOOKUP(tblCostChecklist[[#This Row],[TargetID]],tblTargets[TargetID],tblTargets[DisplayName],"")</f>
        <v>Cinema Projector</v>
      </c>
      <c r="D1767" s="41" t="str">
        <f>_xlfn.XLOOKUP(tblCostChecklist[[#This Row],[TargetID]],tblTargets[TargetID],tblTargets[TargetType],"")</f>
        <v>CRAFTIFACT</v>
      </c>
      <c r="E1767" s="41" t="s">
        <v>662</v>
      </c>
      <c r="F1767" s="41">
        <v>1</v>
      </c>
      <c r="G1767" s="41">
        <f>_xlfn.XLOOKUP(
 tblCostChecklist[[#This Row],[RequirementID]],
 tblCost[RequirementID],
 tblCost[QuantityRequired],
 ""
)</f>
        <v>80</v>
      </c>
      <c r="H17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7" s="41" t="str">
        <f>_xlfn.XLOOKUP(tblCostChecklist[[#This Row],[TargetID]],tblTargetStatus[TargetID],tblTargetStatus[Status])</f>
        <v>BLOCKED</v>
      </c>
      <c r="J1767" s="25" t="b">
        <v>0</v>
      </c>
    </row>
    <row r="1768" spans="1:10">
      <c r="A1768" s="41" t="s">
        <v>5405</v>
      </c>
      <c r="B1768" s="41" t="str">
        <f>_xlfn.TEXTAFTER(
 _xlfn.TEXTBEFORE(tblCostChecklist[[#This Row],[RequirementID]],".",-2),
 "cost."
)</f>
        <v>craftifact.cinema_projector</v>
      </c>
      <c r="C1768" s="41" t="str">
        <f>_xlfn.XLOOKUP(tblCostChecklist[[#This Row],[TargetID]],tblTargets[TargetID],tblTargets[DisplayName],"")</f>
        <v>Cinema Projector</v>
      </c>
      <c r="D1768" s="41" t="str">
        <f>_xlfn.XLOOKUP(tblCostChecklist[[#This Row],[TargetID]],tblTargets[TargetID],tblTargets[TargetType],"")</f>
        <v>CRAFTIFACT</v>
      </c>
      <c r="E1768" s="41" t="s">
        <v>928</v>
      </c>
      <c r="F1768" s="41">
        <v>1</v>
      </c>
      <c r="G1768" s="41">
        <f>_xlfn.XLOOKUP(
 tblCostChecklist[[#This Row],[RequirementID]],
 tblCost[RequirementID],
 tblCost[QuantityRequired],
 ""
)</f>
        <v>10</v>
      </c>
      <c r="H17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8" s="41" t="str">
        <f>_xlfn.XLOOKUP(tblCostChecklist[[#This Row],[TargetID]],tblTargetStatus[TargetID],tblTargetStatus[Status])</f>
        <v>BLOCKED</v>
      </c>
      <c r="J1768" s="25" t="b">
        <v>0</v>
      </c>
    </row>
    <row r="1769" spans="1:10">
      <c r="A1769" s="41" t="s">
        <v>5406</v>
      </c>
      <c r="B1769" s="41" t="str">
        <f>_xlfn.TEXTAFTER(
 _xlfn.TEXTBEFORE(tblCostChecklist[[#This Row],[RequirementID]],".",-2),
 "cost."
)</f>
        <v>craftifact.cinema_projector</v>
      </c>
      <c r="C1769" s="41" t="str">
        <f>_xlfn.XLOOKUP(tblCostChecklist[[#This Row],[TargetID]],tblTargets[TargetID],tblTargets[DisplayName],"")</f>
        <v>Cinema Projector</v>
      </c>
      <c r="D1769" s="41" t="str">
        <f>_xlfn.XLOOKUP(tblCostChecklist[[#This Row],[TargetID]],tblTargets[TargetID],tblTargets[TargetType],"")</f>
        <v>CRAFTIFACT</v>
      </c>
      <c r="E1769" s="41" t="s">
        <v>664</v>
      </c>
      <c r="F1769" s="41">
        <v>1</v>
      </c>
      <c r="G1769" s="41">
        <f>_xlfn.XLOOKUP(
 tblCostChecklist[[#This Row],[RequirementID]],
 tblCost[RequirementID],
 tblCost[QuantityRequired],
 ""
)</f>
        <v>30</v>
      </c>
      <c r="H17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9" s="41" t="str">
        <f>_xlfn.XLOOKUP(tblCostChecklist[[#This Row],[TargetID]],tblTargetStatus[TargetID],tblTargetStatus[Status])</f>
        <v>BLOCKED</v>
      </c>
      <c r="J1769" s="25" t="b">
        <v>0</v>
      </c>
    </row>
    <row r="1770" spans="1:10">
      <c r="A1770" s="41" t="s">
        <v>5407</v>
      </c>
      <c r="B1770" s="41" t="str">
        <f>_xlfn.TEXTAFTER(
 _xlfn.TEXTBEFORE(tblCostChecklist[[#This Row],[RequirementID]],".",-2),
 "cost."
)</f>
        <v>craftifact.cinema_projector</v>
      </c>
      <c r="C1770" s="41" t="str">
        <f>_xlfn.XLOOKUP(tblCostChecklist[[#This Row],[TargetID]],tblTargets[TargetID],tblTargets[DisplayName],"")</f>
        <v>Cinema Projector</v>
      </c>
      <c r="D1770" s="41" t="str">
        <f>_xlfn.XLOOKUP(tblCostChecklist[[#This Row],[TargetID]],tblTargets[TargetID],tblTargets[TargetType],"")</f>
        <v>CRAFTIFACT</v>
      </c>
      <c r="E1770" s="41" t="s">
        <v>674</v>
      </c>
      <c r="F1770" s="41">
        <v>1</v>
      </c>
      <c r="G1770" s="41">
        <f>_xlfn.XLOOKUP(
 tblCostChecklist[[#This Row],[RequirementID]],
 tblCost[RequirementID],
 tblCost[QuantityRequired],
 ""
)</f>
        <v>30</v>
      </c>
      <c r="H17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0" s="41" t="str">
        <f>_xlfn.XLOOKUP(tblCostChecklist[[#This Row],[TargetID]],tblTargetStatus[TargetID],tblTargetStatus[Status])</f>
        <v>BLOCKED</v>
      </c>
      <c r="J1770" s="25" t="b">
        <v>0</v>
      </c>
    </row>
    <row r="1771" spans="1:10">
      <c r="A1771" s="41" t="s">
        <v>5408</v>
      </c>
      <c r="B1771" s="41" t="str">
        <f>_xlfn.TEXTAFTER(
 _xlfn.TEXTBEFORE(tblCostChecklist[[#This Row],[RequirementID]],".",-2),
 "cost."
)</f>
        <v>craftifact.cinema_projector</v>
      </c>
      <c r="C1771" s="41" t="str">
        <f>_xlfn.XLOOKUP(tblCostChecklist[[#This Row],[TargetID]],tblTargets[TargetID],tblTargets[DisplayName],"")</f>
        <v>Cinema Projector</v>
      </c>
      <c r="D1771" s="41" t="str">
        <f>_xlfn.XLOOKUP(tblCostChecklist[[#This Row],[TargetID]],tblTargets[TargetID],tblTargets[TargetType],"")</f>
        <v>CRAFTIFACT</v>
      </c>
      <c r="E1771" s="41" t="s">
        <v>686</v>
      </c>
      <c r="F1771" s="41">
        <v>1</v>
      </c>
      <c r="G1771" s="41">
        <f>_xlfn.XLOOKUP(
 tblCostChecklist[[#This Row],[RequirementID]],
 tblCost[RequirementID],
 tblCost[QuantityRequired],
 ""
)</f>
        <v>30</v>
      </c>
      <c r="H17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1" s="41" t="str">
        <f>_xlfn.XLOOKUP(tblCostChecklist[[#This Row],[TargetID]],tblTargetStatus[TargetID],tblTargetStatus[Status])</f>
        <v>BLOCKED</v>
      </c>
      <c r="J1771" s="25" t="b">
        <v>0</v>
      </c>
    </row>
    <row r="1772" spans="1:10">
      <c r="A1772" s="41" t="s">
        <v>5409</v>
      </c>
      <c r="B1772" s="41" t="str">
        <f>_xlfn.TEXTAFTER(
 _xlfn.TEXTBEFORE(tblCostChecklist[[#This Row],[RequirementID]],".",-2),
 "cost."
)</f>
        <v>craftifact.cinema_projector</v>
      </c>
      <c r="C1772" s="41" t="str">
        <f>_xlfn.XLOOKUP(tblCostChecklist[[#This Row],[TargetID]],tblTargets[TargetID],tblTargets[DisplayName],"")</f>
        <v>Cinema Projector</v>
      </c>
      <c r="D1772" s="41" t="str">
        <f>_xlfn.XLOOKUP(tblCostChecklist[[#This Row],[TargetID]],tblTargets[TargetID],tblTargets[TargetType],"")</f>
        <v>CRAFTIFACT</v>
      </c>
      <c r="E1772" s="41" t="s">
        <v>705</v>
      </c>
      <c r="F1772" s="41">
        <v>1</v>
      </c>
      <c r="G1772" s="41">
        <f>_xlfn.XLOOKUP(
 tblCostChecklist[[#This Row],[RequirementID]],
 tblCost[RequirementID],
 tblCost[QuantityRequired],
 ""
)</f>
        <v>30</v>
      </c>
      <c r="H17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2" s="41" t="str">
        <f>_xlfn.XLOOKUP(tblCostChecklist[[#This Row],[TargetID]],tblTargetStatus[TargetID],tblTargetStatus[Status])</f>
        <v>BLOCKED</v>
      </c>
      <c r="J1772" s="25" t="b">
        <v>0</v>
      </c>
    </row>
    <row r="1773" spans="1:10">
      <c r="A1773" s="41" t="s">
        <v>5410</v>
      </c>
      <c r="B1773" s="41" t="str">
        <f>_xlfn.TEXTAFTER(
 _xlfn.TEXTBEFORE(tblCostChecklist[[#This Row],[RequirementID]],".",-2),
 "cost."
)</f>
        <v>craftifact.cinema_projector</v>
      </c>
      <c r="C1773" s="41" t="str">
        <f>_xlfn.XLOOKUP(tblCostChecklist[[#This Row],[TargetID]],tblTargets[TargetID],tblTargets[DisplayName],"")</f>
        <v>Cinema Projector</v>
      </c>
      <c r="D1773" s="41" t="str">
        <f>_xlfn.XLOOKUP(tblCostChecklist[[#This Row],[TargetID]],tblTargets[TargetID],tblTargets[TargetType],"")</f>
        <v>CRAFTIFACT</v>
      </c>
      <c r="E1773" s="41" t="s">
        <v>711</v>
      </c>
      <c r="F1773" s="41">
        <v>1</v>
      </c>
      <c r="G1773" s="41">
        <f>_xlfn.XLOOKUP(
 tblCostChecklist[[#This Row],[RequirementID]],
 tblCost[RequirementID],
 tblCost[QuantityRequired],
 ""
)</f>
        <v>10</v>
      </c>
      <c r="H17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3" s="41" t="str">
        <f>_xlfn.XLOOKUP(tblCostChecklist[[#This Row],[TargetID]],tblTargetStatus[TargetID],tblTargetStatus[Status])</f>
        <v>BLOCKED</v>
      </c>
      <c r="J1773" s="25" t="b">
        <v>0</v>
      </c>
    </row>
    <row r="1774" spans="1:10">
      <c r="A1774" s="41" t="s">
        <v>5411</v>
      </c>
      <c r="B1774" s="41" t="str">
        <f>_xlfn.TEXTAFTER(
 _xlfn.TEXTBEFORE(tblCostChecklist[[#This Row],[RequirementID]],".",-2),
 "cost."
)</f>
        <v>craftifact.dagger</v>
      </c>
      <c r="C1774" s="41" t="str">
        <f>_xlfn.XLOOKUP(tblCostChecklist[[#This Row],[TargetID]],tblTargets[TargetID],tblTargets[DisplayName],"")</f>
        <v>Dagger</v>
      </c>
      <c r="D1774" s="41" t="str">
        <f>_xlfn.XLOOKUP(tblCostChecklist[[#This Row],[TargetID]],tblTargets[TargetID],tblTargets[TargetType],"")</f>
        <v>CRAFTIFACT</v>
      </c>
      <c r="E1774" s="41" t="s">
        <v>667</v>
      </c>
      <c r="F1774" s="41">
        <v>1</v>
      </c>
      <c r="G1774" s="41">
        <f>_xlfn.XLOOKUP(
 tblCostChecklist[[#This Row],[RequirementID]],
 tblCost[RequirementID],
 tblCost[QuantityRequired],
 ""
)</f>
        <v>100</v>
      </c>
      <c r="H17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4" s="41" t="str">
        <f>_xlfn.XLOOKUP(tblCostChecklist[[#This Row],[TargetID]],tblTargetStatus[TargetID],tblTargetStatus[Status])</f>
        <v>BLOCKED</v>
      </c>
      <c r="J1774" s="25" t="b">
        <v>0</v>
      </c>
    </row>
    <row r="1775" spans="1:10">
      <c r="A1775" s="41" t="s">
        <v>5412</v>
      </c>
      <c r="B1775" s="41" t="str">
        <f>_xlfn.TEXTAFTER(
 _xlfn.TEXTBEFORE(tblCostChecklist[[#This Row],[RequirementID]],".",-2),
 "cost."
)</f>
        <v>craftifact.dagger</v>
      </c>
      <c r="C1775" s="41" t="str">
        <f>_xlfn.XLOOKUP(tblCostChecklist[[#This Row],[TargetID]],tblTargets[TargetID],tblTargets[DisplayName],"")</f>
        <v>Dagger</v>
      </c>
      <c r="D1775" s="41" t="str">
        <f>_xlfn.XLOOKUP(tblCostChecklist[[#This Row],[TargetID]],tblTargets[TargetID],tblTargets[TargetType],"")</f>
        <v>CRAFTIFACT</v>
      </c>
      <c r="E1775" s="41" t="s">
        <v>680</v>
      </c>
      <c r="F1775" s="41">
        <v>1</v>
      </c>
      <c r="G1775" s="41">
        <f>_xlfn.XLOOKUP(
 tblCostChecklist[[#This Row],[RequirementID]],
 tblCost[RequirementID],
 tblCost[QuantityRequired],
 ""
)</f>
        <v>10</v>
      </c>
      <c r="H17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5" s="41" t="str">
        <f>_xlfn.XLOOKUP(tblCostChecklist[[#This Row],[TargetID]],tblTargetStatus[TargetID],tblTargetStatus[Status])</f>
        <v>BLOCKED</v>
      </c>
      <c r="J1775" s="25" t="b">
        <v>0</v>
      </c>
    </row>
    <row r="1776" spans="1:10">
      <c r="A1776" s="41" t="s">
        <v>5413</v>
      </c>
      <c r="B1776" s="41" t="str">
        <f>_xlfn.TEXTAFTER(
 _xlfn.TEXTBEFORE(tblCostChecklist[[#This Row],[RequirementID]],".",-2),
 "cost."
)</f>
        <v>craftifact.dagger</v>
      </c>
      <c r="C1776" s="41" t="str">
        <f>_xlfn.XLOOKUP(tblCostChecklist[[#This Row],[TargetID]],tblTargets[TargetID],tblTargets[DisplayName],"")</f>
        <v>Dagger</v>
      </c>
      <c r="D1776" s="41" t="str">
        <f>_xlfn.XLOOKUP(tblCostChecklist[[#This Row],[TargetID]],tblTargets[TargetID],tblTargets[TargetType],"")</f>
        <v>CRAFTIFACT</v>
      </c>
      <c r="E1776" s="41" t="s">
        <v>693</v>
      </c>
      <c r="F1776" s="41">
        <v>1</v>
      </c>
      <c r="G1776" s="41">
        <f>_xlfn.XLOOKUP(
 tblCostChecklist[[#This Row],[RequirementID]],
 tblCost[RequirementID],
 tblCost[QuantityRequired],
 ""
)</f>
        <v>30</v>
      </c>
      <c r="H17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6" s="41" t="str">
        <f>_xlfn.XLOOKUP(tblCostChecklist[[#This Row],[TargetID]],tblTargetStatus[TargetID],tblTargetStatus[Status])</f>
        <v>BLOCKED</v>
      </c>
      <c r="J1776" s="25" t="b">
        <v>0</v>
      </c>
    </row>
    <row r="1777" spans="1:10">
      <c r="A1777" s="41" t="s">
        <v>5414</v>
      </c>
      <c r="B1777" s="41" t="str">
        <f>_xlfn.TEXTAFTER(
 _xlfn.TEXTBEFORE(tblCostChecklist[[#This Row],[RequirementID]],".",-2),
 "cost."
)</f>
        <v>craftifact.dagger</v>
      </c>
      <c r="C1777" s="41" t="str">
        <f>_xlfn.XLOOKUP(tblCostChecklist[[#This Row],[TargetID]],tblTargets[TargetID],tblTargets[DisplayName],"")</f>
        <v>Dagger</v>
      </c>
      <c r="D1777" s="41" t="str">
        <f>_xlfn.XLOOKUP(tblCostChecklist[[#This Row],[TargetID]],tblTargets[TargetID],tblTargets[TargetType],"")</f>
        <v>CRAFTIFACT</v>
      </c>
      <c r="E1777" s="41" t="s">
        <v>696</v>
      </c>
      <c r="F1777" s="41">
        <v>1</v>
      </c>
      <c r="G1777" s="41">
        <f>_xlfn.XLOOKUP(
 tblCostChecklist[[#This Row],[RequirementID]],
 tblCost[RequirementID],
 tblCost[QuantityRequired],
 ""
)</f>
        <v>20</v>
      </c>
      <c r="H17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7" s="41" t="str">
        <f>_xlfn.XLOOKUP(tblCostChecklist[[#This Row],[TargetID]],tblTargetStatus[TargetID],tblTargetStatus[Status])</f>
        <v>BLOCKED</v>
      </c>
      <c r="J1777" s="25" t="b">
        <v>0</v>
      </c>
    </row>
    <row r="1778" spans="1:10">
      <c r="A1778" s="41" t="s">
        <v>5415</v>
      </c>
      <c r="B1778" s="41" t="str">
        <f>_xlfn.TEXTAFTER(
 _xlfn.TEXTBEFORE(tblCostChecklist[[#This Row],[RequirementID]],".",-2),
 "cost."
)</f>
        <v>craftifact.dagger</v>
      </c>
      <c r="C1778" s="41" t="str">
        <f>_xlfn.XLOOKUP(tblCostChecklist[[#This Row],[TargetID]],tblTargets[TargetID],tblTargets[DisplayName],"")</f>
        <v>Dagger</v>
      </c>
      <c r="D1778" s="41" t="str">
        <f>_xlfn.XLOOKUP(tblCostChecklist[[#This Row],[TargetID]],tblTargets[TargetID],tblTargets[TargetType],"")</f>
        <v>CRAFTIFACT</v>
      </c>
      <c r="E1778" s="41" t="s">
        <v>708</v>
      </c>
      <c r="F1778" s="41">
        <v>1</v>
      </c>
      <c r="G1778" s="41">
        <f>_xlfn.XLOOKUP(
 tblCostChecklist[[#This Row],[RequirementID]],
 tblCost[RequirementID],
 tblCost[QuantityRequired],
 ""
)</f>
        <v>5</v>
      </c>
      <c r="H17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8" s="41" t="str">
        <f>_xlfn.XLOOKUP(tblCostChecklist[[#This Row],[TargetID]],tblTargetStatus[TargetID],tblTargetStatus[Status])</f>
        <v>BLOCKED</v>
      </c>
      <c r="J1778" s="25" t="b">
        <v>0</v>
      </c>
    </row>
    <row r="1779" spans="1:10">
      <c r="A1779" s="41" t="s">
        <v>5416</v>
      </c>
      <c r="B1779" s="41" t="str">
        <f>_xlfn.TEXTAFTER(
 _xlfn.TEXTBEFORE(tblCostChecklist[[#This Row],[RequirementID]],".",-2),
 "cost."
)</f>
        <v>craftifact.dagger</v>
      </c>
      <c r="C1779" s="41" t="str">
        <f>_xlfn.XLOOKUP(tblCostChecklist[[#This Row],[TargetID]],tblTargets[TargetID],tblTargets[DisplayName],"")</f>
        <v>Dagger</v>
      </c>
      <c r="D1779" s="41" t="str">
        <f>_xlfn.XLOOKUP(tblCostChecklist[[#This Row],[TargetID]],tblTargets[TargetID],tblTargets[TargetType],"")</f>
        <v>CRAFTIFACT</v>
      </c>
      <c r="E1779" s="41" t="s">
        <v>710</v>
      </c>
      <c r="F1779" s="41">
        <v>1</v>
      </c>
      <c r="G1779" s="41">
        <f>_xlfn.XLOOKUP(
 tblCostChecklist[[#This Row],[RequirementID]],
 tblCost[RequirementID],
 tblCost[QuantityRequired],
 ""
)</f>
        <v>1</v>
      </c>
      <c r="H17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9" s="41" t="str">
        <f>_xlfn.XLOOKUP(tblCostChecklist[[#This Row],[TargetID]],tblTargetStatus[TargetID],tblTargetStatus[Status])</f>
        <v>BLOCKED</v>
      </c>
      <c r="J1779" s="25" t="b">
        <v>0</v>
      </c>
    </row>
    <row r="1780" spans="1:10">
      <c r="A1780" s="41" t="s">
        <v>5417</v>
      </c>
      <c r="B1780" s="41" t="str">
        <f>_xlfn.TEXTAFTER(
 _xlfn.TEXTBEFORE(tblCostChecklist[[#This Row],[RequirementID]],".",-2),
 "cost."
)</f>
        <v>craftifact.emerald_tablet</v>
      </c>
      <c r="C1780" s="41" t="str">
        <f>_xlfn.XLOOKUP(tblCostChecklist[[#This Row],[TargetID]],tblTargets[TargetID],tblTargets[DisplayName],"")</f>
        <v>Emerald Tablet</v>
      </c>
      <c r="D1780" s="41" t="str">
        <f>_xlfn.XLOOKUP(tblCostChecklist[[#This Row],[TargetID]],tblTargets[TargetID],tblTargets[TargetType],"")</f>
        <v>CRAFTIFACT</v>
      </c>
      <c r="E1780" s="41" t="s">
        <v>2066</v>
      </c>
      <c r="F1780" s="41">
        <v>1</v>
      </c>
      <c r="G1780" s="41">
        <f>_xlfn.XLOOKUP(
 tblCostChecklist[[#This Row],[RequirementID]],
 tblCost[RequirementID],
 tblCost[QuantityRequired],
 ""
)</f>
        <v>15</v>
      </c>
      <c r="H17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80" s="41" t="str">
        <f>_xlfn.XLOOKUP(tblCostChecklist[[#This Row],[TargetID]],tblTargetStatus[TargetID],tblTargetStatus[Status])</f>
        <v>BLOCKED</v>
      </c>
      <c r="J1780" s="25" t="b">
        <v>0</v>
      </c>
    </row>
    <row r="1781" spans="1:10">
      <c r="A1781" s="41" t="s">
        <v>5418</v>
      </c>
      <c r="B1781" s="41" t="str">
        <f>_xlfn.TEXTAFTER(
 _xlfn.TEXTBEFORE(tblCostChecklist[[#This Row],[RequirementID]],".",-2),
 "cost."
)</f>
        <v>craftifact.emerald_tablet</v>
      </c>
      <c r="C1781" s="41" t="str">
        <f>_xlfn.XLOOKUP(tblCostChecklist[[#This Row],[TargetID]],tblTargets[TargetID],tblTargets[DisplayName],"")</f>
        <v>Emerald Tablet</v>
      </c>
      <c r="D1781" s="41" t="str">
        <f>_xlfn.XLOOKUP(tblCostChecklist[[#This Row],[TargetID]],tblTargets[TargetID],tblTargets[TargetType],"")</f>
        <v>CRAFTIFACT</v>
      </c>
      <c r="E1781" s="41" t="s">
        <v>696</v>
      </c>
      <c r="F1781" s="41">
        <v>1</v>
      </c>
      <c r="G1781" s="41">
        <f>_xlfn.XLOOKUP(
 tblCostChecklist[[#This Row],[RequirementID]],
 tblCost[RequirementID],
 tblCost[QuantityRequired],
 ""
)</f>
        <v>30</v>
      </c>
      <c r="H17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81" s="41" t="str">
        <f>_xlfn.XLOOKUP(tblCostChecklist[[#This Row],[TargetID]],tblTargetStatus[TargetID],tblTargetStatus[Status])</f>
        <v>BLOCKED</v>
      </c>
      <c r="J1781" s="25" t="b">
        <v>0</v>
      </c>
    </row>
    <row r="1782" spans="1:10">
      <c r="A1782" s="41" t="s">
        <v>5419</v>
      </c>
      <c r="B1782" s="41" t="str">
        <f>_xlfn.TEXTAFTER(
 _xlfn.TEXTBEFORE(tblCostChecklist[[#This Row],[RequirementID]],".",-2),
 "cost."
)</f>
        <v>craftifact.flamethrower</v>
      </c>
      <c r="C1782" s="41" t="str">
        <f>_xlfn.XLOOKUP(tblCostChecklist[[#This Row],[TargetID]],tblTargets[TargetID],tblTargets[DisplayName],"")</f>
        <v>Flamethrower</v>
      </c>
      <c r="D1782" s="41" t="str">
        <f>_xlfn.XLOOKUP(tblCostChecklist[[#This Row],[TargetID]],tblTargets[TargetID],tblTargets[TargetType],"")</f>
        <v>CRAFTIFACT</v>
      </c>
      <c r="E1782" s="41" t="s">
        <v>655</v>
      </c>
      <c r="F1782" s="41">
        <v>1</v>
      </c>
      <c r="G1782" s="41">
        <f>_xlfn.XLOOKUP(
 tblCostChecklist[[#This Row],[RequirementID]],
 tblCost[RequirementID],
 tblCost[QuantityRequired],
 ""
)</f>
        <v>10</v>
      </c>
      <c r="H17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2" s="41" t="str">
        <f>_xlfn.XLOOKUP(tblCostChecklist[[#This Row],[TargetID]],tblTargetStatus[TargetID],tblTargetStatus[Status])</f>
        <v>BLOCKED</v>
      </c>
      <c r="J1782" s="25" t="b">
        <v>0</v>
      </c>
    </row>
    <row r="1783" spans="1:10">
      <c r="A1783" s="41" t="s">
        <v>5420</v>
      </c>
      <c r="B1783" s="41" t="str">
        <f>_xlfn.TEXTAFTER(
 _xlfn.TEXTBEFORE(tblCostChecklist[[#This Row],[RequirementID]],".",-2),
 "cost."
)</f>
        <v>craftifact.flamethrower</v>
      </c>
      <c r="C1783" s="41" t="str">
        <f>_xlfn.XLOOKUP(tblCostChecklist[[#This Row],[TargetID]],tblTargets[TargetID],tblTargets[DisplayName],"")</f>
        <v>Flamethrower</v>
      </c>
      <c r="D1783" s="41" t="str">
        <f>_xlfn.XLOOKUP(tblCostChecklist[[#This Row],[TargetID]],tblTargets[TargetID],tblTargets[TargetType],"")</f>
        <v>CRAFTIFACT</v>
      </c>
      <c r="E1783" s="41" t="s">
        <v>662</v>
      </c>
      <c r="F1783" s="41">
        <v>1</v>
      </c>
      <c r="G1783" s="41">
        <f>_xlfn.XLOOKUP(
 tblCostChecklist[[#This Row],[RequirementID]],
 tblCost[RequirementID],
 tblCost[QuantityRequired],
 ""
)</f>
        <v>30</v>
      </c>
      <c r="H17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3" s="41" t="str">
        <f>_xlfn.XLOOKUP(tblCostChecklist[[#This Row],[TargetID]],tblTargetStatus[TargetID],tblTargetStatus[Status])</f>
        <v>BLOCKED</v>
      </c>
      <c r="J1783" s="25" t="b">
        <v>0</v>
      </c>
    </row>
    <row r="1784" spans="1:10">
      <c r="A1784" s="41" t="s">
        <v>5421</v>
      </c>
      <c r="B1784" s="41" t="str">
        <f>_xlfn.TEXTAFTER(
 _xlfn.TEXTBEFORE(tblCostChecklist[[#This Row],[RequirementID]],".",-2),
 "cost."
)</f>
        <v>craftifact.flamethrower</v>
      </c>
      <c r="C1784" s="41" t="str">
        <f>_xlfn.XLOOKUP(tblCostChecklist[[#This Row],[TargetID]],tblTargets[TargetID],tblTargets[DisplayName],"")</f>
        <v>Flamethrower</v>
      </c>
      <c r="D1784" s="41" t="str">
        <f>_xlfn.XLOOKUP(tblCostChecklist[[#This Row],[TargetID]],tblTargets[TargetID],tblTargets[TargetType],"")</f>
        <v>CRAFTIFACT</v>
      </c>
      <c r="E1784" s="41" t="s">
        <v>928</v>
      </c>
      <c r="F1784" s="41">
        <v>1</v>
      </c>
      <c r="G1784" s="41">
        <f>_xlfn.XLOOKUP(
 tblCostChecklist[[#This Row],[RequirementID]],
 tblCost[RequirementID],
 tblCost[QuantityRequired],
 ""
)</f>
        <v>10</v>
      </c>
      <c r="H17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4" s="41" t="str">
        <f>_xlfn.XLOOKUP(tblCostChecklist[[#This Row],[TargetID]],tblTargetStatus[TargetID],tblTargetStatus[Status])</f>
        <v>BLOCKED</v>
      </c>
      <c r="J1784" s="25" t="b">
        <v>0</v>
      </c>
    </row>
    <row r="1785" spans="1:10">
      <c r="A1785" s="41" t="s">
        <v>5422</v>
      </c>
      <c r="B1785" s="41" t="str">
        <f>_xlfn.TEXTAFTER(
 _xlfn.TEXTBEFORE(tblCostChecklist[[#This Row],[RequirementID]],".",-2),
 "cost."
)</f>
        <v>craftifact.flamethrower</v>
      </c>
      <c r="C1785" s="41" t="str">
        <f>_xlfn.XLOOKUP(tblCostChecklist[[#This Row],[TargetID]],tblTargets[TargetID],tblTargets[DisplayName],"")</f>
        <v>Flamethrower</v>
      </c>
      <c r="D1785" s="41" t="str">
        <f>_xlfn.XLOOKUP(tblCostChecklist[[#This Row],[TargetID]],tblTargets[TargetID],tblTargets[TargetType],"")</f>
        <v>CRAFTIFACT</v>
      </c>
      <c r="E1785" s="41" t="s">
        <v>664</v>
      </c>
      <c r="F1785" s="41">
        <v>1</v>
      </c>
      <c r="G1785" s="41">
        <f>_xlfn.XLOOKUP(
 tblCostChecklist[[#This Row],[RequirementID]],
 tblCost[RequirementID],
 tblCost[QuantityRequired],
 ""
)</f>
        <v>40</v>
      </c>
      <c r="H17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5" s="41" t="str">
        <f>_xlfn.XLOOKUP(tblCostChecklist[[#This Row],[TargetID]],tblTargetStatus[TargetID],tblTargetStatus[Status])</f>
        <v>BLOCKED</v>
      </c>
      <c r="J1785" s="25" t="b">
        <v>0</v>
      </c>
    </row>
    <row r="1786" spans="1:10">
      <c r="A1786" s="41" t="s">
        <v>5423</v>
      </c>
      <c r="B1786" s="41" t="str">
        <f>_xlfn.TEXTAFTER(
 _xlfn.TEXTBEFORE(tblCostChecklist[[#This Row],[RequirementID]],".",-2),
 "cost."
)</f>
        <v>craftifact.flamethrower</v>
      </c>
      <c r="C1786" s="41" t="str">
        <f>_xlfn.XLOOKUP(tblCostChecklist[[#This Row],[TargetID]],tblTargets[TargetID],tblTargets[DisplayName],"")</f>
        <v>Flamethrower</v>
      </c>
      <c r="D1786" s="41" t="str">
        <f>_xlfn.XLOOKUP(tblCostChecklist[[#This Row],[TargetID]],tblTargets[TargetID],tblTargets[TargetType],"")</f>
        <v>CRAFTIFACT</v>
      </c>
      <c r="E1786" s="41" t="s">
        <v>674</v>
      </c>
      <c r="F1786" s="41">
        <v>1</v>
      </c>
      <c r="G1786" s="41">
        <f>_xlfn.XLOOKUP(
 tblCostChecklist[[#This Row],[RequirementID]],
 tblCost[RequirementID],
 tblCost[QuantityRequired],
 ""
)</f>
        <v>10</v>
      </c>
      <c r="H17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6" s="41" t="str">
        <f>_xlfn.XLOOKUP(tblCostChecklist[[#This Row],[TargetID]],tblTargetStatus[TargetID],tblTargetStatus[Status])</f>
        <v>BLOCKED</v>
      </c>
      <c r="J1786" s="25" t="b">
        <v>0</v>
      </c>
    </row>
    <row r="1787" spans="1:10">
      <c r="A1787" s="41" t="s">
        <v>5424</v>
      </c>
      <c r="B1787" s="41" t="str">
        <f>_xlfn.TEXTAFTER(
 _xlfn.TEXTBEFORE(tblCostChecklist[[#This Row],[RequirementID]],".",-2),
 "cost."
)</f>
        <v>craftifact.flamethrower</v>
      </c>
      <c r="C1787" s="41" t="str">
        <f>_xlfn.XLOOKUP(tblCostChecklist[[#This Row],[TargetID]],tblTargets[TargetID],tblTargets[DisplayName],"")</f>
        <v>Flamethrower</v>
      </c>
      <c r="D1787" s="41" t="str">
        <f>_xlfn.XLOOKUP(tblCostChecklist[[#This Row],[TargetID]],tblTargets[TargetID],tblTargets[TargetType],"")</f>
        <v>CRAFTIFACT</v>
      </c>
      <c r="E1787" s="41" t="s">
        <v>686</v>
      </c>
      <c r="F1787" s="41">
        <v>1</v>
      </c>
      <c r="G1787" s="41">
        <f>_xlfn.XLOOKUP(
 tblCostChecklist[[#This Row],[RequirementID]],
 tblCost[RequirementID],
 tblCost[QuantityRequired],
 ""
)</f>
        <v>5</v>
      </c>
      <c r="H17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7" s="41" t="str">
        <f>_xlfn.XLOOKUP(tblCostChecklist[[#This Row],[TargetID]],tblTargetStatus[TargetID],tblTargetStatus[Status])</f>
        <v>BLOCKED</v>
      </c>
      <c r="J1787" s="25" t="b">
        <v>0</v>
      </c>
    </row>
    <row r="1788" spans="1:10">
      <c r="A1788" s="41" t="s">
        <v>5425</v>
      </c>
      <c r="B1788" s="41" t="str">
        <f>_xlfn.TEXTAFTER(
 _xlfn.TEXTBEFORE(tblCostChecklist[[#This Row],[RequirementID]],".",-2),
 "cost."
)</f>
        <v>craftifact.flamethrower</v>
      </c>
      <c r="C1788" s="41" t="str">
        <f>_xlfn.XLOOKUP(tblCostChecklist[[#This Row],[TargetID]],tblTargets[TargetID],tblTargets[DisplayName],"")</f>
        <v>Flamethrower</v>
      </c>
      <c r="D1788" s="41" t="str">
        <f>_xlfn.XLOOKUP(tblCostChecklist[[#This Row],[TargetID]],tblTargets[TargetID],tblTargets[TargetType],"")</f>
        <v>CRAFTIFACT</v>
      </c>
      <c r="E1788" s="41" t="s">
        <v>695</v>
      </c>
      <c r="F1788" s="41">
        <v>1</v>
      </c>
      <c r="G1788" s="41">
        <f>_xlfn.XLOOKUP(
 tblCostChecklist[[#This Row],[RequirementID]],
 tblCost[RequirementID],
 tblCost[QuantityRequired],
 ""
)</f>
        <v>20</v>
      </c>
      <c r="H17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8" s="41" t="str">
        <f>_xlfn.XLOOKUP(tblCostChecklist[[#This Row],[TargetID]],tblTargetStatus[TargetID],tblTargetStatus[Status])</f>
        <v>BLOCKED</v>
      </c>
      <c r="J1788" s="25" t="b">
        <v>0</v>
      </c>
    </row>
    <row r="1789" spans="1:10">
      <c r="A1789" s="41" t="s">
        <v>5426</v>
      </c>
      <c r="B1789" s="41" t="str">
        <f>_xlfn.TEXTAFTER(
 _xlfn.TEXTBEFORE(tblCostChecklist[[#This Row],[RequirementID]],".",-2),
 "cost."
)</f>
        <v>craftifact.flamethrower</v>
      </c>
      <c r="C1789" s="41" t="str">
        <f>_xlfn.XLOOKUP(tblCostChecklist[[#This Row],[TargetID]],tblTargets[TargetID],tblTargets[DisplayName],"")</f>
        <v>Flamethrower</v>
      </c>
      <c r="D1789" s="41" t="str">
        <f>_xlfn.XLOOKUP(tblCostChecklist[[#This Row],[TargetID]],tblTargets[TargetID],tblTargets[TargetType],"")</f>
        <v>CRAFTIFACT</v>
      </c>
      <c r="E1789" s="41" t="s">
        <v>955</v>
      </c>
      <c r="F1789" s="41">
        <v>1</v>
      </c>
      <c r="G1789" s="41">
        <f>_xlfn.XLOOKUP(
 tblCostChecklist[[#This Row],[RequirementID]],
 tblCost[RequirementID],
 tblCost[QuantityRequired],
 ""
)</f>
        <v>20</v>
      </c>
      <c r="H17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9" s="41" t="str">
        <f>_xlfn.XLOOKUP(tblCostChecklist[[#This Row],[TargetID]],tblTargetStatus[TargetID],tblTargetStatus[Status])</f>
        <v>BLOCKED</v>
      </c>
      <c r="J1789" s="25" t="b">
        <v>0</v>
      </c>
    </row>
    <row r="1790" spans="1:10">
      <c r="A1790" s="41" t="s">
        <v>5427</v>
      </c>
      <c r="B1790" s="41" t="str">
        <f>_xlfn.TEXTAFTER(
 _xlfn.TEXTBEFORE(tblCostChecklist[[#This Row],[RequirementID]],".",-2),
 "cost."
)</f>
        <v>craftifact.guild_banner</v>
      </c>
      <c r="C1790" s="41" t="str">
        <f>_xlfn.XLOOKUP(tblCostChecklist[[#This Row],[TargetID]],tblTargets[TargetID],tblTargets[DisplayName],"")</f>
        <v>Guild Banner</v>
      </c>
      <c r="D1790" s="41" t="str">
        <f>_xlfn.XLOOKUP(tblCostChecklist[[#This Row],[TargetID]],tblTargets[TargetID],tblTargets[TargetType],"")</f>
        <v>CRAFTIFACT</v>
      </c>
      <c r="E1790" s="41" t="s">
        <v>711</v>
      </c>
      <c r="F1790" s="41">
        <v>1</v>
      </c>
      <c r="G1790" s="41">
        <f>_xlfn.XLOOKUP(
 tblCostChecklist[[#This Row],[RequirementID]],
 tblCost[RequirementID],
 tblCost[QuantityRequired],
 ""
)</f>
        <v>100</v>
      </c>
      <c r="H17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0" s="41" t="str">
        <f>_xlfn.XLOOKUP(tblCostChecklist[[#This Row],[TargetID]],tblTargetStatus[TargetID],tblTargetStatus[Status])</f>
        <v>BLOCKED</v>
      </c>
      <c r="J1790" s="25" t="b">
        <v>0</v>
      </c>
    </row>
    <row r="1791" spans="1:10">
      <c r="A1791" s="41" t="s">
        <v>5428</v>
      </c>
      <c r="B1791" s="41" t="str">
        <f>_xlfn.TEXTAFTER(
 _xlfn.TEXTBEFORE(tblCostChecklist[[#This Row],[RequirementID]],".",-2),
 "cost."
)</f>
        <v>craftifact.guild_codex</v>
      </c>
      <c r="C1791" s="41" t="str">
        <f>_xlfn.XLOOKUP(tblCostChecklist[[#This Row],[TargetID]],tblTargets[TargetID],tblTargets[DisplayName],"")</f>
        <v>Guild Codex</v>
      </c>
      <c r="D1791" s="41" t="str">
        <f>_xlfn.XLOOKUP(tblCostChecklist[[#This Row],[TargetID]],tblTargets[TargetID],tblTargets[TargetType],"")</f>
        <v>CRAFTIFACT</v>
      </c>
      <c r="E1791" s="41" t="s">
        <v>697</v>
      </c>
      <c r="F1791" s="41">
        <v>1</v>
      </c>
      <c r="G1791" s="41">
        <f>_xlfn.XLOOKUP(
 tblCostChecklist[[#This Row],[RequirementID]],
 tblCost[RequirementID],
 tblCost[QuantityRequired],
 ""
)</f>
        <v>100</v>
      </c>
      <c r="H17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1" s="41" t="str">
        <f>_xlfn.XLOOKUP(tblCostChecklist[[#This Row],[TargetID]],tblTargetStatus[TargetID],tblTargetStatus[Status])</f>
        <v>BLOCKED</v>
      </c>
      <c r="J1791" s="25" t="b">
        <v>0</v>
      </c>
    </row>
    <row r="1792" spans="1:10">
      <c r="A1792" s="41" t="s">
        <v>5429</v>
      </c>
      <c r="B1792" s="41" t="str">
        <f>_xlfn.TEXTAFTER(
 _xlfn.TEXTBEFORE(tblCostChecklist[[#This Row],[RequirementID]],".",-2),
 "cost."
)</f>
        <v>craftifact.guild_supplies</v>
      </c>
      <c r="C1792" s="41" t="str">
        <f>_xlfn.XLOOKUP(tblCostChecklist[[#This Row],[TargetID]],tblTargets[TargetID],tblTargets[DisplayName],"")</f>
        <v>Guild Supplies</v>
      </c>
      <c r="D1792" s="41" t="str">
        <f>_xlfn.XLOOKUP(tblCostChecklist[[#This Row],[TargetID]],tblTargets[TargetID],tblTargets[TargetType],"")</f>
        <v>CRAFTIFACT</v>
      </c>
      <c r="E1792" s="41" t="s">
        <v>1802</v>
      </c>
      <c r="F1792" s="41">
        <v>1</v>
      </c>
      <c r="G1792" s="41">
        <f>_xlfn.XLOOKUP(
 tblCostChecklist[[#This Row],[RequirementID]],
 tblCost[RequirementID],
 tblCost[QuantityRequired],
 ""
)</f>
        <v>50</v>
      </c>
      <c r="H17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2" s="41" t="str">
        <f>_xlfn.XLOOKUP(tblCostChecklist[[#This Row],[TargetID]],tblTargetStatus[TargetID],tblTargetStatus[Status])</f>
        <v>BLOCKED</v>
      </c>
      <c r="J1792" s="25" t="b">
        <v>0</v>
      </c>
    </row>
    <row r="1793" spans="1:10">
      <c r="A1793" s="41" t="s">
        <v>5430</v>
      </c>
      <c r="B1793" s="41" t="str">
        <f>_xlfn.TEXTAFTER(
 _xlfn.TEXTBEFORE(tblCostChecklist[[#This Row],[RequirementID]],".",-2),
 "cost."
)</f>
        <v>craftifact.guild_supplies</v>
      </c>
      <c r="C1793" s="41" t="str">
        <f>_xlfn.XLOOKUP(tblCostChecklist[[#This Row],[TargetID]],tblTargets[TargetID],tblTargets[DisplayName],"")</f>
        <v>Guild Supplies</v>
      </c>
      <c r="D1793" s="41" t="str">
        <f>_xlfn.XLOOKUP(tblCostChecklist[[#This Row],[TargetID]],tblTargets[TargetID],tblTargets[TargetType],"")</f>
        <v>CRAFTIFACT</v>
      </c>
      <c r="E1793" s="41" t="s">
        <v>934</v>
      </c>
      <c r="F1793" s="41">
        <v>1</v>
      </c>
      <c r="G1793" s="41">
        <f>_xlfn.XLOOKUP(
 tblCostChecklist[[#This Row],[RequirementID]],
 tblCost[RequirementID],
 tblCost[QuantityRequired],
 ""
)</f>
        <v>25</v>
      </c>
      <c r="H17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3" s="41" t="str">
        <f>_xlfn.XLOOKUP(tblCostChecklist[[#This Row],[TargetID]],tblTargetStatus[TargetID],tblTargetStatus[Status])</f>
        <v>BLOCKED</v>
      </c>
      <c r="J1793" s="25" t="b">
        <v>0</v>
      </c>
    </row>
    <row r="1794" spans="1:10">
      <c r="A1794" s="41" t="s">
        <v>5431</v>
      </c>
      <c r="B1794" s="41" t="str">
        <f>_xlfn.TEXTAFTER(
 _xlfn.TEXTBEFORE(tblCostChecklist[[#This Row],[RequirementID]],".",-2),
 "cost."
)</f>
        <v>craftifact.guild_supplies</v>
      </c>
      <c r="C1794" s="41" t="str">
        <f>_xlfn.XLOOKUP(tblCostChecklist[[#This Row],[TargetID]],tblTargets[TargetID],tblTargets[DisplayName],"")</f>
        <v>Guild Supplies</v>
      </c>
      <c r="D1794" s="41" t="str">
        <f>_xlfn.XLOOKUP(tblCostChecklist[[#This Row],[TargetID]],tblTargets[TargetID],tblTargets[TargetType],"")</f>
        <v>CRAFTIFACT</v>
      </c>
      <c r="E1794" s="41" t="s">
        <v>674</v>
      </c>
      <c r="F1794" s="41">
        <v>1</v>
      </c>
      <c r="G1794" s="41">
        <f>_xlfn.XLOOKUP(
 tblCostChecklist[[#This Row],[RequirementID]],
 tblCost[RequirementID],
 tblCost[QuantityRequired],
 ""
)</f>
        <v>25</v>
      </c>
      <c r="H17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4" s="41" t="str">
        <f>_xlfn.XLOOKUP(tblCostChecklist[[#This Row],[TargetID]],tblTargetStatus[TargetID],tblTargetStatus[Status])</f>
        <v>BLOCKED</v>
      </c>
      <c r="J1794" s="25" t="b">
        <v>0</v>
      </c>
    </row>
    <row r="1795" spans="1:10">
      <c r="A1795" s="41" t="s">
        <v>5432</v>
      </c>
      <c r="B1795" s="41" t="str">
        <f>_xlfn.TEXTAFTER(
 _xlfn.TEXTBEFORE(tblCostChecklist[[#This Row],[RequirementID]],".",-2),
 "cost."
)</f>
        <v>craftifact.guild_supplies</v>
      </c>
      <c r="C1795" s="41" t="str">
        <f>_xlfn.XLOOKUP(tblCostChecklist[[#This Row],[TargetID]],tblTargets[TargetID],tblTargets[DisplayName],"")</f>
        <v>Guild Supplies</v>
      </c>
      <c r="D1795" s="41" t="str">
        <f>_xlfn.XLOOKUP(tblCostChecklist[[#This Row],[TargetID]],tblTargets[TargetID],tblTargets[TargetType],"")</f>
        <v>CRAFTIFACT</v>
      </c>
      <c r="E1795" s="41" t="s">
        <v>938</v>
      </c>
      <c r="F1795" s="41">
        <v>1</v>
      </c>
      <c r="G1795" s="41">
        <f>_xlfn.XLOOKUP(
 tblCostChecklist[[#This Row],[RequirementID]],
 tblCost[RequirementID],
 tblCost[QuantityRequired],
 ""
)</f>
        <v>50</v>
      </c>
      <c r="H17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5" s="41" t="str">
        <f>_xlfn.XLOOKUP(tblCostChecklist[[#This Row],[TargetID]],tblTargetStatus[TargetID],tblTargetStatus[Status])</f>
        <v>BLOCKED</v>
      </c>
      <c r="J1795" s="25" t="b">
        <v>0</v>
      </c>
    </row>
    <row r="1796" spans="1:10">
      <c r="A1796" s="41" t="s">
        <v>5433</v>
      </c>
      <c r="B1796" s="41" t="str">
        <f>_xlfn.TEXTAFTER(
 _xlfn.TEXTBEFORE(tblCostChecklist[[#This Row],[RequirementID]],".",-2),
 "cost."
)</f>
        <v>craftifact.guild_supplies</v>
      </c>
      <c r="C1796" s="41" t="str">
        <f>_xlfn.XLOOKUP(tblCostChecklist[[#This Row],[TargetID]],tblTargets[TargetID],tblTargets[DisplayName],"")</f>
        <v>Guild Supplies</v>
      </c>
      <c r="D1796" s="41" t="str">
        <f>_xlfn.XLOOKUP(tblCostChecklist[[#This Row],[TargetID]],tblTargets[TargetID],tblTargets[TargetType],"")</f>
        <v>CRAFTIFACT</v>
      </c>
      <c r="E1796" s="41" t="s">
        <v>695</v>
      </c>
      <c r="F1796" s="41">
        <v>1</v>
      </c>
      <c r="G1796" s="41">
        <f>_xlfn.XLOOKUP(
 tblCostChecklist[[#This Row],[RequirementID]],
 tblCost[RequirementID],
 tblCost[QuantityRequired],
 ""
)</f>
        <v>50</v>
      </c>
      <c r="H17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6" s="41" t="str">
        <f>_xlfn.XLOOKUP(tblCostChecklist[[#This Row],[TargetID]],tblTargetStatus[TargetID],tblTargetStatus[Status])</f>
        <v>BLOCKED</v>
      </c>
      <c r="J1796" s="25" t="b">
        <v>0</v>
      </c>
    </row>
    <row r="1797" spans="1:10">
      <c r="A1797" s="41" t="s">
        <v>5434</v>
      </c>
      <c r="B1797" s="41" t="str">
        <f>_xlfn.TEXTAFTER(
 _xlfn.TEXTBEFORE(tblCostChecklist[[#This Row],[RequirementID]],".",-2),
 "cost."
)</f>
        <v>craftifact.guild_supplies</v>
      </c>
      <c r="C1797" s="41" t="str">
        <f>_xlfn.XLOOKUP(tblCostChecklist[[#This Row],[TargetID]],tblTargets[TargetID],tblTargets[DisplayName],"")</f>
        <v>Guild Supplies</v>
      </c>
      <c r="D1797" s="41" t="str">
        <f>_xlfn.XLOOKUP(tblCostChecklist[[#This Row],[TargetID]],tblTargets[TargetID],tblTargets[TargetType],"")</f>
        <v>CRAFTIFACT</v>
      </c>
      <c r="E1797" s="41" t="s">
        <v>707</v>
      </c>
      <c r="F1797" s="41">
        <v>1</v>
      </c>
      <c r="G1797" s="41">
        <f>_xlfn.XLOOKUP(
 tblCostChecklist[[#This Row],[RequirementID]],
 tblCost[RequirementID],
 tblCost[QuantityRequired],
 ""
)</f>
        <v>25</v>
      </c>
      <c r="H17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7" s="41" t="str">
        <f>_xlfn.XLOOKUP(tblCostChecklist[[#This Row],[TargetID]],tblTargetStatus[TargetID],tblTargetStatus[Status])</f>
        <v>BLOCKED</v>
      </c>
      <c r="J1797" s="25" t="b">
        <v>0</v>
      </c>
    </row>
    <row r="1798" spans="1:10">
      <c r="A1798" s="41" t="s">
        <v>5435</v>
      </c>
      <c r="B1798" s="41" t="str">
        <f>_xlfn.TEXTAFTER(
 _xlfn.TEXTBEFORE(tblCostChecklist[[#This Row],[RequirementID]],".",-2),
 "cost."
)</f>
        <v>craftifact.guild_supplies</v>
      </c>
      <c r="C1798" s="41" t="str">
        <f>_xlfn.XLOOKUP(tblCostChecklist[[#This Row],[TargetID]],tblTargets[TargetID],tblTargets[DisplayName],"")</f>
        <v>Guild Supplies</v>
      </c>
      <c r="D1798" s="41" t="str">
        <f>_xlfn.XLOOKUP(tblCostChecklist[[#This Row],[TargetID]],tblTargets[TargetID],tblTargets[TargetType],"")</f>
        <v>CRAFTIFACT</v>
      </c>
      <c r="E1798" s="41" t="s">
        <v>956</v>
      </c>
      <c r="F1798" s="41">
        <v>1</v>
      </c>
      <c r="G1798" s="41">
        <f>_xlfn.XLOOKUP(
 tblCostChecklist[[#This Row],[RequirementID]],
 tblCost[RequirementID],
 tblCost[QuantityRequired],
 ""
)</f>
        <v>25</v>
      </c>
      <c r="H17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8" s="41" t="str">
        <f>_xlfn.XLOOKUP(tblCostChecklist[[#This Row],[TargetID]],tblTargetStatus[TargetID],tblTargetStatus[Status])</f>
        <v>BLOCKED</v>
      </c>
      <c r="J1798" s="25" t="b">
        <v>0</v>
      </c>
    </row>
    <row r="1799" spans="1:10">
      <c r="A1799" s="41" t="s">
        <v>5436</v>
      </c>
      <c r="B1799" s="41" t="str">
        <f>_xlfn.TEXTAFTER(
 _xlfn.TEXTBEFORE(tblCostChecklist[[#This Row],[RequirementID]],".",-2),
 "cost."
)</f>
        <v>craftifact.hat_of_concentration</v>
      </c>
      <c r="C1799" s="41" t="str">
        <f>_xlfn.XLOOKUP(tblCostChecklist[[#This Row],[TargetID]],tblTargets[TargetID],tblTargets[DisplayName],"")</f>
        <v>Hat Of Concentration</v>
      </c>
      <c r="D1799" s="41" t="str">
        <f>_xlfn.XLOOKUP(tblCostChecklist[[#This Row],[TargetID]],tblTargets[TargetID],tblTargets[TargetType],"")</f>
        <v>CRAFTIFACT</v>
      </c>
      <c r="E1799" s="41" t="s">
        <v>935</v>
      </c>
      <c r="F1799" s="41">
        <v>1</v>
      </c>
      <c r="G1799" s="41">
        <f>_xlfn.XLOOKUP(
 tblCostChecklist[[#This Row],[RequirementID]],
 tblCost[RequirementID],
 tblCost[QuantityRequired],
 ""
)</f>
        <v>20</v>
      </c>
      <c r="H17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799" s="41" t="str">
        <f>_xlfn.XLOOKUP(tblCostChecklist[[#This Row],[TargetID]],tblTargetStatus[TargetID],tblTargetStatus[Status])</f>
        <v>BLOCKED</v>
      </c>
      <c r="J1799" s="25" t="b">
        <v>0</v>
      </c>
    </row>
    <row r="1800" spans="1:10">
      <c r="A1800" s="41" t="s">
        <v>5437</v>
      </c>
      <c r="B1800" s="41" t="str">
        <f>_xlfn.TEXTAFTER(
 _xlfn.TEXTBEFORE(tblCostChecklist[[#This Row],[RequirementID]],".",-2),
 "cost."
)</f>
        <v>craftifact.hat_of_concentration</v>
      </c>
      <c r="C1800" s="41" t="str">
        <f>_xlfn.XLOOKUP(tblCostChecklist[[#This Row],[TargetID]],tblTargets[TargetID],tblTargets[DisplayName],"")</f>
        <v>Hat Of Concentration</v>
      </c>
      <c r="D1800" s="41" t="str">
        <f>_xlfn.XLOOKUP(tblCostChecklist[[#This Row],[TargetID]],tblTargets[TargetID],tblTargets[TargetType],"")</f>
        <v>CRAFTIFACT</v>
      </c>
      <c r="E1800" s="41" t="s">
        <v>677</v>
      </c>
      <c r="F1800" s="41">
        <v>1</v>
      </c>
      <c r="G1800" s="41">
        <f>_xlfn.XLOOKUP(
 tblCostChecklist[[#This Row],[RequirementID]],
 tblCost[RequirementID],
 tblCost[QuantityRequired],
 ""
)</f>
        <v>20</v>
      </c>
      <c r="H18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0" s="41" t="str">
        <f>_xlfn.XLOOKUP(tblCostChecklist[[#This Row],[TargetID]],tblTargetStatus[TargetID],tblTargetStatus[Status])</f>
        <v>BLOCKED</v>
      </c>
      <c r="J1800" s="25" t="b">
        <v>0</v>
      </c>
    </row>
    <row r="1801" spans="1:10">
      <c r="A1801" s="41" t="s">
        <v>5438</v>
      </c>
      <c r="B1801" s="41" t="str">
        <f>_xlfn.TEXTAFTER(
 _xlfn.TEXTBEFORE(tblCostChecklist[[#This Row],[RequirementID]],".",-2),
 "cost."
)</f>
        <v>craftifact.hat_of_concentration</v>
      </c>
      <c r="C1801" s="41" t="str">
        <f>_xlfn.XLOOKUP(tblCostChecklist[[#This Row],[TargetID]],tblTargets[TargetID],tblTargets[DisplayName],"")</f>
        <v>Hat Of Concentration</v>
      </c>
      <c r="D1801" s="41" t="str">
        <f>_xlfn.XLOOKUP(tblCostChecklist[[#This Row],[TargetID]],tblTargets[TargetID],tblTargets[TargetType],"")</f>
        <v>CRAFTIFACT</v>
      </c>
      <c r="E1801" s="41" t="s">
        <v>679</v>
      </c>
      <c r="F1801" s="41">
        <v>1</v>
      </c>
      <c r="G1801" s="41">
        <f>_xlfn.XLOOKUP(
 tblCostChecklist[[#This Row],[RequirementID]],
 tblCost[RequirementID],
 tblCost[QuantityRequired],
 ""
)</f>
        <v>10</v>
      </c>
      <c r="H18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1" s="41" t="str">
        <f>_xlfn.XLOOKUP(tblCostChecklist[[#This Row],[TargetID]],tblTargetStatus[TargetID],tblTargetStatus[Status])</f>
        <v>BLOCKED</v>
      </c>
      <c r="J1801" s="25" t="b">
        <v>0</v>
      </c>
    </row>
    <row r="1802" spans="1:10">
      <c r="A1802" s="41" t="s">
        <v>5439</v>
      </c>
      <c r="B1802" s="41" t="str">
        <f>_xlfn.TEXTAFTER(
 _xlfn.TEXTBEFORE(tblCostChecklist[[#This Row],[RequirementID]],".",-2),
 "cost."
)</f>
        <v>craftifact.hat_of_concentration</v>
      </c>
      <c r="C1802" s="41" t="str">
        <f>_xlfn.XLOOKUP(tblCostChecklist[[#This Row],[TargetID]],tblTargets[TargetID],tblTargets[DisplayName],"")</f>
        <v>Hat Of Concentration</v>
      </c>
      <c r="D1802" s="41" t="str">
        <f>_xlfn.XLOOKUP(tblCostChecklist[[#This Row],[TargetID]],tblTargets[TargetID],tblTargets[TargetType],"")</f>
        <v>CRAFTIFACT</v>
      </c>
      <c r="E1802" s="41" t="s">
        <v>687</v>
      </c>
      <c r="F1802" s="41">
        <v>1</v>
      </c>
      <c r="G1802" s="41">
        <f>_xlfn.XLOOKUP(
 tblCostChecklist[[#This Row],[RequirementID]],
 tblCost[RequirementID],
 tblCost[QuantityRequired],
 ""
)</f>
        <v>10</v>
      </c>
      <c r="H18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2" s="41" t="str">
        <f>_xlfn.XLOOKUP(tblCostChecklist[[#This Row],[TargetID]],tblTargetStatus[TargetID],tblTargetStatus[Status])</f>
        <v>BLOCKED</v>
      </c>
      <c r="J1802" s="25" t="b">
        <v>0</v>
      </c>
    </row>
    <row r="1803" spans="1:10">
      <c r="A1803" s="41" t="s">
        <v>5440</v>
      </c>
      <c r="B1803" s="41" t="str">
        <f>_xlfn.TEXTAFTER(
 _xlfn.TEXTBEFORE(tblCostChecklist[[#This Row],[RequirementID]],".",-2),
 "cost."
)</f>
        <v>craftifact.hat_of_concentration</v>
      </c>
      <c r="C1803" s="41" t="str">
        <f>_xlfn.XLOOKUP(tblCostChecklist[[#This Row],[TargetID]],tblTargets[TargetID],tblTargets[DisplayName],"")</f>
        <v>Hat Of Concentration</v>
      </c>
      <c r="D1803" s="41" t="str">
        <f>_xlfn.XLOOKUP(tblCostChecklist[[#This Row],[TargetID]],tblTargets[TargetID],tblTargets[TargetType],"")</f>
        <v>CRAFTIFACT</v>
      </c>
      <c r="E1803" s="41" t="s">
        <v>711</v>
      </c>
      <c r="F1803" s="41">
        <v>1</v>
      </c>
      <c r="G1803" s="41">
        <f>_xlfn.XLOOKUP(
 tblCostChecklist[[#This Row],[RequirementID]],
 tblCost[RequirementID],
 tblCost[QuantityRequired],
 ""
)</f>
        <v>10</v>
      </c>
      <c r="H18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3" s="41" t="str">
        <f>_xlfn.XLOOKUP(tblCostChecklist[[#This Row],[TargetID]],tblTargetStatus[TargetID],tblTargetStatus[Status])</f>
        <v>BLOCKED</v>
      </c>
      <c r="J1803" s="25" t="b">
        <v>0</v>
      </c>
    </row>
    <row r="1804" spans="1:10">
      <c r="A1804" s="41" t="s">
        <v>5441</v>
      </c>
      <c r="B1804" s="41" t="str">
        <f>_xlfn.TEXTAFTER(
 _xlfn.TEXTBEFORE(tblCostChecklist[[#This Row],[RequirementID]],".",-2),
 "cost."
)</f>
        <v>craftifact.hat_of_concentration</v>
      </c>
      <c r="C1804" s="41" t="str">
        <f>_xlfn.XLOOKUP(tblCostChecklist[[#This Row],[TargetID]],tblTargets[TargetID],tblTargets[DisplayName],"")</f>
        <v>Hat Of Concentration</v>
      </c>
      <c r="D1804" s="41" t="str">
        <f>_xlfn.XLOOKUP(tblCostChecklist[[#This Row],[TargetID]],tblTargets[TargetID],tblTargets[TargetType],"")</f>
        <v>CRAFTIFACT</v>
      </c>
      <c r="E1804" s="41" t="s">
        <v>1847</v>
      </c>
      <c r="F1804" s="41">
        <v>1</v>
      </c>
      <c r="G1804" s="41">
        <f>_xlfn.XLOOKUP(
 tblCostChecklist[[#This Row],[RequirementID]],
 tblCost[RequirementID],
 tblCost[QuantityRequired],
 ""
)</f>
        <v>2</v>
      </c>
      <c r="H18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4" s="41" t="str">
        <f>_xlfn.XLOOKUP(tblCostChecklist[[#This Row],[TargetID]],tblTargetStatus[TargetID],tblTargetStatus[Status])</f>
        <v>BLOCKED</v>
      </c>
      <c r="J1804" s="25" t="b">
        <v>0</v>
      </c>
    </row>
    <row r="1805" spans="1:10">
      <c r="A1805" s="41" t="s">
        <v>5442</v>
      </c>
      <c r="B1805" s="41" t="str">
        <f>_xlfn.TEXTAFTER(
 _xlfn.TEXTBEFORE(tblCostChecklist[[#This Row],[RequirementID]],".",-2),
 "cost."
)</f>
        <v>craftifact.hat_of_concentration</v>
      </c>
      <c r="C1805" s="41" t="str">
        <f>_xlfn.XLOOKUP(tblCostChecklist[[#This Row],[TargetID]],tblTargets[TargetID],tblTargets[DisplayName],"")</f>
        <v>Hat Of Concentration</v>
      </c>
      <c r="D1805" s="41" t="str">
        <f>_xlfn.XLOOKUP(tblCostChecklist[[#This Row],[TargetID]],tblTargets[TargetID],tblTargets[TargetType],"")</f>
        <v>CRAFTIFACT</v>
      </c>
      <c r="E1805" s="41" t="s">
        <v>957</v>
      </c>
      <c r="F1805" s="41">
        <v>1</v>
      </c>
      <c r="G1805" s="41">
        <f>_xlfn.XLOOKUP(
 tblCostChecklist[[#This Row],[RequirementID]],
 tblCost[RequirementID],
 tblCost[QuantityRequired],
 ""
)</f>
        <v>12</v>
      </c>
      <c r="H18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5" s="41" t="str">
        <f>_xlfn.XLOOKUP(tblCostChecklist[[#This Row],[TargetID]],tblTargetStatus[TargetID],tblTargetStatus[Status])</f>
        <v>BLOCKED</v>
      </c>
      <c r="J1805" s="25" t="b">
        <v>0</v>
      </c>
    </row>
    <row r="1806" spans="1:10">
      <c r="A1806" s="41" t="s">
        <v>5443</v>
      </c>
      <c r="B1806" s="41" t="str">
        <f>_xlfn.TEXTAFTER(
 _xlfn.TEXTBEFORE(tblCostChecklist[[#This Row],[RequirementID]],".",-2),
 "cost."
)</f>
        <v>craftifact.helmet</v>
      </c>
      <c r="C1806" s="41" t="str">
        <f>_xlfn.XLOOKUP(tblCostChecklist[[#This Row],[TargetID]],tblTargets[TargetID],tblTargets[DisplayName],"")</f>
        <v>Helmet</v>
      </c>
      <c r="D1806" s="41" t="str">
        <f>_xlfn.XLOOKUP(tblCostChecklist[[#This Row],[TargetID]],tblTargets[TargetID],tblTargets[TargetType],"")</f>
        <v>CRAFTIFACT</v>
      </c>
      <c r="E1806" s="41" t="s">
        <v>667</v>
      </c>
      <c r="F1806" s="41">
        <v>1</v>
      </c>
      <c r="G1806" s="41">
        <f>_xlfn.XLOOKUP(
 tblCostChecklist[[#This Row],[RequirementID]],
 tblCost[RequirementID],
 tblCost[QuantityRequired],
 ""
)</f>
        <v>100</v>
      </c>
      <c r="H18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06" s="41" t="str">
        <f>_xlfn.XLOOKUP(tblCostChecklist[[#This Row],[TargetID]],tblTargetStatus[TargetID],tblTargetStatus[Status])</f>
        <v>BLOCKED</v>
      </c>
      <c r="J1806" s="25" t="b">
        <v>0</v>
      </c>
    </row>
    <row r="1807" spans="1:10">
      <c r="A1807" s="41" t="s">
        <v>5444</v>
      </c>
      <c r="B1807" s="41" t="str">
        <f>_xlfn.TEXTAFTER(
 _xlfn.TEXTBEFORE(tblCostChecklist[[#This Row],[RequirementID]],".",-2),
 "cost."
)</f>
        <v>craftifact.helmet</v>
      </c>
      <c r="C1807" s="41" t="str">
        <f>_xlfn.XLOOKUP(tblCostChecklist[[#This Row],[TargetID]],tblTargets[TargetID],tblTargets[DisplayName],"")</f>
        <v>Helmet</v>
      </c>
      <c r="D1807" s="41" t="str">
        <f>_xlfn.XLOOKUP(tblCostChecklist[[#This Row],[TargetID]],tblTargets[TargetID],tblTargets[TargetType],"")</f>
        <v>CRAFTIFACT</v>
      </c>
      <c r="E1807" s="41" t="s">
        <v>693</v>
      </c>
      <c r="F1807" s="41">
        <v>1</v>
      </c>
      <c r="G1807" s="41">
        <f>_xlfn.XLOOKUP(
 tblCostChecklist[[#This Row],[RequirementID]],
 tblCost[RequirementID],
 tblCost[QuantityRequired],
 ""
)</f>
        <v>40</v>
      </c>
      <c r="H18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07" s="41" t="str">
        <f>_xlfn.XLOOKUP(tblCostChecklist[[#This Row],[TargetID]],tblTargetStatus[TargetID],tblTargetStatus[Status])</f>
        <v>BLOCKED</v>
      </c>
      <c r="J1807" s="25" t="b">
        <v>0</v>
      </c>
    </row>
    <row r="1808" spans="1:10">
      <c r="A1808" s="41" t="s">
        <v>5445</v>
      </c>
      <c r="B1808" s="41" t="str">
        <f>_xlfn.TEXTAFTER(
 _xlfn.TEXTBEFORE(tblCostChecklist[[#This Row],[RequirementID]],".",-2),
 "cost."
)</f>
        <v>craftifact.helmet</v>
      </c>
      <c r="C1808" s="41" t="str">
        <f>_xlfn.XLOOKUP(tblCostChecklist[[#This Row],[TargetID]],tblTargets[TargetID],tblTargets[DisplayName],"")</f>
        <v>Helmet</v>
      </c>
      <c r="D1808" s="41" t="str">
        <f>_xlfn.XLOOKUP(tblCostChecklist[[#This Row],[TargetID]],tblTargets[TargetID],tblTargets[TargetType],"")</f>
        <v>CRAFTIFACT</v>
      </c>
      <c r="E1808" s="41" t="s">
        <v>696</v>
      </c>
      <c r="F1808" s="41">
        <v>1</v>
      </c>
      <c r="G1808" s="41">
        <f>_xlfn.XLOOKUP(
 tblCostChecklist[[#This Row],[RequirementID]],
 tblCost[RequirementID],
 tblCost[QuantityRequired],
 ""
)</f>
        <v>20</v>
      </c>
      <c r="H18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08" s="41" t="str">
        <f>_xlfn.XLOOKUP(tblCostChecklist[[#This Row],[TargetID]],tblTargetStatus[TargetID],tblTargetStatus[Status])</f>
        <v>BLOCKED</v>
      </c>
      <c r="J1808" s="25" t="b">
        <v>0</v>
      </c>
    </row>
    <row r="1809" spans="1:10">
      <c r="A1809" s="41" t="s">
        <v>5446</v>
      </c>
      <c r="B1809" s="41" t="str">
        <f>_xlfn.TEXTAFTER(
 _xlfn.TEXTBEFORE(tblCostChecklist[[#This Row],[RequirementID]],".",-2),
 "cost."
)</f>
        <v>craftifact.helmet</v>
      </c>
      <c r="C1809" s="41" t="str">
        <f>_xlfn.XLOOKUP(tblCostChecklist[[#This Row],[TargetID]],tblTargets[TargetID],tblTargets[DisplayName],"")</f>
        <v>Helmet</v>
      </c>
      <c r="D1809" s="41" t="str">
        <f>_xlfn.XLOOKUP(tblCostChecklist[[#This Row],[TargetID]],tblTargets[TargetID],tblTargets[TargetType],"")</f>
        <v>CRAFTIFACT</v>
      </c>
      <c r="E1809" s="41" t="s">
        <v>710</v>
      </c>
      <c r="F1809" s="41">
        <v>1</v>
      </c>
      <c r="G1809" s="41">
        <f>_xlfn.XLOOKUP(
 tblCostChecklist[[#This Row],[RequirementID]],
 tblCost[RequirementID],
 tblCost[QuantityRequired],
 ""
)</f>
        <v>1</v>
      </c>
      <c r="H18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09" s="41" t="str">
        <f>_xlfn.XLOOKUP(tblCostChecklist[[#This Row],[TargetID]],tblTargetStatus[TargetID],tblTargetStatus[Status])</f>
        <v>BLOCKED</v>
      </c>
      <c r="J1809" s="25" t="b">
        <v>0</v>
      </c>
    </row>
    <row r="1810" spans="1:10">
      <c r="A1810" s="41" t="s">
        <v>5447</v>
      </c>
      <c r="B1810" s="41" t="str">
        <f>_xlfn.TEXTAFTER(
 _xlfn.TEXTBEFORE(tblCostChecklist[[#This Row],[RequirementID]],".",-2),
 "cost."
)</f>
        <v>craftifact.historical_library</v>
      </c>
      <c r="C1810" s="41" t="str">
        <f>_xlfn.XLOOKUP(tblCostChecklist[[#This Row],[TargetID]],tblTargets[TargetID],tblTargets[DisplayName],"")</f>
        <v>Historical Library</v>
      </c>
      <c r="D1810" s="41" t="str">
        <f>_xlfn.XLOOKUP(tblCostChecklist[[#This Row],[TargetID]],tblTargets[TargetID],tblTargets[TargetType],"")</f>
        <v>CRAFTIFACT</v>
      </c>
      <c r="E1810" s="41" t="s">
        <v>662</v>
      </c>
      <c r="F1810" s="41">
        <v>1</v>
      </c>
      <c r="G1810" s="41">
        <f>_xlfn.XLOOKUP(
 tblCostChecklist[[#This Row],[RequirementID]],
 tblCost[RequirementID],
 tblCost[QuantityRequired],
 ""
)</f>
        <v>15</v>
      </c>
      <c r="H18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0" s="41" t="str">
        <f>_xlfn.XLOOKUP(tblCostChecklist[[#This Row],[TargetID]],tblTargetStatus[TargetID],tblTargetStatus[Status])</f>
        <v>BLOCKED</v>
      </c>
      <c r="J1810" s="25" t="b">
        <v>0</v>
      </c>
    </row>
    <row r="1811" spans="1:10">
      <c r="A1811" s="41" t="s">
        <v>5448</v>
      </c>
      <c r="B1811" s="41" t="str">
        <f>_xlfn.TEXTAFTER(
 _xlfn.TEXTBEFORE(tblCostChecklist[[#This Row],[RequirementID]],".",-2),
 "cost."
)</f>
        <v>craftifact.historical_library</v>
      </c>
      <c r="C1811" s="41" t="str">
        <f>_xlfn.XLOOKUP(tblCostChecklist[[#This Row],[TargetID]],tblTargets[TargetID],tblTargets[DisplayName],"")</f>
        <v>Historical Library</v>
      </c>
      <c r="D1811" s="41" t="str">
        <f>_xlfn.XLOOKUP(tblCostChecklist[[#This Row],[TargetID]],tblTargets[TargetID],tblTargets[TargetType],"")</f>
        <v>CRAFTIFACT</v>
      </c>
      <c r="E1811" s="41" t="s">
        <v>677</v>
      </c>
      <c r="F1811" s="41">
        <v>1</v>
      </c>
      <c r="G1811" s="41">
        <f>_xlfn.XLOOKUP(
 tblCostChecklist[[#This Row],[RequirementID]],
 tblCost[RequirementID],
 tblCost[QuantityRequired],
 ""
)</f>
        <v>9</v>
      </c>
      <c r="H18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1" s="41" t="str">
        <f>_xlfn.XLOOKUP(tblCostChecklist[[#This Row],[TargetID]],tblTargetStatus[TargetID],tblTargetStatus[Status])</f>
        <v>BLOCKED</v>
      </c>
      <c r="J1811" s="25" t="b">
        <v>0</v>
      </c>
    </row>
    <row r="1812" spans="1:10">
      <c r="A1812" s="41" t="s">
        <v>5449</v>
      </c>
      <c r="B1812" s="41" t="str">
        <f>_xlfn.TEXTAFTER(
 _xlfn.TEXTBEFORE(tblCostChecklist[[#This Row],[RequirementID]],".",-2),
 "cost."
)</f>
        <v>craftifact.historical_library</v>
      </c>
      <c r="C1812" s="41" t="str">
        <f>_xlfn.XLOOKUP(tblCostChecklist[[#This Row],[TargetID]],tblTargets[TargetID],tblTargets[DisplayName],"")</f>
        <v>Historical Library</v>
      </c>
      <c r="D1812" s="41" t="str">
        <f>_xlfn.XLOOKUP(tblCostChecklist[[#This Row],[TargetID]],tblTargets[TargetID],tblTargets[TargetType],"")</f>
        <v>CRAFTIFACT</v>
      </c>
      <c r="E1812" s="41" t="s">
        <v>696</v>
      </c>
      <c r="F1812" s="41">
        <v>1</v>
      </c>
      <c r="G1812" s="41">
        <f>_xlfn.XLOOKUP(
 tblCostChecklist[[#This Row],[RequirementID]],
 tblCost[RequirementID],
 tblCost[QuantityRequired],
 ""
)</f>
        <v>40</v>
      </c>
      <c r="H18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2" s="41" t="str">
        <f>_xlfn.XLOOKUP(tblCostChecklist[[#This Row],[TargetID]],tblTargetStatus[TargetID],tblTargetStatus[Status])</f>
        <v>BLOCKED</v>
      </c>
      <c r="J1812" s="25" t="b">
        <v>0</v>
      </c>
    </row>
    <row r="1813" spans="1:10">
      <c r="A1813" s="41" t="s">
        <v>5450</v>
      </c>
      <c r="B1813" s="41" t="str">
        <f>_xlfn.TEXTAFTER(
 _xlfn.TEXTBEFORE(tblCostChecklist[[#This Row],[RequirementID]],".",-2),
 "cost."
)</f>
        <v>craftifact.historical_library</v>
      </c>
      <c r="C1813" s="41" t="str">
        <f>_xlfn.XLOOKUP(tblCostChecklist[[#This Row],[TargetID]],tblTargets[TargetID],tblTargets[DisplayName],"")</f>
        <v>Historical Library</v>
      </c>
      <c r="D1813" s="41" t="str">
        <f>_xlfn.XLOOKUP(tblCostChecklist[[#This Row],[TargetID]],tblTargets[TargetID],tblTargets[TargetType],"")</f>
        <v>CRAFTIFACT</v>
      </c>
      <c r="E1813" s="41" t="s">
        <v>710</v>
      </c>
      <c r="F1813" s="41">
        <v>1</v>
      </c>
      <c r="G1813" s="41">
        <f>_xlfn.XLOOKUP(
 tblCostChecklist[[#This Row],[RequirementID]],
 tblCost[RequirementID],
 tblCost[QuantityRequired],
 ""
)</f>
        <v>12</v>
      </c>
      <c r="H18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3" s="41" t="str">
        <f>_xlfn.XLOOKUP(tblCostChecklist[[#This Row],[TargetID]],tblTargetStatus[TargetID],tblTargetStatus[Status])</f>
        <v>BLOCKED</v>
      </c>
      <c r="J1813" s="25" t="b">
        <v>0</v>
      </c>
    </row>
    <row r="1814" spans="1:10">
      <c r="A1814" s="41" t="s">
        <v>5451</v>
      </c>
      <c r="B1814" s="41" t="str">
        <f>_xlfn.TEXTAFTER(
 _xlfn.TEXTBEFORE(tblCostChecklist[[#This Row],[RequirementID]],".",-2),
 "cost."
)</f>
        <v>craftifact.hotei_statuette</v>
      </c>
      <c r="C1814" s="41" t="str">
        <f>_xlfn.XLOOKUP(tblCostChecklist[[#This Row],[TargetID]],tblTargets[TargetID],tblTargets[DisplayName],"")</f>
        <v>Hotei Statuette</v>
      </c>
      <c r="D1814" s="41" t="str">
        <f>_xlfn.XLOOKUP(tblCostChecklist[[#This Row],[TargetID]],tblTargets[TargetID],tblTargets[TargetType],"")</f>
        <v>CRAFTIFACT</v>
      </c>
      <c r="E1814" s="41" t="s">
        <v>663</v>
      </c>
      <c r="F1814" s="41">
        <v>1</v>
      </c>
      <c r="G1814" s="41">
        <f>_xlfn.XLOOKUP(
 tblCostChecklist[[#This Row],[RequirementID]],
 tblCost[RequirementID],
 tblCost[QuantityRequired],
 ""
)</f>
        <v>200</v>
      </c>
      <c r="H18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4" s="41" t="str">
        <f>_xlfn.XLOOKUP(tblCostChecklist[[#This Row],[TargetID]],tblTargetStatus[TargetID],tblTargetStatus[Status])</f>
        <v>BLOCKED</v>
      </c>
      <c r="J1814" s="25" t="b">
        <v>0</v>
      </c>
    </row>
    <row r="1815" spans="1:10">
      <c r="A1815" s="41" t="s">
        <v>5452</v>
      </c>
      <c r="B1815" s="41" t="str">
        <f>_xlfn.TEXTAFTER(
 _xlfn.TEXTBEFORE(tblCostChecklist[[#This Row],[RequirementID]],".",-2),
 "cost."
)</f>
        <v>craftifact.hotei_statuette</v>
      </c>
      <c r="C1815" s="41" t="str">
        <f>_xlfn.XLOOKUP(tblCostChecklist[[#This Row],[TargetID]],tblTargets[TargetID],tblTargets[DisplayName],"")</f>
        <v>Hotei Statuette</v>
      </c>
      <c r="D1815" s="41" t="str">
        <f>_xlfn.XLOOKUP(tblCostChecklist[[#This Row],[TargetID]],tblTargets[TargetID],tblTargets[TargetType],"")</f>
        <v>CRAFTIFACT</v>
      </c>
      <c r="E1815" s="41" t="s">
        <v>666</v>
      </c>
      <c r="F1815" s="41">
        <v>1</v>
      </c>
      <c r="G1815" s="41">
        <f>_xlfn.XLOOKUP(
 tblCostChecklist[[#This Row],[RequirementID]],
 tblCost[RequirementID],
 tblCost[QuantityRequired],
 ""
)</f>
        <v>200</v>
      </c>
      <c r="H18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5" s="41" t="str">
        <f>_xlfn.XLOOKUP(tblCostChecklist[[#This Row],[TargetID]],tblTargetStatus[TargetID],tblTargetStatus[Status])</f>
        <v>BLOCKED</v>
      </c>
      <c r="J1815" s="25" t="b">
        <v>0</v>
      </c>
    </row>
    <row r="1816" spans="1:10">
      <c r="A1816" s="41" t="s">
        <v>5453</v>
      </c>
      <c r="B1816" s="41" t="str">
        <f>_xlfn.TEXTAFTER(
 _xlfn.TEXTBEFORE(tblCostChecklist[[#This Row],[RequirementID]],".",-2),
 "cost."
)</f>
        <v>craftifact.hotei_statuette</v>
      </c>
      <c r="C1816" s="41" t="str">
        <f>_xlfn.XLOOKUP(tblCostChecklist[[#This Row],[TargetID]],tblTargets[TargetID],tblTargets[DisplayName],"")</f>
        <v>Hotei Statuette</v>
      </c>
      <c r="D1816" s="41" t="str">
        <f>_xlfn.XLOOKUP(tblCostChecklist[[#This Row],[TargetID]],tblTargets[TargetID],tblTargets[TargetType],"")</f>
        <v>CRAFTIFACT</v>
      </c>
      <c r="E1816" s="41" t="s">
        <v>680</v>
      </c>
      <c r="F1816" s="41">
        <v>1</v>
      </c>
      <c r="G1816" s="41">
        <f>_xlfn.XLOOKUP(
 tblCostChecklist[[#This Row],[RequirementID]],
 tblCost[RequirementID],
 tblCost[QuantityRequired],
 ""
)</f>
        <v>200</v>
      </c>
      <c r="H18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6" s="41" t="str">
        <f>_xlfn.XLOOKUP(tblCostChecklist[[#This Row],[TargetID]],tblTargetStatus[TargetID],tblTargetStatus[Status])</f>
        <v>BLOCKED</v>
      </c>
      <c r="J1816" s="25" t="b">
        <v>0</v>
      </c>
    </row>
    <row r="1817" spans="1:10">
      <c r="A1817" s="41" t="s">
        <v>5454</v>
      </c>
      <c r="B1817" s="41" t="str">
        <f>_xlfn.TEXTAFTER(
 _xlfn.TEXTBEFORE(tblCostChecklist[[#This Row],[RequirementID]],".",-2),
 "cost."
)</f>
        <v>craftifact.metal_detector</v>
      </c>
      <c r="C1817" s="41" t="str">
        <f>_xlfn.XLOOKUP(tblCostChecklist[[#This Row],[TargetID]],tblTargets[TargetID],tblTargets[DisplayName],"")</f>
        <v>Metal Detector</v>
      </c>
      <c r="D1817" s="41" t="str">
        <f>_xlfn.XLOOKUP(tblCostChecklist[[#This Row],[TargetID]],tblTargets[TargetID],tblTargets[TargetType],"")</f>
        <v>CRAFTIFACT</v>
      </c>
      <c r="E1817" s="41" t="s">
        <v>655</v>
      </c>
      <c r="F1817" s="41">
        <v>1</v>
      </c>
      <c r="G1817" s="41">
        <f>_xlfn.XLOOKUP(
 tblCostChecklist[[#This Row],[RequirementID]],
 tblCost[RequirementID],
 tblCost[QuantityRequired],
 ""
)</f>
        <v>20</v>
      </c>
      <c r="H18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7" s="41" t="str">
        <f>_xlfn.XLOOKUP(tblCostChecklist[[#This Row],[TargetID]],tblTargetStatus[TargetID],tblTargetStatus[Status])</f>
        <v>BLOCKED</v>
      </c>
      <c r="J1817" s="25" t="b">
        <v>0</v>
      </c>
    </row>
    <row r="1818" spans="1:10">
      <c r="A1818" s="41" t="s">
        <v>5455</v>
      </c>
      <c r="B1818" s="41" t="str">
        <f>_xlfn.TEXTAFTER(
 _xlfn.TEXTBEFORE(tblCostChecklist[[#This Row],[RequirementID]],".",-2),
 "cost."
)</f>
        <v>craftifact.metal_detector</v>
      </c>
      <c r="C1818" s="41" t="str">
        <f>_xlfn.XLOOKUP(tblCostChecklist[[#This Row],[TargetID]],tblTargets[TargetID],tblTargets[DisplayName],"")</f>
        <v>Metal Detector</v>
      </c>
      <c r="D1818" s="41" t="str">
        <f>_xlfn.XLOOKUP(tblCostChecklist[[#This Row],[TargetID]],tblTargets[TargetID],tblTargets[TargetType],"")</f>
        <v>CRAFTIFACT</v>
      </c>
      <c r="E1818" s="41" t="s">
        <v>662</v>
      </c>
      <c r="F1818" s="41">
        <v>1</v>
      </c>
      <c r="G1818" s="41">
        <f>_xlfn.XLOOKUP(
 tblCostChecklist[[#This Row],[RequirementID]],
 tblCost[RequirementID],
 tblCost[QuantityRequired],
 ""
)</f>
        <v>30</v>
      </c>
      <c r="H18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8" s="41" t="str">
        <f>_xlfn.XLOOKUP(tblCostChecklist[[#This Row],[TargetID]],tblTargetStatus[TargetID],tblTargetStatus[Status])</f>
        <v>BLOCKED</v>
      </c>
      <c r="J1818" s="25" t="b">
        <v>0</v>
      </c>
    </row>
    <row r="1819" spans="1:10">
      <c r="A1819" s="41" t="s">
        <v>5456</v>
      </c>
      <c r="B1819" s="41" t="str">
        <f>_xlfn.TEXTAFTER(
 _xlfn.TEXTBEFORE(tblCostChecklist[[#This Row],[RequirementID]],".",-2),
 "cost."
)</f>
        <v>craftifact.metal_detector</v>
      </c>
      <c r="C1819" s="41" t="str">
        <f>_xlfn.XLOOKUP(tblCostChecklist[[#This Row],[TargetID]],tblTargets[TargetID],tblTargets[DisplayName],"")</f>
        <v>Metal Detector</v>
      </c>
      <c r="D1819" s="41" t="str">
        <f>_xlfn.XLOOKUP(tblCostChecklist[[#This Row],[TargetID]],tblTargets[TargetID],tblTargets[TargetType],"")</f>
        <v>CRAFTIFACT</v>
      </c>
      <c r="E1819" s="41" t="s">
        <v>928</v>
      </c>
      <c r="F1819" s="41">
        <v>1</v>
      </c>
      <c r="G1819" s="41">
        <f>_xlfn.XLOOKUP(
 tblCostChecklist[[#This Row],[RequirementID]],
 tblCost[RequirementID],
 tblCost[QuantityRequired],
 ""
)</f>
        <v>10</v>
      </c>
      <c r="H18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9" s="41" t="str">
        <f>_xlfn.XLOOKUP(tblCostChecklist[[#This Row],[TargetID]],tblTargetStatus[TargetID],tblTargetStatus[Status])</f>
        <v>BLOCKED</v>
      </c>
      <c r="J1819" s="25" t="b">
        <v>0</v>
      </c>
    </row>
    <row r="1820" spans="1:10">
      <c r="A1820" s="41" t="s">
        <v>5457</v>
      </c>
      <c r="B1820" s="41" t="str">
        <f>_xlfn.TEXTAFTER(
 _xlfn.TEXTBEFORE(tblCostChecklist[[#This Row],[RequirementID]],".",-2),
 "cost."
)</f>
        <v>craftifact.metal_detector</v>
      </c>
      <c r="C1820" s="41" t="str">
        <f>_xlfn.XLOOKUP(tblCostChecklist[[#This Row],[TargetID]],tblTargets[TargetID],tblTargets[DisplayName],"")</f>
        <v>Metal Detector</v>
      </c>
      <c r="D1820" s="41" t="str">
        <f>_xlfn.XLOOKUP(tblCostChecklist[[#This Row],[TargetID]],tblTargets[TargetID],tblTargets[TargetType],"")</f>
        <v>CRAFTIFACT</v>
      </c>
      <c r="E1820" s="41" t="s">
        <v>664</v>
      </c>
      <c r="F1820" s="41">
        <v>1</v>
      </c>
      <c r="G1820" s="41">
        <f>_xlfn.XLOOKUP(
 tblCostChecklist[[#This Row],[RequirementID]],
 tblCost[RequirementID],
 tblCost[QuantityRequired],
 ""
)</f>
        <v>20</v>
      </c>
      <c r="H18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0" s="41" t="str">
        <f>_xlfn.XLOOKUP(tblCostChecklist[[#This Row],[TargetID]],tblTargetStatus[TargetID],tblTargetStatus[Status])</f>
        <v>BLOCKED</v>
      </c>
      <c r="J1820" s="25" t="b">
        <v>0</v>
      </c>
    </row>
    <row r="1821" spans="1:10">
      <c r="A1821" s="41" t="s">
        <v>5458</v>
      </c>
      <c r="B1821" s="41" t="str">
        <f>_xlfn.TEXTAFTER(
 _xlfn.TEXTBEFORE(tblCostChecklist[[#This Row],[RequirementID]],".",-2),
 "cost."
)</f>
        <v>craftifact.metal_detector</v>
      </c>
      <c r="C1821" s="41" t="str">
        <f>_xlfn.XLOOKUP(tblCostChecklist[[#This Row],[TargetID]],tblTargets[TargetID],tblTargets[DisplayName],"")</f>
        <v>Metal Detector</v>
      </c>
      <c r="D1821" s="41" t="str">
        <f>_xlfn.XLOOKUP(tblCostChecklist[[#This Row],[TargetID]],tblTargets[TargetID],tblTargets[TargetType],"")</f>
        <v>CRAFTIFACT</v>
      </c>
      <c r="E1821" s="41" t="s">
        <v>687</v>
      </c>
      <c r="F1821" s="41">
        <v>1</v>
      </c>
      <c r="G1821" s="41">
        <f>_xlfn.XLOOKUP(
 tblCostChecklist[[#This Row],[RequirementID]],
 tblCost[RequirementID],
 tblCost[QuantityRequired],
 ""
)</f>
        <v>5</v>
      </c>
      <c r="H18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1" s="41" t="str">
        <f>_xlfn.XLOOKUP(tblCostChecklist[[#This Row],[TargetID]],tblTargetStatus[TargetID],tblTargetStatus[Status])</f>
        <v>BLOCKED</v>
      </c>
      <c r="J1821" s="25" t="b">
        <v>0</v>
      </c>
    </row>
    <row r="1822" spans="1:10">
      <c r="A1822" s="41" t="s">
        <v>5459</v>
      </c>
      <c r="B1822" s="41" t="str">
        <f>_xlfn.TEXTAFTER(
 _xlfn.TEXTBEFORE(tblCostChecklist[[#This Row],[RequirementID]],".",-2),
 "cost."
)</f>
        <v>craftifact.metal_detector</v>
      </c>
      <c r="C1822" s="41" t="str">
        <f>_xlfn.XLOOKUP(tblCostChecklist[[#This Row],[TargetID]],tblTargets[TargetID],tblTargets[DisplayName],"")</f>
        <v>Metal Detector</v>
      </c>
      <c r="D1822" s="41" t="str">
        <f>_xlfn.XLOOKUP(tblCostChecklist[[#This Row],[TargetID]],tblTargets[TargetID],tblTargets[TargetType],"")</f>
        <v>CRAFTIFACT</v>
      </c>
      <c r="E1822" s="41" t="s">
        <v>690</v>
      </c>
      <c r="F1822" s="41">
        <v>1</v>
      </c>
      <c r="G1822" s="41">
        <f>_xlfn.XLOOKUP(
 tblCostChecklist[[#This Row],[RequirementID]],
 tblCost[RequirementID],
 tblCost[QuantityRequired],
 ""
)</f>
        <v>30</v>
      </c>
      <c r="H18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2" s="41" t="str">
        <f>_xlfn.XLOOKUP(tblCostChecklist[[#This Row],[TargetID]],tblTargetStatus[TargetID],tblTargetStatus[Status])</f>
        <v>BLOCKED</v>
      </c>
      <c r="J1822" s="25" t="b">
        <v>0</v>
      </c>
    </row>
    <row r="1823" spans="1:10">
      <c r="A1823" s="41" t="s">
        <v>5460</v>
      </c>
      <c r="B1823" s="41" t="str">
        <f>_xlfn.TEXTAFTER(
 _xlfn.TEXTBEFORE(tblCostChecklist[[#This Row],[RequirementID]],".",-2),
 "cost."
)</f>
        <v>craftifact.metal_detector</v>
      </c>
      <c r="C1823" s="41" t="str">
        <f>_xlfn.XLOOKUP(tblCostChecklist[[#This Row],[TargetID]],tblTargets[TargetID],tblTargets[DisplayName],"")</f>
        <v>Metal Detector</v>
      </c>
      <c r="D1823" s="41" t="str">
        <f>_xlfn.XLOOKUP(tblCostChecklist[[#This Row],[TargetID]],tblTargets[TargetID],tblTargets[TargetType],"")</f>
        <v>CRAFTIFACT</v>
      </c>
      <c r="E1823" s="41" t="s">
        <v>705</v>
      </c>
      <c r="F1823" s="41">
        <v>1</v>
      </c>
      <c r="G1823" s="41">
        <f>_xlfn.XLOOKUP(
 tblCostChecklist[[#This Row],[RequirementID]],
 tblCost[RequirementID],
 tblCost[QuantityRequired],
 ""
)</f>
        <v>10</v>
      </c>
      <c r="H18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3" s="41" t="str">
        <f>_xlfn.XLOOKUP(tblCostChecklist[[#This Row],[TargetID]],tblTargetStatus[TargetID],tblTargetStatus[Status])</f>
        <v>BLOCKED</v>
      </c>
      <c r="J1823" s="25" t="b">
        <v>0</v>
      </c>
    </row>
    <row r="1824" spans="1:10">
      <c r="A1824" s="41" t="s">
        <v>5461</v>
      </c>
      <c r="B1824" s="41" t="str">
        <f>_xlfn.TEXTAFTER(
 _xlfn.TEXTBEFORE(tblCostChecklist[[#This Row],[RequirementID]],".",-2),
 "cost."
)</f>
        <v>craftifact.metal_detector</v>
      </c>
      <c r="C1824" s="41" t="str">
        <f>_xlfn.XLOOKUP(tblCostChecklist[[#This Row],[TargetID]],tblTargets[TargetID],tblTargets[DisplayName],"")</f>
        <v>Metal Detector</v>
      </c>
      <c r="D1824" s="41" t="str">
        <f>_xlfn.XLOOKUP(tblCostChecklist[[#This Row],[TargetID]],tblTargets[TargetID],tblTargets[TargetType],"")</f>
        <v>CRAFTIFACT</v>
      </c>
      <c r="E1824" s="41" t="s">
        <v>955</v>
      </c>
      <c r="F1824" s="41">
        <v>1</v>
      </c>
      <c r="G1824" s="41">
        <f>_xlfn.XLOOKUP(
 tblCostChecklist[[#This Row],[RequirementID]],
 tblCost[RequirementID],
 tblCost[QuantityRequired],
 ""
)</f>
        <v>10</v>
      </c>
      <c r="H18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4" s="41" t="str">
        <f>_xlfn.XLOOKUP(tblCostChecklist[[#This Row],[TargetID]],tblTargetStatus[TargetID],tblTargetStatus[Status])</f>
        <v>BLOCKED</v>
      </c>
      <c r="J1824" s="25" t="b">
        <v>0</v>
      </c>
    </row>
    <row r="1825" spans="1:10">
      <c r="A1825" s="41" t="s">
        <v>5462</v>
      </c>
      <c r="B1825" s="41" t="str">
        <f>_xlfn.TEXTAFTER(
 _xlfn.TEXTBEFORE(tblCostChecklist[[#This Row],[RequirementID]],".",-2),
 "cost."
)</f>
        <v>craftifact.necklace_for_haruka</v>
      </c>
      <c r="C1825" s="41" t="str">
        <f>_xlfn.XLOOKUP(tblCostChecklist[[#This Row],[TargetID]],tblTargets[TargetID],tblTargets[DisplayName],"")</f>
        <v>Necklace For Haruka</v>
      </c>
      <c r="D1825" s="41" t="str">
        <f>_xlfn.XLOOKUP(tblCostChecklist[[#This Row],[TargetID]],tblTargets[TargetID],tblTargets[TargetType],"")</f>
        <v>CRAFTIFACT</v>
      </c>
      <c r="E1825" s="41" t="s">
        <v>699</v>
      </c>
      <c r="F1825" s="41">
        <v>1</v>
      </c>
      <c r="G1825" s="41">
        <f>_xlfn.XLOOKUP(
 tblCostChecklist[[#This Row],[RequirementID]],
 tblCost[RequirementID],
 tblCost[QuantityRequired],
 ""
)</f>
        <v>50</v>
      </c>
      <c r="H18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5" s="41" t="str">
        <f>_xlfn.XLOOKUP(tblCostChecklist[[#This Row],[TargetID]],tblTargetStatus[TargetID],tblTargetStatus[Status])</f>
        <v>BLOCKED</v>
      </c>
      <c r="J1825" s="25" t="b">
        <v>0</v>
      </c>
    </row>
    <row r="1826" spans="1:10">
      <c r="A1826" s="41" t="s">
        <v>5463</v>
      </c>
      <c r="B1826" s="41" t="str">
        <f>_xlfn.TEXTAFTER(
 _xlfn.TEXTBEFORE(tblCostChecklist[[#This Row],[RequirementID]],".",-2),
 "cost."
)</f>
        <v>craftifact.necklace_for_haruka</v>
      </c>
      <c r="C1826" s="41" t="str">
        <f>_xlfn.XLOOKUP(tblCostChecklist[[#This Row],[TargetID]],tblTargets[TargetID],tblTargets[DisplayName],"")</f>
        <v>Necklace For Haruka</v>
      </c>
      <c r="D1826" s="41" t="str">
        <f>_xlfn.XLOOKUP(tblCostChecklist[[#This Row],[TargetID]],tblTargets[TargetID],tblTargets[TargetType],"")</f>
        <v>CRAFTIFACT</v>
      </c>
      <c r="E1826" s="41" t="s">
        <v>719</v>
      </c>
      <c r="F1826" s="41">
        <v>1</v>
      </c>
      <c r="G1826" s="41">
        <f>_xlfn.XLOOKUP(
 tblCostChecklist[[#This Row],[RequirementID]],
 tblCost[RequirementID],
 tblCost[QuantityRequired],
 ""
)</f>
        <v>1</v>
      </c>
      <c r="H18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6" s="41" t="str">
        <f>_xlfn.XLOOKUP(tblCostChecklist[[#This Row],[TargetID]],tblTargetStatus[TargetID],tblTargetStatus[Status])</f>
        <v>BLOCKED</v>
      </c>
      <c r="J1826" s="25" t="b">
        <v>0</v>
      </c>
    </row>
    <row r="1827" spans="1:10">
      <c r="A1827" s="41" t="s">
        <v>5464</v>
      </c>
      <c r="B1827" s="41" t="str">
        <f>_xlfn.TEXTAFTER(
 _xlfn.TEXTBEFORE(tblCostChecklist[[#This Row],[RequirementID]],".",-2),
 "cost."
)</f>
        <v>craftifact.safe</v>
      </c>
      <c r="C1827" s="41" t="str">
        <f>_xlfn.XLOOKUP(tblCostChecklist[[#This Row],[TargetID]],tblTargets[TargetID],tblTargets[DisplayName],"")</f>
        <v>Safe</v>
      </c>
      <c r="D1827" s="41" t="str">
        <f>_xlfn.XLOOKUP(tblCostChecklist[[#This Row],[TargetID]],tblTargets[TargetID],tblTargets[TargetType],"")</f>
        <v>CRAFTIFACT</v>
      </c>
      <c r="E1827" s="41" t="s">
        <v>662</v>
      </c>
      <c r="F1827" s="41">
        <v>1</v>
      </c>
      <c r="G1827" s="41">
        <f>_xlfn.XLOOKUP(
 tblCostChecklist[[#This Row],[RequirementID]],
 tblCost[RequirementID],
 tblCost[QuantityRequired],
 ""
)</f>
        <v>30</v>
      </c>
      <c r="H18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7" s="41" t="str">
        <f>_xlfn.XLOOKUP(tblCostChecklist[[#This Row],[TargetID]],tblTargetStatus[TargetID],tblTargetStatus[Status])</f>
        <v>BLOCKED</v>
      </c>
      <c r="J1827" s="25" t="b">
        <v>0</v>
      </c>
    </row>
    <row r="1828" spans="1:10">
      <c r="A1828" s="41" t="s">
        <v>5465</v>
      </c>
      <c r="B1828" s="41" t="str">
        <f>_xlfn.TEXTAFTER(
 _xlfn.TEXTBEFORE(tblCostChecklist[[#This Row],[RequirementID]],".",-2),
 "cost."
)</f>
        <v>craftifact.safe</v>
      </c>
      <c r="C1828" s="41" t="str">
        <f>_xlfn.XLOOKUP(tblCostChecklist[[#This Row],[TargetID]],tblTargets[TargetID],tblTargets[DisplayName],"")</f>
        <v>Safe</v>
      </c>
      <c r="D1828" s="41" t="str">
        <f>_xlfn.XLOOKUP(tblCostChecklist[[#This Row],[TargetID]],tblTargets[TargetID],tblTargets[TargetType],"")</f>
        <v>CRAFTIFACT</v>
      </c>
      <c r="E1828" s="41" t="s">
        <v>666</v>
      </c>
      <c r="F1828" s="41">
        <v>1</v>
      </c>
      <c r="G1828" s="41">
        <f>_xlfn.XLOOKUP(
 tblCostChecklist[[#This Row],[RequirementID]],
 tblCost[RequirementID],
 tblCost[QuantityRequired],
 ""
)</f>
        <v>500</v>
      </c>
      <c r="H18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8" s="41" t="str">
        <f>_xlfn.XLOOKUP(tblCostChecklist[[#This Row],[TargetID]],tblTargetStatus[TargetID],tblTargetStatus[Status])</f>
        <v>BLOCKED</v>
      </c>
      <c r="J1828" s="25" t="b">
        <v>0</v>
      </c>
    </row>
    <row r="1829" spans="1:10">
      <c r="A1829" s="41" t="s">
        <v>5466</v>
      </c>
      <c r="B1829" s="41" t="str">
        <f>_xlfn.TEXTAFTER(
 _xlfn.TEXTBEFORE(tblCostChecklist[[#This Row],[RequirementID]],".",-2),
 "cost."
)</f>
        <v>craftifact.safe</v>
      </c>
      <c r="C1829" s="41" t="str">
        <f>_xlfn.XLOOKUP(tblCostChecklist[[#This Row],[TargetID]],tblTargets[TargetID],tblTargets[DisplayName],"")</f>
        <v>Safe</v>
      </c>
      <c r="D1829" s="41" t="str">
        <f>_xlfn.XLOOKUP(tblCostChecklist[[#This Row],[TargetID]],tblTargets[TargetID],tblTargets[TargetType],"")</f>
        <v>CRAFTIFACT</v>
      </c>
      <c r="E1829" s="41" t="s">
        <v>686</v>
      </c>
      <c r="F1829" s="41">
        <v>1</v>
      </c>
      <c r="G1829" s="41">
        <f>_xlfn.XLOOKUP(
 tblCostChecklist[[#This Row],[RequirementID]],
 tblCost[RequirementID],
 tblCost[QuantityRequired],
 ""
)</f>
        <v>10</v>
      </c>
      <c r="H18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9" s="41" t="str">
        <f>_xlfn.XLOOKUP(tblCostChecklist[[#This Row],[TargetID]],tblTargetStatus[TargetID],tblTargetStatus[Status])</f>
        <v>BLOCKED</v>
      </c>
      <c r="J1829" s="25" t="b">
        <v>0</v>
      </c>
    </row>
    <row r="1830" spans="1:10">
      <c r="A1830" s="41" t="s">
        <v>5467</v>
      </c>
      <c r="B1830" s="41" t="str">
        <f>_xlfn.TEXTAFTER(
 _xlfn.TEXTBEFORE(tblCostChecklist[[#This Row],[RequirementID]],".",-2),
 "cost."
)</f>
        <v>craftifact.safe</v>
      </c>
      <c r="C1830" s="41" t="str">
        <f>_xlfn.XLOOKUP(tblCostChecklist[[#This Row],[TargetID]],tblTargets[TargetID],tblTargets[DisplayName],"")</f>
        <v>Safe</v>
      </c>
      <c r="D1830" s="41" t="str">
        <f>_xlfn.XLOOKUP(tblCostChecklist[[#This Row],[TargetID]],tblTargets[TargetID],tblTargets[TargetType],"")</f>
        <v>CRAFTIFACT</v>
      </c>
      <c r="E1830" s="41" t="s">
        <v>693</v>
      </c>
      <c r="F1830" s="41">
        <v>1</v>
      </c>
      <c r="G1830" s="41">
        <f>_xlfn.XLOOKUP(
 tblCostChecklist[[#This Row],[RequirementID]],
 tblCost[RequirementID],
 tblCost[QuantityRequired],
 ""
)</f>
        <v>50</v>
      </c>
      <c r="H18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0" s="41" t="str">
        <f>_xlfn.XLOOKUP(tblCostChecklist[[#This Row],[TargetID]],tblTargetStatus[TargetID],tblTargetStatus[Status])</f>
        <v>BLOCKED</v>
      </c>
      <c r="J1830" s="25" t="b">
        <v>0</v>
      </c>
    </row>
    <row r="1831" spans="1:10">
      <c r="A1831" s="41" t="s">
        <v>5468</v>
      </c>
      <c r="B1831" s="41" t="str">
        <f>_xlfn.TEXTAFTER(
 _xlfn.TEXTBEFORE(tblCostChecklist[[#This Row],[RequirementID]],".",-2),
 "cost."
)</f>
        <v>craftifact.safe</v>
      </c>
      <c r="C1831" s="41" t="str">
        <f>_xlfn.XLOOKUP(tblCostChecklist[[#This Row],[TargetID]],tblTargets[TargetID],tblTargets[DisplayName],"")</f>
        <v>Safe</v>
      </c>
      <c r="D1831" s="41" t="str">
        <f>_xlfn.XLOOKUP(tblCostChecklist[[#This Row],[TargetID]],tblTargets[TargetID],tblTargets[TargetType],"")</f>
        <v>CRAFTIFACT</v>
      </c>
      <c r="E1831" s="41" t="s">
        <v>716</v>
      </c>
      <c r="F1831" s="41">
        <v>1</v>
      </c>
      <c r="G1831" s="41">
        <f>_xlfn.XLOOKUP(
 tblCostChecklist[[#This Row],[RequirementID]],
 tblCost[RequirementID],
 tblCost[QuantityRequired],
 ""
)</f>
        <v>500</v>
      </c>
      <c r="H18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1" s="41" t="str">
        <f>_xlfn.XLOOKUP(tblCostChecklist[[#This Row],[TargetID]],tblTargetStatus[TargetID],tblTargetStatus[Status])</f>
        <v>BLOCKED</v>
      </c>
      <c r="J1831" s="25" t="b">
        <v>0</v>
      </c>
    </row>
    <row r="1832" spans="1:10">
      <c r="A1832" s="41" t="s">
        <v>5469</v>
      </c>
      <c r="B1832" s="41" t="str">
        <f>_xlfn.TEXTAFTER(
 _xlfn.TEXTBEFORE(tblCostChecklist[[#This Row],[RequirementID]],".",-2),
 "cost."
)</f>
        <v>craftifact.solver_1_prototype</v>
      </c>
      <c r="C1832" s="41" t="str">
        <f>_xlfn.XLOOKUP(tblCostChecklist[[#This Row],[TargetID]],tblTargets[TargetID],tblTargets[DisplayName],"")</f>
        <v>Solver 1 Prototype</v>
      </c>
      <c r="D1832" s="41" t="str">
        <f>_xlfn.XLOOKUP(tblCostChecklist[[#This Row],[TargetID]],tblTargets[TargetID],tblTargets[TargetType],"")</f>
        <v>CRAFTIFACT</v>
      </c>
      <c r="E1832" s="41" t="s">
        <v>662</v>
      </c>
      <c r="F1832" s="41">
        <v>1</v>
      </c>
      <c r="G1832" s="41">
        <f>_xlfn.XLOOKUP(
 tblCostChecklist[[#This Row],[RequirementID]],
 tblCost[RequirementID],
 tblCost[QuantityRequired],
 ""
)</f>
        <v>32</v>
      </c>
      <c r="H18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2" s="41" t="str">
        <f>_xlfn.XLOOKUP(tblCostChecklist[[#This Row],[TargetID]],tblTargetStatus[TargetID],tblTargetStatus[Status])</f>
        <v>BLOCKED</v>
      </c>
      <c r="J1832" s="25" t="b">
        <v>0</v>
      </c>
    </row>
    <row r="1833" spans="1:10">
      <c r="A1833" s="41" t="s">
        <v>5470</v>
      </c>
      <c r="B1833" s="41" t="str">
        <f>_xlfn.TEXTAFTER(
 _xlfn.TEXTBEFORE(tblCostChecklist[[#This Row],[RequirementID]],".",-2),
 "cost."
)</f>
        <v>craftifact.solver_1_prototype</v>
      </c>
      <c r="C1833" s="41" t="str">
        <f>_xlfn.XLOOKUP(tblCostChecklist[[#This Row],[TargetID]],tblTargets[TargetID],tblTargets[DisplayName],"")</f>
        <v>Solver 1 Prototype</v>
      </c>
      <c r="D1833" s="41" t="str">
        <f>_xlfn.XLOOKUP(tblCostChecklist[[#This Row],[TargetID]],tblTargets[TargetID],tblTargets[TargetType],"")</f>
        <v>CRAFTIFACT</v>
      </c>
      <c r="E1833" s="41" t="s">
        <v>680</v>
      </c>
      <c r="F1833" s="41">
        <v>1</v>
      </c>
      <c r="G1833" s="41">
        <f>_xlfn.XLOOKUP(
 tblCostChecklist[[#This Row],[RequirementID]],
 tblCost[RequirementID],
 tblCost[QuantityRequired],
 ""
)</f>
        <v>16</v>
      </c>
      <c r="H18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3" s="41" t="str">
        <f>_xlfn.XLOOKUP(tblCostChecklist[[#This Row],[TargetID]],tblTargetStatus[TargetID],tblTargetStatus[Status])</f>
        <v>BLOCKED</v>
      </c>
      <c r="J1833" s="25" t="b">
        <v>0</v>
      </c>
    </row>
    <row r="1834" spans="1:10">
      <c r="A1834" s="41" t="s">
        <v>5471</v>
      </c>
      <c r="B1834" s="41" t="str">
        <f>_xlfn.TEXTAFTER(
 _xlfn.TEXTBEFORE(tblCostChecklist[[#This Row],[RequirementID]],".",-2),
 "cost."
)</f>
        <v>craftifact.solver_1_prototype</v>
      </c>
      <c r="C1834" s="41" t="str">
        <f>_xlfn.XLOOKUP(tblCostChecklist[[#This Row],[TargetID]],tblTargets[TargetID],tblTargets[DisplayName],"")</f>
        <v>Solver 1 Prototype</v>
      </c>
      <c r="D1834" s="41" t="str">
        <f>_xlfn.XLOOKUP(tblCostChecklist[[#This Row],[TargetID]],tblTargets[TargetID],tblTargets[TargetType],"")</f>
        <v>CRAFTIFACT</v>
      </c>
      <c r="E1834" s="41" t="s">
        <v>685</v>
      </c>
      <c r="F1834" s="41">
        <v>1</v>
      </c>
      <c r="G1834" s="41">
        <f>_xlfn.XLOOKUP(
 tblCostChecklist[[#This Row],[RequirementID]],
 tblCost[RequirementID],
 tblCost[QuantityRequired],
 ""
)</f>
        <v>8</v>
      </c>
      <c r="H18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4" s="41" t="str">
        <f>_xlfn.XLOOKUP(tblCostChecklist[[#This Row],[TargetID]],tblTargetStatus[TargetID],tblTargetStatus[Status])</f>
        <v>BLOCKED</v>
      </c>
      <c r="J1834" s="25" t="b">
        <v>0</v>
      </c>
    </row>
    <row r="1835" spans="1:10">
      <c r="A1835" s="41" t="s">
        <v>5472</v>
      </c>
      <c r="B1835" s="41" t="str">
        <f>_xlfn.TEXTAFTER(
 _xlfn.TEXTBEFORE(tblCostChecklist[[#This Row],[RequirementID]],".",-2),
 "cost."
)</f>
        <v>craftifact.solver_1_prototype</v>
      </c>
      <c r="C1835" s="41" t="str">
        <f>_xlfn.XLOOKUP(tblCostChecklist[[#This Row],[TargetID]],tblTargets[TargetID],tblTargets[DisplayName],"")</f>
        <v>Solver 1 Prototype</v>
      </c>
      <c r="D1835" s="41" t="str">
        <f>_xlfn.XLOOKUP(tblCostChecklist[[#This Row],[TargetID]],tblTargets[TargetID],tblTargets[TargetType],"")</f>
        <v>CRAFTIFACT</v>
      </c>
      <c r="E1835" s="41" t="s">
        <v>686</v>
      </c>
      <c r="F1835" s="41">
        <v>1</v>
      </c>
      <c r="G1835" s="41">
        <f>_xlfn.XLOOKUP(
 tblCostChecklist[[#This Row],[RequirementID]],
 tblCost[RequirementID],
 tblCost[QuantityRequired],
 ""
)</f>
        <v>16</v>
      </c>
      <c r="H18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5" s="41" t="str">
        <f>_xlfn.XLOOKUP(tblCostChecklist[[#This Row],[TargetID]],tblTargetStatus[TargetID],tblTargetStatus[Status])</f>
        <v>BLOCKED</v>
      </c>
      <c r="J1835" s="25" t="b">
        <v>0</v>
      </c>
    </row>
    <row r="1836" spans="1:10">
      <c r="A1836" s="41" t="s">
        <v>5473</v>
      </c>
      <c r="B1836" s="41" t="str">
        <f>_xlfn.TEXTAFTER(
 _xlfn.TEXTBEFORE(tblCostChecklist[[#This Row],[RequirementID]],".",-2),
 "cost."
)</f>
        <v>craftifact.solver_1_prototype</v>
      </c>
      <c r="C1836" s="41" t="str">
        <f>_xlfn.XLOOKUP(tblCostChecklist[[#This Row],[TargetID]],tblTargets[TargetID],tblTargets[DisplayName],"")</f>
        <v>Solver 1 Prototype</v>
      </c>
      <c r="D1836" s="41" t="str">
        <f>_xlfn.XLOOKUP(tblCostChecklist[[#This Row],[TargetID]],tblTargets[TargetID],tblTargets[TargetType],"")</f>
        <v>CRAFTIFACT</v>
      </c>
      <c r="E1836" s="41" t="s">
        <v>698</v>
      </c>
      <c r="F1836" s="41">
        <v>1</v>
      </c>
      <c r="G1836" s="41">
        <f>_xlfn.XLOOKUP(
 tblCostChecklist[[#This Row],[RequirementID]],
 tblCost[RequirementID],
 tblCost[QuantityRequired],
 ""
)</f>
        <v>4</v>
      </c>
      <c r="H18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6" s="41" t="str">
        <f>_xlfn.XLOOKUP(tblCostChecklist[[#This Row],[TargetID]],tblTargetStatus[TargetID],tblTargetStatus[Status])</f>
        <v>BLOCKED</v>
      </c>
      <c r="J1836" s="25" t="b">
        <v>0</v>
      </c>
    </row>
    <row r="1837" spans="1:10">
      <c r="A1837" s="41" t="s">
        <v>5474</v>
      </c>
      <c r="B1837" s="41" t="str">
        <f>_xlfn.TEXTAFTER(
 _xlfn.TEXTBEFORE(tblCostChecklist[[#This Row],[RequirementID]],".",-2),
 "cost."
)</f>
        <v>craftifact.solver_1_prototype</v>
      </c>
      <c r="C1837" s="41" t="str">
        <f>_xlfn.XLOOKUP(tblCostChecklist[[#This Row],[TargetID]],tblTargets[TargetID],tblTargets[DisplayName],"")</f>
        <v>Solver 1 Prototype</v>
      </c>
      <c r="D1837" s="41" t="str">
        <f>_xlfn.XLOOKUP(tblCostChecklist[[#This Row],[TargetID]],tblTargets[TargetID],tblTargets[TargetType],"")</f>
        <v>CRAFTIFACT</v>
      </c>
      <c r="E1837" s="41" t="s">
        <v>955</v>
      </c>
      <c r="F1837" s="41">
        <v>1</v>
      </c>
      <c r="G1837" s="41">
        <f>_xlfn.XLOOKUP(
 tblCostChecklist[[#This Row],[RequirementID]],
 tblCost[RequirementID],
 tblCost[QuantityRequired],
 ""
)</f>
        <v>40</v>
      </c>
      <c r="H18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7" s="41" t="str">
        <f>_xlfn.XLOOKUP(tblCostChecklist[[#This Row],[TargetID]],tblTargetStatus[TargetID],tblTargetStatus[Status])</f>
        <v>BLOCKED</v>
      </c>
      <c r="J1837" s="25" t="b">
        <v>0</v>
      </c>
    </row>
    <row r="1838" spans="1:10">
      <c r="A1838" s="41" t="s">
        <v>5475</v>
      </c>
      <c r="B1838" s="41" t="str">
        <f>_xlfn.TEXTAFTER(
 _xlfn.TEXTBEFORE(tblCostChecklist[[#This Row],[RequirementID]],".",-2),
 "cost."
)</f>
        <v>craftifact.telescope</v>
      </c>
      <c r="C1838" s="41" t="str">
        <f>_xlfn.XLOOKUP(tblCostChecklist[[#This Row],[TargetID]],tblTargets[TargetID],tblTargets[DisplayName],"")</f>
        <v>Telescope</v>
      </c>
      <c r="D1838" s="41" t="str">
        <f>_xlfn.XLOOKUP(tblCostChecklist[[#This Row],[TargetID]],tblTargets[TargetID],tblTargets[TargetType],"")</f>
        <v>CRAFTIFACT</v>
      </c>
      <c r="E1838" s="41" t="s">
        <v>662</v>
      </c>
      <c r="F1838" s="41">
        <v>1</v>
      </c>
      <c r="G1838" s="41">
        <f>_xlfn.XLOOKUP(
 tblCostChecklist[[#This Row],[RequirementID]],
 tblCost[RequirementID],
 tblCost[QuantityRequired],
 ""
)</f>
        <v>40</v>
      </c>
      <c r="H18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8" s="41" t="str">
        <f>_xlfn.XLOOKUP(tblCostChecklist[[#This Row],[TargetID]],tblTargetStatus[TargetID],tblTargetStatus[Status])</f>
        <v>BLOCKED</v>
      </c>
      <c r="J1838" s="25" t="b">
        <v>0</v>
      </c>
    </row>
    <row r="1839" spans="1:10">
      <c r="A1839" s="41" t="s">
        <v>5476</v>
      </c>
      <c r="B1839" s="41" t="str">
        <f>_xlfn.TEXTAFTER(
 _xlfn.TEXTBEFORE(tblCostChecklist[[#This Row],[RequirementID]],".",-2),
 "cost."
)</f>
        <v>craftifact.telescope</v>
      </c>
      <c r="C1839" s="41" t="str">
        <f>_xlfn.XLOOKUP(tblCostChecklist[[#This Row],[TargetID]],tblTargets[TargetID],tblTargets[DisplayName],"")</f>
        <v>Telescope</v>
      </c>
      <c r="D1839" s="41" t="str">
        <f>_xlfn.XLOOKUP(tblCostChecklist[[#This Row],[TargetID]],tblTargets[TargetID],tblTargets[TargetType],"")</f>
        <v>CRAFTIFACT</v>
      </c>
      <c r="E1839" s="41" t="s">
        <v>674</v>
      </c>
      <c r="F1839" s="41">
        <v>1</v>
      </c>
      <c r="G1839" s="41">
        <f>_xlfn.XLOOKUP(
 tblCostChecklist[[#This Row],[RequirementID]],
 tblCost[RequirementID],
 tblCost[QuantityRequired],
 ""
)</f>
        <v>60</v>
      </c>
      <c r="H18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9" s="41" t="str">
        <f>_xlfn.XLOOKUP(tblCostChecklist[[#This Row],[TargetID]],tblTargetStatus[TargetID],tblTargetStatus[Status])</f>
        <v>BLOCKED</v>
      </c>
      <c r="J1839" s="25" t="b">
        <v>0</v>
      </c>
    </row>
    <row r="1840" spans="1:10">
      <c r="A1840" s="41" t="s">
        <v>5477</v>
      </c>
      <c r="B1840" s="41" t="str">
        <f>_xlfn.TEXTAFTER(
 _xlfn.TEXTBEFORE(tblCostChecklist[[#This Row],[RequirementID]],".",-2),
 "cost."
)</f>
        <v>craftifact.telescope</v>
      </c>
      <c r="C1840" s="41" t="str">
        <f>_xlfn.XLOOKUP(tblCostChecklist[[#This Row],[TargetID]],tblTargets[TargetID],tblTargets[DisplayName],"")</f>
        <v>Telescope</v>
      </c>
      <c r="D1840" s="41" t="str">
        <f>_xlfn.XLOOKUP(tblCostChecklist[[#This Row],[TargetID]],tblTargets[TargetID],tblTargets[TargetType],"")</f>
        <v>CRAFTIFACT</v>
      </c>
      <c r="E1840" s="41" t="s">
        <v>686</v>
      </c>
      <c r="F1840" s="41">
        <v>1</v>
      </c>
      <c r="G1840" s="41">
        <f>_xlfn.XLOOKUP(
 tblCostChecklist[[#This Row],[RequirementID]],
 tblCost[RequirementID],
 tblCost[QuantityRequired],
 ""
)</f>
        <v>20</v>
      </c>
      <c r="H18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0" s="41" t="str">
        <f>_xlfn.XLOOKUP(tblCostChecklist[[#This Row],[TargetID]],tblTargetStatus[TargetID],tblTargetStatus[Status])</f>
        <v>BLOCKED</v>
      </c>
      <c r="J1840" s="25" t="b">
        <v>0</v>
      </c>
    </row>
    <row r="1841" spans="1:12">
      <c r="A1841" s="41" t="s">
        <v>5478</v>
      </c>
      <c r="B1841" s="41" t="str">
        <f>_xlfn.TEXTAFTER(
 _xlfn.TEXTBEFORE(tblCostChecklist[[#This Row],[RequirementID]],".",-2),
 "cost."
)</f>
        <v>craftifact.telescope</v>
      </c>
      <c r="C1841" s="41" t="str">
        <f>_xlfn.XLOOKUP(tblCostChecklist[[#This Row],[TargetID]],tblTargets[TargetID],tblTargets[DisplayName],"")</f>
        <v>Telescope</v>
      </c>
      <c r="D1841" s="41" t="str">
        <f>_xlfn.XLOOKUP(tblCostChecklist[[#This Row],[TargetID]],tblTargets[TargetID],tblTargets[TargetType],"")</f>
        <v>CRAFTIFACT</v>
      </c>
      <c r="E1841" s="41" t="s">
        <v>708</v>
      </c>
      <c r="F1841" s="41">
        <v>1</v>
      </c>
      <c r="G1841" s="41">
        <f>_xlfn.XLOOKUP(
 tblCostChecklist[[#This Row],[RequirementID]],
 tblCost[RequirementID],
 tblCost[QuantityRequired],
 ""
)</f>
        <v>5</v>
      </c>
      <c r="H18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1" s="41" t="str">
        <f>_xlfn.XLOOKUP(tblCostChecklist[[#This Row],[TargetID]],tblTargetStatus[TargetID],tblTargetStatus[Status])</f>
        <v>BLOCKED</v>
      </c>
      <c r="J1841" s="25" t="b">
        <v>0</v>
      </c>
    </row>
    <row r="1842" spans="1:12">
      <c r="A1842" s="41" t="s">
        <v>5479</v>
      </c>
      <c r="B1842" s="41" t="str">
        <f>_xlfn.TEXTAFTER(
 _xlfn.TEXTBEFORE(tblCostChecklist[[#This Row],[RequirementID]],".",-2),
 "cost."
)</f>
        <v>craftifact.tetrachloroaurate</v>
      </c>
      <c r="C1842" s="41" t="str">
        <f>_xlfn.XLOOKUP(tblCostChecklist[[#This Row],[TargetID]],tblTargets[TargetID],tblTargets[DisplayName],"")</f>
        <v>Tetrachloroaurate</v>
      </c>
      <c r="D1842" s="41" t="str">
        <f>_xlfn.XLOOKUP(tblCostChecklist[[#This Row],[TargetID]],tblTargets[TargetID],tblTargets[TargetType],"")</f>
        <v>CRAFTIFACT</v>
      </c>
      <c r="E1842" s="41" t="s">
        <v>928</v>
      </c>
      <c r="F1842" s="41">
        <v>1</v>
      </c>
      <c r="G1842" s="41">
        <f>_xlfn.XLOOKUP(
 tblCostChecklist[[#This Row],[RequirementID]],
 tblCost[RequirementID],
 tblCost[QuantityRequired],
 ""
)</f>
        <v>30</v>
      </c>
      <c r="H18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2" s="41" t="str">
        <f>_xlfn.XLOOKUP(tblCostChecklist[[#This Row],[TargetID]],tblTargetStatus[TargetID],tblTargetStatus[Status])</f>
        <v>BLOCKED</v>
      </c>
      <c r="J1842" s="25" t="b">
        <v>0</v>
      </c>
    </row>
    <row r="1843" spans="1:12">
      <c r="A1843" s="41" t="s">
        <v>5480</v>
      </c>
      <c r="B1843" s="41" t="str">
        <f>_xlfn.TEXTAFTER(
 _xlfn.TEXTBEFORE(tblCostChecklist[[#This Row],[RequirementID]],".",-2),
 "cost."
)</f>
        <v>craftifact.tetrachloroaurate</v>
      </c>
      <c r="C1843" s="41" t="str">
        <f>_xlfn.XLOOKUP(tblCostChecklist[[#This Row],[TargetID]],tblTargets[TargetID],tblTargets[DisplayName],"")</f>
        <v>Tetrachloroaurate</v>
      </c>
      <c r="D1843" s="41" t="str">
        <f>_xlfn.XLOOKUP(tblCostChecklist[[#This Row],[TargetID]],tblTargets[TargetID],tblTargets[TargetType],"")</f>
        <v>CRAFTIFACT</v>
      </c>
      <c r="E1843" s="41" t="s">
        <v>664</v>
      </c>
      <c r="F1843" s="41">
        <v>1</v>
      </c>
      <c r="G1843" s="41">
        <f>_xlfn.XLOOKUP(
 tblCostChecklist[[#This Row],[RequirementID]],
 tblCost[RequirementID],
 tblCost[QuantityRequired],
 ""
)</f>
        <v>50</v>
      </c>
      <c r="H18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3" s="41" t="str">
        <f>_xlfn.XLOOKUP(tblCostChecklist[[#This Row],[TargetID]],tblTargetStatus[TargetID],tblTargetStatus[Status])</f>
        <v>BLOCKED</v>
      </c>
      <c r="J1843" s="25" t="b">
        <v>0</v>
      </c>
    </row>
    <row r="1844" spans="1:12">
      <c r="A1844" s="41" t="s">
        <v>5481</v>
      </c>
      <c r="B1844" s="41" t="str">
        <f>_xlfn.TEXTAFTER(
 _xlfn.TEXTBEFORE(tblCostChecklist[[#This Row],[RequirementID]],".",-2),
 "cost."
)</f>
        <v>craftifact.tetrachloroaurate</v>
      </c>
      <c r="C1844" s="41" t="str">
        <f>_xlfn.XLOOKUP(tblCostChecklist[[#This Row],[TargetID]],tblTargets[TargetID],tblTargets[DisplayName],"")</f>
        <v>Tetrachloroaurate</v>
      </c>
      <c r="D1844" s="41" t="str">
        <f>_xlfn.XLOOKUP(tblCostChecklist[[#This Row],[TargetID]],tblTargets[TargetID],tblTargets[TargetType],"")</f>
        <v>CRAFTIFACT</v>
      </c>
      <c r="E1844" s="41" t="s">
        <v>674</v>
      </c>
      <c r="F1844" s="41">
        <v>1</v>
      </c>
      <c r="G1844" s="41">
        <f>_xlfn.XLOOKUP(
 tblCostChecklist[[#This Row],[RequirementID]],
 tblCost[RequirementID],
 tblCost[QuantityRequired],
 ""
)</f>
        <v>30</v>
      </c>
      <c r="H18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4" s="41" t="str">
        <f>_xlfn.XLOOKUP(tblCostChecklist[[#This Row],[TargetID]],tblTargetStatus[TargetID],tblTargetStatus[Status])</f>
        <v>BLOCKED</v>
      </c>
      <c r="J1844" s="25" t="b">
        <v>0</v>
      </c>
    </row>
    <row r="1845" spans="1:12">
      <c r="A1845" s="41" t="s">
        <v>5482</v>
      </c>
      <c r="B1845" s="41" t="str">
        <f>_xlfn.TEXTAFTER(
 _xlfn.TEXTBEFORE(tblCostChecklist[[#This Row],[RequirementID]],".",-2),
 "cost."
)</f>
        <v>craftifact.tetrachloroaurate</v>
      </c>
      <c r="C1845" s="41" t="str">
        <f>_xlfn.XLOOKUP(tblCostChecklist[[#This Row],[TargetID]],tblTargets[TargetID],tblTargets[DisplayName],"")</f>
        <v>Tetrachloroaurate</v>
      </c>
      <c r="D1845" s="41" t="str">
        <f>_xlfn.XLOOKUP(tblCostChecklist[[#This Row],[TargetID]],tblTargets[TargetID],tblTargets[TargetType],"")</f>
        <v>CRAFTIFACT</v>
      </c>
      <c r="E1845" s="41" t="s">
        <v>680</v>
      </c>
      <c r="F1845" s="41">
        <v>1</v>
      </c>
      <c r="G1845" s="41">
        <f>_xlfn.XLOOKUP(
 tblCostChecklist[[#This Row],[RequirementID]],
 tblCost[RequirementID],
 tblCost[QuantityRequired],
 ""
)</f>
        <v>50</v>
      </c>
      <c r="H18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5" s="41" t="str">
        <f>_xlfn.XLOOKUP(tblCostChecklist[[#This Row],[TargetID]],tblTargetStatus[TargetID],tblTargetStatus[Status])</f>
        <v>BLOCKED</v>
      </c>
      <c r="J1845" s="25" t="b">
        <v>0</v>
      </c>
    </row>
    <row r="1846" spans="1:12">
      <c r="A1846" s="41" t="s">
        <v>5483</v>
      </c>
      <c r="B1846" s="41" t="str">
        <f>_xlfn.TEXTAFTER(
 _xlfn.TEXTBEFORE(tblCostChecklist[[#This Row],[RequirementID]],".",-2),
 "cost."
)</f>
        <v>craftifact.tetrachloroaurate</v>
      </c>
      <c r="C1846" s="41" t="str">
        <f>_xlfn.XLOOKUP(tblCostChecklist[[#This Row],[TargetID]],tblTargets[TargetID],tblTargets[DisplayName],"")</f>
        <v>Tetrachloroaurate</v>
      </c>
      <c r="D1846" s="41" t="str">
        <f>_xlfn.XLOOKUP(tblCostChecklist[[#This Row],[TargetID]],tblTargets[TargetID],tblTargets[TargetType],"")</f>
        <v>CRAFTIFACT</v>
      </c>
      <c r="E1846" s="41" t="s">
        <v>705</v>
      </c>
      <c r="F1846" s="41">
        <v>1</v>
      </c>
      <c r="G1846" s="41">
        <f>_xlfn.XLOOKUP(
 tblCostChecklist[[#This Row],[RequirementID]],
 tblCost[RequirementID],
 tblCost[QuantityRequired],
 ""
)</f>
        <v>40</v>
      </c>
      <c r="H18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6" s="41" t="str">
        <f>_xlfn.XLOOKUP(tblCostChecklist[[#This Row],[TargetID]],tblTargetStatus[TargetID],tblTargetStatus[Status])</f>
        <v>BLOCKED</v>
      </c>
      <c r="J1846" s="25" t="b">
        <v>0</v>
      </c>
    </row>
    <row r="1847" spans="1:12">
      <c r="A1847" s="41" t="s">
        <v>5484</v>
      </c>
      <c r="B1847" s="41" t="str">
        <f>_xlfn.TEXTAFTER(
 _xlfn.TEXTBEFORE(tblCostChecklist[[#This Row],[RequirementID]],".",-2),
 "cost."
)</f>
        <v>craftifact.trigonometry</v>
      </c>
      <c r="C1847" s="41" t="str">
        <f>_xlfn.XLOOKUP(tblCostChecklist[[#This Row],[TargetID]],tblTargets[TargetID],tblTargets[DisplayName],"")</f>
        <v>Trigonometry</v>
      </c>
      <c r="D1847" s="41" t="str">
        <f>_xlfn.XLOOKUP(tblCostChecklist[[#This Row],[TargetID]],tblTargets[TargetID],tblTargets[TargetType],"")</f>
        <v>CRAFTIFACT</v>
      </c>
      <c r="E1847" s="41" t="s">
        <v>696</v>
      </c>
      <c r="F1847" s="41">
        <v>1</v>
      </c>
      <c r="G1847" s="41">
        <f>_xlfn.XLOOKUP(
 tblCostChecklist[[#This Row],[RequirementID]],
 tblCost[RequirementID],
 tblCost[QuantityRequired],
 ""
)</f>
        <v>60</v>
      </c>
      <c r="H18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7" s="41" t="str">
        <f>_xlfn.XLOOKUP(tblCostChecklist[[#This Row],[TargetID]],tblTargetStatus[TargetID],tblTargetStatus[Status])</f>
        <v>BLOCKED</v>
      </c>
      <c r="J1847" s="25" t="b">
        <v>0</v>
      </c>
    </row>
    <row r="1848" spans="1:12">
      <c r="A1848" s="41" t="s">
        <v>5485</v>
      </c>
      <c r="B1848" s="41" t="str">
        <f>_xlfn.TEXTAFTER(
 _xlfn.TEXTBEFORE(tblCostChecklist[[#This Row],[RequirementID]],".",-2),
 "cost."
)</f>
        <v>craftifact.trigonometry</v>
      </c>
      <c r="C1848" s="41" t="str">
        <f>_xlfn.XLOOKUP(tblCostChecklist[[#This Row],[TargetID]],tblTargets[TargetID],tblTargets[DisplayName],"")</f>
        <v>Trigonometry</v>
      </c>
      <c r="D1848" s="41" t="str">
        <f>_xlfn.XLOOKUP(tblCostChecklist[[#This Row],[TargetID]],tblTargets[TargetID],tblTargets[TargetType],"")</f>
        <v>CRAFTIFACT</v>
      </c>
      <c r="E1848" s="41" t="s">
        <v>710</v>
      </c>
      <c r="F1848" s="41">
        <v>1</v>
      </c>
      <c r="G1848" s="41">
        <f>_xlfn.XLOOKUP(
 tblCostChecklist[[#This Row],[RequirementID]],
 tblCost[RequirementID],
 tblCost[QuantityRequired],
 ""
)</f>
        <v>1</v>
      </c>
      <c r="H18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8" s="41" t="str">
        <f>_xlfn.XLOOKUP(tblCostChecklist[[#This Row],[TargetID]],tblTargetStatus[TargetID],tblTargetStatus[Status])</f>
        <v>BLOCKED</v>
      </c>
      <c r="J1848" s="25" t="b">
        <v>0</v>
      </c>
      <c r="L1848" t="str">
        <f>_xlfn.REGEXREPLACE(tblCostChecklist[[#This Row],[RequirementID]],"finished","accepted")</f>
        <v>cost.craftifact.trigonometry.scroll.1</v>
      </c>
    </row>
    <row r="1849" spans="1:12">
      <c r="A1849" s="41" t="s">
        <v>5814</v>
      </c>
      <c r="B1849" s="41" t="str">
        <f>_xlfn.TEXTAFTER(
 _xlfn.TEXTBEFORE(tblCostChecklist[[#This Row],[RequirementID]],".",-2),
 "cost."
)</f>
        <v>quest.ahead_of_time_chapter_1.finished</v>
      </c>
      <c r="C1849" s="41" t="str">
        <f>_xlfn.XLOOKUP(tblCostChecklist[[#This Row],[TargetID]],tblTargets[TargetID],tblTargets[DisplayName],"")</f>
        <v>Ahead of Time Chapter 1 Finished</v>
      </c>
      <c r="D1849" s="41" t="str">
        <f>_xlfn.XLOOKUP(tblCostChecklist[[#This Row],[TargetID]],tblTargets[TargetID],tblTargets[TargetType],"")</f>
        <v>QUEST</v>
      </c>
      <c r="E1849" s="41" t="s">
        <v>5815</v>
      </c>
      <c r="F1849" s="41">
        <v>1</v>
      </c>
      <c r="G1849" s="41">
        <f>_xlfn.XLOOKUP(
 tblCostChecklist[[#This Row],[RequirementID]],
 tblCost[RequirementID],
 tblCost[QuantityRequired],
 ""
)</f>
        <v>1</v>
      </c>
      <c r="H18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9" s="41" t="str">
        <f>_xlfn.XLOOKUP(tblCostChecklist[[#This Row],[TargetID]],tblTargetStatus[TargetID],tblTargetStatus[Status])</f>
        <v>BLOCKED</v>
      </c>
      <c r="J1849" s="25" t="b">
        <v>0</v>
      </c>
      <c r="L1849" t="str">
        <f>_xlfn.REGEXREPLACE(tblCostChecklist[[#This Row],[RequirementID]],"finished","accepted")</f>
        <v>cost.quest.ahead_of_time_chapter_1.accepted.pbr.1</v>
      </c>
    </row>
    <row r="1850" spans="1:12">
      <c r="A1850" s="41" t="s">
        <v>5816</v>
      </c>
      <c r="B1850" s="41" t="str">
        <f>_xlfn.TEXTAFTER(
 _xlfn.TEXTBEFORE(tblCostChecklist[[#This Row],[RequirementID]],".",-2),
 "cost."
)</f>
        <v>quest.ahead_of_time_chapter_1.finished</v>
      </c>
      <c r="C1850" s="41" t="str">
        <f>_xlfn.XLOOKUP(tblCostChecklist[[#This Row],[TargetID]],tblTargets[TargetID],tblTargets[DisplayName],"")</f>
        <v>Ahead of Time Chapter 1 Finished</v>
      </c>
      <c r="D1850" s="41" t="str">
        <f>_xlfn.XLOOKUP(tblCostChecklist[[#This Row],[TargetID]],tblTargets[TargetID],tblTargets[TargetType],"")</f>
        <v>QUEST</v>
      </c>
      <c r="E1850" s="41" t="s">
        <v>939</v>
      </c>
      <c r="F1850" s="41">
        <v>1</v>
      </c>
      <c r="G1850" s="41">
        <f>_xlfn.XLOOKUP(
 tblCostChecklist[[#This Row],[RequirementID]],
 tblCost[RequirementID],
 tblCost[QuantityRequired],
 ""
)</f>
        <v>1</v>
      </c>
      <c r="H18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0" s="41" t="str">
        <f>_xlfn.XLOOKUP(tblCostChecklist[[#This Row],[TargetID]],tblTargetStatus[TargetID],tblTargetStatus[Status])</f>
        <v>BLOCKED</v>
      </c>
      <c r="J1850" s="25" t="b">
        <v>0</v>
      </c>
    </row>
    <row r="1851" spans="1:12">
      <c r="A1851" s="41" t="s">
        <v>5817</v>
      </c>
      <c r="B1851" s="41" t="str">
        <f>_xlfn.TEXTAFTER(
 _xlfn.TEXTBEFORE(tblCostChecklist[[#This Row],[RequirementID]],".",-2),
 "cost."
)</f>
        <v>quest.ahead_of_time_chapter_1.finished</v>
      </c>
      <c r="C1851" s="41" t="str">
        <f>_xlfn.XLOOKUP(tblCostChecklist[[#This Row],[TargetID]],tblTargets[TargetID],tblTargets[DisplayName],"")</f>
        <v>Ahead of Time Chapter 1 Finished</v>
      </c>
      <c r="D1851" s="41" t="str">
        <f>_xlfn.XLOOKUP(tblCostChecklist[[#This Row],[TargetID]],tblTargets[TargetID],tblTargets[TargetType],"")</f>
        <v>QUEST</v>
      </c>
      <c r="E1851" s="41" t="s">
        <v>5818</v>
      </c>
      <c r="F1851" s="41">
        <v>1</v>
      </c>
      <c r="G1851" s="41">
        <f>_xlfn.XLOOKUP(
 tblCostChecklist[[#This Row],[RequirementID]],
 tblCost[RequirementID],
 tblCost[QuantityRequired],
 ""
)</f>
        <v>1</v>
      </c>
      <c r="H18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1" s="41" t="str">
        <f>_xlfn.XLOOKUP(tblCostChecklist[[#This Row],[TargetID]],tblTargetStatus[TargetID],tblTargetStatus[Status])</f>
        <v>BLOCKED</v>
      </c>
      <c r="J1851" s="25" t="b">
        <v>0</v>
      </c>
    </row>
    <row r="1852" spans="1:12">
      <c r="A1852" s="41" t="s">
        <v>5819</v>
      </c>
      <c r="B1852" s="41" t="str">
        <f>_xlfn.TEXTAFTER(
 _xlfn.TEXTBEFORE(tblCostChecklist[[#This Row],[RequirementID]],".",-2),
 "cost."
)</f>
        <v>quest.ahead_of_time_chapter_1.finished</v>
      </c>
      <c r="C1852" s="41" t="str">
        <f>_xlfn.XLOOKUP(tblCostChecklist[[#This Row],[TargetID]],tblTargets[TargetID],tblTargets[DisplayName],"")</f>
        <v>Ahead of Time Chapter 1 Finished</v>
      </c>
      <c r="D1852" s="41" t="str">
        <f>_xlfn.XLOOKUP(tblCostChecklist[[#This Row],[TargetID]],tblTargets[TargetID],tblTargets[TargetType],"")</f>
        <v>QUEST</v>
      </c>
      <c r="E1852" s="41" t="s">
        <v>1821</v>
      </c>
      <c r="F1852" s="41">
        <v>1</v>
      </c>
      <c r="G1852" s="41">
        <f>_xlfn.XLOOKUP(
 tblCostChecklist[[#This Row],[RequirementID]],
 tblCost[RequirementID],
 tblCost[QuantityRequired],
 ""
)</f>
        <v>1</v>
      </c>
      <c r="H18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2" s="41" t="str">
        <f>_xlfn.XLOOKUP(tblCostChecklist[[#This Row],[TargetID]],tblTargetStatus[TargetID],tblTargetStatus[Status])</f>
        <v>BLOCKED</v>
      </c>
      <c r="J1852" s="25" t="b">
        <v>0</v>
      </c>
    </row>
    <row r="1853" spans="1:12">
      <c r="A1853" s="41" t="s">
        <v>5820</v>
      </c>
      <c r="B1853" s="41" t="str">
        <f>_xlfn.TEXTAFTER(
 _xlfn.TEXTBEFORE(tblCostChecklist[[#This Row],[RequirementID]],".",-2),
 "cost."
)</f>
        <v>quest.ahead_of_time_chapter_1.finished</v>
      </c>
      <c r="C1853" s="41" t="str">
        <f>_xlfn.XLOOKUP(tblCostChecklist[[#This Row],[TargetID]],tblTargets[TargetID],tblTargets[DisplayName],"")</f>
        <v>Ahead of Time Chapter 1 Finished</v>
      </c>
      <c r="D1853" s="41" t="str">
        <f>_xlfn.XLOOKUP(tblCostChecklist[[#This Row],[TargetID]],tblTargets[TargetID],tblTargets[TargetType],"")</f>
        <v>QUEST</v>
      </c>
      <c r="E1853" s="41" t="s">
        <v>884</v>
      </c>
      <c r="F1853" s="41">
        <v>1</v>
      </c>
      <c r="G1853" s="41">
        <f>_xlfn.XLOOKUP(
 tblCostChecklist[[#This Row],[RequirementID]],
 tblCost[RequirementID],
 tblCost[QuantityRequired],
 ""
)</f>
        <v>1</v>
      </c>
      <c r="H18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3" s="41" t="str">
        <f>_xlfn.XLOOKUP(tblCostChecklist[[#This Row],[TargetID]],tblTargetStatus[TargetID],tblTargetStatus[Status])</f>
        <v>BLOCKED</v>
      </c>
      <c r="J1853" s="25" t="b">
        <v>0</v>
      </c>
    </row>
    <row r="1854" spans="1:12">
      <c r="A1854" s="41" t="s">
        <v>5821</v>
      </c>
      <c r="B1854" s="41" t="str">
        <f>_xlfn.TEXTAFTER(
 _xlfn.TEXTBEFORE(tblCostChecklist[[#This Row],[RequirementID]],".",-2),
 "cost."
)</f>
        <v>quest.ahead_of_time_chapter_1.finished</v>
      </c>
      <c r="C1854" s="41" t="str">
        <f>_xlfn.XLOOKUP(tblCostChecklist[[#This Row],[TargetID]],tblTargets[TargetID],tblTargets[DisplayName],"")</f>
        <v>Ahead of Time Chapter 1 Finished</v>
      </c>
      <c r="D1854" s="41" t="str">
        <f>_xlfn.XLOOKUP(tblCostChecklist[[#This Row],[TargetID]],tblTargets[TargetID],tblTargets[TargetType],"")</f>
        <v>QUEST</v>
      </c>
      <c r="E1854" s="41" t="s">
        <v>5822</v>
      </c>
      <c r="F1854" s="41">
        <v>1</v>
      </c>
      <c r="G1854" s="41">
        <f>_xlfn.XLOOKUP(
 tblCostChecklist[[#This Row],[RequirementID]],
 tblCost[RequirementID],
 tblCost[QuantityRequired],
 ""
)</f>
        <v>1</v>
      </c>
      <c r="H18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4" s="41" t="str">
        <f>_xlfn.XLOOKUP(tblCostChecklist[[#This Row],[TargetID]],tblTargetStatus[TargetID],tblTargetStatus[Status])</f>
        <v>BLOCKED</v>
      </c>
      <c r="J1854" s="25" t="b">
        <v>0</v>
      </c>
    </row>
    <row r="1855" spans="1:12">
      <c r="A1855" s="41" t="s">
        <v>5823</v>
      </c>
      <c r="B1855" s="41" t="str">
        <f>_xlfn.TEXTAFTER(
 _xlfn.TEXTBEFORE(tblCostChecklist[[#This Row],[RequirementID]],".",-2),
 "cost."
)</f>
        <v>quest.ahead_of_time_chapter_1.finished</v>
      </c>
      <c r="C1855" s="41" t="str">
        <f>_xlfn.XLOOKUP(tblCostChecklist[[#This Row],[TargetID]],tblTargets[TargetID],tblTargets[DisplayName],"")</f>
        <v>Ahead of Time Chapter 1 Finished</v>
      </c>
      <c r="D1855" s="41" t="str">
        <f>_xlfn.XLOOKUP(tblCostChecklist[[#This Row],[TargetID]],tblTargets[TargetID],tblTargets[TargetType],"")</f>
        <v>QUEST</v>
      </c>
      <c r="E1855" s="41" t="s">
        <v>5824</v>
      </c>
      <c r="F1855" s="41">
        <v>1</v>
      </c>
      <c r="G1855" s="41">
        <f>_xlfn.XLOOKUP(
 tblCostChecklist[[#This Row],[RequirementID]],
 tblCost[RequirementID],
 tblCost[QuantityRequired],
 ""
)</f>
        <v>2</v>
      </c>
      <c r="H18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5" s="41" t="str">
        <f>_xlfn.XLOOKUP(tblCostChecklist[[#This Row],[TargetID]],tblTargetStatus[TargetID],tblTargetStatus[Status])</f>
        <v>BLOCKED</v>
      </c>
      <c r="J1855" s="25" t="b">
        <v>0</v>
      </c>
    </row>
    <row r="1856" spans="1:12">
      <c r="A1856" s="41" t="s">
        <v>5825</v>
      </c>
      <c r="B1856" s="41" t="str">
        <f>_xlfn.TEXTAFTER(
 _xlfn.TEXTBEFORE(tblCostChecklist[[#This Row],[RequirementID]],".",-2),
 "cost."
)</f>
        <v>quest.culinary_battle.finished</v>
      </c>
      <c r="C1856" s="41" t="str">
        <f>_xlfn.XLOOKUP(tblCostChecklist[[#This Row],[TargetID]],tblTargets[TargetID],tblTargets[DisplayName],"")</f>
        <v>Culinary Battle Finished</v>
      </c>
      <c r="D1856" s="41" t="str">
        <f>_xlfn.XLOOKUP(tblCostChecklist[[#This Row],[TargetID]],tblTargets[TargetID],tblTargets[TargetType],"")</f>
        <v>QUEST</v>
      </c>
      <c r="E1856" s="41" t="s">
        <v>943</v>
      </c>
      <c r="F1856" s="41">
        <v>1</v>
      </c>
      <c r="G1856" s="41">
        <f>_xlfn.XLOOKUP(
 tblCostChecklist[[#This Row],[RequirementID]],
 tblCost[RequirementID],
 tblCost[QuantityRequired],
 ""
)</f>
        <v>2</v>
      </c>
      <c r="H18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6" s="41" t="str">
        <f>_xlfn.XLOOKUP(tblCostChecklist[[#This Row],[TargetID]],tblTargetStatus[TargetID],tblTargetStatus[Status])</f>
        <v>BLOCKED</v>
      </c>
      <c r="J1856" s="25" t="b">
        <v>0</v>
      </c>
    </row>
    <row r="1857" spans="1:10">
      <c r="A1857" s="41" t="s">
        <v>5826</v>
      </c>
      <c r="B1857" s="41" t="str">
        <f>_xlfn.TEXTAFTER(
 _xlfn.TEXTBEFORE(tblCostChecklist[[#This Row],[RequirementID]],".",-2),
 "cost."
)</f>
        <v>quest.culinary_battle.finished</v>
      </c>
      <c r="C1857" s="41" t="str">
        <f>_xlfn.XLOOKUP(tblCostChecklist[[#This Row],[TargetID]],tblTargets[TargetID],tblTargets[DisplayName],"")</f>
        <v>Culinary Battle Finished</v>
      </c>
      <c r="D1857" s="41" t="str">
        <f>_xlfn.XLOOKUP(tblCostChecklist[[#This Row],[TargetID]],tblTargets[TargetID],tblTargets[TargetType],"")</f>
        <v>QUEST</v>
      </c>
      <c r="E1857" s="41" t="s">
        <v>933</v>
      </c>
      <c r="F1857" s="41">
        <v>1</v>
      </c>
      <c r="G1857" s="41">
        <f>_xlfn.XLOOKUP(
 tblCostChecklist[[#This Row],[RequirementID]],
 tblCost[RequirementID],
 tblCost[QuantityRequired],
 ""
)</f>
        <v>2</v>
      </c>
      <c r="H18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7" s="41" t="str">
        <f>_xlfn.XLOOKUP(tblCostChecklist[[#This Row],[TargetID]],tblTargetStatus[TargetID],tblTargetStatus[Status])</f>
        <v>BLOCKED</v>
      </c>
      <c r="J1857" s="25" t="b">
        <v>0</v>
      </c>
    </row>
    <row r="1858" spans="1:10">
      <c r="A1858" s="41" t="s">
        <v>5827</v>
      </c>
      <c r="B1858" s="41" t="str">
        <f>_xlfn.TEXTAFTER(
 _xlfn.TEXTBEFORE(tblCostChecklist[[#This Row],[RequirementID]],".",-2),
 "cost."
)</f>
        <v>quest.culinary_battle.finished</v>
      </c>
      <c r="C1858" s="41" t="str">
        <f>_xlfn.XLOOKUP(tblCostChecklist[[#This Row],[TargetID]],tblTargets[TargetID],tblTargets[DisplayName],"")</f>
        <v>Culinary Battle Finished</v>
      </c>
      <c r="D1858" s="41" t="str">
        <f>_xlfn.XLOOKUP(tblCostChecklist[[#This Row],[TargetID]],tblTargets[TargetID],tblTargets[TargetType],"")</f>
        <v>QUEST</v>
      </c>
      <c r="E1858" s="41" t="s">
        <v>5828</v>
      </c>
      <c r="F1858" s="41">
        <v>1</v>
      </c>
      <c r="G1858" s="41">
        <f>_xlfn.XLOOKUP(
 tblCostChecklist[[#This Row],[RequirementID]],
 tblCost[RequirementID],
 tblCost[QuantityRequired],
 ""
)</f>
        <v>2</v>
      </c>
      <c r="H18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8" s="41" t="str">
        <f>_xlfn.XLOOKUP(tblCostChecklist[[#This Row],[TargetID]],tblTargetStatus[TargetID],tblTargetStatus[Status])</f>
        <v>BLOCKED</v>
      </c>
      <c r="J1858" s="25" t="b">
        <v>0</v>
      </c>
    </row>
    <row r="1859" spans="1:10">
      <c r="A1859" s="41" t="s">
        <v>5829</v>
      </c>
      <c r="B1859" s="41" t="str">
        <f>_xlfn.TEXTAFTER(
 _xlfn.TEXTBEFORE(tblCostChecklist[[#This Row],[RequirementID]],".",-2),
 "cost."
)</f>
        <v>quest.culinary_battle.finished</v>
      </c>
      <c r="C1859" s="41" t="str">
        <f>_xlfn.XLOOKUP(tblCostChecklist[[#This Row],[TargetID]],tblTargets[TargetID],tblTargets[DisplayName],"")</f>
        <v>Culinary Battle Finished</v>
      </c>
      <c r="D1859" s="41" t="str">
        <f>_xlfn.XLOOKUP(tblCostChecklist[[#This Row],[TargetID]],tblTargets[TargetID],tblTargets[TargetType],"")</f>
        <v>QUEST</v>
      </c>
      <c r="E1859" s="41" t="s">
        <v>660</v>
      </c>
      <c r="F1859" s="41">
        <v>1</v>
      </c>
      <c r="G1859" s="41">
        <f>_xlfn.XLOOKUP(
 tblCostChecklist[[#This Row],[RequirementID]],
 tblCost[RequirementID],
 tblCost[QuantityRequired],
 ""
)</f>
        <v>2</v>
      </c>
      <c r="H18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9" s="41" t="str">
        <f>_xlfn.XLOOKUP(tblCostChecklist[[#This Row],[TargetID]],tblTargetStatus[TargetID],tblTargetStatus[Status])</f>
        <v>BLOCKED</v>
      </c>
      <c r="J1859" s="25" t="b">
        <v>0</v>
      </c>
    </row>
    <row r="1860" spans="1:10">
      <c r="A1860" s="41" t="s">
        <v>5830</v>
      </c>
      <c r="B1860" s="41" t="str">
        <f>_xlfn.TEXTAFTER(
 _xlfn.TEXTBEFORE(tblCostChecklist[[#This Row],[RequirementID]],".",-2),
 "cost."
)</f>
        <v>quest.culinary_battle.finished</v>
      </c>
      <c r="C1860" s="41" t="str">
        <f>_xlfn.XLOOKUP(tblCostChecklist[[#This Row],[TargetID]],tblTargets[TargetID],tblTargets[DisplayName],"")</f>
        <v>Culinary Battle Finished</v>
      </c>
      <c r="D1860" s="41" t="str">
        <f>_xlfn.XLOOKUP(tblCostChecklist[[#This Row],[TargetID]],tblTargets[TargetID],tblTargets[TargetType],"")</f>
        <v>QUEST</v>
      </c>
      <c r="E1860" s="41" t="s">
        <v>1805</v>
      </c>
      <c r="F1860" s="41">
        <v>1</v>
      </c>
      <c r="G1860" s="41">
        <f>_xlfn.XLOOKUP(
 tblCostChecklist[[#This Row],[RequirementID]],
 tblCost[RequirementID],
 tblCost[QuantityRequired],
 ""
)</f>
        <v>2</v>
      </c>
      <c r="H18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0" s="41" t="str">
        <f>_xlfn.XLOOKUP(tblCostChecklist[[#This Row],[TargetID]],tblTargetStatus[TargetID],tblTargetStatus[Status])</f>
        <v>BLOCKED</v>
      </c>
      <c r="J1860" s="25" t="b">
        <v>0</v>
      </c>
    </row>
    <row r="1861" spans="1:10">
      <c r="A1861" s="41" t="s">
        <v>5831</v>
      </c>
      <c r="B1861" s="41" t="str">
        <f>_xlfn.TEXTAFTER(
 _xlfn.TEXTBEFORE(tblCostChecklist[[#This Row],[RequirementID]],".",-2),
 "cost."
)</f>
        <v>quest.culinary_battle.finished</v>
      </c>
      <c r="C1861" s="41" t="str">
        <f>_xlfn.XLOOKUP(tblCostChecklist[[#This Row],[TargetID]],tblTargets[TargetID],tblTargets[DisplayName],"")</f>
        <v>Culinary Battle Finished</v>
      </c>
      <c r="D1861" s="41" t="str">
        <f>_xlfn.XLOOKUP(tblCostChecklist[[#This Row],[TargetID]],tblTargets[TargetID],tblTargets[TargetType],"")</f>
        <v>QUEST</v>
      </c>
      <c r="E1861" s="41" t="s">
        <v>718</v>
      </c>
      <c r="F1861" s="41">
        <v>1</v>
      </c>
      <c r="G1861" s="41">
        <f>_xlfn.XLOOKUP(
 tblCostChecklist[[#This Row],[RequirementID]],
 tblCost[RequirementID],
 tblCost[QuantityRequired],
 ""
)</f>
        <v>2</v>
      </c>
      <c r="H18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1" s="41" t="str">
        <f>_xlfn.XLOOKUP(tblCostChecklist[[#This Row],[TargetID]],tblTargetStatus[TargetID],tblTargetStatus[Status])</f>
        <v>BLOCKED</v>
      </c>
      <c r="J1861" s="25" t="b">
        <v>0</v>
      </c>
    </row>
    <row r="1862" spans="1:10">
      <c r="A1862" s="41" t="s">
        <v>5832</v>
      </c>
      <c r="B1862" s="41" t="str">
        <f>_xlfn.TEXTAFTER(
 _xlfn.TEXTBEFORE(tblCostChecklist[[#This Row],[RequirementID]],".",-2),
 "cost."
)</f>
        <v>quest.culinary_battle.finished</v>
      </c>
      <c r="C1862" s="41" t="str">
        <f>_xlfn.XLOOKUP(tblCostChecklist[[#This Row],[TargetID]],tblTargets[TargetID],tblTargets[DisplayName],"")</f>
        <v>Culinary Battle Finished</v>
      </c>
      <c r="D1862" s="41" t="str">
        <f>_xlfn.XLOOKUP(tblCostChecklist[[#This Row],[TargetID]],tblTargets[TargetID],tblTargets[TargetType],"")</f>
        <v>QUEST</v>
      </c>
      <c r="E1862" s="41" t="s">
        <v>704</v>
      </c>
      <c r="F1862" s="41">
        <v>1</v>
      </c>
      <c r="G1862" s="41">
        <f>_xlfn.XLOOKUP(
 tblCostChecklist[[#This Row],[RequirementID]],
 tblCost[RequirementID],
 tblCost[QuantityRequired],
 ""
)</f>
        <v>2</v>
      </c>
      <c r="H18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2" s="41" t="str">
        <f>_xlfn.XLOOKUP(tblCostChecklist[[#This Row],[TargetID]],tblTargetStatus[TargetID],tblTargetStatus[Status])</f>
        <v>BLOCKED</v>
      </c>
      <c r="J1862" s="25" t="b">
        <v>0</v>
      </c>
    </row>
    <row r="1863" spans="1:10">
      <c r="A1863" s="41" t="s">
        <v>5833</v>
      </c>
      <c r="B1863" s="41" t="str">
        <f>_xlfn.TEXTAFTER(
 _xlfn.TEXTBEFORE(tblCostChecklist[[#This Row],[RequirementID]],".",-2),
 "cost."
)</f>
        <v>quest.culinary_battle.finished</v>
      </c>
      <c r="C1863" s="41" t="str">
        <f>_xlfn.XLOOKUP(tblCostChecklist[[#This Row],[TargetID]],tblTargets[TargetID],tblTargets[DisplayName],"")</f>
        <v>Culinary Battle Finished</v>
      </c>
      <c r="D1863" s="41" t="str">
        <f>_xlfn.XLOOKUP(tblCostChecklist[[#This Row],[TargetID]],tblTargets[TargetID],tblTargets[TargetType],"")</f>
        <v>QUEST</v>
      </c>
      <c r="E1863" s="41" t="s">
        <v>5834</v>
      </c>
      <c r="F1863" s="41">
        <v>1</v>
      </c>
      <c r="G1863" s="41">
        <f>_xlfn.XLOOKUP(
 tblCostChecklist[[#This Row],[RequirementID]],
 tblCost[RequirementID],
 tblCost[QuantityRequired],
 ""
)</f>
        <v>2</v>
      </c>
      <c r="H18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3" s="41" t="str">
        <f>_xlfn.XLOOKUP(tblCostChecklist[[#This Row],[TargetID]],tblTargetStatus[TargetID],tblTargetStatus[Status])</f>
        <v>BLOCKED</v>
      </c>
      <c r="J1863" s="25" t="b">
        <v>0</v>
      </c>
    </row>
    <row r="1864" spans="1:10">
      <c r="A1864" s="41" t="s">
        <v>5835</v>
      </c>
      <c r="B1864" s="41" t="str">
        <f>_xlfn.TEXTAFTER(
 _xlfn.TEXTBEFORE(tblCostChecklist[[#This Row],[RequirementID]],".",-2),
 "cost."
)</f>
        <v>quest.culinary_battle.finished</v>
      </c>
      <c r="C1864" s="41" t="str">
        <f>_xlfn.XLOOKUP(tblCostChecklist[[#This Row],[TargetID]],tblTargets[TargetID],tblTargets[DisplayName],"")</f>
        <v>Culinary Battle Finished</v>
      </c>
      <c r="D1864" s="41" t="str">
        <f>_xlfn.XLOOKUP(tblCostChecklist[[#This Row],[TargetID]],tblTargets[TargetID],tblTargets[TargetType],"")</f>
        <v>QUEST</v>
      </c>
      <c r="E1864" s="41" t="s">
        <v>1793</v>
      </c>
      <c r="F1864" s="41">
        <v>1</v>
      </c>
      <c r="G1864" s="41">
        <f>_xlfn.XLOOKUP(
 tblCostChecklist[[#This Row],[RequirementID]],
 tblCost[RequirementID],
 tblCost[QuantityRequired],
 ""
)</f>
        <v>2</v>
      </c>
      <c r="H18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4" s="41" t="str">
        <f>_xlfn.XLOOKUP(tblCostChecklist[[#This Row],[TargetID]],tblTargetStatus[TargetID],tblTargetStatus[Status])</f>
        <v>BLOCKED</v>
      </c>
      <c r="J1864" s="25" t="b">
        <v>0</v>
      </c>
    </row>
    <row r="1865" spans="1:10">
      <c r="A1865" s="41" t="s">
        <v>5836</v>
      </c>
      <c r="B1865" s="41" t="str">
        <f>_xlfn.TEXTAFTER(
 _xlfn.TEXTBEFORE(tblCostChecklist[[#This Row],[RequirementID]],".",-2),
 "cost."
)</f>
        <v>quest.culinary_battle.finished</v>
      </c>
      <c r="C1865" s="41" t="str">
        <f>_xlfn.XLOOKUP(tblCostChecklist[[#This Row],[TargetID]],tblTargets[TargetID],tblTargets[DisplayName],"")</f>
        <v>Culinary Battle Finished</v>
      </c>
      <c r="D1865" s="41" t="str">
        <f>_xlfn.XLOOKUP(tblCostChecklist[[#This Row],[TargetID]],tblTargets[TargetID],tblTargets[TargetType],"")</f>
        <v>QUEST</v>
      </c>
      <c r="E1865" s="41" t="s">
        <v>5837</v>
      </c>
      <c r="F1865" s="41">
        <v>1</v>
      </c>
      <c r="G1865" s="41">
        <f>_xlfn.XLOOKUP(
 tblCostChecklist[[#This Row],[RequirementID]],
 tblCost[RequirementID],
 tblCost[QuantityRequired],
 ""
)</f>
        <v>2</v>
      </c>
      <c r="H18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5" s="41" t="str">
        <f>_xlfn.XLOOKUP(tblCostChecklist[[#This Row],[TargetID]],tblTargetStatus[TargetID],tblTargetStatus[Status])</f>
        <v>BLOCKED</v>
      </c>
      <c r="J1865" s="25" t="b">
        <v>0</v>
      </c>
    </row>
    <row r="1866" spans="1:10">
      <c r="A1866" s="41" t="s">
        <v>5838</v>
      </c>
      <c r="B1866" s="41" t="str">
        <f>_xlfn.TEXTAFTER(
 _xlfn.TEXTBEFORE(tblCostChecklist[[#This Row],[RequirementID]],".",-2),
 "cost."
)</f>
        <v>quest.culinary_battle.finished</v>
      </c>
      <c r="C1866" s="41" t="str">
        <f>_xlfn.XLOOKUP(tblCostChecklist[[#This Row],[TargetID]],tblTargets[TargetID],tblTargets[DisplayName],"")</f>
        <v>Culinary Battle Finished</v>
      </c>
      <c r="D1866" s="41" t="str">
        <f>_xlfn.XLOOKUP(tblCostChecklist[[#This Row],[TargetID]],tblTargets[TargetID],tblTargets[TargetType],"")</f>
        <v>QUEST</v>
      </c>
      <c r="E1866" s="41" t="s">
        <v>5839</v>
      </c>
      <c r="F1866" s="41">
        <v>1</v>
      </c>
      <c r="G1866" s="41">
        <f>_xlfn.XLOOKUP(
 tblCostChecklist[[#This Row],[RequirementID]],
 tblCost[RequirementID],
 tblCost[QuantityRequired],
 ""
)</f>
        <v>2</v>
      </c>
      <c r="H18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6" s="41" t="str">
        <f>_xlfn.XLOOKUP(tblCostChecklist[[#This Row],[TargetID]],tblTargetStatus[TargetID],tblTargetStatus[Status])</f>
        <v>BLOCKED</v>
      </c>
      <c r="J1866" s="25" t="b">
        <v>0</v>
      </c>
    </row>
    <row r="1867" spans="1:10">
      <c r="A1867" s="41" t="s">
        <v>5840</v>
      </c>
      <c r="B1867" s="41" t="str">
        <f>_xlfn.TEXTAFTER(
 _xlfn.TEXTBEFORE(tblCostChecklist[[#This Row],[RequirementID]],".",-2),
 "cost."
)</f>
        <v>quest.culinary_battle.finished</v>
      </c>
      <c r="C1867" s="41" t="str">
        <f>_xlfn.XLOOKUP(tblCostChecklist[[#This Row],[TargetID]],tblTargets[TargetID],tblTargets[DisplayName],"")</f>
        <v>Culinary Battle Finished</v>
      </c>
      <c r="D1867" s="41" t="str">
        <f>_xlfn.XLOOKUP(tblCostChecklist[[#This Row],[TargetID]],tblTargets[TargetID],tblTargets[TargetType],"")</f>
        <v>QUEST</v>
      </c>
      <c r="E1867" s="41" t="s">
        <v>5841</v>
      </c>
      <c r="F1867" s="41">
        <v>1</v>
      </c>
      <c r="G1867" s="41">
        <f>_xlfn.XLOOKUP(
 tblCostChecklist[[#This Row],[RequirementID]],
 tblCost[RequirementID],
 tblCost[QuantityRequired],
 ""
)</f>
        <v>2</v>
      </c>
      <c r="H18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7" s="41" t="str">
        <f>_xlfn.XLOOKUP(tblCostChecklist[[#This Row],[TargetID]],tblTargetStatus[TargetID],tblTargetStatus[Status])</f>
        <v>BLOCKED</v>
      </c>
      <c r="J1867" s="25" t="b">
        <v>0</v>
      </c>
    </row>
    <row r="1868" spans="1:10">
      <c r="A1868" s="41" t="s">
        <v>5842</v>
      </c>
      <c r="B1868" s="41" t="str">
        <f>_xlfn.TEXTAFTER(
 _xlfn.TEXTBEFORE(tblCostChecklist[[#This Row],[RequirementID]],".",-2),
 "cost."
)</f>
        <v>quest.culinary_battle.finished</v>
      </c>
      <c r="C1868" s="41" t="str">
        <f>_xlfn.XLOOKUP(tblCostChecklist[[#This Row],[TargetID]],tblTargets[TargetID],tblTargets[DisplayName],"")</f>
        <v>Culinary Battle Finished</v>
      </c>
      <c r="D1868" s="41" t="str">
        <f>_xlfn.XLOOKUP(tblCostChecklist[[#This Row],[TargetID]],tblTargets[TargetID],tblTargets[TargetType],"")</f>
        <v>QUEST</v>
      </c>
      <c r="E1868" s="41" t="s">
        <v>1848</v>
      </c>
      <c r="F1868" s="41">
        <v>1</v>
      </c>
      <c r="G1868" s="41">
        <f>_xlfn.XLOOKUP(
 tblCostChecklist[[#This Row],[RequirementID]],
 tblCost[RequirementID],
 tblCost[QuantityRequired],
 ""
)</f>
        <v>2</v>
      </c>
      <c r="H18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8" s="41" t="str">
        <f>_xlfn.XLOOKUP(tblCostChecklist[[#This Row],[TargetID]],tblTargetStatus[TargetID],tblTargetStatus[Status])</f>
        <v>BLOCKED</v>
      </c>
      <c r="J1868" s="25" t="b">
        <v>0</v>
      </c>
    </row>
    <row r="1869" spans="1:10">
      <c r="A1869" s="41" t="s">
        <v>5843</v>
      </c>
      <c r="B1869" s="41" t="str">
        <f>_xlfn.TEXTAFTER(
 _xlfn.TEXTBEFORE(tblCostChecklist[[#This Row],[RequirementID]],".",-2),
 "cost."
)</f>
        <v>quest.culinary_battle.finished</v>
      </c>
      <c r="C1869" s="41" t="str">
        <f>_xlfn.XLOOKUP(tblCostChecklist[[#This Row],[TargetID]],tblTargets[TargetID],tblTargets[DisplayName],"")</f>
        <v>Culinary Battle Finished</v>
      </c>
      <c r="D1869" s="41" t="str">
        <f>_xlfn.XLOOKUP(tblCostChecklist[[#This Row],[TargetID]],tblTargets[TargetID],tblTargets[TargetType],"")</f>
        <v>QUEST</v>
      </c>
      <c r="E1869" s="41" t="s">
        <v>5844</v>
      </c>
      <c r="F1869" s="41">
        <v>1</v>
      </c>
      <c r="G1869" s="41">
        <f>_xlfn.XLOOKUP(
 tblCostChecklist[[#This Row],[RequirementID]],
 tblCost[RequirementID],
 tblCost[QuantityRequired],
 ""
)</f>
        <v>2</v>
      </c>
      <c r="H18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9" s="41" t="str">
        <f>_xlfn.XLOOKUP(tblCostChecklist[[#This Row],[TargetID]],tblTargetStatus[TargetID],tblTargetStatus[Status])</f>
        <v>BLOCKED</v>
      </c>
      <c r="J1869" s="25" t="b">
        <v>0</v>
      </c>
    </row>
    <row r="1870" spans="1:10">
      <c r="A1870" s="41" t="s">
        <v>5845</v>
      </c>
      <c r="B1870" s="41" t="str">
        <f>_xlfn.TEXTAFTER(
 _xlfn.TEXTBEFORE(tblCostChecklist[[#This Row],[RequirementID]],".",-2),
 "cost."
)</f>
        <v>quest.festival.finished</v>
      </c>
      <c r="C1870" s="41" t="str">
        <f>_xlfn.XLOOKUP(tblCostChecklist[[#This Row],[TargetID]],tblTargets[TargetID],tblTargets[DisplayName],"")</f>
        <v>Festival Finished</v>
      </c>
      <c r="D1870" s="41" t="str">
        <f>_xlfn.XLOOKUP(tblCostChecklist[[#This Row],[TargetID]],tblTargets[TargetID],tblTargets[TargetType],"")</f>
        <v>QUEST</v>
      </c>
      <c r="E1870" s="41" t="s">
        <v>682</v>
      </c>
      <c r="F1870" s="41">
        <v>1</v>
      </c>
      <c r="G1870" s="41">
        <f>_xlfn.XLOOKUP(
 tblCostChecklist[[#This Row],[RequirementID]],
 tblCost[RequirementID],
 tblCost[QuantityRequired],
 ""
)</f>
        <v>5</v>
      </c>
      <c r="H18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0" s="41" t="str">
        <f>_xlfn.XLOOKUP(tblCostChecklist[[#This Row],[TargetID]],tblTargetStatus[TargetID],tblTargetStatus[Status])</f>
        <v>BLOCKED</v>
      </c>
      <c r="J1870" s="25" t="b">
        <v>0</v>
      </c>
    </row>
    <row r="1871" spans="1:10">
      <c r="A1871" s="41" t="s">
        <v>5846</v>
      </c>
      <c r="B1871" s="41" t="str">
        <f>_xlfn.TEXTAFTER(
 _xlfn.TEXTBEFORE(tblCostChecklist[[#This Row],[RequirementID]],".",-2),
 "cost."
)</f>
        <v>quest.festival.finished</v>
      </c>
      <c r="C1871" s="41" t="str">
        <f>_xlfn.XLOOKUP(tblCostChecklist[[#This Row],[TargetID]],tblTargets[TargetID],tblTargets[DisplayName],"")</f>
        <v>Festival Finished</v>
      </c>
      <c r="D1871" s="41" t="str">
        <f>_xlfn.XLOOKUP(tblCostChecklist[[#This Row],[TargetID]],tblTargets[TargetID],tblTargets[TargetType],"")</f>
        <v>QUEST</v>
      </c>
      <c r="E1871" s="41" t="s">
        <v>1804</v>
      </c>
      <c r="F1871" s="41">
        <v>1</v>
      </c>
      <c r="G1871" s="41">
        <f>_xlfn.XLOOKUP(
 tblCostChecklist[[#This Row],[RequirementID]],
 tblCost[RequirementID],
 tblCost[QuantityRequired],
 ""
)</f>
        <v>10</v>
      </c>
      <c r="H18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1" s="41" t="str">
        <f>_xlfn.XLOOKUP(tblCostChecklist[[#This Row],[TargetID]],tblTargetStatus[TargetID],tblTargetStatus[Status])</f>
        <v>BLOCKED</v>
      </c>
      <c r="J1871" s="25" t="b">
        <v>0</v>
      </c>
    </row>
    <row r="1872" spans="1:10">
      <c r="A1872" s="41" t="s">
        <v>5847</v>
      </c>
      <c r="B1872" s="41" t="str">
        <f>_xlfn.TEXTAFTER(
 _xlfn.TEXTBEFORE(tblCostChecklist[[#This Row],[RequirementID]],".",-2),
 "cost."
)</f>
        <v>quest.festival.finished</v>
      </c>
      <c r="C1872" s="41" t="str">
        <f>_xlfn.XLOOKUP(tblCostChecklist[[#This Row],[TargetID]],tblTargets[TargetID],tblTargets[DisplayName],"")</f>
        <v>Festival Finished</v>
      </c>
      <c r="D1872" s="41" t="str">
        <f>_xlfn.XLOOKUP(tblCostChecklist[[#This Row],[TargetID]],tblTargets[TargetID],tblTargets[TargetType],"")</f>
        <v>QUEST</v>
      </c>
      <c r="E1872" s="41" t="s">
        <v>718</v>
      </c>
      <c r="F1872" s="41">
        <v>1</v>
      </c>
      <c r="G1872" s="41">
        <f>_xlfn.XLOOKUP(
 tblCostChecklist[[#This Row],[RequirementID]],
 tblCost[RequirementID],
 tblCost[QuantityRequired],
 ""
)</f>
        <v>10</v>
      </c>
      <c r="H18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2" s="41" t="str">
        <f>_xlfn.XLOOKUP(tblCostChecklist[[#This Row],[TargetID]],tblTargetStatus[TargetID],tblTargetStatus[Status])</f>
        <v>BLOCKED</v>
      </c>
      <c r="J1872" s="25" t="b">
        <v>0</v>
      </c>
    </row>
    <row r="1873" spans="1:10">
      <c r="A1873" s="41" t="s">
        <v>5848</v>
      </c>
      <c r="B1873" s="41" t="str">
        <f>_xlfn.TEXTAFTER(
 _xlfn.TEXTBEFORE(tblCostChecklist[[#This Row],[RequirementID]],".",-2),
 "cost."
)</f>
        <v>quest.festival.finished</v>
      </c>
      <c r="C1873" s="41" t="str">
        <f>_xlfn.XLOOKUP(tblCostChecklist[[#This Row],[TargetID]],tblTargets[TargetID],tblTargets[DisplayName],"")</f>
        <v>Festival Finished</v>
      </c>
      <c r="D1873" s="41" t="str">
        <f>_xlfn.XLOOKUP(tblCostChecklist[[#This Row],[TargetID]],tblTargets[TargetID],tblTargets[TargetType],"")</f>
        <v>QUEST</v>
      </c>
      <c r="E1873" s="41" t="s">
        <v>704</v>
      </c>
      <c r="F1873" s="41">
        <v>1</v>
      </c>
      <c r="G1873" s="41">
        <f>_xlfn.XLOOKUP(
 tblCostChecklist[[#This Row],[RequirementID]],
 tblCost[RequirementID],
 tblCost[QuantityRequired],
 ""
)</f>
        <v>5</v>
      </c>
      <c r="H18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3" s="41" t="str">
        <f>_xlfn.XLOOKUP(tblCostChecklist[[#This Row],[TargetID]],tblTargetStatus[TargetID],tblTargetStatus[Status])</f>
        <v>BLOCKED</v>
      </c>
      <c r="J1873" s="25" t="b">
        <v>0</v>
      </c>
    </row>
    <row r="1874" spans="1:10">
      <c r="A1874" s="41" t="s">
        <v>5849</v>
      </c>
      <c r="B1874" s="41" t="str">
        <f>_xlfn.TEXTAFTER(
 _xlfn.TEXTBEFORE(tblCostChecklist[[#This Row],[RequirementID]],".",-2),
 "cost."
)</f>
        <v>quest.festival.finished</v>
      </c>
      <c r="C1874" s="41" t="str">
        <f>_xlfn.XLOOKUP(tblCostChecklist[[#This Row],[TargetID]],tblTargets[TargetID],tblTargets[DisplayName],"")</f>
        <v>Festival Finished</v>
      </c>
      <c r="D1874" s="41" t="str">
        <f>_xlfn.XLOOKUP(tblCostChecklist[[#This Row],[TargetID]],tblTargets[TargetID],tblTargets[TargetType],"")</f>
        <v>QUEST</v>
      </c>
      <c r="E1874" s="41" t="s">
        <v>1793</v>
      </c>
      <c r="F1874" s="41">
        <v>1</v>
      </c>
      <c r="G1874" s="41">
        <f>_xlfn.XLOOKUP(
 tblCostChecklist[[#This Row],[RequirementID]],
 tblCost[RequirementID],
 tblCost[QuantityRequired],
 ""
)</f>
        <v>5</v>
      </c>
      <c r="H18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4" s="41" t="str">
        <f>_xlfn.XLOOKUP(tblCostChecklist[[#This Row],[TargetID]],tblTargetStatus[TargetID],tblTargetStatus[Status])</f>
        <v>BLOCKED</v>
      </c>
      <c r="J1874" s="25" t="b">
        <v>0</v>
      </c>
    </row>
    <row r="1875" spans="1:10">
      <c r="A1875" s="41" t="s">
        <v>5850</v>
      </c>
      <c r="B1875" s="41" t="str">
        <f>_xlfn.TEXTAFTER(
 _xlfn.TEXTBEFORE(tblCostChecklist[[#This Row],[RequirementID]],".",-2),
 "cost."
)</f>
        <v>quest.festival.finished</v>
      </c>
      <c r="C1875" s="41" t="str">
        <f>_xlfn.XLOOKUP(tblCostChecklist[[#This Row],[TargetID]],tblTargets[TargetID],tblTargets[DisplayName],"")</f>
        <v>Festival Finished</v>
      </c>
      <c r="D1875" s="41" t="str">
        <f>_xlfn.XLOOKUP(tblCostChecklist[[#This Row],[TargetID]],tblTargets[TargetID],tblTargets[TargetType],"")</f>
        <v>QUEST</v>
      </c>
      <c r="E1875" s="41" t="s">
        <v>938</v>
      </c>
      <c r="F1875" s="41">
        <v>1</v>
      </c>
      <c r="G1875" s="41">
        <f>_xlfn.XLOOKUP(
 tblCostChecklist[[#This Row],[RequirementID]],
 tblCost[RequirementID],
 tblCost[QuantityRequired],
 ""
)</f>
        <v>5</v>
      </c>
      <c r="H18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5" s="41" t="str">
        <f>_xlfn.XLOOKUP(tblCostChecklist[[#This Row],[TargetID]],tblTargetStatus[TargetID],tblTargetStatus[Status])</f>
        <v>BLOCKED</v>
      </c>
      <c r="J1875" s="25" t="b">
        <v>0</v>
      </c>
    </row>
    <row r="1876" spans="1:10">
      <c r="A1876" s="41" t="s">
        <v>5851</v>
      </c>
      <c r="B1876" s="41" t="str">
        <f>_xlfn.TEXTAFTER(
 _xlfn.TEXTBEFORE(tblCostChecklist[[#This Row],[RequirementID]],".",-2),
 "cost."
)</f>
        <v>quest.festival_returns.finished</v>
      </c>
      <c r="C1876" s="41" t="str">
        <f>_xlfn.XLOOKUP(tblCostChecklist[[#This Row],[TargetID]],tblTargets[TargetID],tblTargets[DisplayName],"")</f>
        <v>Festival Returns Finished</v>
      </c>
      <c r="D1876" s="41" t="str">
        <f>_xlfn.XLOOKUP(tblCostChecklist[[#This Row],[TargetID]],tblTargets[TargetID],tblTargets[TargetType],"")</f>
        <v>QUEST</v>
      </c>
      <c r="E1876" s="41" t="s">
        <v>682</v>
      </c>
      <c r="F1876" s="41">
        <v>1</v>
      </c>
      <c r="G1876" s="41">
        <f>_xlfn.XLOOKUP(
 tblCostChecklist[[#This Row],[RequirementID]],
 tblCost[RequirementID],
 tblCost[QuantityRequired],
 ""
)</f>
        <v>10</v>
      </c>
      <c r="H18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6" s="41" t="str">
        <f>_xlfn.XLOOKUP(tblCostChecklist[[#This Row],[TargetID]],tblTargetStatus[TargetID],tblTargetStatus[Status])</f>
        <v>BLOCKED</v>
      </c>
      <c r="J1876" s="25" t="b">
        <v>0</v>
      </c>
    </row>
    <row r="1877" spans="1:10">
      <c r="A1877" s="41" t="s">
        <v>5852</v>
      </c>
      <c r="B1877" s="41" t="str">
        <f>_xlfn.TEXTAFTER(
 _xlfn.TEXTBEFORE(tblCostChecklist[[#This Row],[RequirementID]],".",-2),
 "cost."
)</f>
        <v>quest.festival_returns.finished</v>
      </c>
      <c r="C1877" s="41" t="str">
        <f>_xlfn.XLOOKUP(tblCostChecklist[[#This Row],[TargetID]],tblTargets[TargetID],tblTargets[DisplayName],"")</f>
        <v>Festival Returns Finished</v>
      </c>
      <c r="D1877" s="41" t="str">
        <f>_xlfn.XLOOKUP(tblCostChecklist[[#This Row],[TargetID]],tblTargets[TargetID],tblTargets[TargetType],"")</f>
        <v>QUEST</v>
      </c>
      <c r="E1877" s="41" t="s">
        <v>1804</v>
      </c>
      <c r="F1877" s="41">
        <v>1</v>
      </c>
      <c r="G1877" s="41">
        <f>_xlfn.XLOOKUP(
 tblCostChecklist[[#This Row],[RequirementID]],
 tblCost[RequirementID],
 tblCost[QuantityRequired],
 ""
)</f>
        <v>10</v>
      </c>
      <c r="H18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7" s="41" t="str">
        <f>_xlfn.XLOOKUP(tblCostChecklist[[#This Row],[TargetID]],tblTargetStatus[TargetID],tblTargetStatus[Status])</f>
        <v>BLOCKED</v>
      </c>
      <c r="J1877" s="25" t="b">
        <v>0</v>
      </c>
    </row>
    <row r="1878" spans="1:10">
      <c r="A1878" s="41" t="s">
        <v>5853</v>
      </c>
      <c r="B1878" s="41" t="str">
        <f>_xlfn.TEXTAFTER(
 _xlfn.TEXTBEFORE(tblCostChecklist[[#This Row],[RequirementID]],".",-2),
 "cost."
)</f>
        <v>quest.festival_returns.finished</v>
      </c>
      <c r="C1878" s="41" t="str">
        <f>_xlfn.XLOOKUP(tblCostChecklist[[#This Row],[TargetID]],tblTargets[TargetID],tblTargets[DisplayName],"")</f>
        <v>Festival Returns Finished</v>
      </c>
      <c r="D1878" s="41" t="str">
        <f>_xlfn.XLOOKUP(tblCostChecklist[[#This Row],[TargetID]],tblTargets[TargetID],tblTargets[TargetType],"")</f>
        <v>QUEST</v>
      </c>
      <c r="E1878" s="41" t="s">
        <v>668</v>
      </c>
      <c r="F1878" s="41">
        <v>1</v>
      </c>
      <c r="G1878" s="41">
        <f>_xlfn.XLOOKUP(
 tblCostChecklist[[#This Row],[RequirementID]],
 tblCost[RequirementID],
 tblCost[QuantityRequired],
 ""
)</f>
        <v>10</v>
      </c>
      <c r="H18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8" s="41" t="str">
        <f>_xlfn.XLOOKUP(tblCostChecklist[[#This Row],[TargetID]],tblTargetStatus[TargetID],tblTargetStatus[Status])</f>
        <v>BLOCKED</v>
      </c>
      <c r="J1878" s="25" t="b">
        <v>0</v>
      </c>
    </row>
    <row r="1879" spans="1:10">
      <c r="A1879" s="41" t="s">
        <v>5854</v>
      </c>
      <c r="B1879" s="41" t="str">
        <f>_xlfn.TEXTAFTER(
 _xlfn.TEXTBEFORE(tblCostChecklist[[#This Row],[RequirementID]],".",-2),
 "cost."
)</f>
        <v>quest.festival_returns.finished</v>
      </c>
      <c r="C1879" s="41" t="str">
        <f>_xlfn.XLOOKUP(tblCostChecklist[[#This Row],[TargetID]],tblTargets[TargetID],tblTargets[DisplayName],"")</f>
        <v>Festival Returns Finished</v>
      </c>
      <c r="D1879" s="41" t="str">
        <f>_xlfn.XLOOKUP(tblCostChecklist[[#This Row],[TargetID]],tblTargets[TargetID],tblTargets[TargetType],"")</f>
        <v>QUEST</v>
      </c>
      <c r="E1879" s="41" t="s">
        <v>943</v>
      </c>
      <c r="F1879" s="41">
        <v>1</v>
      </c>
      <c r="G1879" s="41">
        <f>_xlfn.XLOOKUP(
 tblCostChecklist[[#This Row],[RequirementID]],
 tblCost[RequirementID],
 tblCost[QuantityRequired],
 ""
)</f>
        <v>10</v>
      </c>
      <c r="H18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9" s="41" t="str">
        <f>_xlfn.XLOOKUP(tblCostChecklist[[#This Row],[TargetID]],tblTargetStatus[TargetID],tblTargetStatus[Status])</f>
        <v>BLOCKED</v>
      </c>
      <c r="J1879" s="25" t="b">
        <v>0</v>
      </c>
    </row>
    <row r="1880" spans="1:10">
      <c r="A1880" s="41" t="s">
        <v>5855</v>
      </c>
      <c r="B1880" s="41" t="str">
        <f>_xlfn.TEXTAFTER(
 _xlfn.TEXTBEFORE(tblCostChecklist[[#This Row],[RequirementID]],".",-2),
 "cost."
)</f>
        <v>quest.festival_returns.finished</v>
      </c>
      <c r="C1880" s="41" t="str">
        <f>_xlfn.XLOOKUP(tblCostChecklist[[#This Row],[TargetID]],tblTargets[TargetID],tblTargets[DisplayName],"")</f>
        <v>Festival Returns Finished</v>
      </c>
      <c r="D1880" s="41" t="str">
        <f>_xlfn.XLOOKUP(tblCostChecklist[[#This Row],[TargetID]],tblTargets[TargetID],tblTargets[TargetType],"")</f>
        <v>QUEST</v>
      </c>
      <c r="E1880" s="41" t="s">
        <v>5828</v>
      </c>
      <c r="F1880" s="41">
        <v>1</v>
      </c>
      <c r="G1880" s="41">
        <f>_xlfn.XLOOKUP(
 tblCostChecklist[[#This Row],[RequirementID]],
 tblCost[RequirementID],
 tblCost[QuantityRequired],
 ""
)</f>
        <v>10</v>
      </c>
      <c r="H18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0" s="41" t="str">
        <f>_xlfn.XLOOKUP(tblCostChecklist[[#This Row],[TargetID]],tblTargetStatus[TargetID],tblTargetStatus[Status])</f>
        <v>BLOCKED</v>
      </c>
      <c r="J1880" s="25" t="b">
        <v>0</v>
      </c>
    </row>
    <row r="1881" spans="1:10">
      <c r="A1881" s="41" t="s">
        <v>5856</v>
      </c>
      <c r="B1881" s="41" t="str">
        <f>_xlfn.TEXTAFTER(
 _xlfn.TEXTBEFORE(tblCostChecklist[[#This Row],[RequirementID]],".",-2),
 "cost."
)</f>
        <v>quest.festival_returns.finished</v>
      </c>
      <c r="C1881" s="41" t="str">
        <f>_xlfn.XLOOKUP(tblCostChecklist[[#This Row],[TargetID]],tblTargets[TargetID],tblTargets[DisplayName],"")</f>
        <v>Festival Returns Finished</v>
      </c>
      <c r="D1881" s="41" t="str">
        <f>_xlfn.XLOOKUP(tblCostChecklist[[#This Row],[TargetID]],tblTargets[TargetID],tblTargets[TargetType],"")</f>
        <v>QUEST</v>
      </c>
      <c r="E1881" s="41" t="s">
        <v>660</v>
      </c>
      <c r="F1881" s="41">
        <v>1</v>
      </c>
      <c r="G1881" s="41">
        <f>_xlfn.XLOOKUP(
 tblCostChecklist[[#This Row],[RequirementID]],
 tblCost[RequirementID],
 tblCost[QuantityRequired],
 ""
)</f>
        <v>10</v>
      </c>
      <c r="H18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1" s="41" t="str">
        <f>_xlfn.XLOOKUP(tblCostChecklist[[#This Row],[TargetID]],tblTargetStatus[TargetID],tblTargetStatus[Status])</f>
        <v>BLOCKED</v>
      </c>
      <c r="J1881" s="25" t="b">
        <v>0</v>
      </c>
    </row>
    <row r="1882" spans="1:10">
      <c r="A1882" s="41" t="s">
        <v>5857</v>
      </c>
      <c r="B1882" s="41" t="str">
        <f>_xlfn.TEXTAFTER(
 _xlfn.TEXTBEFORE(tblCostChecklist[[#This Row],[RequirementID]],".",-2),
 "cost."
)</f>
        <v>quest.festival_returns.finished</v>
      </c>
      <c r="C1882" s="41" t="str">
        <f>_xlfn.XLOOKUP(tblCostChecklist[[#This Row],[TargetID]],tblTargets[TargetID],tblTargets[DisplayName],"")</f>
        <v>Festival Returns Finished</v>
      </c>
      <c r="D1882" s="41" t="str">
        <f>_xlfn.XLOOKUP(tblCostChecklist[[#This Row],[TargetID]],tblTargets[TargetID],tblTargets[TargetType],"")</f>
        <v>QUEST</v>
      </c>
      <c r="E1882" s="41" t="s">
        <v>5839</v>
      </c>
      <c r="F1882" s="41">
        <v>1</v>
      </c>
      <c r="G1882" s="41">
        <f>_xlfn.XLOOKUP(
 tblCostChecklist[[#This Row],[RequirementID]],
 tblCost[RequirementID],
 tblCost[QuantityRequired],
 ""
)</f>
        <v>10</v>
      </c>
      <c r="H18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2" s="41" t="str">
        <f>_xlfn.XLOOKUP(tblCostChecklist[[#This Row],[TargetID]],tblTargetStatus[TargetID],tblTargetStatus[Status])</f>
        <v>BLOCKED</v>
      </c>
      <c r="J1882" s="25" t="b">
        <v>0</v>
      </c>
    </row>
    <row r="1883" spans="1:10">
      <c r="A1883" s="41" t="s">
        <v>5858</v>
      </c>
      <c r="B1883" s="41" t="str">
        <f>_xlfn.TEXTAFTER(
 _xlfn.TEXTBEFORE(tblCostChecklist[[#This Row],[RequirementID]],".",-2),
 "cost."
)</f>
        <v>quest.festival_returns.finished</v>
      </c>
      <c r="C1883" s="41" t="str">
        <f>_xlfn.XLOOKUP(tblCostChecklist[[#This Row],[TargetID]],tblTargets[TargetID],tblTargets[DisplayName],"")</f>
        <v>Festival Returns Finished</v>
      </c>
      <c r="D1883" s="41" t="str">
        <f>_xlfn.XLOOKUP(tblCostChecklist[[#This Row],[TargetID]],tblTargets[TargetID],tblTargets[TargetType],"")</f>
        <v>QUEST</v>
      </c>
      <c r="E1883" s="41" t="s">
        <v>5837</v>
      </c>
      <c r="F1883" s="41">
        <v>1</v>
      </c>
      <c r="G1883" s="41">
        <f>_xlfn.XLOOKUP(
 tblCostChecklist[[#This Row],[RequirementID]],
 tblCost[RequirementID],
 tblCost[QuantityRequired],
 ""
)</f>
        <v>20</v>
      </c>
      <c r="H18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3" s="41" t="str">
        <f>_xlfn.XLOOKUP(tblCostChecklist[[#This Row],[TargetID]],tblTargetStatus[TargetID],tblTargetStatus[Status])</f>
        <v>BLOCKED</v>
      </c>
      <c r="J1883" s="25" t="b">
        <v>0</v>
      </c>
    </row>
    <row r="1884" spans="1:10">
      <c r="A1884" s="41" t="s">
        <v>5859</v>
      </c>
      <c r="B1884" s="41" t="str">
        <f>_xlfn.TEXTAFTER(
 _xlfn.TEXTBEFORE(tblCostChecklist[[#This Row],[RequirementID]],".",-2),
 "cost."
)</f>
        <v>quest.festival_returns.finished</v>
      </c>
      <c r="C1884" s="41" t="str">
        <f>_xlfn.XLOOKUP(tblCostChecklist[[#This Row],[TargetID]],tblTargets[TargetID],tblTargets[DisplayName],"")</f>
        <v>Festival Returns Finished</v>
      </c>
      <c r="D1884" s="41" t="str">
        <f>_xlfn.XLOOKUP(tblCostChecklist[[#This Row],[TargetID]],tblTargets[TargetID],tblTargets[TargetType],"")</f>
        <v>QUEST</v>
      </c>
      <c r="E1884" s="41" t="s">
        <v>712</v>
      </c>
      <c r="F1884" s="41">
        <v>1</v>
      </c>
      <c r="G1884" s="41">
        <f>_xlfn.XLOOKUP(
 tblCostChecklist[[#This Row],[RequirementID]],
 tblCost[RequirementID],
 tblCost[QuantityRequired],
 ""
)</f>
        <v>10</v>
      </c>
      <c r="H18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4" s="41" t="str">
        <f>_xlfn.XLOOKUP(tblCostChecklist[[#This Row],[TargetID]],tblTargetStatus[TargetID],tblTargetStatus[Status])</f>
        <v>BLOCKED</v>
      </c>
      <c r="J1884" s="25" t="b">
        <v>0</v>
      </c>
    </row>
    <row r="1885" spans="1:10">
      <c r="A1885" s="41" t="s">
        <v>5860</v>
      </c>
      <c r="B1885" s="41" t="str">
        <f>_xlfn.TEXTAFTER(
 _xlfn.TEXTBEFORE(tblCostChecklist[[#This Row],[RequirementID]],".",-2),
 "cost."
)</f>
        <v>quest.festival_of_beans.finished</v>
      </c>
      <c r="C1885" s="41" t="str">
        <f>_xlfn.XLOOKUP(tblCostChecklist[[#This Row],[TargetID]],tblTargets[TargetID],tblTargets[DisplayName],"")</f>
        <v>Festival of Beans Finished</v>
      </c>
      <c r="D1885" s="41" t="str">
        <f>_xlfn.XLOOKUP(tblCostChecklist[[#This Row],[TargetID]],tblTargets[TargetID],tblTargets[TargetType],"")</f>
        <v>QUEST</v>
      </c>
      <c r="E1885" s="41" t="s">
        <v>714</v>
      </c>
      <c r="F1885" s="41">
        <v>1</v>
      </c>
      <c r="G1885" s="41">
        <f>_xlfn.XLOOKUP(
 tblCostChecklist[[#This Row],[RequirementID]],
 tblCost[RequirementID],
 tblCost[QuantityRequired],
 ""
)</f>
        <v>100</v>
      </c>
      <c r="H18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5" s="41" t="str">
        <f>_xlfn.XLOOKUP(tblCostChecklist[[#This Row],[TargetID]],tblTargetStatus[TargetID],tblTargetStatus[Status])</f>
        <v>BLOCKED</v>
      </c>
      <c r="J1885" s="25" t="b">
        <v>0</v>
      </c>
    </row>
    <row r="1886" spans="1:10">
      <c r="A1886" s="41" t="s">
        <v>5861</v>
      </c>
      <c r="B1886" s="41" t="str">
        <f>_xlfn.TEXTAFTER(
 _xlfn.TEXTBEFORE(tblCostChecklist[[#This Row],[RequirementID]],".",-2),
 "cost."
)</f>
        <v>quest.festival_of_beans.finished</v>
      </c>
      <c r="C1886" s="41" t="str">
        <f>_xlfn.XLOOKUP(tblCostChecklist[[#This Row],[TargetID]],tblTargets[TargetID],tblTargets[DisplayName],"")</f>
        <v>Festival of Beans Finished</v>
      </c>
      <c r="D1886" s="41" t="str">
        <f>_xlfn.XLOOKUP(tblCostChecklist[[#This Row],[TargetID]],tblTargets[TargetID],tblTargets[TargetType],"")</f>
        <v>QUEST</v>
      </c>
      <c r="E1886" s="41" t="s">
        <v>682</v>
      </c>
      <c r="F1886" s="41">
        <v>1</v>
      </c>
      <c r="G1886" s="41">
        <f>_xlfn.XLOOKUP(
 tblCostChecklist[[#This Row],[RequirementID]],
 tblCost[RequirementID],
 tblCost[QuantityRequired],
 ""
)</f>
        <v>10</v>
      </c>
      <c r="H18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6" s="41" t="str">
        <f>_xlfn.XLOOKUP(tblCostChecklist[[#This Row],[TargetID]],tblTargetStatus[TargetID],tblTargetStatus[Status])</f>
        <v>BLOCKED</v>
      </c>
      <c r="J1886" s="25" t="b">
        <v>0</v>
      </c>
    </row>
    <row r="1887" spans="1:10">
      <c r="A1887" s="41" t="s">
        <v>5862</v>
      </c>
      <c r="B1887" s="41" t="str">
        <f>_xlfn.TEXTAFTER(
 _xlfn.TEXTBEFORE(tblCostChecklist[[#This Row],[RequirementID]],".",-2),
 "cost."
)</f>
        <v>quest.festival_of_beans.finished</v>
      </c>
      <c r="C1887" s="41" t="str">
        <f>_xlfn.XLOOKUP(tblCostChecklist[[#This Row],[TargetID]],tblTargets[TargetID],tblTargets[DisplayName],"")</f>
        <v>Festival of Beans Finished</v>
      </c>
      <c r="D1887" s="41" t="str">
        <f>_xlfn.XLOOKUP(tblCostChecklist[[#This Row],[TargetID]],tblTargets[TargetID],tblTargets[TargetType],"")</f>
        <v>QUEST</v>
      </c>
      <c r="E1887" s="41" t="s">
        <v>1804</v>
      </c>
      <c r="F1887" s="41">
        <v>1</v>
      </c>
      <c r="G1887" s="41">
        <f>_xlfn.XLOOKUP(
 tblCostChecklist[[#This Row],[RequirementID]],
 tblCost[RequirementID],
 tblCost[QuantityRequired],
 ""
)</f>
        <v>10</v>
      </c>
      <c r="H18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7" s="41" t="str">
        <f>_xlfn.XLOOKUP(tblCostChecklist[[#This Row],[TargetID]],tblTargetStatus[TargetID],tblTargetStatus[Status])</f>
        <v>BLOCKED</v>
      </c>
      <c r="J1887" s="25" t="b">
        <v>0</v>
      </c>
    </row>
    <row r="1888" spans="1:10">
      <c r="A1888" s="41" t="s">
        <v>5863</v>
      </c>
      <c r="B1888" s="41" t="str">
        <f>_xlfn.TEXTAFTER(
 _xlfn.TEXTBEFORE(tblCostChecklist[[#This Row],[RequirementID]],".",-2),
 "cost."
)</f>
        <v>quest.festival_of_beans.finished</v>
      </c>
      <c r="C1888" s="41" t="str">
        <f>_xlfn.XLOOKUP(tblCostChecklist[[#This Row],[TargetID]],tblTargets[TargetID],tblTargets[DisplayName],"")</f>
        <v>Festival of Beans Finished</v>
      </c>
      <c r="D1888" s="41" t="str">
        <f>_xlfn.XLOOKUP(tblCostChecklist[[#This Row],[TargetID]],tblTargets[TargetID],tblTargets[TargetType],"")</f>
        <v>QUEST</v>
      </c>
      <c r="E1888" s="41" t="s">
        <v>5864</v>
      </c>
      <c r="F1888" s="41">
        <v>1</v>
      </c>
      <c r="G1888" s="41">
        <f>_xlfn.XLOOKUP(
 tblCostChecklist[[#This Row],[RequirementID]],
 tblCost[RequirementID],
 tblCost[QuantityRequired],
 ""
)</f>
        <v>10</v>
      </c>
      <c r="H18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8" s="41" t="str">
        <f>_xlfn.XLOOKUP(tblCostChecklist[[#This Row],[TargetID]],tblTargetStatus[TargetID],tblTargetStatus[Status])</f>
        <v>BLOCKED</v>
      </c>
      <c r="J1888" s="25" t="b">
        <v>0</v>
      </c>
    </row>
    <row r="1889" spans="1:10">
      <c r="A1889" s="41" t="s">
        <v>5865</v>
      </c>
      <c r="B1889" s="41" t="str">
        <f>_xlfn.TEXTAFTER(
 _xlfn.TEXTBEFORE(tblCostChecklist[[#This Row],[RequirementID]],".",-2),
 "cost."
)</f>
        <v>quest.festival_of_beans.finished</v>
      </c>
      <c r="C1889" s="41" t="str">
        <f>_xlfn.XLOOKUP(tblCostChecklist[[#This Row],[TargetID]],tblTargets[TargetID],tblTargets[DisplayName],"")</f>
        <v>Festival of Beans Finished</v>
      </c>
      <c r="D1889" s="41" t="str">
        <f>_xlfn.XLOOKUP(tblCostChecklist[[#This Row],[TargetID]],tblTargets[TargetID],tblTargets[TargetType],"")</f>
        <v>QUEST</v>
      </c>
      <c r="E1889" s="41" t="s">
        <v>954</v>
      </c>
      <c r="F1889" s="41">
        <v>1</v>
      </c>
      <c r="G1889" s="41">
        <f>_xlfn.XLOOKUP(
 tblCostChecklist[[#This Row],[RequirementID]],
 tblCost[RequirementID],
 tblCost[QuantityRequired],
 ""
)</f>
        <v>10</v>
      </c>
      <c r="H18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9" s="41" t="str">
        <f>_xlfn.XLOOKUP(tblCostChecklist[[#This Row],[TargetID]],tblTargetStatus[TargetID],tblTargetStatus[Status])</f>
        <v>BLOCKED</v>
      </c>
      <c r="J1889" s="25" t="b">
        <v>0</v>
      </c>
    </row>
    <row r="1890" spans="1:10">
      <c r="A1890" s="41" t="s">
        <v>5866</v>
      </c>
      <c r="B1890" s="41" t="str">
        <f>_xlfn.TEXTAFTER(
 _xlfn.TEXTBEFORE(tblCostChecklist[[#This Row],[RequirementID]],".",-2),
 "cost."
)</f>
        <v>quest.festival_of_beans.finished</v>
      </c>
      <c r="C1890" s="41" t="str">
        <f>_xlfn.XLOOKUP(tblCostChecklist[[#This Row],[TargetID]],tblTargets[TargetID],tblTargets[DisplayName],"")</f>
        <v>Festival of Beans Finished</v>
      </c>
      <c r="D1890" s="41" t="str">
        <f>_xlfn.XLOOKUP(tblCostChecklist[[#This Row],[TargetID]],tblTargets[TargetID],tblTargets[TargetType],"")</f>
        <v>QUEST</v>
      </c>
      <c r="E1890" s="41" t="s">
        <v>858</v>
      </c>
      <c r="F1890" s="41">
        <v>1</v>
      </c>
      <c r="G1890" s="41">
        <f>_xlfn.XLOOKUP(
 tblCostChecklist[[#This Row],[RequirementID]],
 tblCost[RequirementID],
 tblCost[QuantityRequired],
 ""
)</f>
        <v>10</v>
      </c>
      <c r="H18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0" s="41" t="str">
        <f>_xlfn.XLOOKUP(tblCostChecklist[[#This Row],[TargetID]],tblTargetStatus[TargetID],tblTargetStatus[Status])</f>
        <v>BLOCKED</v>
      </c>
      <c r="J1890" s="25" t="b">
        <v>0</v>
      </c>
    </row>
    <row r="1891" spans="1:10">
      <c r="A1891" s="41" t="s">
        <v>5867</v>
      </c>
      <c r="B1891" s="41" t="str">
        <f>_xlfn.TEXTAFTER(
 _xlfn.TEXTBEFORE(tblCostChecklist[[#This Row],[RequirementID]],".",-2),
 "cost."
)</f>
        <v>quest.festival_of_beans.finished</v>
      </c>
      <c r="C1891" s="41" t="str">
        <f>_xlfn.XLOOKUP(tblCostChecklist[[#This Row],[TargetID]],tblTargets[TargetID],tblTargets[DisplayName],"")</f>
        <v>Festival of Beans Finished</v>
      </c>
      <c r="D1891" s="41" t="str">
        <f>_xlfn.XLOOKUP(tblCostChecklist[[#This Row],[TargetID]],tblTargets[TargetID],tblTargets[TargetType],"")</f>
        <v>QUEST</v>
      </c>
      <c r="E1891" s="41" t="s">
        <v>5822</v>
      </c>
      <c r="F1891" s="41">
        <v>1</v>
      </c>
      <c r="G1891" s="41">
        <f>_xlfn.XLOOKUP(
 tblCostChecklist[[#This Row],[RequirementID]],
 tblCost[RequirementID],
 tblCost[QuantityRequired],
 ""
)</f>
        <v>10</v>
      </c>
      <c r="H18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1" s="41" t="str">
        <f>_xlfn.XLOOKUP(tblCostChecklist[[#This Row],[TargetID]],tblTargetStatus[TargetID],tblTargetStatus[Status])</f>
        <v>BLOCKED</v>
      </c>
      <c r="J1891" s="25" t="b">
        <v>0</v>
      </c>
    </row>
    <row r="1892" spans="1:10">
      <c r="A1892" s="41" t="s">
        <v>5868</v>
      </c>
      <c r="B1892" s="41" t="str">
        <f>_xlfn.TEXTAFTER(
 _xlfn.TEXTBEFORE(tblCostChecklist[[#This Row],[RequirementID]],".",-2),
 "cost."
)</f>
        <v>quest.festival_of_beans.finished</v>
      </c>
      <c r="C1892" s="41" t="str">
        <f>_xlfn.XLOOKUP(tblCostChecklist[[#This Row],[TargetID]],tblTargets[TargetID],tblTargets[DisplayName],"")</f>
        <v>Festival of Beans Finished</v>
      </c>
      <c r="D1892" s="41" t="str">
        <f>_xlfn.XLOOKUP(tblCostChecklist[[#This Row],[TargetID]],tblTargets[TargetID],tblTargets[TargetType],"")</f>
        <v>QUEST</v>
      </c>
      <c r="E1892" s="41" t="s">
        <v>713</v>
      </c>
      <c r="F1892" s="41">
        <v>1</v>
      </c>
      <c r="G1892" s="41">
        <f>_xlfn.XLOOKUP(
 tblCostChecklist[[#This Row],[RequirementID]],
 tblCost[RequirementID],
 tblCost[QuantityRequired],
 ""
)</f>
        <v>10</v>
      </c>
      <c r="H18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2" s="41" t="str">
        <f>_xlfn.XLOOKUP(tblCostChecklist[[#This Row],[TargetID]],tblTargetStatus[TargetID],tblTargetStatus[Status])</f>
        <v>BLOCKED</v>
      </c>
      <c r="J1892" s="25" t="b">
        <v>0</v>
      </c>
    </row>
    <row r="1893" spans="1:10">
      <c r="A1893" s="41" t="s">
        <v>5869</v>
      </c>
      <c r="B1893" s="41" t="str">
        <f>_xlfn.TEXTAFTER(
 _xlfn.TEXTBEFORE(tblCostChecklist[[#This Row],[RequirementID]],".",-2),
 "cost."
)</f>
        <v>quest.festival_of_beans.finished</v>
      </c>
      <c r="C1893" s="41" t="str">
        <f>_xlfn.XLOOKUP(tblCostChecklist[[#This Row],[TargetID]],tblTargets[TargetID],tblTargets[DisplayName],"")</f>
        <v>Festival of Beans Finished</v>
      </c>
      <c r="D1893" s="41" t="str">
        <f>_xlfn.XLOOKUP(tblCostChecklist[[#This Row],[TargetID]],tblTargets[TargetID],tblTargets[TargetType],"")</f>
        <v>QUEST</v>
      </c>
      <c r="E1893" s="41" t="s">
        <v>5870</v>
      </c>
      <c r="F1893" s="41">
        <v>1</v>
      </c>
      <c r="G1893" s="41">
        <f>_xlfn.XLOOKUP(
 tblCostChecklist[[#This Row],[RequirementID]],
 tblCost[RequirementID],
 tblCost[QuantityRequired],
 ""
)</f>
        <v>10</v>
      </c>
      <c r="H18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3" s="41" t="str">
        <f>_xlfn.XLOOKUP(tblCostChecklist[[#This Row],[TargetID]],tblTargetStatus[TargetID],tblTargetStatus[Status])</f>
        <v>BLOCKED</v>
      </c>
      <c r="J1893" s="25" t="b">
        <v>0</v>
      </c>
    </row>
    <row r="1894" spans="1:10">
      <c r="A1894" s="41" t="s">
        <v>5871</v>
      </c>
      <c r="B1894" s="41" t="str">
        <f>_xlfn.TEXTAFTER(
 _xlfn.TEXTBEFORE(tblCostChecklist[[#This Row],[RequirementID]],".",-2),
 "cost."
)</f>
        <v>quest.festival_of_beans.finished</v>
      </c>
      <c r="C1894" s="41" t="str">
        <f>_xlfn.XLOOKUP(tblCostChecklist[[#This Row],[TargetID]],tblTargets[TargetID],tblTargets[DisplayName],"")</f>
        <v>Festival of Beans Finished</v>
      </c>
      <c r="D1894" s="41" t="str">
        <f>_xlfn.XLOOKUP(tblCostChecklist[[#This Row],[TargetID]],tblTargets[TargetID],tblTargets[TargetType],"")</f>
        <v>QUEST</v>
      </c>
      <c r="E1894" s="41" t="s">
        <v>718</v>
      </c>
      <c r="F1894" s="41">
        <v>1</v>
      </c>
      <c r="G1894" s="41">
        <f>_xlfn.XLOOKUP(
 tblCostChecklist[[#This Row],[RequirementID]],
 tblCost[RequirementID],
 tblCost[QuantityRequired],
 ""
)</f>
        <v>10</v>
      </c>
      <c r="H18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4" s="41" t="str">
        <f>_xlfn.XLOOKUP(tblCostChecklist[[#This Row],[TargetID]],tblTargetStatus[TargetID],tblTargetStatus[Status])</f>
        <v>BLOCKED</v>
      </c>
      <c r="J1894" s="25" t="b">
        <v>0</v>
      </c>
    </row>
    <row r="1895" spans="1:10">
      <c r="A1895" s="41" t="s">
        <v>5872</v>
      </c>
      <c r="B1895" s="41" t="str">
        <f>_xlfn.TEXTAFTER(
 _xlfn.TEXTBEFORE(tblCostChecklist[[#This Row],[RequirementID]],".",-2),
 "cost."
)</f>
        <v>quest.festival_of_beans.finished</v>
      </c>
      <c r="C1895" s="41" t="str">
        <f>_xlfn.XLOOKUP(tblCostChecklist[[#This Row],[TargetID]],tblTargets[TargetID],tblTargets[DisplayName],"")</f>
        <v>Festival of Beans Finished</v>
      </c>
      <c r="D1895" s="41" t="str">
        <f>_xlfn.XLOOKUP(tblCostChecklist[[#This Row],[TargetID]],tblTargets[TargetID],tblTargets[TargetType],"")</f>
        <v>QUEST</v>
      </c>
      <c r="E1895" s="41" t="s">
        <v>926</v>
      </c>
      <c r="F1895" s="41">
        <v>1</v>
      </c>
      <c r="G1895" s="41">
        <f>_xlfn.XLOOKUP(
 tblCostChecklist[[#This Row],[RequirementID]],
 tblCost[RequirementID],
 tblCost[QuantityRequired],
 ""
)</f>
        <v>20</v>
      </c>
      <c r="H18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5" s="41" t="str">
        <f>_xlfn.XLOOKUP(tblCostChecklist[[#This Row],[TargetID]],tblTargetStatus[TargetID],tblTargetStatus[Status])</f>
        <v>BLOCKED</v>
      </c>
      <c r="J1895" s="25" t="b">
        <v>0</v>
      </c>
    </row>
    <row r="1896" spans="1:10">
      <c r="A1896" s="41" t="s">
        <v>5873</v>
      </c>
      <c r="B1896" s="41" t="str">
        <f>_xlfn.TEXTAFTER(
 _xlfn.TEXTBEFORE(tblCostChecklist[[#This Row],[RequirementID]],".",-2),
 "cost."
)</f>
        <v>quest.green_potion.finished</v>
      </c>
      <c r="C1896" s="41" t="str">
        <f>_xlfn.XLOOKUP(tblCostChecklist[[#This Row],[TargetID]],tblTargets[TargetID],tblTargets[DisplayName],"")</f>
        <v>Green Potion Finished</v>
      </c>
      <c r="D1896" s="41" t="str">
        <f>_xlfn.XLOOKUP(tblCostChecklist[[#This Row],[TargetID]],tblTargets[TargetID],tblTargets[TargetType],"")</f>
        <v>QUEST</v>
      </c>
      <c r="E1896" s="41" t="s">
        <v>705</v>
      </c>
      <c r="F1896" s="41">
        <v>1</v>
      </c>
      <c r="G1896" s="41">
        <f>_xlfn.XLOOKUP(
 tblCostChecklist[[#This Row],[RequirementID]],
 tblCost[RequirementID],
 tblCost[QuantityRequired],
 ""
)</f>
        <v>2</v>
      </c>
      <c r="H18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6" s="41" t="str">
        <f>_xlfn.XLOOKUP(tblCostChecklist[[#This Row],[TargetID]],tblTargetStatus[TargetID],tblTargetStatus[Status])</f>
        <v>BLOCKED</v>
      </c>
      <c r="J1896" s="25" t="b">
        <v>0</v>
      </c>
    </row>
    <row r="1897" spans="1:10">
      <c r="A1897" s="41" t="s">
        <v>5874</v>
      </c>
      <c r="B1897" s="41" t="str">
        <f>_xlfn.TEXTAFTER(
 _xlfn.TEXTBEFORE(tblCostChecklist[[#This Row],[RequirementID]],".",-2),
 "cost."
)</f>
        <v>quest.magic_beans.finished</v>
      </c>
      <c r="C1897" s="41" t="str">
        <f>_xlfn.XLOOKUP(tblCostChecklist[[#This Row],[TargetID]],tblTargets[TargetID],tblTargets[DisplayName],"")</f>
        <v>Magic Beans Finished</v>
      </c>
      <c r="D1897" s="41" t="str">
        <f>_xlfn.XLOOKUP(tblCostChecklist[[#This Row],[TargetID]],tblTargets[TargetID],tblTargets[TargetType],"")</f>
        <v>QUEST</v>
      </c>
      <c r="E1897" s="41" t="s">
        <v>954</v>
      </c>
      <c r="F1897" s="41">
        <v>1</v>
      </c>
      <c r="G1897" s="41">
        <f>_xlfn.XLOOKUP(
 tblCostChecklist[[#This Row],[RequirementID]],
 tblCost[RequirementID],
 tblCost[QuantityRequired],
 ""
)</f>
        <v>1</v>
      </c>
      <c r="H18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7" s="41" t="str">
        <f>_xlfn.XLOOKUP(tblCostChecklist[[#This Row],[TargetID]],tblTargetStatus[TargetID],tblTargetStatus[Status])</f>
        <v>BLOCKED</v>
      </c>
      <c r="J1897" s="25" t="b">
        <v>0</v>
      </c>
    </row>
    <row r="1898" spans="1:10">
      <c r="A1898" s="41" t="s">
        <v>5875</v>
      </c>
      <c r="B1898" s="41" t="str">
        <f>_xlfn.TEXTAFTER(
 _xlfn.TEXTBEFORE(tblCostChecklist[[#This Row],[RequirementID]],".",-2),
 "cost."
)</f>
        <v>quest.magic_beans.finished</v>
      </c>
      <c r="C1898" s="41" t="str">
        <f>_xlfn.XLOOKUP(tblCostChecklist[[#This Row],[TargetID]],tblTargets[TargetID],tblTargets[DisplayName],"")</f>
        <v>Magic Beans Finished</v>
      </c>
      <c r="D1898" s="41" t="str">
        <f>_xlfn.XLOOKUP(tblCostChecklist[[#This Row],[TargetID]],tblTargets[TargetID],tblTargets[TargetType],"")</f>
        <v>QUEST</v>
      </c>
      <c r="E1898" s="41" t="s">
        <v>858</v>
      </c>
      <c r="F1898" s="41">
        <v>1</v>
      </c>
      <c r="G1898" s="41">
        <f>_xlfn.XLOOKUP(
 tblCostChecklist[[#This Row],[RequirementID]],
 tblCost[RequirementID],
 tblCost[QuantityRequired],
 ""
)</f>
        <v>1</v>
      </c>
      <c r="H18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8" s="41" t="str">
        <f>_xlfn.XLOOKUP(tblCostChecklist[[#This Row],[TargetID]],tblTargetStatus[TargetID],tblTargetStatus[Status])</f>
        <v>BLOCKED</v>
      </c>
      <c r="J1898" s="25" t="b">
        <v>0</v>
      </c>
    </row>
    <row r="1899" spans="1:10">
      <c r="A1899" s="41" t="s">
        <v>5876</v>
      </c>
      <c r="B1899" s="41" t="str">
        <f>_xlfn.TEXTAFTER(
 _xlfn.TEXTBEFORE(tblCostChecklist[[#This Row],[RequirementID]],".",-2),
 "cost."
)</f>
        <v>quest.magic_beans.finished</v>
      </c>
      <c r="C1899" s="41" t="str">
        <f>_xlfn.XLOOKUP(tblCostChecklist[[#This Row],[TargetID]],tblTargets[TargetID],tblTargets[DisplayName],"")</f>
        <v>Magic Beans Finished</v>
      </c>
      <c r="D1899" s="41" t="str">
        <f>_xlfn.XLOOKUP(tblCostChecklist[[#This Row],[TargetID]],tblTargets[TargetID],tblTargets[TargetType],"")</f>
        <v>QUEST</v>
      </c>
      <c r="E1899" s="41" t="s">
        <v>1848</v>
      </c>
      <c r="F1899" s="41">
        <v>1</v>
      </c>
      <c r="G1899" s="41">
        <f>_xlfn.XLOOKUP(
 tblCostChecklist[[#This Row],[RequirementID]],
 tblCost[RequirementID],
 tblCost[QuantityRequired],
 ""
)</f>
        <v>1</v>
      </c>
      <c r="H18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9" s="41" t="str">
        <f>_xlfn.XLOOKUP(tblCostChecklist[[#This Row],[TargetID]],tblTargetStatus[TargetID],tblTargetStatus[Status])</f>
        <v>BLOCKED</v>
      </c>
      <c r="J1899" s="25" t="b">
        <v>0</v>
      </c>
    </row>
    <row r="1900" spans="1:10">
      <c r="A1900" s="41" t="s">
        <v>5877</v>
      </c>
      <c r="B1900" s="41" t="str">
        <f>_xlfn.TEXTAFTER(
 _xlfn.TEXTBEFORE(tblCostChecklist[[#This Row],[RequirementID]],".",-2),
 "cost."
)</f>
        <v>quest.once_upon_a_forest_chapter_5.finished</v>
      </c>
      <c r="C1900" s="41" t="str">
        <f>_xlfn.XLOOKUP(tblCostChecklist[[#This Row],[TargetID]],tblTargets[TargetID],tblTargets[DisplayName],"")</f>
        <v>Once Upon a Forest Chapter 5 Finished</v>
      </c>
      <c r="D1900" s="41" t="str">
        <f>_xlfn.XLOOKUP(tblCostChecklist[[#This Row],[TargetID]],tblTargets[TargetID],tblTargets[TargetType],"")</f>
        <v>QUEST</v>
      </c>
      <c r="E1900" s="41" t="s">
        <v>1801</v>
      </c>
      <c r="F1900" s="41">
        <v>1</v>
      </c>
      <c r="G1900" s="41">
        <f>_xlfn.XLOOKUP(
 tblCostChecklist[[#This Row],[RequirementID]],
 tblCost[RequirementID],
 tblCost[QuantityRequired],
 ""
)</f>
        <v>2</v>
      </c>
      <c r="H19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0" s="41" t="str">
        <f>_xlfn.XLOOKUP(tblCostChecklist[[#This Row],[TargetID]],tblTargetStatus[TargetID],tblTargetStatus[Status])</f>
        <v>BLOCKED</v>
      </c>
      <c r="J1900" s="25" t="b">
        <v>0</v>
      </c>
    </row>
    <row r="1901" spans="1:10">
      <c r="A1901" s="41" t="s">
        <v>5878</v>
      </c>
      <c r="B1901" s="41" t="str">
        <f>_xlfn.TEXTAFTER(
 _xlfn.TEXTBEFORE(tblCostChecklist[[#This Row],[RequirementID]],".",-2),
 "cost."
)</f>
        <v>quest.once_upon_a_forest_chapter_5.finished</v>
      </c>
      <c r="C1901" s="41" t="str">
        <f>_xlfn.XLOOKUP(tblCostChecklist[[#This Row],[TargetID]],tblTargets[TargetID],tblTargets[DisplayName],"")</f>
        <v>Once Upon a Forest Chapter 5 Finished</v>
      </c>
      <c r="D1901" s="41" t="str">
        <f>_xlfn.XLOOKUP(tblCostChecklist[[#This Row],[TargetID]],tblTargets[TargetID],tblTargets[TargetType],"")</f>
        <v>QUEST</v>
      </c>
      <c r="E1901" s="41" t="s">
        <v>1839</v>
      </c>
      <c r="F1901" s="41">
        <v>1</v>
      </c>
      <c r="G1901" s="41">
        <f>_xlfn.XLOOKUP(
 tblCostChecklist[[#This Row],[RequirementID]],
 tblCost[RequirementID],
 tblCost[QuantityRequired],
 ""
)</f>
        <v>2</v>
      </c>
      <c r="H19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1" s="41" t="str">
        <f>_xlfn.XLOOKUP(tblCostChecklist[[#This Row],[TargetID]],tblTargetStatus[TargetID],tblTargetStatus[Status])</f>
        <v>BLOCKED</v>
      </c>
      <c r="J1901" s="25" t="b">
        <v>0</v>
      </c>
    </row>
    <row r="1902" spans="1:10">
      <c r="A1902" s="41" t="s">
        <v>5879</v>
      </c>
      <c r="B1902" s="41" t="str">
        <f>_xlfn.TEXTAFTER(
 _xlfn.TEXTBEFORE(tblCostChecklist[[#This Row],[RequirementID]],".",-2),
 "cost."
)</f>
        <v>quest.once_upon_a_forest_chapter_5.finished</v>
      </c>
      <c r="C1902" s="41" t="str">
        <f>_xlfn.XLOOKUP(tblCostChecklist[[#This Row],[TargetID]],tblTargets[TargetID],tblTargets[DisplayName],"")</f>
        <v>Once Upon a Forest Chapter 5 Finished</v>
      </c>
      <c r="D1902" s="41" t="str">
        <f>_xlfn.XLOOKUP(tblCostChecklist[[#This Row],[TargetID]],tblTargets[TargetID],tblTargets[TargetType],"")</f>
        <v>QUEST</v>
      </c>
      <c r="E1902" s="41" t="s">
        <v>711</v>
      </c>
      <c r="F1902" s="41">
        <v>1</v>
      </c>
      <c r="G1902" s="41">
        <f>_xlfn.XLOOKUP(
 tblCostChecklist[[#This Row],[RequirementID]],
 tblCost[RequirementID],
 tblCost[QuantityRequired],
 ""
)</f>
        <v>2</v>
      </c>
      <c r="H19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2" s="41" t="str">
        <f>_xlfn.XLOOKUP(tblCostChecklist[[#This Row],[TargetID]],tblTargetStatus[TargetID],tblTargetStatus[Status])</f>
        <v>BLOCKED</v>
      </c>
      <c r="J1902" s="25" t="b">
        <v>0</v>
      </c>
    </row>
    <row r="1903" spans="1:10">
      <c r="A1903" s="41" t="s">
        <v>5880</v>
      </c>
      <c r="B1903" s="41" t="str">
        <f>_xlfn.TEXTAFTER(
 _xlfn.TEXTBEFORE(tblCostChecklist[[#This Row],[RequirementID]],".",-2),
 "cost."
)</f>
        <v>quest.once_upon_a_forest_chapter_5.finished</v>
      </c>
      <c r="C1903" s="41" t="str">
        <f>_xlfn.XLOOKUP(tblCostChecklist[[#This Row],[TargetID]],tblTargets[TargetID],tblTargets[DisplayName],"")</f>
        <v>Once Upon a Forest Chapter 5 Finished</v>
      </c>
      <c r="D1903" s="41" t="str">
        <f>_xlfn.XLOOKUP(tblCostChecklist[[#This Row],[TargetID]],tblTargets[TargetID],tblTargets[TargetType],"")</f>
        <v>QUEST</v>
      </c>
      <c r="E1903" s="41" t="s">
        <v>719</v>
      </c>
      <c r="F1903" s="41">
        <v>1</v>
      </c>
      <c r="G1903" s="41">
        <f>_xlfn.XLOOKUP(
 tblCostChecklist[[#This Row],[RequirementID]],
 tblCost[RequirementID],
 tblCost[QuantityRequired],
 ""
)</f>
        <v>4</v>
      </c>
      <c r="H19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3" s="41" t="str">
        <f>_xlfn.XLOOKUP(tblCostChecklist[[#This Row],[TargetID]],tblTargetStatus[TargetID],tblTargetStatus[Status])</f>
        <v>BLOCKED</v>
      </c>
      <c r="J1903" s="25" t="b">
        <v>0</v>
      </c>
    </row>
    <row r="1904" spans="1:10">
      <c r="A1904" s="41" t="s">
        <v>5881</v>
      </c>
      <c r="B1904" s="41" t="str">
        <f>_xlfn.TEXTAFTER(
 _xlfn.TEXTBEFORE(tblCostChecklist[[#This Row],[RequirementID]],".",-2),
 "cost."
)</f>
        <v>quest.once_upon_a_forest_chapter_8.finished</v>
      </c>
      <c r="C1904" s="41" t="str">
        <f>_xlfn.XLOOKUP(tblCostChecklist[[#This Row],[TargetID]],tblTargets[TargetID],tblTargets[DisplayName],"")</f>
        <v>Once Upon a Forest Chapter 8 Finished</v>
      </c>
      <c r="D1904" s="41" t="str">
        <f>_xlfn.XLOOKUP(tblCostChecklist[[#This Row],[TargetID]],tblTargets[TargetID],tblTargets[TargetType],"")</f>
        <v>QUEST</v>
      </c>
      <c r="E1904" s="41" t="s">
        <v>722</v>
      </c>
      <c r="F1904" s="41">
        <v>1</v>
      </c>
      <c r="G1904" s="41">
        <f>_xlfn.XLOOKUP(
 tblCostChecklist[[#This Row],[RequirementID]],
 tblCost[RequirementID],
 tblCost[QuantityRequired],
 ""
)</f>
        <v>10</v>
      </c>
      <c r="H19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4" s="41" t="str">
        <f>_xlfn.XLOOKUP(tblCostChecklist[[#This Row],[TargetID]],tblTargetStatus[TargetID],tblTargetStatus[Status])</f>
        <v>BLOCKED</v>
      </c>
      <c r="J1904" s="25" t="b">
        <v>0</v>
      </c>
    </row>
    <row r="1905" spans="1:10">
      <c r="A1905" s="41" t="s">
        <v>5882</v>
      </c>
      <c r="B1905" s="41" t="str">
        <f>_xlfn.TEXTAFTER(
 _xlfn.TEXTBEFORE(tblCostChecklist[[#This Row],[RequirementID]],".",-2),
 "cost."
)</f>
        <v>quest.once_upon_a_forest_chapter_8.finished</v>
      </c>
      <c r="C1905" s="41" t="str">
        <f>_xlfn.XLOOKUP(tblCostChecklist[[#This Row],[TargetID]],tblTargets[TargetID],tblTargets[DisplayName],"")</f>
        <v>Once Upon a Forest Chapter 8 Finished</v>
      </c>
      <c r="D1905" s="41" t="str">
        <f>_xlfn.XLOOKUP(tblCostChecklist[[#This Row],[TargetID]],tblTargets[TargetID],tblTargets[TargetType],"")</f>
        <v>QUEST</v>
      </c>
      <c r="E1905" s="41" t="s">
        <v>707</v>
      </c>
      <c r="F1905" s="41">
        <v>1</v>
      </c>
      <c r="G1905" s="41">
        <f>_xlfn.XLOOKUP(
 tblCostChecklist[[#This Row],[RequirementID]],
 tblCost[RequirementID],
 tblCost[QuantityRequired],
 ""
)</f>
        <v>10</v>
      </c>
      <c r="H19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5" s="41" t="str">
        <f>_xlfn.XLOOKUP(tblCostChecklist[[#This Row],[TargetID]],tblTargetStatus[TargetID],tblTargetStatus[Status])</f>
        <v>BLOCKED</v>
      </c>
      <c r="J1905" s="25" t="b">
        <v>0</v>
      </c>
    </row>
    <row r="1906" spans="1:10">
      <c r="A1906" s="41" t="s">
        <v>5883</v>
      </c>
      <c r="B1906" s="41" t="str">
        <f>_xlfn.TEXTAFTER(
 _xlfn.TEXTBEFORE(tblCostChecklist[[#This Row],[RequirementID]],".",-2),
 "cost."
)</f>
        <v>quest.once_upon_a_forest_chapter_8.finished</v>
      </c>
      <c r="C1906" s="41" t="str">
        <f>_xlfn.XLOOKUP(tblCostChecklist[[#This Row],[TargetID]],tblTargets[TargetID],tblTargets[DisplayName],"")</f>
        <v>Once Upon a Forest Chapter 8 Finished</v>
      </c>
      <c r="D1906" s="41" t="str">
        <f>_xlfn.XLOOKUP(tblCostChecklist[[#This Row],[TargetID]],tblTargets[TargetID],tblTargets[TargetType],"")</f>
        <v>QUEST</v>
      </c>
      <c r="E1906" s="41" t="s">
        <v>666</v>
      </c>
      <c r="F1906" s="41">
        <v>1</v>
      </c>
      <c r="G1906" s="41">
        <f>_xlfn.XLOOKUP(
 tblCostChecklist[[#This Row],[RequirementID]],
 tblCost[RequirementID],
 tblCost[QuantityRequired],
 ""
)</f>
        <v>1000</v>
      </c>
      <c r="H19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6" s="41" t="str">
        <f>_xlfn.XLOOKUP(tblCostChecklist[[#This Row],[TargetID]],tblTargetStatus[TargetID],tblTargetStatus[Status])</f>
        <v>BLOCKED</v>
      </c>
      <c r="J1906" s="25" t="b">
        <v>0</v>
      </c>
    </row>
    <row r="1907" spans="1:10">
      <c r="A1907" s="41" t="s">
        <v>5884</v>
      </c>
      <c r="B1907" s="41" t="str">
        <f>_xlfn.TEXTAFTER(
 _xlfn.TEXTBEFORE(tblCostChecklist[[#This Row],[RequirementID]],".",-2),
 "cost."
)</f>
        <v>quest.once_upon_a_forest_chapter_13.finished</v>
      </c>
      <c r="C1907" s="41" t="str">
        <f>_xlfn.XLOOKUP(tblCostChecklist[[#This Row],[TargetID]],tblTargets[TargetID],tblTargets[DisplayName],"")</f>
        <v>Once Upon a Forest Chapter 13 Finished</v>
      </c>
      <c r="D1907" s="41" t="str">
        <f>_xlfn.XLOOKUP(tblCostChecklist[[#This Row],[TargetID]],tblTargets[TargetID],tblTargets[TargetType],"")</f>
        <v>QUEST</v>
      </c>
      <c r="E1907" s="41" t="s">
        <v>5885</v>
      </c>
      <c r="F1907" s="41">
        <v>1</v>
      </c>
      <c r="G1907" s="41">
        <f>_xlfn.XLOOKUP(
 tblCostChecklist[[#This Row],[RequirementID]],
 tblCost[RequirementID],
 tblCost[QuantityRequired],
 ""
)</f>
        <v>10</v>
      </c>
      <c r="H19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7" s="41" t="str">
        <f>_xlfn.XLOOKUP(tblCostChecklist[[#This Row],[TargetID]],tblTargetStatus[TargetID],tblTargetStatus[Status])</f>
        <v>BLOCKED</v>
      </c>
      <c r="J1907" s="25" t="b">
        <v>0</v>
      </c>
    </row>
    <row r="1908" spans="1:10">
      <c r="A1908" s="41" t="s">
        <v>5886</v>
      </c>
      <c r="B1908" s="41" t="str">
        <f>_xlfn.TEXTAFTER(
 _xlfn.TEXTBEFORE(tblCostChecklist[[#This Row],[RequirementID]],".",-2),
 "cost."
)</f>
        <v>quest.once_upon_a_forest_chapter_13.finished</v>
      </c>
      <c r="C1908" s="41" t="str">
        <f>_xlfn.XLOOKUP(tblCostChecklist[[#This Row],[TargetID]],tblTargets[TargetID],tblTargets[DisplayName],"")</f>
        <v>Once Upon a Forest Chapter 13 Finished</v>
      </c>
      <c r="D1908" s="41" t="str">
        <f>_xlfn.XLOOKUP(tblCostChecklist[[#This Row],[TargetID]],tblTargets[TargetID],tblTargets[TargetType],"")</f>
        <v>QUEST</v>
      </c>
      <c r="E1908" s="41" t="s">
        <v>5837</v>
      </c>
      <c r="F1908" s="41">
        <v>1</v>
      </c>
      <c r="G1908" s="41">
        <f>_xlfn.XLOOKUP(
 tblCostChecklist[[#This Row],[RequirementID]],
 tblCost[RequirementID],
 tblCost[QuantityRequired],
 ""
)</f>
        <v>10</v>
      </c>
      <c r="H19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8" s="41" t="str">
        <f>_xlfn.XLOOKUP(tblCostChecklist[[#This Row],[TargetID]],tblTargetStatus[TargetID],tblTargetStatus[Status])</f>
        <v>BLOCKED</v>
      </c>
      <c r="J1908" s="25" t="b">
        <v>0</v>
      </c>
    </row>
    <row r="1909" spans="1:10">
      <c r="A1909" s="41" t="s">
        <v>5887</v>
      </c>
      <c r="B1909" s="41" t="str">
        <f>_xlfn.TEXTAFTER(
 _xlfn.TEXTBEFORE(tblCostChecklist[[#This Row],[RequirementID]],".",-2),
 "cost."
)</f>
        <v>quest.once_upon_a_forest_chapter_13.finished</v>
      </c>
      <c r="C1909" s="41" t="str">
        <f>_xlfn.XLOOKUP(tblCostChecklist[[#This Row],[TargetID]],tblTargets[TargetID],tblTargets[DisplayName],"")</f>
        <v>Once Upon a Forest Chapter 13 Finished</v>
      </c>
      <c r="D1909" s="41" t="str">
        <f>_xlfn.XLOOKUP(tblCostChecklist[[#This Row],[TargetID]],tblTargets[TargetID],tblTargets[TargetType],"")</f>
        <v>QUEST</v>
      </c>
      <c r="E1909" s="41" t="s">
        <v>1793</v>
      </c>
      <c r="F1909" s="41">
        <v>1</v>
      </c>
      <c r="G1909" s="41">
        <f>_xlfn.XLOOKUP(
 tblCostChecklist[[#This Row],[RequirementID]],
 tblCost[RequirementID],
 tblCost[QuantityRequired],
 ""
)</f>
        <v>5</v>
      </c>
      <c r="H19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9" s="41" t="str">
        <f>_xlfn.XLOOKUP(tblCostChecklist[[#This Row],[TargetID]],tblTargetStatus[TargetID],tblTargetStatus[Status])</f>
        <v>BLOCKED</v>
      </c>
      <c r="J1909" s="25" t="b">
        <v>0</v>
      </c>
    </row>
    <row r="1910" spans="1:10">
      <c r="A1910" s="41" t="s">
        <v>5888</v>
      </c>
      <c r="B1910" s="41" t="str">
        <f>_xlfn.TEXTAFTER(
 _xlfn.TEXTBEFORE(tblCostChecklist[[#This Row],[RequirementID]],".",-2),
 "cost."
)</f>
        <v>quest.once_upon_a_forest_chapter_13.finished</v>
      </c>
      <c r="C1910" s="41" t="str">
        <f>_xlfn.XLOOKUP(tblCostChecklist[[#This Row],[TargetID]],tblTargets[TargetID],tblTargets[DisplayName],"")</f>
        <v>Once Upon a Forest Chapter 13 Finished</v>
      </c>
      <c r="D1910" s="41" t="str">
        <f>_xlfn.XLOOKUP(tblCostChecklist[[#This Row],[TargetID]],tblTargets[TargetID],tblTargets[TargetType],"")</f>
        <v>QUEST</v>
      </c>
      <c r="E1910" s="41" t="s">
        <v>855</v>
      </c>
      <c r="F1910" s="41">
        <v>1</v>
      </c>
      <c r="G1910" s="41">
        <f>_xlfn.XLOOKUP(
 tblCostChecklist[[#This Row],[RequirementID]],
 tblCost[RequirementID],
 tblCost[QuantityRequired],
 ""
)</f>
        <v>5</v>
      </c>
      <c r="H19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0" s="41" t="str">
        <f>_xlfn.XLOOKUP(tblCostChecklist[[#This Row],[TargetID]],tblTargetStatus[TargetID],tblTargetStatus[Status])</f>
        <v>BLOCKED</v>
      </c>
      <c r="J1910" s="25" t="b">
        <v>0</v>
      </c>
    </row>
    <row r="1911" spans="1:10">
      <c r="A1911" s="41" t="s">
        <v>5889</v>
      </c>
      <c r="B1911" s="41" t="str">
        <f>_xlfn.TEXTAFTER(
 _xlfn.TEXTBEFORE(tblCostChecklist[[#This Row],[RequirementID]],".",-2),
 "cost."
)</f>
        <v>quest.once_upon_a_forest_chapter_13.finished</v>
      </c>
      <c r="C1911" s="41" t="str">
        <f>_xlfn.XLOOKUP(tblCostChecklist[[#This Row],[TargetID]],tblTargets[TargetID],tblTargets[DisplayName],"")</f>
        <v>Once Upon a Forest Chapter 13 Finished</v>
      </c>
      <c r="D1911" s="41" t="str">
        <f>_xlfn.XLOOKUP(tblCostChecklist[[#This Row],[TargetID]],tblTargets[TargetID],tblTargets[TargetType],"")</f>
        <v>QUEST</v>
      </c>
      <c r="E1911" s="41" t="s">
        <v>938</v>
      </c>
      <c r="F1911" s="41">
        <v>1</v>
      </c>
      <c r="G1911" s="41">
        <f>_xlfn.XLOOKUP(
 tblCostChecklist[[#This Row],[RequirementID]],
 tblCost[RequirementID],
 tblCost[QuantityRequired],
 ""
)</f>
        <v>5</v>
      </c>
      <c r="H19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1" s="41" t="str">
        <f>_xlfn.XLOOKUP(tblCostChecklist[[#This Row],[TargetID]],tblTargetStatus[TargetID],tblTargetStatus[Status])</f>
        <v>BLOCKED</v>
      </c>
      <c r="J1911" s="25" t="b">
        <v>0</v>
      </c>
    </row>
    <row r="1912" spans="1:10">
      <c r="A1912" s="41" t="s">
        <v>5890</v>
      </c>
      <c r="B1912" s="41" t="str">
        <f>_xlfn.TEXTAFTER(
 _xlfn.TEXTBEFORE(tblCostChecklist[[#This Row],[RequirementID]],".",-2),
 "cost."
)</f>
        <v>quest.once_upon_a_forest_chapter_13.finished</v>
      </c>
      <c r="C1912" s="41" t="str">
        <f>_xlfn.XLOOKUP(tblCostChecklist[[#This Row],[TargetID]],tblTargets[TargetID],tblTargets[DisplayName],"")</f>
        <v>Once Upon a Forest Chapter 13 Finished</v>
      </c>
      <c r="D1912" s="41" t="str">
        <f>_xlfn.XLOOKUP(tblCostChecklist[[#This Row],[TargetID]],tblTargets[TargetID],tblTargets[TargetType],"")</f>
        <v>QUEST</v>
      </c>
      <c r="E1912" s="41" t="s">
        <v>1814</v>
      </c>
      <c r="F1912" s="41">
        <v>1</v>
      </c>
      <c r="G1912" s="41">
        <f>_xlfn.XLOOKUP(
 tblCostChecklist[[#This Row],[RequirementID]],
 tblCost[RequirementID],
 tblCost[QuantityRequired],
 ""
)</f>
        <v>10</v>
      </c>
      <c r="H19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2" s="41" t="str">
        <f>_xlfn.XLOOKUP(tblCostChecklist[[#This Row],[TargetID]],tblTargetStatus[TargetID],tblTargetStatus[Status])</f>
        <v>BLOCKED</v>
      </c>
      <c r="J1912" s="25" t="b">
        <v>0</v>
      </c>
    </row>
    <row r="1913" spans="1:10">
      <c r="A1913" s="41" t="s">
        <v>5891</v>
      </c>
      <c r="B1913" s="41" t="str">
        <f>_xlfn.TEXTAFTER(
 _xlfn.TEXTBEFORE(tblCostChecklist[[#This Row],[RequirementID]],".",-2),
 "cost."
)</f>
        <v>quest.shoguns_katana_chapter_1.finished</v>
      </c>
      <c r="C1913" s="41" t="str">
        <f>_xlfn.XLOOKUP(tblCostChecklist[[#This Row],[TargetID]],tblTargets[TargetID],tblTargets[DisplayName],"")</f>
        <v>Shogun's Katana Chapter 1 Finished</v>
      </c>
      <c r="D1913" s="41" t="str">
        <f>_xlfn.XLOOKUP(tblCostChecklist[[#This Row],[TargetID]],tblTargets[TargetID],tblTargets[TargetType],"")</f>
        <v>QUEST</v>
      </c>
      <c r="E1913" s="41" t="s">
        <v>1812</v>
      </c>
      <c r="F1913" s="41">
        <v>1</v>
      </c>
      <c r="G1913" s="41">
        <f>_xlfn.XLOOKUP(
 tblCostChecklist[[#This Row],[RequirementID]],
 tblCost[RequirementID],
 tblCost[QuantityRequired],
 ""
)</f>
        <v>1</v>
      </c>
      <c r="H19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3" s="41" t="str">
        <f>_xlfn.XLOOKUP(tblCostChecklist[[#This Row],[TargetID]],tblTargetStatus[TargetID],tblTargetStatus[Status])</f>
        <v>BLOCKED</v>
      </c>
      <c r="J1913" s="25" t="b">
        <v>0</v>
      </c>
    </row>
    <row r="1914" spans="1:10">
      <c r="A1914" s="41" t="s">
        <v>5892</v>
      </c>
      <c r="B1914" s="41" t="str">
        <f>_xlfn.TEXTAFTER(
 _xlfn.TEXTBEFORE(tblCostChecklist[[#This Row],[RequirementID]],".",-2),
 "cost."
)</f>
        <v>quest.shoguns_katana_chapter_2.finished</v>
      </c>
      <c r="C1914" s="41" t="str">
        <f>_xlfn.XLOOKUP(tblCostChecklist[[#This Row],[TargetID]],tblTargets[TargetID],tblTargets[DisplayName],"")</f>
        <v>Shogun's Katana Chapter 2 Finished</v>
      </c>
      <c r="D1914" s="41" t="str">
        <f>_xlfn.XLOOKUP(tblCostChecklist[[#This Row],[TargetID]],tblTargets[TargetID],tblTargets[TargetType],"")</f>
        <v>QUEST</v>
      </c>
      <c r="E1914" s="41" t="s">
        <v>1813</v>
      </c>
      <c r="F1914" s="41">
        <v>1</v>
      </c>
      <c r="G1914" s="41">
        <f>_xlfn.XLOOKUP(
 tblCostChecklist[[#This Row],[RequirementID]],
 tblCost[RequirementID],
 tblCost[QuantityRequired],
 ""
)</f>
        <v>1</v>
      </c>
      <c r="H19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4" s="41" t="str">
        <f>_xlfn.XLOOKUP(tblCostChecklist[[#This Row],[TargetID]],tblTargetStatus[TargetID],tblTargetStatus[Status])</f>
        <v>BLOCKED</v>
      </c>
      <c r="J1914" s="25" t="b">
        <v>0</v>
      </c>
    </row>
    <row r="1915" spans="1:10">
      <c r="A1915" s="41" t="s">
        <v>5893</v>
      </c>
      <c r="B1915" s="41" t="str">
        <f>_xlfn.TEXTAFTER(
 _xlfn.TEXTBEFORE(tblCostChecklist[[#This Row],[RequirementID]],".",-2),
 "cost."
)</f>
        <v>quest.shoguns_katana_chapter_3.finished</v>
      </c>
      <c r="C1915" s="41" t="str">
        <f>_xlfn.XLOOKUP(tblCostChecklist[[#This Row],[TargetID]],tblTargets[TargetID],tblTargets[DisplayName],"")</f>
        <v>Shogun's Katana Chapter 3 Finished</v>
      </c>
      <c r="D1915" s="41" t="str">
        <f>_xlfn.XLOOKUP(tblCostChecklist[[#This Row],[TargetID]],tblTargets[TargetID],tblTargets[TargetType],"")</f>
        <v>QUEST</v>
      </c>
      <c r="E1915" s="41" t="s">
        <v>5894</v>
      </c>
      <c r="F1915" s="41">
        <v>1</v>
      </c>
      <c r="G1915" s="41">
        <f>_xlfn.XLOOKUP(
 tblCostChecklist[[#This Row],[RequirementID]],
 tblCost[RequirementID],
 tblCost[QuantityRequired],
 ""
)</f>
        <v>1</v>
      </c>
      <c r="H19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5" s="41" t="str">
        <f>_xlfn.XLOOKUP(tblCostChecklist[[#This Row],[TargetID]],tblTargetStatus[TargetID],tblTargetStatus[Status])</f>
        <v>BLOCKED</v>
      </c>
      <c r="J1915" s="25" t="b">
        <v>0</v>
      </c>
    </row>
    <row r="1916" spans="1:10">
      <c r="A1916" s="41" t="s">
        <v>5895</v>
      </c>
      <c r="B1916" s="41" t="str">
        <f>_xlfn.TEXTAFTER(
 _xlfn.TEXTBEFORE(tblCostChecklist[[#This Row],[RequirementID]],".",-2),
 "cost."
)</f>
        <v>quest.shoguns_katana_chapter_4.finished</v>
      </c>
      <c r="C1916" s="41" t="str">
        <f>_xlfn.XLOOKUP(tblCostChecklist[[#This Row],[TargetID]],tblTargets[TargetID],tblTargets[DisplayName],"")</f>
        <v>Shogun's Katana Chapter 4 Finished</v>
      </c>
      <c r="D1916" s="41" t="str">
        <f>_xlfn.XLOOKUP(tblCostChecklist[[#This Row],[TargetID]],tblTargets[TargetID],tblTargets[TargetType],"")</f>
        <v>QUEST</v>
      </c>
      <c r="E1916" s="41" t="s">
        <v>5894</v>
      </c>
      <c r="F1916" s="41">
        <v>1</v>
      </c>
      <c r="G1916" s="41">
        <f>_xlfn.XLOOKUP(
 tblCostChecklist[[#This Row],[RequirementID]],
 tblCost[RequirementID],
 tblCost[QuantityRequired],
 ""
)</f>
        <v>1</v>
      </c>
      <c r="H19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6" s="41" t="str">
        <f>_xlfn.XLOOKUP(tblCostChecklist[[#This Row],[TargetID]],tblTargetStatus[TargetID],tblTargetStatus[Status])</f>
        <v>BLOCKED</v>
      </c>
      <c r="J1916" s="25" t="b">
        <v>0</v>
      </c>
    </row>
    <row r="1917" spans="1:10">
      <c r="A1917" s="41" t="s">
        <v>5896</v>
      </c>
      <c r="B1917" s="41" t="str">
        <f>_xlfn.TEXTAFTER(
 _xlfn.TEXTBEFORE(tblCostChecklist[[#This Row],[RequirementID]],".",-2),
 "cost."
)</f>
        <v>quest.shoguns_katana_chapter_5.finished</v>
      </c>
      <c r="C1917" s="41" t="str">
        <f>_xlfn.XLOOKUP(tblCostChecklist[[#This Row],[TargetID]],tblTargets[TargetID],tblTargets[DisplayName],"")</f>
        <v>Shogun's Katana Chapter 5 Finished</v>
      </c>
      <c r="D1917" s="41" t="str">
        <f>_xlfn.XLOOKUP(tblCostChecklist[[#This Row],[TargetID]],tblTargets[TargetID],tblTargets[TargetType],"")</f>
        <v>QUEST</v>
      </c>
      <c r="E1917" s="41" t="s">
        <v>5894</v>
      </c>
      <c r="F1917" s="41">
        <v>1</v>
      </c>
      <c r="G1917" s="41">
        <f>_xlfn.XLOOKUP(
 tblCostChecklist[[#This Row],[RequirementID]],
 tblCost[RequirementID],
 tblCost[QuantityRequired],
 ""
)</f>
        <v>1</v>
      </c>
      <c r="H19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7" s="41" t="str">
        <f>_xlfn.XLOOKUP(tblCostChecklist[[#This Row],[TargetID]],tblTargetStatus[TargetID],tblTargetStatus[Status])</f>
        <v>BLOCKED</v>
      </c>
      <c r="J1917" s="25" t="b">
        <v>0</v>
      </c>
    </row>
    <row r="1918" spans="1:10">
      <c r="A1918" s="41" t="s">
        <v>5897</v>
      </c>
      <c r="B1918" s="41" t="str">
        <f>_xlfn.TEXTAFTER(
 _xlfn.TEXTBEFORE(tblCostChecklist[[#This Row],[RequirementID]],".",-2),
 "cost."
)</f>
        <v>quest.shoguns_katana_chapter_6.finished</v>
      </c>
      <c r="C1918" s="41" t="str">
        <f>_xlfn.XLOOKUP(tblCostChecklist[[#This Row],[TargetID]],tblTargets[TargetID],tblTargets[DisplayName],"")</f>
        <v>Shogun's Katana Chapter 6 Finished</v>
      </c>
      <c r="D1918" s="41" t="str">
        <f>_xlfn.XLOOKUP(tblCostChecklist[[#This Row],[TargetID]],tblTargets[TargetID],tblTargets[TargetType],"")</f>
        <v>QUEST</v>
      </c>
      <c r="E1918" s="41" t="s">
        <v>5898</v>
      </c>
      <c r="F1918" s="41">
        <v>1</v>
      </c>
      <c r="G1918" s="41">
        <f>_xlfn.XLOOKUP(
 tblCostChecklist[[#This Row],[RequirementID]],
 tblCost[RequirementID],
 tblCost[QuantityRequired],
 ""
)</f>
        <v>1</v>
      </c>
      <c r="H19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8" s="41" t="str">
        <f>_xlfn.XLOOKUP(tblCostChecklist[[#This Row],[TargetID]],tblTargetStatus[TargetID],tblTargetStatus[Status])</f>
        <v>BLOCKED</v>
      </c>
      <c r="J1918" s="25" t="b">
        <v>0</v>
      </c>
    </row>
    <row r="1919" spans="1:10">
      <c r="A1919" s="41" t="s">
        <v>5899</v>
      </c>
      <c r="B1919" s="41" t="str">
        <f>_xlfn.TEXTAFTER(
 _xlfn.TEXTBEFORE(tblCostChecklist[[#This Row],[RequirementID]],".",-2),
 "cost."
)</f>
        <v>quest.shoguns_katana_chapter_7.finished</v>
      </c>
      <c r="C1919" s="41" t="str">
        <f>_xlfn.XLOOKUP(tblCostChecklist[[#This Row],[TargetID]],tblTargets[TargetID],tblTargets[DisplayName],"")</f>
        <v>Shogun's Katana Chapter 7 Finished</v>
      </c>
      <c r="D1919" s="41" t="str">
        <f>_xlfn.XLOOKUP(tblCostChecklist[[#This Row],[TargetID]],tblTargets[TargetID],tblTargets[TargetType],"")</f>
        <v>QUEST</v>
      </c>
      <c r="E1919" s="41" t="s">
        <v>5898</v>
      </c>
      <c r="F1919" s="41">
        <v>1</v>
      </c>
      <c r="G1919" s="41">
        <f>_xlfn.XLOOKUP(
 tblCostChecklist[[#This Row],[RequirementID]],
 tblCost[RequirementID],
 tblCost[QuantityRequired],
 ""
)</f>
        <v>1</v>
      </c>
      <c r="H19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9" s="41" t="str">
        <f>_xlfn.XLOOKUP(tblCostChecklist[[#This Row],[TargetID]],tblTargetStatus[TargetID],tblTargetStatus[Status])</f>
        <v>BLOCKED</v>
      </c>
      <c r="J1919" s="25" t="b">
        <v>0</v>
      </c>
    </row>
    <row r="1920" spans="1:10">
      <c r="A1920" s="41" t="s">
        <v>5900</v>
      </c>
      <c r="B1920" s="41" t="str">
        <f>_xlfn.TEXTAFTER(
 _xlfn.TEXTBEFORE(tblCostChecklist[[#This Row],[RequirementID]],".",-2),
 "cost."
)</f>
        <v>quest.the_ordinary_days_of_an_adventurer_chapter_2.finished</v>
      </c>
      <c r="C1920" s="41" t="str">
        <f>_xlfn.XLOOKUP(tblCostChecklist[[#This Row],[TargetID]],tblTargets[TargetID],tblTargets[DisplayName],"")</f>
        <v>The Ordinary Days of an Adventurer Chapter 2 Finished</v>
      </c>
      <c r="D1920" s="41" t="str">
        <f>_xlfn.XLOOKUP(tblCostChecklist[[#This Row],[TargetID]],tblTargets[TargetID],tblTargets[TargetType],"")</f>
        <v>QUEST</v>
      </c>
      <c r="E1920" s="41" t="s">
        <v>657</v>
      </c>
      <c r="F1920" s="41">
        <v>1</v>
      </c>
      <c r="G1920" s="41">
        <f>_xlfn.XLOOKUP(
 tblCostChecklist[[#This Row],[RequirementID]],
 tblCost[RequirementID],
 tblCost[QuantityRequired],
 ""
)</f>
        <v>25</v>
      </c>
      <c r="H19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0" s="41" t="str">
        <f>_xlfn.XLOOKUP(tblCostChecklist[[#This Row],[TargetID]],tblTargetStatus[TargetID],tblTargetStatus[Status])</f>
        <v>BLOCKED</v>
      </c>
      <c r="J1920" s="25" t="b">
        <v>0</v>
      </c>
    </row>
    <row r="1921" spans="1:10">
      <c r="A1921" s="41" t="s">
        <v>5901</v>
      </c>
      <c r="B1921" s="41" t="str">
        <f>_xlfn.TEXTAFTER(
 _xlfn.TEXTBEFORE(tblCostChecklist[[#This Row],[RequirementID]],".",-2),
 "cost."
)</f>
        <v>quest.the_ordinary_days_of_an_adventurer_chapter_2.finished</v>
      </c>
      <c r="C1921" s="41" t="str">
        <f>_xlfn.XLOOKUP(tblCostChecklist[[#This Row],[TargetID]],tblTargets[TargetID],tblTargets[DisplayName],"")</f>
        <v>The Ordinary Days of an Adventurer Chapter 2 Finished</v>
      </c>
      <c r="D1921" s="41" t="str">
        <f>_xlfn.XLOOKUP(tblCostChecklist[[#This Row],[TargetID]],tblTargets[TargetID],tblTargets[TargetType],"")</f>
        <v>QUEST</v>
      </c>
      <c r="E1921" s="41" t="s">
        <v>713</v>
      </c>
      <c r="F1921" s="41">
        <v>1</v>
      </c>
      <c r="G1921" s="41">
        <f>_xlfn.XLOOKUP(
 tblCostChecklist[[#This Row],[RequirementID]],
 tblCost[RequirementID],
 tblCost[QuantityRequired],
 ""
)</f>
        <v>5</v>
      </c>
      <c r="H19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1" s="41" t="str">
        <f>_xlfn.XLOOKUP(tblCostChecklist[[#This Row],[TargetID]],tblTargetStatus[TargetID],tblTargetStatus[Status])</f>
        <v>BLOCKED</v>
      </c>
      <c r="J1921" s="25" t="b">
        <v>0</v>
      </c>
    </row>
    <row r="1922" spans="1:10">
      <c r="A1922" s="41" t="s">
        <v>5902</v>
      </c>
      <c r="B1922" s="41" t="str">
        <f>_xlfn.TEXTAFTER(
 _xlfn.TEXTBEFORE(tblCostChecklist[[#This Row],[RequirementID]],".",-2),
 "cost."
)</f>
        <v>quest.the_ordinary_days_of_an_adventurer_chapter_2.finished</v>
      </c>
      <c r="C1922" s="41" t="str">
        <f>_xlfn.XLOOKUP(tblCostChecklist[[#This Row],[TargetID]],tblTargets[TargetID],tblTargets[DisplayName],"")</f>
        <v>The Ordinary Days of an Adventurer Chapter 2 Finished</v>
      </c>
      <c r="D1922" s="41" t="str">
        <f>_xlfn.XLOOKUP(tblCostChecklist[[#This Row],[TargetID]],tblTargets[TargetID],tblTargets[TargetType],"")</f>
        <v>QUEST</v>
      </c>
      <c r="E1922" s="41" t="s">
        <v>858</v>
      </c>
      <c r="F1922" s="41">
        <v>1</v>
      </c>
      <c r="G1922" s="41">
        <f>_xlfn.XLOOKUP(
 tblCostChecklist[[#This Row],[RequirementID]],
 tblCost[RequirementID],
 tblCost[QuantityRequired],
 ""
)</f>
        <v>3</v>
      </c>
      <c r="H19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2" s="41" t="str">
        <f>_xlfn.XLOOKUP(tblCostChecklist[[#This Row],[TargetID]],tblTargetStatus[TargetID],tblTargetStatus[Status])</f>
        <v>BLOCKED</v>
      </c>
      <c r="J1922" s="25" t="b">
        <v>0</v>
      </c>
    </row>
    <row r="1923" spans="1:10">
      <c r="A1923" s="41" t="s">
        <v>5903</v>
      </c>
      <c r="B1923" s="41" t="str">
        <f>_xlfn.TEXTAFTER(
 _xlfn.TEXTBEFORE(tblCostChecklist[[#This Row],[RequirementID]],".",-2),
 "cost."
)</f>
        <v>quest.the_ordinary_days_of_an_adventurer_chapter_5.finished</v>
      </c>
      <c r="C1923" s="41" t="str">
        <f>_xlfn.XLOOKUP(tblCostChecklist[[#This Row],[TargetID]],tblTargets[TargetID],tblTargets[DisplayName],"")</f>
        <v>The Ordinary Days of an Adventurer Chapter 5 Finished</v>
      </c>
      <c r="D1923" s="41" t="str">
        <f>_xlfn.XLOOKUP(tblCostChecklist[[#This Row],[TargetID]],tblTargets[TargetID],tblTargets[TargetType],"")</f>
        <v>QUEST</v>
      </c>
      <c r="E1923" s="41" t="s">
        <v>934</v>
      </c>
      <c r="F1923" s="41">
        <v>1</v>
      </c>
      <c r="G1923" s="41">
        <f>_xlfn.XLOOKUP(
 tblCostChecklist[[#This Row],[RequirementID]],
 tblCost[RequirementID],
 tblCost[QuantityRequired],
 ""
)</f>
        <v>150</v>
      </c>
      <c r="H19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3" s="41" t="str">
        <f>_xlfn.XLOOKUP(tblCostChecklist[[#This Row],[TargetID]],tblTargetStatus[TargetID],tblTargetStatus[Status])</f>
        <v>BLOCKED</v>
      </c>
      <c r="J1923" s="25" t="b">
        <v>0</v>
      </c>
    </row>
    <row r="1924" spans="1:10">
      <c r="A1924" s="41" t="s">
        <v>5904</v>
      </c>
      <c r="B1924" s="41" t="str">
        <f>_xlfn.TEXTAFTER(
 _xlfn.TEXTBEFORE(tblCostChecklist[[#This Row],[RequirementID]],".",-2),
 "cost."
)</f>
        <v>quest.the_ordinary_days_of_an_adventurer_chapter_5.finished</v>
      </c>
      <c r="C1924" s="41" t="str">
        <f>_xlfn.XLOOKUP(tblCostChecklist[[#This Row],[TargetID]],tblTargets[TargetID],tblTargets[DisplayName],"")</f>
        <v>The Ordinary Days of an Adventurer Chapter 5 Finished</v>
      </c>
      <c r="D1924" s="41" t="str">
        <f>_xlfn.XLOOKUP(tblCostChecklist[[#This Row],[TargetID]],tblTargets[TargetID],tblTargets[TargetType],"")</f>
        <v>QUEST</v>
      </c>
      <c r="E1924" s="41" t="s">
        <v>669</v>
      </c>
      <c r="F1924" s="41">
        <v>1</v>
      </c>
      <c r="G1924" s="41">
        <f>_xlfn.XLOOKUP(
 tblCostChecklist[[#This Row],[RequirementID]],
 tblCost[RequirementID],
 tblCost[QuantityRequired],
 ""
)</f>
        <v>30</v>
      </c>
      <c r="H19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4" s="41" t="str">
        <f>_xlfn.XLOOKUP(tblCostChecklist[[#This Row],[TargetID]],tblTargetStatus[TargetID],tblTargetStatus[Status])</f>
        <v>BLOCKED</v>
      </c>
      <c r="J1924" s="25" t="b">
        <v>0</v>
      </c>
    </row>
    <row r="1925" spans="1:10">
      <c r="A1925" s="41" t="s">
        <v>5905</v>
      </c>
      <c r="B1925" s="41" t="str">
        <f>_xlfn.TEXTAFTER(
 _xlfn.TEXTBEFORE(tblCostChecklist[[#This Row],[RequirementID]],".",-2),
 "cost."
)</f>
        <v>quest.the_ordinary_days_of_an_adventurer_chapter_5.finished</v>
      </c>
      <c r="C1925" s="41" t="str">
        <f>_xlfn.XLOOKUP(tblCostChecklist[[#This Row],[TargetID]],tblTargets[TargetID],tblTargets[DisplayName],"")</f>
        <v>The Ordinary Days of an Adventurer Chapter 5 Finished</v>
      </c>
      <c r="D1925" s="41" t="str">
        <f>_xlfn.XLOOKUP(tblCostChecklist[[#This Row],[TargetID]],tblTargets[TargetID],tblTargets[TargetType],"")</f>
        <v>QUEST</v>
      </c>
      <c r="E1925" s="41" t="s">
        <v>948</v>
      </c>
      <c r="F1925" s="41">
        <v>1</v>
      </c>
      <c r="G1925" s="41">
        <f>_xlfn.XLOOKUP(
 tblCostChecklist[[#This Row],[RequirementID]],
 tblCost[RequirementID],
 tblCost[QuantityRequired],
 ""
)</f>
        <v>20</v>
      </c>
      <c r="H19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5" s="41" t="str">
        <f>_xlfn.XLOOKUP(tblCostChecklist[[#This Row],[TargetID]],tblTargetStatus[TargetID],tblTargetStatus[Status])</f>
        <v>BLOCKED</v>
      </c>
      <c r="J1925" s="25" t="b">
        <v>0</v>
      </c>
    </row>
    <row r="1926" spans="1:10">
      <c r="A1926" s="41" t="s">
        <v>5906</v>
      </c>
      <c r="B1926" s="41" t="str">
        <f>_xlfn.TEXTAFTER(
 _xlfn.TEXTBEFORE(tblCostChecklist[[#This Row],[RequirementID]],".",-2),
 "cost."
)</f>
        <v>quest.the_ordinary_days_of_an_adventurer_chapter_5.finished</v>
      </c>
      <c r="C1926" s="41" t="str">
        <f>_xlfn.XLOOKUP(tblCostChecklist[[#This Row],[TargetID]],tblTargets[TargetID],tblTargets[DisplayName],"")</f>
        <v>The Ordinary Days of an Adventurer Chapter 5 Finished</v>
      </c>
      <c r="D1926" s="41" t="str">
        <f>_xlfn.XLOOKUP(tblCostChecklist[[#This Row],[TargetID]],tblTargets[TargetID],tblTargets[TargetType],"")</f>
        <v>QUEST</v>
      </c>
      <c r="E1926" s="41" t="s">
        <v>1802</v>
      </c>
      <c r="F1926" s="41">
        <v>1</v>
      </c>
      <c r="G1926" s="41">
        <f>_xlfn.XLOOKUP(
 tblCostChecklist[[#This Row],[RequirementID]],
 tblCost[RequirementID],
 tblCost[QuantityRequired],
 ""
)</f>
        <v>20</v>
      </c>
      <c r="H19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6" s="41" t="str">
        <f>_xlfn.XLOOKUP(tblCostChecklist[[#This Row],[TargetID]],tblTargetStatus[TargetID],tblTargetStatus[Status])</f>
        <v>BLOCKED</v>
      </c>
      <c r="J1926" s="25" t="b">
        <v>0</v>
      </c>
    </row>
    <row r="1927" spans="1:10">
      <c r="A1927" s="41" t="s">
        <v>5907</v>
      </c>
      <c r="B1927" s="41" t="str">
        <f>_xlfn.TEXTAFTER(
 _xlfn.TEXTBEFORE(tblCostChecklist[[#This Row],[RequirementID]],".",-2),
 "cost."
)</f>
        <v>quest.the_ordinary_days_of_an_adventurer_chapter_5.finished</v>
      </c>
      <c r="C1927" s="41" t="str">
        <f>_xlfn.XLOOKUP(tblCostChecklist[[#This Row],[TargetID]],tblTargets[TargetID],tblTargets[DisplayName],"")</f>
        <v>The Ordinary Days of an Adventurer Chapter 5 Finished</v>
      </c>
      <c r="D1927" s="41" t="str">
        <f>_xlfn.XLOOKUP(tblCostChecklist[[#This Row],[TargetID]],tblTargets[TargetID],tblTargets[TargetType],"")</f>
        <v>QUEST</v>
      </c>
      <c r="E1927" s="41" t="s">
        <v>695</v>
      </c>
      <c r="F1927" s="41">
        <v>1</v>
      </c>
      <c r="G1927" s="41">
        <f>_xlfn.XLOOKUP(
 tblCostChecklist[[#This Row],[RequirementID]],
 tblCost[RequirementID],
 tblCost[QuantityRequired],
 ""
)</f>
        <v>20</v>
      </c>
      <c r="H19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7" s="41" t="str">
        <f>_xlfn.XLOOKUP(tblCostChecklist[[#This Row],[TargetID]],tblTargetStatus[TargetID],tblTargetStatus[Status])</f>
        <v>BLOCKED</v>
      </c>
      <c r="J1927" s="25" t="b">
        <v>0</v>
      </c>
    </row>
    <row r="1928" spans="1:10">
      <c r="A1928" s="41" t="s">
        <v>5908</v>
      </c>
      <c r="B1928" s="41" t="str">
        <f>_xlfn.TEXTAFTER(
 _xlfn.TEXTBEFORE(tblCostChecklist[[#This Row],[RequirementID]],".",-2),
 "cost."
)</f>
        <v>quest.the_ordinary_days_of_an_adventurer_chapter_6.finished</v>
      </c>
      <c r="C1928" s="41" t="str">
        <f>_xlfn.XLOOKUP(tblCostChecklist[[#This Row],[TargetID]],tblTargets[TargetID],tblTargets[DisplayName],"")</f>
        <v>The Ordinary Days of an Adventurer Chapter 6 Finished</v>
      </c>
      <c r="D1928" s="41" t="str">
        <f>_xlfn.XLOOKUP(tblCostChecklist[[#This Row],[TargetID]],tblTargets[TargetID],tblTargets[TargetType],"")</f>
        <v>QUEST</v>
      </c>
      <c r="E1928" s="41" t="s">
        <v>1849</v>
      </c>
      <c r="F1928" s="41">
        <v>1</v>
      </c>
      <c r="G1928" s="41">
        <f>_xlfn.XLOOKUP(
 tblCostChecklist[[#This Row],[RequirementID]],
 tblCost[RequirementID],
 tblCost[QuantityRequired],
 ""
)</f>
        <v>1</v>
      </c>
      <c r="H19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8" s="41" t="str">
        <f>_xlfn.XLOOKUP(tblCostChecklist[[#This Row],[TargetID]],tblTargetStatus[TargetID],tblTargetStatus[Status])</f>
        <v>BLOCKED</v>
      </c>
      <c r="J1928" s="25" t="b">
        <v>0</v>
      </c>
    </row>
    <row r="1929" spans="1:10">
      <c r="A1929" s="41" t="s">
        <v>5991</v>
      </c>
      <c r="B1929" s="41" t="str">
        <f>_xlfn.TEXTAFTER(
 _xlfn.TEXTBEFORE(tblCostChecklist[[#This Row],[RequirementID]],".",-2),
 "cost."
)</f>
        <v>collection.broken_lever@1</v>
      </c>
      <c r="C1929" s="41" t="str">
        <f>_xlfn.XLOOKUP(tblCostChecklist[[#This Row],[TargetID]],tblTargets[TargetID],tblTargets[DisplayName],"")</f>
        <v>Broken Lever</v>
      </c>
      <c r="D1929" s="41" t="str">
        <f>_xlfn.XLOOKUP(tblCostChecklist[[#This Row],[TargetID]],tblTargets[TargetID],tblTargets[TargetType],"")</f>
        <v>COLLECTION</v>
      </c>
      <c r="E1929" s="41" t="s">
        <v>686</v>
      </c>
      <c r="F1929" s="41">
        <v>1</v>
      </c>
      <c r="G1929" s="41">
        <f>_xlfn.XLOOKUP(
 tblCostChecklist[[#This Row],[RequirementID]],
 tblCost[RequirementID],
 tblCost[QuantityRequired],
 ""
)</f>
        <v>5</v>
      </c>
      <c r="H19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9" s="41" t="str">
        <f>_xlfn.XLOOKUP(tblCostChecklist[[#This Row],[TargetID]],tblTargetStatus[TargetID],tblTargetStatus[Status])</f>
        <v>BLOCKED</v>
      </c>
      <c r="J1929" s="25" t="b">
        <v>0</v>
      </c>
    </row>
    <row r="1930" spans="1:10">
      <c r="A1930" s="41" t="s">
        <v>5992</v>
      </c>
      <c r="B1930" s="41" t="str">
        <f>_xlfn.TEXTAFTER(
 _xlfn.TEXTBEFORE(tblCostChecklist[[#This Row],[RequirementID]],".",-2),
 "cost."
)</f>
        <v>collection.collapsed_staircase@1</v>
      </c>
      <c r="C1930" s="41" t="str">
        <f>_xlfn.XLOOKUP(tblCostChecklist[[#This Row],[TargetID]],tblTargets[TargetID],tblTargets[DisplayName],"")</f>
        <v>Collapsed Staircase</v>
      </c>
      <c r="D1930" s="41" t="str">
        <f>_xlfn.XLOOKUP(tblCostChecklist[[#This Row],[TargetID]],tblTargets[TargetID],tblTargets[TargetType],"")</f>
        <v>COLLECTION</v>
      </c>
      <c r="E1930" s="41" t="s">
        <v>658</v>
      </c>
      <c r="F1930" s="41">
        <v>1</v>
      </c>
      <c r="G1930" s="41">
        <f>_xlfn.XLOOKUP(
 tblCostChecklist[[#This Row],[RequirementID]],
 tblCost[RequirementID],
 tblCost[QuantityRequired],
 ""
)</f>
        <v>50</v>
      </c>
      <c r="H19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0" s="41" t="str">
        <f>_xlfn.XLOOKUP(tblCostChecklist[[#This Row],[TargetID]],tblTargetStatus[TargetID],tblTargetStatus[Status])</f>
        <v>BLOCKED</v>
      </c>
      <c r="J1930" s="25" t="b">
        <v>0</v>
      </c>
    </row>
    <row r="1931" spans="1:10">
      <c r="A1931" s="41" t="s">
        <v>5993</v>
      </c>
      <c r="B1931" s="41" t="str">
        <f>_xlfn.TEXTAFTER(
 _xlfn.TEXTBEFORE(tblCostChecklist[[#This Row],[RequirementID]],".",-2),
 "cost."
)</f>
        <v>collection.collapsed_staircase@1</v>
      </c>
      <c r="C1931" s="41" t="str">
        <f>_xlfn.XLOOKUP(tblCostChecklist[[#This Row],[TargetID]],tblTargets[TargetID],tblTargets[DisplayName],"")</f>
        <v>Collapsed Staircase</v>
      </c>
      <c r="D1931" s="41" t="str">
        <f>_xlfn.XLOOKUP(tblCostChecklist[[#This Row],[TargetID]],tblTargets[TargetID],tblTargets[TargetType],"")</f>
        <v>COLLECTION</v>
      </c>
      <c r="E1931" s="41" t="s">
        <v>717</v>
      </c>
      <c r="F1931" s="41">
        <v>1</v>
      </c>
      <c r="G1931" s="41">
        <f>_xlfn.XLOOKUP(
 tblCostChecklist[[#This Row],[RequirementID]],
 tblCost[RequirementID],
 tblCost[QuantityRequired],
 ""
)</f>
        <v>150</v>
      </c>
      <c r="H19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1" s="41" t="str">
        <f>_xlfn.XLOOKUP(tblCostChecklist[[#This Row],[TargetID]],tblTargetStatus[TargetID],tblTargetStatus[Status])</f>
        <v>BLOCKED</v>
      </c>
      <c r="J1931" s="25" t="b">
        <v>0</v>
      </c>
    </row>
    <row r="1932" spans="1:10">
      <c r="A1932" s="41" t="s">
        <v>5994</v>
      </c>
      <c r="B1932" s="41" t="str">
        <f>_xlfn.TEXTAFTER(
 _xlfn.TEXTBEFORE(tblCostChecklist[[#This Row],[RequirementID]],".",-2),
 "cost."
)</f>
        <v>collection.collapsed_staircase@1</v>
      </c>
      <c r="C1932" s="41" t="str">
        <f>_xlfn.XLOOKUP(tblCostChecklist[[#This Row],[TargetID]],tblTargets[TargetID],tblTargets[DisplayName],"")</f>
        <v>Collapsed Staircase</v>
      </c>
      <c r="D1932" s="41" t="str">
        <f>_xlfn.XLOOKUP(tblCostChecklist[[#This Row],[TargetID]],tblTargets[TargetID],tblTargets[TargetType],"")</f>
        <v>COLLECTION</v>
      </c>
      <c r="E1932" s="41" t="s">
        <v>5616</v>
      </c>
      <c r="F1932" s="41">
        <v>1</v>
      </c>
      <c r="G1932" s="41">
        <f>_xlfn.XLOOKUP(
 tblCostChecklist[[#This Row],[RequirementID]],
 tblCost[RequirementID],
 tblCost[QuantityRequired],
 ""
)</f>
        <v>10</v>
      </c>
      <c r="H19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2" s="41" t="str">
        <f>_xlfn.XLOOKUP(tblCostChecklist[[#This Row],[TargetID]],tblTargetStatus[TargetID],tblTargetStatus[Status])</f>
        <v>BLOCKED</v>
      </c>
      <c r="J1932" s="25" t="b">
        <v>0</v>
      </c>
    </row>
    <row r="1933" spans="1:10">
      <c r="A1933" s="41" t="s">
        <v>5995</v>
      </c>
      <c r="B1933" s="41" t="str">
        <f>_xlfn.TEXTAFTER(
 _xlfn.TEXTBEFORE(tblCostChecklist[[#This Row],[RequirementID]],".",-2),
 "cost."
)</f>
        <v>collection.collapsed_staircase@1</v>
      </c>
      <c r="C1933" s="41" t="str">
        <f>_xlfn.XLOOKUP(tblCostChecklist[[#This Row],[TargetID]],tblTargets[TargetID],tblTargets[DisplayName],"")</f>
        <v>Collapsed Staircase</v>
      </c>
      <c r="D1933" s="41" t="str">
        <f>_xlfn.XLOOKUP(tblCostChecklist[[#This Row],[TargetID]],tblTargets[TargetID],tblTargets[TargetType],"")</f>
        <v>COLLECTION</v>
      </c>
      <c r="E1933" s="41" t="s">
        <v>662</v>
      </c>
      <c r="F1933" s="41">
        <v>1</v>
      </c>
      <c r="G1933" s="41">
        <f>_xlfn.XLOOKUP(
 tblCostChecklist[[#This Row],[RequirementID]],
 tblCost[RequirementID],
 tblCost[QuantityRequired],
 ""
)</f>
        <v>5</v>
      </c>
      <c r="H19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3" s="41" t="str">
        <f>_xlfn.XLOOKUP(tblCostChecklist[[#This Row],[TargetID]],tblTargetStatus[TargetID],tblTargetStatus[Status])</f>
        <v>BLOCKED</v>
      </c>
      <c r="J1933" s="25" t="b">
        <v>0</v>
      </c>
    </row>
    <row r="1934" spans="1:10">
      <c r="A1934" s="41" t="s">
        <v>5996</v>
      </c>
      <c r="B1934" s="41" t="str">
        <f>_xlfn.TEXTAFTER(
 _xlfn.TEXTBEFORE(tblCostChecklist[[#This Row],[RequirementID]],".",-2),
 "cost."
)</f>
        <v>collection.rotten_ladder@1</v>
      </c>
      <c r="C1934" s="41" t="str">
        <f>_xlfn.XLOOKUP(tblCostChecklist[[#This Row],[TargetID]],tblTargets[TargetID],tblTargets[DisplayName],"")</f>
        <v>Rotten Ladder</v>
      </c>
      <c r="D1934" s="41" t="str">
        <f>_xlfn.XLOOKUP(tblCostChecklist[[#This Row],[TargetID]],tblTargets[TargetID],tblTargets[TargetType],"")</f>
        <v>COLLECTION</v>
      </c>
      <c r="E1934" s="41" t="s">
        <v>701</v>
      </c>
      <c r="F1934" s="41">
        <v>1</v>
      </c>
      <c r="G1934" s="41">
        <f>_xlfn.XLOOKUP(
 tblCostChecklist[[#This Row],[RequirementID]],
 tblCost[RequirementID],
 tblCost[QuantityRequired],
 ""
)</f>
        <v>200</v>
      </c>
      <c r="H19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4" s="41" t="str">
        <f>_xlfn.XLOOKUP(tblCostChecklist[[#This Row],[TargetID]],tblTargetStatus[TargetID],tblTargetStatus[Status])</f>
        <v>BLOCKED</v>
      </c>
      <c r="J1934" s="25" t="b">
        <v>0</v>
      </c>
    </row>
    <row r="1935" spans="1:10">
      <c r="A1935" s="41" t="s">
        <v>5997</v>
      </c>
      <c r="B1935" s="41" t="str">
        <f>_xlfn.TEXTAFTER(
 _xlfn.TEXTBEFORE(tblCostChecklist[[#This Row],[RequirementID]],".",-2),
 "cost."
)</f>
        <v>collection.cave_in_bone_dragon@1</v>
      </c>
      <c r="C1935" s="41" t="str">
        <f>_xlfn.XLOOKUP(tblCostChecklist[[#This Row],[TargetID]],tblTargets[TargetID],tblTargets[DisplayName],"")</f>
        <v>Cave-in Bone Dragon</v>
      </c>
      <c r="D1935" s="41" t="str">
        <f>_xlfn.XLOOKUP(tblCostChecklist[[#This Row],[TargetID]],tblTargets[TargetID],tblTargets[TargetType],"")</f>
        <v>COLLECTION</v>
      </c>
      <c r="E1935" s="41" t="s">
        <v>700</v>
      </c>
      <c r="F1935" s="41">
        <v>1</v>
      </c>
      <c r="G1935" s="41">
        <f>_xlfn.XLOOKUP(
 tblCostChecklist[[#This Row],[RequirementID]],
 tblCost[RequirementID],
 tblCost[QuantityRequired],
 ""
)</f>
        <v>30</v>
      </c>
      <c r="H19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5" s="41" t="str">
        <f>_xlfn.XLOOKUP(tblCostChecklist[[#This Row],[TargetID]],tblTargetStatus[TargetID],tblTargetStatus[Status])</f>
        <v>BLOCKED</v>
      </c>
      <c r="J1935" s="25" t="b">
        <v>0</v>
      </c>
    </row>
    <row r="1936" spans="1:10">
      <c r="A1936" s="41" t="s">
        <v>5998</v>
      </c>
      <c r="B1936" s="41" t="str">
        <f>_xlfn.TEXTAFTER(
 _xlfn.TEXTBEFORE(tblCostChecklist[[#This Row],[RequirementID]],".",-2),
 "cost."
)</f>
        <v>collection.cave_in_alchemist_hall@1</v>
      </c>
      <c r="C1936" s="41" t="str">
        <f>_xlfn.XLOOKUP(tblCostChecklist[[#This Row],[TargetID]],tblTargets[TargetID],tblTargets[DisplayName],"")</f>
        <v>Cave-in Alchemist Hall</v>
      </c>
      <c r="D1936" s="41" t="str">
        <f>_xlfn.XLOOKUP(tblCostChecklist[[#This Row],[TargetID]],tblTargets[TargetID],tblTargets[TargetType],"")</f>
        <v>COLLECTION</v>
      </c>
      <c r="E1936" s="41" t="s">
        <v>700</v>
      </c>
      <c r="F1936" s="41">
        <v>1</v>
      </c>
      <c r="G1936" s="41">
        <f>_xlfn.XLOOKUP(
 tblCostChecklist[[#This Row],[RequirementID]],
 tblCost[RequirementID],
 tblCost[QuantityRequired],
 ""
)</f>
        <v>30</v>
      </c>
      <c r="H19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6" s="41" t="str">
        <f>_xlfn.XLOOKUP(tblCostChecklist[[#This Row],[TargetID]],tblTargetStatus[TargetID],tblTargetStatus[Status])</f>
        <v>BLOCKED</v>
      </c>
      <c r="J1936" s="25" t="b">
        <v>0</v>
      </c>
    </row>
    <row r="1937" spans="1:10">
      <c r="A1937" s="41" t="s">
        <v>5927</v>
      </c>
      <c r="B1937" s="41" t="str">
        <f>_xlfn.TEXTAFTER(
 _xlfn.TEXTBEFORE(tblCostChecklist[[#This Row],[RequirementID]],".",-2),
 "cost."
)</f>
        <v>collection.bone_dragon@1</v>
      </c>
      <c r="C1937" s="41" t="str">
        <f>_xlfn.XLOOKUP(tblCostChecklist[[#This Row],[TargetID]],tblTargets[TargetID],tblTargets[DisplayName],"")</f>
        <v>Bone Dragon Lv 1</v>
      </c>
      <c r="D1937" s="41" t="str">
        <f>_xlfn.XLOOKUP(tblCostChecklist[[#This Row],[TargetID]],tblTargets[TargetID],tblTargets[TargetType],"")</f>
        <v>COLLECTION</v>
      </c>
      <c r="E1937" s="41" t="s">
        <v>3653</v>
      </c>
      <c r="F1937" s="41">
        <v>1</v>
      </c>
      <c r="G1937" s="41">
        <f>_xlfn.XLOOKUP(
 tblCostChecklist[[#This Row],[RequirementID]],
 tblCost[RequirementID],
 tblCost[QuantityRequired],
 ""
)</f>
        <v>30</v>
      </c>
      <c r="H19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7" s="41" t="str">
        <f>_xlfn.XLOOKUP(tblCostChecklist[[#This Row],[TargetID]],tblTargetStatus[TargetID],tblTargetStatus[Status])</f>
        <v>BLOCKED</v>
      </c>
      <c r="J1937" s="25" t="b">
        <v>0</v>
      </c>
    </row>
    <row r="1938" spans="1:10">
      <c r="A1938" s="41" t="s">
        <v>5928</v>
      </c>
      <c r="B1938" s="41" t="str">
        <f>_xlfn.TEXTAFTER(
 _xlfn.TEXTBEFORE(tblCostChecklist[[#This Row],[RequirementID]],".",-2),
 "cost."
)</f>
        <v>collection.bone_dragon@1</v>
      </c>
      <c r="C1938" s="41" t="str">
        <f>_xlfn.XLOOKUP(tblCostChecklist[[#This Row],[TargetID]],tblTargets[TargetID],tblTargets[DisplayName],"")</f>
        <v>Bone Dragon Lv 1</v>
      </c>
      <c r="D1938" s="41" t="str">
        <f>_xlfn.XLOOKUP(tblCostChecklist[[#This Row],[TargetID]],tblTargets[TargetID],tblTargets[TargetType],"")</f>
        <v>COLLECTION</v>
      </c>
      <c r="E1938" s="41" t="s">
        <v>1847</v>
      </c>
      <c r="F1938" s="41">
        <v>1</v>
      </c>
      <c r="G1938" s="41">
        <f>_xlfn.XLOOKUP(
 tblCostChecklist[[#This Row],[RequirementID]],
 tblCost[RequirementID],
 tblCost[QuantityRequired],
 ""
)</f>
        <v>10</v>
      </c>
      <c r="H19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8" s="41" t="str">
        <f>_xlfn.XLOOKUP(tblCostChecklist[[#This Row],[TargetID]],tblTargetStatus[TargetID],tblTargetStatus[Status])</f>
        <v>BLOCKED</v>
      </c>
      <c r="J1938" s="25" t="b">
        <v>0</v>
      </c>
    </row>
    <row r="1939" spans="1:10">
      <c r="A1939" s="41" t="s">
        <v>5929</v>
      </c>
      <c r="B1939" s="41" t="str">
        <f>_xlfn.TEXTAFTER(
 _xlfn.TEXTBEFORE(tblCostChecklist[[#This Row],[RequirementID]],".",-2),
 "cost."
)</f>
        <v>collection.bone_dragon@1</v>
      </c>
      <c r="C1939" s="41" t="str">
        <f>_xlfn.XLOOKUP(tblCostChecklist[[#This Row],[TargetID]],tblTargets[TargetID],tblTargets[DisplayName],"")</f>
        <v>Bone Dragon Lv 1</v>
      </c>
      <c r="D1939" s="41" t="str">
        <f>_xlfn.XLOOKUP(tblCostChecklist[[#This Row],[TargetID]],tblTargets[TargetID],tblTargets[TargetType],"")</f>
        <v>COLLECTION</v>
      </c>
      <c r="E1939" s="41" t="s">
        <v>5616</v>
      </c>
      <c r="F1939" s="41">
        <v>1</v>
      </c>
      <c r="G1939" s="41">
        <f>_xlfn.XLOOKUP(
 tblCostChecklist[[#This Row],[RequirementID]],
 tblCost[RequirementID],
 tblCost[QuantityRequired],
 ""
)</f>
        <v>11</v>
      </c>
      <c r="H19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9" s="41" t="str">
        <f>_xlfn.XLOOKUP(tblCostChecklist[[#This Row],[TargetID]],tblTargetStatus[TargetID],tblTargetStatus[Status])</f>
        <v>BLOCKED</v>
      </c>
      <c r="J1939" s="25" t="b">
        <v>0</v>
      </c>
    </row>
    <row r="1940" spans="1:10">
      <c r="A1940" s="41" t="s">
        <v>5930</v>
      </c>
      <c r="B1940" s="41" t="str">
        <f>_xlfn.TEXTAFTER(
 _xlfn.TEXTBEFORE(tblCostChecklist[[#This Row],[RequirementID]],".",-2),
 "cost."
)</f>
        <v>collection.bone_dragon@1</v>
      </c>
      <c r="C1940" s="41" t="str">
        <f>_xlfn.XLOOKUP(tblCostChecklist[[#This Row],[TargetID]],tblTargets[TargetID],tblTargets[DisplayName],"")</f>
        <v>Bone Dragon Lv 1</v>
      </c>
      <c r="D1940" s="41" t="str">
        <f>_xlfn.XLOOKUP(tblCostChecklist[[#This Row],[TargetID]],tblTargets[TargetID],tblTargets[TargetType],"")</f>
        <v>COLLECTION</v>
      </c>
      <c r="E1940" s="41" t="s">
        <v>930</v>
      </c>
      <c r="F1940" s="41">
        <v>1</v>
      </c>
      <c r="G1940" s="41">
        <f>_xlfn.XLOOKUP(
 tblCostChecklist[[#This Row],[RequirementID]],
 tblCost[RequirementID],
 tblCost[QuantityRequired],
 ""
)</f>
        <v>2</v>
      </c>
      <c r="H19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0" s="41" t="str">
        <f>_xlfn.XLOOKUP(tblCostChecklist[[#This Row],[TargetID]],tblTargetStatus[TargetID],tblTargetStatus[Status])</f>
        <v>BLOCKED</v>
      </c>
      <c r="J1940" s="25" t="b">
        <v>0</v>
      </c>
    </row>
    <row r="1941" spans="1:10">
      <c r="A1941" s="41" t="s">
        <v>5931</v>
      </c>
      <c r="B1941" s="41" t="str">
        <f>_xlfn.TEXTAFTER(
 _xlfn.TEXTBEFORE(tblCostChecklist[[#This Row],[RequirementID]],".",-2),
 "cost."
)</f>
        <v>collection.bone_dragon@1</v>
      </c>
      <c r="C1941" s="41" t="str">
        <f>_xlfn.XLOOKUP(tblCostChecklist[[#This Row],[TargetID]],tblTargets[TargetID],tblTargets[DisplayName],"")</f>
        <v>Bone Dragon Lv 1</v>
      </c>
      <c r="D1941" s="41" t="str">
        <f>_xlfn.XLOOKUP(tblCostChecklist[[#This Row],[TargetID]],tblTargets[TargetID],tblTargets[TargetType],"")</f>
        <v>COLLECTION</v>
      </c>
      <c r="E1941" s="41" t="s">
        <v>3653</v>
      </c>
      <c r="F1941" s="41">
        <v>2</v>
      </c>
      <c r="G1941" s="41">
        <f>_xlfn.XLOOKUP(
 tblCostChecklist[[#This Row],[RequirementID]],
 tblCost[RequirementID],
 tblCost[QuantityRequired],
 ""
)</f>
        <v>150</v>
      </c>
      <c r="H19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1" s="41" t="str">
        <f>_xlfn.XLOOKUP(tblCostChecklist[[#This Row],[TargetID]],tblTargetStatus[TargetID],tblTargetStatus[Status])</f>
        <v>BLOCKED</v>
      </c>
      <c r="J1941" s="25" t="b">
        <v>0</v>
      </c>
    </row>
    <row r="1942" spans="1:10">
      <c r="A1942" s="41" t="s">
        <v>5932</v>
      </c>
      <c r="B1942" s="41" t="str">
        <f>_xlfn.TEXTAFTER(
 _xlfn.TEXTBEFORE(tblCostChecklist[[#This Row],[RequirementID]],".",-2),
 "cost."
)</f>
        <v>collection.bone_dragon@1</v>
      </c>
      <c r="C1942" s="41" t="str">
        <f>_xlfn.XLOOKUP(tblCostChecklist[[#This Row],[TargetID]],tblTargets[TargetID],tblTargets[DisplayName],"")</f>
        <v>Bone Dragon Lv 1</v>
      </c>
      <c r="D1942" s="41" t="str">
        <f>_xlfn.XLOOKUP(tblCostChecklist[[#This Row],[TargetID]],tblTargets[TargetID],tblTargets[TargetType],"")</f>
        <v>COLLECTION</v>
      </c>
      <c r="E1942" s="41" t="s">
        <v>3653</v>
      </c>
      <c r="F1942" s="41">
        <v>3</v>
      </c>
      <c r="G1942" s="41">
        <f>_xlfn.XLOOKUP(
 tblCostChecklist[[#This Row],[RequirementID]],
 tblCost[RequirementID],
 tblCost[QuantityRequired],
 ""
)</f>
        <v>30</v>
      </c>
      <c r="H19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2" s="41" t="str">
        <f>_xlfn.XLOOKUP(tblCostChecklist[[#This Row],[TargetID]],tblTargetStatus[TargetID],tblTargetStatus[Status])</f>
        <v>BLOCKED</v>
      </c>
      <c r="J1942" s="25" t="b">
        <v>0</v>
      </c>
    </row>
    <row r="1943" spans="1:10">
      <c r="A1943" s="41" t="s">
        <v>5933</v>
      </c>
      <c r="B1943" s="41" t="str">
        <f>_xlfn.TEXTAFTER(
 _xlfn.TEXTBEFORE(tblCostChecklist[[#This Row],[RequirementID]],".",-2),
 "cost."
)</f>
        <v>collection.bone_dragon@1</v>
      </c>
      <c r="C1943" s="41" t="str">
        <f>_xlfn.XLOOKUP(tblCostChecklist[[#This Row],[TargetID]],tblTargets[TargetID],tblTargets[DisplayName],"")</f>
        <v>Bone Dragon Lv 1</v>
      </c>
      <c r="D1943" s="41" t="str">
        <f>_xlfn.XLOOKUP(tblCostChecklist[[#This Row],[TargetID]],tblTargets[TargetID],tblTargets[TargetType],"")</f>
        <v>COLLECTION</v>
      </c>
      <c r="E1943" s="41" t="s">
        <v>3653</v>
      </c>
      <c r="F1943" s="41">
        <v>4</v>
      </c>
      <c r="G1943" s="41">
        <f>_xlfn.XLOOKUP(
 tblCostChecklist[[#This Row],[RequirementID]],
 tblCost[RequirementID],
 tblCost[QuantityRequired],
 ""
)</f>
        <v>30</v>
      </c>
      <c r="H19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3" s="41" t="str">
        <f>_xlfn.XLOOKUP(tblCostChecklist[[#This Row],[TargetID]],tblTargetStatus[TargetID],tblTargetStatus[Status])</f>
        <v>BLOCKED</v>
      </c>
      <c r="J1943" s="25" t="b">
        <v>0</v>
      </c>
    </row>
    <row r="1944" spans="1:10">
      <c r="A1944" s="41" t="s">
        <v>5934</v>
      </c>
      <c r="B1944" s="41" t="str">
        <f>_xlfn.TEXTAFTER(
 _xlfn.TEXTBEFORE(tblCostChecklist[[#This Row],[RequirementID]],".",-2),
 "cost."
)</f>
        <v>collection.bone_dragon@1</v>
      </c>
      <c r="C1944" s="41" t="str">
        <f>_xlfn.XLOOKUP(tblCostChecklist[[#This Row],[TargetID]],tblTargets[TargetID],tblTargets[DisplayName],"")</f>
        <v>Bone Dragon Lv 1</v>
      </c>
      <c r="D1944" s="41" t="str">
        <f>_xlfn.XLOOKUP(tblCostChecklist[[#This Row],[TargetID]],tblTargets[TargetID],tblTargets[TargetType],"")</f>
        <v>COLLECTION</v>
      </c>
      <c r="E1944" s="41" t="s">
        <v>3653</v>
      </c>
      <c r="F1944" s="41">
        <v>5</v>
      </c>
      <c r="G1944" s="41">
        <f>_xlfn.XLOOKUP(
 tblCostChecklist[[#This Row],[RequirementID]],
 tblCost[RequirementID],
 tblCost[QuantityRequired],
 ""
)</f>
        <v>30</v>
      </c>
      <c r="H19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4" s="41" t="str">
        <f>_xlfn.XLOOKUP(tblCostChecklist[[#This Row],[TargetID]],tblTargetStatus[TargetID],tblTargetStatus[Status])</f>
        <v>BLOCKED</v>
      </c>
      <c r="J1944" s="25" t="b">
        <v>0</v>
      </c>
    </row>
    <row r="1945" spans="1:10">
      <c r="A1945" s="41" t="s">
        <v>5935</v>
      </c>
      <c r="B1945" s="41" t="str">
        <f>_xlfn.TEXTAFTER(
 _xlfn.TEXTBEFORE(tblCostChecklist[[#This Row],[RequirementID]],".",-2),
 "cost."
)</f>
        <v>collection.bone_dragon@1</v>
      </c>
      <c r="C1945" s="41" t="str">
        <f>_xlfn.XLOOKUP(tblCostChecklist[[#This Row],[TargetID]],tblTargets[TargetID],tblTargets[DisplayName],"")</f>
        <v>Bone Dragon Lv 1</v>
      </c>
      <c r="D1945" s="41" t="str">
        <f>_xlfn.XLOOKUP(tblCostChecklist[[#This Row],[TargetID]],tblTargets[TargetID],tblTargets[TargetType],"")</f>
        <v>COLLECTION</v>
      </c>
      <c r="E1945" s="41" t="s">
        <v>3653</v>
      </c>
      <c r="F1945" s="41">
        <v>6</v>
      </c>
      <c r="G1945" s="41">
        <f>_xlfn.XLOOKUP(
 tblCostChecklist[[#This Row],[RequirementID]],
 tblCost[RequirementID],
 tblCost[QuantityRequired],
 ""
)</f>
        <v>30</v>
      </c>
      <c r="H19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5" s="41" t="str">
        <f>_xlfn.XLOOKUP(tblCostChecklist[[#This Row],[TargetID]],tblTargetStatus[TargetID],tblTargetStatus[Status])</f>
        <v>BLOCKED</v>
      </c>
      <c r="J1945" s="25" t="b">
        <v>0</v>
      </c>
    </row>
    <row r="1946" spans="1:10">
      <c r="A1946" s="41" t="s">
        <v>5936</v>
      </c>
      <c r="B1946" s="41" t="str">
        <f>_xlfn.TEXTAFTER(
 _xlfn.TEXTBEFORE(tblCostChecklist[[#This Row],[RequirementID]],".",-2),
 "cost."
)</f>
        <v>collection.bone_dragon@1</v>
      </c>
      <c r="C1946" s="41" t="str">
        <f>_xlfn.XLOOKUP(tblCostChecklist[[#This Row],[TargetID]],tblTargets[TargetID],tblTargets[DisplayName],"")</f>
        <v>Bone Dragon Lv 1</v>
      </c>
      <c r="D1946" s="41" t="str">
        <f>_xlfn.XLOOKUP(tblCostChecklist[[#This Row],[TargetID]],tblTargets[TargetID],tblTargets[TargetType],"")</f>
        <v>COLLECTION</v>
      </c>
      <c r="E1946" s="41" t="s">
        <v>667</v>
      </c>
      <c r="F1946" s="41">
        <v>1</v>
      </c>
      <c r="G1946" s="41">
        <f>_xlfn.XLOOKUP(
 tblCostChecklist[[#This Row],[RequirementID]],
 tblCost[RequirementID],
 tblCost[QuantityRequired],
 ""
)</f>
        <v>555</v>
      </c>
      <c r="H19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6" s="41" t="str">
        <f>_xlfn.XLOOKUP(tblCostChecklist[[#This Row],[TargetID]],tblTargetStatus[TargetID],tblTargetStatus[Status])</f>
        <v>BLOCKED</v>
      </c>
      <c r="J1946" s="25" t="b">
        <v>0</v>
      </c>
    </row>
    <row r="1947" spans="1:10">
      <c r="A1947" s="41" t="s">
        <v>5937</v>
      </c>
      <c r="B1947" s="41" t="str">
        <f>_xlfn.TEXTAFTER(
 _xlfn.TEXTBEFORE(tblCostChecklist[[#This Row],[RequirementID]],".",-2),
 "cost."
)</f>
        <v>collection.bone_dragon@1</v>
      </c>
      <c r="C1947" s="41" t="str">
        <f>_xlfn.XLOOKUP(tblCostChecklist[[#This Row],[TargetID]],tblTargets[TargetID],tblTargets[DisplayName],"")</f>
        <v>Bone Dragon Lv 1</v>
      </c>
      <c r="D1947" s="41" t="str">
        <f>_xlfn.XLOOKUP(tblCostChecklist[[#This Row],[TargetID]],tblTargets[TargetID],tblTargets[TargetType],"")</f>
        <v>COLLECTION</v>
      </c>
      <c r="E1947" s="41" t="s">
        <v>677</v>
      </c>
      <c r="F1947" s="41">
        <v>1</v>
      </c>
      <c r="G1947" s="41">
        <f>_xlfn.XLOOKUP(
 tblCostChecklist[[#This Row],[RequirementID]],
 tblCost[RequirementID],
 tblCost[QuantityRequired],
 ""
)</f>
        <v>5</v>
      </c>
      <c r="H19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7" s="41" t="str">
        <f>_xlfn.XLOOKUP(tblCostChecklist[[#This Row],[TargetID]],tblTargetStatus[TargetID],tblTargetStatus[Status])</f>
        <v>BLOCKED</v>
      </c>
      <c r="J1947" s="25" t="b">
        <v>0</v>
      </c>
    </row>
    <row r="1948" spans="1:10">
      <c r="A1948" s="41" t="s">
        <v>5938</v>
      </c>
      <c r="B1948" s="41" t="str">
        <f>_xlfn.TEXTAFTER(
 _xlfn.TEXTBEFORE(tblCostChecklist[[#This Row],[RequirementID]],".",-2),
 "cost."
)</f>
        <v>collection.bone_dragon@2</v>
      </c>
      <c r="C1948" s="41" t="str">
        <f>_xlfn.XLOOKUP(tblCostChecklist[[#This Row],[TargetID]],tblTargets[TargetID],tblTargets[DisplayName],"")</f>
        <v>Bone Dragon Lv 2</v>
      </c>
      <c r="D1948" s="41" t="str">
        <f>_xlfn.XLOOKUP(tblCostChecklist[[#This Row],[TargetID]],tblTargets[TargetID],tblTargets[TargetType],"")</f>
        <v>COLLECTION</v>
      </c>
      <c r="E1948" s="41" t="s">
        <v>3653</v>
      </c>
      <c r="F1948" s="41">
        <v>1</v>
      </c>
      <c r="G1948" s="41">
        <f>_xlfn.XLOOKUP(
 tblCostChecklist[[#This Row],[RequirementID]],
 tblCost[RequirementID],
 tblCost[QuantityRequired],
 ""
)</f>
        <v>60</v>
      </c>
      <c r="H19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8" s="41" t="str">
        <f>_xlfn.XLOOKUP(tblCostChecklist[[#This Row],[TargetID]],tblTargetStatus[TargetID],tblTargetStatus[Status])</f>
        <v>BLOCKED</v>
      </c>
      <c r="J1948" s="25" t="b">
        <v>0</v>
      </c>
    </row>
    <row r="1949" spans="1:10">
      <c r="A1949" s="41" t="s">
        <v>5939</v>
      </c>
      <c r="B1949" s="41" t="str">
        <f>_xlfn.TEXTAFTER(
 _xlfn.TEXTBEFORE(tblCostChecklist[[#This Row],[RequirementID]],".",-2),
 "cost."
)</f>
        <v>collection.bone_dragon@2</v>
      </c>
      <c r="C1949" s="41" t="str">
        <f>_xlfn.XLOOKUP(tblCostChecklist[[#This Row],[TargetID]],tblTargets[TargetID],tblTargets[DisplayName],"")</f>
        <v>Bone Dragon Lv 2</v>
      </c>
      <c r="D1949" s="41" t="str">
        <f>_xlfn.XLOOKUP(tblCostChecklist[[#This Row],[TargetID]],tblTargets[TargetID],tblTargets[TargetType],"")</f>
        <v>COLLECTION</v>
      </c>
      <c r="E1949" s="41" t="s">
        <v>1847</v>
      </c>
      <c r="F1949" s="41">
        <v>1</v>
      </c>
      <c r="G1949" s="41">
        <f>_xlfn.XLOOKUP(
 tblCostChecklist[[#This Row],[RequirementID]],
 tblCost[RequirementID],
 tblCost[QuantityRequired],
 ""
)</f>
        <v>20</v>
      </c>
      <c r="H19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9" s="41" t="str">
        <f>_xlfn.XLOOKUP(tblCostChecklist[[#This Row],[TargetID]],tblTargetStatus[TargetID],tblTargetStatus[Status])</f>
        <v>BLOCKED</v>
      </c>
      <c r="J1949" s="25" t="b">
        <v>0</v>
      </c>
    </row>
    <row r="1950" spans="1:10">
      <c r="A1950" s="41" t="s">
        <v>5940</v>
      </c>
      <c r="B1950" s="41" t="str">
        <f>_xlfn.TEXTAFTER(
 _xlfn.TEXTBEFORE(tblCostChecklist[[#This Row],[RequirementID]],".",-2),
 "cost."
)</f>
        <v>collection.bone_dragon@2</v>
      </c>
      <c r="C1950" s="41" t="str">
        <f>_xlfn.XLOOKUP(tblCostChecklist[[#This Row],[TargetID]],tblTargets[TargetID],tblTargets[DisplayName],"")</f>
        <v>Bone Dragon Lv 2</v>
      </c>
      <c r="D1950" s="41" t="str">
        <f>_xlfn.XLOOKUP(tblCostChecklist[[#This Row],[TargetID]],tblTargets[TargetID],tblTargets[TargetType],"")</f>
        <v>COLLECTION</v>
      </c>
      <c r="E1950" s="41" t="s">
        <v>5616</v>
      </c>
      <c r="F1950" s="41">
        <v>1</v>
      </c>
      <c r="G1950" s="41">
        <f>_xlfn.XLOOKUP(
 tblCostChecklist[[#This Row],[RequirementID]],
 tblCost[RequirementID],
 tblCost[QuantityRequired],
 ""
)</f>
        <v>22</v>
      </c>
      <c r="H19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0" s="41" t="str">
        <f>_xlfn.XLOOKUP(tblCostChecklist[[#This Row],[TargetID]],tblTargetStatus[TargetID],tblTargetStatus[Status])</f>
        <v>BLOCKED</v>
      </c>
      <c r="J1950" s="25" t="b">
        <v>0</v>
      </c>
    </row>
    <row r="1951" spans="1:10">
      <c r="A1951" s="41" t="s">
        <v>5941</v>
      </c>
      <c r="B1951" s="41" t="str">
        <f>_xlfn.TEXTAFTER(
 _xlfn.TEXTBEFORE(tblCostChecklist[[#This Row],[RequirementID]],".",-2),
 "cost."
)</f>
        <v>collection.bone_dragon@2</v>
      </c>
      <c r="C1951" s="41" t="str">
        <f>_xlfn.XLOOKUP(tblCostChecklist[[#This Row],[TargetID]],tblTargets[TargetID],tblTargets[DisplayName],"")</f>
        <v>Bone Dragon Lv 2</v>
      </c>
      <c r="D1951" s="41" t="str">
        <f>_xlfn.XLOOKUP(tblCostChecklist[[#This Row],[TargetID]],tblTargets[TargetID],tblTargets[TargetType],"")</f>
        <v>COLLECTION</v>
      </c>
      <c r="E1951" s="41" t="s">
        <v>930</v>
      </c>
      <c r="F1951" s="41">
        <v>1</v>
      </c>
      <c r="G1951" s="41">
        <f>_xlfn.XLOOKUP(
 tblCostChecklist[[#This Row],[RequirementID]],
 tblCost[RequirementID],
 tblCost[QuantityRequired],
 ""
)</f>
        <v>4</v>
      </c>
      <c r="H19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1" s="41" t="str">
        <f>_xlfn.XLOOKUP(tblCostChecklist[[#This Row],[TargetID]],tblTargetStatus[TargetID],tblTargetStatus[Status])</f>
        <v>BLOCKED</v>
      </c>
      <c r="J1951" s="25" t="b">
        <v>0</v>
      </c>
    </row>
    <row r="1952" spans="1:10">
      <c r="A1952" s="41" t="s">
        <v>5942</v>
      </c>
      <c r="B1952" s="41" t="str">
        <f>_xlfn.TEXTAFTER(
 _xlfn.TEXTBEFORE(tblCostChecklist[[#This Row],[RequirementID]],".",-2),
 "cost."
)</f>
        <v>collection.bone_dragon@2</v>
      </c>
      <c r="C1952" s="41" t="str">
        <f>_xlfn.XLOOKUP(tblCostChecklist[[#This Row],[TargetID]],tblTargets[TargetID],tblTargets[DisplayName],"")</f>
        <v>Bone Dragon Lv 2</v>
      </c>
      <c r="D1952" s="41" t="str">
        <f>_xlfn.XLOOKUP(tblCostChecklist[[#This Row],[TargetID]],tblTargets[TargetID],tblTargets[TargetType],"")</f>
        <v>COLLECTION</v>
      </c>
      <c r="E1952" s="41" t="s">
        <v>3653</v>
      </c>
      <c r="F1952" s="41">
        <v>2</v>
      </c>
      <c r="G1952" s="41">
        <f>_xlfn.XLOOKUP(
 tblCostChecklist[[#This Row],[RequirementID]],
 tblCost[RequirementID],
 tblCost[QuantityRequired],
 ""
)</f>
        <v>300</v>
      </c>
      <c r="H19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2" s="41" t="str">
        <f>_xlfn.XLOOKUP(tblCostChecklist[[#This Row],[TargetID]],tblTargetStatus[TargetID],tblTargetStatus[Status])</f>
        <v>BLOCKED</v>
      </c>
      <c r="J1952" s="25" t="b">
        <v>0</v>
      </c>
    </row>
    <row r="1953" spans="1:10">
      <c r="A1953" s="41" t="s">
        <v>5943</v>
      </c>
      <c r="B1953" s="41" t="str">
        <f>_xlfn.TEXTAFTER(
 _xlfn.TEXTBEFORE(tblCostChecklist[[#This Row],[RequirementID]],".",-2),
 "cost."
)</f>
        <v>collection.bone_dragon@2</v>
      </c>
      <c r="C1953" s="41" t="str">
        <f>_xlfn.XLOOKUP(tblCostChecklist[[#This Row],[TargetID]],tblTargets[TargetID],tblTargets[DisplayName],"")</f>
        <v>Bone Dragon Lv 2</v>
      </c>
      <c r="D1953" s="41" t="str">
        <f>_xlfn.XLOOKUP(tblCostChecklist[[#This Row],[TargetID]],tblTargets[TargetID],tblTargets[TargetType],"")</f>
        <v>COLLECTION</v>
      </c>
      <c r="E1953" s="41" t="s">
        <v>3653</v>
      </c>
      <c r="F1953" s="41">
        <v>3</v>
      </c>
      <c r="G1953" s="41">
        <f>_xlfn.XLOOKUP(
 tblCostChecklist[[#This Row],[RequirementID]],
 tblCost[RequirementID],
 tblCost[QuantityRequired],
 ""
)</f>
        <v>60</v>
      </c>
      <c r="H19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3" s="41" t="str">
        <f>_xlfn.XLOOKUP(tblCostChecklist[[#This Row],[TargetID]],tblTargetStatus[TargetID],tblTargetStatus[Status])</f>
        <v>BLOCKED</v>
      </c>
      <c r="J1953" s="25" t="b">
        <v>0</v>
      </c>
    </row>
    <row r="1954" spans="1:10">
      <c r="A1954" s="41" t="s">
        <v>5944</v>
      </c>
      <c r="B1954" s="41" t="str">
        <f>_xlfn.TEXTAFTER(
 _xlfn.TEXTBEFORE(tblCostChecklist[[#This Row],[RequirementID]],".",-2),
 "cost."
)</f>
        <v>collection.bone_dragon@2</v>
      </c>
      <c r="C1954" s="41" t="str">
        <f>_xlfn.XLOOKUP(tblCostChecklist[[#This Row],[TargetID]],tblTargets[TargetID],tblTargets[DisplayName],"")</f>
        <v>Bone Dragon Lv 2</v>
      </c>
      <c r="D1954" s="41" t="str">
        <f>_xlfn.XLOOKUP(tblCostChecklist[[#This Row],[TargetID]],tblTargets[TargetID],tblTargets[TargetType],"")</f>
        <v>COLLECTION</v>
      </c>
      <c r="E1954" s="41" t="s">
        <v>3653</v>
      </c>
      <c r="F1954" s="41">
        <v>4</v>
      </c>
      <c r="G1954" s="41">
        <f>_xlfn.XLOOKUP(
 tblCostChecklist[[#This Row],[RequirementID]],
 tblCost[RequirementID],
 tblCost[QuantityRequired],
 ""
)</f>
        <v>60</v>
      </c>
      <c r="H19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4" s="41" t="str">
        <f>_xlfn.XLOOKUP(tblCostChecklist[[#This Row],[TargetID]],tblTargetStatus[TargetID],tblTargetStatus[Status])</f>
        <v>BLOCKED</v>
      </c>
      <c r="J1954" s="25" t="b">
        <v>0</v>
      </c>
    </row>
    <row r="1955" spans="1:10">
      <c r="A1955" s="41" t="s">
        <v>5945</v>
      </c>
      <c r="B1955" s="41" t="str">
        <f>_xlfn.TEXTAFTER(
 _xlfn.TEXTBEFORE(tblCostChecklist[[#This Row],[RequirementID]],".",-2),
 "cost."
)</f>
        <v>collection.bone_dragon@2</v>
      </c>
      <c r="C1955" s="41" t="str">
        <f>_xlfn.XLOOKUP(tblCostChecklist[[#This Row],[TargetID]],tblTargets[TargetID],tblTargets[DisplayName],"")</f>
        <v>Bone Dragon Lv 2</v>
      </c>
      <c r="D1955" s="41" t="str">
        <f>_xlfn.XLOOKUP(tblCostChecklist[[#This Row],[TargetID]],tblTargets[TargetID],tblTargets[TargetType],"")</f>
        <v>COLLECTION</v>
      </c>
      <c r="E1955" s="41" t="s">
        <v>3653</v>
      </c>
      <c r="F1955" s="41">
        <v>5</v>
      </c>
      <c r="G1955" s="41">
        <f>_xlfn.XLOOKUP(
 tblCostChecklist[[#This Row],[RequirementID]],
 tblCost[RequirementID],
 tblCost[QuantityRequired],
 ""
)</f>
        <v>60</v>
      </c>
      <c r="H19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5" s="41" t="str">
        <f>_xlfn.XLOOKUP(tblCostChecklist[[#This Row],[TargetID]],tblTargetStatus[TargetID],tblTargetStatus[Status])</f>
        <v>BLOCKED</v>
      </c>
      <c r="J1955" s="25" t="b">
        <v>0</v>
      </c>
    </row>
    <row r="1956" spans="1:10">
      <c r="A1956" s="41" t="s">
        <v>5946</v>
      </c>
      <c r="B1956" s="41" t="str">
        <f>_xlfn.TEXTAFTER(
 _xlfn.TEXTBEFORE(tblCostChecklist[[#This Row],[RequirementID]],".",-2),
 "cost."
)</f>
        <v>collection.bone_dragon@2</v>
      </c>
      <c r="C1956" s="41" t="str">
        <f>_xlfn.XLOOKUP(tblCostChecklist[[#This Row],[TargetID]],tblTargets[TargetID],tblTargets[DisplayName],"")</f>
        <v>Bone Dragon Lv 2</v>
      </c>
      <c r="D1956" s="41" t="str">
        <f>_xlfn.XLOOKUP(tblCostChecklist[[#This Row],[TargetID]],tblTargets[TargetID],tblTargets[TargetType],"")</f>
        <v>COLLECTION</v>
      </c>
      <c r="E1956" s="41" t="s">
        <v>3653</v>
      </c>
      <c r="F1956" s="41">
        <v>6</v>
      </c>
      <c r="G1956" s="41">
        <f>_xlfn.XLOOKUP(
 tblCostChecklist[[#This Row],[RequirementID]],
 tblCost[RequirementID],
 tblCost[QuantityRequired],
 ""
)</f>
        <v>60</v>
      </c>
      <c r="H19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6" s="41" t="str">
        <f>_xlfn.XLOOKUP(tblCostChecklist[[#This Row],[TargetID]],tblTargetStatus[TargetID],tblTargetStatus[Status])</f>
        <v>BLOCKED</v>
      </c>
      <c r="J1956" s="25" t="b">
        <v>0</v>
      </c>
    </row>
    <row r="1957" spans="1:10">
      <c r="A1957" s="41" t="s">
        <v>5947</v>
      </c>
      <c r="B1957" s="41" t="str">
        <f>_xlfn.TEXTAFTER(
 _xlfn.TEXTBEFORE(tblCostChecklist[[#This Row],[RequirementID]],".",-2),
 "cost."
)</f>
        <v>collection.bone_dragon@2</v>
      </c>
      <c r="C1957" s="41" t="str">
        <f>_xlfn.XLOOKUP(tblCostChecklist[[#This Row],[TargetID]],tblTargets[TargetID],tblTargets[DisplayName],"")</f>
        <v>Bone Dragon Lv 2</v>
      </c>
      <c r="D1957" s="41" t="str">
        <f>_xlfn.XLOOKUP(tblCostChecklist[[#This Row],[TargetID]],tblTargets[TargetID],tblTargets[TargetType],"")</f>
        <v>COLLECTION</v>
      </c>
      <c r="E1957" s="41" t="s">
        <v>667</v>
      </c>
      <c r="F1957" s="41">
        <v>1</v>
      </c>
      <c r="G1957" s="41">
        <f>_xlfn.XLOOKUP(
 tblCostChecklist[[#This Row],[RequirementID]],
 tblCost[RequirementID],
 tblCost[QuantityRequired],
 ""
)</f>
        <v>1110</v>
      </c>
      <c r="H19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7" s="41" t="str">
        <f>_xlfn.XLOOKUP(tblCostChecklist[[#This Row],[TargetID]],tblTargetStatus[TargetID],tblTargetStatus[Status])</f>
        <v>BLOCKED</v>
      </c>
      <c r="J1957" s="25" t="b">
        <v>0</v>
      </c>
    </row>
    <row r="1958" spans="1:10">
      <c r="A1958" s="41" t="s">
        <v>5948</v>
      </c>
      <c r="B1958" s="41" t="str">
        <f>_xlfn.TEXTAFTER(
 _xlfn.TEXTBEFORE(tblCostChecklist[[#This Row],[RequirementID]],".",-2),
 "cost."
)</f>
        <v>collection.bone_dragon@2</v>
      </c>
      <c r="C1958" s="41" t="str">
        <f>_xlfn.XLOOKUP(tblCostChecklist[[#This Row],[TargetID]],tblTargets[TargetID],tblTargets[DisplayName],"")</f>
        <v>Bone Dragon Lv 2</v>
      </c>
      <c r="D1958" s="41" t="str">
        <f>_xlfn.XLOOKUP(tblCostChecklist[[#This Row],[TargetID]],tblTargets[TargetID],tblTargets[TargetType],"")</f>
        <v>COLLECTION</v>
      </c>
      <c r="E1958" s="41" t="s">
        <v>677</v>
      </c>
      <c r="F1958" s="41">
        <v>1</v>
      </c>
      <c r="G1958" s="41">
        <f>_xlfn.XLOOKUP(
 tblCostChecklist[[#This Row],[RequirementID]],
 tblCost[RequirementID],
 tblCost[QuantityRequired],
 ""
)</f>
        <v>10</v>
      </c>
      <c r="H19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8" s="41" t="str">
        <f>_xlfn.XLOOKUP(tblCostChecklist[[#This Row],[TargetID]],tblTargetStatus[TargetID],tblTargetStatus[Status])</f>
        <v>BLOCKED</v>
      </c>
      <c r="J1958" s="25" t="b">
        <v>0</v>
      </c>
    </row>
    <row r="1959" spans="1:10">
      <c r="A1959" s="41" t="s">
        <v>5949</v>
      </c>
      <c r="B1959" s="41" t="str">
        <f>_xlfn.TEXTAFTER(
 _xlfn.TEXTBEFORE(tblCostChecklist[[#This Row],[RequirementID]],".",-2),
 "cost."
)</f>
        <v>collection.alchemist_hall_1@1</v>
      </c>
      <c r="C1959" s="41" t="str">
        <f>_xlfn.XLOOKUP(tblCostChecklist[[#This Row],[TargetID]],tblTargets[TargetID],tblTargets[DisplayName],"")</f>
        <v>Alchemist Hall Lv 1</v>
      </c>
      <c r="D1959" s="41" t="str">
        <f>_xlfn.XLOOKUP(tblCostChecklist[[#This Row],[TargetID]],tblTargets[TargetID],tblTargets[TargetType],"")</f>
        <v>COLLECTION</v>
      </c>
      <c r="E1959" s="41" t="s">
        <v>1794</v>
      </c>
      <c r="F1959" s="41">
        <v>1</v>
      </c>
      <c r="G1959" s="41">
        <f>_xlfn.XLOOKUP(
 tblCostChecklist[[#This Row],[RequirementID]],
 tblCost[RequirementID],
 tblCost[QuantityRequired],
 ""
)</f>
        <v>20</v>
      </c>
      <c r="H19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9" s="41" t="str">
        <f>_xlfn.XLOOKUP(tblCostChecklist[[#This Row],[TargetID]],tblTargetStatus[TargetID],tblTargetStatus[Status])</f>
        <v>BLOCKED</v>
      </c>
      <c r="J1959" s="25" t="b">
        <v>0</v>
      </c>
    </row>
    <row r="1960" spans="1:10">
      <c r="A1960" s="41" t="s">
        <v>5950</v>
      </c>
      <c r="B1960" s="41" t="str">
        <f>_xlfn.TEXTAFTER(
 _xlfn.TEXTBEFORE(tblCostChecklist[[#This Row],[RequirementID]],".",-2),
 "cost."
)</f>
        <v>collection.alchemist_hall_1@1</v>
      </c>
      <c r="C1960" s="41" t="str">
        <f>_xlfn.XLOOKUP(tblCostChecklist[[#This Row],[TargetID]],tblTargets[TargetID],tblTargets[DisplayName],"")</f>
        <v>Alchemist Hall Lv 1</v>
      </c>
      <c r="D1960" s="41" t="str">
        <f>_xlfn.XLOOKUP(tblCostChecklist[[#This Row],[TargetID]],tblTargets[TargetID],tblTargets[TargetType],"")</f>
        <v>COLLECTION</v>
      </c>
      <c r="E1960" s="41" t="s">
        <v>928</v>
      </c>
      <c r="F1960" s="41">
        <v>1</v>
      </c>
      <c r="G1960" s="41">
        <f>_xlfn.XLOOKUP(
 tblCostChecklist[[#This Row],[RequirementID]],
 tblCost[RequirementID],
 tblCost[QuantityRequired],
 ""
)</f>
        <v>20</v>
      </c>
      <c r="H19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0" s="41" t="str">
        <f>_xlfn.XLOOKUP(tblCostChecklist[[#This Row],[TargetID]],tblTargetStatus[TargetID],tblTargetStatus[Status])</f>
        <v>BLOCKED</v>
      </c>
      <c r="J1960" s="25" t="b">
        <v>0</v>
      </c>
    </row>
    <row r="1961" spans="1:10">
      <c r="A1961" s="41" t="s">
        <v>5951</v>
      </c>
      <c r="B1961" s="41" t="str">
        <f>_xlfn.TEXTAFTER(
 _xlfn.TEXTBEFORE(tblCostChecklist[[#This Row],[RequirementID]],".",-2),
 "cost."
)</f>
        <v>collection.alchemist_hall_1@1</v>
      </c>
      <c r="C1961" s="41" t="str">
        <f>_xlfn.XLOOKUP(tblCostChecklist[[#This Row],[TargetID]],tblTargets[TargetID],tblTargets[DisplayName],"")</f>
        <v>Alchemist Hall Lv 1</v>
      </c>
      <c r="D1961" s="41" t="str">
        <f>_xlfn.XLOOKUP(tblCostChecklist[[#This Row],[TargetID]],tblTargets[TargetID],tblTargets[TargetType],"")</f>
        <v>COLLECTION</v>
      </c>
      <c r="E1961" s="41" t="s">
        <v>687</v>
      </c>
      <c r="F1961" s="41">
        <v>1</v>
      </c>
      <c r="G1961" s="41">
        <f>_xlfn.XLOOKUP(
 tblCostChecklist[[#This Row],[RequirementID]],
 tblCost[RequirementID],
 tblCost[QuantityRequired],
 ""
)</f>
        <v>20</v>
      </c>
      <c r="H19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1" s="41" t="str">
        <f>_xlfn.XLOOKUP(tblCostChecklist[[#This Row],[TargetID]],tblTargetStatus[TargetID],tblTargetStatus[Status])</f>
        <v>BLOCKED</v>
      </c>
      <c r="J1961" s="25" t="b">
        <v>0</v>
      </c>
    </row>
    <row r="1962" spans="1:10">
      <c r="A1962" s="41" t="s">
        <v>5952</v>
      </c>
      <c r="B1962" s="41" t="str">
        <f>_xlfn.TEXTAFTER(
 _xlfn.TEXTBEFORE(tblCostChecklist[[#This Row],[RequirementID]],".",-2),
 "cost."
)</f>
        <v>collection.alchemist_hall_1@1</v>
      </c>
      <c r="C1962" s="41" t="str">
        <f>_xlfn.XLOOKUP(tblCostChecklist[[#This Row],[TargetID]],tblTargets[TargetID],tblTargets[DisplayName],"")</f>
        <v>Alchemist Hall Lv 1</v>
      </c>
      <c r="D1962" s="41" t="str">
        <f>_xlfn.XLOOKUP(tblCostChecklist[[#This Row],[TargetID]],tblTargets[TargetID],tblTargets[TargetType],"")</f>
        <v>COLLECTION</v>
      </c>
      <c r="E1962" s="41" t="s">
        <v>937</v>
      </c>
      <c r="F1962" s="41">
        <v>1</v>
      </c>
      <c r="G1962" s="41">
        <f>_xlfn.XLOOKUP(
 tblCostChecklist[[#This Row],[RequirementID]],
 tblCost[RequirementID],
 tblCost[QuantityRequired],
 ""
)</f>
        <v>10</v>
      </c>
      <c r="H19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2" s="41" t="str">
        <f>_xlfn.XLOOKUP(tblCostChecklist[[#This Row],[TargetID]],tblTargetStatus[TargetID],tblTargetStatus[Status])</f>
        <v>BLOCKED</v>
      </c>
      <c r="J1962" s="25" t="b">
        <v>0</v>
      </c>
    </row>
    <row r="1963" spans="1:10">
      <c r="A1963" s="41" t="s">
        <v>5953</v>
      </c>
      <c r="B1963" s="41" t="str">
        <f>_xlfn.TEXTAFTER(
 _xlfn.TEXTBEFORE(tblCostChecklist[[#This Row],[RequirementID]],".",-2),
 "cost."
)</f>
        <v>collection.alchemist_hall_1@1</v>
      </c>
      <c r="C1963" s="41" t="str">
        <f>_xlfn.XLOOKUP(tblCostChecklist[[#This Row],[TargetID]],tblTargets[TargetID],tblTargets[DisplayName],"")</f>
        <v>Alchemist Hall Lv 1</v>
      </c>
      <c r="D1963" s="41" t="str">
        <f>_xlfn.XLOOKUP(tblCostChecklist[[#This Row],[TargetID]],tblTargets[TargetID],tblTargets[TargetType],"")</f>
        <v>COLLECTION</v>
      </c>
      <c r="E1963" s="41" t="s">
        <v>940</v>
      </c>
      <c r="F1963" s="41">
        <v>1</v>
      </c>
      <c r="G1963" s="41">
        <f>_xlfn.XLOOKUP(
 tblCostChecklist[[#This Row],[RequirementID]],
 tblCost[RequirementID],
 tblCost[QuantityRequired],
 ""
)</f>
        <v>20</v>
      </c>
      <c r="H19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3" s="41" t="str">
        <f>_xlfn.XLOOKUP(tblCostChecklist[[#This Row],[TargetID]],tblTargetStatus[TargetID],tblTargetStatus[Status])</f>
        <v>BLOCKED</v>
      </c>
      <c r="J1963" s="25" t="b">
        <v>0</v>
      </c>
    </row>
    <row r="1964" spans="1:10">
      <c r="A1964" s="41" t="s">
        <v>5954</v>
      </c>
      <c r="B1964" s="41" t="str">
        <f>_xlfn.TEXTAFTER(
 _xlfn.TEXTBEFORE(tblCostChecklist[[#This Row],[RequirementID]],".",-2),
 "cost."
)</f>
        <v>collection.alchemist_hall_1@1</v>
      </c>
      <c r="C1964" s="41" t="str">
        <f>_xlfn.XLOOKUP(tblCostChecklist[[#This Row],[TargetID]],tblTargets[TargetID],tblTargets[DisplayName],"")</f>
        <v>Alchemist Hall Lv 1</v>
      </c>
      <c r="D1964" s="41" t="str">
        <f>_xlfn.XLOOKUP(tblCostChecklist[[#This Row],[TargetID]],tblTargets[TargetID],tblTargets[TargetType],"")</f>
        <v>COLLECTION</v>
      </c>
      <c r="E1964" s="41" t="s">
        <v>677</v>
      </c>
      <c r="F1964" s="41">
        <v>1</v>
      </c>
      <c r="G1964" s="41">
        <f>_xlfn.XLOOKUP(
 tblCostChecklist[[#This Row],[RequirementID]],
 tblCost[RequirementID],
 tblCost[QuantityRequired],
 ""
)</f>
        <v>5</v>
      </c>
      <c r="H19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4" s="41" t="str">
        <f>_xlfn.XLOOKUP(tblCostChecklist[[#This Row],[TargetID]],tblTargetStatus[TargetID],tblTargetStatus[Status])</f>
        <v>BLOCKED</v>
      </c>
      <c r="J1964" s="25" t="b">
        <v>0</v>
      </c>
    </row>
    <row r="1965" spans="1:10">
      <c r="A1965" s="41" t="s">
        <v>5955</v>
      </c>
      <c r="B1965" s="41" t="str">
        <f>_xlfn.TEXTAFTER(
 _xlfn.TEXTBEFORE(tblCostChecklist[[#This Row],[RequirementID]],".",-2),
 "cost."
)</f>
        <v>collection.alchemist_hall_1@1</v>
      </c>
      <c r="C1965" s="41" t="str">
        <f>_xlfn.XLOOKUP(tblCostChecklist[[#This Row],[TargetID]],tblTargets[TargetID],tblTargets[DisplayName],"")</f>
        <v>Alchemist Hall Lv 1</v>
      </c>
      <c r="D1965" s="41" t="str">
        <f>_xlfn.XLOOKUP(tblCostChecklist[[#This Row],[TargetID]],tblTargets[TargetID],tblTargets[TargetType],"")</f>
        <v>COLLECTION</v>
      </c>
      <c r="E1965" s="41" t="s">
        <v>958</v>
      </c>
      <c r="F1965" s="41">
        <v>1</v>
      </c>
      <c r="G1965" s="41">
        <f>_xlfn.XLOOKUP(
 tblCostChecklist[[#This Row],[RequirementID]],
 tblCost[RequirementID],
 tblCost[QuantityRequired],
 ""
)</f>
        <v>10</v>
      </c>
      <c r="H19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5" s="41" t="str">
        <f>_xlfn.XLOOKUP(tblCostChecklist[[#This Row],[TargetID]],tblTargetStatus[TargetID],tblTargetStatus[Status])</f>
        <v>BLOCKED</v>
      </c>
      <c r="J1965" s="25" t="b">
        <v>0</v>
      </c>
    </row>
    <row r="1966" spans="1:10">
      <c r="A1966" s="41" t="s">
        <v>5956</v>
      </c>
      <c r="B1966" s="41" t="str">
        <f>_xlfn.TEXTAFTER(
 _xlfn.TEXTBEFORE(tblCostChecklist[[#This Row],[RequirementID]],".",-2),
 "cost."
)</f>
        <v>collection.alchemist_hall_1@1</v>
      </c>
      <c r="C1966" s="41" t="str">
        <f>_xlfn.XLOOKUP(tblCostChecklist[[#This Row],[TargetID]],tblTargets[TargetID],tblTargets[DisplayName],"")</f>
        <v>Alchemist Hall Lv 1</v>
      </c>
      <c r="D1966" s="41" t="str">
        <f>_xlfn.XLOOKUP(tblCostChecklist[[#This Row],[TargetID]],tblTargets[TargetID],tblTargets[TargetType],"")</f>
        <v>COLLECTION</v>
      </c>
      <c r="E1966" s="41" t="s">
        <v>705</v>
      </c>
      <c r="F1966" s="41">
        <v>1</v>
      </c>
      <c r="G1966" s="41">
        <f>_xlfn.XLOOKUP(
 tblCostChecklist[[#This Row],[RequirementID]],
 tblCost[RequirementID],
 tblCost[QuantityRequired],
 ""
)</f>
        <v>111</v>
      </c>
      <c r="H19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6" s="41" t="str">
        <f>_xlfn.XLOOKUP(tblCostChecklist[[#This Row],[TargetID]],tblTargetStatus[TargetID],tblTargetStatus[Status])</f>
        <v>BLOCKED</v>
      </c>
      <c r="J1966" s="25" t="b">
        <v>0</v>
      </c>
    </row>
    <row r="1967" spans="1:10">
      <c r="A1967" s="41" t="s">
        <v>5957</v>
      </c>
      <c r="B1967" s="41" t="str">
        <f>_xlfn.TEXTAFTER(
 _xlfn.TEXTBEFORE(tblCostChecklist[[#This Row],[RequirementID]],".",-2),
 "cost."
)</f>
        <v>collection.alchemist_hall_1@2</v>
      </c>
      <c r="C1967" s="41" t="str">
        <f>_xlfn.XLOOKUP(tblCostChecklist[[#This Row],[TargetID]],tblTargets[TargetID],tblTargets[DisplayName],"")</f>
        <v>Alchemist Hall Lv 2</v>
      </c>
      <c r="D1967" s="41" t="str">
        <f>_xlfn.XLOOKUP(tblCostChecklist[[#This Row],[TargetID]],tblTargets[TargetID],tblTargets[TargetType],"")</f>
        <v>COLLECTION</v>
      </c>
      <c r="E1967" s="41" t="s">
        <v>1794</v>
      </c>
      <c r="F1967" s="41">
        <v>1</v>
      </c>
      <c r="G1967" s="41">
        <f>_xlfn.XLOOKUP(
 tblCostChecklist[[#This Row],[RequirementID]],
 tblCost[RequirementID],
 tblCost[QuantityRequired],
 ""
)</f>
        <v>40</v>
      </c>
      <c r="H19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7" s="41" t="str">
        <f>_xlfn.XLOOKUP(tblCostChecklist[[#This Row],[TargetID]],tblTargetStatus[TargetID],tblTargetStatus[Status])</f>
        <v>BLOCKED</v>
      </c>
      <c r="J1967" s="25" t="b">
        <v>0</v>
      </c>
    </row>
    <row r="1968" spans="1:10">
      <c r="A1968" s="41" t="s">
        <v>5958</v>
      </c>
      <c r="B1968" s="41" t="str">
        <f>_xlfn.TEXTAFTER(
 _xlfn.TEXTBEFORE(tblCostChecklist[[#This Row],[RequirementID]],".",-2),
 "cost."
)</f>
        <v>collection.alchemist_hall_1@2</v>
      </c>
      <c r="C1968" s="41" t="str">
        <f>_xlfn.XLOOKUP(tblCostChecklist[[#This Row],[TargetID]],tblTargets[TargetID],tblTargets[DisplayName],"")</f>
        <v>Alchemist Hall Lv 2</v>
      </c>
      <c r="D1968" s="41" t="str">
        <f>_xlfn.XLOOKUP(tblCostChecklist[[#This Row],[TargetID]],tblTargets[TargetID],tblTargets[TargetType],"")</f>
        <v>COLLECTION</v>
      </c>
      <c r="E1968" s="41" t="s">
        <v>928</v>
      </c>
      <c r="F1968" s="41">
        <v>1</v>
      </c>
      <c r="G1968" s="41">
        <f>_xlfn.XLOOKUP(
 tblCostChecklist[[#This Row],[RequirementID]],
 tblCost[RequirementID],
 tblCost[QuantityRequired],
 ""
)</f>
        <v>40</v>
      </c>
      <c r="H19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8" s="41" t="str">
        <f>_xlfn.XLOOKUP(tblCostChecklist[[#This Row],[TargetID]],tblTargetStatus[TargetID],tblTargetStatus[Status])</f>
        <v>BLOCKED</v>
      </c>
      <c r="J1968" s="25" t="b">
        <v>0</v>
      </c>
    </row>
    <row r="1969" spans="1:10">
      <c r="A1969" s="41" t="s">
        <v>5959</v>
      </c>
      <c r="B1969" s="41" t="str">
        <f>_xlfn.TEXTAFTER(
 _xlfn.TEXTBEFORE(tblCostChecklist[[#This Row],[RequirementID]],".",-2),
 "cost."
)</f>
        <v>collection.alchemist_hall_1@2</v>
      </c>
      <c r="C1969" s="41" t="str">
        <f>_xlfn.XLOOKUP(tblCostChecklist[[#This Row],[TargetID]],tblTargets[TargetID],tblTargets[DisplayName],"")</f>
        <v>Alchemist Hall Lv 2</v>
      </c>
      <c r="D1969" s="41" t="str">
        <f>_xlfn.XLOOKUP(tblCostChecklist[[#This Row],[TargetID]],tblTargets[TargetID],tblTargets[TargetType],"")</f>
        <v>COLLECTION</v>
      </c>
      <c r="E1969" s="41" t="s">
        <v>687</v>
      </c>
      <c r="F1969" s="41">
        <v>1</v>
      </c>
      <c r="G1969" s="41">
        <f>_xlfn.XLOOKUP(
 tblCostChecklist[[#This Row],[RequirementID]],
 tblCost[RequirementID],
 tblCost[QuantityRequired],
 ""
)</f>
        <v>40</v>
      </c>
      <c r="H19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9" s="41" t="str">
        <f>_xlfn.XLOOKUP(tblCostChecklist[[#This Row],[TargetID]],tblTargetStatus[TargetID],tblTargetStatus[Status])</f>
        <v>BLOCKED</v>
      </c>
      <c r="J1969" s="25" t="b">
        <v>0</v>
      </c>
    </row>
    <row r="1970" spans="1:10">
      <c r="A1970" s="41" t="s">
        <v>5960</v>
      </c>
      <c r="B1970" s="41" t="str">
        <f>_xlfn.TEXTAFTER(
 _xlfn.TEXTBEFORE(tblCostChecklist[[#This Row],[RequirementID]],".",-2),
 "cost."
)</f>
        <v>collection.alchemist_hall_1@2</v>
      </c>
      <c r="C1970" s="41" t="str">
        <f>_xlfn.XLOOKUP(tblCostChecklist[[#This Row],[TargetID]],tblTargets[TargetID],tblTargets[DisplayName],"")</f>
        <v>Alchemist Hall Lv 2</v>
      </c>
      <c r="D1970" s="41" t="str">
        <f>_xlfn.XLOOKUP(tblCostChecklist[[#This Row],[TargetID]],tblTargets[TargetID],tblTargets[TargetType],"")</f>
        <v>COLLECTION</v>
      </c>
      <c r="E1970" s="41" t="s">
        <v>937</v>
      </c>
      <c r="F1970" s="41">
        <v>1</v>
      </c>
      <c r="G1970" s="41">
        <f>_xlfn.XLOOKUP(
 tblCostChecklist[[#This Row],[RequirementID]],
 tblCost[RequirementID],
 tblCost[QuantityRequired],
 ""
)</f>
        <v>20</v>
      </c>
      <c r="H19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0" s="41" t="str">
        <f>_xlfn.XLOOKUP(tblCostChecklist[[#This Row],[TargetID]],tblTargetStatus[TargetID],tblTargetStatus[Status])</f>
        <v>BLOCKED</v>
      </c>
      <c r="J1970" s="25" t="b">
        <v>0</v>
      </c>
    </row>
    <row r="1971" spans="1:10">
      <c r="A1971" s="41" t="s">
        <v>5961</v>
      </c>
      <c r="B1971" s="41" t="str">
        <f>_xlfn.TEXTAFTER(
 _xlfn.TEXTBEFORE(tblCostChecklist[[#This Row],[RequirementID]],".",-2),
 "cost."
)</f>
        <v>collection.alchemist_hall_1@2</v>
      </c>
      <c r="C1971" s="41" t="str">
        <f>_xlfn.XLOOKUP(tblCostChecklist[[#This Row],[TargetID]],tblTargets[TargetID],tblTargets[DisplayName],"")</f>
        <v>Alchemist Hall Lv 2</v>
      </c>
      <c r="D1971" s="41" t="str">
        <f>_xlfn.XLOOKUP(tblCostChecklist[[#This Row],[TargetID]],tblTargets[TargetID],tblTargets[TargetType],"")</f>
        <v>COLLECTION</v>
      </c>
      <c r="E1971" s="41" t="s">
        <v>940</v>
      </c>
      <c r="F1971" s="41">
        <v>1</v>
      </c>
      <c r="G1971" s="41">
        <f>_xlfn.XLOOKUP(
 tblCostChecklist[[#This Row],[RequirementID]],
 tblCost[RequirementID],
 tblCost[QuantityRequired],
 ""
)</f>
        <v>40</v>
      </c>
      <c r="H19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1" s="41" t="str">
        <f>_xlfn.XLOOKUP(tblCostChecklist[[#This Row],[TargetID]],tblTargetStatus[TargetID],tblTargetStatus[Status])</f>
        <v>BLOCKED</v>
      </c>
      <c r="J1971" s="25" t="b">
        <v>0</v>
      </c>
    </row>
    <row r="1972" spans="1:10">
      <c r="A1972" s="41" t="s">
        <v>5962</v>
      </c>
      <c r="B1972" s="41" t="str">
        <f>_xlfn.TEXTAFTER(
 _xlfn.TEXTBEFORE(tblCostChecklist[[#This Row],[RequirementID]],".",-2),
 "cost."
)</f>
        <v>collection.alchemist_hall_1@2</v>
      </c>
      <c r="C1972" s="41" t="str">
        <f>_xlfn.XLOOKUP(tblCostChecklist[[#This Row],[TargetID]],tblTargets[TargetID],tblTargets[DisplayName],"")</f>
        <v>Alchemist Hall Lv 2</v>
      </c>
      <c r="D1972" s="41" t="str">
        <f>_xlfn.XLOOKUP(tblCostChecklist[[#This Row],[TargetID]],tblTargets[TargetID],tblTargets[TargetType],"")</f>
        <v>COLLECTION</v>
      </c>
      <c r="E1972" s="41" t="s">
        <v>677</v>
      </c>
      <c r="F1972" s="41">
        <v>1</v>
      </c>
      <c r="G1972" s="41">
        <f>_xlfn.XLOOKUP(
 tblCostChecklist[[#This Row],[RequirementID]],
 tblCost[RequirementID],
 tblCost[QuantityRequired],
 ""
)</f>
        <v>10</v>
      </c>
      <c r="H19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2" s="41" t="str">
        <f>_xlfn.XLOOKUP(tblCostChecklist[[#This Row],[TargetID]],tblTargetStatus[TargetID],tblTargetStatus[Status])</f>
        <v>BLOCKED</v>
      </c>
      <c r="J1972" s="25" t="b">
        <v>0</v>
      </c>
    </row>
    <row r="1973" spans="1:10">
      <c r="A1973" s="41" t="s">
        <v>5963</v>
      </c>
      <c r="B1973" s="41" t="str">
        <f>_xlfn.TEXTAFTER(
 _xlfn.TEXTBEFORE(tblCostChecklist[[#This Row],[RequirementID]],".",-2),
 "cost."
)</f>
        <v>collection.alchemist_hall_1@2</v>
      </c>
      <c r="C1973" s="41" t="str">
        <f>_xlfn.XLOOKUP(tblCostChecklist[[#This Row],[TargetID]],tblTargets[TargetID],tblTargets[DisplayName],"")</f>
        <v>Alchemist Hall Lv 2</v>
      </c>
      <c r="D1973" s="41" t="str">
        <f>_xlfn.XLOOKUP(tblCostChecklist[[#This Row],[TargetID]],tblTargets[TargetID],tblTargets[TargetType],"")</f>
        <v>COLLECTION</v>
      </c>
      <c r="E1973" s="41" t="s">
        <v>958</v>
      </c>
      <c r="F1973" s="41">
        <v>1</v>
      </c>
      <c r="G1973" s="41">
        <f>_xlfn.XLOOKUP(
 tblCostChecklist[[#This Row],[RequirementID]],
 tblCost[RequirementID],
 tblCost[QuantityRequired],
 ""
)</f>
        <v>20</v>
      </c>
      <c r="H19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3" s="41" t="str">
        <f>_xlfn.XLOOKUP(tblCostChecklist[[#This Row],[TargetID]],tblTargetStatus[TargetID],tblTargetStatus[Status])</f>
        <v>BLOCKED</v>
      </c>
      <c r="J1973" s="25" t="b">
        <v>0</v>
      </c>
    </row>
    <row r="1974" spans="1:10">
      <c r="A1974" s="41" t="s">
        <v>5964</v>
      </c>
      <c r="B1974" s="41" t="str">
        <f>_xlfn.TEXTAFTER(
 _xlfn.TEXTBEFORE(tblCostChecklist[[#This Row],[RequirementID]],".",-2),
 "cost."
)</f>
        <v>collection.alchemist_hall_1@2</v>
      </c>
      <c r="C1974" s="41" t="str">
        <f>_xlfn.XLOOKUP(tblCostChecklist[[#This Row],[TargetID]],tblTargets[TargetID],tblTargets[DisplayName],"")</f>
        <v>Alchemist Hall Lv 2</v>
      </c>
      <c r="D1974" s="41" t="str">
        <f>_xlfn.XLOOKUP(tblCostChecklist[[#This Row],[TargetID]],tblTargets[TargetID],tblTargets[TargetType],"")</f>
        <v>COLLECTION</v>
      </c>
      <c r="E1974" s="41" t="s">
        <v>705</v>
      </c>
      <c r="F1974" s="41">
        <v>1</v>
      </c>
      <c r="G1974" s="41">
        <f>_xlfn.XLOOKUP(
 tblCostChecklist[[#This Row],[RequirementID]],
 tblCost[RequirementID],
 tblCost[QuantityRequired],
 ""
)</f>
        <v>222</v>
      </c>
      <c r="H19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4" s="41" t="str">
        <f>_xlfn.XLOOKUP(tblCostChecklist[[#This Row],[TargetID]],tblTargetStatus[TargetID],tblTargetStatus[Status])</f>
        <v>BLOCKED</v>
      </c>
      <c r="J1974" s="25" t="b">
        <v>0</v>
      </c>
    </row>
    <row r="1975" spans="1:10">
      <c r="A1975" s="41" t="s">
        <v>5965</v>
      </c>
      <c r="B1975" s="41" t="str">
        <f>_xlfn.TEXTAFTER(
 _xlfn.TEXTBEFORE(tblCostChecklist[[#This Row],[RequirementID]],".",-2),
 "cost."
)</f>
        <v>collection.alchemist_hall_2@1</v>
      </c>
      <c r="C1975" s="41" t="str">
        <f>_xlfn.XLOOKUP(tblCostChecklist[[#This Row],[TargetID]],tblTargets[TargetID],tblTargets[DisplayName],"")</f>
        <v>Alchemist Hall Lv 1</v>
      </c>
      <c r="D1975" s="41" t="str">
        <f>_xlfn.XLOOKUP(tblCostChecklist[[#This Row],[TargetID]],tblTargets[TargetID],tblTargets[TargetType],"")</f>
        <v>COLLECTION</v>
      </c>
      <c r="E1975" s="41" t="s">
        <v>679</v>
      </c>
      <c r="F1975" s="41">
        <v>1</v>
      </c>
      <c r="G1975" s="41">
        <f>_xlfn.XLOOKUP(
 tblCostChecklist[[#This Row],[RequirementID]],
 tblCost[RequirementID],
 tblCost[QuantityRequired],
 ""
)</f>
        <v>10</v>
      </c>
      <c r="H19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5" s="41" t="str">
        <f>_xlfn.XLOOKUP(tblCostChecklist[[#This Row],[TargetID]],tblTargetStatus[TargetID],tblTargetStatus[Status])</f>
        <v>BLOCKED</v>
      </c>
      <c r="J1975" s="25" t="b">
        <v>0</v>
      </c>
    </row>
    <row r="1976" spans="1:10">
      <c r="A1976" s="41" t="s">
        <v>5966</v>
      </c>
      <c r="B1976" s="41" t="str">
        <f>_xlfn.TEXTAFTER(
 _xlfn.TEXTBEFORE(tblCostChecklist[[#This Row],[RequirementID]],".",-2),
 "cost."
)</f>
        <v>collection.alchemist_hall_2@1</v>
      </c>
      <c r="C1976" s="41" t="str">
        <f>_xlfn.XLOOKUP(tblCostChecklist[[#This Row],[TargetID]],tblTargets[TargetID],tblTargets[DisplayName],"")</f>
        <v>Alchemist Hall Lv 1</v>
      </c>
      <c r="D1976" s="41" t="str">
        <f>_xlfn.XLOOKUP(tblCostChecklist[[#This Row],[TargetID]],tblTargets[TargetID],tblTargets[TargetType],"")</f>
        <v>COLLECTION</v>
      </c>
      <c r="E1976" s="41" t="s">
        <v>679</v>
      </c>
      <c r="F1976" s="41">
        <v>2</v>
      </c>
      <c r="G1976" s="41">
        <f>_xlfn.XLOOKUP(
 tblCostChecklist[[#This Row],[RequirementID]],
 tblCost[RequirementID],
 tblCost[QuantityRequired],
 ""
)</f>
        <v>10</v>
      </c>
      <c r="H19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6" s="41" t="str">
        <f>_xlfn.XLOOKUP(tblCostChecklist[[#This Row],[TargetID]],tblTargetStatus[TargetID],tblTargetStatus[Status])</f>
        <v>BLOCKED</v>
      </c>
      <c r="J1976" s="25" t="b">
        <v>0</v>
      </c>
    </row>
    <row r="1977" spans="1:10">
      <c r="A1977" s="41" t="s">
        <v>5967</v>
      </c>
      <c r="B1977" s="41" t="str">
        <f>_xlfn.TEXTAFTER(
 _xlfn.TEXTBEFORE(tblCostChecklist[[#This Row],[RequirementID]],".",-2),
 "cost."
)</f>
        <v>collection.alchemist_hall_2@1</v>
      </c>
      <c r="C1977" s="41" t="str">
        <f>_xlfn.XLOOKUP(tblCostChecklist[[#This Row],[TargetID]],tblTargets[TargetID],tblTargets[DisplayName],"")</f>
        <v>Alchemist Hall Lv 1</v>
      </c>
      <c r="D1977" s="41" t="str">
        <f>_xlfn.XLOOKUP(tblCostChecklist[[#This Row],[TargetID]],tblTargets[TargetID],tblTargets[TargetType],"")</f>
        <v>COLLECTION</v>
      </c>
      <c r="E1977" s="41" t="s">
        <v>1815</v>
      </c>
      <c r="F1977" s="41">
        <v>1</v>
      </c>
      <c r="G1977" s="41">
        <f>_xlfn.XLOOKUP(
 tblCostChecklist[[#This Row],[RequirementID]],
 tblCost[RequirementID],
 tblCost[QuantityRequired],
 ""
)</f>
        <v>20</v>
      </c>
      <c r="H19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7" s="41" t="str">
        <f>_xlfn.XLOOKUP(tblCostChecklist[[#This Row],[TargetID]],tblTargetStatus[TargetID],tblTargetStatus[Status])</f>
        <v>BLOCKED</v>
      </c>
      <c r="J1977" s="25" t="b">
        <v>0</v>
      </c>
    </row>
    <row r="1978" spans="1:10">
      <c r="A1978" s="41" t="s">
        <v>5968</v>
      </c>
      <c r="B1978" s="41" t="str">
        <f>_xlfn.TEXTAFTER(
 _xlfn.TEXTBEFORE(tblCostChecklist[[#This Row],[RequirementID]],".",-2),
 "cost."
)</f>
        <v>collection.alchemist_hall_2@1</v>
      </c>
      <c r="C1978" s="41" t="str">
        <f>_xlfn.XLOOKUP(tblCostChecklist[[#This Row],[TargetID]],tblTargets[TargetID],tblTargets[DisplayName],"")</f>
        <v>Alchemist Hall Lv 1</v>
      </c>
      <c r="D1978" s="41" t="str">
        <f>_xlfn.XLOOKUP(tblCostChecklist[[#This Row],[TargetID]],tblTargets[TargetID],tblTargets[TargetType],"")</f>
        <v>COLLECTION</v>
      </c>
      <c r="E1978" s="41" t="s">
        <v>3653</v>
      </c>
      <c r="F1978" s="41">
        <v>1</v>
      </c>
      <c r="G1978" s="41">
        <f>_xlfn.XLOOKUP(
 tblCostChecklist[[#This Row],[RequirementID]],
 tblCost[RequirementID],
 tblCost[QuantityRequired],
 ""
)</f>
        <v>24</v>
      </c>
      <c r="H19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8" s="41" t="str">
        <f>_xlfn.XLOOKUP(tblCostChecklist[[#This Row],[TargetID]],tblTargetStatus[TargetID],tblTargetStatus[Status])</f>
        <v>BLOCKED</v>
      </c>
      <c r="J1978" s="25" t="b">
        <v>0</v>
      </c>
    </row>
    <row r="1979" spans="1:10">
      <c r="A1979" s="41" t="s">
        <v>5969</v>
      </c>
      <c r="B1979" s="41" t="str">
        <f>_xlfn.TEXTAFTER(
 _xlfn.TEXTBEFORE(tblCostChecklist[[#This Row],[RequirementID]],".",-2),
 "cost."
)</f>
        <v>collection.alchemist_hall_2@1</v>
      </c>
      <c r="C1979" s="41" t="str">
        <f>_xlfn.XLOOKUP(tblCostChecklist[[#This Row],[TargetID]],tblTargets[TargetID],tblTargets[DisplayName],"")</f>
        <v>Alchemist Hall Lv 1</v>
      </c>
      <c r="D1979" s="41" t="str">
        <f>_xlfn.XLOOKUP(tblCostChecklist[[#This Row],[TargetID]],tblTargets[TargetID],tblTargets[TargetType],"")</f>
        <v>COLLECTION</v>
      </c>
      <c r="E1979" s="41" t="s">
        <v>3653</v>
      </c>
      <c r="F1979" s="41">
        <v>2</v>
      </c>
      <c r="G1979" s="41">
        <f>_xlfn.XLOOKUP(
 tblCostChecklist[[#This Row],[RequirementID]],
 tblCost[RequirementID],
 tblCost[QuantityRequired],
 ""
)</f>
        <v>24</v>
      </c>
      <c r="H19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9" s="41" t="str">
        <f>_xlfn.XLOOKUP(tblCostChecklist[[#This Row],[TargetID]],tblTargetStatus[TargetID],tblTargetStatus[Status])</f>
        <v>BLOCKED</v>
      </c>
      <c r="J1979" s="25" t="b">
        <v>0</v>
      </c>
    </row>
    <row r="1980" spans="1:10">
      <c r="A1980" s="41" t="s">
        <v>5970</v>
      </c>
      <c r="B1980" s="41" t="str">
        <f>_xlfn.TEXTAFTER(
 _xlfn.TEXTBEFORE(tblCostChecklist[[#This Row],[RequirementID]],".",-2),
 "cost."
)</f>
        <v>collection.alchemist_hall_2@1</v>
      </c>
      <c r="C1980" s="41" t="str">
        <f>_xlfn.XLOOKUP(tblCostChecklist[[#This Row],[TargetID]],tblTargets[TargetID],tblTargets[DisplayName],"")</f>
        <v>Alchemist Hall Lv 1</v>
      </c>
      <c r="D1980" s="41" t="str">
        <f>_xlfn.XLOOKUP(tblCostChecklist[[#This Row],[TargetID]],tblTargets[TargetID],tblTargets[TargetType],"")</f>
        <v>COLLECTION</v>
      </c>
      <c r="E1980" s="41" t="s">
        <v>696</v>
      </c>
      <c r="F1980" s="41">
        <v>1</v>
      </c>
      <c r="G1980" s="41">
        <f>_xlfn.XLOOKUP(
 tblCostChecklist[[#This Row],[RequirementID]],
 tblCost[RequirementID],
 tblCost[QuantityRequired],
 ""
)</f>
        <v>20</v>
      </c>
      <c r="H19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0" s="41" t="str">
        <f>_xlfn.XLOOKUP(tblCostChecklist[[#This Row],[TargetID]],tblTargetStatus[TargetID],tblTargetStatus[Status])</f>
        <v>BLOCKED</v>
      </c>
      <c r="J1980" s="25" t="b">
        <v>0</v>
      </c>
    </row>
    <row r="1981" spans="1:10">
      <c r="A1981" s="41" t="s">
        <v>5971</v>
      </c>
      <c r="B1981" s="41" t="str">
        <f>_xlfn.TEXTAFTER(
 _xlfn.TEXTBEFORE(tblCostChecklist[[#This Row],[RequirementID]],".",-2),
 "cost."
)</f>
        <v>collection.alchemist_hall_2@1</v>
      </c>
      <c r="C1981" s="41" t="str">
        <f>_xlfn.XLOOKUP(tblCostChecklist[[#This Row],[TargetID]],tblTargets[TargetID],tblTargets[DisplayName],"")</f>
        <v>Alchemist Hall Lv 1</v>
      </c>
      <c r="D1981" s="41" t="str">
        <f>_xlfn.XLOOKUP(tblCostChecklist[[#This Row],[TargetID]],tblTargets[TargetID],tblTargets[TargetType],"")</f>
        <v>COLLECTION</v>
      </c>
      <c r="E1981" s="41" t="s">
        <v>710</v>
      </c>
      <c r="F1981" s="41">
        <v>1</v>
      </c>
      <c r="G1981" s="41">
        <f>_xlfn.XLOOKUP(
 tblCostChecklist[[#This Row],[RequirementID]],
 tblCost[RequirementID],
 tblCost[QuantityRequired],
 ""
)</f>
        <v>1</v>
      </c>
      <c r="H19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1" s="41" t="str">
        <f>_xlfn.XLOOKUP(tblCostChecklist[[#This Row],[TargetID]],tblTargetStatus[TargetID],tblTargetStatus[Status])</f>
        <v>BLOCKED</v>
      </c>
      <c r="J1981" s="25" t="b">
        <v>0</v>
      </c>
    </row>
    <row r="1982" spans="1:10">
      <c r="A1982" s="41" t="s">
        <v>5972</v>
      </c>
      <c r="B1982" s="41" t="str">
        <f>_xlfn.TEXTAFTER(
 _xlfn.TEXTBEFORE(tblCostChecklist[[#This Row],[RequirementID]],".",-2),
 "cost."
)</f>
        <v>collection.alchemist_hall_2@1</v>
      </c>
      <c r="C1982" s="41" t="str">
        <f>_xlfn.XLOOKUP(tblCostChecklist[[#This Row],[TargetID]],tblTargets[TargetID],tblTargets[DisplayName],"")</f>
        <v>Alchemist Hall Lv 1</v>
      </c>
      <c r="D1982" s="41" t="str">
        <f>_xlfn.XLOOKUP(tblCostChecklist[[#This Row],[TargetID]],tblTargets[TargetID],tblTargets[TargetType],"")</f>
        <v>COLLECTION</v>
      </c>
      <c r="E1982" s="41" t="s">
        <v>703</v>
      </c>
      <c r="F1982" s="41">
        <v>1</v>
      </c>
      <c r="G1982" s="41">
        <f>_xlfn.XLOOKUP(
 tblCostChecklist[[#This Row],[RequirementID]],
 tblCost[RequirementID],
 tblCost[QuantityRequired],
 ""
)</f>
        <v>10</v>
      </c>
      <c r="H19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2" s="41" t="str">
        <f>_xlfn.XLOOKUP(tblCostChecklist[[#This Row],[TargetID]],tblTargetStatus[TargetID],tblTargetStatus[Status])</f>
        <v>BLOCKED</v>
      </c>
      <c r="J1982" s="25" t="b">
        <v>0</v>
      </c>
    </row>
    <row r="1983" spans="1:10">
      <c r="A1983" s="41" t="s">
        <v>5973</v>
      </c>
      <c r="B1983" s="41" t="str">
        <f>_xlfn.TEXTAFTER(
 _xlfn.TEXTBEFORE(tblCostChecklist[[#This Row],[RequirementID]],".",-2),
 "cost."
)</f>
        <v>collection.alchemist_hall_2@2</v>
      </c>
      <c r="C1983" s="41" t="str">
        <f>_xlfn.XLOOKUP(tblCostChecklist[[#This Row],[TargetID]],tblTargets[TargetID],tblTargets[DisplayName],"")</f>
        <v>Alchemist Hall Lv 2</v>
      </c>
      <c r="D1983" s="41" t="str">
        <f>_xlfn.XLOOKUP(tblCostChecklist[[#This Row],[TargetID]],tblTargets[TargetID],tblTargets[TargetType],"")</f>
        <v>COLLECTION</v>
      </c>
      <c r="E1983" s="41" t="s">
        <v>679</v>
      </c>
      <c r="F1983" s="41">
        <v>1</v>
      </c>
      <c r="G1983" s="41">
        <f>_xlfn.XLOOKUP(
 tblCostChecklist[[#This Row],[RequirementID]],
 tblCost[RequirementID],
 tblCost[QuantityRequired],
 ""
)</f>
        <v>20</v>
      </c>
      <c r="H19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3" s="41" t="str">
        <f>_xlfn.XLOOKUP(tblCostChecklist[[#This Row],[TargetID]],tblTargetStatus[TargetID],tblTargetStatus[Status])</f>
        <v>BLOCKED</v>
      </c>
      <c r="J1983" s="25" t="b">
        <v>0</v>
      </c>
    </row>
    <row r="1984" spans="1:10">
      <c r="A1984" s="41" t="s">
        <v>5974</v>
      </c>
      <c r="B1984" s="41" t="str">
        <f>_xlfn.TEXTAFTER(
 _xlfn.TEXTBEFORE(tblCostChecklist[[#This Row],[RequirementID]],".",-2),
 "cost."
)</f>
        <v>collection.alchemist_hall_2@2</v>
      </c>
      <c r="C1984" s="41" t="str">
        <f>_xlfn.XLOOKUP(tblCostChecklist[[#This Row],[TargetID]],tblTargets[TargetID],tblTargets[DisplayName],"")</f>
        <v>Alchemist Hall Lv 2</v>
      </c>
      <c r="D1984" s="41" t="str">
        <f>_xlfn.XLOOKUP(tblCostChecklist[[#This Row],[TargetID]],tblTargets[TargetID],tblTargets[TargetType],"")</f>
        <v>COLLECTION</v>
      </c>
      <c r="E1984" s="41" t="s">
        <v>679</v>
      </c>
      <c r="F1984" s="41">
        <v>2</v>
      </c>
      <c r="G1984" s="41">
        <f>_xlfn.XLOOKUP(
 tblCostChecklist[[#This Row],[RequirementID]],
 tblCost[RequirementID],
 tblCost[QuantityRequired],
 ""
)</f>
        <v>20</v>
      </c>
      <c r="H19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4" s="41" t="str">
        <f>_xlfn.XLOOKUP(tblCostChecklist[[#This Row],[TargetID]],tblTargetStatus[TargetID],tblTargetStatus[Status])</f>
        <v>BLOCKED</v>
      </c>
      <c r="J1984" s="25" t="b">
        <v>0</v>
      </c>
    </row>
    <row r="1985" spans="1:10">
      <c r="A1985" s="41" t="s">
        <v>5975</v>
      </c>
      <c r="B1985" s="41" t="str">
        <f>_xlfn.TEXTAFTER(
 _xlfn.TEXTBEFORE(tblCostChecklist[[#This Row],[RequirementID]],".",-2),
 "cost."
)</f>
        <v>collection.alchemist_hall_2@2</v>
      </c>
      <c r="C1985" s="41" t="str">
        <f>_xlfn.XLOOKUP(tblCostChecklist[[#This Row],[TargetID]],tblTargets[TargetID],tblTargets[DisplayName],"")</f>
        <v>Alchemist Hall Lv 2</v>
      </c>
      <c r="D1985" s="41" t="str">
        <f>_xlfn.XLOOKUP(tblCostChecklist[[#This Row],[TargetID]],tblTargets[TargetID],tblTargets[TargetType],"")</f>
        <v>COLLECTION</v>
      </c>
      <c r="E1985" s="41" t="s">
        <v>1815</v>
      </c>
      <c r="F1985" s="41">
        <v>1</v>
      </c>
      <c r="G1985" s="41">
        <f>_xlfn.XLOOKUP(
 tblCostChecklist[[#This Row],[RequirementID]],
 tblCost[RequirementID],
 tblCost[QuantityRequired],
 ""
)</f>
        <v>40</v>
      </c>
      <c r="H19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5" s="41" t="str">
        <f>_xlfn.XLOOKUP(tblCostChecklist[[#This Row],[TargetID]],tblTargetStatus[TargetID],tblTargetStatus[Status])</f>
        <v>BLOCKED</v>
      </c>
      <c r="J1985" s="25" t="b">
        <v>0</v>
      </c>
    </row>
    <row r="1986" spans="1:10">
      <c r="A1986" s="41" t="s">
        <v>5976</v>
      </c>
      <c r="B1986" s="41" t="str">
        <f>_xlfn.TEXTAFTER(
 _xlfn.TEXTBEFORE(tblCostChecklist[[#This Row],[RequirementID]],".",-2),
 "cost."
)</f>
        <v>collection.alchemist_hall_2@2</v>
      </c>
      <c r="C1986" s="41" t="str">
        <f>_xlfn.XLOOKUP(tblCostChecklist[[#This Row],[TargetID]],tblTargets[TargetID],tblTargets[DisplayName],"")</f>
        <v>Alchemist Hall Lv 2</v>
      </c>
      <c r="D1986" s="41" t="str">
        <f>_xlfn.XLOOKUP(tblCostChecklist[[#This Row],[TargetID]],tblTargets[TargetID],tblTargets[TargetType],"")</f>
        <v>COLLECTION</v>
      </c>
      <c r="E1986" s="41" t="s">
        <v>3653</v>
      </c>
      <c r="F1986" s="41">
        <v>1</v>
      </c>
      <c r="G1986" s="41">
        <f>_xlfn.XLOOKUP(
 tblCostChecklist[[#This Row],[RequirementID]],
 tblCost[RequirementID],
 tblCost[QuantityRequired],
 ""
)</f>
        <v>48</v>
      </c>
      <c r="H19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6" s="41" t="str">
        <f>_xlfn.XLOOKUP(tblCostChecklist[[#This Row],[TargetID]],tblTargetStatus[TargetID],tblTargetStatus[Status])</f>
        <v>BLOCKED</v>
      </c>
      <c r="J1986" s="25" t="b">
        <v>0</v>
      </c>
    </row>
    <row r="1987" spans="1:10">
      <c r="A1987" s="41" t="s">
        <v>5977</v>
      </c>
      <c r="B1987" s="41" t="str">
        <f>_xlfn.TEXTAFTER(
 _xlfn.TEXTBEFORE(tblCostChecklist[[#This Row],[RequirementID]],".",-2),
 "cost."
)</f>
        <v>collection.alchemist_hall_2@2</v>
      </c>
      <c r="C1987" s="41" t="str">
        <f>_xlfn.XLOOKUP(tblCostChecklist[[#This Row],[TargetID]],tblTargets[TargetID],tblTargets[DisplayName],"")</f>
        <v>Alchemist Hall Lv 2</v>
      </c>
      <c r="D1987" s="41" t="str">
        <f>_xlfn.XLOOKUP(tblCostChecklist[[#This Row],[TargetID]],tblTargets[TargetID],tblTargets[TargetType],"")</f>
        <v>COLLECTION</v>
      </c>
      <c r="E1987" s="41" t="s">
        <v>3653</v>
      </c>
      <c r="F1987" s="41">
        <v>2</v>
      </c>
      <c r="G1987" s="41">
        <f>_xlfn.XLOOKUP(
 tblCostChecklist[[#This Row],[RequirementID]],
 tblCost[RequirementID],
 tblCost[QuantityRequired],
 ""
)</f>
        <v>48</v>
      </c>
      <c r="H19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7" s="41" t="str">
        <f>_xlfn.XLOOKUP(tblCostChecklist[[#This Row],[TargetID]],tblTargetStatus[TargetID],tblTargetStatus[Status])</f>
        <v>BLOCKED</v>
      </c>
      <c r="J1987" s="25" t="b">
        <v>0</v>
      </c>
    </row>
    <row r="1988" spans="1:10">
      <c r="A1988" s="41" t="s">
        <v>5978</v>
      </c>
      <c r="B1988" s="41" t="str">
        <f>_xlfn.TEXTAFTER(
 _xlfn.TEXTBEFORE(tblCostChecklist[[#This Row],[RequirementID]],".",-2),
 "cost."
)</f>
        <v>collection.alchemist_hall_2@2</v>
      </c>
      <c r="C1988" s="41" t="str">
        <f>_xlfn.XLOOKUP(tblCostChecklist[[#This Row],[TargetID]],tblTargets[TargetID],tblTargets[DisplayName],"")</f>
        <v>Alchemist Hall Lv 2</v>
      </c>
      <c r="D1988" s="41" t="str">
        <f>_xlfn.XLOOKUP(tblCostChecklist[[#This Row],[TargetID]],tblTargets[TargetID],tblTargets[TargetType],"")</f>
        <v>COLLECTION</v>
      </c>
      <c r="E1988" s="41" t="s">
        <v>696</v>
      </c>
      <c r="F1988" s="41">
        <v>1</v>
      </c>
      <c r="G1988" s="41">
        <f>_xlfn.XLOOKUP(
 tblCostChecklist[[#This Row],[RequirementID]],
 tblCost[RequirementID],
 tblCost[QuantityRequired],
 ""
)</f>
        <v>40</v>
      </c>
      <c r="H19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8" s="41" t="str">
        <f>_xlfn.XLOOKUP(tblCostChecklist[[#This Row],[TargetID]],tblTargetStatus[TargetID],tblTargetStatus[Status])</f>
        <v>BLOCKED</v>
      </c>
      <c r="J1988" s="25" t="b">
        <v>0</v>
      </c>
    </row>
    <row r="1989" spans="1:10">
      <c r="A1989" s="41" t="s">
        <v>5979</v>
      </c>
      <c r="B1989" s="41" t="str">
        <f>_xlfn.TEXTAFTER(
 _xlfn.TEXTBEFORE(tblCostChecklist[[#This Row],[RequirementID]],".",-2),
 "cost."
)</f>
        <v>collection.alchemist_hall_2@2</v>
      </c>
      <c r="C1989" s="41" t="str">
        <f>_xlfn.XLOOKUP(tblCostChecklist[[#This Row],[TargetID]],tblTargets[TargetID],tblTargets[DisplayName],"")</f>
        <v>Alchemist Hall Lv 2</v>
      </c>
      <c r="D1989" s="41" t="str">
        <f>_xlfn.XLOOKUP(tblCostChecklist[[#This Row],[TargetID]],tblTargets[TargetID],tblTargets[TargetType],"")</f>
        <v>COLLECTION</v>
      </c>
      <c r="E1989" s="41" t="s">
        <v>710</v>
      </c>
      <c r="F1989" s="41">
        <v>1</v>
      </c>
      <c r="G1989" s="41">
        <f>_xlfn.XLOOKUP(
 tblCostChecklist[[#This Row],[RequirementID]],
 tblCost[RequirementID],
 tblCost[QuantityRequired],
 ""
)</f>
        <v>2</v>
      </c>
      <c r="H19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9" s="41" t="str">
        <f>_xlfn.XLOOKUP(tblCostChecklist[[#This Row],[TargetID]],tblTargetStatus[TargetID],tblTargetStatus[Status])</f>
        <v>BLOCKED</v>
      </c>
      <c r="J1989" s="25" t="b">
        <v>0</v>
      </c>
    </row>
    <row r="1990" spans="1:10">
      <c r="A1990" s="41" t="s">
        <v>5980</v>
      </c>
      <c r="B1990" s="41" t="str">
        <f>_xlfn.TEXTAFTER(
 _xlfn.TEXTBEFORE(tblCostChecklist[[#This Row],[RequirementID]],".",-2),
 "cost."
)</f>
        <v>collection.alchemist_hall_2@2</v>
      </c>
      <c r="C1990" s="41" t="str">
        <f>_xlfn.XLOOKUP(tblCostChecklist[[#This Row],[TargetID]],tblTargets[TargetID],tblTargets[DisplayName],"")</f>
        <v>Alchemist Hall Lv 2</v>
      </c>
      <c r="D1990" s="41" t="str">
        <f>_xlfn.XLOOKUP(tblCostChecklist[[#This Row],[TargetID]],tblTargets[TargetID],tblTargets[TargetType],"")</f>
        <v>COLLECTION</v>
      </c>
      <c r="E1990" s="41" t="s">
        <v>703</v>
      </c>
      <c r="F1990" s="41">
        <v>1</v>
      </c>
      <c r="G1990" s="41">
        <f>_xlfn.XLOOKUP(
 tblCostChecklist[[#This Row],[RequirementID]],
 tblCost[RequirementID],
 tblCost[QuantityRequired],
 ""
)</f>
        <v>20</v>
      </c>
      <c r="H19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0" s="41" t="str">
        <f>_xlfn.XLOOKUP(tblCostChecklist[[#This Row],[TargetID]],tblTargetStatus[TargetID],tblTargetStatus[Status])</f>
        <v>BLOCKED</v>
      </c>
      <c r="J1990" s="25" t="b">
        <v>0</v>
      </c>
    </row>
    <row r="1991" spans="1:10">
      <c r="A1991" s="41" t="s">
        <v>5981</v>
      </c>
      <c r="B1991" s="41" t="str">
        <f>_xlfn.TEXTAFTER(
 _xlfn.TEXTBEFORE(tblCostChecklist[[#This Row],[RequirementID]],".",-2),
 "cost."
)</f>
        <v>collection.alchemist_hall_3@1</v>
      </c>
      <c r="C1991" s="41" t="str">
        <f>_xlfn.XLOOKUP(tblCostChecklist[[#This Row],[TargetID]],tblTargets[TargetID],tblTargets[DisplayName],"")</f>
        <v>Alchemist Hall Lv 1</v>
      </c>
      <c r="D1991" s="41" t="str">
        <f>_xlfn.XLOOKUP(tblCostChecklist[[#This Row],[TargetID]],tblTargets[TargetID],tblTargets[TargetType],"")</f>
        <v>COLLECTION</v>
      </c>
      <c r="E1991" s="41" t="s">
        <v>5616</v>
      </c>
      <c r="F1991" s="41">
        <v>1</v>
      </c>
      <c r="G1991" s="41">
        <f>_xlfn.XLOOKUP(
 tblCostChecklist[[#This Row],[RequirementID]],
 tblCost[RequirementID],
 tblCost[QuantityRequired],
 ""
)</f>
        <v>12</v>
      </c>
      <c r="H19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1" s="41" t="str">
        <f>_xlfn.XLOOKUP(tblCostChecklist[[#This Row],[TargetID]],tblTargetStatus[TargetID],tblTargetStatus[Status])</f>
        <v>BLOCKED</v>
      </c>
      <c r="J1991" s="25" t="b">
        <v>0</v>
      </c>
    </row>
    <row r="1992" spans="1:10">
      <c r="A1992" s="41" t="s">
        <v>5982</v>
      </c>
      <c r="B1992" s="41" t="str">
        <f>_xlfn.TEXTAFTER(
 _xlfn.TEXTBEFORE(tblCostChecklist[[#This Row],[RequirementID]],".",-2),
 "cost."
)</f>
        <v>collection.alchemist_hall_3@1</v>
      </c>
      <c r="C1992" s="41" t="str">
        <f>_xlfn.XLOOKUP(tblCostChecklist[[#This Row],[TargetID]],tblTargets[TargetID],tblTargets[DisplayName],"")</f>
        <v>Alchemist Hall Lv 1</v>
      </c>
      <c r="D1992" s="41" t="str">
        <f>_xlfn.XLOOKUP(tblCostChecklist[[#This Row],[TargetID]],tblTargets[TargetID],tblTargets[TargetType],"")</f>
        <v>COLLECTION</v>
      </c>
      <c r="E1992" s="41" t="s">
        <v>935</v>
      </c>
      <c r="F1992" s="41">
        <v>1</v>
      </c>
      <c r="G1992" s="41">
        <f>_xlfn.XLOOKUP(
 tblCostChecklist[[#This Row],[RequirementID]],
 tblCost[RequirementID],
 tblCost[QuantityRequired],
 ""
)</f>
        <v>24</v>
      </c>
      <c r="H19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2" s="41" t="str">
        <f>_xlfn.XLOOKUP(tblCostChecklist[[#This Row],[TargetID]],tblTargetStatus[TargetID],tblTargetStatus[Status])</f>
        <v>BLOCKED</v>
      </c>
      <c r="J1992" s="25" t="b">
        <v>0</v>
      </c>
    </row>
    <row r="1993" spans="1:10">
      <c r="A1993" s="41" t="s">
        <v>5983</v>
      </c>
      <c r="B1993" s="41" t="str">
        <f>_xlfn.TEXTAFTER(
 _xlfn.TEXTBEFORE(tblCostChecklist[[#This Row],[RequirementID]],".",-2),
 "cost."
)</f>
        <v>collection.alchemist_hall_3@1</v>
      </c>
      <c r="C1993" s="41" t="str">
        <f>_xlfn.XLOOKUP(tblCostChecklist[[#This Row],[TargetID]],tblTargets[TargetID],tblTargets[DisplayName],"")</f>
        <v>Alchemist Hall Lv 1</v>
      </c>
      <c r="D1993" s="41" t="str">
        <f>_xlfn.XLOOKUP(tblCostChecklist[[#This Row],[TargetID]],tblTargets[TargetID],tblTargets[TargetType],"")</f>
        <v>COLLECTION</v>
      </c>
      <c r="E1993" s="41" t="s">
        <v>935</v>
      </c>
      <c r="F1993" s="41">
        <v>2</v>
      </c>
      <c r="G1993" s="41">
        <f>_xlfn.XLOOKUP(
 tblCostChecklist[[#This Row],[RequirementID]],
 tblCost[RequirementID],
 tblCost[QuantityRequired],
 ""
)</f>
        <v>24</v>
      </c>
      <c r="H19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3" s="41" t="str">
        <f>_xlfn.XLOOKUP(tblCostChecklist[[#This Row],[TargetID]],tblTargetStatus[TargetID],tblTargetStatus[Status])</f>
        <v>BLOCKED</v>
      </c>
      <c r="J1993" s="25" t="b">
        <v>0</v>
      </c>
    </row>
    <row r="1994" spans="1:10">
      <c r="A1994" s="41" t="s">
        <v>5984</v>
      </c>
      <c r="B1994" s="41" t="str">
        <f>_xlfn.TEXTAFTER(
 _xlfn.TEXTBEFORE(tblCostChecklist[[#This Row],[RequirementID]],".",-2),
 "cost."
)</f>
        <v>collection.alchemist_hall_3@1</v>
      </c>
      <c r="C1994" s="41" t="str">
        <f>_xlfn.XLOOKUP(tblCostChecklist[[#This Row],[TargetID]],tblTargets[TargetID],tblTargets[DisplayName],"")</f>
        <v>Alchemist Hall Lv 1</v>
      </c>
      <c r="D1994" s="41" t="str">
        <f>_xlfn.XLOOKUP(tblCostChecklist[[#This Row],[TargetID]],tblTargets[TargetID],tblTargets[TargetType],"")</f>
        <v>COLLECTION</v>
      </c>
      <c r="E1994" s="41" t="s">
        <v>677</v>
      </c>
      <c r="F1994" s="41">
        <v>1</v>
      </c>
      <c r="G1994" s="41">
        <f>_xlfn.XLOOKUP(
 tblCostChecklist[[#This Row],[RequirementID]],
 tblCost[RequirementID],
 tblCost[QuantityRequired],
 ""
)</f>
        <v>10</v>
      </c>
      <c r="H19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4" s="41" t="str">
        <f>_xlfn.XLOOKUP(tblCostChecklist[[#This Row],[TargetID]],tblTargetStatus[TargetID],tblTargetStatus[Status])</f>
        <v>BLOCKED</v>
      </c>
      <c r="J1994" s="25" t="b">
        <v>0</v>
      </c>
    </row>
    <row r="1995" spans="1:10">
      <c r="A1995" s="41" t="s">
        <v>5985</v>
      </c>
      <c r="B1995" s="41" t="str">
        <f>_xlfn.TEXTAFTER(
 _xlfn.TEXTBEFORE(tblCostChecklist[[#This Row],[RequirementID]],".",-2),
 "cost."
)</f>
        <v>collection.alchemist_hall_3@1</v>
      </c>
      <c r="C1995" s="41" t="str">
        <f>_xlfn.XLOOKUP(tblCostChecklist[[#This Row],[TargetID]],tblTargets[TargetID],tblTargets[DisplayName],"")</f>
        <v>Alchemist Hall Lv 1</v>
      </c>
      <c r="D1995" s="41" t="str">
        <f>_xlfn.XLOOKUP(tblCostChecklist[[#This Row],[TargetID]],tblTargets[TargetID],tblTargets[TargetType],"")</f>
        <v>COLLECTION</v>
      </c>
      <c r="E1995" s="41" t="s">
        <v>661</v>
      </c>
      <c r="F1995" s="41">
        <v>1</v>
      </c>
      <c r="G1995" s="41">
        <f>_xlfn.XLOOKUP(
 tblCostChecklist[[#This Row],[RequirementID]],
 tblCost[RequirementID],
 tblCost[QuantityRequired],
 ""
)</f>
        <v>10</v>
      </c>
      <c r="H19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5" s="41" t="str">
        <f>_xlfn.XLOOKUP(tblCostChecklist[[#This Row],[TargetID]],tblTargetStatus[TargetID],tblTargetStatus[Status])</f>
        <v>BLOCKED</v>
      </c>
      <c r="J1995" s="25" t="b">
        <v>0</v>
      </c>
    </row>
    <row r="1996" spans="1:10">
      <c r="A1996" s="41" t="s">
        <v>5986</v>
      </c>
      <c r="B1996" s="41" t="str">
        <f>_xlfn.TEXTAFTER(
 _xlfn.TEXTBEFORE(tblCostChecklist[[#This Row],[RequirementID]],".",-2),
 "cost."
)</f>
        <v>collection.alchemist_hall_3@2</v>
      </c>
      <c r="C1996" s="41" t="str">
        <f>_xlfn.XLOOKUP(tblCostChecklist[[#This Row],[TargetID]],tblTargets[TargetID],tblTargets[DisplayName],"")</f>
        <v>Alchemist Hall Lv 2</v>
      </c>
      <c r="D1996" s="41" t="str">
        <f>_xlfn.XLOOKUP(tblCostChecklist[[#This Row],[TargetID]],tblTargets[TargetID],tblTargets[TargetType],"")</f>
        <v>COLLECTION</v>
      </c>
      <c r="E1996" s="41" t="s">
        <v>5616</v>
      </c>
      <c r="F1996" s="41">
        <v>1</v>
      </c>
      <c r="G1996" s="41">
        <f>_xlfn.XLOOKUP(
 tblCostChecklist[[#This Row],[RequirementID]],
 tblCost[RequirementID],
 tblCost[QuantityRequired],
 ""
)</f>
        <v>24</v>
      </c>
      <c r="H19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6" s="41" t="str">
        <f>_xlfn.XLOOKUP(tblCostChecklist[[#This Row],[TargetID]],tblTargetStatus[TargetID],tblTargetStatus[Status])</f>
        <v>BLOCKED</v>
      </c>
      <c r="J1996" s="25" t="b">
        <v>0</v>
      </c>
    </row>
    <row r="1997" spans="1:10">
      <c r="A1997" s="41" t="s">
        <v>5987</v>
      </c>
      <c r="B1997" s="41" t="str">
        <f>_xlfn.TEXTAFTER(
 _xlfn.TEXTBEFORE(tblCostChecklist[[#This Row],[RequirementID]],".",-2),
 "cost."
)</f>
        <v>collection.alchemist_hall_3@2</v>
      </c>
      <c r="C1997" s="41" t="str">
        <f>_xlfn.XLOOKUP(tblCostChecklist[[#This Row],[TargetID]],tblTargets[TargetID],tblTargets[DisplayName],"")</f>
        <v>Alchemist Hall Lv 2</v>
      </c>
      <c r="D1997" s="41" t="str">
        <f>_xlfn.XLOOKUP(tblCostChecklist[[#This Row],[TargetID]],tblTargets[TargetID],tblTargets[TargetType],"")</f>
        <v>COLLECTION</v>
      </c>
      <c r="E1997" s="41" t="s">
        <v>935</v>
      </c>
      <c r="F1997" s="41">
        <v>1</v>
      </c>
      <c r="G1997" s="41">
        <f>_xlfn.XLOOKUP(
 tblCostChecklist[[#This Row],[RequirementID]],
 tblCost[RequirementID],
 tblCost[QuantityRequired],
 ""
)</f>
        <v>48</v>
      </c>
      <c r="H19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7" s="41" t="str">
        <f>_xlfn.XLOOKUP(tblCostChecklist[[#This Row],[TargetID]],tblTargetStatus[TargetID],tblTargetStatus[Status])</f>
        <v>BLOCKED</v>
      </c>
      <c r="J1997" s="25" t="b">
        <v>0</v>
      </c>
    </row>
    <row r="1998" spans="1:10">
      <c r="A1998" s="41" t="s">
        <v>5988</v>
      </c>
      <c r="B1998" s="41" t="str">
        <f>_xlfn.TEXTAFTER(
 _xlfn.TEXTBEFORE(tblCostChecklist[[#This Row],[RequirementID]],".",-2),
 "cost."
)</f>
        <v>collection.alchemist_hall_3@2</v>
      </c>
      <c r="C1998" s="41" t="str">
        <f>_xlfn.XLOOKUP(tblCostChecklist[[#This Row],[TargetID]],tblTargets[TargetID],tblTargets[DisplayName],"")</f>
        <v>Alchemist Hall Lv 2</v>
      </c>
      <c r="D1998" s="41" t="str">
        <f>_xlfn.XLOOKUP(tblCostChecklist[[#This Row],[TargetID]],tblTargets[TargetID],tblTargets[TargetType],"")</f>
        <v>COLLECTION</v>
      </c>
      <c r="E1998" s="41" t="s">
        <v>935</v>
      </c>
      <c r="F1998" s="41">
        <v>2</v>
      </c>
      <c r="G1998" s="41">
        <f>_xlfn.XLOOKUP(
 tblCostChecklist[[#This Row],[RequirementID]],
 tblCost[RequirementID],
 tblCost[QuantityRequired],
 ""
)</f>
        <v>48</v>
      </c>
      <c r="H19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8" s="41" t="str">
        <f>_xlfn.XLOOKUP(tblCostChecklist[[#This Row],[TargetID]],tblTargetStatus[TargetID],tblTargetStatus[Status])</f>
        <v>BLOCKED</v>
      </c>
      <c r="J1998" s="25" t="b">
        <v>0</v>
      </c>
    </row>
    <row r="1999" spans="1:10">
      <c r="A1999" s="41" t="s">
        <v>5989</v>
      </c>
      <c r="B1999" s="41" t="str">
        <f>_xlfn.TEXTAFTER(
 _xlfn.TEXTBEFORE(tblCostChecklist[[#This Row],[RequirementID]],".",-2),
 "cost."
)</f>
        <v>collection.alchemist_hall_3@2</v>
      </c>
      <c r="C1999" s="41" t="str">
        <f>_xlfn.XLOOKUP(tblCostChecklist[[#This Row],[TargetID]],tblTargets[TargetID],tblTargets[DisplayName],"")</f>
        <v>Alchemist Hall Lv 2</v>
      </c>
      <c r="D1999" s="41" t="str">
        <f>_xlfn.XLOOKUP(tblCostChecklist[[#This Row],[TargetID]],tblTargets[TargetID],tblTargets[TargetType],"")</f>
        <v>COLLECTION</v>
      </c>
      <c r="E1999" s="41" t="s">
        <v>677</v>
      </c>
      <c r="F1999" s="41">
        <v>1</v>
      </c>
      <c r="G1999" s="41">
        <f>_xlfn.XLOOKUP(
 tblCostChecklist[[#This Row],[RequirementID]],
 tblCost[RequirementID],
 tblCost[QuantityRequired],
 ""
)</f>
        <v>20</v>
      </c>
      <c r="H19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9" s="41" t="str">
        <f>_xlfn.XLOOKUP(tblCostChecklist[[#This Row],[TargetID]],tblTargetStatus[TargetID],tblTargetStatus[Status])</f>
        <v>BLOCKED</v>
      </c>
      <c r="J1999" s="25" t="b">
        <v>0</v>
      </c>
    </row>
    <row r="2000" spans="1:10">
      <c r="A2000" s="41" t="s">
        <v>5990</v>
      </c>
      <c r="B2000" s="41" t="str">
        <f>_xlfn.TEXTAFTER(
 _xlfn.TEXTBEFORE(tblCostChecklist[[#This Row],[RequirementID]],".",-2),
 "cost."
)</f>
        <v>collection.alchemist_hall_3@2</v>
      </c>
      <c r="C2000" s="41" t="str">
        <f>_xlfn.XLOOKUP(tblCostChecklist[[#This Row],[TargetID]],tblTargets[TargetID],tblTargets[DisplayName],"")</f>
        <v>Alchemist Hall Lv 2</v>
      </c>
      <c r="D2000" s="41" t="str">
        <f>_xlfn.XLOOKUP(tblCostChecklist[[#This Row],[TargetID]],tblTargets[TargetID],tblTargets[TargetType],"")</f>
        <v>COLLECTION</v>
      </c>
      <c r="E2000" s="41" t="s">
        <v>661</v>
      </c>
      <c r="F2000" s="41">
        <v>1</v>
      </c>
      <c r="G2000" s="41">
        <f>_xlfn.XLOOKUP(
 tblCostChecklist[[#This Row],[RequirementID]],
 tblCost[RequirementID],
 tblCost[QuantityRequired],
 ""
)</f>
        <v>20</v>
      </c>
      <c r="H20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0" s="41" t="str">
        <f>_xlfn.XLOOKUP(tblCostChecklist[[#This Row],[TargetID]],tblTargetStatus[TargetID],tblTargetStatus[Status])</f>
        <v>BLOCKED</v>
      </c>
      <c r="J2000" s="25" t="b">
        <v>0</v>
      </c>
    </row>
    <row r="2001" spans="1:10">
      <c r="A2001" s="41" t="s">
        <v>6053</v>
      </c>
      <c r="B2001" s="41" t="str">
        <f>_xlfn.TEXTAFTER(
 _xlfn.TEXTBEFORE(tblCostChecklist[[#This Row],[RequirementID]],".",-2),
 "cost."
)</f>
        <v>collection.broken_minecart@1</v>
      </c>
      <c r="C2001" s="41" t="str">
        <f>_xlfn.XLOOKUP(tblCostChecklist[[#This Row],[TargetID]],tblTargets[TargetID],tblTargets[DisplayName],"")</f>
        <v>Broken Minecart</v>
      </c>
      <c r="D2001" s="41" t="str">
        <f>_xlfn.XLOOKUP(tblCostChecklist[[#This Row],[TargetID]],tblTargets[TargetID],tblTargets[TargetType],"")</f>
        <v>COLLECTION</v>
      </c>
      <c r="E2001" s="41" t="s">
        <v>693</v>
      </c>
      <c r="F2001" s="41">
        <v>1</v>
      </c>
      <c r="G2001" s="41">
        <f>_xlfn.XLOOKUP(
 tblCostChecklist[[#This Row],[RequirementID]],
 tblCost[RequirementID],
 tblCost[QuantityRequired],
 ""
)</f>
        <v>20</v>
      </c>
      <c r="H20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1" s="41" t="str">
        <f>_xlfn.XLOOKUP(tblCostChecklist[[#This Row],[TargetID]],tblTargetStatus[TargetID],tblTargetStatus[Status])</f>
        <v>BLOCKED</v>
      </c>
      <c r="J2001" s="25" t="b">
        <v>0</v>
      </c>
    </row>
    <row r="2002" spans="1:10">
      <c r="A2002" s="41" t="s">
        <v>5999</v>
      </c>
      <c r="B2002" s="41" t="str">
        <f>_xlfn.TEXTAFTER(
 _xlfn.TEXTBEFORE(tblCostChecklist[[#This Row],[RequirementID]],".",-2),
 "cost."
)</f>
        <v>collection.crystal_cave@1</v>
      </c>
      <c r="C2002" s="41" t="str">
        <f>_xlfn.XLOOKUP(tblCostChecklist[[#This Row],[TargetID]],tblTargets[TargetID],tblTargets[DisplayName],"")</f>
        <v>Crystal Cave</v>
      </c>
      <c r="D2002" s="41" t="str">
        <f>_xlfn.XLOOKUP(tblCostChecklist[[#This Row],[TargetID]],tblTargets[TargetID],tblTargets[TargetType],"")</f>
        <v>COLLECTION</v>
      </c>
      <c r="E2002" s="41" t="s">
        <v>703</v>
      </c>
      <c r="F2002" s="41">
        <v>1</v>
      </c>
      <c r="G2002" s="41">
        <f>_xlfn.XLOOKUP(
 tblCostChecklist[[#This Row],[RequirementID]],
 tblCost[RequirementID],
 tblCost[QuantityRequired],
 ""
)</f>
        <v>20</v>
      </c>
      <c r="H20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2" s="41" t="str">
        <f>_xlfn.XLOOKUP(tblCostChecklist[[#This Row],[TargetID]],tblTargetStatus[TargetID],tblTargetStatus[Status])</f>
        <v>BLOCKED</v>
      </c>
      <c r="J2002" s="25" t="b">
        <v>0</v>
      </c>
    </row>
    <row r="2003" spans="1:10">
      <c r="A2003" s="41" t="s">
        <v>6000</v>
      </c>
      <c r="B2003" s="41" t="str">
        <f>_xlfn.TEXTAFTER(
 _xlfn.TEXTBEFORE(tblCostChecklist[[#This Row],[RequirementID]],".",-2),
 "cost."
)</f>
        <v>collection.crystal_cave@1</v>
      </c>
      <c r="C2003" s="41" t="str">
        <f>_xlfn.XLOOKUP(tblCostChecklist[[#This Row],[TargetID]],tblTargets[TargetID],tblTargets[DisplayName],"")</f>
        <v>Crystal Cave</v>
      </c>
      <c r="D2003" s="41" t="str">
        <f>_xlfn.XLOOKUP(tblCostChecklist[[#This Row],[TargetID]],tblTargets[TargetID],tblTargets[TargetType],"")</f>
        <v>COLLECTION</v>
      </c>
      <c r="E2003" s="41" t="s">
        <v>661</v>
      </c>
      <c r="F2003" s="41">
        <v>1</v>
      </c>
      <c r="G2003" s="41">
        <f>_xlfn.XLOOKUP(
 tblCostChecklist[[#This Row],[RequirementID]],
 tblCost[RequirementID],
 tblCost[QuantityRequired],
 ""
)</f>
        <v>20</v>
      </c>
      <c r="H20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3" s="41" t="str">
        <f>_xlfn.XLOOKUP(tblCostChecklist[[#This Row],[TargetID]],tblTargetStatus[TargetID],tblTargetStatus[Status])</f>
        <v>BLOCKED</v>
      </c>
      <c r="J2003" s="25" t="b">
        <v>0</v>
      </c>
    </row>
    <row r="2004" spans="1:10">
      <c r="A2004" s="41" t="s">
        <v>6001</v>
      </c>
      <c r="B2004" s="41" t="str">
        <f>_xlfn.TEXTAFTER(
 _xlfn.TEXTBEFORE(tblCostChecklist[[#This Row],[RequirementID]],".",-2),
 "cost."
)</f>
        <v>collection.crystal_cave@1</v>
      </c>
      <c r="C2004" s="41" t="str">
        <f>_xlfn.XLOOKUP(tblCostChecklist[[#This Row],[TargetID]],tblTargets[TargetID],tblTargets[DisplayName],"")</f>
        <v>Crystal Cave</v>
      </c>
      <c r="D2004" s="41" t="str">
        <f>_xlfn.XLOOKUP(tblCostChecklist[[#This Row],[TargetID]],tblTargets[TargetID],tblTargets[TargetType],"")</f>
        <v>COLLECTION</v>
      </c>
      <c r="E2004" s="41" t="s">
        <v>676</v>
      </c>
      <c r="F2004" s="41">
        <v>1</v>
      </c>
      <c r="G2004" s="41">
        <f>_xlfn.XLOOKUP(
 tblCostChecklist[[#This Row],[RequirementID]],
 tblCost[RequirementID],
 tblCost[QuantityRequired],
 ""
)</f>
        <v>20</v>
      </c>
      <c r="H20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4" s="41" t="str">
        <f>_xlfn.XLOOKUP(tblCostChecklist[[#This Row],[TargetID]],tblTargetStatus[TargetID],tblTargetStatus[Status])</f>
        <v>BLOCKED</v>
      </c>
      <c r="J2004" s="25" t="b">
        <v>0</v>
      </c>
    </row>
    <row r="2005" spans="1:10">
      <c r="A2005" s="41" t="s">
        <v>6002</v>
      </c>
      <c r="B2005" s="41" t="str">
        <f>_xlfn.TEXTAFTER(
 _xlfn.TEXTBEFORE(tblCostChecklist[[#This Row],[RequirementID]],".",-2),
 "cost."
)</f>
        <v>collection.crystal_cave@1</v>
      </c>
      <c r="C2005" s="41" t="str">
        <f>_xlfn.XLOOKUP(tblCostChecklist[[#This Row],[TargetID]],tblTargets[TargetID],tblTargets[DisplayName],"")</f>
        <v>Crystal Cave</v>
      </c>
      <c r="D2005" s="41" t="str">
        <f>_xlfn.XLOOKUP(tblCostChecklist[[#This Row],[TargetID]],tblTargets[TargetID],tblTargets[TargetType],"")</f>
        <v>COLLECTION</v>
      </c>
      <c r="E2005" s="41" t="s">
        <v>706</v>
      </c>
      <c r="F2005" s="41">
        <v>1</v>
      </c>
      <c r="G2005" s="41">
        <f>_xlfn.XLOOKUP(
 tblCostChecklist[[#This Row],[RequirementID]],
 tblCost[RequirementID],
 tblCost[QuantityRequired],
 ""
)</f>
        <v>20</v>
      </c>
      <c r="H20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5" s="41" t="str">
        <f>_xlfn.XLOOKUP(tblCostChecklist[[#This Row],[TargetID]],tblTargetStatus[TargetID],tblTargetStatus[Status])</f>
        <v>BLOCKED</v>
      </c>
      <c r="J2005" s="25" t="b">
        <v>0</v>
      </c>
    </row>
    <row r="2006" spans="1:10">
      <c r="A2006" s="41" t="s">
        <v>6003</v>
      </c>
      <c r="B2006" s="41" t="str">
        <f>_xlfn.TEXTAFTER(
 _xlfn.TEXTBEFORE(tblCostChecklist[[#This Row],[RequirementID]],".",-2),
 "cost."
)</f>
        <v>collection.crystal_cave@1</v>
      </c>
      <c r="C2006" s="41" t="str">
        <f>_xlfn.XLOOKUP(tblCostChecklist[[#This Row],[TargetID]],tblTargets[TargetID],tblTargets[DisplayName],"")</f>
        <v>Crystal Cave</v>
      </c>
      <c r="D2006" s="41" t="str">
        <f>_xlfn.XLOOKUP(tblCostChecklist[[#This Row],[TargetID]],tblTargets[TargetID],tblTargets[TargetType],"")</f>
        <v>COLLECTION</v>
      </c>
      <c r="E2006" s="41" t="s">
        <v>958</v>
      </c>
      <c r="F2006" s="41">
        <v>1</v>
      </c>
      <c r="G2006" s="41">
        <f>_xlfn.XLOOKUP(
 tblCostChecklist[[#This Row],[RequirementID]],
 tblCost[RequirementID],
 tblCost[QuantityRequired],
 ""
)</f>
        <v>20</v>
      </c>
      <c r="H20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6" s="41" t="str">
        <f>_xlfn.XLOOKUP(tblCostChecklist[[#This Row],[TargetID]],tblTargetStatus[TargetID],tblTargetStatus[Status])</f>
        <v>BLOCKED</v>
      </c>
      <c r="J2006" s="25" t="b">
        <v>0</v>
      </c>
    </row>
    <row r="2007" spans="1:10">
      <c r="A2007" s="41" t="s">
        <v>6004</v>
      </c>
      <c r="B2007" s="41" t="str">
        <f>_xlfn.TEXTAFTER(
 _xlfn.TEXTBEFORE(tblCostChecklist[[#This Row],[RequirementID]],".",-2),
 "cost."
)</f>
        <v>collection.staircase@1</v>
      </c>
      <c r="C2007" s="41" t="str">
        <f>_xlfn.XLOOKUP(tblCostChecklist[[#This Row],[TargetID]],tblTargets[TargetID],tblTargets[DisplayName],"")</f>
        <v>Collection Staircase</v>
      </c>
      <c r="D2007" s="41" t="str">
        <f>_xlfn.XLOOKUP(tblCostChecklist[[#This Row],[TargetID]],tblTargets[TargetID],tblTargets[TargetType],"")</f>
        <v>COLLECTION</v>
      </c>
      <c r="E2007" s="41" t="s">
        <v>658</v>
      </c>
      <c r="F2007" s="41">
        <v>1</v>
      </c>
      <c r="G2007" s="41">
        <f>_xlfn.XLOOKUP(
 tblCostChecklist[[#This Row],[RequirementID]],
 tblCost[RequirementID],
 tblCost[QuantityRequired],
 ""
)</f>
        <v>50</v>
      </c>
      <c r="H20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7" s="41" t="str">
        <f>_xlfn.XLOOKUP(tblCostChecklist[[#This Row],[TargetID]],tblTargetStatus[TargetID],tblTargetStatus[Status])</f>
        <v>BLOCKED</v>
      </c>
      <c r="J2007" s="25" t="b">
        <v>0</v>
      </c>
    </row>
    <row r="2008" spans="1:10">
      <c r="A2008" s="41" t="s">
        <v>6005</v>
      </c>
      <c r="B2008" s="41" t="str">
        <f>_xlfn.TEXTAFTER(
 _xlfn.TEXTBEFORE(tblCostChecklist[[#This Row],[RequirementID]],".",-2),
 "cost."
)</f>
        <v>collection.staircase@1</v>
      </c>
      <c r="C2008" s="41" t="str">
        <f>_xlfn.XLOOKUP(tblCostChecklist[[#This Row],[TargetID]],tblTargets[TargetID],tblTargets[DisplayName],"")</f>
        <v>Collection Staircase</v>
      </c>
      <c r="D2008" s="41" t="str">
        <f>_xlfn.XLOOKUP(tblCostChecklist[[#This Row],[TargetID]],tblTargets[TargetID],tblTargets[TargetType],"")</f>
        <v>COLLECTION</v>
      </c>
      <c r="E2008" s="41" t="s">
        <v>717</v>
      </c>
      <c r="F2008" s="41">
        <v>1</v>
      </c>
      <c r="G2008" s="41">
        <f>_xlfn.XLOOKUP(
 tblCostChecklist[[#This Row],[RequirementID]],
 tblCost[RequirementID],
 tblCost[QuantityRequired],
 ""
)</f>
        <v>150</v>
      </c>
      <c r="H20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8" s="41" t="str">
        <f>_xlfn.XLOOKUP(tblCostChecklist[[#This Row],[TargetID]],tblTargetStatus[TargetID],tblTargetStatus[Status])</f>
        <v>BLOCKED</v>
      </c>
      <c r="J2008" s="25" t="b">
        <v>0</v>
      </c>
    </row>
    <row r="2009" spans="1:10">
      <c r="A2009" s="41" t="s">
        <v>6006</v>
      </c>
      <c r="B2009" s="41" t="str">
        <f>_xlfn.TEXTAFTER(
 _xlfn.TEXTBEFORE(tblCostChecklist[[#This Row],[RequirementID]],".",-2),
 "cost."
)</f>
        <v>collection.staircase@1</v>
      </c>
      <c r="C2009" s="41" t="str">
        <f>_xlfn.XLOOKUP(tblCostChecklist[[#This Row],[TargetID]],tblTargets[TargetID],tblTargets[DisplayName],"")</f>
        <v>Collection Staircase</v>
      </c>
      <c r="D2009" s="41" t="str">
        <f>_xlfn.XLOOKUP(tblCostChecklist[[#This Row],[TargetID]],tblTargets[TargetID],tblTargets[TargetType],"")</f>
        <v>COLLECTION</v>
      </c>
      <c r="E2009" s="41" t="s">
        <v>5616</v>
      </c>
      <c r="F2009" s="41">
        <v>1</v>
      </c>
      <c r="G2009" s="41">
        <f>_xlfn.XLOOKUP(
 tblCostChecklist[[#This Row],[RequirementID]],
 tblCost[RequirementID],
 tblCost[QuantityRequired],
 ""
)</f>
        <v>10</v>
      </c>
      <c r="H20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9" s="41" t="str">
        <f>_xlfn.XLOOKUP(tblCostChecklist[[#This Row],[TargetID]],tblTargetStatus[TargetID],tblTargetStatus[Status])</f>
        <v>BLOCKED</v>
      </c>
      <c r="J2009" s="25" t="b">
        <v>0</v>
      </c>
    </row>
    <row r="2010" spans="1:10">
      <c r="A2010" s="41" t="s">
        <v>6007</v>
      </c>
      <c r="B2010" s="41" t="str">
        <f>_xlfn.TEXTAFTER(
 _xlfn.TEXTBEFORE(tblCostChecklist[[#This Row],[RequirementID]],".",-2),
 "cost."
)</f>
        <v>collection.staircase@1</v>
      </c>
      <c r="C2010" s="41" t="str">
        <f>_xlfn.XLOOKUP(tblCostChecklist[[#This Row],[TargetID]],tblTargets[TargetID],tblTargets[DisplayName],"")</f>
        <v>Collection Staircase</v>
      </c>
      <c r="D2010" s="41" t="str">
        <f>_xlfn.XLOOKUP(tblCostChecklist[[#This Row],[TargetID]],tblTargets[TargetID],tblTargets[TargetType],"")</f>
        <v>COLLECTION</v>
      </c>
      <c r="E2010" s="41" t="s">
        <v>662</v>
      </c>
      <c r="F2010" s="41">
        <v>1</v>
      </c>
      <c r="G2010" s="41">
        <f>_xlfn.XLOOKUP(
 tblCostChecklist[[#This Row],[RequirementID]],
 tblCost[RequirementID],
 tblCost[QuantityRequired],
 ""
)</f>
        <v>5</v>
      </c>
      <c r="H20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10" s="41" t="str">
        <f>_xlfn.XLOOKUP(tblCostChecklist[[#This Row],[TargetID]],tblTargetStatus[TargetID],tblTargetStatus[Status])</f>
        <v>BLOCKED</v>
      </c>
      <c r="J2010" s="25" t="b">
        <v>0</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3B9EE-BC7F-461E-9014-614EA14383DE}">
  <sheetPr>
    <tabColor theme="0"/>
    <outlinePr summaryBelow="0" summaryRight="0"/>
  </sheetPr>
  <dimension ref="A1:K1000"/>
  <sheetViews>
    <sheetView workbookViewId="0">
      <selection activeCell="H31" sqref="H31"/>
    </sheetView>
  </sheetViews>
  <sheetFormatPr defaultColWidth="12.54296875" defaultRowHeight="15" customHeight="1"/>
  <cols>
    <col min="1" max="1" width="12.54296875" style="72"/>
    <col min="2" max="2" width="25.08984375" style="72" bestFit="1" customWidth="1"/>
    <col min="3" max="3" width="22.08984375" style="72" bestFit="1" customWidth="1"/>
    <col min="4" max="4" width="4.6328125" style="72" bestFit="1" customWidth="1"/>
    <col min="5" max="5" width="4.1796875" style="72" customWidth="1"/>
    <col min="6" max="6" width="6.7265625" style="72" customWidth="1"/>
    <col min="7" max="7" width="17.1796875" style="72" customWidth="1"/>
    <col min="8" max="8" width="19.90625" style="72" customWidth="1"/>
    <col min="9" max="9" width="12.54296875" style="72"/>
    <col min="10" max="10" width="15.81640625" style="72" customWidth="1"/>
    <col min="11" max="16384" width="12.54296875" style="72"/>
  </cols>
  <sheetData>
    <row r="1" spans="1:11" ht="15.75" customHeight="1">
      <c r="B1" s="69" t="s">
        <v>6119</v>
      </c>
      <c r="C1" s="70"/>
      <c r="D1" s="71"/>
      <c r="E1" s="71"/>
      <c r="F1" s="71"/>
      <c r="G1" s="71"/>
      <c r="H1" s="71"/>
      <c r="I1" s="71"/>
      <c r="J1" s="71"/>
      <c r="K1" s="71"/>
    </row>
    <row r="2" spans="1:11" ht="15.75" customHeight="1">
      <c r="A2" s="72" t="s">
        <v>6432</v>
      </c>
      <c r="B2" s="73" t="s">
        <v>6457</v>
      </c>
      <c r="C2" s="73" t="s">
        <v>6456</v>
      </c>
      <c r="D2" s="74"/>
      <c r="E2" s="74"/>
      <c r="F2" s="97" t="s">
        <v>6432</v>
      </c>
      <c r="G2" s="74" t="s">
        <v>6435</v>
      </c>
      <c r="H2" s="74" t="s">
        <v>6438</v>
      </c>
      <c r="I2" s="97" t="s">
        <v>6437</v>
      </c>
      <c r="J2" s="74" t="s">
        <v>6436</v>
      </c>
      <c r="K2" s="74" t="s">
        <v>12</v>
      </c>
    </row>
    <row r="3" spans="1:11" ht="15.75" customHeight="1">
      <c r="A3" s="72">
        <v>1</v>
      </c>
      <c r="B3" s="75" t="str">
        <f>_xlfn.XLOOKUP(
    tblrecommended[[#This Row],[Order]],
    tblwikirecommended[Order],
    tblwikirecommended[Passive ID],
    ""
)</f>
        <v>building.guild@2</v>
      </c>
      <c r="C3" s="75" t="str">
        <f>_xlfn.XLOOKUP(
    tblrecommended[[#This Row],[Order]],
    tblwikirecommended[Order],
    tblwikirecommended[Active ID],
    ""
)</f>
        <v>building.guild@2</v>
      </c>
      <c r="F3" s="72">
        <v>1</v>
      </c>
      <c r="G3" s="72" t="s">
        <v>6272</v>
      </c>
      <c r="H3" s="72" t="str" cm="1">
        <f t="array" ref="H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building.guild@2</v>
      </c>
      <c r="I3" s="72" t="str" cm="1">
        <f t="array" ref="I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building.guild@2</v>
      </c>
      <c r="J3" s="72" t="s">
        <v>6272</v>
      </c>
      <c r="K3" s="72" t="s">
        <v>6406</v>
      </c>
    </row>
    <row r="4" spans="1:11" ht="15.75" customHeight="1">
      <c r="A4" s="72">
        <v>2</v>
      </c>
      <c r="B4" s="75" t="str">
        <f>_xlfn.XLOOKUP(
    tblrecommended[[#This Row],[Order]],
    tblwikirecommended[Order],
    tblwikirecommended[Passive ID],
    ""
)</f>
        <v>building.warehouse@1</v>
      </c>
      <c r="C4" s="75" t="str">
        <f>_xlfn.XLOOKUP(
    tblrecommended[[#This Row],[Order]],
    tblwikirecommended[Order],
    tblwikirecommended[Active ID],
    ""
)</f>
        <v>building.warehouse@1</v>
      </c>
      <c r="F4" s="72">
        <f>1+F3</f>
        <v>2</v>
      </c>
      <c r="G4" s="72" t="s">
        <v>6273</v>
      </c>
      <c r="H4" s="72" t="str" cm="1">
        <f t="array" ref="H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building.warehouse@1</v>
      </c>
      <c r="I4" s="72" t="str" cm="1">
        <f t="array" ref="I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building.warehouse@1</v>
      </c>
      <c r="J4" s="72" t="s">
        <v>6273</v>
      </c>
      <c r="K4" s="72" t="s">
        <v>6274</v>
      </c>
    </row>
    <row r="5" spans="1:11" ht="15.75" customHeight="1">
      <c r="A5" s="72">
        <v>3</v>
      </c>
      <c r="B5" s="75" t="str">
        <f>_xlfn.XLOOKUP(
    tblrecommended[[#This Row],[Order]],
    tblwikirecommended[Order],
    tblwikirecommended[Passive ID],
    ""
)</f>
        <v>building.shop@1</v>
      </c>
      <c r="C5" s="75" t="str">
        <f>_xlfn.XLOOKUP(
    tblrecommended[[#This Row],[Order]],
    tblwikirecommended[Order],
    tblwikirecommended[Active ID],
    ""
)</f>
        <v>building.shop@1</v>
      </c>
      <c r="F5" s="72">
        <f t="shared" ref="F5:F68" si="0">1+F4</f>
        <v>3</v>
      </c>
      <c r="G5" s="72" t="s">
        <v>6275</v>
      </c>
      <c r="H5" s="72" t="str" cm="1">
        <f t="array" ref="H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building.shop@1</v>
      </c>
      <c r="I5" s="72" t="str" cm="1">
        <f t="array" ref="I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building.shop@1</v>
      </c>
      <c r="J5" s="72" t="s">
        <v>6275</v>
      </c>
      <c r="K5" s="72" t="s">
        <v>6418</v>
      </c>
    </row>
    <row r="6" spans="1:11" ht="15.75" customHeight="1">
      <c r="A6" s="72">
        <v>4</v>
      </c>
      <c r="B6" s="75" t="str">
        <f>_xlfn.XLOOKUP(
    tblrecommended[[#This Row],[Order]],
    tblwikirecommended[Order],
    tblwikirecommended[Passive ID],
    ""
)</f>
        <v>building.alchemists_hut@1</v>
      </c>
      <c r="C6" s="75" t="str">
        <f>_xlfn.XLOOKUP(
    tblrecommended[[#This Row],[Order]],
    tblwikirecommended[Order],
    tblwikirecommended[Active ID],
    ""
)</f>
        <v>building.alchemists_hut@1</v>
      </c>
      <c r="F6" s="72">
        <f t="shared" si="0"/>
        <v>4</v>
      </c>
      <c r="G6" s="72" t="s">
        <v>6276</v>
      </c>
      <c r="H6" s="72" t="str" cm="1">
        <f t="array" ref="H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building.alchemists_hut@1</v>
      </c>
      <c r="I6" s="72" t="str" cm="1">
        <f t="array" ref="I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building.alchemists_hut@1</v>
      </c>
      <c r="J6" s="72" t="s">
        <v>6276</v>
      </c>
      <c r="K6" s="72" t="s">
        <v>6393</v>
      </c>
    </row>
    <row r="7" spans="1:11" ht="15.75" customHeight="1">
      <c r="A7" s="72">
        <v>5</v>
      </c>
      <c r="B7" s="75" t="str">
        <f>_xlfn.XLOOKUP(
    tblrecommended[[#This Row],[Order]],
    tblwikirecommended[Order],
    tblwikirecommended[Passive ID],
    ""
)</f>
        <v>building.alchemists_hut@2</v>
      </c>
      <c r="C7" s="75" t="str">
        <f>_xlfn.XLOOKUP(
    tblrecommended[[#This Row],[Order]],
    tblwikirecommended[Order],
    tblwikirecommended[Active ID],
    ""
)</f>
        <v>building.alchemists_hut@2</v>
      </c>
      <c r="F7" s="72">
        <f t="shared" si="0"/>
        <v>5</v>
      </c>
      <c r="G7" s="72" t="s">
        <v>6277</v>
      </c>
      <c r="H7" s="72" t="str" cm="1">
        <f t="array" ref="H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building.alchemists_hut@2</v>
      </c>
      <c r="I7" s="72" t="str" cm="1">
        <f t="array" ref="I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building.alchemists_hut@2</v>
      </c>
      <c r="J7" s="72" t="s">
        <v>6277</v>
      </c>
      <c r="K7" s="72" t="s">
        <v>6394</v>
      </c>
    </row>
    <row r="8" spans="1:11" ht="15.75" customHeight="1">
      <c r="A8" s="72">
        <v>6</v>
      </c>
      <c r="B8" s="75" t="str">
        <f>_xlfn.XLOOKUP(
    tblrecommended[[#This Row],[Order]],
    tblwikirecommended[Order],
    tblwikirecommended[Passive ID],
    ""
)</f>
        <v>building.field@1</v>
      </c>
      <c r="C8" s="75" t="str">
        <f>_xlfn.XLOOKUP(
    tblrecommended[[#This Row],[Order]],
    tblwikirecommended[Order],
    tblwikirecommended[Active ID],
    ""
)</f>
        <v>building.field@1</v>
      </c>
      <c r="F8" s="72">
        <f t="shared" si="0"/>
        <v>6</v>
      </c>
      <c r="G8" s="72" t="s">
        <v>6278</v>
      </c>
      <c r="H8" s="72" t="str" cm="1">
        <f t="array" ref="H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building.field@1</v>
      </c>
      <c r="I8" s="72" t="str" cm="1">
        <f t="array" ref="I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building.field@1</v>
      </c>
      <c r="J8" s="72" t="s">
        <v>6278</v>
      </c>
      <c r="K8" s="72" t="s">
        <v>6400</v>
      </c>
    </row>
    <row r="9" spans="1:11" ht="15.75" customHeight="1">
      <c r="A9" s="72">
        <v>7</v>
      </c>
      <c r="B9" s="75" t="str">
        <f>_xlfn.XLOOKUP(
    tblrecommended[[#This Row],[Order]],
    tblwikirecommended[Order],
    tblwikirecommended[Passive ID],
    ""
)</f>
        <v>building.rock_garden@1</v>
      </c>
      <c r="C9" s="75" t="str">
        <f>_xlfn.XLOOKUP(
    tblrecommended[[#This Row],[Order]],
    tblwikirecommended[Order],
    tblwikirecommended[Active ID],
    ""
)</f>
        <v>building.food_stall@1</v>
      </c>
      <c r="F9" s="72">
        <f t="shared" si="0"/>
        <v>7</v>
      </c>
      <c r="G9" s="72" t="s">
        <v>6279</v>
      </c>
      <c r="H9" s="72" t="str" cm="1">
        <f t="array" ref="H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building.rock_garden@1</v>
      </c>
      <c r="I9" s="72" t="str" cm="1">
        <f t="array" ref="I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building.food_stall@1</v>
      </c>
      <c r="J9" s="72" t="s">
        <v>6287</v>
      </c>
      <c r="K9" s="72" t="s">
        <v>6402</v>
      </c>
    </row>
    <row r="10" spans="1:11" ht="15.75" customHeight="1">
      <c r="A10" s="72">
        <v>8</v>
      </c>
      <c r="B10" s="75" t="str">
        <f>_xlfn.XLOOKUP(
    tblrecommended[[#This Row],[Order]],
    tblwikirecommended[Order],
    tblwikirecommended[Passive ID],
    ""
)</f>
        <v>building.rock_garden@2</v>
      </c>
      <c r="C10" s="75" t="str">
        <f>_xlfn.XLOOKUP(
    tblrecommended[[#This Row],[Order]],
    tblwikirecommended[Order],
    tblwikirecommended[Active ID],
    ""
)</f>
        <v>building.field@2</v>
      </c>
      <c r="F10" s="72">
        <f t="shared" si="0"/>
        <v>8</v>
      </c>
      <c r="G10" s="72" t="s">
        <v>6280</v>
      </c>
      <c r="H10" s="72" t="str" cm="1">
        <f t="array" ref="H1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building.rock_garden@2</v>
      </c>
      <c r="I10" s="72" t="str" cm="1">
        <f t="array" ref="I1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building.field@2</v>
      </c>
      <c r="J10" s="72" t="s">
        <v>6288</v>
      </c>
      <c r="K10" s="72" t="s">
        <v>6401</v>
      </c>
    </row>
    <row r="11" spans="1:11" ht="15.75" customHeight="1">
      <c r="A11" s="72">
        <v>9</v>
      </c>
      <c r="B11" s="75" t="str">
        <f>_xlfn.XLOOKUP(
    tblrecommended[[#This Row],[Order]],
    tblwikirecommended[Order],
    tblwikirecommended[Passive ID],
    ""
)</f>
        <v>building.garden@1</v>
      </c>
      <c r="C11" s="75" t="str">
        <f>_xlfn.XLOOKUP(
    tblrecommended[[#This Row],[Order]],
    tblwikirecommended[Order],
    tblwikirecommended[Active ID],
    ""
)</f>
        <v>building.windmill@1</v>
      </c>
      <c r="F11" s="72">
        <f t="shared" si="0"/>
        <v>9</v>
      </c>
      <c r="G11" s="72" t="s">
        <v>6281</v>
      </c>
      <c r="H11" s="72" t="str" cm="1">
        <f t="array" ref="H1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building.garden@1</v>
      </c>
      <c r="I11" s="72" t="str" cm="1">
        <f t="array" ref="I1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building.windmill@1</v>
      </c>
      <c r="J11" s="72" t="s">
        <v>6289</v>
      </c>
      <c r="K11" s="72" t="s">
        <v>6290</v>
      </c>
    </row>
    <row r="12" spans="1:11" ht="15.75" customHeight="1">
      <c r="A12" s="72">
        <v>10</v>
      </c>
      <c r="B12" s="75" t="str">
        <f>_xlfn.XLOOKUP(
    tblrecommended[[#This Row],[Order]],
    tblwikirecommended[Order],
    tblwikirecommended[Passive ID],
    ""
)</f>
        <v>building.garden@2</v>
      </c>
      <c r="C12" s="75" t="str">
        <f>_xlfn.XLOOKUP(
    tblrecommended[[#This Row],[Order]],
    tblwikirecommended[Order],
    tblwikirecommended[Active ID],
    ""
)</f>
        <v>building.furnace@1</v>
      </c>
      <c r="F12" s="72">
        <f t="shared" si="0"/>
        <v>10</v>
      </c>
      <c r="G12" s="72" t="s">
        <v>6282</v>
      </c>
      <c r="H12" s="72" t="str" cm="1">
        <f t="array" ref="H1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building.garden@2</v>
      </c>
      <c r="I12" s="72" t="str" cm="1">
        <f t="array" ref="I1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building.furnace@1</v>
      </c>
      <c r="J12" s="72" t="s">
        <v>6291</v>
      </c>
      <c r="K12" s="72" t="s">
        <v>6403</v>
      </c>
    </row>
    <row r="13" spans="1:11" ht="15.75" customHeight="1">
      <c r="A13" s="72">
        <v>11</v>
      </c>
      <c r="B13" s="75" t="str">
        <f>_xlfn.XLOOKUP(
    tblrecommended[[#This Row],[Order]],
    tblwikirecommended[Order],
    tblwikirecommended[Passive ID],
    ""
)</f>
        <v>building.lumber@1</v>
      </c>
      <c r="C13" s="75" t="str">
        <f>_xlfn.XLOOKUP(
    tblrecommended[[#This Row],[Order]],
    tblwikirecommended[Order],
    tblwikirecommended[Active ID],
    ""
)</f>
        <v>building.furnace@2</v>
      </c>
      <c r="F13" s="72">
        <f t="shared" si="0"/>
        <v>11</v>
      </c>
      <c r="G13" s="72" t="s">
        <v>6283</v>
      </c>
      <c r="H13" s="72" t="str" cm="1">
        <f t="array" ref="H1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building.lumber@1</v>
      </c>
      <c r="I13" s="72" t="str" cm="1">
        <f t="array" ref="I1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building.furnace@2</v>
      </c>
      <c r="J13" s="72" t="s">
        <v>6292</v>
      </c>
      <c r="K13" s="72" t="s">
        <v>6404</v>
      </c>
    </row>
    <row r="14" spans="1:11" ht="15.75" customHeight="1">
      <c r="A14" s="72">
        <v>12</v>
      </c>
      <c r="B14" s="75" t="str">
        <f>_xlfn.XLOOKUP(
    tblrecommended[[#This Row],[Order]],
    tblwikirecommended[Order],
    tblwikirecommended[Passive ID],
    ""
)</f>
        <v>building.lumber@2</v>
      </c>
      <c r="C14" s="75" t="str">
        <f>_xlfn.XLOOKUP(
    tblrecommended[[#This Row],[Order]],
    tblwikirecommended[Order],
    tblwikirecommended[Active ID],
    ""
)</f>
        <v>building.dungeon@1</v>
      </c>
      <c r="F14" s="72">
        <f t="shared" si="0"/>
        <v>12</v>
      </c>
      <c r="G14" s="72" t="s">
        <v>6284</v>
      </c>
      <c r="H14" s="72" t="str" cm="1">
        <f t="array" ref="H1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building.lumber@2</v>
      </c>
      <c r="I14" s="72" t="str" cm="1">
        <f t="array" ref="I1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building.dungeon@1</v>
      </c>
      <c r="J14" s="72" t="s">
        <v>6293</v>
      </c>
      <c r="K14" s="72" t="s">
        <v>6397</v>
      </c>
    </row>
    <row r="15" spans="1:11" ht="15.75" customHeight="1">
      <c r="A15" s="72">
        <v>13</v>
      </c>
      <c r="B15" s="75" t="str">
        <f>_xlfn.XLOOKUP(
    tblrecommended[[#This Row],[Order]],
    tblwikirecommended[Order],
    tblwikirecommended[Passive ID],
    ""
)</f>
        <v>building.guild@3</v>
      </c>
      <c r="C15" s="75" t="str">
        <f>_xlfn.XLOOKUP(
    tblrecommended[[#This Row],[Order]],
    tblwikirecommended[Order],
    tblwikirecommended[Active ID],
    ""
)</f>
        <v>building.lumber@1</v>
      </c>
      <c r="F15" s="72">
        <f t="shared" si="0"/>
        <v>13</v>
      </c>
      <c r="G15" s="72" t="s">
        <v>565</v>
      </c>
      <c r="H15" s="72" t="str" cm="1">
        <f t="array" ref="H1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building.guild@3</v>
      </c>
      <c r="I15" s="72" t="str" cm="1">
        <f t="array" ref="I1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building.lumber@1</v>
      </c>
      <c r="J15" s="72" t="s">
        <v>6283</v>
      </c>
      <c r="K15" s="72" t="s">
        <v>6409</v>
      </c>
    </row>
    <row r="16" spans="1:11" ht="15.75" customHeight="1">
      <c r="A16" s="72">
        <v>14</v>
      </c>
      <c r="B16" s="75" t="str">
        <f>_xlfn.XLOOKUP(
    tblrecommended[[#This Row],[Order]],
    tblwikirecommended[Order],
    tblwikirecommended[Passive ID],
    ""
)</f>
        <v>building.rock_garden@3</v>
      </c>
      <c r="C16" s="75" t="str">
        <f>_xlfn.XLOOKUP(
    tblrecommended[[#This Row],[Order]],
    tblwikirecommended[Order],
    tblwikirecommended[Active ID],
    ""
)</f>
        <v>building.lumber@2</v>
      </c>
      <c r="F16" s="72">
        <f t="shared" si="0"/>
        <v>14</v>
      </c>
      <c r="G16" s="72" t="s">
        <v>6285</v>
      </c>
      <c r="H16" s="72" t="str" cm="1">
        <f t="array" ref="H1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building.rock_garden@3</v>
      </c>
      <c r="I16" s="72" t="str" cm="1">
        <f t="array" ref="I1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building.lumber@2</v>
      </c>
      <c r="J16" s="72" t="s">
        <v>6284</v>
      </c>
      <c r="K16" s="72" t="s">
        <v>6410</v>
      </c>
    </row>
    <row r="17" spans="1:11" ht="15.75" customHeight="1">
      <c r="A17" s="72">
        <v>15</v>
      </c>
      <c r="B17" s="75" t="str">
        <f>_xlfn.XLOOKUP(
    tblrecommended[[#This Row],[Order]],
    tblwikirecommended[Order],
    tblwikirecommended[Passive ID],
    ""
)</f>
        <v>building.garden@3</v>
      </c>
      <c r="C17" s="75" t="str">
        <f>_xlfn.XLOOKUP(
    tblrecommended[[#This Row],[Order]],
    tblwikirecommended[Order],
    tblwikirecommended[Active ID],
    ""
)</f>
        <v>building.windmill@2</v>
      </c>
      <c r="F17" s="72">
        <f t="shared" si="0"/>
        <v>15</v>
      </c>
      <c r="G17" s="72" t="s">
        <v>6286</v>
      </c>
      <c r="H17" s="72" t="str" cm="1">
        <f t="array" ref="H1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building.garden@3</v>
      </c>
      <c r="I17" s="72" t="str" cm="1">
        <f t="array" ref="I1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building.windmill@2</v>
      </c>
      <c r="J17" s="72" t="s">
        <v>6304</v>
      </c>
      <c r="K17" s="72" t="s">
        <v>6422</v>
      </c>
    </row>
    <row r="18" spans="1:11" ht="15.75" customHeight="1">
      <c r="A18" s="72">
        <v>16</v>
      </c>
      <c r="B18" s="75" t="str">
        <f>_xlfn.XLOOKUP(
    tblrecommended[[#This Row],[Order]],
    tblwikirecommended[Order],
    tblwikirecommended[Passive ID],
    ""
)</f>
        <v>building.food_stall@1</v>
      </c>
      <c r="C18" s="75" t="str">
        <f>_xlfn.XLOOKUP(
    tblrecommended[[#This Row],[Order]],
    tblwikirecommended[Order],
    tblwikirecommended[Active ID],
    ""
)</f>
        <v>building.dungeon@2</v>
      </c>
      <c r="F18" s="72">
        <f t="shared" si="0"/>
        <v>16</v>
      </c>
      <c r="G18" s="72" t="s">
        <v>6287</v>
      </c>
      <c r="H18" s="72" t="str" cm="1">
        <f t="array" ref="H1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building.food_stall@1</v>
      </c>
      <c r="I18" s="72" t="str" cm="1">
        <f t="array" ref="I1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building.dungeon@2</v>
      </c>
      <c r="J18" s="72" t="s">
        <v>6303</v>
      </c>
      <c r="K18" s="72" t="s">
        <v>6398</v>
      </c>
    </row>
    <row r="19" spans="1:11" ht="15.75" customHeight="1">
      <c r="A19" s="72">
        <v>17</v>
      </c>
      <c r="B19" s="75" t="str">
        <f>_xlfn.XLOOKUP(
    tblrecommended[[#This Row],[Order]],
    tblwikirecommended[Order],
    tblwikirecommended[Passive ID],
    ""
)</f>
        <v>building.field@2</v>
      </c>
      <c r="C19" s="75" t="str">
        <f>_xlfn.XLOOKUP(
    tblrecommended[[#This Row],[Order]],
    tblwikirecommended[Order],
    tblwikirecommended[Active ID],
    ""
)</f>
        <v>building.guild@3</v>
      </c>
      <c r="F19" s="72">
        <f t="shared" si="0"/>
        <v>17</v>
      </c>
      <c r="G19" s="72" t="s">
        <v>6288</v>
      </c>
      <c r="H19" s="72" t="str" cm="1">
        <f t="array" ref="H1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building.field@2</v>
      </c>
      <c r="I19" s="72" t="str" cm="1">
        <f t="array" ref="I1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building.guild@3</v>
      </c>
      <c r="J19" s="72" t="s">
        <v>565</v>
      </c>
      <c r="K19" s="72" t="s">
        <v>6407</v>
      </c>
    </row>
    <row r="20" spans="1:11" ht="15.75" customHeight="1">
      <c r="A20" s="72">
        <v>18</v>
      </c>
      <c r="B20" s="75" t="str">
        <f>_xlfn.XLOOKUP(
    tblrecommended[[#This Row],[Order]],
    tblwikirecommended[Order],
    tblwikirecommended[Passive ID],
    ""
)</f>
        <v>building.windmill@1</v>
      </c>
      <c r="C20" s="75" t="str">
        <f>_xlfn.XLOOKUP(
    tblrecommended[[#This Row],[Order]],
    tblwikirecommended[Order],
    tblwikirecommended[Active ID],
    ""
)</f>
        <v>building.lumber@3</v>
      </c>
      <c r="F20" s="72">
        <f t="shared" si="0"/>
        <v>18</v>
      </c>
      <c r="G20" s="72" t="s">
        <v>6289</v>
      </c>
      <c r="H20" s="72" t="str" cm="1">
        <f t="array" ref="H2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building.windmill@1</v>
      </c>
      <c r="I20" s="72" t="str" cm="1">
        <f t="array" ref="I2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building.lumber@3</v>
      </c>
      <c r="J20" s="72" t="s">
        <v>6297</v>
      </c>
      <c r="K20" s="72" t="s">
        <v>6411</v>
      </c>
    </row>
    <row r="21" spans="1:11" ht="15.75" customHeight="1">
      <c r="A21" s="72">
        <v>19</v>
      </c>
      <c r="B21" s="75" t="str">
        <f>_xlfn.XLOOKUP(
    tblrecommended[[#This Row],[Order]],
    tblwikirecommended[Order],
    tblwikirecommended[Passive ID],
    ""
)</f>
        <v>building.furnace@1</v>
      </c>
      <c r="C21" s="75" t="str">
        <f>_xlfn.XLOOKUP(
    tblrecommended[[#This Row],[Order]],
    tblwikirecommended[Order],
    tblwikirecommended[Active ID],
    ""
)</f>
        <v>building.pier@1</v>
      </c>
      <c r="F21" s="72">
        <f t="shared" si="0"/>
        <v>19</v>
      </c>
      <c r="G21" s="72" t="s">
        <v>6291</v>
      </c>
      <c r="H21" s="72" t="str" cm="1">
        <f t="array" ref="H2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building.furnace@1</v>
      </c>
      <c r="I21" s="72" t="str" cm="1">
        <f t="array" ref="I2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building.pier@1</v>
      </c>
      <c r="J21" s="72" t="s">
        <v>6298</v>
      </c>
      <c r="K21" s="72" t="s">
        <v>6413</v>
      </c>
    </row>
    <row r="22" spans="1:11" ht="15.75" customHeight="1">
      <c r="A22" s="72">
        <v>20</v>
      </c>
      <c r="B22" s="75" t="str">
        <f>_xlfn.XLOOKUP(
    tblrecommended[[#This Row],[Order]],
    tblwikirecommended[Order],
    tblwikirecommended[Passive ID],
    ""
)</f>
        <v>building.furnace@2</v>
      </c>
      <c r="C22" s="75" t="str">
        <f>_xlfn.XLOOKUP(
    tblrecommended[[#This Row],[Order]],
    tblwikirecommended[Order],
    tblwikirecommended[Active ID],
    ""
)</f>
        <v>building.ship@1</v>
      </c>
      <c r="F22" s="72">
        <f t="shared" si="0"/>
        <v>20</v>
      </c>
      <c r="G22" s="72" t="s">
        <v>6292</v>
      </c>
      <c r="H22" s="72" t="str" cm="1">
        <f t="array" ref="H2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building.furnace@2</v>
      </c>
      <c r="I22" s="72" t="str" cm="1">
        <f t="array" ref="I2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building.ship@1</v>
      </c>
      <c r="J22" s="72" t="s">
        <v>6299</v>
      </c>
      <c r="K22" s="72" t="s">
        <v>6415</v>
      </c>
    </row>
    <row r="23" spans="1:11" ht="15.75" customHeight="1">
      <c r="A23" s="72">
        <v>21</v>
      </c>
      <c r="B23" s="75" t="str">
        <f>_xlfn.XLOOKUP(
    tblrecommended[[#This Row],[Order]],
    tblwikirecommended[Order],
    tblwikirecommended[Passive ID],
    ""
)</f>
        <v>building.dungeon@1</v>
      </c>
      <c r="C23" s="75" t="str">
        <f>_xlfn.XLOOKUP(
    tblrecommended[[#This Row],[Order]],
    tblwikirecommended[Order],
    tblwikirecommended[Active ID],
    ""
)</f>
        <v>building.ship@2</v>
      </c>
      <c r="F23" s="72">
        <f t="shared" si="0"/>
        <v>21</v>
      </c>
      <c r="G23" s="72" t="s">
        <v>6293</v>
      </c>
      <c r="H23" s="72" t="str" cm="1">
        <f t="array" ref="H2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building.dungeon@1</v>
      </c>
      <c r="I23" s="72" t="str" cm="1">
        <f t="array" ref="I2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building.ship@2</v>
      </c>
      <c r="J23" s="72" t="s">
        <v>6300</v>
      </c>
      <c r="K23" s="72" t="s">
        <v>6416</v>
      </c>
    </row>
    <row r="24" spans="1:11" ht="15.75" customHeight="1">
      <c r="A24" s="72">
        <v>22</v>
      </c>
      <c r="B24" s="75" t="str">
        <f>_xlfn.XLOOKUP(
    tblrecommended[[#This Row],[Order]],
    tblwikirecommended[Order],
    tblwikirecommended[Passive ID],
    ""
)</f>
        <v>building.chicken@1</v>
      </c>
      <c r="C24" s="75" t="str">
        <f>_xlfn.XLOOKUP(
    tblrecommended[[#This Row],[Order]],
    tblwikirecommended[Order],
    tblwikirecommended[Active ID],
    ""
)</f>
        <v>building.ship@3</v>
      </c>
      <c r="F24" s="72">
        <f t="shared" si="0"/>
        <v>22</v>
      </c>
      <c r="G24" s="72" t="s">
        <v>6294</v>
      </c>
      <c r="H24" s="72" t="str" cm="1">
        <f t="array" ref="H2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building.chicken@1</v>
      </c>
      <c r="I24" s="72" t="str" cm="1">
        <f t="array" ref="I2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building.ship@3</v>
      </c>
      <c r="J24" s="72" t="s">
        <v>6301</v>
      </c>
      <c r="K24" s="72" t="s">
        <v>6417</v>
      </c>
    </row>
    <row r="25" spans="1:11" ht="15.75" customHeight="1">
      <c r="A25" s="72">
        <v>23</v>
      </c>
      <c r="B25" s="75" t="str">
        <f>_xlfn.XLOOKUP(
    tblrecommended[[#This Row],[Order]],
    tblwikirecommended[Order],
    tblwikirecommended[Passive ID],
    ""
)</f>
        <v>building.chicken@2</v>
      </c>
      <c r="C25" s="75" t="str">
        <f>_xlfn.XLOOKUP(
    tblrecommended[[#This Row],[Order]],
    tblwikirecommended[Order],
    tblwikirecommended[Active ID],
    ""
)</f>
        <v>building.guild@4</v>
      </c>
      <c r="F25" s="72">
        <f t="shared" si="0"/>
        <v>23</v>
      </c>
      <c r="G25" s="72" t="s">
        <v>6295</v>
      </c>
      <c r="H25" s="72" t="str" cm="1">
        <f t="array" ref="H2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building.chicken@2</v>
      </c>
      <c r="I25" s="72" t="str" cm="1">
        <f t="array" ref="I2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building.guild@4</v>
      </c>
      <c r="J25" s="72" t="s">
        <v>566</v>
      </c>
      <c r="K25" s="72" t="s">
        <v>6408</v>
      </c>
    </row>
    <row r="26" spans="1:11" ht="15.75" customHeight="1">
      <c r="A26" s="72">
        <v>24</v>
      </c>
      <c r="B26" s="75" t="str">
        <f>_xlfn.XLOOKUP(
    tblrecommended[[#This Row],[Order]],
    tblwikirecommended[Order],
    tblwikirecommended[Passive ID],
    ""
)</f>
        <v>building.lumber@3</v>
      </c>
      <c r="C26" s="75" t="str">
        <f>_xlfn.XLOOKUP(
    tblrecommended[[#This Row],[Order]],
    tblwikirecommended[Order],
    tblwikirecommended[Active ID],
    ""
)</f>
        <v>building.ship@4</v>
      </c>
      <c r="F26" s="72">
        <f t="shared" si="0"/>
        <v>24</v>
      </c>
      <c r="G26" s="72" t="s">
        <v>6297</v>
      </c>
      <c r="H26" s="72" t="str" cm="1">
        <f t="array" ref="H2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building.lumber@3</v>
      </c>
      <c r="I26" s="72" t="str" cm="1">
        <f t="array" ref="I2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building.ship@4</v>
      </c>
      <c r="J26" s="72" t="s">
        <v>6331</v>
      </c>
      <c r="K26" s="72" t="s">
        <v>6453</v>
      </c>
    </row>
    <row r="27" spans="1:11" ht="15.75" customHeight="1">
      <c r="A27" s="72">
        <v>25</v>
      </c>
      <c r="B27" s="75" t="str">
        <f>_xlfn.XLOOKUP(
    tblrecommended[[#This Row],[Order]],
    tblwikirecommended[Order],
    tblwikirecommended[Passive ID],
    ""
)</f>
        <v>building.pier@1</v>
      </c>
      <c r="C27" s="75" t="str">
        <f>_xlfn.XLOOKUP(
    tblrecommended[[#This Row],[Order]],
    tblwikirecommended[Order],
    tblwikirecommended[Active ID],
    ""
)</f>
        <v>building.food_stall@2</v>
      </c>
      <c r="F27" s="72">
        <f t="shared" si="0"/>
        <v>25</v>
      </c>
      <c r="G27" s="72" t="s">
        <v>6298</v>
      </c>
      <c r="H27" s="72" t="str" cm="1">
        <f t="array" ref="H2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building.pier@1</v>
      </c>
      <c r="I27" s="72" t="str" cm="1">
        <f t="array" ref="I2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building.food_stall@2</v>
      </c>
      <c r="J27" s="72" t="s">
        <v>6305</v>
      </c>
      <c r="K27" s="72" t="s">
        <v>6439</v>
      </c>
    </row>
    <row r="28" spans="1:11" ht="15.75" customHeight="1">
      <c r="A28" s="72">
        <v>26</v>
      </c>
      <c r="B28" s="75" t="str">
        <f>_xlfn.XLOOKUP(
    tblrecommended[[#This Row],[Order]],
    tblwikirecommended[Order],
    tblwikirecommended[Passive ID],
    ""
)</f>
        <v>building.ship@1</v>
      </c>
      <c r="C28" s="75" t="str">
        <f>_xlfn.XLOOKUP(
    tblrecommended[[#This Row],[Order]],
    tblwikirecommended[Order],
    tblwikirecommended[Active ID],
    ""
)</f>
        <v>building.food_stall@3</v>
      </c>
      <c r="F28" s="72">
        <f t="shared" si="0"/>
        <v>26</v>
      </c>
      <c r="G28" s="72" t="s">
        <v>6299</v>
      </c>
      <c r="H28" s="72" t="str" cm="1">
        <f t="array" ref="H2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building.ship@1</v>
      </c>
      <c r="I28" s="72" t="str" cm="1">
        <f t="array" ref="I2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building.food_stall@3</v>
      </c>
      <c r="J28" s="72" t="s">
        <v>6306</v>
      </c>
      <c r="K28" s="72" t="s">
        <v>6440</v>
      </c>
    </row>
    <row r="29" spans="1:11" ht="15.75" customHeight="1">
      <c r="A29" s="72">
        <v>27</v>
      </c>
      <c r="B29" s="75" t="str">
        <f>_xlfn.XLOOKUP(
    tblrecommended[[#This Row],[Order]],
    tblwikirecommended[Order],
    tblwikirecommended[Passive ID],
    ""
)</f>
        <v>building.ship@2</v>
      </c>
      <c r="C29" s="75" t="str">
        <f>_xlfn.XLOOKUP(
    tblrecommended[[#This Row],[Order]],
    tblwikirecommended[Order],
    tblwikirecommended[Active ID],
    ""
)</f>
        <v>building.bridge@1</v>
      </c>
      <c r="F29" s="72">
        <f t="shared" si="0"/>
        <v>27</v>
      </c>
      <c r="G29" s="72" t="s">
        <v>6300</v>
      </c>
      <c r="H29" s="72" t="str" cm="1">
        <f t="array" ref="H2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building.ship@2</v>
      </c>
      <c r="I29" s="72" t="str" cm="1">
        <f t="array" ref="I2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building.bridge@1</v>
      </c>
      <c r="J29" s="72" t="s">
        <v>6307</v>
      </c>
      <c r="K29" s="72" t="s">
        <v>6441</v>
      </c>
    </row>
    <row r="30" spans="1:11" ht="15.75" customHeight="1">
      <c r="A30" s="72">
        <v>28</v>
      </c>
      <c r="B30" s="75" t="str">
        <f>_xlfn.XLOOKUP(
    tblrecommended[[#This Row],[Order]],
    tblwikirecommended[Order],
    tblwikirecommended[Passive ID],
    ""
)</f>
        <v>building.ship@3</v>
      </c>
      <c r="C30" s="75" t="str">
        <f>_xlfn.XLOOKUP(
    tblrecommended[[#This Row],[Order]],
    tblwikirecommended[Order],
    tblwikirecommended[Active ID],
    ""
)</f>
        <v>building.outpost@1</v>
      </c>
      <c r="F30" s="72">
        <f t="shared" si="0"/>
        <v>28</v>
      </c>
      <c r="G30" s="72" t="s">
        <v>6301</v>
      </c>
      <c r="H30" s="72" t="str" cm="1">
        <f t="array" ref="H3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building.ship@3</v>
      </c>
      <c r="I30" s="72" t="str" cm="1">
        <f t="array" ref="I3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building.outpost@1</v>
      </c>
      <c r="J30" s="72" t="s">
        <v>6308</v>
      </c>
      <c r="K30" s="72" t="s">
        <v>6309</v>
      </c>
    </row>
    <row r="31" spans="1:11" ht="15.75" customHeight="1">
      <c r="A31" s="72">
        <v>29</v>
      </c>
      <c r="B31" s="75" t="str">
        <f>_xlfn.XLOOKUP(
    tblrecommended[[#This Row],[Order]],
    tblwikirecommended[Order],
    tblwikirecommended[Passive ID],
    ""
)</f>
        <v>building.guild@4</v>
      </c>
      <c r="C31" s="75" t="str">
        <f>_xlfn.XLOOKUP(
    tblrecommended[[#This Row],[Order]],
    tblwikirecommended[Order],
    tblwikirecommended[Active ID],
    ""
)</f>
        <v>building.guild@5</v>
      </c>
      <c r="F31" s="72">
        <f t="shared" si="0"/>
        <v>29</v>
      </c>
      <c r="G31" s="72" t="s">
        <v>566</v>
      </c>
      <c r="H31" s="72" t="str" cm="1">
        <f t="array" ref="H3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building.guild@4</v>
      </c>
      <c r="I31" s="72" t="str" cm="1">
        <f t="array" ref="I3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building.guild@5</v>
      </c>
      <c r="J31" s="72" t="s">
        <v>567</v>
      </c>
      <c r="K31" s="72" t="s">
        <v>6302</v>
      </c>
    </row>
    <row r="32" spans="1:11" ht="15.75" customHeight="1">
      <c r="A32" s="72">
        <v>30</v>
      </c>
      <c r="B32" s="75" t="str">
        <f>_xlfn.XLOOKUP(
    tblrecommended[[#This Row],[Order]],
    tblwikirecommended[Order],
    tblwikirecommended[Passive ID],
    ""
)</f>
        <v>building.guild@5</v>
      </c>
      <c r="C32" s="75" t="str">
        <f>_xlfn.XLOOKUP(
    tblrecommended[[#This Row],[Order]],
    tblwikirecommended[Order],
    tblwikirecommended[Active ID],
    ""
)</f>
        <v>building.workshop@1</v>
      </c>
      <c r="F32" s="72">
        <f t="shared" si="0"/>
        <v>30</v>
      </c>
      <c r="G32" s="72" t="s">
        <v>567</v>
      </c>
      <c r="H32" s="72" t="str" cm="1">
        <f t="array" ref="H3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building.guild@5</v>
      </c>
      <c r="I32" s="72" t="str" cm="1">
        <f t="array" ref="I3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building.workshop@1</v>
      </c>
      <c r="J32" s="72" t="s">
        <v>6315</v>
      </c>
      <c r="K32" s="72" t="s">
        <v>6423</v>
      </c>
    </row>
    <row r="33" spans="1:11" ht="15.75" customHeight="1">
      <c r="A33" s="72">
        <v>31</v>
      </c>
      <c r="B33" s="75" t="str">
        <f>_xlfn.XLOOKUP(
    tblrecommended[[#This Row],[Order]],
    tblwikirecommended[Order],
    tblwikirecommended[Passive ID],
    ""
)</f>
        <v>building.dungeon@2</v>
      </c>
      <c r="C33" s="75" t="str">
        <f>_xlfn.XLOOKUP(
    tblrecommended[[#This Row],[Order]],
    tblwikirecommended[Order],
    tblwikirecommended[Active ID],
    ""
)</f>
        <v>building.workshop@2</v>
      </c>
      <c r="F33" s="72">
        <f t="shared" si="0"/>
        <v>31</v>
      </c>
      <c r="G33" s="72" t="s">
        <v>6303</v>
      </c>
      <c r="H33" s="72" t="str" cm="1">
        <f t="array" ref="H3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building.dungeon@2</v>
      </c>
      <c r="I33" s="72" t="str" cm="1">
        <f t="array" ref="I3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building.workshop@2</v>
      </c>
      <c r="J33" s="72" t="s">
        <v>6316</v>
      </c>
      <c r="K33" s="72" t="s">
        <v>6424</v>
      </c>
    </row>
    <row r="34" spans="1:11" ht="15.75" customHeight="1">
      <c r="A34" s="72">
        <v>32</v>
      </c>
      <c r="B34" s="75" t="str">
        <f>_xlfn.XLOOKUP(
    tblrecommended[[#This Row],[Order]],
    tblwikirecommended[Order],
    tblwikirecommended[Passive ID],
    ""
)</f>
        <v>building.windmill@2</v>
      </c>
      <c r="C34" s="75" t="str">
        <f>_xlfn.XLOOKUP(
    tblrecommended[[#This Row],[Order]],
    tblwikirecommended[Order],
    tblwikirecommended[Active ID],
    ""
)</f>
        <v>building.workshop@3</v>
      </c>
      <c r="F34" s="72">
        <f t="shared" si="0"/>
        <v>32</v>
      </c>
      <c r="G34" s="72" t="s">
        <v>6304</v>
      </c>
      <c r="H34" s="72" t="str" cm="1">
        <f t="array" ref="H3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building.windmill@2</v>
      </c>
      <c r="I34" s="72" t="str" cm="1">
        <f t="array" ref="I3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building.workshop@3</v>
      </c>
      <c r="J34" s="72" t="s">
        <v>6317</v>
      </c>
      <c r="K34" s="72" t="s">
        <v>6425</v>
      </c>
    </row>
    <row r="35" spans="1:11" ht="15.75" customHeight="1">
      <c r="A35" s="72">
        <v>33</v>
      </c>
      <c r="B35" s="75" t="str">
        <f>_xlfn.XLOOKUP(
    tblrecommended[[#This Row],[Order]],
    tblwikirecommended[Order],
    tblwikirecommended[Passive ID],
    ""
)</f>
        <v>building.food_stall@2</v>
      </c>
      <c r="C35" s="75" t="str">
        <f>_xlfn.XLOOKUP(
    tblrecommended[[#This Row],[Order]],
    tblwikirecommended[Order],
    tblwikirecommended[Active ID],
    ""
)</f>
        <v>building.workshop@4</v>
      </c>
      <c r="F35" s="72">
        <f t="shared" si="0"/>
        <v>33</v>
      </c>
      <c r="G35" s="72" t="s">
        <v>6305</v>
      </c>
      <c r="H35" s="72" t="str" cm="1">
        <f t="array" ref="H3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building.food_stall@2</v>
      </c>
      <c r="I35" s="72" t="str" cm="1">
        <f t="array" ref="I3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building.workshop@4</v>
      </c>
      <c r="J35" s="72" t="s">
        <v>6318</v>
      </c>
      <c r="K35" s="72" t="s">
        <v>6454</v>
      </c>
    </row>
    <row r="36" spans="1:11" ht="15.75" customHeight="1">
      <c r="A36" s="72">
        <v>34</v>
      </c>
      <c r="B36" s="75" t="str">
        <f>_xlfn.XLOOKUP(
    tblrecommended[[#This Row],[Order]],
    tblwikirecommended[Order],
    tblwikirecommended[Passive ID],
    ""
)</f>
        <v>building.food_stall@3</v>
      </c>
      <c r="C36" s="75" t="str">
        <f>_xlfn.XLOOKUP(
    tblrecommended[[#This Row],[Order]],
    tblwikirecommended[Order],
    tblwikirecommended[Active ID],
    ""
)</f>
        <v>building.workshop@5</v>
      </c>
      <c r="F36" s="72">
        <f t="shared" si="0"/>
        <v>34</v>
      </c>
      <c r="G36" s="72" t="s">
        <v>6306</v>
      </c>
      <c r="H36" s="72" t="str" cm="1">
        <f t="array" ref="H3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building.food_stall@3</v>
      </c>
      <c r="I36" s="72" t="str" cm="1">
        <f t="array" ref="I3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building.workshop@5</v>
      </c>
      <c r="J36" s="72" t="s">
        <v>6319</v>
      </c>
      <c r="K36" s="72" t="s">
        <v>6442</v>
      </c>
    </row>
    <row r="37" spans="1:11" ht="15.75" customHeight="1">
      <c r="A37" s="72">
        <v>35</v>
      </c>
      <c r="B37" s="75" t="str">
        <f>_xlfn.XLOOKUP(
    tblrecommended[[#This Row],[Order]],
    tblwikirecommended[Order],
    tblwikirecommended[Passive ID],
    ""
)</f>
        <v>building.bridge@1</v>
      </c>
      <c r="C37" s="75" t="str">
        <f>_xlfn.XLOOKUP(
    tblrecommended[[#This Row],[Order]],
    tblwikirecommended[Order],
    tblwikirecommended[Active ID],
    ""
)</f>
        <v>building.outpost@2</v>
      </c>
      <c r="F37" s="72">
        <f t="shared" si="0"/>
        <v>35</v>
      </c>
      <c r="G37" s="72" t="s">
        <v>6307</v>
      </c>
      <c r="H37" s="72" t="str" cm="1">
        <f t="array" ref="H3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building.bridge@1</v>
      </c>
      <c r="I37" s="72" t="str" cm="1">
        <f t="array" ref="I3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building.outpost@2</v>
      </c>
      <c r="J37" s="72" t="s">
        <v>6320</v>
      </c>
      <c r="K37" s="72" t="s">
        <v>6321</v>
      </c>
    </row>
    <row r="38" spans="1:11" ht="15.75" customHeight="1">
      <c r="A38" s="72">
        <v>36</v>
      </c>
      <c r="B38" s="75" t="str">
        <f>_xlfn.XLOOKUP(
    tblrecommended[[#This Row],[Order]],
    tblwikirecommended[Order],
    tblwikirecommended[Passive ID],
    ""
)</f>
        <v>building.outpost@1</v>
      </c>
      <c r="C38" s="75" t="str">
        <f>_xlfn.XLOOKUP(
    tblrecommended[[#This Row],[Order]],
    tblwikirecommended[Order],
    tblwikirecommended[Active ID],
    ""
)</f>
        <v>building.caravan@1</v>
      </c>
      <c r="F38" s="72">
        <f t="shared" si="0"/>
        <v>36</v>
      </c>
      <c r="G38" t="s">
        <v>6308</v>
      </c>
      <c r="H38" s="72" t="str" cm="1">
        <f t="array" ref="H3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building.outpost@1</v>
      </c>
      <c r="I38" s="72" t="str" cm="1">
        <f t="array" ref="I3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building.caravan@1</v>
      </c>
      <c r="J38" s="72" t="s">
        <v>6322</v>
      </c>
      <c r="K38" s="72" t="s">
        <v>6443</v>
      </c>
    </row>
    <row r="39" spans="1:11" ht="15.75" customHeight="1">
      <c r="A39" s="72">
        <v>37</v>
      </c>
      <c r="B39" s="75" t="str">
        <f>_xlfn.XLOOKUP(
    tblrecommended[[#This Row],[Order]],
    tblwikirecommended[Order],
    tblwikirecommended[Passive ID],
    ""
)</f>
        <v>building.bonsai@1</v>
      </c>
      <c r="C39" s="75" t="str">
        <f>_xlfn.XLOOKUP(
    tblrecommended[[#This Row],[Order]],
    tblwikirecommended[Order],
    tblwikirecommended[Active ID],
    ""
)</f>
        <v>building.caravan@2</v>
      </c>
      <c r="F39" s="72">
        <f t="shared" si="0"/>
        <v>37</v>
      </c>
      <c r="G39" t="s">
        <v>6310</v>
      </c>
      <c r="H39" s="72" t="str" cm="1">
        <f t="array" ref="H3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building.bonsai@1</v>
      </c>
      <c r="I39" s="72" t="str" cm="1">
        <f t="array" ref="I3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building.caravan@2</v>
      </c>
      <c r="J39" s="72" t="s">
        <v>6323</v>
      </c>
      <c r="K39" s="72" t="s">
        <v>6324</v>
      </c>
    </row>
    <row r="40" spans="1:11" ht="15.75" customHeight="1">
      <c r="A40" s="72">
        <v>38</v>
      </c>
      <c r="B40" s="75" t="str">
        <f>_xlfn.XLOOKUP(
    tblrecommended[[#This Row],[Order]],
    tblwikirecommended[Order],
    tblwikirecommended[Passive ID],
    ""
)</f>
        <v>building.bonsai@2</v>
      </c>
      <c r="C40" s="75" t="str">
        <f>_xlfn.XLOOKUP(
    tblrecommended[[#This Row],[Order]],
    tblwikirecommended[Order],
    tblwikirecommended[Active ID],
    ""
)</f>
        <v>building.caravan@3</v>
      </c>
      <c r="F40" s="72">
        <f t="shared" si="0"/>
        <v>38</v>
      </c>
      <c r="G40" t="s">
        <v>6311</v>
      </c>
      <c r="H40" s="72" t="str" cm="1">
        <f t="array" ref="H4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building.bonsai@2</v>
      </c>
      <c r="I40" s="72" t="str" cm="1">
        <f t="array" ref="I4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building.caravan@3</v>
      </c>
      <c r="J40" s="72" t="s">
        <v>6325</v>
      </c>
      <c r="K40" s="72" t="s">
        <v>6324</v>
      </c>
    </row>
    <row r="41" spans="1:11" ht="15.75" customHeight="1">
      <c r="A41" s="72">
        <v>39</v>
      </c>
      <c r="B41" s="75" t="str">
        <f>_xlfn.XLOOKUP(
    tblrecommended[[#This Row],[Order]],
    tblwikirecommended[Order],
    tblwikirecommended[Passive ID],
    ""
)</f>
        <v>building.onsen@1</v>
      </c>
      <c r="C41" s="75" t="str">
        <f>_xlfn.XLOOKUP(
    tblrecommended[[#This Row],[Order]],
    tblwikirecommended[Order],
    tblwikirecommended[Active ID],
    ""
)</f>
        <v>building.caravan@4</v>
      </c>
      <c r="F41" s="72">
        <f t="shared" si="0"/>
        <v>39</v>
      </c>
      <c r="G41" t="s">
        <v>6312</v>
      </c>
      <c r="H41" s="72" t="str" cm="1">
        <f t="array" ref="H4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building.onsen@1</v>
      </c>
      <c r="I41" s="72" t="str" cm="1">
        <f t="array" ref="I4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building.caravan@4</v>
      </c>
      <c r="J41" s="72" t="s">
        <v>6337</v>
      </c>
      <c r="K41" s="72" t="s">
        <v>6324</v>
      </c>
    </row>
    <row r="42" spans="1:11" ht="15.75" customHeight="1">
      <c r="A42" s="72">
        <v>40</v>
      </c>
      <c r="B42" s="75" t="str">
        <f>_xlfn.XLOOKUP(
    tblrecommended[[#This Row],[Order]],
    tblwikirecommended[Order],
    tblwikirecommended[Passive ID],
    ""
)</f>
        <v>building.onsen@2</v>
      </c>
      <c r="C42" s="75" t="str">
        <f>_xlfn.XLOOKUP(
    tblrecommended[[#This Row],[Order]],
    tblwikirecommended[Order],
    tblwikirecommended[Active ID],
    ""
)</f>
        <v>building.smithy@1</v>
      </c>
      <c r="F42" s="72">
        <f t="shared" si="0"/>
        <v>40</v>
      </c>
      <c r="G42" t="s">
        <v>6314</v>
      </c>
      <c r="H42" s="72" t="str" cm="1">
        <f t="array" ref="H4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building.onsen@2</v>
      </c>
      <c r="I42" s="72" t="str" cm="1">
        <f t="array" ref="I4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building.smithy@1</v>
      </c>
      <c r="J42" s="72" t="s">
        <v>6326</v>
      </c>
      <c r="K42" s="72" t="s">
        <v>6419</v>
      </c>
    </row>
    <row r="43" spans="1:11" ht="15.75" customHeight="1">
      <c r="A43" s="72">
        <v>41</v>
      </c>
      <c r="B43" s="75" t="str">
        <f>_xlfn.XLOOKUP(
    tblrecommended[[#This Row],[Order]],
    tblwikirecommended[Order],
    tblwikirecommended[Passive ID],
    ""
)</f>
        <v>building.workshop@1</v>
      </c>
      <c r="C43" s="75" t="str">
        <f>_xlfn.XLOOKUP(
    tblrecommended[[#This Row],[Order]],
    tblwikirecommended[Order],
    tblwikirecommended[Active ID],
    ""
)</f>
        <v>building.smithy@2</v>
      </c>
      <c r="F43" s="72">
        <f t="shared" si="0"/>
        <v>41</v>
      </c>
      <c r="G43" t="s">
        <v>6315</v>
      </c>
      <c r="H43" s="72" t="str" cm="1">
        <f t="array" ref="H4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building.workshop@1</v>
      </c>
      <c r="I43" s="72" t="str" cm="1">
        <f t="array" ref="I4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building.smithy@2</v>
      </c>
      <c r="J43" s="72" t="s">
        <v>6327</v>
      </c>
      <c r="K43" s="72" t="s">
        <v>6420</v>
      </c>
    </row>
    <row r="44" spans="1:11" ht="15.75" customHeight="1">
      <c r="A44" s="72">
        <v>42</v>
      </c>
      <c r="B44" s="75" t="str">
        <f>_xlfn.XLOOKUP(
    tblrecommended[[#This Row],[Order]],
    tblwikirecommended[Order],
    tblwikirecommended[Passive ID],
    ""
)</f>
        <v>building.workshop@2</v>
      </c>
      <c r="C44" s="75" t="str">
        <f>_xlfn.XLOOKUP(
    tblrecommended[[#This Row],[Order]],
    tblwikirecommended[Order],
    tblwikirecommended[Active ID],
    ""
)</f>
        <v>building.smithy@3</v>
      </c>
      <c r="F44" s="72">
        <f t="shared" si="0"/>
        <v>42</v>
      </c>
      <c r="G44" t="s">
        <v>6316</v>
      </c>
      <c r="H44" s="72" t="str" cm="1">
        <f t="array" ref="H4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building.workshop@2</v>
      </c>
      <c r="I44" s="72" t="str" cm="1">
        <f t="array" ref="I4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building.smithy@3</v>
      </c>
      <c r="J44" s="72" t="s">
        <v>6328</v>
      </c>
      <c r="K44" s="72" t="s">
        <v>6421</v>
      </c>
    </row>
    <row r="45" spans="1:11" ht="15.75" customHeight="1">
      <c r="A45" s="72">
        <v>43</v>
      </c>
      <c r="B45" s="75" t="str">
        <f>_xlfn.XLOOKUP(
    tblrecommended[[#This Row],[Order]],
    tblwikirecommended[Order],
    tblwikirecommended[Passive ID],
    ""
)</f>
        <v>building.workshop@3</v>
      </c>
      <c r="C45" s="75" t="str">
        <f>_xlfn.XLOOKUP(
    tblrecommended[[#This Row],[Order]],
    tblwikirecommended[Order],
    tblwikirecommended[Active ID],
    ""
)</f>
        <v>building.dungeon@3</v>
      </c>
      <c r="F45" s="72">
        <f t="shared" si="0"/>
        <v>43</v>
      </c>
      <c r="G45" t="s">
        <v>6317</v>
      </c>
      <c r="H45" s="72" t="str" cm="1">
        <f t="array" ref="H4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building.workshop@3</v>
      </c>
      <c r="I45" s="72" t="str" cm="1">
        <f t="array" ref="I4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building.dungeon@3</v>
      </c>
      <c r="J45" s="72" t="s">
        <v>1057</v>
      </c>
      <c r="K45" s="72" t="s">
        <v>6329</v>
      </c>
    </row>
    <row r="46" spans="1:11" ht="15.75" customHeight="1">
      <c r="A46" s="72">
        <v>44</v>
      </c>
      <c r="B46" s="75" t="str">
        <f>_xlfn.XLOOKUP(
    tblrecommended[[#This Row],[Order]],
    tblwikirecommended[Order],
    tblwikirecommended[Passive ID],
    ""
)</f>
        <v>building.workshop@4</v>
      </c>
      <c r="C46" s="75" t="str">
        <f>_xlfn.XLOOKUP(
    tblrecommended[[#This Row],[Order]],
    tblwikirecommended[Order],
    tblwikirecommended[Active ID],
    ""
)</f>
        <v>building.airship@1</v>
      </c>
      <c r="F46" s="72">
        <f t="shared" si="0"/>
        <v>44</v>
      </c>
      <c r="G46" t="s">
        <v>6318</v>
      </c>
      <c r="H46" s="72" t="str" cm="1">
        <f t="array" ref="H4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building.workshop@4</v>
      </c>
      <c r="I46" s="72" t="str" cm="1">
        <f t="array" ref="I4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building.airship@1</v>
      </c>
      <c r="J46" s="72" t="s">
        <v>6330</v>
      </c>
      <c r="K46" s="72" t="s">
        <v>6444</v>
      </c>
    </row>
    <row r="47" spans="1:11" ht="15.75" customHeight="1">
      <c r="A47" s="72">
        <v>45</v>
      </c>
      <c r="B47" s="75" t="str">
        <f>_xlfn.XLOOKUP(
    tblrecommended[[#This Row],[Order]],
    tblwikirecommended[Order],
    tblwikirecommended[Passive ID],
    ""
)</f>
        <v>building.workshop@5</v>
      </c>
      <c r="C47" s="75" t="str">
        <f>_xlfn.XLOOKUP(
    tblrecommended[[#This Row],[Order]],
    tblwikirecommended[Order],
    tblwikirecommended[Active ID],
    ""
)</f>
        <v>building.airship@2</v>
      </c>
      <c r="F47" s="72">
        <f t="shared" si="0"/>
        <v>45</v>
      </c>
      <c r="G47" t="s">
        <v>6319</v>
      </c>
      <c r="H47" s="72" t="str" cm="1">
        <f t="array" ref="H4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building.workshop@5</v>
      </c>
      <c r="I47" s="72" t="str" cm="1">
        <f t="array" ref="I4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building.airship@2</v>
      </c>
      <c r="J47" s="72" t="s">
        <v>6346</v>
      </c>
      <c r="K47" s="72" t="s">
        <v>6324</v>
      </c>
    </row>
    <row r="48" spans="1:11" ht="15.75" customHeight="1">
      <c r="A48" s="72">
        <v>46</v>
      </c>
      <c r="B48" s="75" t="str">
        <f>_xlfn.XLOOKUP(
    tblrecommended[[#This Row],[Order]],
    tblwikirecommended[Order],
    tblwikirecommended[Passive ID],
    ""
)</f>
        <v>building.outpost@2</v>
      </c>
      <c r="C48" s="75" t="str">
        <f>_xlfn.XLOOKUP(
    tblrecommended[[#This Row],[Order]],
    tblwikirecommended[Order],
    tblwikirecommended[Active ID],
    ""
)</f>
        <v>building.furnace@3</v>
      </c>
      <c r="F48" s="72">
        <f t="shared" si="0"/>
        <v>46</v>
      </c>
      <c r="G48" t="s">
        <v>6320</v>
      </c>
      <c r="H48" s="72" t="str" cm="1">
        <f t="array" ref="H4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building.outpost@2</v>
      </c>
      <c r="I48" s="72" t="str" cm="1">
        <f t="array" ref="I4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building.furnace@3</v>
      </c>
      <c r="J48" s="72" t="s">
        <v>2016</v>
      </c>
      <c r="K48" s="72" t="s">
        <v>6332</v>
      </c>
    </row>
    <row r="49" spans="1:11" ht="15.75" customHeight="1">
      <c r="A49" s="72">
        <v>47</v>
      </c>
      <c r="B49" s="75" t="str">
        <f>_xlfn.XLOOKUP(
    tblrecommended[[#This Row],[Order]],
    tblwikirecommended[Order],
    tblwikirecommended[Passive ID],
    ""
)</f>
        <v>building.caravan@1</v>
      </c>
      <c r="C49" s="75" t="str">
        <f>_xlfn.XLOOKUP(
    tblrecommended[[#This Row],[Order]],
    tblwikirecommended[Order],
    tblwikirecommended[Active ID],
    ""
)</f>
        <v>building.tailor@1</v>
      </c>
      <c r="F49" s="72">
        <f t="shared" si="0"/>
        <v>47</v>
      </c>
      <c r="G49" t="s">
        <v>6322</v>
      </c>
      <c r="H49" s="72" t="str" cm="1">
        <f t="array" ref="H4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building.caravan@1</v>
      </c>
      <c r="I49" s="72" t="str" cm="1">
        <f t="array" ref="I4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building.tailor@1</v>
      </c>
      <c r="J49" s="72" t="s">
        <v>6333</v>
      </c>
      <c r="K49" s="72" t="s">
        <v>6334</v>
      </c>
    </row>
    <row r="50" spans="1:11" ht="15.75" customHeight="1">
      <c r="A50" s="72">
        <v>48</v>
      </c>
      <c r="B50" s="75" t="str">
        <f>_xlfn.XLOOKUP(
    tblrecommended[[#This Row],[Order]],
    tblwikirecommended[Order],
    tblwikirecommended[Passive ID],
    ""
)</f>
        <v>building.caravan@2</v>
      </c>
      <c r="C50" s="75" t="str">
        <f>_xlfn.XLOOKUP(
    tblrecommended[[#This Row],[Order]],
    tblwikirecommended[Order],
    tblwikirecommended[Active ID],
    ""
)</f>
        <v>building.tailor@2</v>
      </c>
      <c r="F50" s="72">
        <f t="shared" si="0"/>
        <v>48</v>
      </c>
      <c r="G50" t="s">
        <v>6323</v>
      </c>
      <c r="H50" s="72" t="str" cm="1">
        <f t="array" ref="H5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building.caravan@2</v>
      </c>
      <c r="I50" s="72" t="str" cm="1">
        <f t="array" ref="I5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building.tailor@2</v>
      </c>
      <c r="J50" s="72" t="s">
        <v>6335</v>
      </c>
      <c r="K50" s="72" t="s">
        <v>6336</v>
      </c>
    </row>
    <row r="51" spans="1:11" ht="15.75" customHeight="1">
      <c r="A51" s="72">
        <v>49</v>
      </c>
      <c r="B51" s="75" t="str">
        <f>_xlfn.XLOOKUP(
    tblrecommended[[#This Row],[Order]],
    tblwikirecommended[Order],
    tblwikirecommended[Passive ID],
    ""
)</f>
        <v>building.caravan@3</v>
      </c>
      <c r="C51" s="75" t="str">
        <f>_xlfn.XLOOKUP(
    tblrecommended[[#This Row],[Order]],
    tblwikirecommended[Order],
    tblwikirecommended[Active ID],
    ""
)</f>
        <v>building.tailor@3</v>
      </c>
      <c r="F51" s="72">
        <f t="shared" si="0"/>
        <v>49</v>
      </c>
      <c r="G51" t="s">
        <v>6325</v>
      </c>
      <c r="H51" s="72" t="str" cm="1">
        <f t="array" ref="H5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building.caravan@3</v>
      </c>
      <c r="I51" s="72" t="str" cm="1">
        <f t="array" ref="I5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building.tailor@3</v>
      </c>
      <c r="J51" s="72" t="s">
        <v>6338</v>
      </c>
      <c r="K51" s="72" t="s">
        <v>6339</v>
      </c>
    </row>
    <row r="52" spans="1:11" ht="15.75" customHeight="1">
      <c r="A52" s="72">
        <v>50</v>
      </c>
      <c r="B52" s="75" t="str">
        <f>_xlfn.XLOOKUP(
    tblrecommended[[#This Row],[Order]],
    tblwikirecommended[Order],
    tblwikirecommended[Passive ID],
    ""
)</f>
        <v>building.smithy@1</v>
      </c>
      <c r="C52" s="75" t="str">
        <f>_xlfn.XLOOKUP(
    tblrecommended[[#This Row],[Order]],
    tblwikirecommended[Order],
    tblwikirecommended[Active ID],
    ""
)</f>
        <v>building.outpost@3</v>
      </c>
      <c r="F52" s="72">
        <f t="shared" si="0"/>
        <v>50</v>
      </c>
      <c r="G52" t="s">
        <v>6326</v>
      </c>
      <c r="H52" s="72" t="str" cm="1">
        <f t="array" ref="H5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building.smithy@1</v>
      </c>
      <c r="I52" s="72" t="str" cm="1">
        <f t="array" ref="I5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building.outpost@3</v>
      </c>
      <c r="J52" s="72" t="s">
        <v>6340</v>
      </c>
      <c r="K52" s="72" t="s">
        <v>6341</v>
      </c>
    </row>
    <row r="53" spans="1:11" ht="15.75" customHeight="1">
      <c r="A53" s="72">
        <v>51</v>
      </c>
      <c r="B53" s="75" t="str">
        <f>_xlfn.XLOOKUP(
    tblrecommended[[#This Row],[Order]],
    tblwikirecommended[Order],
    tblwikirecommended[Passive ID],
    ""
)</f>
        <v>building.smithy@2</v>
      </c>
      <c r="C53" s="75" t="str">
        <f>_xlfn.XLOOKUP(
    tblrecommended[[#This Row],[Order]],
    tblwikirecommended[Order],
    tblwikirecommended[Active ID],
    ""
)</f>
        <v>building.alchemists_hut@3</v>
      </c>
      <c r="F53" s="72">
        <f t="shared" si="0"/>
        <v>51</v>
      </c>
      <c r="G53" t="s">
        <v>6327</v>
      </c>
      <c r="H53" s="72" t="str" cm="1">
        <f t="array" ref="H5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building.smithy@2</v>
      </c>
      <c r="I53" s="72" t="str" cm="1">
        <f t="array" ref="I5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building.alchemists_hut@3</v>
      </c>
      <c r="J53" s="72" t="s">
        <v>6342</v>
      </c>
      <c r="K53" s="72" t="s">
        <v>6445</v>
      </c>
    </row>
    <row r="54" spans="1:11" ht="15.75" customHeight="1">
      <c r="A54" s="72">
        <v>52</v>
      </c>
      <c r="B54" s="75" t="str">
        <f>_xlfn.XLOOKUP(
    tblrecommended[[#This Row],[Order]],
    tblwikirecommended[Order],
    tblwikirecommended[Passive ID],
    ""
)</f>
        <v>building.smithy@3</v>
      </c>
      <c r="C54" s="75" t="str">
        <f>_xlfn.XLOOKUP(
    tblrecommended[[#This Row],[Order]],
    tblwikirecommended[Order],
    tblwikirecommended[Active ID],
    ""
)</f>
        <v>building.alchemists_hut@4</v>
      </c>
      <c r="F54" s="72">
        <f t="shared" si="0"/>
        <v>52</v>
      </c>
      <c r="G54" t="s">
        <v>6328</v>
      </c>
      <c r="H54" s="72" t="str" cm="1">
        <f t="array" ref="H5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building.smithy@3</v>
      </c>
      <c r="I54" s="72" t="str" cm="1">
        <f t="array" ref="I5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building.alchemists_hut@4</v>
      </c>
      <c r="J54" s="72" t="s">
        <v>6343</v>
      </c>
    </row>
    <row r="55" spans="1:11" ht="15.75" customHeight="1">
      <c r="A55" s="72">
        <v>53</v>
      </c>
      <c r="B55" s="75" t="str">
        <f>_xlfn.XLOOKUP(
    tblrecommended[[#This Row],[Order]],
    tblwikirecommended[Order],
    tblwikirecommended[Passive ID],
    ""
)</f>
        <v>building.dungeon@3</v>
      </c>
      <c r="C55" s="75" t="str">
        <f>_xlfn.XLOOKUP(
    tblrecommended[[#This Row],[Order]],
    tblwikirecommended[Order],
    tblwikirecommended[Active ID],
    ""
)</f>
        <v>building.alchemists_hut@5</v>
      </c>
      <c r="F55" s="72">
        <f t="shared" si="0"/>
        <v>53</v>
      </c>
      <c r="G55" t="s">
        <v>1057</v>
      </c>
      <c r="H55" s="72" t="str" cm="1">
        <f t="array" ref="H5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building.dungeon@3</v>
      </c>
      <c r="I55" s="72" t="str" cm="1">
        <f t="array" ref="I5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building.alchemists_hut@5</v>
      </c>
      <c r="J55" s="72" t="s">
        <v>6344</v>
      </c>
    </row>
    <row r="56" spans="1:11" ht="15.75" customHeight="1">
      <c r="A56" s="72">
        <v>54</v>
      </c>
      <c r="B56" s="75" t="str">
        <f>_xlfn.XLOOKUP(
    tblrecommended[[#This Row],[Order]],
    tblwikirecommended[Order],
    tblwikirecommended[Passive ID],
    ""
)</f>
        <v>building.airship@1</v>
      </c>
      <c r="C56" s="75" t="str">
        <f>_xlfn.XLOOKUP(
    tblrecommended[[#This Row],[Order]],
    tblwikirecommended[Order],
    tblwikirecommended[Active ID],
    ""
)</f>
        <v>building.alchemists_hut@6</v>
      </c>
      <c r="F56" s="72">
        <f t="shared" si="0"/>
        <v>54</v>
      </c>
      <c r="G56" t="s">
        <v>6330</v>
      </c>
      <c r="H56" s="72" t="str" cm="1">
        <f t="array" ref="H5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building.airship@1</v>
      </c>
      <c r="I56" s="72" t="str" cm="1">
        <f t="array" ref="I5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building.alchemists_hut@6</v>
      </c>
      <c r="J56" s="72" t="s">
        <v>6345</v>
      </c>
    </row>
    <row r="57" spans="1:11" ht="15.75" customHeight="1">
      <c r="A57" s="72">
        <v>55</v>
      </c>
      <c r="B57" s="75" t="str">
        <f>_xlfn.XLOOKUP(
    tblrecommended[[#This Row],[Order]],
    tblwikirecommended[Order],
    tblwikirecommended[Passive ID],
    ""
)</f>
        <v>building.ship@4</v>
      </c>
      <c r="C57" s="75" t="str">
        <f>_xlfn.XLOOKUP(
    tblrecommended[[#This Row],[Order]],
    tblwikirecommended[Order],
    tblwikirecommended[Active ID],
    ""
)</f>
        <v>building.chicken@1</v>
      </c>
      <c r="F57" s="72">
        <f t="shared" si="0"/>
        <v>55</v>
      </c>
      <c r="G57" t="s">
        <v>6331</v>
      </c>
      <c r="H57" s="72" t="str" cm="1">
        <f t="array" ref="H5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building.ship@4</v>
      </c>
      <c r="I57" s="72" t="str" cm="1">
        <f t="array" ref="I5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building.chicken@1</v>
      </c>
      <c r="J57" s="72" t="s">
        <v>6294</v>
      </c>
      <c r="K57" s="72" t="s">
        <v>6395</v>
      </c>
    </row>
    <row r="58" spans="1:11" ht="15.75" customHeight="1">
      <c r="A58" s="72">
        <v>56</v>
      </c>
      <c r="B58" s="75" t="str">
        <f>_xlfn.XLOOKUP(
    tblrecommended[[#This Row],[Order]],
    tblwikirecommended[Order],
    tblwikirecommended[Passive ID],
    ""
)</f>
        <v>building.furnace@3</v>
      </c>
      <c r="C58" s="75" t="str">
        <f>_xlfn.XLOOKUP(
    tblrecommended[[#This Row],[Order]],
    tblwikirecommended[Order],
    tblwikirecommended[Active ID],
    ""
)</f>
        <v>building.chicken@2</v>
      </c>
      <c r="F58" s="72">
        <f t="shared" si="0"/>
        <v>56</v>
      </c>
      <c r="G58" t="s">
        <v>2016</v>
      </c>
      <c r="H58" s="72" t="str" cm="1">
        <f t="array" ref="H5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building.furnace@3</v>
      </c>
      <c r="I58" s="72" t="str" cm="1">
        <f t="array" ref="I5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building.chicken@2</v>
      </c>
      <c r="J58" s="72" t="s">
        <v>6295</v>
      </c>
      <c r="K58" s="72" t="s">
        <v>6296</v>
      </c>
    </row>
    <row r="59" spans="1:11" ht="15.75" customHeight="1">
      <c r="A59" s="72">
        <v>57</v>
      </c>
      <c r="B59" s="75" t="str">
        <f>_xlfn.XLOOKUP(
    tblrecommended[[#This Row],[Order]],
    tblwikirecommended[Order],
    tblwikirecommended[Passive ID],
    ""
)</f>
        <v>building.tailor@1</v>
      </c>
      <c r="C59" s="75" t="str">
        <f>_xlfn.XLOOKUP(
    tblrecommended[[#This Row],[Order]],
    tblwikirecommended[Order],
    tblwikirecommended[Active ID],
    ""
)</f>
        <v>building.pagoda@1</v>
      </c>
      <c r="F59" s="72">
        <f t="shared" si="0"/>
        <v>57</v>
      </c>
      <c r="G59" t="s">
        <v>6333</v>
      </c>
      <c r="H59" s="72" t="str" cm="1">
        <f t="array" ref="H5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building.tailor@1</v>
      </c>
      <c r="I59" s="72" t="str" cm="1">
        <f t="array" ref="I5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building.pagoda@1</v>
      </c>
      <c r="J59" s="72" t="s">
        <v>6349</v>
      </c>
      <c r="K59" s="72" t="s">
        <v>6447</v>
      </c>
    </row>
    <row r="60" spans="1:11" ht="15.75" customHeight="1">
      <c r="A60" s="72">
        <v>58</v>
      </c>
      <c r="B60" s="75" t="str">
        <f>_xlfn.XLOOKUP(
    tblrecommended[[#This Row],[Order]],
    tblwikirecommended[Order],
    tblwikirecommended[Passive ID],
    ""
)</f>
        <v>building.tailor@2</v>
      </c>
      <c r="C60" s="75" t="str">
        <f>_xlfn.XLOOKUP(
    tblrecommended[[#This Row],[Order]],
    tblwikirecommended[Order],
    tblwikirecommended[Active ID],
    ""
)</f>
        <v>building.pagoda@2</v>
      </c>
      <c r="F60" s="72">
        <f t="shared" si="0"/>
        <v>58</v>
      </c>
      <c r="G60" t="s">
        <v>6335</v>
      </c>
      <c r="H60" s="72" t="str" cm="1">
        <f t="array" ref="H6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building.tailor@2</v>
      </c>
      <c r="I60" s="72" t="str" cm="1">
        <f t="array" ref="I6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building.pagoda@2</v>
      </c>
      <c r="J60" s="72" t="s">
        <v>6350</v>
      </c>
    </row>
    <row r="61" spans="1:11" ht="15.75" customHeight="1">
      <c r="A61" s="72">
        <v>59</v>
      </c>
      <c r="B61" s="75" t="str">
        <f>_xlfn.XLOOKUP(
    tblrecommended[[#This Row],[Order]],
    tblwikirecommended[Order],
    tblwikirecommended[Passive ID],
    ""
)</f>
        <v>building.caravan@4</v>
      </c>
      <c r="C61" s="75" t="str">
        <f>_xlfn.XLOOKUP(
    tblrecommended[[#This Row],[Order]],
    tblwikirecommended[Order],
    tblwikirecommended[Active ID],
    ""
)</f>
        <v>building.pagoda@3</v>
      </c>
      <c r="F61" s="72">
        <f t="shared" si="0"/>
        <v>59</v>
      </c>
      <c r="G61" t="s">
        <v>6337</v>
      </c>
      <c r="H61" s="72" t="str" cm="1">
        <f t="array" ref="H6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building.caravan@4</v>
      </c>
      <c r="I61" s="72" t="str" cm="1">
        <f t="array" ref="I6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building.pagoda@3</v>
      </c>
      <c r="J61" s="72" t="s">
        <v>6351</v>
      </c>
    </row>
    <row r="62" spans="1:11" ht="15.75" customHeight="1">
      <c r="A62" s="72">
        <v>60</v>
      </c>
      <c r="B62" s="75" t="str">
        <f>_xlfn.XLOOKUP(
    tblrecommended[[#This Row],[Order]],
    tblwikirecommended[Order],
    tblwikirecommended[Passive ID],
    ""
)</f>
        <v>building.tailor@3</v>
      </c>
      <c r="C62" s="75" t="str">
        <f>_xlfn.XLOOKUP(
    tblrecommended[[#This Row],[Order]],
    tblwikirecommended[Order],
    tblwikirecommended[Active ID],
    ""
)</f>
        <v>building.pagoda@4</v>
      </c>
      <c r="F62" s="72">
        <f t="shared" si="0"/>
        <v>60</v>
      </c>
      <c r="G62" t="s">
        <v>6338</v>
      </c>
      <c r="H62" s="72" t="str" cm="1">
        <f t="array" ref="H6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building.tailor@3</v>
      </c>
      <c r="I62" s="72" t="str" cm="1">
        <f t="array" ref="I6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building.pagoda@4</v>
      </c>
      <c r="J62" s="72" t="s">
        <v>6352</v>
      </c>
    </row>
    <row r="63" spans="1:11" ht="15.75" customHeight="1">
      <c r="A63" s="72">
        <v>61</v>
      </c>
      <c r="B63" s="75" t="str">
        <f>_xlfn.XLOOKUP(
    tblrecommended[[#This Row],[Order]],
    tblwikirecommended[Order],
    tblwikirecommended[Passive ID],
    ""
)</f>
        <v>building.outpost@3</v>
      </c>
      <c r="C63" s="75" t="str">
        <f>_xlfn.XLOOKUP(
    tblrecommended[[#This Row],[Order]],
    tblwikirecommended[Order],
    tblwikirecommended[Active ID],
    ""
)</f>
        <v>building.pagoda@5</v>
      </c>
      <c r="F63" s="72">
        <f t="shared" si="0"/>
        <v>61</v>
      </c>
      <c r="G63" t="s">
        <v>6340</v>
      </c>
      <c r="H63" s="72" t="str" cm="1">
        <f t="array" ref="H6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building.outpost@3</v>
      </c>
      <c r="I63" s="72" t="str" cm="1">
        <f t="array" ref="I6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building.pagoda@5</v>
      </c>
      <c r="J63" s="72" t="s">
        <v>6353</v>
      </c>
    </row>
    <row r="64" spans="1:11" ht="15.75" customHeight="1">
      <c r="A64" s="72">
        <v>62</v>
      </c>
      <c r="B64" s="75" t="str">
        <f>_xlfn.XLOOKUP(
    tblrecommended[[#This Row],[Order]],
    tblwikirecommended[Order],
    tblwikirecommended[Passive ID],
    ""
)</f>
        <v>building.alchemists_hut@3</v>
      </c>
      <c r="C64" s="75" t="str">
        <f>_xlfn.XLOOKUP(
    tblrecommended[[#This Row],[Order]],
    tblwikirecommended[Order],
    tblwikirecommended[Active ID],
    ""
)</f>
        <v>building.pagoda@6</v>
      </c>
      <c r="F64" s="72">
        <f t="shared" si="0"/>
        <v>62</v>
      </c>
      <c r="G64" t="s">
        <v>6342</v>
      </c>
      <c r="H64" s="72" t="str" cm="1">
        <f t="array" ref="H6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building.alchemists_hut@3</v>
      </c>
      <c r="I64" s="72" t="str" cm="1">
        <f t="array" ref="I6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building.pagoda@6</v>
      </c>
      <c r="J64" s="72" t="s">
        <v>6354</v>
      </c>
    </row>
    <row r="65" spans="1:11" ht="15.75" customHeight="1">
      <c r="A65" s="72">
        <v>63</v>
      </c>
      <c r="B65" s="75" t="str">
        <f>_xlfn.XLOOKUP(
    tblrecommended[[#This Row],[Order]],
    tblwikirecommended[Order],
    tblwikirecommended[Passive ID],
    ""
)</f>
        <v>building.alchemists_hut@4</v>
      </c>
      <c r="C65" s="75" t="str">
        <f>_xlfn.XLOOKUP(
    tblrecommended[[#This Row],[Order]],
    tblwikirecommended[Order],
    tblwikirecommended[Active ID],
    ""
)</f>
        <v>building.pagoda@7</v>
      </c>
      <c r="F65" s="72">
        <f t="shared" si="0"/>
        <v>63</v>
      </c>
      <c r="G65" t="s">
        <v>6343</v>
      </c>
      <c r="H65" s="72" t="str" cm="1">
        <f t="array" ref="H6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building.alchemists_hut@4</v>
      </c>
      <c r="I65" s="72" t="str" cm="1">
        <f t="array" ref="I6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building.pagoda@7</v>
      </c>
      <c r="J65" s="72" t="s">
        <v>6355</v>
      </c>
    </row>
    <row r="66" spans="1:11" ht="15.75" customHeight="1">
      <c r="A66" s="72">
        <v>64</v>
      </c>
      <c r="B66" s="75" t="str">
        <f>_xlfn.XLOOKUP(
    tblrecommended[[#This Row],[Order]],
    tblwikirecommended[Order],
    tblwikirecommended[Passive ID],
    ""
)</f>
        <v>building.alchemists_hut@5</v>
      </c>
      <c r="C66" s="75" t="str">
        <f>_xlfn.XLOOKUP(
    tblrecommended[[#This Row],[Order]],
    tblwikirecommended[Order],
    tblwikirecommended[Active ID],
    ""
)</f>
        <v>building.dungeon@4</v>
      </c>
      <c r="F66" s="72">
        <f t="shared" si="0"/>
        <v>64</v>
      </c>
      <c r="G66" t="s">
        <v>6344</v>
      </c>
      <c r="H66" s="72" t="str" cm="1">
        <f t="array" ref="H6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building.alchemists_hut@5</v>
      </c>
      <c r="I66" s="72" t="str" cm="1">
        <f t="array" ref="I6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building.dungeon@4</v>
      </c>
      <c r="J66" s="72" t="s">
        <v>6347</v>
      </c>
      <c r="K66" s="72" t="s">
        <v>6446</v>
      </c>
    </row>
    <row r="67" spans="1:11" ht="15.75" customHeight="1">
      <c r="A67" s="72">
        <v>65</v>
      </c>
      <c r="B67" s="75" t="str">
        <f>_xlfn.XLOOKUP(
    tblrecommended[[#This Row],[Order]],
    tblwikirecommended[Order],
    tblwikirecommended[Passive ID],
    ""
)</f>
        <v>building.alchemists_hut@6</v>
      </c>
      <c r="C67" s="75" t="str">
        <f>_xlfn.XLOOKUP(
    tblrecommended[[#This Row],[Order]],
    tblwikirecommended[Order],
    tblwikirecommended[Active ID],
    ""
)</f>
        <v>building.dungeon@5</v>
      </c>
      <c r="F67" s="72">
        <f t="shared" si="0"/>
        <v>65</v>
      </c>
      <c r="G67" t="s">
        <v>6345</v>
      </c>
      <c r="H67" s="72" t="str" cm="1">
        <f t="array" ref="H6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building.alchemists_hut@6</v>
      </c>
      <c r="I67" s="72" t="str" cm="1">
        <f t="array" ref="I6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building.dungeon@5</v>
      </c>
      <c r="J67" s="72" t="s">
        <v>6348</v>
      </c>
      <c r="K67" s="72" t="s">
        <v>6399</v>
      </c>
    </row>
    <row r="68" spans="1:11" ht="15.75" customHeight="1">
      <c r="A68" s="72">
        <v>66</v>
      </c>
      <c r="B68" s="75" t="str">
        <f>_xlfn.XLOOKUP(
    tblrecommended[[#This Row],[Order]],
    tblwikirecommended[Order],
    tblwikirecommended[Passive ID],
    ""
)</f>
        <v>building.airship@2</v>
      </c>
      <c r="C68" s="75" t="str">
        <f>_xlfn.XLOOKUP(
    tblrecommended[[#This Row],[Order]],
    tblwikirecommended[Order],
    tblwikirecommended[Active ID],
    ""
)</f>
        <v>building.laboratory@1</v>
      </c>
      <c r="F68" s="72">
        <f t="shared" si="0"/>
        <v>66</v>
      </c>
      <c r="G68" t="s">
        <v>6346</v>
      </c>
      <c r="H68" s="72" t="str" cm="1">
        <f t="array" ref="H6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building.airship@2</v>
      </c>
      <c r="I68" s="72" t="str" cm="1">
        <f t="array" ref="I6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building.laboratory@1</v>
      </c>
      <c r="J68" s="72" t="s">
        <v>6356</v>
      </c>
      <c r="K68" s="72" t="s">
        <v>6448</v>
      </c>
    </row>
    <row r="69" spans="1:11" ht="15.75" customHeight="1">
      <c r="A69" s="72">
        <v>67</v>
      </c>
      <c r="B69" s="75" t="str">
        <f>_xlfn.XLOOKUP(
    tblrecommended[[#This Row],[Order]],
    tblwikirecommended[Order],
    tblwikirecommended[Passive ID],
    ""
)</f>
        <v>building.dungeon@4</v>
      </c>
      <c r="C69" s="75" t="str">
        <f>_xlfn.XLOOKUP(
    tblrecommended[[#This Row],[Order]],
    tblwikirecommended[Order],
    tblwikirecommended[Active ID],
    ""
)</f>
        <v>building.laboratory@2</v>
      </c>
      <c r="F69" s="72">
        <f t="shared" ref="F69:F104" si="1">1+F68</f>
        <v>67</v>
      </c>
      <c r="G69" t="s">
        <v>6347</v>
      </c>
      <c r="H69" s="72" t="str" cm="1">
        <f t="array" ref="H6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building.dungeon@4</v>
      </c>
      <c r="I69" s="72" t="str" cm="1">
        <f t="array" ref="I6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building.laboratory@2</v>
      </c>
      <c r="J69" s="72" t="s">
        <v>6357</v>
      </c>
      <c r="K69" s="72" t="s">
        <v>6358</v>
      </c>
    </row>
    <row r="70" spans="1:11" ht="15.75" customHeight="1">
      <c r="A70" s="72">
        <v>68</v>
      </c>
      <c r="B70" s="75" t="str">
        <f>_xlfn.XLOOKUP(
    tblrecommended[[#This Row],[Order]],
    tblwikirecommended[Order],
    tblwikirecommended[Passive ID],
    ""
)</f>
        <v>building.dungeon@5</v>
      </c>
      <c r="C70" s="75" t="str">
        <f>_xlfn.XLOOKUP(
    tblrecommended[[#This Row],[Order]],
    tblwikirecommended[Order],
    tblwikirecommended[Active ID],
    ""
)</f>
        <v>building.laboratory@3</v>
      </c>
      <c r="F70" s="72">
        <f t="shared" si="1"/>
        <v>68</v>
      </c>
      <c r="G70" t="s">
        <v>6348</v>
      </c>
      <c r="H70" s="72" t="str" cm="1">
        <f t="array" ref="H7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building.dungeon@5</v>
      </c>
      <c r="I70" s="72" t="str" cm="1">
        <f t="array" ref="I7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building.laboratory@3</v>
      </c>
      <c r="J70" s="72" t="s">
        <v>6359</v>
      </c>
      <c r="K70" s="72" t="s">
        <v>6360</v>
      </c>
    </row>
    <row r="71" spans="1:11" ht="15.75" customHeight="1">
      <c r="A71" s="72">
        <v>69</v>
      </c>
      <c r="B71" s="75" t="str">
        <f>_xlfn.XLOOKUP(
    tblrecommended[[#This Row],[Order]],
    tblwikirecommended[Order],
    tblwikirecommended[Passive ID],
    ""
)</f>
        <v>building.pagoda@1</v>
      </c>
      <c r="C71" s="75" t="str">
        <f>_xlfn.XLOOKUP(
    tblrecommended[[#This Row],[Order]],
    tblwikirecommended[Order],
    tblwikirecommended[Active ID],
    ""
)</f>
        <v>building.station@1</v>
      </c>
      <c r="F71" s="72">
        <f t="shared" si="1"/>
        <v>69</v>
      </c>
      <c r="G71" t="s">
        <v>6349</v>
      </c>
      <c r="H71" s="72" t="str" cm="1">
        <f t="array" ref="H7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building.pagoda@1</v>
      </c>
      <c r="I71" s="72" t="str" cm="1">
        <f t="array" ref="I7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building.station@1</v>
      </c>
      <c r="J71" s="72" t="s">
        <v>6361</v>
      </c>
      <c r="K71" s="72" t="s">
        <v>6362</v>
      </c>
    </row>
    <row r="72" spans="1:11" ht="15.75" customHeight="1">
      <c r="A72" s="72">
        <v>70</v>
      </c>
      <c r="B72" s="75" t="str">
        <f>_xlfn.XLOOKUP(
    tblrecommended[[#This Row],[Order]],
    tblwikirecommended[Order],
    tblwikirecommended[Passive ID],
    ""
)</f>
        <v>building.pagoda@2</v>
      </c>
      <c r="C72" s="75" t="str">
        <f>_xlfn.XLOOKUP(
    tblrecommended[[#This Row],[Order]],
    tblwikirecommended[Order],
    tblwikirecommended[Active ID],
    ""
)</f>
        <v>building.train@1</v>
      </c>
      <c r="F72" s="72">
        <f t="shared" si="1"/>
        <v>70</v>
      </c>
      <c r="G72" t="s">
        <v>6350</v>
      </c>
      <c r="H72" s="72" t="str" cm="1">
        <f t="array" ref="H7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building.pagoda@2</v>
      </c>
      <c r="I72" s="72" t="str" cm="1">
        <f t="array" ref="I7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building.train@1</v>
      </c>
      <c r="J72" s="72" t="s">
        <v>6363</v>
      </c>
      <c r="K72" s="72" t="s">
        <v>6455</v>
      </c>
    </row>
    <row r="73" spans="1:11" ht="15.75" customHeight="1">
      <c r="A73" s="72">
        <v>71</v>
      </c>
      <c r="B73" s="75" t="str">
        <f>_xlfn.XLOOKUP(
    tblrecommended[[#This Row],[Order]],
    tblwikirecommended[Order],
    tblwikirecommended[Passive ID],
    ""
)</f>
        <v>building.pagoda@3</v>
      </c>
      <c r="C73" s="75" t="str">
        <f>_xlfn.XLOOKUP(
    tblrecommended[[#This Row],[Order]],
    tblwikirecommended[Order],
    tblwikirecommended[Active ID],
    ""
)</f>
        <v>building.train@2</v>
      </c>
      <c r="F73" s="72">
        <f t="shared" si="1"/>
        <v>71</v>
      </c>
      <c r="G73" t="s">
        <v>6351</v>
      </c>
      <c r="H73" s="72" t="str" cm="1">
        <f t="array" ref="H7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building.pagoda@3</v>
      </c>
      <c r="I73" s="72" t="str" cm="1">
        <f t="array" ref="I7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building.train@2</v>
      </c>
      <c r="J73" s="72" t="s">
        <v>6364</v>
      </c>
      <c r="K73" s="72" t="s">
        <v>6365</v>
      </c>
    </row>
    <row r="74" spans="1:11" ht="15.75" customHeight="1">
      <c r="A74" s="72">
        <v>72</v>
      </c>
      <c r="B74" s="75" t="str">
        <f>_xlfn.XLOOKUP(
    tblrecommended[[#This Row],[Order]],
    tblwikirecommended[Order],
    tblwikirecommended[Passive ID],
    ""
)</f>
        <v>building.pagoda@4</v>
      </c>
      <c r="C74" s="75" t="str">
        <f>_xlfn.XLOOKUP(
    tblrecommended[[#This Row],[Order]],
    tblwikirecommended[Order],
    tblwikirecommended[Active ID],
    ""
)</f>
        <v>building.fermentory@1</v>
      </c>
      <c r="F74" s="72">
        <f t="shared" si="1"/>
        <v>72</v>
      </c>
      <c r="G74" t="s">
        <v>6352</v>
      </c>
      <c r="H74" s="72" t="str" cm="1">
        <f t="array" ref="H7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building.pagoda@4</v>
      </c>
      <c r="I74" s="72" t="str" cm="1">
        <f t="array" ref="I7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building.fermentory@1</v>
      </c>
      <c r="J74" s="72" t="s">
        <v>6366</v>
      </c>
      <c r="K74" s="72" t="s">
        <v>6449</v>
      </c>
    </row>
    <row r="75" spans="1:11" ht="15.75" customHeight="1">
      <c r="A75" s="72">
        <v>73</v>
      </c>
      <c r="B75" s="75" t="str">
        <f>_xlfn.XLOOKUP(
    tblrecommended[[#This Row],[Order]],
    tblwikirecommended[Order],
    tblwikirecommended[Passive ID],
    ""
)</f>
        <v>building.pagoda@5</v>
      </c>
      <c r="C75" s="75" t="str">
        <f>_xlfn.XLOOKUP(
    tblrecommended[[#This Row],[Order]],
    tblwikirecommended[Order],
    tblwikirecommended[Active ID],
    ""
)</f>
        <v>building.fermentory@2</v>
      </c>
      <c r="F75" s="72">
        <f t="shared" si="1"/>
        <v>73</v>
      </c>
      <c r="G75" t="s">
        <v>6353</v>
      </c>
      <c r="H75" s="72" t="str" cm="1">
        <f t="array" ref="H7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building.pagoda@5</v>
      </c>
      <c r="I75" s="72" t="str" cm="1">
        <f t="array" ref="I7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building.fermentory@2</v>
      </c>
      <c r="J75" s="72" t="s">
        <v>6367</v>
      </c>
    </row>
    <row r="76" spans="1:11" ht="15.75" customHeight="1">
      <c r="A76" s="72">
        <v>74</v>
      </c>
      <c r="B76" s="75" t="str">
        <f>_xlfn.XLOOKUP(
    tblrecommended[[#This Row],[Order]],
    tblwikirecommended[Order],
    tblwikirecommended[Passive ID],
    ""
)</f>
        <v>building.pagoda@6</v>
      </c>
      <c r="C76" s="75" t="str">
        <f>_xlfn.XLOOKUP(
    tblrecommended[[#This Row],[Order]],
    tblwikirecommended[Order],
    tblwikirecommended[Active ID],
    ""
)</f>
        <v>building.fermentory@3</v>
      </c>
      <c r="F76" s="72">
        <f t="shared" si="1"/>
        <v>74</v>
      </c>
      <c r="G76" t="s">
        <v>6354</v>
      </c>
      <c r="H76" s="72" t="str" cm="1">
        <f t="array" ref="H7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building.pagoda@6</v>
      </c>
      <c r="I76" s="72" t="str" cm="1">
        <f t="array" ref="I7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building.fermentory@3</v>
      </c>
      <c r="J76" s="72" t="s">
        <v>6368</v>
      </c>
    </row>
    <row r="77" spans="1:11" ht="15.75" customHeight="1">
      <c r="A77" s="72">
        <v>75</v>
      </c>
      <c r="B77" s="75" t="str">
        <f>_xlfn.XLOOKUP(
    tblrecommended[[#This Row],[Order]],
    tblwikirecommended[Order],
    tblwikirecommended[Passive ID],
    ""
)</f>
        <v>building.pagoda@7</v>
      </c>
      <c r="C77" s="75" t="str">
        <f>_xlfn.XLOOKUP(
    tblrecommended[[#This Row],[Order]],
    tblwikirecommended[Order],
    tblwikirecommended[Active ID],
    ""
)</f>
        <v>building.laboratory@4</v>
      </c>
      <c r="F77" s="72">
        <f t="shared" si="1"/>
        <v>75</v>
      </c>
      <c r="G77" t="s">
        <v>6355</v>
      </c>
      <c r="H77" s="72" t="str" cm="1">
        <f t="array" ref="H7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building.pagoda@7</v>
      </c>
      <c r="I77" s="72" t="str" cm="1">
        <f t="array" ref="I7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building.laboratory@4</v>
      </c>
      <c r="J77" s="72" t="s">
        <v>6369</v>
      </c>
      <c r="K77" s="72" t="s">
        <v>6370</v>
      </c>
    </row>
    <row r="78" spans="1:11" ht="15.75" customHeight="1">
      <c r="A78" s="72">
        <v>76</v>
      </c>
      <c r="B78" s="75" t="str">
        <f>_xlfn.XLOOKUP(
    tblrecommended[[#This Row],[Order]],
    tblwikirecommended[Order],
    tblwikirecommended[Passive ID],
    ""
)</f>
        <v>building.laboratory@1</v>
      </c>
      <c r="C78" s="75" t="str">
        <f>_xlfn.XLOOKUP(
    tblrecommended[[#This Row],[Order]],
    tblwikirecommended[Order],
    tblwikirecommended[Active ID],
    ""
)</f>
        <v>building.laboratory@5</v>
      </c>
      <c r="F78" s="72">
        <f t="shared" si="1"/>
        <v>76</v>
      </c>
      <c r="G78" t="s">
        <v>6356</v>
      </c>
      <c r="H78" s="72" t="str" cm="1">
        <f t="array" ref="H7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building.laboratory@1</v>
      </c>
      <c r="I78" s="72" t="str" cm="1">
        <f t="array" ref="I7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building.laboratory@5</v>
      </c>
      <c r="J78" s="72" t="s">
        <v>6371</v>
      </c>
      <c r="K78" s="72" t="s">
        <v>6450</v>
      </c>
    </row>
    <row r="79" spans="1:11" ht="15.75" customHeight="1">
      <c r="A79" s="72">
        <v>77</v>
      </c>
      <c r="B79" s="75" t="str">
        <f>_xlfn.XLOOKUP(
    tblrecommended[[#This Row],[Order]],
    tblwikirecommended[Order],
    tblwikirecommended[Passive ID],
    ""
)</f>
        <v>building.laboratory@2</v>
      </c>
      <c r="C79" s="75" t="str">
        <f>_xlfn.XLOOKUP(
    tblrecommended[[#This Row],[Order]],
    tblwikirecommended[Order],
    tblwikirecommended[Active ID],
    ""
)</f>
        <v>building.dairy@1</v>
      </c>
      <c r="F79" s="72">
        <f t="shared" si="1"/>
        <v>77</v>
      </c>
      <c r="G79" t="s">
        <v>6357</v>
      </c>
      <c r="H79" s="72" t="str" cm="1">
        <f t="array" ref="H7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building.laboratory@2</v>
      </c>
      <c r="I79" s="72" t="str" cm="1">
        <f t="array" ref="I7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building.dairy@1</v>
      </c>
      <c r="J79" s="72" t="s">
        <v>6372</v>
      </c>
      <c r="K79" s="72" t="s">
        <v>6373</v>
      </c>
    </row>
    <row r="80" spans="1:11" ht="15.75" customHeight="1">
      <c r="A80" s="72">
        <v>78</v>
      </c>
      <c r="B80" s="75" t="str">
        <f>_xlfn.XLOOKUP(
    tblrecommended[[#This Row],[Order]],
    tblwikirecommended[Order],
    tblwikirecommended[Passive ID],
    ""
)</f>
        <v>building.laboratory@3</v>
      </c>
      <c r="C80" s="75" t="str">
        <f>_xlfn.XLOOKUP(
    tblrecommended[[#This Row],[Order]],
    tblwikirecommended[Order],
    tblwikirecommended[Active ID],
    ""
)</f>
        <v>building.dairy@2</v>
      </c>
      <c r="F80" s="72">
        <f t="shared" si="1"/>
        <v>78</v>
      </c>
      <c r="G80" t="s">
        <v>6359</v>
      </c>
      <c r="H80" s="72" t="str" cm="1">
        <f t="array" ref="H8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building.laboratory@3</v>
      </c>
      <c r="I80" s="72" t="str" cm="1">
        <f t="array" ref="I8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building.dairy@2</v>
      </c>
      <c r="J80" s="72" t="s">
        <v>6374</v>
      </c>
      <c r="K80" s="72" t="s">
        <v>6375</v>
      </c>
    </row>
    <row r="81" spans="1:11" ht="15.75" customHeight="1">
      <c r="A81" s="72">
        <v>79</v>
      </c>
      <c r="B81" s="75" t="str">
        <f>_xlfn.XLOOKUP(
    tblrecommended[[#This Row],[Order]],
    tblwikirecommended[Order],
    tblwikirecommended[Passive ID],
    ""
)</f>
        <v>building.station@1</v>
      </c>
      <c r="C81" s="75" t="str">
        <f>_xlfn.XLOOKUP(
    tblrecommended[[#This Row],[Order]],
    tblwikirecommended[Order],
    tblwikirecommended[Active ID],
    ""
)</f>
        <v>building.fermentory@4</v>
      </c>
      <c r="F81" s="72">
        <f t="shared" si="1"/>
        <v>79</v>
      </c>
      <c r="G81" t="s">
        <v>6361</v>
      </c>
      <c r="H81" s="72" t="str" cm="1">
        <f t="array" ref="H8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building.station@1</v>
      </c>
      <c r="I81" s="72" t="str" cm="1">
        <f t="array" ref="I8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building.fermentory@4</v>
      </c>
      <c r="J81" s="72" t="s">
        <v>6376</v>
      </c>
      <c r="K81" s="72" t="s">
        <v>6377</v>
      </c>
    </row>
    <row r="82" spans="1:11" ht="15.75" customHeight="1">
      <c r="A82" s="72">
        <v>80</v>
      </c>
      <c r="B82" s="75" t="str">
        <f>_xlfn.XLOOKUP(
    tblrecommended[[#This Row],[Order]],
    tblwikirecommended[Order],
    tblwikirecommended[Passive ID],
    ""
)</f>
        <v>building.train@1</v>
      </c>
      <c r="C82" s="75" t="str">
        <f>_xlfn.XLOOKUP(
    tblrecommended[[#This Row],[Order]],
    tblwikirecommended[Order],
    tblwikirecommended[Active ID],
    ""
)</f>
        <v>building.fermentory@5</v>
      </c>
      <c r="F82" s="72">
        <f t="shared" si="1"/>
        <v>80</v>
      </c>
      <c r="G82" t="s">
        <v>6363</v>
      </c>
      <c r="H82" s="72" t="str" cm="1">
        <f t="array" ref="H8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building.train@1</v>
      </c>
      <c r="I82" s="72" t="str" cm="1">
        <f t="array" ref="I8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building.fermentory@5</v>
      </c>
      <c r="J82" s="72" t="s">
        <v>6378</v>
      </c>
    </row>
    <row r="83" spans="1:11" ht="15.75" customHeight="1">
      <c r="A83" s="72">
        <v>81</v>
      </c>
      <c r="B83" s="75" t="str">
        <f>_xlfn.XLOOKUP(
    tblrecommended[[#This Row],[Order]],
    tblwikirecommended[Order],
    tblwikirecommended[Passive ID],
    ""
)</f>
        <v>building.train@2</v>
      </c>
      <c r="C83" s="75" t="str">
        <f>_xlfn.XLOOKUP(
    tblrecommended[[#This Row],[Order]],
    tblwikirecommended[Order],
    tblwikirecommended[Active ID],
    ""
)</f>
        <v>building.fermentory@6</v>
      </c>
      <c r="F83" s="72">
        <f t="shared" si="1"/>
        <v>81</v>
      </c>
      <c r="G83" t="s">
        <v>6364</v>
      </c>
      <c r="H83" s="72" t="str" cm="1">
        <f t="array" ref="H8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building.train@2</v>
      </c>
      <c r="I83" s="72" t="str" cm="1">
        <f t="array" ref="I8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building.fermentory@6</v>
      </c>
      <c r="J83" s="72" t="s">
        <v>6379</v>
      </c>
    </row>
    <row r="84" spans="1:11" ht="15.75" customHeight="1">
      <c r="A84" s="72">
        <v>82</v>
      </c>
      <c r="B84" s="75" t="str">
        <f>_xlfn.XLOOKUP(
    tblrecommended[[#This Row],[Order]],
    tblwikirecommended[Order],
    tblwikirecommended[Passive ID],
    ""
)</f>
        <v>building.fermentory@1</v>
      </c>
      <c r="C84" s="75" t="str">
        <f>_xlfn.XLOOKUP(
    tblrecommended[[#This Row],[Order]],
    tblwikirecommended[Order],
    tblwikirecommended[Active ID],
    ""
)</f>
        <v>CHECK</v>
      </c>
      <c r="F84" s="72">
        <f t="shared" si="1"/>
        <v>82</v>
      </c>
      <c r="G84" t="s">
        <v>6366</v>
      </c>
      <c r="H84" s="72" t="str" cm="1">
        <f t="array" ref="H8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building.fermentory@1</v>
      </c>
      <c r="I84" s="72" t="str" cm="1">
        <f t="array" ref="I8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CHECK</v>
      </c>
      <c r="J84" s="72" t="s">
        <v>6433</v>
      </c>
    </row>
    <row r="85" spans="1:11" ht="15.75" customHeight="1">
      <c r="A85" s="72">
        <v>83</v>
      </c>
      <c r="B85" s="75" t="str">
        <f>_xlfn.XLOOKUP(
    tblrecommended[[#This Row],[Order]],
    tblwikirecommended[Order],
    tblwikirecommended[Passive ID],
    ""
)</f>
        <v>building.fermentory@2</v>
      </c>
      <c r="C85" s="75" t="str">
        <f>_xlfn.XLOOKUP(
    tblrecommended[[#This Row],[Order]],
    tblwikirecommended[Order],
    tblwikirecommended[Active ID],
    ""
)</f>
        <v>building.rock_garden@1</v>
      </c>
      <c r="F85" s="72">
        <f t="shared" si="1"/>
        <v>83</v>
      </c>
      <c r="G85" t="s">
        <v>6367</v>
      </c>
      <c r="H85" s="72" t="str" cm="1">
        <f t="array" ref="H8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building.fermentory@2</v>
      </c>
      <c r="I85" s="72" t="str" cm="1">
        <f t="array" ref="I8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building.rock_garden@1</v>
      </c>
      <c r="J85" s="72" t="s">
        <v>6279</v>
      </c>
      <c r="K85" s="72" t="s">
        <v>6414</v>
      </c>
    </row>
    <row r="86" spans="1:11" ht="15.75" customHeight="1">
      <c r="A86" s="72">
        <v>84</v>
      </c>
      <c r="B86" s="75" t="str">
        <f>_xlfn.XLOOKUP(
    tblrecommended[[#This Row],[Order]],
    tblwikirecommended[Order],
    tblwikirecommended[Passive ID],
    ""
)</f>
        <v>building.fermentory@3</v>
      </c>
      <c r="C86" s="75" t="str">
        <f>_xlfn.XLOOKUP(
    tblrecommended[[#This Row],[Order]],
    tblwikirecommended[Order],
    tblwikirecommended[Active ID],
    ""
)</f>
        <v>building.rock_garden@2</v>
      </c>
      <c r="F86" s="72">
        <f t="shared" si="1"/>
        <v>84</v>
      </c>
      <c r="G86" t="s">
        <v>6368</v>
      </c>
      <c r="H86" s="72" t="str" cm="1">
        <f t="array" ref="H8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building.fermentory@3</v>
      </c>
      <c r="I86" s="72" t="str" cm="1">
        <f t="array" ref="I8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building.rock_garden@2</v>
      </c>
      <c r="J86" s="72" t="s">
        <v>6280</v>
      </c>
    </row>
    <row r="87" spans="1:11" ht="15.75" customHeight="1">
      <c r="A87" s="72">
        <v>85</v>
      </c>
      <c r="B87" s="75" t="str">
        <f>_xlfn.XLOOKUP(
    tblrecommended[[#This Row],[Order]],
    tblwikirecommended[Order],
    tblwikirecommended[Passive ID],
    ""
)</f>
        <v>building.laboratory@4</v>
      </c>
      <c r="C87" s="75" t="str">
        <f>_xlfn.XLOOKUP(
    tblrecommended[[#This Row],[Order]],
    tblwikirecommended[Order],
    tblwikirecommended[Active ID],
    ""
)</f>
        <v>building.rock_garden@3</v>
      </c>
      <c r="F87" s="72">
        <f t="shared" si="1"/>
        <v>85</v>
      </c>
      <c r="G87" t="s">
        <v>6369</v>
      </c>
      <c r="H87" s="72" t="str" cm="1">
        <f t="array" ref="H8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building.laboratory@4</v>
      </c>
      <c r="I87" s="72" t="str" cm="1">
        <f t="array" ref="I8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building.rock_garden@3</v>
      </c>
      <c r="J87" s="72" t="s">
        <v>6285</v>
      </c>
    </row>
    <row r="88" spans="1:11" ht="15.75" customHeight="1">
      <c r="A88" s="72">
        <v>86</v>
      </c>
      <c r="B88" s="75" t="str">
        <f>_xlfn.XLOOKUP(
    tblrecommended[[#This Row],[Order]],
    tblwikirecommended[Order],
    tblwikirecommended[Passive ID],
    ""
)</f>
        <v>building.laboratory@5</v>
      </c>
      <c r="C88" s="75" t="str">
        <f>_xlfn.XLOOKUP(
    tblrecommended[[#This Row],[Order]],
    tblwikirecommended[Order],
    tblwikirecommended[Active ID],
    ""
)</f>
        <v>building.garden@1</v>
      </c>
      <c r="F88" s="72">
        <f t="shared" si="1"/>
        <v>86</v>
      </c>
      <c r="G88" t="s">
        <v>6371</v>
      </c>
      <c r="H88" s="72" t="str" cm="1">
        <f t="array" ref="H8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building.laboratory@5</v>
      </c>
      <c r="I88" s="72" t="str" cm="1">
        <f t="array" ref="I8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building.garden@1</v>
      </c>
      <c r="J88" s="72" t="s">
        <v>6281</v>
      </c>
      <c r="K88" s="72" t="s">
        <v>6405</v>
      </c>
    </row>
    <row r="89" spans="1:11" ht="15.75" customHeight="1">
      <c r="A89" s="72">
        <v>87</v>
      </c>
      <c r="B89" s="75" t="str">
        <f>_xlfn.XLOOKUP(
    tblrecommended[[#This Row],[Order]],
    tblwikirecommended[Order],
    tblwikirecommended[Passive ID],
    ""
)</f>
        <v>building.dairy@1</v>
      </c>
      <c r="C89" s="75" t="str">
        <f>_xlfn.XLOOKUP(
    tblrecommended[[#This Row],[Order]],
    tblwikirecommended[Order],
    tblwikirecommended[Active ID],
    ""
)</f>
        <v>building.garden@2</v>
      </c>
      <c r="F89" s="72">
        <f t="shared" si="1"/>
        <v>87</v>
      </c>
      <c r="G89" t="s">
        <v>6372</v>
      </c>
      <c r="H89" s="72" t="str" cm="1">
        <f t="array" ref="H8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building.dairy@1</v>
      </c>
      <c r="I89" s="72" t="str" cm="1">
        <f t="array" ref="I8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building.garden@2</v>
      </c>
      <c r="J89" s="72" t="s">
        <v>6282</v>
      </c>
    </row>
    <row r="90" spans="1:11" ht="15.75" customHeight="1">
      <c r="A90" s="72">
        <v>88</v>
      </c>
      <c r="B90" s="75" t="str">
        <f>_xlfn.XLOOKUP(
    tblrecommended[[#This Row],[Order]],
    tblwikirecommended[Order],
    tblwikirecommended[Passive ID],
    ""
)</f>
        <v>building.dairy@2</v>
      </c>
      <c r="C90" s="75" t="str">
        <f>_xlfn.XLOOKUP(
    tblrecommended[[#This Row],[Order]],
    tblwikirecommended[Order],
    tblwikirecommended[Active ID],
    ""
)</f>
        <v>building.garden@3</v>
      </c>
      <c r="F90" s="72">
        <f t="shared" si="1"/>
        <v>88</v>
      </c>
      <c r="G90" t="s">
        <v>6374</v>
      </c>
      <c r="H90" s="72" t="str" cm="1">
        <f t="array" ref="H9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building.dairy@2</v>
      </c>
      <c r="I90" s="72" t="str" cm="1">
        <f t="array" ref="I9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building.garden@3</v>
      </c>
      <c r="J90" s="72" t="s">
        <v>6286</v>
      </c>
    </row>
    <row r="91" spans="1:11" ht="15.75" customHeight="1">
      <c r="A91" s="72">
        <v>89</v>
      </c>
      <c r="B91" s="75" t="str">
        <f>_xlfn.XLOOKUP(
    tblrecommended[[#This Row],[Order]],
    tblwikirecommended[Order],
    tblwikirecommended[Passive ID],
    ""
)</f>
        <v>building.fermentory@4</v>
      </c>
      <c r="C91" s="75" t="str">
        <f>_xlfn.XLOOKUP(
    tblrecommended[[#This Row],[Order]],
    tblwikirecommended[Order],
    tblwikirecommended[Active ID],
    ""
)</f>
        <v>building.bonsai@1</v>
      </c>
      <c r="F91" s="72">
        <f t="shared" si="1"/>
        <v>89</v>
      </c>
      <c r="G91" t="s">
        <v>6376</v>
      </c>
      <c r="H91" s="72" t="str" cm="1">
        <f t="array" ref="H9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building.fermentory@4</v>
      </c>
      <c r="I91" s="72" t="str" cm="1">
        <f t="array" ref="I9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building.bonsai@1</v>
      </c>
      <c r="J91" s="72" t="s">
        <v>6310</v>
      </c>
      <c r="K91" s="72" t="s">
        <v>6396</v>
      </c>
    </row>
    <row r="92" spans="1:11" ht="15.75" customHeight="1">
      <c r="A92" s="72">
        <v>90</v>
      </c>
      <c r="B92" s="75" t="str">
        <f>_xlfn.XLOOKUP(
    tblrecommended[[#This Row],[Order]],
    tblwikirecommended[Order],
    tblwikirecommended[Passive ID],
    ""
)</f>
        <v>building.fermentory@5</v>
      </c>
      <c r="C92" s="75" t="str">
        <f>_xlfn.XLOOKUP(
    tblrecommended[[#This Row],[Order]],
    tblwikirecommended[Order],
    tblwikirecommended[Active ID],
    ""
)</f>
        <v>building.bonsai@2</v>
      </c>
      <c r="F92" s="72">
        <f t="shared" si="1"/>
        <v>90</v>
      </c>
      <c r="G92" t="s">
        <v>6378</v>
      </c>
      <c r="H92" s="72" t="str" cm="1">
        <f t="array" ref="H9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building.fermentory@5</v>
      </c>
      <c r="I92" s="72" t="str" cm="1">
        <f t="array" ref="I9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building.bonsai@2</v>
      </c>
      <c r="J92" s="72" t="s">
        <v>6311</v>
      </c>
    </row>
    <row r="93" spans="1:11" ht="15.75" customHeight="1">
      <c r="A93" s="72">
        <v>91</v>
      </c>
      <c r="B93" s="75" t="str">
        <f>_xlfn.XLOOKUP(
    tblrecommended[[#This Row],[Order]],
    tblwikirecommended[Order],
    tblwikirecommended[Passive ID],
    ""
)</f>
        <v>building.fermentory@6</v>
      </c>
      <c r="C93" s="75" t="str">
        <f>_xlfn.XLOOKUP(
    tblrecommended[[#This Row],[Order]],
    tblwikirecommended[Order],
    tblwikirecommended[Active ID],
    ""
)</f>
        <v>building.onsen@1</v>
      </c>
      <c r="F93" s="72">
        <f t="shared" si="1"/>
        <v>91</v>
      </c>
      <c r="G93" t="s">
        <v>6379</v>
      </c>
      <c r="H93" s="72" t="str" cm="1">
        <f t="array" ref="H9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building.fermentory@6</v>
      </c>
      <c r="I93" s="72" t="str" cm="1">
        <f t="array" ref="I9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building.onsen@1</v>
      </c>
      <c r="J93" s="72" t="s">
        <v>6312</v>
      </c>
      <c r="K93" s="72" t="s">
        <v>6313</v>
      </c>
    </row>
    <row r="94" spans="1:11" ht="15.75" customHeight="1">
      <c r="A94" s="72">
        <v>92</v>
      </c>
      <c r="B94" s="75" t="str">
        <f>_xlfn.XLOOKUP(
    tblrecommended[[#This Row],[Order]],
    tblwikirecommended[Order],
    tblwikirecommended[Passive ID],
    ""
)</f>
        <v>CHECK</v>
      </c>
      <c r="C94" s="75" t="str">
        <f>_xlfn.XLOOKUP(
    tblrecommended[[#This Row],[Order]],
    tblwikirecommended[Order],
    tblwikirecommended[Active ID],
    ""
)</f>
        <v>building.onsen@2</v>
      </c>
      <c r="F94" s="72">
        <f t="shared" si="1"/>
        <v>92</v>
      </c>
      <c r="G94" t="s">
        <v>6434</v>
      </c>
      <c r="H94" s="72" t="str" cm="1">
        <f t="array" ref="H9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CHECK</v>
      </c>
      <c r="I94" s="72" t="str" cm="1">
        <f t="array" ref="I9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building.onsen@2</v>
      </c>
      <c r="J94" s="72" t="s">
        <v>6314</v>
      </c>
      <c r="K94" s="72" t="s">
        <v>6412</v>
      </c>
    </row>
    <row r="95" spans="1:11" ht="15.75" customHeight="1">
      <c r="A95" s="72">
        <v>93</v>
      </c>
      <c r="B95" s="75" t="str">
        <f>_xlfn.XLOOKUP(
    tblrecommended[[#This Row],[Order]],
    tblwikirecommended[Order],
    tblwikirecommended[Passive ID],
    ""
)</f>
        <v>building.warehouse@2</v>
      </c>
      <c r="C95" s="75" t="str">
        <f>_xlfn.XLOOKUP(
    tblrecommended[[#This Row],[Order]],
    tblwikirecommended[Order],
    tblwikirecommended[Active ID],
    ""
)</f>
        <v>CHECK</v>
      </c>
      <c r="F95" s="72">
        <f t="shared" si="1"/>
        <v>93</v>
      </c>
      <c r="G95" t="s">
        <v>6380</v>
      </c>
      <c r="H95" s="72" t="str" cm="1">
        <f t="array" ref="H9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building.warehouse@2</v>
      </c>
      <c r="I95" s="72" t="str" cm="1">
        <f t="array" ref="I9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CHECK</v>
      </c>
      <c r="J95" s="72" t="s">
        <v>6434</v>
      </c>
    </row>
    <row r="96" spans="1:11" ht="15.75" customHeight="1">
      <c r="A96" s="72">
        <v>94</v>
      </c>
      <c r="B96" s="75" t="str">
        <f>_xlfn.XLOOKUP(
    tblrecommended[[#This Row],[Order]],
    tblwikirecommended[Order],
    tblwikirecommended[Passive ID],
    ""
)</f>
        <v>building.warehouse@3</v>
      </c>
      <c r="C96" s="75" t="str">
        <f>_xlfn.XLOOKUP(
    tblrecommended[[#This Row],[Order]],
    tblwikirecommended[Order],
    tblwikirecommended[Active ID],
    ""
)</f>
        <v>building.warehouse@2</v>
      </c>
      <c r="F96" s="72">
        <f t="shared" si="1"/>
        <v>94</v>
      </c>
      <c r="G96" t="s">
        <v>6382</v>
      </c>
      <c r="H96" s="72" t="str" cm="1">
        <f t="array" ref="H9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building.warehouse@3</v>
      </c>
      <c r="I96" s="72" t="str" cm="1">
        <f t="array" ref="I9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building.warehouse@2</v>
      </c>
      <c r="J96" s="72" t="s">
        <v>6380</v>
      </c>
      <c r="K96" s="72" t="s">
        <v>6451</v>
      </c>
    </row>
    <row r="97" spans="1:11" ht="15.75" customHeight="1">
      <c r="A97" s="72">
        <v>95</v>
      </c>
      <c r="B97" s="75" t="str">
        <f>_xlfn.XLOOKUP(
    tblrecommended[[#This Row],[Order]],
    tblwikirecommended[Order],
    tblwikirecommended[Passive ID],
    ""
)</f>
        <v>building.warehouse@4</v>
      </c>
      <c r="C97" s="75" t="str">
        <f>_xlfn.XLOOKUP(
    tblrecommended[[#This Row],[Order]],
    tblwikirecommended[Order],
    tblwikirecommended[Active ID],
    ""
)</f>
        <v>building.warehouse@3</v>
      </c>
      <c r="F97" s="72">
        <f t="shared" si="1"/>
        <v>95</v>
      </c>
      <c r="G97" t="s">
        <v>6383</v>
      </c>
      <c r="H97" s="72" t="str" cm="1">
        <f t="array" ref="H9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building.warehouse@4</v>
      </c>
      <c r="I97" s="72" t="str" cm="1">
        <f t="array" ref="I9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building.warehouse@3</v>
      </c>
      <c r="J97" s="72" t="s">
        <v>6382</v>
      </c>
      <c r="K97" s="72" t="s">
        <v>6381</v>
      </c>
    </row>
    <row r="98" spans="1:11" ht="15.75" customHeight="1">
      <c r="A98" s="72">
        <v>96</v>
      </c>
      <c r="B98" s="75" t="str">
        <f>_xlfn.XLOOKUP(
    tblrecommended[[#This Row],[Order]],
    tblwikirecommended[Order],
    tblwikirecommended[Passive ID],
    ""
)</f>
        <v>building.warehouse@5</v>
      </c>
      <c r="C98" s="75" t="str">
        <f>_xlfn.XLOOKUP(
    tblrecommended[[#This Row],[Order]],
    tblwikirecommended[Order],
    tblwikirecommended[Active ID],
    ""
)</f>
        <v>building.warehouse@4</v>
      </c>
      <c r="F98" s="72">
        <f t="shared" si="1"/>
        <v>96</v>
      </c>
      <c r="G98" t="s">
        <v>6384</v>
      </c>
      <c r="H98" s="72" t="str" cm="1">
        <f t="array" ref="H9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building.warehouse@5</v>
      </c>
      <c r="I98" s="72" t="str" cm="1">
        <f t="array" ref="I9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building.warehouse@4</v>
      </c>
      <c r="J98" s="72" t="s">
        <v>6383</v>
      </c>
      <c r="K98" s="72" t="s">
        <v>6452</v>
      </c>
    </row>
    <row r="99" spans="1:11" ht="15.75" customHeight="1">
      <c r="A99" s="72">
        <v>97</v>
      </c>
      <c r="B99" s="75" t="str">
        <f>_xlfn.XLOOKUP(
    tblrecommended[[#This Row],[Order]],
    tblwikirecommended[Order],
    tblwikirecommended[Passive ID],
    ""
)</f>
        <v>building.warehouse@6</v>
      </c>
      <c r="C99" s="75" t="str">
        <f>_xlfn.XLOOKUP(
    tblrecommended[[#This Row],[Order]],
    tblwikirecommended[Order],
    tblwikirecommended[Active ID],
    ""
)</f>
        <v>building.warehouse@5</v>
      </c>
      <c r="F99" s="72">
        <f t="shared" si="1"/>
        <v>97</v>
      </c>
      <c r="G99" t="s">
        <v>6385</v>
      </c>
      <c r="H99" s="72" t="str" cm="1">
        <f t="array" ref="H9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building.warehouse@6</v>
      </c>
      <c r="I99" s="72" t="str" cm="1">
        <f t="array" ref="I9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building.warehouse@5</v>
      </c>
      <c r="J99" s="72" t="s">
        <v>6384</v>
      </c>
    </row>
    <row r="100" spans="1:11" ht="15.75" customHeight="1">
      <c r="A100" s="72">
        <v>98</v>
      </c>
      <c r="B100" s="75" t="str">
        <f>_xlfn.XLOOKUP(
    tblrecommended[[#This Row],[Order]],
    tblwikirecommended[Order],
    tblwikirecommended[Passive ID],
    ""
)</f>
        <v>building.warehouse@7</v>
      </c>
      <c r="C100" s="75" t="str">
        <f>_xlfn.XLOOKUP(
    tblrecommended[[#This Row],[Order]],
    tblwikirecommended[Order],
    tblwikirecommended[Active ID],
    ""
)</f>
        <v>building.warehouse@6</v>
      </c>
      <c r="F100" s="72">
        <f t="shared" si="1"/>
        <v>98</v>
      </c>
      <c r="G100" t="s">
        <v>6386</v>
      </c>
      <c r="H100" s="72" t="str" cm="1">
        <f t="array" ref="H10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building.warehouse@7</v>
      </c>
      <c r="I100" s="72" t="str" cm="1">
        <f t="array" ref="I10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building.warehouse@6</v>
      </c>
      <c r="J100" s="72" t="s">
        <v>6385</v>
      </c>
    </row>
    <row r="101" spans="1:11" ht="15.75" customHeight="1">
      <c r="A101" s="72">
        <v>99</v>
      </c>
      <c r="B101" s="75" t="str">
        <f>_xlfn.XLOOKUP(
    tblrecommended[[#This Row],[Order]],
    tblwikirecommended[Order],
    tblwikirecommended[Passive ID],
    ""
)</f>
        <v>building.shop@2</v>
      </c>
      <c r="C101" s="75" t="str">
        <f>_xlfn.XLOOKUP(
    tblrecommended[[#This Row],[Order]],
    tblwikirecommended[Order],
    tblwikirecommended[Active ID],
    ""
)</f>
        <v>building.warehouse@7</v>
      </c>
      <c r="F101" s="72">
        <f t="shared" si="1"/>
        <v>99</v>
      </c>
      <c r="G101" t="s">
        <v>6387</v>
      </c>
      <c r="H101" s="72" t="str" cm="1">
        <f t="array" ref="H10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building.shop@2</v>
      </c>
      <c r="I101" s="72" t="str" cm="1">
        <f t="array" ref="I10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building.warehouse@7</v>
      </c>
      <c r="J101" s="72" t="s">
        <v>6386</v>
      </c>
    </row>
    <row r="102" spans="1:11" ht="15.75" customHeight="1">
      <c r="A102" s="72">
        <v>100</v>
      </c>
      <c r="B102" s="75" t="str">
        <f>_xlfn.XLOOKUP(
    tblrecommended[[#This Row],[Order]],
    tblwikirecommended[Order],
    tblwikirecommended[Passive ID],
    ""
)</f>
        <v>building.shop@3</v>
      </c>
      <c r="C102" s="75" t="str">
        <f>_xlfn.XLOOKUP(
    tblrecommended[[#This Row],[Order]],
    tblwikirecommended[Order],
    tblwikirecommended[Active ID],
    ""
)</f>
        <v>building.shop@2</v>
      </c>
      <c r="F102" s="72">
        <f t="shared" si="1"/>
        <v>100</v>
      </c>
      <c r="G102" t="s">
        <v>6389</v>
      </c>
      <c r="H102" s="72" t="str" cm="1">
        <f t="array" ref="H10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building.shop@3</v>
      </c>
      <c r="I102" s="72" t="str" cm="1">
        <f t="array" ref="I10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building.shop@2</v>
      </c>
      <c r="J102" s="72" t="s">
        <v>6387</v>
      </c>
      <c r="K102" s="72" t="s">
        <v>6388</v>
      </c>
    </row>
    <row r="103" spans="1:11" ht="15.75" customHeight="1">
      <c r="A103" s="72">
        <v>101</v>
      </c>
      <c r="B103" s="75" t="str">
        <f>_xlfn.XLOOKUP(
    tblrecommended[[#This Row],[Order]],
    tblwikirecommended[Order],
    tblwikirecommended[Passive ID],
    ""
)</f>
        <v>building.gong@1</v>
      </c>
      <c r="C103" s="75" t="str">
        <f>_xlfn.XLOOKUP(
    tblrecommended[[#This Row],[Order]],
    tblwikirecommended[Order],
    tblwikirecommended[Active ID],
    ""
)</f>
        <v>building.shop@3</v>
      </c>
      <c r="F103" s="72">
        <f t="shared" si="1"/>
        <v>101</v>
      </c>
      <c r="G103" t="s">
        <v>6391</v>
      </c>
      <c r="H103" s="72" t="str" cm="1">
        <f t="array" ref="H10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building.gong@1</v>
      </c>
      <c r="I103" s="72" t="str" cm="1">
        <f t="array" ref="I10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building.shop@3</v>
      </c>
      <c r="J103" s="72" t="s">
        <v>6389</v>
      </c>
      <c r="K103" s="72" t="s">
        <v>6390</v>
      </c>
    </row>
    <row r="104" spans="1:11" ht="15.75" customHeight="1">
      <c r="A104" s="72">
        <v>102</v>
      </c>
      <c r="B104" s="75" t="str">
        <f>_xlfn.XLOOKUP(
    tblrecommended[[#This Row],[Order]],
    tblwikirecommended[Order],
    tblwikirecommended[Passive ID],
    ""
)</f>
        <v/>
      </c>
      <c r="C104" s="75" t="str">
        <f>_xlfn.XLOOKUP(
    tblrecommended[[#This Row],[Order]],
    tblwikirecommended[Order],
    tblwikirecommended[Active ID],
    ""
)</f>
        <v>building.gong@1</v>
      </c>
      <c r="F104" s="72">
        <f t="shared" si="1"/>
        <v>102</v>
      </c>
      <c r="G104"/>
      <c r="H104" s="72" t="str" cm="1">
        <f t="array" ref="H10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
      </c>
      <c r="I104" s="72" t="str" cm="1">
        <f t="array" ref="I10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building.gong@1</v>
      </c>
      <c r="J104" s="72" t="s">
        <v>6391</v>
      </c>
      <c r="K104" s="72" t="s">
        <v>6392</v>
      </c>
    </row>
    <row r="105" spans="1:11" ht="15.75" customHeight="1">
      <c r="B105" s="75"/>
      <c r="C105" s="75"/>
      <c r="G105"/>
    </row>
    <row r="106" spans="1:11" ht="15.75" customHeight="1">
      <c r="G106"/>
    </row>
    <row r="107" spans="1:11" ht="15.75" customHeight="1">
      <c r="G107"/>
    </row>
    <row r="108" spans="1:11" ht="15.75" customHeight="1">
      <c r="G108"/>
    </row>
    <row r="109" spans="1:11" ht="15.75" customHeight="1">
      <c r="G109"/>
    </row>
    <row r="110" spans="1:11" ht="15.75" customHeight="1">
      <c r="G110"/>
    </row>
    <row r="111" spans="1:11" ht="15.75" customHeight="1"/>
    <row r="112" spans="1:1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4" type="noConversion"/>
  <conditionalFormatting sqref="B1:C1048576">
    <cfRule type="expression" dxfId="6" priority="1">
      <formula>COUNTIFS( INDIRECT("tblTargetStatus[TargetID]"),B1, INDIRECT("tblTargetStatus[Status]"),"COMPLETED" )&gt;0</formula>
    </cfRule>
  </conditionalFormatting>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DF882-C9BD-415D-B386-668FC80F1A0C}">
  <sheetPr>
    <tabColor theme="0"/>
  </sheetPr>
  <dimension ref="A1:AC45"/>
  <sheetViews>
    <sheetView workbookViewId="0">
      <selection activeCell="H3" sqref="H3"/>
    </sheetView>
  </sheetViews>
  <sheetFormatPr defaultRowHeight="14.5"/>
  <cols>
    <col min="1" max="1" width="37.26953125" style="2" customWidth="1"/>
    <col min="2" max="2" width="37.26953125" hidden="1" customWidth="1"/>
    <col min="3" max="3" width="9.54296875" style="79" bestFit="1" customWidth="1"/>
    <col min="4" max="4" width="33.26953125" style="59" customWidth="1"/>
    <col min="5" max="5" width="10.453125" style="57" customWidth="1"/>
    <col min="6" max="6" width="34.26953125" style="59" customWidth="1"/>
    <col min="7" max="7" width="19.26953125" style="57" customWidth="1"/>
    <col min="8" max="8" width="38.1796875" style="2" customWidth="1"/>
    <col min="9" max="9" width="21" style="2" customWidth="1"/>
    <col min="10" max="10" width="17.90625" style="2" customWidth="1"/>
    <col min="11" max="11" width="8.7265625" customWidth="1"/>
    <col min="12" max="12" width="15.36328125" customWidth="1"/>
    <col min="13" max="13" width="1.90625" customWidth="1"/>
    <col min="14" max="14" width="25.1796875" customWidth="1"/>
    <col min="15" max="15" width="21.90625" customWidth="1"/>
    <col min="16" max="16" width="11" customWidth="1"/>
    <col min="17" max="17" width="22.1796875" customWidth="1"/>
    <col min="18" max="18" width="15.1796875" customWidth="1"/>
    <col min="19" max="19" width="1.90625" customWidth="1"/>
    <col min="20" max="20" width="42.08984375" customWidth="1"/>
    <col min="21" max="21" width="8.7265625" customWidth="1"/>
    <col min="22" max="22" width="1.90625" customWidth="1"/>
    <col min="23" max="23" width="22.1796875" customWidth="1"/>
    <col min="24" max="24" width="17.453125" customWidth="1"/>
    <col min="25" max="25" width="11" customWidth="1"/>
  </cols>
  <sheetData>
    <row r="1" spans="1:29">
      <c r="A1" s="2" t="s">
        <v>6469</v>
      </c>
      <c r="B1" s="46" t="s">
        <v>5500</v>
      </c>
      <c r="C1" s="84" t="s">
        <v>5501</v>
      </c>
      <c r="D1" s="85" t="s">
        <v>2700</v>
      </c>
      <c r="E1" s="86" t="s">
        <v>2091</v>
      </c>
      <c r="F1" s="85" t="s">
        <v>5502</v>
      </c>
      <c r="G1" s="87" t="s">
        <v>5503</v>
      </c>
      <c r="H1" s="52" t="s">
        <v>5504</v>
      </c>
      <c r="I1" s="52" t="s">
        <v>5505</v>
      </c>
      <c r="J1" s="52" t="s">
        <v>5506</v>
      </c>
    </row>
    <row r="2" spans="1:29" ht="38.15" customHeight="1">
      <c r="A2" s="103" t="s">
        <v>13</v>
      </c>
      <c r="B2" t="str">
        <f t="shared" ref="B2:B13" si="0">$A$2</f>
        <v>building.airship@1</v>
      </c>
      <c r="C2" s="79" cm="1">
        <f t="array" ref="C2:D4">_xlfn.ANCHORARRAY(V4)</f>
        <v>0</v>
      </c>
      <c r="D2" s="59" t="str">
        <v>building.bridge@1</v>
      </c>
      <c r="E2" s="57" t="str">
        <f>_xlfn.XLOOKUP(D2,tblTargetStatus[TargetID],tblTargetStatus[TargetType],"")</f>
        <v>BUILDING</v>
      </c>
      <c r="F2" s="59" t="str">
        <f>IF(_xlfn.XLOOKUP(D2,tblTargetStatus[TargetID],tblTargetStatus[DisplayName],D2)=0,"",(_xlfn.XLOOKUP(D2,tblTargetStatus[TargetID],tblTargetStatus[DisplayName],D2)))</f>
        <v>Bridge Lv 1</v>
      </c>
      <c r="G2" s="57" t="str">
        <f>_xlfn.XLOOKUP(D2,tblTargetStatus[TargetID],tblTargetStatus[Status],"")</f>
        <v>BLOCKED</v>
      </c>
      <c r="H2" s="2" t="str" cm="1">
        <f t="array" ref="H2:J11">IF(_xlfn.ANCHORARRAY(AA4)="","None",_xlfn.ANCHORARRAY(AA4))</f>
        <v>building.airship@2</v>
      </c>
      <c r="I2" s="2" t="str">
        <v>Airship Lv 2</v>
      </c>
      <c r="J2" s="2" t="str">
        <v>BLOCKED</v>
      </c>
    </row>
    <row r="3" spans="1:29">
      <c r="A3" s="2" t="str">
        <f>_xlfn.XLOOKUP(A2,tblTargetStatus[TargetID],tblTargetStatus[Status],"")</f>
        <v>BLOCKED</v>
      </c>
      <c r="B3" t="str">
        <f t="shared" si="0"/>
        <v>building.airship@1</v>
      </c>
      <c r="C3" s="79">
        <v>0</v>
      </c>
      <c r="D3" s="59" t="str">
        <v>state.character_level@40</v>
      </c>
      <c r="E3" s="57" t="str">
        <f>_xlfn.XLOOKUP(D3,tblTargetStatus[TargetID],tblTargetStatus[TargetType],"")</f>
        <v>STATE</v>
      </c>
      <c r="F3" s="59" t="str">
        <f>IF(_xlfn.XLOOKUP(D3,tblTargetStatus[TargetID],tblTargetStatus[DisplayName],D3)=0,"",(_xlfn.XLOOKUP(D3,tblTargetStatus[TargetID],tblTargetStatus[DisplayName],D3)))</f>
        <v>Character Level@40</v>
      </c>
      <c r="G3" s="57" t="str">
        <f>_xlfn.XLOOKUP(D3,tblTargetStatus[TargetID],tblTargetStatus[Status],"")</f>
        <v>READY</v>
      </c>
      <c r="H3" s="2" t="str">
        <v>craftifact.astrolabe</v>
      </c>
      <c r="I3" s="2" t="str">
        <v>Astrolabe</v>
      </c>
      <c r="J3" s="2" t="str">
        <v>BLOCKED</v>
      </c>
    </row>
    <row r="4" spans="1:29">
      <c r="B4" t="str">
        <f t="shared" si="0"/>
        <v>building.airship@1</v>
      </c>
      <c r="C4" s="79">
        <v>1</v>
      </c>
      <c r="D4" s="59" t="str">
        <v>state.character_level@30</v>
      </c>
      <c r="E4" s="57" t="str">
        <f>_xlfn.XLOOKUP(D4,tblTargetStatus[TargetID],tblTargetStatus[TargetType],"")</f>
        <v>STATE</v>
      </c>
      <c r="F4" s="59" t="str">
        <f>IF(_xlfn.XLOOKUP(D4,tblTargetStatus[TargetID],tblTargetStatus[DisplayName],D4)=0,"",(_xlfn.XLOOKUP(D4,tblTargetStatus[TargetID],tblTargetStatus[DisplayName],D4)))</f>
        <v>Character Level@30</v>
      </c>
      <c r="G4" s="57" t="str">
        <f>_xlfn.XLOOKUP(D4,tblTargetStatus[TargetID],tblTargetStatus[Status],"")</f>
        <v>READY</v>
      </c>
      <c r="H4" s="2" t="str">
        <v>craftifact.cinema_projector</v>
      </c>
      <c r="I4" s="2" t="str">
        <v>Cinema Projector</v>
      </c>
      <c r="J4" s="2" t="str">
        <v>BLOCKED</v>
      </c>
      <c r="M4" cm="1">
        <f t="array" ref="M4:N5">_xlfn.LET(
_xlpm.vals,_xlfn._xlws.FILTER(INDEX(AllDependencies,,2),INDEX(AllDependencies,,1)=$A$2,""),
_xlfn.HSTACK(_xlfn.SEQUENCE(ROWS(_xlpm.vals),,0,0),_xlpm.vals)
)</f>
        <v>0</v>
      </c>
      <c r="N4" t="str">
        <v>building.bridge@1</v>
      </c>
      <c r="P4" cm="1">
        <f t="array" ref="P4:Q4">_xlfn.LET(
_xlpm.deps,INDEX(_xlfn.ANCHORARRAY(M4),,2),
_xlpm.vals,_xlfn._xlws.FILTER(
INDEX(AllDependencies,,2),
ISNUMBER(_xlfn.XMATCH(INDEX(AllDependencies,,1),_xlpm.deps)),
""
),
_xlfn.HSTACK(_xlfn.SEQUENCE(ROWS(_xlpm.vals),,1,0),_xlpm.vals)
)</f>
        <v>1</v>
      </c>
      <c r="Q4" t="str">
        <v>state.character_level@30</v>
      </c>
      <c r="S4" cm="1">
        <f t="array" ref="S4:T4">_xlfn.LET(
_xlpm.deps,INDEX(_xlfn.ANCHORARRAY(P4),,2),
_xlpm.vals,_xlfn._xlws.FILTER(
INDEX(AllDependencies,,2),
ISNUMBER(_xlfn.XMATCH(INDEX(AllDependencies,,1),_xlpm.deps)),
""
),
_xlfn.HSTACK(_xlfn.SEQUENCE(ROWS(_xlpm.vals),,2,0),_xlpm.vals)
)</f>
        <v>2</v>
      </c>
      <c r="T4" t="str">
        <v/>
      </c>
      <c r="V4" cm="1">
        <f t="array" ref="V4:W6">_xlfn.LET(
_xlpm.x,_xlfn.VSTACK(_xlfn.ANCHORARRAY(M4),_xlfn.ANCHORARRAY(P4),_xlfn.ANCHORARRAY(S4)),
_xlpm.y,_xlfn._xlws.FILTER(_xlpm.x,INDEX(_xlpm.x,,2)&lt;&gt;""),
_xlfn._xlws.FILTER(_xlpm.y,_xlfn.XMATCH(INDEX(_xlpm.y,,2),INDEX(_xlpm.y,,2))=_xlfn.SEQUENCE(ROWS(_xlpm.y)))
)</f>
        <v>0</v>
      </c>
      <c r="W4" t="str">
        <v>building.bridge@1</v>
      </c>
      <c r="X4" t="str" cm="1">
        <f t="array" ref="X4:X6">_xlfn.XLOOKUP(INDEX(_xlfn.ANCHORARRAY(V4),,2),tblTargetStatus[TargetID],tblTargetStatus[DisplayName],INDEX(_xlfn.ANCHORARRAY(V4),,2))</f>
        <v>Bridge Lv 1</v>
      </c>
      <c r="Y4" t="str" cm="1">
        <f t="array" ref="Y4:Y6">_xlfn.XLOOKUP(INDEX(_xlfn.ANCHORARRAY(V4),,2),tblTargetStatus[TargetID],tblTargetStatus[Status],"STATE / UNKNOWN")</f>
        <v>BLOCKED</v>
      </c>
      <c r="AA4" t="str" cm="1">
        <f t="array" ref="AA4:AC13">_xlfn.LET(
_xlpm.vals,
_xlfn.UNIQUE(
_xlfn._xlws.FILTER(
INDEX(AllDependencies,,1),
INDEX(AllDependencies,,2)=$A$2,
""
)
),
_xlfn.HSTACK(
_xlpm.vals,
_xlfn.XLOOKUP(_xlpm.vals,tblTargetStatus[TargetID],tblTargetStatus[DisplayName],_xlpm.vals),
_xlfn.XLOOKUP(_xlpm.vals,tblTargetStatus[TargetID],tblTargetStatus[Status],"")
)
)</f>
        <v>building.airship@2</v>
      </c>
      <c r="AB4" t="str">
        <v>Airship Lv 2</v>
      </c>
      <c r="AC4" t="str">
        <v>BLOCKED</v>
      </c>
    </row>
    <row r="5" spans="1:29">
      <c r="B5" t="str">
        <f t="shared" si="0"/>
        <v>building.airship@1</v>
      </c>
      <c r="E5" s="57" t="str">
        <f>_xlfn.XLOOKUP(D5,tblTargetStatus[TargetID],tblTargetStatus[TargetType],"")</f>
        <v/>
      </c>
      <c r="F5" s="59" t="str">
        <f>IF(_xlfn.XLOOKUP(D5,tblTargetStatus[TargetID],tblTargetStatus[DisplayName],D5)=0,"",(_xlfn.XLOOKUP(D5,tblTargetStatus[TargetID],tblTargetStatus[DisplayName],D5)))</f>
        <v/>
      </c>
      <c r="G5" s="57" t="str">
        <f>_xlfn.XLOOKUP(D5,tblTargetStatus[TargetID],tblTargetStatus[Status],"")</f>
        <v/>
      </c>
      <c r="H5" s="2" t="str">
        <v>craftifact.dagger</v>
      </c>
      <c r="I5" s="2" t="str">
        <v>Dagger</v>
      </c>
      <c r="J5" s="2" t="str">
        <v>BLOCKED</v>
      </c>
      <c r="M5">
        <v>0</v>
      </c>
      <c r="N5" t="str">
        <v>state.character_level@40</v>
      </c>
      <c r="V5">
        <v>0</v>
      </c>
      <c r="W5" t="str">
        <v>state.character_level@40</v>
      </c>
      <c r="X5" t="str">
        <v>Character Level@40</v>
      </c>
      <c r="Y5" t="str">
        <v>READY</v>
      </c>
      <c r="AA5" t="str">
        <v>craftifact.astrolabe</v>
      </c>
      <c r="AB5" t="str">
        <v>Astrolabe</v>
      </c>
      <c r="AC5" t="str">
        <v>BLOCKED</v>
      </c>
    </row>
    <row r="6" spans="1:29">
      <c r="B6" t="str">
        <f t="shared" si="0"/>
        <v>building.airship@1</v>
      </c>
      <c r="E6" s="57" t="str">
        <f>_xlfn.XLOOKUP(D6,tblTargetStatus[TargetID],tblTargetStatus[TargetType],"")</f>
        <v/>
      </c>
      <c r="F6" s="59" t="str">
        <f>IF(_xlfn.XLOOKUP(D6,tblTargetStatus[TargetID],tblTargetStatus[DisplayName],D6)=0,"",(_xlfn.XLOOKUP(D6,tblTargetStatus[TargetID],tblTargetStatus[DisplayName],D6)))</f>
        <v/>
      </c>
      <c r="G6" s="57" t="str">
        <f>_xlfn.XLOOKUP(D6,tblTargetStatus[TargetID],tblTargetStatus[Status],"")</f>
        <v/>
      </c>
      <c r="H6" s="2" t="str">
        <v>craftifact.helmet</v>
      </c>
      <c r="I6" s="2" t="str">
        <v>Helmet</v>
      </c>
      <c r="J6" s="2" t="str">
        <v>BLOCKED</v>
      </c>
      <c r="V6">
        <v>1</v>
      </c>
      <c r="W6" t="str">
        <v>state.character_level@30</v>
      </c>
      <c r="X6" t="str">
        <v>Character Level@30</v>
      </c>
      <c r="Y6" t="str">
        <v>READY</v>
      </c>
      <c r="AA6" t="str">
        <v>craftifact.cinema_projector</v>
      </c>
      <c r="AB6" t="str">
        <v>Cinema Projector</v>
      </c>
      <c r="AC6" t="str">
        <v>BLOCKED</v>
      </c>
    </row>
    <row r="7" spans="1:29">
      <c r="B7" t="str">
        <f t="shared" si="0"/>
        <v>building.airship@1</v>
      </c>
      <c r="E7" s="57" t="str">
        <f>_xlfn.XLOOKUP(D7,tblTargetStatus[TargetID],tblTargetStatus[TargetType],"")</f>
        <v/>
      </c>
      <c r="F7" s="59" t="str">
        <f>IF(_xlfn.XLOOKUP(D7,tblTargetStatus[TargetID],tblTargetStatus[DisplayName],D7)=0,"",(_xlfn.XLOOKUP(D7,tblTargetStatus[TargetID],tblTargetStatus[DisplayName],D7)))</f>
        <v/>
      </c>
      <c r="G7" s="57" t="str">
        <f>_xlfn.XLOOKUP(D7,tblTargetStatus[TargetID],tblTargetStatus[Status],"")</f>
        <v/>
      </c>
      <c r="H7" s="2" t="str">
        <v>craftifact.safe</v>
      </c>
      <c r="I7" s="2" t="str">
        <v>Safe</v>
      </c>
      <c r="J7" s="2" t="str">
        <v>BLOCKED</v>
      </c>
      <c r="AA7" t="str">
        <v>craftifact.dagger</v>
      </c>
      <c r="AB7" t="str">
        <v>Dagger</v>
      </c>
      <c r="AC7" t="str">
        <v>BLOCKED</v>
      </c>
    </row>
    <row r="8" spans="1:29">
      <c r="B8" t="str">
        <f t="shared" si="0"/>
        <v>building.airship@1</v>
      </c>
      <c r="E8" s="57" t="str">
        <f>_xlfn.XLOOKUP(D8,tblTargetStatus[TargetID],tblTargetStatus[TargetType],"")</f>
        <v/>
      </c>
      <c r="F8" s="59" t="str">
        <f>IF(_xlfn.XLOOKUP(D8,tblTargetStatus[TargetID],tblTargetStatus[DisplayName],D8)=0,"",(_xlfn.XLOOKUP(D8,tblTargetStatus[TargetID],tblTargetStatus[DisplayName],D8)))</f>
        <v/>
      </c>
      <c r="G8" s="57" t="str">
        <f>_xlfn.XLOOKUP(D8,tblTargetStatus[TargetID],tblTargetStatus[Status],"")</f>
        <v/>
      </c>
      <c r="H8" s="2" t="str">
        <v>craftifact.telescope</v>
      </c>
      <c r="I8" s="2" t="str">
        <v>Telescope</v>
      </c>
      <c r="J8" s="2" t="str">
        <v>BLOCKED</v>
      </c>
      <c r="AA8" t="str">
        <v>craftifact.helmet</v>
      </c>
      <c r="AB8" t="str">
        <v>Helmet</v>
      </c>
      <c r="AC8" t="str">
        <v>BLOCKED</v>
      </c>
    </row>
    <row r="9" spans="1:29">
      <c r="B9" t="str">
        <f t="shared" si="0"/>
        <v>building.airship@1</v>
      </c>
      <c r="E9" s="57" t="str">
        <f>_xlfn.XLOOKUP(D9,tblTargetStatus[TargetID],tblTargetStatus[TargetType],"")</f>
        <v/>
      </c>
      <c r="F9" s="59" t="str">
        <f>IF(_xlfn.XLOOKUP(D9,tblTargetStatus[TargetID],tblTargetStatus[DisplayName],D9)=0,"",(_xlfn.XLOOKUP(D9,tblTargetStatus[TargetID],tblTargetStatus[DisplayName],D9)))</f>
        <v/>
      </c>
      <c r="G9" s="57" t="str">
        <f>_xlfn.XLOOKUP(D9,tblTargetStatus[TargetID],tblTargetStatus[Status],"")</f>
        <v/>
      </c>
      <c r="H9" s="2" t="str">
        <v>craftifact.tetrachloroaurate</v>
      </c>
      <c r="I9" s="2" t="str">
        <v>Tetrachloroaurate</v>
      </c>
      <c r="J9" s="2" t="str">
        <v>BLOCKED</v>
      </c>
      <c r="AA9" t="str">
        <v>craftifact.safe</v>
      </c>
      <c r="AB9" t="str">
        <v>Safe</v>
      </c>
      <c r="AC9" t="str">
        <v>BLOCKED</v>
      </c>
    </row>
    <row r="10" spans="1:29" ht="29">
      <c r="B10" t="str">
        <f t="shared" si="0"/>
        <v>building.airship@1</v>
      </c>
      <c r="E10" s="57" t="str">
        <f>_xlfn.XLOOKUP(D10,tblTargetStatus[TargetID],tblTargetStatus[TargetType],"")</f>
        <v/>
      </c>
      <c r="F10" s="59" t="str">
        <f>IF(_xlfn.XLOOKUP(D10,tblTargetStatus[TargetID],tblTargetStatus[DisplayName],D10)=0,"",(_xlfn.XLOOKUP(D10,tblTargetStatus[TargetID],tblTargetStatus[DisplayName],D10)))</f>
        <v/>
      </c>
      <c r="G10" s="57" t="str">
        <f>_xlfn.XLOOKUP(D10,tblTargetStatus[TargetID],tblTargetStatus[Status],"")</f>
        <v/>
      </c>
      <c r="H10" s="2" t="str">
        <v>quest.festival_returns.accepted</v>
      </c>
      <c r="I10" s="2" t="str">
        <v>Festival Returns Accepted</v>
      </c>
      <c r="J10" s="2" t="str">
        <v>BLOCKED</v>
      </c>
      <c r="AA10" t="str">
        <v>craftifact.telescope</v>
      </c>
      <c r="AB10" t="str">
        <v>Telescope</v>
      </c>
      <c r="AC10" t="str">
        <v>BLOCKED</v>
      </c>
    </row>
    <row r="11" spans="1:29" ht="29">
      <c r="B11" t="str">
        <f t="shared" si="0"/>
        <v>building.airship@1</v>
      </c>
      <c r="E11" s="57" t="str">
        <f>_xlfn.XLOOKUP(D11,tblTargetStatus[TargetID],tblTargetStatus[TargetType],"")</f>
        <v/>
      </c>
      <c r="F11" s="59" t="str">
        <f>IF(_xlfn.XLOOKUP(D11,tblTargetStatus[TargetID],tblTargetStatus[DisplayName],D11)=0,"",(_xlfn.XLOOKUP(D11,tblTargetStatus[TargetID],tblTargetStatus[DisplayName],D11)))</f>
        <v/>
      </c>
      <c r="G11" s="57" t="str">
        <f>_xlfn.XLOOKUP(D11,tblTargetStatus[TargetID],tblTargetStatus[Status],"")</f>
        <v/>
      </c>
      <c r="H11" s="2" t="str">
        <v>quest.quest_for_knowledge_chapter_5.accepted</v>
      </c>
      <c r="I11" s="2" t="str">
        <v>Quest for Knowledge Chapter 5 Accepted</v>
      </c>
      <c r="J11" s="2" t="str">
        <v>BLOCKED</v>
      </c>
      <c r="AA11" t="str">
        <v>craftifact.tetrachloroaurate</v>
      </c>
      <c r="AB11" t="str">
        <v>Tetrachloroaurate</v>
      </c>
      <c r="AC11" t="str">
        <v>BLOCKED</v>
      </c>
    </row>
    <row r="12" spans="1:29">
      <c r="B12" t="str">
        <f t="shared" si="0"/>
        <v>building.airship@1</v>
      </c>
      <c r="E12" s="57" t="str">
        <f>_xlfn.XLOOKUP(D12,tblTargetStatus[TargetID],tblTargetStatus[TargetType],"")</f>
        <v/>
      </c>
      <c r="F12" s="59" t="str">
        <f>IF(_xlfn.XLOOKUP(D12,tblTargetStatus[TargetID],tblTargetStatus[DisplayName],D12)=0,"",(_xlfn.XLOOKUP(D12,tblTargetStatus[TargetID],tblTargetStatus[DisplayName],D12)))</f>
        <v/>
      </c>
      <c r="G12" s="57" t="str">
        <f>_xlfn.XLOOKUP(D12,tblTargetStatus[TargetID],tblTargetStatus[Status],"")</f>
        <v/>
      </c>
      <c r="AA12" t="str">
        <v>quest.festival_returns.accepted</v>
      </c>
      <c r="AB12" t="str">
        <v>Festival Returns Accepted</v>
      </c>
      <c r="AC12" t="str">
        <v>BLOCKED</v>
      </c>
    </row>
    <row r="13" spans="1:29">
      <c r="B13" t="str">
        <f t="shared" si="0"/>
        <v>building.airship@1</v>
      </c>
      <c r="E13" s="57" t="str">
        <f>_xlfn.XLOOKUP(D13,tblTargetStatus[TargetID],tblTargetStatus[TargetType],"")</f>
        <v/>
      </c>
      <c r="F13" s="59" t="str">
        <f>IF(_xlfn.XLOOKUP(D13,tblTargetStatus[TargetID],tblTargetStatus[DisplayName],D13)=0,"",(_xlfn.XLOOKUP(D13,tblTargetStatus[TargetID],tblTargetStatus[DisplayName],D13)))</f>
        <v/>
      </c>
      <c r="G13" s="57" t="str">
        <f>_xlfn.XLOOKUP(D13,tblTargetStatus[TargetID],tblTargetStatus[Status],"")</f>
        <v/>
      </c>
      <c r="AA13" t="str">
        <v>quest.quest_for_knowledge_chapter_5.accepted</v>
      </c>
      <c r="AB13" t="str">
        <v>Quest for Knowledge Chapter 5 Accepted</v>
      </c>
      <c r="AC13" t="str">
        <v>BLOCKED</v>
      </c>
    </row>
    <row r="14" spans="1:29">
      <c r="E14" s="57" t="str">
        <f>_xlfn.XLOOKUP(D14,tblTargetStatus[TargetID],tblTargetStatus[TargetType],"")</f>
        <v/>
      </c>
      <c r="F14" s="59" t="str">
        <f>IF(_xlfn.XLOOKUP(D14,tblTargetStatus[TargetID],tblTargetStatus[DisplayName],D14)=0,"",(_xlfn.XLOOKUP(D14,tblTargetStatus[TargetID],tblTargetStatus[DisplayName],D14)))</f>
        <v/>
      </c>
      <c r="G14" s="57" t="str">
        <f>_xlfn.XLOOKUP(D14,tblTargetStatus[TargetID],tblTargetStatus[Status],"")</f>
        <v/>
      </c>
    </row>
    <row r="15" spans="1:29">
      <c r="E15" s="57" t="str">
        <f>_xlfn.XLOOKUP(D15,tblTargetStatus[TargetID],tblTargetStatus[TargetType],"")</f>
        <v/>
      </c>
      <c r="F15" s="59" t="str">
        <f>IF(_xlfn.XLOOKUP(D15,tblTargetStatus[TargetID],tblTargetStatus[DisplayName],D15)=0,"",(_xlfn.XLOOKUP(D15,tblTargetStatus[TargetID],tblTargetStatus[DisplayName],D15)))</f>
        <v/>
      </c>
      <c r="G15" s="57" t="str">
        <f>_xlfn.XLOOKUP(D15,tblTargetStatus[TargetID],tblTargetStatus[Status],"")</f>
        <v/>
      </c>
    </row>
    <row r="16" spans="1:29">
      <c r="E16" s="57" t="str">
        <f>_xlfn.XLOOKUP(D16,tblTargetStatus[TargetID],tblTargetStatus[TargetType],"")</f>
        <v/>
      </c>
      <c r="F16" s="59" t="str">
        <f>IF(_xlfn.XLOOKUP(D16,tblTargetStatus[TargetID],tblTargetStatus[DisplayName],D16)=0,"",(_xlfn.XLOOKUP(D16,tblTargetStatus[TargetID],tblTargetStatus[DisplayName],D16)))</f>
        <v/>
      </c>
      <c r="G16" s="57" t="str">
        <f>_xlfn.XLOOKUP(D16,tblTargetStatus[TargetID],tblTargetStatus[Status],"")</f>
        <v/>
      </c>
    </row>
    <row r="17" spans="5:7">
      <c r="E17" s="57" t="str">
        <f>_xlfn.XLOOKUP(D17,tblTargetStatus[TargetID],tblTargetStatus[TargetType],"")</f>
        <v/>
      </c>
      <c r="F17" s="59" t="str">
        <f>IF(_xlfn.XLOOKUP(D17,tblTargetStatus[TargetID],tblTargetStatus[DisplayName],D17)=0,"",(_xlfn.XLOOKUP(D17,tblTargetStatus[TargetID],tblTargetStatus[DisplayName],D17)))</f>
        <v/>
      </c>
      <c r="G17" s="57" t="str">
        <f>_xlfn.XLOOKUP(D17,tblTargetStatus[TargetID],tblTargetStatus[Status],"")</f>
        <v/>
      </c>
    </row>
    <row r="18" spans="5:7">
      <c r="E18" s="57" t="str">
        <f>_xlfn.XLOOKUP(D18,tblTargetStatus[TargetID],tblTargetStatus[TargetType],"")</f>
        <v/>
      </c>
      <c r="F18" s="59" t="str">
        <f>IF(_xlfn.XLOOKUP(D18,tblTargetStatus[TargetID],tblTargetStatus[DisplayName],D18)=0,"",(_xlfn.XLOOKUP(D18,tblTargetStatus[TargetID],tblTargetStatus[DisplayName],D18)))</f>
        <v/>
      </c>
      <c r="G18" s="57" t="str">
        <f>_xlfn.XLOOKUP(D18,tblTargetStatus[TargetID],tblTargetStatus[Status],"")</f>
        <v/>
      </c>
    </row>
    <row r="19" spans="5:7">
      <c r="E19" s="57" t="str">
        <f>_xlfn.XLOOKUP(D19,tblTargetStatus[TargetID],tblTargetStatus[TargetType],"")</f>
        <v/>
      </c>
      <c r="F19" s="59" t="str">
        <f>IF(_xlfn.XLOOKUP(D19,tblTargetStatus[TargetID],tblTargetStatus[DisplayName],D19)=0,"",(_xlfn.XLOOKUP(D19,tblTargetStatus[TargetID],tblTargetStatus[DisplayName],D19)))</f>
        <v/>
      </c>
      <c r="G19" s="57" t="str">
        <f>_xlfn.XLOOKUP(D19,tblTargetStatus[TargetID],tblTargetStatus[Status],"")</f>
        <v/>
      </c>
    </row>
    <row r="20" spans="5:7">
      <c r="E20" s="57" t="str">
        <f>_xlfn.XLOOKUP(D20,tblTargetStatus[TargetID],tblTargetStatus[TargetType],"")</f>
        <v/>
      </c>
      <c r="F20" s="59" t="str">
        <f>IF(_xlfn.XLOOKUP(D20,tblTargetStatus[TargetID],tblTargetStatus[DisplayName],D20)=0,"",(_xlfn.XLOOKUP(D20,tblTargetStatus[TargetID],tblTargetStatus[DisplayName],D20)))</f>
        <v/>
      </c>
      <c r="G20" s="57" t="str">
        <f>_xlfn.XLOOKUP(D20,tblTargetStatus[TargetID],tblTargetStatus[Status],"")</f>
        <v/>
      </c>
    </row>
    <row r="21" spans="5:7">
      <c r="E21" s="57" t="str">
        <f>_xlfn.XLOOKUP(D21,tblTargetStatus[TargetID],tblTargetStatus[TargetType],"")</f>
        <v/>
      </c>
      <c r="F21" s="59" t="str">
        <f>IF(_xlfn.XLOOKUP(D21,tblTargetStatus[TargetID],tblTargetStatus[DisplayName],D21)=0,"",(_xlfn.XLOOKUP(D21,tblTargetStatus[TargetID],tblTargetStatus[DisplayName],D21)))</f>
        <v/>
      </c>
      <c r="G21" s="57" t="str">
        <f>_xlfn.XLOOKUP(D21,tblTargetStatus[TargetID],tblTargetStatus[Status],"")</f>
        <v/>
      </c>
    </row>
    <row r="22" spans="5:7">
      <c r="E22" s="57" t="str">
        <f>_xlfn.XLOOKUP(D22,tblTargetStatus[TargetID],tblTargetStatus[TargetType],"")</f>
        <v/>
      </c>
      <c r="F22" s="59" t="str">
        <f>IF(_xlfn.XLOOKUP(D22,tblTargetStatus[TargetID],tblTargetStatus[DisplayName],D22)=0,"",(_xlfn.XLOOKUP(D22,tblTargetStatus[TargetID],tblTargetStatus[DisplayName],D22)))</f>
        <v/>
      </c>
      <c r="G22" s="57" t="str">
        <f>_xlfn.XLOOKUP(D22,tblTargetStatus[TargetID],tblTargetStatus[Status],"")</f>
        <v/>
      </c>
    </row>
    <row r="23" spans="5:7">
      <c r="E23" s="57" t="str">
        <f>_xlfn.XLOOKUP(D23,tblTargetStatus[TargetID],tblTargetStatus[TargetType],"")</f>
        <v/>
      </c>
      <c r="F23" s="59" t="str">
        <f>IF(_xlfn.XLOOKUP(D23,tblTargetStatus[TargetID],tblTargetStatus[DisplayName],D23)=0,"",(_xlfn.XLOOKUP(D23,tblTargetStatus[TargetID],tblTargetStatus[DisplayName],D23)))</f>
        <v/>
      </c>
      <c r="G23" s="57" t="str">
        <f>_xlfn.XLOOKUP(D23,tblTargetStatus[TargetID],tblTargetStatus[Status],"")</f>
        <v/>
      </c>
    </row>
    <row r="24" spans="5:7">
      <c r="E24" s="57" t="str">
        <f>_xlfn.XLOOKUP(D24,tblTargetStatus[TargetID],tblTargetStatus[TargetType],"")</f>
        <v/>
      </c>
      <c r="F24" s="59" t="str">
        <f>IF(_xlfn.XLOOKUP(D24,tblTargetStatus[TargetID],tblTargetStatus[DisplayName],D24)=0,"",(_xlfn.XLOOKUP(D24,tblTargetStatus[TargetID],tblTargetStatus[DisplayName],D24)))</f>
        <v/>
      </c>
      <c r="G24" s="57" t="str">
        <f>_xlfn.XLOOKUP(D24,tblTargetStatus[TargetID],tblTargetStatus[Status],"")</f>
        <v/>
      </c>
    </row>
    <row r="25" spans="5:7">
      <c r="E25" s="57" t="str">
        <f>_xlfn.XLOOKUP(D25,tblTargetStatus[TargetID],tblTargetStatus[TargetType],"")</f>
        <v/>
      </c>
      <c r="F25" s="59" t="str">
        <f>IF(_xlfn.XLOOKUP(D25,tblTargetStatus[TargetID],tblTargetStatus[DisplayName],D25)=0,"",(_xlfn.XLOOKUP(D25,tblTargetStatus[TargetID],tblTargetStatus[DisplayName],D25)))</f>
        <v/>
      </c>
      <c r="G25" s="57" t="str">
        <f>_xlfn.XLOOKUP(D25,tblTargetStatus[TargetID],tblTargetStatus[Status],"")</f>
        <v/>
      </c>
    </row>
    <row r="26" spans="5:7">
      <c r="E26" s="57" t="str">
        <f>_xlfn.XLOOKUP(D26,tblTargetStatus[TargetID],tblTargetStatus[TargetType],"")</f>
        <v/>
      </c>
      <c r="F26" s="59" t="str">
        <f>IF(_xlfn.XLOOKUP(D26,tblTargetStatus[TargetID],tblTargetStatus[DisplayName],D26)=0,"",(_xlfn.XLOOKUP(D26,tblTargetStatus[TargetID],tblTargetStatus[DisplayName],D26)))</f>
        <v/>
      </c>
      <c r="G26" s="57" t="str">
        <f>_xlfn.XLOOKUP(D26,tblTargetStatus[TargetID],tblTargetStatus[Status],"")</f>
        <v/>
      </c>
    </row>
    <row r="27" spans="5:7">
      <c r="E27" s="57" t="str">
        <f>_xlfn.XLOOKUP(D27,tblTargetStatus[TargetID],tblTargetStatus[TargetType],"")</f>
        <v/>
      </c>
      <c r="F27" s="59" t="str">
        <f>IF(_xlfn.XLOOKUP(D27,tblTargetStatus[TargetID],tblTargetStatus[DisplayName],D27)=0,"",(_xlfn.XLOOKUP(D27,tblTargetStatus[TargetID],tblTargetStatus[DisplayName],D27)))</f>
        <v/>
      </c>
      <c r="G27" s="57" t="str">
        <f>_xlfn.XLOOKUP(D27,tblTargetStatus[TargetID],tblTargetStatus[Status],"")</f>
        <v/>
      </c>
    </row>
    <row r="28" spans="5:7">
      <c r="E28" s="57" t="str">
        <f>_xlfn.XLOOKUP(D28,tblTargetStatus[TargetID],tblTargetStatus[TargetType],"")</f>
        <v/>
      </c>
      <c r="F28" s="59" t="str">
        <f>IF(_xlfn.XLOOKUP(D28,tblTargetStatus[TargetID],tblTargetStatus[DisplayName],D28)=0,"",(_xlfn.XLOOKUP(D28,tblTargetStatus[TargetID],tblTargetStatus[DisplayName],D28)))</f>
        <v/>
      </c>
      <c r="G28" s="57" t="str">
        <f>_xlfn.XLOOKUP(D28,tblTargetStatus[TargetID],tblTargetStatus[Status],"")</f>
        <v/>
      </c>
    </row>
    <row r="29" spans="5:7">
      <c r="E29" s="57" t="str">
        <f>_xlfn.XLOOKUP(D29,tblTargetStatus[TargetID],tblTargetStatus[TargetType],"")</f>
        <v/>
      </c>
      <c r="F29" s="59" t="str">
        <f>IF(_xlfn.XLOOKUP(D29,tblTargetStatus[TargetID],tblTargetStatus[DisplayName],D29)=0,"",(_xlfn.XLOOKUP(D29,tblTargetStatus[TargetID],tblTargetStatus[DisplayName],D29)))</f>
        <v/>
      </c>
      <c r="G29" s="57" t="str">
        <f>_xlfn.XLOOKUP(D29,tblTargetStatus[TargetID],tblTargetStatus[Status],"")</f>
        <v/>
      </c>
    </row>
    <row r="30" spans="5:7">
      <c r="E30" s="57" t="str">
        <f>_xlfn.XLOOKUP(D30,tblTargetStatus[TargetID],tblTargetStatus[TargetType],"")</f>
        <v/>
      </c>
      <c r="F30" s="59" t="str">
        <f>IF(_xlfn.XLOOKUP(D30,tblTargetStatus[TargetID],tblTargetStatus[DisplayName],D30)=0,"",(_xlfn.XLOOKUP(D30,tblTargetStatus[TargetID],tblTargetStatus[DisplayName],D30)))</f>
        <v/>
      </c>
      <c r="G30" s="57" t="str">
        <f>_xlfn.XLOOKUP(D30,tblTargetStatus[TargetID],tblTargetStatus[Status],"")</f>
        <v/>
      </c>
    </row>
    <row r="31" spans="5:7">
      <c r="E31" s="57" t="str">
        <f>_xlfn.XLOOKUP(D31,tblTargetStatus[TargetID],tblTargetStatus[TargetType],"")</f>
        <v/>
      </c>
      <c r="F31" s="59" t="str">
        <f>IF(_xlfn.XLOOKUP(D31,tblTargetStatus[TargetID],tblTargetStatus[DisplayName],D31)=0,"",(_xlfn.XLOOKUP(D31,tblTargetStatus[TargetID],tblTargetStatus[DisplayName],D31)))</f>
        <v/>
      </c>
      <c r="G31" s="57" t="str">
        <f>_xlfn.XLOOKUP(D31,tblTargetStatus[TargetID],tblTargetStatus[Status],"")</f>
        <v/>
      </c>
    </row>
    <row r="32" spans="5:7">
      <c r="E32" s="57" t="str">
        <f>_xlfn.XLOOKUP(D32,tblTargetStatus[TargetID],tblTargetStatus[TargetType],"")</f>
        <v/>
      </c>
      <c r="F32" s="59" t="str">
        <f>IF(_xlfn.XLOOKUP(D32,tblTargetStatus[TargetID],tblTargetStatus[DisplayName],D32)=0,"",(_xlfn.XLOOKUP(D32,tblTargetStatus[TargetID],tblTargetStatus[DisplayName],D32)))</f>
        <v/>
      </c>
      <c r="G32" s="57" t="str">
        <f>_xlfn.XLOOKUP(D32,tblTargetStatus[TargetID],tblTargetStatus[Status],"")</f>
        <v/>
      </c>
    </row>
    <row r="33" spans="5:7">
      <c r="E33" s="57" t="str">
        <f>_xlfn.XLOOKUP(D33,tblTargetStatus[TargetID],tblTargetStatus[TargetType],"")</f>
        <v/>
      </c>
      <c r="F33" s="59" t="str">
        <f>IF(_xlfn.XLOOKUP(D33,tblTargetStatus[TargetID],tblTargetStatus[DisplayName],D33)=0,"",(_xlfn.XLOOKUP(D33,tblTargetStatus[TargetID],tblTargetStatus[DisplayName],D33)))</f>
        <v/>
      </c>
      <c r="G33" s="57" t="str">
        <f>_xlfn.XLOOKUP(D33,tblTargetStatus[TargetID],tblTargetStatus[Status],"")</f>
        <v/>
      </c>
    </row>
    <row r="34" spans="5:7">
      <c r="E34" s="57" t="str">
        <f>_xlfn.XLOOKUP(D34,tblTargetStatus[TargetID],tblTargetStatus[TargetType],"")</f>
        <v/>
      </c>
      <c r="F34" s="59" t="str">
        <f>IF(_xlfn.XLOOKUP(D34,tblTargetStatus[TargetID],tblTargetStatus[DisplayName],D34)=0,"",(_xlfn.XLOOKUP(D34,tblTargetStatus[TargetID],tblTargetStatus[DisplayName],D34)))</f>
        <v/>
      </c>
      <c r="G34" s="57" t="str">
        <f>_xlfn.XLOOKUP(D34,tblTargetStatus[TargetID],tblTargetStatus[Status],"")</f>
        <v/>
      </c>
    </row>
    <row r="35" spans="5:7">
      <c r="E35" s="57" t="str">
        <f>_xlfn.XLOOKUP(D35,tblTargetStatus[TargetID],tblTargetStatus[TargetType],"")</f>
        <v/>
      </c>
      <c r="F35" s="59" t="str">
        <f>IF(_xlfn.XLOOKUP(D35,tblTargetStatus[TargetID],tblTargetStatus[DisplayName],D35)=0,"",(_xlfn.XLOOKUP(D35,tblTargetStatus[TargetID],tblTargetStatus[DisplayName],D35)))</f>
        <v/>
      </c>
      <c r="G35" s="57" t="str">
        <f>_xlfn.XLOOKUP(D35,tblTargetStatus[TargetID],tblTargetStatus[Status],"")</f>
        <v/>
      </c>
    </row>
    <row r="36" spans="5:7">
      <c r="E36" s="57" t="str">
        <f>_xlfn.XLOOKUP(D36,tblTargetStatus[TargetID],tblTargetStatus[TargetType],"")</f>
        <v/>
      </c>
      <c r="F36" s="59" t="str">
        <f>IF(_xlfn.XLOOKUP(D36,tblTargetStatus[TargetID],tblTargetStatus[DisplayName],D36)=0,"",(_xlfn.XLOOKUP(D36,tblTargetStatus[TargetID],tblTargetStatus[DisplayName],D36)))</f>
        <v/>
      </c>
      <c r="G36" s="57" t="str">
        <f>_xlfn.XLOOKUP(D36,tblTargetStatus[TargetID],tblTargetStatus[Status],"")</f>
        <v/>
      </c>
    </row>
    <row r="37" spans="5:7">
      <c r="E37" s="57" t="str">
        <f>_xlfn.XLOOKUP(D37,tblTargetStatus[TargetID],tblTargetStatus[TargetType],"")</f>
        <v/>
      </c>
      <c r="F37" s="59" t="str">
        <f>IF(_xlfn.XLOOKUP(D37,tblTargetStatus[TargetID],tblTargetStatus[DisplayName],D37)=0,"",(_xlfn.XLOOKUP(D37,tblTargetStatus[TargetID],tblTargetStatus[DisplayName],D37)))</f>
        <v/>
      </c>
      <c r="G37" s="57" t="str">
        <f>_xlfn.XLOOKUP(D37,tblTargetStatus[TargetID],tblTargetStatus[Status],"")</f>
        <v/>
      </c>
    </row>
    <row r="38" spans="5:7">
      <c r="E38" s="57" t="str">
        <f>_xlfn.XLOOKUP(D38,tblTargetStatus[TargetID],tblTargetStatus[TargetType],"")</f>
        <v/>
      </c>
      <c r="F38" s="59" t="str">
        <f>IF(_xlfn.XLOOKUP(D38,tblTargetStatus[TargetID],tblTargetStatus[DisplayName],D38)=0,"",(_xlfn.XLOOKUP(D38,tblTargetStatus[TargetID],tblTargetStatus[DisplayName],D38)))</f>
        <v/>
      </c>
      <c r="G38" s="57" t="str">
        <f>_xlfn.XLOOKUP(D38,tblTargetStatus[TargetID],tblTargetStatus[Status],"")</f>
        <v/>
      </c>
    </row>
    <row r="39" spans="5:7">
      <c r="E39" s="57" t="str">
        <f>_xlfn.XLOOKUP(D39,tblTargetStatus[TargetID],tblTargetStatus[TargetType],"")</f>
        <v/>
      </c>
      <c r="F39" s="59" t="str">
        <f>IF(_xlfn.XLOOKUP(D39,tblTargetStatus[TargetID],tblTargetStatus[DisplayName],D39)=0,"",(_xlfn.XLOOKUP(D39,tblTargetStatus[TargetID],tblTargetStatus[DisplayName],D39)))</f>
        <v/>
      </c>
      <c r="G39" s="57" t="str">
        <f>_xlfn.XLOOKUP(D39,tblTargetStatus[TargetID],tblTargetStatus[Status],"")</f>
        <v/>
      </c>
    </row>
    <row r="40" spans="5:7">
      <c r="E40" s="57" t="str">
        <f>_xlfn.XLOOKUP(D40,tblTargetStatus[TargetID],tblTargetStatus[TargetType],"")</f>
        <v/>
      </c>
      <c r="F40" s="59" t="str">
        <f>IF(_xlfn.XLOOKUP(D40,tblTargetStatus[TargetID],tblTargetStatus[DisplayName],D40)=0,"",(_xlfn.XLOOKUP(D40,tblTargetStatus[TargetID],tblTargetStatus[DisplayName],D40)))</f>
        <v/>
      </c>
      <c r="G40" s="57" t="str">
        <f>_xlfn.XLOOKUP(D40,tblTargetStatus[TargetID],tblTargetStatus[Status],"")</f>
        <v/>
      </c>
    </row>
    <row r="41" spans="5:7">
      <c r="E41" s="57" t="str">
        <f>_xlfn.XLOOKUP(D41,tblTargetStatus[TargetID],tblTargetStatus[TargetType],"")</f>
        <v/>
      </c>
      <c r="F41" s="59" t="str">
        <f>IF(_xlfn.XLOOKUP(D41,tblTargetStatus[TargetID],tblTargetStatus[DisplayName],D41)=0,"",(_xlfn.XLOOKUP(D41,tblTargetStatus[TargetID],tblTargetStatus[DisplayName],D41)))</f>
        <v/>
      </c>
      <c r="G41" s="57" t="str">
        <f>_xlfn.XLOOKUP(D41,tblTargetStatus[TargetID],tblTargetStatus[Status],"")</f>
        <v/>
      </c>
    </row>
    <row r="42" spans="5:7">
      <c r="E42" s="57" t="str">
        <f>_xlfn.XLOOKUP(D42,tblTargetStatus[TargetID],tblTargetStatus[TargetType],"")</f>
        <v/>
      </c>
      <c r="F42" s="59" t="str">
        <f>IF(_xlfn.XLOOKUP(D42,tblTargetStatus[TargetID],tblTargetStatus[DisplayName],D42)=0,"",(_xlfn.XLOOKUP(D42,tblTargetStatus[TargetID],tblTargetStatus[DisplayName],D42)))</f>
        <v/>
      </c>
      <c r="G42" s="57" t="str">
        <f>_xlfn.XLOOKUP(D42,tblTargetStatus[TargetID],tblTargetStatus[Status],"")</f>
        <v/>
      </c>
    </row>
    <row r="43" spans="5:7">
      <c r="E43" s="57" t="str">
        <f>_xlfn.XLOOKUP(D43,tblTargetStatus[TargetID],tblTargetStatus[TargetType],"")</f>
        <v/>
      </c>
      <c r="F43" s="59" t="str">
        <f>IF(_xlfn.XLOOKUP(D43,tblTargetStatus[TargetID],tblTargetStatus[DisplayName],D43)=0,"",(_xlfn.XLOOKUP(D43,tblTargetStatus[TargetID],tblTargetStatus[DisplayName],D43)))</f>
        <v/>
      </c>
      <c r="G43" s="57" t="str">
        <f>_xlfn.XLOOKUP(D43,tblTargetStatus[TargetID],tblTargetStatus[Status],"")</f>
        <v/>
      </c>
    </row>
    <row r="44" spans="5:7">
      <c r="E44" s="57" t="str">
        <f>_xlfn.XLOOKUP(D44,tblTargetStatus[TargetID],tblTargetStatus[TargetType],"")</f>
        <v/>
      </c>
      <c r="F44" s="59" t="str">
        <f>IF(_xlfn.XLOOKUP(D44,tblTargetStatus[TargetID],tblTargetStatus[DisplayName],D44)=0,"",(_xlfn.XLOOKUP(D44,tblTargetStatus[TargetID],tblTargetStatus[DisplayName],D44)))</f>
        <v/>
      </c>
      <c r="G44" s="57" t="str">
        <f>_xlfn.XLOOKUP(D44,tblTargetStatus[TargetID],tblTargetStatus[Status],"")</f>
        <v/>
      </c>
    </row>
    <row r="45" spans="5:7">
      <c r="E45" s="57" t="str">
        <f>_xlfn.XLOOKUP(D45,tblTargetStatus[TargetID],tblTargetStatus[TargetType],"")</f>
        <v/>
      </c>
      <c r="F45" s="59" t="str">
        <f>IF(_xlfn.XLOOKUP(D45,tblTargetStatus[TargetID],tblTargetStatus[DisplayName],D45)=0,"",(_xlfn.XLOOKUP(D45,tblTargetStatus[TargetID],tblTargetStatus[DisplayName],D45)))</f>
        <v/>
      </c>
      <c r="G45" s="57" t="str">
        <f>_xlfn.XLOOKUP(D45,tblTargetStatus[TargetID],tblTargetStatus[Status],"")</f>
        <v/>
      </c>
    </row>
  </sheetData>
  <conditionalFormatting sqref="A2">
    <cfRule type="expression" dxfId="5" priority="3">
      <formula>A2&lt;&gt;""</formula>
    </cfRule>
    <cfRule type="expression" dxfId="4" priority="4">
      <formula>AND(A2&lt;&gt;"",A3="")</formula>
    </cfRule>
  </conditionalFormatting>
  <conditionalFormatting sqref="C2:G50">
    <cfRule type="expression" dxfId="3" priority="2">
      <formula>C2&lt;&gt;""</formula>
    </cfRule>
  </conditionalFormatting>
  <conditionalFormatting sqref="H2:J17">
    <cfRule type="expression" dxfId="2" priority="1">
      <formula>H2&lt;&gt;""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874AA90-77D5-4806-AF39-4FE93950144F}">
          <x14:formula1>
            <xm:f>TargetStatus!$A$2:$A$700</xm:f>
          </x14:formula1>
          <xm:sqref>A2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3A80-C0F9-4515-A483-C484C40A901B}">
  <sheetPr>
    <tabColor theme="0"/>
  </sheetPr>
  <dimension ref="A1:BF620"/>
  <sheetViews>
    <sheetView workbookViewId="0"/>
  </sheetViews>
  <sheetFormatPr defaultColWidth="8.7265625" defaultRowHeight="14.5"/>
  <cols>
    <col min="1" max="1" width="55.453125" style="2" bestFit="1" customWidth="1"/>
    <col min="2" max="2" width="15.08984375" style="2" bestFit="1" customWidth="1"/>
    <col min="3" max="3" width="20.7265625" style="2" bestFit="1" customWidth="1"/>
    <col min="4" max="4" width="22.7265625" style="2" bestFit="1" customWidth="1"/>
    <col min="5" max="5" width="27.26953125" style="2" bestFit="1" customWidth="1"/>
    <col min="6" max="6" width="33" style="2" bestFit="1" customWidth="1"/>
    <col min="7" max="7" width="26.7265625" style="2" bestFit="1" customWidth="1"/>
    <col min="8" max="8" width="33.1796875" style="2" bestFit="1" customWidth="1"/>
    <col min="9" max="9" width="25.453125" style="2" bestFit="1" customWidth="1"/>
    <col min="10" max="10" width="24.08984375" style="2" bestFit="1" customWidth="1"/>
    <col min="11" max="11" width="19.08984375" bestFit="1" customWidth="1"/>
    <col min="12" max="12" width="10.08984375" bestFit="1" customWidth="1"/>
    <col min="13" max="13" width="16.90625" bestFit="1" customWidth="1"/>
    <col min="14" max="14" width="16.1796875" bestFit="1" customWidth="1"/>
    <col min="15" max="15" width="16.36328125" bestFit="1" customWidth="1"/>
    <col min="16" max="16" width="9.54296875" bestFit="1" customWidth="1"/>
    <col min="17" max="18" width="8.6328125"/>
    <col min="19" max="20" width="3.08984375" style="2" customWidth="1"/>
    <col min="21" max="21" width="3" style="2" customWidth="1"/>
    <col min="22" max="22" width="55.453125" style="2" bestFit="1" customWidth="1"/>
    <col min="23" max="23" width="47.90625" style="2" hidden="1" customWidth="1"/>
    <col min="24" max="25" width="55.453125" style="2" hidden="1" customWidth="1"/>
    <col min="26" max="26" width="20.26953125" style="2" hidden="1" customWidth="1"/>
    <col min="27" max="27" width="17.08984375" style="2" hidden="1" customWidth="1"/>
    <col min="28" max="28" width="16" style="2" hidden="1" customWidth="1"/>
    <col min="29" max="29" width="14.90625" style="2" hidden="1" customWidth="1"/>
    <col min="30" max="30" width="17.08984375" style="2" hidden="1" customWidth="1"/>
    <col min="31" max="31" width="36.54296875" style="2" hidden="1" customWidth="1"/>
    <col min="32" max="32" width="9.453125" style="2" customWidth="1"/>
    <col min="33" max="33" width="28" style="2" customWidth="1"/>
    <col min="34" max="34" width="14.90625" style="2" customWidth="1"/>
    <col min="35" max="35" width="17.08984375" style="2" customWidth="1"/>
    <col min="36" max="36" width="8.7265625" style="2"/>
    <col min="37" max="37" width="12.81640625" style="2" customWidth="1"/>
    <col min="38" max="38" width="20.26953125" style="2" customWidth="1"/>
    <col min="39" max="39" width="17.08984375" style="2" customWidth="1"/>
    <col min="40" max="40" width="16" style="2" customWidth="1"/>
    <col min="41" max="41" width="14.90625" style="2" customWidth="1"/>
    <col min="42" max="42" width="17.08984375" style="2" customWidth="1"/>
    <col min="43" max="43" width="30.90625" style="2" customWidth="1"/>
    <col min="44" max="44" width="9.453125" style="2" customWidth="1"/>
    <col min="45" max="45" width="28" style="2" customWidth="1"/>
    <col min="46" max="46" width="14.90625" style="2" customWidth="1"/>
    <col min="47" max="47" width="17.08984375" style="2" customWidth="1"/>
    <col min="48" max="48" width="8.7265625" style="2"/>
    <col min="49" max="49" width="12.81640625" style="2" customWidth="1"/>
    <col min="50" max="50" width="17.08984375" style="2" customWidth="1"/>
    <col min="51" max="51" width="10.453125" style="2" customWidth="1"/>
    <col min="52" max="52" width="20.81640625" style="2" customWidth="1"/>
    <col min="53" max="53" width="58" style="2" customWidth="1"/>
    <col min="54" max="54" width="9.453125" style="2" customWidth="1"/>
    <col min="55" max="55" width="28" style="2" customWidth="1"/>
    <col min="56" max="56" width="14.90625" style="2" customWidth="1"/>
    <col min="57" max="57" width="17.08984375" style="2" customWidth="1"/>
    <col min="58" max="16384" width="8.7265625" style="2"/>
  </cols>
  <sheetData>
    <row r="1" spans="1:58">
      <c r="A1" s="48" t="s">
        <v>2090</v>
      </c>
      <c r="B1" s="48" t="s">
        <v>2091</v>
      </c>
      <c r="C1" s="54" t="s">
        <v>5918</v>
      </c>
      <c r="D1" s="53" t="s">
        <v>5914</v>
      </c>
      <c r="E1" s="53" t="s">
        <v>5915</v>
      </c>
      <c r="F1" s="53" t="s">
        <v>5916</v>
      </c>
      <c r="G1" s="53" t="s">
        <v>6111</v>
      </c>
      <c r="H1" s="53" t="s">
        <v>6112</v>
      </c>
      <c r="I1" s="54" t="s">
        <v>5917</v>
      </c>
      <c r="J1" s="54" t="s">
        <v>6113</v>
      </c>
      <c r="K1" s="54" t="s">
        <v>5919</v>
      </c>
      <c r="L1" s="54" t="s">
        <v>6026</v>
      </c>
      <c r="M1" s="54" t="s">
        <v>6027</v>
      </c>
      <c r="N1" s="54" t="s">
        <v>6028</v>
      </c>
      <c r="O1" s="54" t="s">
        <v>6054</v>
      </c>
      <c r="P1" s="54" t="s">
        <v>6025</v>
      </c>
      <c r="Q1" s="55"/>
      <c r="R1" s="55"/>
      <c r="S1" s="55"/>
      <c r="T1" s="55"/>
      <c r="U1" s="49"/>
      <c r="V1" s="49"/>
      <c r="W1" s="49">
        <v>1</v>
      </c>
      <c r="X1" s="49">
        <v>2</v>
      </c>
      <c r="Y1" s="2">
        <v>3</v>
      </c>
      <c r="Z1" s="49">
        <v>4</v>
      </c>
      <c r="AA1" s="49">
        <v>5</v>
      </c>
      <c r="AB1" s="49">
        <v>6</v>
      </c>
      <c r="AC1" s="49">
        <v>7</v>
      </c>
      <c r="AD1" s="49">
        <v>8</v>
      </c>
      <c r="AE1" s="49">
        <v>9</v>
      </c>
      <c r="AF1" s="49"/>
      <c r="AG1" s="49"/>
      <c r="AH1" s="49"/>
      <c r="AI1" s="49"/>
      <c r="AJ1" s="49"/>
      <c r="AL1" s="49"/>
      <c r="AM1" s="49"/>
      <c r="AN1" s="49"/>
      <c r="AO1" s="49"/>
      <c r="AP1" s="49"/>
      <c r="AQ1" s="49"/>
      <c r="AR1" s="49"/>
      <c r="AS1" s="49"/>
      <c r="AT1" s="49"/>
      <c r="AU1" s="49"/>
      <c r="AV1" s="49"/>
      <c r="AX1" s="49"/>
      <c r="AY1" s="49"/>
      <c r="AZ1" s="49"/>
      <c r="BA1" s="49"/>
      <c r="BB1" s="49"/>
      <c r="BC1" s="49"/>
      <c r="BD1" s="49"/>
      <c r="BE1" s="49"/>
      <c r="BF1" s="49"/>
    </row>
    <row r="2" spans="1:58">
      <c r="A2" t="str">
        <f t="shared" ref="A2:A65" ca="1" si="0">IF(OR(V2=0,V2=""),"",V2)</f>
        <v>building.airship.maxed</v>
      </c>
      <c r="B2" t="str">
        <f ca="1">_xlfn.XLOOKUP(tblValidation[[#This Row],[TargetID]],tblTargets[TargetID],tblTargets[TargetType],"")</f>
        <v>BUILDING</v>
      </c>
      <c r="C2" s="48" t="b">
        <f ca="1">COUNTIF(tblTargets[TargetID], $A2) &gt; 0</f>
        <v>1</v>
      </c>
      <c r="D2" s="48" t="b">
        <f ca="1">IF(OR(LEFT(tblValidation[[#This Row],[TargetID]],10)="state.CHAR",RIGHT(tblValidation[[#This Row],[TargetID]],5)="maxed"),TRUE, COUNTIF(tblChecklist[TargetID], $A2) &gt; 0)</f>
        <v>1</v>
      </c>
      <c r="E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 &gt; 0)</f>
        <v>1</v>
      </c>
      <c r="F2" s="48" t="b">
        <f ca="1">COUNTIF(tblDependencies[DependencyID], $A2) &gt; 0</f>
        <v>1</v>
      </c>
      <c r="G2" s="48" t="b">
        <f ca="1">COUNTIF(tblQuestObjectives[QuestTargetID], $A2) &gt; 0</f>
        <v>0</v>
      </c>
      <c r="H2" s="48" t="b">
        <f ca="1">COUNTIF(tblQuestObjectives[ObjectiveID], $A2) &gt; 0</f>
        <v>0</v>
      </c>
      <c r="I2" s="48" t="b">
        <f ca="1">COUNTIF(tblTargetStatus[TargetID], $A2) &gt; 0</f>
        <v>1</v>
      </c>
      <c r="J2" s="48" t="b">
        <f ca="1">COUNTIF(tblCost[TargetID], $A2) &gt; 0</f>
        <v>0</v>
      </c>
      <c r="K2" s="48" t="b">
        <f ca="1">COUNTIF(tblStates[StateID], $A2) &gt; 0</f>
        <v>0</v>
      </c>
      <c r="L2" s="48" t="b">
        <f t="shared" ref="L2:L65" ca="1" si="1">AND(
A2=LOWER(A2),
ISERROR(SEARCH(" ",A2)),
ISERROR(SEARCH("..",A2))
)</f>
        <v>1</v>
      </c>
      <c r="M2" s="48" t="b">
        <f ca="1">IF(tblValidation[[#This Row],[TargetID]]="","",COUNTIF(tblTargets[TargetID],A2)&gt;1)</f>
        <v>0</v>
      </c>
      <c r="N2" s="48" t="b">
        <f ca="1">IF(tblValidation[[#This Row],[TargetID]]="","",COUNTIF(tblStates[StateID],tblValidation[[#This Row],[TargetID]])&gt;1)</f>
        <v>0</v>
      </c>
      <c r="O2" s="48" t="b" cm="1">
        <f t="array" aca="1" ref="O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 s="48"/>
      <c r="R2" s="48"/>
      <c r="S2" s="48"/>
      <c r="T2" s="48"/>
      <c r="V2" s="49" t="str" cm="1">
        <f t="array" aca="1" ref="V2:V620" ca="1">_xlfn._xlws.SORT(_xlfn.UNIQUE(_xlfn.VSTACK(INDIRECT(tblValidation[[#Headers],[tblStates'[StateID']]]), INDIRECT(tblValidation[[#Headers],[tblTargets'[TargetID']]]), INDIRECT(tblValidation[[#Headers],[tblChecklist'[TargetID']]]), INDIRECT(tblValidation[[#Headers],[tblDependencies'[TargetID']]]), INDIRECT(tblValidation[[#Headers],[tblDependencies'[DependencyID']]]), INDIRECT(tblValidation[[#Headers],[tblQuestObjectives'[QuestTargetID']]]), INDIRECT(tblValidation[[#Headers],[tblQuestObjectives'[ObjectiveID']]]), INDIRECT(tblValidation[[#Headers],[tblTargetStatus'[TargetID']]]), INDIRECT(tblValidation[[#Headers],[tblCost'[TargetID']]]))))</f>
        <v>building.airship.maxed</v>
      </c>
      <c r="W2" s="48" t="str" cm="1">
        <f t="array" aca="1" ref="W2:W147" ca="1">_xlfn._xlws.SORT(_xlfn.UNIQUE(_xlfn.VSTACK(INDIRECT(tblValidation[[#Headers],[tblStates'[StateID']]]))))</f>
        <v>state.action_defeat_bone_dragon_4c</v>
      </c>
      <c r="X2" s="48" t="str" cm="1">
        <f t="array" aca="1" ref="X2:X619" ca="1">_xlfn._xlws.SORT(_xlfn.UNIQUE(_xlfn.VSTACK(INDIRECT(tblValidation[[#Headers],[tblTargets'[TargetID']]]))))</f>
        <v>building.airship.maxed</v>
      </c>
      <c r="Y2" s="48" t="str" cm="1">
        <f t="array" aca="1" ref="Y2:Y561" ca="1">_xlfn._xlws.SORT(_xlfn.UNIQUE(_xlfn.VSTACK(INDIRECT(tblValidation[[#Headers],[tblChecklist'[TargetID']]]))))</f>
        <v>building.airship@1</v>
      </c>
      <c r="Z2" s="48" t="str" cm="1">
        <f t="array" aca="1" ref="Z2:Z580" ca="1">_xlfn._xlws.SORT(_xlfn.UNIQUE(_xlfn.VSTACK(INDIRECT(tblValidation[[#Headers],[tblDependencies'[TargetID']]]))))</f>
        <v>building.airship.maxed</v>
      </c>
      <c r="AA2" s="48" t="str" cm="1">
        <f t="array" aca="1" ref="AA2:AA399" ca="1">_xlfn._xlws.SORT(_xlfn.UNIQUE(_xlfn.VSTACK(INDIRECT(tblValidation[[#Headers],[tblDependencies'[DependencyID']]]))))</f>
        <v>building.airship.maxed</v>
      </c>
      <c r="AB2" s="48" t="str" cm="1">
        <f t="array" aca="1" ref="AB2:AB51" ca="1">_xlfn._xlws.SORT(_xlfn.UNIQUE(_xlfn.VSTACK(INDIRECT(tblValidation[[#Headers],[tblQuestObjectives'[QuestTargetID']]]))))</f>
        <v>quest.ahead_of_time_chapter_1.finished</v>
      </c>
      <c r="AC2" s="48" t="str" cm="1">
        <f t="array" aca="1" ref="AC2:AC146" ca="1">_xlfn._xlws.SORT(_xlfn.UNIQUE(_xlfn.VSTACK(INDIRECT(tblValidation[[#Headers],[tblQuestObjectives'[ObjectiveID']]]))))</f>
        <v>building.dungeon@3</v>
      </c>
      <c r="AD2" s="48" t="str" cm="1">
        <f t="array" aca="1" ref="AD2:AD619" ca="1">_xlfn._xlws.SORT(_xlfn.UNIQUE(_xlfn.VSTACK(INDIRECT(tblValidation[[#Headers],[tblTargetStatus'[TargetID']]]))))</f>
        <v>building.airship.maxed</v>
      </c>
      <c r="AE2" s="48" t="str" cm="1">
        <f t="array" aca="1" ref="AE2:AE345" ca="1">_xlfn._xlws.SORT(_xlfn.UNIQUE(_xlfn.VSTACK(INDIRECT(tblValidation[[#Headers],[tblCost'[TargetID']]]))))</f>
        <v>building.airship@1</v>
      </c>
      <c r="AF2" s="49"/>
      <c r="AG2" s="49"/>
      <c r="AI2" s="49"/>
      <c r="AL2" s="49"/>
      <c r="AM2" s="49"/>
      <c r="AN2" s="49"/>
      <c r="AO2" s="49"/>
      <c r="AP2" s="49"/>
      <c r="AQ2" s="49"/>
      <c r="AR2" s="49"/>
      <c r="AS2" s="49"/>
      <c r="AU2" s="49"/>
      <c r="AX2" s="49"/>
      <c r="AY2" s="49"/>
      <c r="AZ2" s="49"/>
      <c r="BA2" s="49"/>
      <c r="BB2" s="49"/>
      <c r="BC2" s="49"/>
      <c r="BE2" s="49"/>
    </row>
    <row r="3" spans="1:58" ht="28">
      <c r="A3" t="str">
        <f t="shared" ca="1" si="0"/>
        <v>building.airship@1</v>
      </c>
      <c r="B3" t="str">
        <f ca="1">_xlfn.XLOOKUP(tblValidation[[#This Row],[TargetID]],tblTargets[TargetID],tblTargets[TargetType],"")</f>
        <v>BUILDING</v>
      </c>
      <c r="C3" s="48" t="b">
        <f ca="1">COUNTIF(tblTargets[TargetID], $A3) &gt; 0</f>
        <v>1</v>
      </c>
      <c r="D3" s="48" t="b">
        <f ca="1">IF(OR(LEFT(tblValidation[[#This Row],[TargetID]],10)="state.CHAR",RIGHT(tblValidation[[#This Row],[TargetID]],5)="maxed"),TRUE, COUNTIF(tblChecklist[TargetID], $A3) &gt; 0)</f>
        <v>1</v>
      </c>
      <c r="E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 &gt; 0)</f>
        <v>1</v>
      </c>
      <c r="F3" s="48" t="b">
        <f ca="1">COUNTIF(tblDependencies[DependencyID], $A3) &gt; 0</f>
        <v>1</v>
      </c>
      <c r="G3" s="48" t="b">
        <f ca="1">COUNTIF(tblQuestObjectives[QuestTargetID], $A3) &gt; 0</f>
        <v>0</v>
      </c>
      <c r="H3" s="48" t="b">
        <f ca="1">COUNTIF(tblQuestObjectives[ObjectiveID], $A3) &gt; 0</f>
        <v>0</v>
      </c>
      <c r="I3" s="48" t="b">
        <f ca="1">COUNTIF(tblTargetStatus[TargetID], $A3) &gt; 0</f>
        <v>1</v>
      </c>
      <c r="J3" s="48" t="b">
        <f ca="1">COUNTIF(tblCost[TargetID], $A3) &gt; 0</f>
        <v>1</v>
      </c>
      <c r="K3" s="48" t="b">
        <f ca="1">COUNTIF(tblStates[StateID], $A3) &gt; 0</f>
        <v>0</v>
      </c>
      <c r="L3" s="48" t="b">
        <f t="shared" ca="1" si="1"/>
        <v>1</v>
      </c>
      <c r="M3" s="48" t="b">
        <f ca="1">IF(tblValidation[[#This Row],[TargetID]]="","",COUNTIF(tblTargets[TargetID],A3)&gt;1)</f>
        <v>0</v>
      </c>
      <c r="N3" s="48" t="b">
        <f ca="1">IF(tblValidation[[#This Row],[TargetID]]="","",COUNTIF(tblStates[StateID],tblValidation[[#This Row],[TargetID]])&gt;1)</f>
        <v>0</v>
      </c>
      <c r="O3" s="48" t="b" cm="1">
        <f t="array" aca="1" ref="O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 s="48"/>
      <c r="R3" s="48"/>
      <c r="S3" s="48"/>
      <c r="T3" s="48"/>
      <c r="U3" s="49"/>
      <c r="V3" s="49" t="str">
        <f ca="1"/>
        <v>building.airship@1</v>
      </c>
      <c r="W3" s="48" t="str">
        <f ca="1"/>
        <v>state.action_reenter_guild</v>
      </c>
      <c r="X3" s="48" t="str">
        <f ca="1"/>
        <v>building.airship@1</v>
      </c>
      <c r="Y3" s="48" t="str">
        <f ca="1"/>
        <v>building.airship@2</v>
      </c>
      <c r="Z3" s="48" t="str">
        <f ca="1"/>
        <v>building.airship@1</v>
      </c>
      <c r="AA3" s="48" t="str">
        <f ca="1"/>
        <v>building.airship@1</v>
      </c>
      <c r="AB3" s="48" t="str">
        <f ca="1"/>
        <v>quest.ahead_of_time_chapter_2.finished</v>
      </c>
      <c r="AC3" s="48" t="str">
        <f ca="1"/>
        <v>building.field@1</v>
      </c>
      <c r="AD3" s="49" t="str">
        <f ca="1"/>
        <v>building.airship@1</v>
      </c>
      <c r="AE3" s="49" t="str">
        <f ca="1"/>
        <v>building.airship@2</v>
      </c>
      <c r="AF3" s="49"/>
      <c r="AG3" s="49"/>
      <c r="AI3" s="49"/>
      <c r="AL3" s="49"/>
      <c r="AM3" s="49"/>
      <c r="AN3" s="49"/>
      <c r="AO3" s="49"/>
      <c r="AP3" s="49"/>
      <c r="AQ3" s="49"/>
      <c r="AR3" s="49"/>
      <c r="AS3" s="49"/>
      <c r="AU3" s="49"/>
      <c r="AX3" s="49"/>
      <c r="AY3" s="49"/>
      <c r="AZ3" s="49"/>
      <c r="BA3" s="49"/>
      <c r="BB3" s="49"/>
      <c r="BC3" s="49"/>
      <c r="BE3" s="49"/>
    </row>
    <row r="4" spans="1:58" ht="28">
      <c r="A4" t="str">
        <f t="shared" ca="1" si="0"/>
        <v>building.airship@2</v>
      </c>
      <c r="B4" t="str">
        <f ca="1">_xlfn.XLOOKUP(tblValidation[[#This Row],[TargetID]],tblTargets[TargetID],tblTargets[TargetType],"")</f>
        <v>BUILDING</v>
      </c>
      <c r="C4" s="48" t="b">
        <f ca="1">COUNTIF(tblTargets[TargetID], $A4) &gt; 0</f>
        <v>1</v>
      </c>
      <c r="D4" s="48" t="b">
        <f ca="1">IF(OR(LEFT(tblValidation[[#This Row],[TargetID]],10)="state.CHAR",RIGHT(tblValidation[[#This Row],[TargetID]],5)="maxed"),TRUE, COUNTIF(tblChecklist[TargetID], $A4) &gt; 0)</f>
        <v>1</v>
      </c>
      <c r="E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 &gt; 0)</f>
        <v>1</v>
      </c>
      <c r="F4" s="48" t="b">
        <f ca="1">COUNTIF(tblDependencies[DependencyID], $A4) &gt; 0</f>
        <v>1</v>
      </c>
      <c r="G4" s="48" t="b">
        <f ca="1">COUNTIF(tblQuestObjectives[QuestTargetID], $A4) &gt; 0</f>
        <v>0</v>
      </c>
      <c r="H4" s="48" t="b">
        <f ca="1">COUNTIF(tblQuestObjectives[ObjectiveID], $A4) &gt; 0</f>
        <v>0</v>
      </c>
      <c r="I4" s="48" t="b">
        <f ca="1">COUNTIF(tblTargetStatus[TargetID], $A4) &gt; 0</f>
        <v>1</v>
      </c>
      <c r="J4" s="48" t="b">
        <f ca="1">COUNTIF(tblCost[TargetID], $A4) &gt; 0</f>
        <v>1</v>
      </c>
      <c r="K4" s="48" t="b">
        <f ca="1">COUNTIF(tblStates[StateID], $A4) &gt; 0</f>
        <v>0</v>
      </c>
      <c r="L4" s="48" t="b">
        <f t="shared" ca="1" si="1"/>
        <v>1</v>
      </c>
      <c r="M4" s="48" t="b">
        <f ca="1">IF(tblValidation[[#This Row],[TargetID]]="","",COUNTIF(tblTargets[TargetID],A4)&gt;1)</f>
        <v>0</v>
      </c>
      <c r="N4" s="48" t="b">
        <f ca="1">IF(tblValidation[[#This Row],[TargetID]]="","",COUNTIF(tblStates[StateID],tblValidation[[#This Row],[TargetID]])&gt;1)</f>
        <v>0</v>
      </c>
      <c r="O4" s="48" t="b" cm="1">
        <f t="array" aca="1" ref="O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 s="48"/>
      <c r="R4" s="48"/>
      <c r="S4" s="48"/>
      <c r="T4" s="48"/>
      <c r="V4" s="49" t="str">
        <f ca="1"/>
        <v>building.airship@2</v>
      </c>
      <c r="W4" s="48" t="str">
        <f ca="1"/>
        <v>state.action_send_train_to_sapporo</v>
      </c>
      <c r="X4" s="48" t="str">
        <f ca="1"/>
        <v>building.airship@2</v>
      </c>
      <c r="Y4" s="48" t="str">
        <f ca="1"/>
        <v>building.alchemists_hut@1</v>
      </c>
      <c r="Z4" s="48" t="str">
        <f ca="1"/>
        <v>building.airship@2</v>
      </c>
      <c r="AA4" s="48" t="str">
        <f ca="1"/>
        <v>building.airship@2</v>
      </c>
      <c r="AB4" s="48" t="str">
        <f ca="1"/>
        <v>quest.ahead_of_time_chapter_3.finished</v>
      </c>
      <c r="AC4" s="48" t="str">
        <f ca="1"/>
        <v>building.food_stall@1</v>
      </c>
      <c r="AD4" s="49" t="str">
        <f ca="1"/>
        <v>building.airship@2</v>
      </c>
      <c r="AE4" s="49" t="str">
        <f ca="1"/>
        <v>building.alchemists_hut@1</v>
      </c>
      <c r="AF4" s="49"/>
      <c r="AG4" s="49"/>
      <c r="AI4" s="49"/>
      <c r="AL4" s="49"/>
      <c r="AM4" s="49"/>
      <c r="AN4" s="49"/>
      <c r="AO4" s="49"/>
      <c r="AP4" s="49"/>
      <c r="AQ4" s="49"/>
      <c r="AR4" s="49"/>
      <c r="AS4" s="49"/>
      <c r="AU4" s="49"/>
      <c r="AX4" s="49"/>
      <c r="AY4" s="49"/>
      <c r="AZ4" s="49"/>
      <c r="BA4" s="49"/>
      <c r="BB4" s="49"/>
      <c r="BC4" s="49"/>
      <c r="BE4" s="49"/>
    </row>
    <row r="5" spans="1:58" ht="42">
      <c r="A5" t="str">
        <f t="shared" ca="1" si="0"/>
        <v>building.alchemists_hut.maxed</v>
      </c>
      <c r="B5" t="str">
        <f ca="1">_xlfn.XLOOKUP(tblValidation[[#This Row],[TargetID]],tblTargets[TargetID],tblTargets[TargetType],"")</f>
        <v>BUILDING</v>
      </c>
      <c r="C5" s="48" t="b">
        <f ca="1">COUNTIF(tblTargets[TargetID], $A5) &gt; 0</f>
        <v>1</v>
      </c>
      <c r="D5" s="48" t="b">
        <f ca="1">IF(OR(LEFT(tblValidation[[#This Row],[TargetID]],10)="state.CHAR",RIGHT(tblValidation[[#This Row],[TargetID]],5)="maxed"),TRUE, COUNTIF(tblChecklist[TargetID], $A5) &gt; 0)</f>
        <v>1</v>
      </c>
      <c r="E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 &gt; 0)</f>
        <v>1</v>
      </c>
      <c r="F5" s="48" t="b">
        <f ca="1">COUNTIF(tblDependencies[DependencyID], $A5) &gt; 0</f>
        <v>1</v>
      </c>
      <c r="G5" s="48" t="b">
        <f ca="1">COUNTIF(tblQuestObjectives[QuestTargetID], $A5) &gt; 0</f>
        <v>0</v>
      </c>
      <c r="H5" s="48" t="b">
        <f ca="1">COUNTIF(tblQuestObjectives[ObjectiveID], $A5) &gt; 0</f>
        <v>0</v>
      </c>
      <c r="I5" s="48" t="b">
        <f ca="1">COUNTIF(tblTargetStatus[TargetID], $A5) &gt; 0</f>
        <v>1</v>
      </c>
      <c r="J5" s="48" t="b">
        <f ca="1">COUNTIF(tblCost[TargetID], $A5) &gt; 0</f>
        <v>0</v>
      </c>
      <c r="K5" s="48" t="b">
        <f ca="1">COUNTIF(tblStates[StateID], $A5) &gt; 0</f>
        <v>0</v>
      </c>
      <c r="L5" s="48" t="b">
        <f t="shared" ca="1" si="1"/>
        <v>1</v>
      </c>
      <c r="M5" s="48" t="b">
        <f ca="1">IF(tblValidation[[#This Row],[TargetID]]="","",COUNTIF(tblTargets[TargetID],A5)&gt;1)</f>
        <v>0</v>
      </c>
      <c r="N5" s="48" t="b">
        <f ca="1">IF(tblValidation[[#This Row],[TargetID]]="","",COUNTIF(tblStates[StateID],tblValidation[[#This Row],[TargetID]])&gt;1)</f>
        <v>0</v>
      </c>
      <c r="O5" s="48" t="b" cm="1">
        <f t="array" aca="1" ref="O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 s="48"/>
      <c r="R5" s="48"/>
      <c r="S5" s="48"/>
      <c r="T5" s="48"/>
      <c r="V5" s="49" t="str">
        <f ca="1"/>
        <v>building.alchemists_hut.maxed</v>
      </c>
      <c r="W5" s="48" t="str">
        <f ca="1"/>
        <v>state.action_tame_a_critter</v>
      </c>
      <c r="X5" s="48" t="str">
        <f ca="1"/>
        <v>building.alchemists_hut.maxed</v>
      </c>
      <c r="Y5" s="48" t="str">
        <f ca="1"/>
        <v>building.alchemists_hut@2</v>
      </c>
      <c r="Z5" s="48" t="str">
        <f ca="1"/>
        <v>building.alchemists_hut.maxed</v>
      </c>
      <c r="AA5" s="48" t="str">
        <f ca="1"/>
        <v>building.alchemists_hut.maxed</v>
      </c>
      <c r="AB5" s="48" t="str">
        <f ca="1"/>
        <v>quest.ahead_of_time_chapter_4.finished</v>
      </c>
      <c r="AC5" s="48" t="str">
        <f ca="1"/>
        <v>building.food_stall@2</v>
      </c>
      <c r="AD5" s="49" t="str">
        <f ca="1"/>
        <v>building.alchemists_hut.maxed</v>
      </c>
      <c r="AE5" s="49" t="str">
        <f ca="1"/>
        <v>building.alchemists_hut@2</v>
      </c>
      <c r="AF5" s="49"/>
      <c r="AG5" s="49"/>
      <c r="AI5" s="49"/>
      <c r="AL5" s="49"/>
      <c r="AM5" s="49"/>
      <c r="AN5" s="49"/>
      <c r="AO5" s="49"/>
      <c r="AP5" s="49"/>
      <c r="AQ5" s="49"/>
      <c r="AR5" s="49"/>
      <c r="AS5" s="49"/>
      <c r="AU5" s="49"/>
      <c r="AX5" s="49"/>
      <c r="AY5" s="49"/>
      <c r="AZ5" s="49"/>
      <c r="BA5" s="49"/>
      <c r="BB5" s="49"/>
      <c r="BC5" s="49"/>
      <c r="BE5" s="49"/>
    </row>
    <row r="6" spans="1:58" ht="28">
      <c r="A6" t="str">
        <f t="shared" ca="1" si="0"/>
        <v>building.alchemists_hut@1</v>
      </c>
      <c r="B6" t="str">
        <f ca="1">_xlfn.XLOOKUP(tblValidation[[#This Row],[TargetID]],tblTargets[TargetID],tblTargets[TargetType],"")</f>
        <v>BUILDING</v>
      </c>
      <c r="C6" s="48" t="b">
        <f ca="1">COUNTIF(tblTargets[TargetID], $A6) &gt; 0</f>
        <v>1</v>
      </c>
      <c r="D6" s="48" t="b">
        <f ca="1">IF(OR(LEFT(tblValidation[[#This Row],[TargetID]],10)="state.CHAR",RIGHT(tblValidation[[#This Row],[TargetID]],5)="maxed"),TRUE, COUNTIF(tblChecklist[TargetID], $A6) &gt; 0)</f>
        <v>1</v>
      </c>
      <c r="E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 &gt; 0)</f>
        <v>1</v>
      </c>
      <c r="F6" s="48" t="b">
        <f ca="1">COUNTIF(tblDependencies[DependencyID], $A6) &gt; 0</f>
        <v>1</v>
      </c>
      <c r="G6" s="48" t="b">
        <f ca="1">COUNTIF(tblQuestObjectives[QuestTargetID], $A6) &gt; 0</f>
        <v>0</v>
      </c>
      <c r="H6" s="48" t="b">
        <f ca="1">COUNTIF(tblQuestObjectives[ObjectiveID], $A6) &gt; 0</f>
        <v>0</v>
      </c>
      <c r="I6" s="48" t="b">
        <f ca="1">COUNTIF(tblTargetStatus[TargetID], $A6) &gt; 0</f>
        <v>1</v>
      </c>
      <c r="J6" s="48" t="b">
        <f ca="1">COUNTIF(tblCost[TargetID], $A6) &gt; 0</f>
        <v>1</v>
      </c>
      <c r="K6" s="48" t="b">
        <f ca="1">COUNTIF(tblStates[StateID], $A6) &gt; 0</f>
        <v>0</v>
      </c>
      <c r="L6" s="48" t="b">
        <f t="shared" ca="1" si="1"/>
        <v>1</v>
      </c>
      <c r="M6" s="48" t="b">
        <f ca="1">IF(tblValidation[[#This Row],[TargetID]]="","",COUNTIF(tblTargets[TargetID],A6)&gt;1)</f>
        <v>0</v>
      </c>
      <c r="N6" s="48" t="b">
        <f ca="1">IF(tblValidation[[#This Row],[TargetID]]="","",COUNTIF(tblStates[StateID],tblValidation[[#This Row],[TargetID]])&gt;1)</f>
        <v>0</v>
      </c>
      <c r="O6" s="48" t="b" cm="1">
        <f t="array" aca="1" ref="O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 s="48"/>
      <c r="R6" s="48"/>
      <c r="S6" s="48"/>
      <c r="T6" s="48"/>
      <c r="U6" s="49"/>
      <c r="V6" s="49" t="str">
        <f ca="1"/>
        <v>building.alchemists_hut@1</v>
      </c>
      <c r="W6" s="48" t="str">
        <f ca="1"/>
        <v>state.character_cartographer@2</v>
      </c>
      <c r="X6" s="48" t="str">
        <f ca="1"/>
        <v>building.alchemists_hut@1</v>
      </c>
      <c r="Y6" s="48" t="str">
        <f ca="1"/>
        <v>building.alchemists_hut@3</v>
      </c>
      <c r="Z6" s="48" t="str">
        <f ca="1"/>
        <v>building.alchemists_hut@1</v>
      </c>
      <c r="AA6" s="48" t="str">
        <f ca="1"/>
        <v>building.alchemists_hut@1</v>
      </c>
      <c r="AB6" s="48" t="str">
        <f ca="1"/>
        <v>quest.ahead_of_time_chapter_5.finished</v>
      </c>
      <c r="AC6" s="48" t="str">
        <f ca="1"/>
        <v>building.food_stall@3</v>
      </c>
      <c r="AD6" s="49" t="str">
        <f ca="1"/>
        <v>building.alchemists_hut@1</v>
      </c>
      <c r="AE6" s="49" t="str">
        <f ca="1"/>
        <v>building.alchemists_hut@3</v>
      </c>
      <c r="AF6" s="49"/>
      <c r="AG6" s="49"/>
      <c r="AI6" s="49"/>
      <c r="AL6" s="49"/>
      <c r="AM6" s="49"/>
      <c r="AN6" s="49"/>
      <c r="AO6" s="49"/>
      <c r="AP6" s="49"/>
      <c r="AQ6" s="49"/>
      <c r="AR6" s="49"/>
      <c r="AS6" s="49"/>
      <c r="AU6" s="49"/>
      <c r="AX6" s="49"/>
      <c r="AY6" s="49"/>
      <c r="AZ6" s="49"/>
      <c r="BA6" s="49"/>
      <c r="BB6" s="49"/>
      <c r="BC6" s="49"/>
      <c r="BE6" s="49"/>
    </row>
    <row r="7" spans="1:58" ht="28">
      <c r="A7" t="str">
        <f t="shared" ca="1" si="0"/>
        <v>building.alchemists_hut@2</v>
      </c>
      <c r="B7" t="str">
        <f ca="1">_xlfn.XLOOKUP(tblValidation[[#This Row],[TargetID]],tblTargets[TargetID],tblTargets[TargetType],"")</f>
        <v>BUILDING</v>
      </c>
      <c r="C7" s="48" t="b">
        <f ca="1">COUNTIF(tblTargets[TargetID], $A7) &gt; 0</f>
        <v>1</v>
      </c>
      <c r="D7" s="48" t="b">
        <f ca="1">IF(OR(LEFT(tblValidation[[#This Row],[TargetID]],10)="state.CHAR",RIGHT(tblValidation[[#This Row],[TargetID]],5)="maxed"),TRUE, COUNTIF(tblChecklist[TargetID], $A7) &gt; 0)</f>
        <v>1</v>
      </c>
      <c r="E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 &gt; 0)</f>
        <v>1</v>
      </c>
      <c r="F7" s="48" t="b">
        <f ca="1">COUNTIF(tblDependencies[DependencyID], $A7) &gt; 0</f>
        <v>1</v>
      </c>
      <c r="G7" s="48" t="b">
        <f ca="1">COUNTIF(tblQuestObjectives[QuestTargetID], $A7) &gt; 0</f>
        <v>0</v>
      </c>
      <c r="H7" s="48" t="b">
        <f ca="1">COUNTIF(tblQuestObjectives[ObjectiveID], $A7) &gt; 0</f>
        <v>0</v>
      </c>
      <c r="I7" s="48" t="b">
        <f ca="1">COUNTIF(tblTargetStatus[TargetID], $A7) &gt; 0</f>
        <v>1</v>
      </c>
      <c r="J7" s="48" t="b">
        <f ca="1">COUNTIF(tblCost[TargetID], $A7) &gt; 0</f>
        <v>1</v>
      </c>
      <c r="K7" s="48" t="b">
        <f ca="1">COUNTIF(tblStates[StateID], $A7) &gt; 0</f>
        <v>0</v>
      </c>
      <c r="L7" s="48" t="b">
        <f t="shared" ca="1" si="1"/>
        <v>1</v>
      </c>
      <c r="M7" s="48" t="b">
        <f ca="1">IF(tblValidation[[#This Row],[TargetID]]="","",COUNTIF(tblTargets[TargetID],A7)&gt;1)</f>
        <v>0</v>
      </c>
      <c r="N7" s="48" t="b">
        <f ca="1">IF(tblValidation[[#This Row],[TargetID]]="","",COUNTIF(tblStates[StateID],tblValidation[[#This Row],[TargetID]])&gt;1)</f>
        <v>0</v>
      </c>
      <c r="O7" s="48" t="b" cm="1">
        <f t="array" aca="1" ref="O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 s="48"/>
      <c r="R7" s="48"/>
      <c r="S7" s="48"/>
      <c r="T7" s="48"/>
      <c r="V7" s="49" t="str">
        <f ca="1"/>
        <v>building.alchemists_hut@2</v>
      </c>
      <c r="W7" s="48" t="str">
        <f ca="1"/>
        <v>state.character_cartographer@4</v>
      </c>
      <c r="X7" s="48" t="str">
        <f ca="1"/>
        <v>building.alchemists_hut@2</v>
      </c>
      <c r="Y7" s="48" t="str">
        <f ca="1"/>
        <v>building.alchemists_hut@4</v>
      </c>
      <c r="Z7" s="48" t="str">
        <f ca="1"/>
        <v>building.alchemists_hut@2</v>
      </c>
      <c r="AA7" s="48" t="str">
        <f ca="1"/>
        <v>building.alchemists_hut@2</v>
      </c>
      <c r="AB7" s="48" t="str">
        <f ca="1"/>
        <v>quest.build_the_guild.finished</v>
      </c>
      <c r="AC7" s="48" t="str">
        <f ca="1"/>
        <v>building.furnace@1</v>
      </c>
      <c r="AD7" s="49" t="str">
        <f ca="1"/>
        <v>building.alchemists_hut@2</v>
      </c>
      <c r="AE7" s="49" t="str">
        <f ca="1"/>
        <v>building.alchemists_hut@4</v>
      </c>
      <c r="AF7" s="49"/>
      <c r="AG7" s="49"/>
      <c r="AI7" s="49"/>
      <c r="AL7" s="49"/>
      <c r="AM7" s="49"/>
      <c r="AN7" s="49"/>
      <c r="AO7" s="49"/>
      <c r="AP7" s="49"/>
      <c r="AQ7" s="49"/>
      <c r="AR7" s="49"/>
      <c r="AS7" s="49"/>
      <c r="AU7" s="49"/>
      <c r="AX7" s="49"/>
      <c r="AY7" s="49"/>
      <c r="AZ7" s="49"/>
      <c r="BA7" s="49"/>
      <c r="BB7" s="49"/>
      <c r="BC7" s="49"/>
      <c r="BE7" s="49"/>
    </row>
    <row r="8" spans="1:58" ht="28">
      <c r="A8" t="str">
        <f t="shared" ca="1" si="0"/>
        <v>building.alchemists_hut@3</v>
      </c>
      <c r="B8" t="str">
        <f ca="1">_xlfn.XLOOKUP(tblValidation[[#This Row],[TargetID]],tblTargets[TargetID],tblTargets[TargetType],"")</f>
        <v>BUILDING</v>
      </c>
      <c r="C8" s="48" t="b">
        <f ca="1">COUNTIF(tblTargets[TargetID], $A8) &gt; 0</f>
        <v>1</v>
      </c>
      <c r="D8" s="48" t="b">
        <f ca="1">IF(OR(LEFT(tblValidation[[#This Row],[TargetID]],10)="state.CHAR",RIGHT(tblValidation[[#This Row],[TargetID]],5)="maxed"),TRUE, COUNTIF(tblChecklist[TargetID], $A8) &gt; 0)</f>
        <v>1</v>
      </c>
      <c r="E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 &gt; 0)</f>
        <v>1</v>
      </c>
      <c r="F8" s="48" t="b">
        <f ca="1">COUNTIF(tblDependencies[DependencyID], $A8) &gt; 0</f>
        <v>1</v>
      </c>
      <c r="G8" s="48" t="b">
        <f ca="1">COUNTIF(tblQuestObjectives[QuestTargetID], $A8) &gt; 0</f>
        <v>0</v>
      </c>
      <c r="H8" s="48" t="b">
        <f ca="1">COUNTIF(tblQuestObjectives[ObjectiveID], $A8) &gt; 0</f>
        <v>0</v>
      </c>
      <c r="I8" s="48" t="b">
        <f ca="1">COUNTIF(tblTargetStatus[TargetID], $A8) &gt; 0</f>
        <v>1</v>
      </c>
      <c r="J8" s="48" t="b">
        <f ca="1">COUNTIF(tblCost[TargetID], $A8) &gt; 0</f>
        <v>1</v>
      </c>
      <c r="K8" s="48" t="b">
        <f ca="1">COUNTIF(tblStates[StateID], $A8) &gt; 0</f>
        <v>0</v>
      </c>
      <c r="L8" s="48" t="b">
        <f t="shared" ca="1" si="1"/>
        <v>1</v>
      </c>
      <c r="M8" s="48" t="b">
        <f ca="1">IF(tblValidation[[#This Row],[TargetID]]="","",COUNTIF(tblTargets[TargetID],A8)&gt;1)</f>
        <v>0</v>
      </c>
      <c r="N8" s="48" t="b">
        <f ca="1">IF(tblValidation[[#This Row],[TargetID]]="","",COUNTIF(tblStates[StateID],tblValidation[[#This Row],[TargetID]])&gt;1)</f>
        <v>0</v>
      </c>
      <c r="O8" s="48" t="b" cm="1">
        <f t="array" aca="1" ref="O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 s="48"/>
      <c r="R8" s="48"/>
      <c r="S8" s="48"/>
      <c r="T8" s="48"/>
      <c r="V8" s="49" t="str">
        <f ca="1"/>
        <v>building.alchemists_hut@3</v>
      </c>
      <c r="W8" s="48" t="str">
        <f ca="1"/>
        <v>state.character_cooking@13</v>
      </c>
      <c r="X8" s="48" t="str">
        <f ca="1"/>
        <v>building.alchemists_hut@3</v>
      </c>
      <c r="Y8" s="48" t="str">
        <f ca="1"/>
        <v>building.alchemists_hut@5</v>
      </c>
      <c r="Z8" s="48" t="str">
        <f ca="1"/>
        <v>building.alchemists_hut@3</v>
      </c>
      <c r="AA8" s="48" t="str">
        <f ca="1"/>
        <v>building.alchemists_hut@3</v>
      </c>
      <c r="AB8" s="48" t="str">
        <f ca="1"/>
        <v>quest.build_the_pagoda.finished</v>
      </c>
      <c r="AC8" s="48" t="str">
        <f ca="1"/>
        <v>building.guild@5</v>
      </c>
      <c r="AD8" s="49" t="str">
        <f ca="1"/>
        <v>building.alchemists_hut@3</v>
      </c>
      <c r="AE8" s="49" t="str">
        <f ca="1"/>
        <v>building.alchemists_hut@5</v>
      </c>
      <c r="AF8" s="49"/>
      <c r="AG8" s="49"/>
      <c r="AI8" s="49"/>
      <c r="AL8" s="49"/>
      <c r="AM8" s="49"/>
      <c r="AN8" s="49"/>
      <c r="AO8" s="49"/>
      <c r="AP8" s="49"/>
      <c r="AQ8" s="49"/>
      <c r="AR8" s="49"/>
      <c r="AS8" s="49"/>
      <c r="AU8" s="49"/>
      <c r="AX8" s="49"/>
      <c r="AY8" s="49"/>
      <c r="AZ8" s="49"/>
      <c r="BA8" s="49"/>
      <c r="BB8" s="49"/>
      <c r="BC8" s="49"/>
      <c r="BE8" s="49"/>
    </row>
    <row r="9" spans="1:58" ht="28">
      <c r="A9" t="str">
        <f t="shared" ca="1" si="0"/>
        <v>building.alchemists_hut@4</v>
      </c>
      <c r="B9" t="str">
        <f ca="1">_xlfn.XLOOKUP(tblValidation[[#This Row],[TargetID]],tblTargets[TargetID],tblTargets[TargetType],"")</f>
        <v>BUILDING</v>
      </c>
      <c r="C9" s="48" t="b">
        <f ca="1">COUNTIF(tblTargets[TargetID], $A9) &gt; 0</f>
        <v>1</v>
      </c>
      <c r="D9" s="48" t="b">
        <f ca="1">IF(OR(LEFT(tblValidation[[#This Row],[TargetID]],10)="state.CHAR",RIGHT(tblValidation[[#This Row],[TargetID]],5)="maxed"),TRUE, COUNTIF(tblChecklist[TargetID], $A9) &gt; 0)</f>
        <v>1</v>
      </c>
      <c r="E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 &gt; 0)</f>
        <v>1</v>
      </c>
      <c r="F9" s="48" t="b">
        <f ca="1">COUNTIF(tblDependencies[DependencyID], $A9) &gt; 0</f>
        <v>1</v>
      </c>
      <c r="G9" s="48" t="b">
        <f ca="1">COUNTIF(tblQuestObjectives[QuestTargetID], $A9) &gt; 0</f>
        <v>0</v>
      </c>
      <c r="H9" s="48" t="b">
        <f ca="1">COUNTIF(tblQuestObjectives[ObjectiveID], $A9) &gt; 0</f>
        <v>0</v>
      </c>
      <c r="I9" s="48" t="b">
        <f ca="1">COUNTIF(tblTargetStatus[TargetID], $A9) &gt; 0</f>
        <v>1</v>
      </c>
      <c r="J9" s="48" t="b">
        <f ca="1">COUNTIF(tblCost[TargetID], $A9) &gt; 0</f>
        <v>1</v>
      </c>
      <c r="K9" s="48" t="b">
        <f ca="1">COUNTIF(tblStates[StateID], $A9) &gt; 0</f>
        <v>0</v>
      </c>
      <c r="L9" s="48" t="b">
        <f t="shared" ca="1" si="1"/>
        <v>1</v>
      </c>
      <c r="M9" s="48" t="b">
        <f ca="1">IF(tblValidation[[#This Row],[TargetID]]="","",COUNTIF(tblTargets[TargetID],A9)&gt;1)</f>
        <v>0</v>
      </c>
      <c r="N9" s="48" t="b">
        <f ca="1">IF(tblValidation[[#This Row],[TargetID]]="","",COUNTIF(tblStates[StateID],tblValidation[[#This Row],[TargetID]])&gt;1)</f>
        <v>0</v>
      </c>
      <c r="O9" s="48" t="b" cm="1">
        <f t="array" aca="1" ref="O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 s="48"/>
      <c r="R9" s="48"/>
      <c r="S9" s="48"/>
      <c r="T9" s="48"/>
      <c r="V9" s="49" t="str">
        <f ca="1"/>
        <v>building.alchemists_hut@4</v>
      </c>
      <c r="W9" s="48" t="str">
        <f ca="1"/>
        <v>state.character_cooking@2</v>
      </c>
      <c r="X9" s="48" t="str">
        <f ca="1"/>
        <v>building.alchemists_hut@4</v>
      </c>
      <c r="Y9" s="48" t="str">
        <f ca="1"/>
        <v>building.alchemists_hut@6</v>
      </c>
      <c r="Z9" s="48" t="str">
        <f ca="1"/>
        <v>building.alchemists_hut@4</v>
      </c>
      <c r="AA9" s="48" t="str">
        <f ca="1"/>
        <v>building.alchemists_hut@4</v>
      </c>
      <c r="AB9" s="48" t="str">
        <f ca="1"/>
        <v>quest.culinary_battle.finished</v>
      </c>
      <c r="AC9" s="48" t="str">
        <f ca="1"/>
        <v>building.laboratory@5</v>
      </c>
      <c r="AD9" s="49" t="str">
        <f ca="1"/>
        <v>building.alchemists_hut@4</v>
      </c>
      <c r="AE9" s="49" t="str">
        <f ca="1"/>
        <v>building.alchemists_hut@6</v>
      </c>
      <c r="AF9" s="49"/>
      <c r="AG9" s="49"/>
      <c r="AI9" s="49"/>
      <c r="AL9" s="49"/>
      <c r="AM9" s="49"/>
      <c r="AN9" s="49"/>
      <c r="AO9" s="49"/>
      <c r="AP9" s="49"/>
      <c r="AQ9" s="49"/>
      <c r="AR9" s="49"/>
      <c r="AS9" s="49"/>
      <c r="AU9" s="49"/>
      <c r="AX9" s="49"/>
      <c r="AY9" s="49"/>
      <c r="AZ9" s="49"/>
      <c r="BA9" s="49"/>
      <c r="BB9" s="49"/>
      <c r="BC9" s="49"/>
      <c r="BE9" s="49"/>
    </row>
    <row r="10" spans="1:58" ht="28">
      <c r="A10" t="str">
        <f t="shared" ca="1" si="0"/>
        <v>building.alchemists_hut@5</v>
      </c>
      <c r="B10" t="str">
        <f ca="1">_xlfn.XLOOKUP(tblValidation[[#This Row],[TargetID]],tblTargets[TargetID],tblTargets[TargetType],"")</f>
        <v>BUILDING</v>
      </c>
      <c r="C10" s="48" t="b">
        <f ca="1">COUNTIF(tblTargets[TargetID], $A10) &gt; 0</f>
        <v>1</v>
      </c>
      <c r="D10" s="48" t="b">
        <f ca="1">IF(OR(LEFT(tblValidation[[#This Row],[TargetID]],10)="state.CHAR",RIGHT(tblValidation[[#This Row],[TargetID]],5)="maxed"),TRUE, COUNTIF(tblChecklist[TargetID], $A10) &gt; 0)</f>
        <v>1</v>
      </c>
      <c r="E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 &gt; 0)</f>
        <v>1</v>
      </c>
      <c r="F10" s="48" t="b">
        <f ca="1">COUNTIF(tblDependencies[DependencyID], $A10) &gt; 0</f>
        <v>1</v>
      </c>
      <c r="G10" s="48" t="b">
        <f ca="1">COUNTIF(tblQuestObjectives[QuestTargetID], $A10) &gt; 0</f>
        <v>0</v>
      </c>
      <c r="H10" s="48" t="b">
        <f ca="1">COUNTIF(tblQuestObjectives[ObjectiveID], $A10) &gt; 0</f>
        <v>0</v>
      </c>
      <c r="I10" s="48" t="b">
        <f ca="1">COUNTIF(tblTargetStatus[TargetID], $A10) &gt; 0</f>
        <v>1</v>
      </c>
      <c r="J10" s="48" t="b">
        <f ca="1">COUNTIF(tblCost[TargetID], $A10) &gt; 0</f>
        <v>1</v>
      </c>
      <c r="K10" s="48" t="b">
        <f ca="1">COUNTIF(tblStates[StateID], $A10) &gt; 0</f>
        <v>0</v>
      </c>
      <c r="L10" s="48" t="b">
        <f t="shared" ca="1" si="1"/>
        <v>1</v>
      </c>
      <c r="M10" s="48" t="b">
        <f ca="1">IF(tblValidation[[#This Row],[TargetID]]="","",COUNTIF(tblTargets[TargetID],A10)&gt;1)</f>
        <v>0</v>
      </c>
      <c r="N10" s="48" t="b">
        <f ca="1">IF(tblValidation[[#This Row],[TargetID]]="","",COUNTIF(tblStates[StateID],tblValidation[[#This Row],[TargetID]])&gt;1)</f>
        <v>0</v>
      </c>
      <c r="O10" s="48" t="b" cm="1">
        <f t="array" aca="1" ref="O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 s="48"/>
      <c r="R10" s="48"/>
      <c r="S10" s="48"/>
      <c r="T10" s="48"/>
      <c r="V10" s="49" t="str">
        <f ca="1"/>
        <v>building.alchemists_hut@5</v>
      </c>
      <c r="W10" s="48" t="str">
        <f ca="1"/>
        <v>state.character_cooking@3</v>
      </c>
      <c r="X10" s="48" t="str">
        <f ca="1"/>
        <v>building.alchemists_hut@5</v>
      </c>
      <c r="Y10" s="48" t="str">
        <f ca="1"/>
        <v>building.bonsai@1</v>
      </c>
      <c r="Z10" s="48" t="str">
        <f ca="1"/>
        <v>building.alchemists_hut@5</v>
      </c>
      <c r="AA10" s="48" t="str">
        <f ca="1"/>
        <v>building.alchemists_hut@5</v>
      </c>
      <c r="AB10" s="48" t="str">
        <f ca="1"/>
        <v>quest.dragon_teeth.finished</v>
      </c>
      <c r="AC10" s="48" t="str">
        <f ca="1"/>
        <v>building.laboratory_data_center@1</v>
      </c>
      <c r="AD10" s="49" t="str">
        <f ca="1"/>
        <v>building.alchemists_hut@5</v>
      </c>
      <c r="AE10" s="49" t="str">
        <f ca="1"/>
        <v>building.bonsai@1</v>
      </c>
      <c r="AF10" s="49"/>
      <c r="AG10" s="49"/>
      <c r="AI10" s="49"/>
      <c r="AL10" s="49"/>
      <c r="AM10" s="49"/>
      <c r="AN10" s="49"/>
      <c r="AO10" s="49"/>
      <c r="AP10" s="49"/>
      <c r="AQ10" s="49"/>
      <c r="AR10" s="49"/>
      <c r="AS10" s="49"/>
      <c r="AU10" s="49"/>
      <c r="AX10" s="49"/>
      <c r="AY10" s="49"/>
      <c r="AZ10" s="49"/>
      <c r="BA10" s="49"/>
      <c r="BB10" s="49"/>
      <c r="BC10" s="49"/>
      <c r="BE10" s="49"/>
    </row>
    <row r="11" spans="1:58" ht="28">
      <c r="A11" t="str">
        <f t="shared" ca="1" si="0"/>
        <v>building.alchemists_hut@6</v>
      </c>
      <c r="B11" t="str">
        <f ca="1">_xlfn.XLOOKUP(tblValidation[[#This Row],[TargetID]],tblTargets[TargetID],tblTargets[TargetType],"")</f>
        <v>BUILDING</v>
      </c>
      <c r="C11" s="48" t="b">
        <f ca="1">COUNTIF(tblTargets[TargetID], $A11) &gt; 0</f>
        <v>1</v>
      </c>
      <c r="D11" s="48" t="b">
        <f ca="1">IF(OR(LEFT(tblValidation[[#This Row],[TargetID]],10)="state.CHAR",RIGHT(tblValidation[[#This Row],[TargetID]],5)="maxed"),TRUE, COUNTIF(tblChecklist[TargetID], $A11) &gt; 0)</f>
        <v>1</v>
      </c>
      <c r="E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 &gt; 0)</f>
        <v>1</v>
      </c>
      <c r="F11" s="48" t="b">
        <f ca="1">COUNTIF(tblDependencies[DependencyID], $A11) &gt; 0</f>
        <v>1</v>
      </c>
      <c r="G11" s="48" t="b">
        <f ca="1">COUNTIF(tblQuestObjectives[QuestTargetID], $A11) &gt; 0</f>
        <v>0</v>
      </c>
      <c r="H11" s="48" t="b">
        <f ca="1">COUNTIF(tblQuestObjectives[ObjectiveID], $A11) &gt; 0</f>
        <v>0</v>
      </c>
      <c r="I11" s="48" t="b">
        <f ca="1">COUNTIF(tblTargetStatus[TargetID], $A11) &gt; 0</f>
        <v>1</v>
      </c>
      <c r="J11" s="48" t="b">
        <f ca="1">COUNTIF(tblCost[TargetID], $A11) &gt; 0</f>
        <v>1</v>
      </c>
      <c r="K11" s="48" t="b">
        <f ca="1">COUNTIF(tblStates[StateID], $A11) &gt; 0</f>
        <v>0</v>
      </c>
      <c r="L11" s="48" t="b">
        <f t="shared" ca="1" si="1"/>
        <v>1</v>
      </c>
      <c r="M11" s="48" t="b">
        <f ca="1">IF(tblValidation[[#This Row],[TargetID]]="","",COUNTIF(tblTargets[TargetID],A11)&gt;1)</f>
        <v>0</v>
      </c>
      <c r="N11" s="48" t="b">
        <f ca="1">IF(tblValidation[[#This Row],[TargetID]]="","",COUNTIF(tblStates[StateID],tblValidation[[#This Row],[TargetID]])&gt;1)</f>
        <v>0</v>
      </c>
      <c r="O11" s="48" t="b" cm="1">
        <f t="array" aca="1" ref="O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 s="48"/>
      <c r="R11" s="48"/>
      <c r="S11" s="48"/>
      <c r="T11" s="48"/>
      <c r="U11" s="49"/>
      <c r="V11" s="49" t="str">
        <f ca="1"/>
        <v>building.alchemists_hut@6</v>
      </c>
      <c r="W11" s="48" t="str">
        <f ca="1"/>
        <v>state.character_level@10</v>
      </c>
      <c r="X11" s="48" t="str">
        <f ca="1"/>
        <v>building.alchemists_hut@6</v>
      </c>
      <c r="Y11" s="48" t="str">
        <f ca="1"/>
        <v>building.bonsai@2</v>
      </c>
      <c r="Z11" s="48" t="str">
        <f ca="1"/>
        <v>building.alchemists_hut@6</v>
      </c>
      <c r="AA11" s="48" t="str">
        <f ca="1"/>
        <v>building.alchemists_hut@6</v>
      </c>
      <c r="AB11" s="48" t="str">
        <f ca="1"/>
        <v>quest.green_potion.finished</v>
      </c>
      <c r="AC11" s="48" t="str">
        <f ca="1"/>
        <v>building.lumber@3</v>
      </c>
      <c r="AD11" s="49" t="str">
        <f ca="1"/>
        <v>building.alchemists_hut@6</v>
      </c>
      <c r="AE11" s="49" t="str">
        <f ca="1"/>
        <v>building.bonsai@2</v>
      </c>
      <c r="AF11" s="49"/>
      <c r="AG11" s="49"/>
      <c r="AI11" s="49"/>
      <c r="AL11" s="49"/>
      <c r="AM11" s="49"/>
      <c r="AN11" s="49"/>
      <c r="AO11" s="49"/>
      <c r="AP11" s="49"/>
      <c r="AQ11" s="49"/>
      <c r="AR11" s="49"/>
      <c r="AS11" s="49"/>
      <c r="AU11" s="49"/>
      <c r="AX11" s="49"/>
      <c r="AY11" s="49"/>
      <c r="AZ11" s="49"/>
      <c r="BA11" s="49"/>
      <c r="BB11" s="49"/>
      <c r="BC11" s="49"/>
      <c r="BE11" s="49"/>
    </row>
    <row r="12" spans="1:58" ht="28">
      <c r="A12" t="str">
        <f t="shared" ca="1" si="0"/>
        <v>building.bonsai@1</v>
      </c>
      <c r="B12" t="str">
        <f ca="1">_xlfn.XLOOKUP(tblValidation[[#This Row],[TargetID]],tblTargets[TargetID],tblTargets[TargetType],"")</f>
        <v>BUILDING</v>
      </c>
      <c r="C12" s="48" t="b">
        <f ca="1">COUNTIF(tblTargets[TargetID], $A12) &gt; 0</f>
        <v>1</v>
      </c>
      <c r="D12" s="48" t="b">
        <f ca="1">IF(OR(LEFT(tblValidation[[#This Row],[TargetID]],10)="state.CHAR",RIGHT(tblValidation[[#This Row],[TargetID]],5)="maxed"),TRUE, COUNTIF(tblChecklist[TargetID], $A12) &gt; 0)</f>
        <v>1</v>
      </c>
      <c r="E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 &gt; 0)</f>
        <v>1</v>
      </c>
      <c r="F12" s="48" t="b">
        <f ca="1">COUNTIF(tblDependencies[DependencyID], $A12) &gt; 0</f>
        <v>1</v>
      </c>
      <c r="G12" s="48" t="b">
        <f ca="1">COUNTIF(tblQuestObjectives[QuestTargetID], $A12) &gt; 0</f>
        <v>0</v>
      </c>
      <c r="H12" s="48" t="b">
        <f ca="1">COUNTIF(tblQuestObjectives[ObjectiveID], $A12) &gt; 0</f>
        <v>0</v>
      </c>
      <c r="I12" s="48" t="b">
        <f ca="1">COUNTIF(tblTargetStatus[TargetID], $A12) &gt; 0</f>
        <v>1</v>
      </c>
      <c r="J12" s="48" t="b">
        <f ca="1">COUNTIF(tblCost[TargetID], $A12) &gt; 0</f>
        <v>1</v>
      </c>
      <c r="K12" s="48" t="b">
        <f ca="1">COUNTIF(tblStates[StateID], $A12) &gt; 0</f>
        <v>0</v>
      </c>
      <c r="L12" s="48" t="b">
        <f t="shared" ca="1" si="1"/>
        <v>1</v>
      </c>
      <c r="M12" s="48" t="b">
        <f ca="1">IF(tblValidation[[#This Row],[TargetID]]="","",COUNTIF(tblTargets[TargetID],A12)&gt;1)</f>
        <v>0</v>
      </c>
      <c r="N12" s="48" t="b">
        <f ca="1">IF(tblValidation[[#This Row],[TargetID]]="","",COUNTIF(tblStates[StateID],tblValidation[[#This Row],[TargetID]])&gt;1)</f>
        <v>0</v>
      </c>
      <c r="O12" s="48" t="b" cm="1">
        <f t="array" aca="1" ref="O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 s="48"/>
      <c r="R12" s="48"/>
      <c r="S12" s="48"/>
      <c r="T12" s="48"/>
      <c r="V12" s="49" t="str">
        <f ca="1"/>
        <v>building.bonsai@1</v>
      </c>
      <c r="W12" s="48" t="str">
        <f ca="1"/>
        <v>state.character_level@11</v>
      </c>
      <c r="X12" s="48" t="str">
        <f ca="1"/>
        <v>building.bonsai@1</v>
      </c>
      <c r="Y12" s="48" t="str">
        <f ca="1"/>
        <v>building.bridge@1</v>
      </c>
      <c r="Z12" s="48" t="str">
        <f ca="1"/>
        <v>building.bonsai@1</v>
      </c>
      <c r="AA12" s="48" t="str">
        <f ca="1"/>
        <v>building.bonsai@1</v>
      </c>
      <c r="AB12" s="48" t="str">
        <f ca="1"/>
        <v>quest.honor_glory_sushi.finished</v>
      </c>
      <c r="AC12" s="48" t="str">
        <f ca="1"/>
        <v>building.outpost@3</v>
      </c>
      <c r="AD12" s="49" t="str">
        <f ca="1"/>
        <v>building.bonsai@1</v>
      </c>
      <c r="AE12" s="49" t="str">
        <f ca="1"/>
        <v>building.bridge@1</v>
      </c>
      <c r="AF12" s="49"/>
      <c r="AG12" s="49"/>
      <c r="AI12" s="49"/>
      <c r="AL12" s="49"/>
      <c r="AM12" s="49"/>
      <c r="AN12" s="49"/>
      <c r="AO12" s="49"/>
      <c r="AP12" s="49"/>
      <c r="AQ12" s="49"/>
      <c r="AR12" s="49"/>
      <c r="AS12" s="49"/>
      <c r="AU12" s="49"/>
      <c r="AX12" s="49"/>
      <c r="AY12" s="49"/>
      <c r="AZ12" s="49"/>
      <c r="BA12" s="49"/>
      <c r="BB12" s="49"/>
      <c r="BC12" s="49"/>
      <c r="BE12" s="49"/>
    </row>
    <row r="13" spans="1:58" ht="28">
      <c r="A13" t="str">
        <f t="shared" ca="1" si="0"/>
        <v>building.bonsai@2</v>
      </c>
      <c r="B13" t="str">
        <f ca="1">_xlfn.XLOOKUP(tblValidation[[#This Row],[TargetID]],tblTargets[TargetID],tblTargets[TargetType],"")</f>
        <v>BUILDING</v>
      </c>
      <c r="C13" s="48" t="b">
        <f ca="1">COUNTIF(tblTargets[TargetID], $A13) &gt; 0</f>
        <v>1</v>
      </c>
      <c r="D13" s="48" t="b">
        <f ca="1">IF(OR(LEFT(tblValidation[[#This Row],[TargetID]],10)="state.CHAR",RIGHT(tblValidation[[#This Row],[TargetID]],5)="maxed"),TRUE, COUNTIF(tblChecklist[TargetID], $A13) &gt; 0)</f>
        <v>1</v>
      </c>
      <c r="E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 &gt; 0)</f>
        <v>1</v>
      </c>
      <c r="F13" s="48" t="b">
        <f ca="1">COUNTIF(tblDependencies[DependencyID], $A13) &gt; 0</f>
        <v>0</v>
      </c>
      <c r="G13" s="48" t="b">
        <f ca="1">COUNTIF(tblQuestObjectives[QuestTargetID], $A13) &gt; 0</f>
        <v>0</v>
      </c>
      <c r="H13" s="48" t="b">
        <f ca="1">COUNTIF(tblQuestObjectives[ObjectiveID], $A13) &gt; 0</f>
        <v>0</v>
      </c>
      <c r="I13" s="48" t="b">
        <f ca="1">COUNTIF(tblTargetStatus[TargetID], $A13) &gt; 0</f>
        <v>1</v>
      </c>
      <c r="J13" s="48" t="b">
        <f ca="1">COUNTIF(tblCost[TargetID], $A13) &gt; 0</f>
        <v>1</v>
      </c>
      <c r="K13" s="48" t="b">
        <f ca="1">COUNTIF(tblStates[StateID], $A13) &gt; 0</f>
        <v>0</v>
      </c>
      <c r="L13" s="48" t="b">
        <f t="shared" ca="1" si="1"/>
        <v>1</v>
      </c>
      <c r="M13" s="48" t="b">
        <f ca="1">IF(tblValidation[[#This Row],[TargetID]]="","",COUNTIF(tblTargets[TargetID],A13)&gt;1)</f>
        <v>0</v>
      </c>
      <c r="N13" s="48" t="b">
        <f ca="1">IF(tblValidation[[#This Row],[TargetID]]="","",COUNTIF(tblStates[StateID],tblValidation[[#This Row],[TargetID]])&gt;1)</f>
        <v>0</v>
      </c>
      <c r="O13" s="48" t="b" cm="1">
        <f t="array" aca="1" ref="O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 s="48"/>
      <c r="R13" s="48"/>
      <c r="S13" s="48"/>
      <c r="T13" s="48"/>
      <c r="V13" s="49" t="str">
        <f ca="1"/>
        <v>building.bonsai@2</v>
      </c>
      <c r="W13" s="48" t="str">
        <f ca="1"/>
        <v>state.character_level@12</v>
      </c>
      <c r="X13" s="48" t="str">
        <f ca="1"/>
        <v>building.bonsai@2</v>
      </c>
      <c r="Y13" s="48" t="str">
        <f ca="1"/>
        <v>building.caravan@1</v>
      </c>
      <c r="Z13" s="48" t="str">
        <f ca="1"/>
        <v>building.bonsai@2</v>
      </c>
      <c r="AA13" s="48" t="str">
        <f ca="1"/>
        <v>building.bridge.maxed</v>
      </c>
      <c r="AB13" s="48" t="str">
        <f ca="1"/>
        <v>quest.journey_through_japan_by_train.finished</v>
      </c>
      <c r="AC13" s="48" t="str">
        <f ca="1"/>
        <v>building.pagoda@7</v>
      </c>
      <c r="AD13" s="49" t="str">
        <f ca="1"/>
        <v>building.bonsai@2</v>
      </c>
      <c r="AE13" s="49" t="str">
        <f ca="1"/>
        <v>building.caravan@1</v>
      </c>
      <c r="AF13" s="49"/>
      <c r="AG13" s="49"/>
      <c r="AI13" s="49"/>
      <c r="AL13" s="49"/>
      <c r="AM13" s="49"/>
      <c r="AN13" s="49"/>
      <c r="AO13" s="49"/>
      <c r="AP13" s="49"/>
      <c r="AQ13" s="49"/>
      <c r="AR13" s="49"/>
      <c r="AS13" s="49"/>
      <c r="AU13" s="49"/>
      <c r="AX13" s="49"/>
      <c r="AY13" s="49"/>
      <c r="AZ13" s="49"/>
      <c r="BA13" s="49"/>
      <c r="BB13" s="49"/>
      <c r="BC13" s="49"/>
      <c r="BE13" s="49"/>
    </row>
    <row r="14" spans="1:58" ht="28">
      <c r="A14" t="str">
        <f t="shared" ca="1" si="0"/>
        <v>building.bridge.maxed</v>
      </c>
      <c r="B14" t="str">
        <f ca="1">_xlfn.XLOOKUP(tblValidation[[#This Row],[TargetID]],tblTargets[TargetID],tblTargets[TargetType],"")</f>
        <v>BUILDING</v>
      </c>
      <c r="C14" s="48" t="b">
        <f ca="1">COUNTIF(tblTargets[TargetID], $A14) &gt; 0</f>
        <v>1</v>
      </c>
      <c r="D14" s="48" t="b">
        <f ca="1">IF(OR(LEFT(tblValidation[[#This Row],[TargetID]],10)="state.CHAR",RIGHT(tblValidation[[#This Row],[TargetID]],5)="maxed"),TRUE, COUNTIF(tblChecklist[TargetID], $A14) &gt; 0)</f>
        <v>1</v>
      </c>
      <c r="E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 &gt; 0)</f>
        <v>1</v>
      </c>
      <c r="F14" s="48" t="b">
        <f ca="1">COUNTIF(tblDependencies[DependencyID], $A14) &gt; 0</f>
        <v>1</v>
      </c>
      <c r="G14" s="48" t="b">
        <f ca="1">COUNTIF(tblQuestObjectives[QuestTargetID], $A14) &gt; 0</f>
        <v>0</v>
      </c>
      <c r="H14" s="48" t="b">
        <f ca="1">COUNTIF(tblQuestObjectives[ObjectiveID], $A14) &gt; 0</f>
        <v>0</v>
      </c>
      <c r="I14" s="48" t="b">
        <f ca="1">COUNTIF(tblTargetStatus[TargetID], $A14) &gt; 0</f>
        <v>1</v>
      </c>
      <c r="J14" s="48" t="b">
        <f ca="1">COUNTIF(tblCost[TargetID], $A14) &gt; 0</f>
        <v>0</v>
      </c>
      <c r="K14" s="48" t="b">
        <f ca="1">COUNTIF(tblStates[StateID], $A14) &gt; 0</f>
        <v>0</v>
      </c>
      <c r="L14" s="48" t="b">
        <f t="shared" ca="1" si="1"/>
        <v>1</v>
      </c>
      <c r="M14" s="48" t="b">
        <f ca="1">IF(tblValidation[[#This Row],[TargetID]]="","",COUNTIF(tblTargets[TargetID],A14)&gt;1)</f>
        <v>0</v>
      </c>
      <c r="N14" s="48" t="b">
        <f ca="1">IF(tblValidation[[#This Row],[TargetID]]="","",COUNTIF(tblStates[StateID],tblValidation[[#This Row],[TargetID]])&gt;1)</f>
        <v>0</v>
      </c>
      <c r="O14" s="48" t="b" cm="1">
        <f t="array" aca="1" ref="O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 s="48"/>
      <c r="R14" s="48"/>
      <c r="S14" s="48"/>
      <c r="T14" s="48"/>
      <c r="U14" s="49"/>
      <c r="V14" s="49" t="str">
        <f ca="1"/>
        <v>building.bridge.maxed</v>
      </c>
      <c r="W14" s="48" t="str">
        <f ca="1"/>
        <v>state.character_level@13</v>
      </c>
      <c r="X14" s="48" t="str">
        <f ca="1"/>
        <v>building.bridge.maxed</v>
      </c>
      <c r="Y14" s="48" t="str">
        <f ca="1"/>
        <v>building.caravan@2</v>
      </c>
      <c r="Z14" s="48" t="str">
        <f ca="1"/>
        <v>building.bridge.maxed</v>
      </c>
      <c r="AA14" s="48" t="str">
        <f ca="1"/>
        <v>building.bridge@1</v>
      </c>
      <c r="AB14" s="48" t="str">
        <f ca="1"/>
        <v>quest.letter_from_the_dark_lady.finished</v>
      </c>
      <c r="AC14" s="48" t="str">
        <f ca="1"/>
        <v>building.pier@1</v>
      </c>
      <c r="AD14" s="49" t="str">
        <f ca="1"/>
        <v>building.bridge.maxed</v>
      </c>
      <c r="AE14" s="49" t="str">
        <f ca="1"/>
        <v>building.caravan@2</v>
      </c>
      <c r="AF14" s="49"/>
      <c r="AG14" s="49"/>
      <c r="AI14" s="49"/>
      <c r="AL14" s="49"/>
      <c r="AM14" s="49"/>
      <c r="AN14" s="49"/>
      <c r="AO14" s="49"/>
      <c r="AP14" s="49"/>
      <c r="AQ14" s="49"/>
      <c r="AR14" s="49"/>
      <c r="AS14" s="49"/>
      <c r="AU14" s="49"/>
      <c r="AX14" s="49"/>
      <c r="AY14" s="49"/>
      <c r="AZ14" s="49"/>
      <c r="BA14" s="49"/>
      <c r="BB14" s="49"/>
      <c r="BC14" s="49"/>
      <c r="BE14" s="49"/>
    </row>
    <row r="15" spans="1:58" ht="28">
      <c r="A15" t="str">
        <f t="shared" ca="1" si="0"/>
        <v>building.bridge@1</v>
      </c>
      <c r="B15" t="str">
        <f ca="1">_xlfn.XLOOKUP(tblValidation[[#This Row],[TargetID]],tblTargets[TargetID],tblTargets[TargetType],"")</f>
        <v>BUILDING</v>
      </c>
      <c r="C15" s="48" t="b">
        <f ca="1">COUNTIF(tblTargets[TargetID], $A15) &gt; 0</f>
        <v>1</v>
      </c>
      <c r="D15" s="48" t="b">
        <f ca="1">IF(OR(LEFT(tblValidation[[#This Row],[TargetID]],10)="state.CHAR",RIGHT(tblValidation[[#This Row],[TargetID]],5)="maxed"),TRUE, COUNTIF(tblChecklist[TargetID], $A15) &gt; 0)</f>
        <v>1</v>
      </c>
      <c r="E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 &gt; 0)</f>
        <v>1</v>
      </c>
      <c r="F15" s="48" t="b">
        <f ca="1">COUNTIF(tblDependencies[DependencyID], $A15) &gt; 0</f>
        <v>1</v>
      </c>
      <c r="G15" s="48" t="b">
        <f ca="1">COUNTIF(tblQuestObjectives[QuestTargetID], $A15) &gt; 0</f>
        <v>0</v>
      </c>
      <c r="H15" s="48" t="b">
        <f ca="1">COUNTIF(tblQuestObjectives[ObjectiveID], $A15) &gt; 0</f>
        <v>0</v>
      </c>
      <c r="I15" s="48" t="b">
        <f ca="1">COUNTIF(tblTargetStatus[TargetID], $A15) &gt; 0</f>
        <v>1</v>
      </c>
      <c r="J15" s="48" t="b">
        <f ca="1">COUNTIF(tblCost[TargetID], $A15) &gt; 0</f>
        <v>1</v>
      </c>
      <c r="K15" s="48" t="b">
        <f ca="1">COUNTIF(tblStates[StateID], $A15) &gt; 0</f>
        <v>0</v>
      </c>
      <c r="L15" s="48" t="b">
        <f t="shared" ca="1" si="1"/>
        <v>1</v>
      </c>
      <c r="M15" s="48" t="b">
        <f ca="1">IF(tblValidation[[#This Row],[TargetID]]="","",COUNTIF(tblTargets[TargetID],A15)&gt;1)</f>
        <v>0</v>
      </c>
      <c r="N15" s="48" t="b">
        <f ca="1">IF(tblValidation[[#This Row],[TargetID]]="","",COUNTIF(tblStates[StateID],tblValidation[[#This Row],[TargetID]])&gt;1)</f>
        <v>0</v>
      </c>
      <c r="O15" s="48" t="b" cm="1">
        <f t="array" aca="1" ref="O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 s="48"/>
      <c r="R15" s="48"/>
      <c r="S15" s="48"/>
      <c r="T15" s="48"/>
      <c r="V15" s="49" t="str">
        <f ca="1"/>
        <v>building.bridge@1</v>
      </c>
      <c r="W15" s="48" t="str">
        <f ca="1"/>
        <v>state.character_level@14</v>
      </c>
      <c r="X15" s="48" t="str">
        <f ca="1"/>
        <v>building.bridge@1</v>
      </c>
      <c r="Y15" s="48" t="str">
        <f ca="1"/>
        <v>building.caravan@3</v>
      </c>
      <c r="Z15" s="48" t="str">
        <f ca="1"/>
        <v>building.bridge@1</v>
      </c>
      <c r="AA15" s="48" t="str">
        <f ca="1"/>
        <v>building.caravan@1</v>
      </c>
      <c r="AB15" s="48" t="str">
        <f ca="1"/>
        <v>quest.magic_beans.finished</v>
      </c>
      <c r="AC15" s="48" t="str">
        <f ca="1"/>
        <v>building.ship@1</v>
      </c>
      <c r="AD15" s="49" t="str">
        <f ca="1"/>
        <v>building.bridge@1</v>
      </c>
      <c r="AE15" s="49" t="str">
        <f ca="1"/>
        <v>building.caravan@3</v>
      </c>
      <c r="AF15" s="49"/>
      <c r="AG15" s="49"/>
      <c r="AI15" s="49"/>
      <c r="AL15" s="49"/>
      <c r="AM15" s="49"/>
      <c r="AN15" s="49"/>
      <c r="AO15" s="49"/>
      <c r="AP15" s="49"/>
      <c r="AQ15" s="49"/>
      <c r="AR15" s="49"/>
      <c r="AS15" s="49"/>
      <c r="AU15" s="49"/>
      <c r="AX15" s="49"/>
      <c r="AY15" s="49"/>
      <c r="AZ15" s="49"/>
      <c r="BA15" s="49"/>
      <c r="BB15" s="49"/>
      <c r="BC15" s="49"/>
      <c r="BE15" s="49"/>
    </row>
    <row r="16" spans="1:58" ht="28">
      <c r="A16" t="str">
        <f t="shared" ca="1" si="0"/>
        <v>building.caravan@1</v>
      </c>
      <c r="B16" t="str">
        <f ca="1">_xlfn.XLOOKUP(tblValidation[[#This Row],[TargetID]],tblTargets[TargetID],tblTargets[TargetType],"")</f>
        <v>BUILDING</v>
      </c>
      <c r="C16" s="48" t="b">
        <f ca="1">COUNTIF(tblTargets[TargetID], $A16) &gt; 0</f>
        <v>1</v>
      </c>
      <c r="D16" s="48" t="b">
        <f ca="1">IF(OR(LEFT(tblValidation[[#This Row],[TargetID]],10)="state.CHAR",RIGHT(tblValidation[[#This Row],[TargetID]],5)="maxed"),TRUE, COUNTIF(tblChecklist[TargetID], $A16) &gt; 0)</f>
        <v>1</v>
      </c>
      <c r="E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 &gt; 0)</f>
        <v>1</v>
      </c>
      <c r="F16" s="48" t="b">
        <f ca="1">COUNTIF(tblDependencies[DependencyID], $A16) &gt; 0</f>
        <v>1</v>
      </c>
      <c r="G16" s="48" t="b">
        <f ca="1">COUNTIF(tblQuestObjectives[QuestTargetID], $A16) &gt; 0</f>
        <v>0</v>
      </c>
      <c r="H16" s="48" t="b">
        <f ca="1">COUNTIF(tblQuestObjectives[ObjectiveID], $A16) &gt; 0</f>
        <v>0</v>
      </c>
      <c r="I16" s="48" t="b">
        <f ca="1">COUNTIF(tblTargetStatus[TargetID], $A16) &gt; 0</f>
        <v>1</v>
      </c>
      <c r="J16" s="48" t="b">
        <f ca="1">COUNTIF(tblCost[TargetID], $A16) &gt; 0</f>
        <v>1</v>
      </c>
      <c r="K16" s="48" t="b">
        <f ca="1">COUNTIF(tblStates[StateID], $A16) &gt; 0</f>
        <v>0</v>
      </c>
      <c r="L16" s="48" t="b">
        <f t="shared" ca="1" si="1"/>
        <v>1</v>
      </c>
      <c r="M16" s="48" t="b">
        <f ca="1">IF(tblValidation[[#This Row],[TargetID]]="","",COUNTIF(tblTargets[TargetID],A16)&gt;1)</f>
        <v>0</v>
      </c>
      <c r="N16" s="48" t="b">
        <f ca="1">IF(tblValidation[[#This Row],[TargetID]]="","",COUNTIF(tblStates[StateID],tblValidation[[#This Row],[TargetID]])&gt;1)</f>
        <v>0</v>
      </c>
      <c r="O16" s="48" t="b" cm="1">
        <f t="array" aca="1" ref="O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 s="48"/>
      <c r="R16" s="48"/>
      <c r="S16" s="48"/>
      <c r="T16" s="48"/>
      <c r="V16" s="49" t="str">
        <f ca="1"/>
        <v>building.caravan@1</v>
      </c>
      <c r="W16" s="48" t="str">
        <f ca="1"/>
        <v>state.character_level@15</v>
      </c>
      <c r="X16" s="48" t="str">
        <f ca="1"/>
        <v>building.caravan@1</v>
      </c>
      <c r="Y16" s="48" t="str">
        <f ca="1"/>
        <v>building.caravan@4</v>
      </c>
      <c r="Z16" s="48" t="str">
        <f ca="1"/>
        <v>building.caravan@1</v>
      </c>
      <c r="AA16" s="48" t="str">
        <f ca="1"/>
        <v>building.caravan@2</v>
      </c>
      <c r="AB16" s="48" t="str">
        <f ca="1"/>
        <v>quest.once_upon_a_forest_chapter_1.finished</v>
      </c>
      <c r="AC16" s="48" t="str">
        <f ca="1"/>
        <v>building.ship@2</v>
      </c>
      <c r="AD16" s="49" t="str">
        <f ca="1"/>
        <v>building.caravan@1</v>
      </c>
      <c r="AE16" s="49" t="str">
        <f ca="1"/>
        <v>building.caravan@4</v>
      </c>
      <c r="AF16" s="49"/>
      <c r="AG16" s="49"/>
      <c r="AI16" s="49"/>
      <c r="AL16" s="49"/>
      <c r="AM16" s="49"/>
      <c r="AN16" s="49"/>
      <c r="AO16" s="49"/>
      <c r="AP16" s="49"/>
      <c r="AQ16" s="49"/>
      <c r="AR16" s="49"/>
      <c r="AS16" s="49"/>
      <c r="AU16" s="49"/>
      <c r="AX16" s="49"/>
      <c r="AY16" s="49"/>
      <c r="AZ16" s="49"/>
      <c r="BA16" s="49"/>
      <c r="BB16" s="49"/>
      <c r="BC16" s="49"/>
      <c r="BE16" s="49"/>
    </row>
    <row r="17" spans="1:57" ht="28">
      <c r="A17" t="str">
        <f t="shared" ca="1" si="0"/>
        <v>building.caravan@2</v>
      </c>
      <c r="B17" t="str">
        <f ca="1">_xlfn.XLOOKUP(tblValidation[[#This Row],[TargetID]],tblTargets[TargetID],tblTargets[TargetType],"")</f>
        <v>BUILDING</v>
      </c>
      <c r="C17" s="48" t="b">
        <f ca="1">COUNTIF(tblTargets[TargetID], $A17) &gt; 0</f>
        <v>1</v>
      </c>
      <c r="D17" s="48" t="b">
        <f ca="1">IF(OR(LEFT(tblValidation[[#This Row],[TargetID]],10)="state.CHAR",RIGHT(tblValidation[[#This Row],[TargetID]],5)="maxed"),TRUE, COUNTIF(tblChecklist[TargetID], $A17) &gt; 0)</f>
        <v>1</v>
      </c>
      <c r="E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 &gt; 0)</f>
        <v>1</v>
      </c>
      <c r="F17" s="48" t="b">
        <f ca="1">COUNTIF(tblDependencies[DependencyID], $A17) &gt; 0</f>
        <v>1</v>
      </c>
      <c r="G17" s="48" t="b">
        <f ca="1">COUNTIF(tblQuestObjectives[QuestTargetID], $A17) &gt; 0</f>
        <v>0</v>
      </c>
      <c r="H17" s="48" t="b">
        <f ca="1">COUNTIF(tblQuestObjectives[ObjectiveID], $A17) &gt; 0</f>
        <v>0</v>
      </c>
      <c r="I17" s="48" t="b">
        <f ca="1">COUNTIF(tblTargetStatus[TargetID], $A17) &gt; 0</f>
        <v>1</v>
      </c>
      <c r="J17" s="48" t="b">
        <f ca="1">COUNTIF(tblCost[TargetID], $A17) &gt; 0</f>
        <v>1</v>
      </c>
      <c r="K17" s="48" t="b">
        <f ca="1">COUNTIF(tblStates[StateID], $A17) &gt; 0</f>
        <v>0</v>
      </c>
      <c r="L17" s="48" t="b">
        <f t="shared" ca="1" si="1"/>
        <v>1</v>
      </c>
      <c r="M17" s="48" t="b">
        <f ca="1">IF(tblValidation[[#This Row],[TargetID]]="","",COUNTIF(tblTargets[TargetID],A17)&gt;1)</f>
        <v>0</v>
      </c>
      <c r="N17" s="48" t="b">
        <f ca="1">IF(tblValidation[[#This Row],[TargetID]]="","",COUNTIF(tblStates[StateID],tblValidation[[#This Row],[TargetID]])&gt;1)</f>
        <v>0</v>
      </c>
      <c r="O17" s="48" t="b" cm="1">
        <f t="array" aca="1" ref="O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 s="48"/>
      <c r="R17" s="48"/>
      <c r="S17" s="48"/>
      <c r="T17" s="48"/>
      <c r="V17" s="49" t="str">
        <f ca="1"/>
        <v>building.caravan@2</v>
      </c>
      <c r="W17" s="48" t="str">
        <f ca="1"/>
        <v>state.character_level@18</v>
      </c>
      <c r="X17" s="48" t="str">
        <f ca="1"/>
        <v>building.caravan@2</v>
      </c>
      <c r="Y17" s="48" t="str">
        <f ca="1"/>
        <v>building.chicken@1</v>
      </c>
      <c r="Z17" s="48" t="str">
        <f ca="1"/>
        <v>building.caravan@2</v>
      </c>
      <c r="AA17" s="48" t="str">
        <f ca="1"/>
        <v>building.caravan@3</v>
      </c>
      <c r="AB17" s="48" t="str">
        <f ca="1"/>
        <v>quest.once_upon_a_forest_chapter_10.finished</v>
      </c>
      <c r="AC17" s="48" t="str">
        <f ca="1"/>
        <v>building.ship@3</v>
      </c>
      <c r="AD17" s="49" t="str">
        <f ca="1"/>
        <v>building.caravan@2</v>
      </c>
      <c r="AE17" s="49" t="str">
        <f ca="1"/>
        <v>building.chicken@1</v>
      </c>
      <c r="AF17" s="49"/>
      <c r="AG17" s="49"/>
      <c r="AI17" s="49"/>
      <c r="AL17" s="49"/>
      <c r="AM17" s="49"/>
      <c r="AN17" s="49"/>
      <c r="AO17" s="49"/>
      <c r="AP17" s="49"/>
      <c r="AQ17" s="49"/>
      <c r="AR17" s="49"/>
      <c r="AS17" s="49"/>
      <c r="AU17" s="49"/>
      <c r="AX17" s="49"/>
      <c r="AY17" s="49"/>
      <c r="AZ17" s="49"/>
      <c r="BA17" s="49"/>
      <c r="BB17" s="49"/>
      <c r="BC17" s="49"/>
      <c r="BE17" s="49"/>
    </row>
    <row r="18" spans="1:57" ht="28">
      <c r="A18" t="str">
        <f t="shared" ca="1" si="0"/>
        <v>building.caravan@3</v>
      </c>
      <c r="B18" t="str">
        <f ca="1">_xlfn.XLOOKUP(tblValidation[[#This Row],[TargetID]],tblTargets[TargetID],tblTargets[TargetType],"")</f>
        <v>BUILDING</v>
      </c>
      <c r="C18" s="48" t="b">
        <f ca="1">COUNTIF(tblTargets[TargetID], $A18) &gt; 0</f>
        <v>1</v>
      </c>
      <c r="D18" s="48" t="b">
        <f ca="1">IF(OR(LEFT(tblValidation[[#This Row],[TargetID]],10)="state.CHAR",RIGHT(tblValidation[[#This Row],[TargetID]],5)="maxed"),TRUE, COUNTIF(tblChecklist[TargetID], $A18) &gt; 0)</f>
        <v>1</v>
      </c>
      <c r="E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 &gt; 0)</f>
        <v>1</v>
      </c>
      <c r="F18" s="48" t="b">
        <f ca="1">COUNTIF(tblDependencies[DependencyID], $A18) &gt; 0</f>
        <v>1</v>
      </c>
      <c r="G18" s="48" t="b">
        <f ca="1">COUNTIF(tblQuestObjectives[QuestTargetID], $A18) &gt; 0</f>
        <v>0</v>
      </c>
      <c r="H18" s="48" t="b">
        <f ca="1">COUNTIF(tblQuestObjectives[ObjectiveID], $A18) &gt; 0</f>
        <v>0</v>
      </c>
      <c r="I18" s="48" t="b">
        <f ca="1">COUNTIF(tblTargetStatus[TargetID], $A18) &gt; 0</f>
        <v>1</v>
      </c>
      <c r="J18" s="48" t="b">
        <f ca="1">COUNTIF(tblCost[TargetID], $A18) &gt; 0</f>
        <v>1</v>
      </c>
      <c r="K18" s="48" t="b">
        <f ca="1">COUNTIF(tblStates[StateID], $A18) &gt; 0</f>
        <v>0</v>
      </c>
      <c r="L18" s="48" t="b">
        <f t="shared" ca="1" si="1"/>
        <v>1</v>
      </c>
      <c r="M18" s="48" t="b">
        <f ca="1">IF(tblValidation[[#This Row],[TargetID]]="","",COUNTIF(tblTargets[TargetID],A18)&gt;1)</f>
        <v>0</v>
      </c>
      <c r="N18" s="48" t="b">
        <f ca="1">IF(tblValidation[[#This Row],[TargetID]]="","",COUNTIF(tblStates[StateID],tblValidation[[#This Row],[TargetID]])&gt;1)</f>
        <v>0</v>
      </c>
      <c r="O18" s="48" t="b" cm="1">
        <f t="array" aca="1" ref="O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 s="48"/>
      <c r="R18" s="48"/>
      <c r="S18" s="48"/>
      <c r="T18" s="48"/>
      <c r="V18" s="49" t="str">
        <f ca="1"/>
        <v>building.caravan@3</v>
      </c>
      <c r="W18" s="48" t="str">
        <f ca="1"/>
        <v>state.character_level@2</v>
      </c>
      <c r="X18" s="48" t="str">
        <f ca="1"/>
        <v>building.caravan@3</v>
      </c>
      <c r="Y18" s="48" t="str">
        <f ca="1"/>
        <v>building.chicken@2</v>
      </c>
      <c r="Z18" s="48" t="str">
        <f ca="1"/>
        <v>building.caravan@3</v>
      </c>
      <c r="AA18" s="48" t="str">
        <f ca="1"/>
        <v>building.chicken@1</v>
      </c>
      <c r="AB18" s="48" t="str">
        <f ca="1"/>
        <v>quest.once_upon_a_forest_chapter_11.finished</v>
      </c>
      <c r="AC18" s="48" t="str">
        <f ca="1"/>
        <v>building.ship@4</v>
      </c>
      <c r="AD18" s="49" t="str">
        <f ca="1"/>
        <v>building.caravan@3</v>
      </c>
      <c r="AE18" s="49" t="str">
        <f ca="1"/>
        <v>building.chicken@2</v>
      </c>
      <c r="AF18" s="49"/>
      <c r="AG18" s="49"/>
      <c r="AI18" s="49"/>
      <c r="AL18" s="49"/>
      <c r="AM18" s="49"/>
      <c r="AN18" s="49"/>
      <c r="AO18" s="49"/>
      <c r="AP18" s="49"/>
      <c r="AQ18" s="49"/>
      <c r="AR18" s="49"/>
      <c r="AS18" s="49"/>
      <c r="AU18" s="49"/>
      <c r="AX18" s="49"/>
      <c r="AY18" s="49"/>
      <c r="AZ18" s="49"/>
      <c r="BA18" s="49"/>
      <c r="BB18" s="49"/>
      <c r="BC18" s="49"/>
      <c r="BE18" s="49"/>
    </row>
    <row r="19" spans="1:57" ht="28">
      <c r="A19" t="str">
        <f t="shared" ca="1" si="0"/>
        <v>building.caravan@4</v>
      </c>
      <c r="B19" t="str">
        <f ca="1">_xlfn.XLOOKUP(tblValidation[[#This Row],[TargetID]],tblTargets[TargetID],tblTargets[TargetType],"")</f>
        <v>BUILDING</v>
      </c>
      <c r="C19" s="48" t="b">
        <f ca="1">COUNTIF(tblTargets[TargetID], $A19) &gt; 0</f>
        <v>1</v>
      </c>
      <c r="D19" s="48" t="b">
        <f ca="1">IF(OR(LEFT(tblValidation[[#This Row],[TargetID]],10)="state.CHAR",RIGHT(tblValidation[[#This Row],[TargetID]],5)="maxed"),TRUE, COUNTIF(tblChecklist[TargetID], $A19) &gt; 0)</f>
        <v>1</v>
      </c>
      <c r="E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 &gt; 0)</f>
        <v>1</v>
      </c>
      <c r="F19" s="48" t="b">
        <f ca="1">COUNTIF(tblDependencies[DependencyID], $A19) &gt; 0</f>
        <v>0</v>
      </c>
      <c r="G19" s="48" t="b">
        <f ca="1">COUNTIF(tblQuestObjectives[QuestTargetID], $A19) &gt; 0</f>
        <v>0</v>
      </c>
      <c r="H19" s="48" t="b">
        <f ca="1">COUNTIF(tblQuestObjectives[ObjectiveID], $A19) &gt; 0</f>
        <v>0</v>
      </c>
      <c r="I19" s="48" t="b">
        <f ca="1">COUNTIF(tblTargetStatus[TargetID], $A19) &gt; 0</f>
        <v>1</v>
      </c>
      <c r="J19" s="48" t="b">
        <f ca="1">COUNTIF(tblCost[TargetID], $A19) &gt; 0</f>
        <v>1</v>
      </c>
      <c r="K19" s="48" t="b">
        <f ca="1">COUNTIF(tblStates[StateID], $A19) &gt; 0</f>
        <v>0</v>
      </c>
      <c r="L19" s="48" t="b">
        <f t="shared" ca="1" si="1"/>
        <v>1</v>
      </c>
      <c r="M19" s="48" t="b">
        <f ca="1">IF(tblValidation[[#This Row],[TargetID]]="","",COUNTIF(tblTargets[TargetID],A19)&gt;1)</f>
        <v>0</v>
      </c>
      <c r="N19" s="48" t="b">
        <f ca="1">IF(tblValidation[[#This Row],[TargetID]]="","",COUNTIF(tblStates[StateID],tblValidation[[#This Row],[TargetID]])&gt;1)</f>
        <v>0</v>
      </c>
      <c r="O19" s="48" t="b" cm="1">
        <f t="array" aca="1" ref="O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 s="48"/>
      <c r="R19" s="48"/>
      <c r="S19" s="48"/>
      <c r="T19" s="48"/>
      <c r="V19" s="49" t="str">
        <f ca="1"/>
        <v>building.caravan@4</v>
      </c>
      <c r="W19" s="48" t="str">
        <f ca="1"/>
        <v>state.character_level@20</v>
      </c>
      <c r="X19" s="48" t="str">
        <f ca="1"/>
        <v>building.caravan@4</v>
      </c>
      <c r="Y19" s="48" t="str">
        <f ca="1"/>
        <v>building.dairy@1</v>
      </c>
      <c r="Z19" s="48" t="str">
        <f ca="1"/>
        <v>building.caravan@4</v>
      </c>
      <c r="AA19" s="48" t="str">
        <f ca="1"/>
        <v>building.dairy.maxed</v>
      </c>
      <c r="AB19" s="48" t="str">
        <f ca="1"/>
        <v>quest.once_upon_a_forest_chapter_12.finished</v>
      </c>
      <c r="AC19" s="48" t="str">
        <f ca="1"/>
        <v>building.station@1</v>
      </c>
      <c r="AD19" s="49" t="str">
        <f ca="1"/>
        <v>building.caravan@4</v>
      </c>
      <c r="AE19" s="49" t="str">
        <f ca="1"/>
        <v>building.dairy@1</v>
      </c>
      <c r="AF19" s="49"/>
      <c r="AG19" s="49"/>
      <c r="AI19" s="49"/>
      <c r="AL19" s="49"/>
      <c r="AM19" s="49"/>
      <c r="AN19" s="49"/>
      <c r="AO19" s="49"/>
      <c r="AP19" s="49"/>
      <c r="AQ19" s="49"/>
      <c r="AR19" s="49"/>
      <c r="AS19" s="49"/>
      <c r="AU19" s="49"/>
      <c r="AX19" s="49"/>
      <c r="AY19" s="49"/>
      <c r="AZ19" s="49"/>
      <c r="BA19" s="49"/>
      <c r="BB19" s="49"/>
      <c r="BC19" s="49"/>
      <c r="BE19" s="49"/>
    </row>
    <row r="20" spans="1:57" ht="28">
      <c r="A20" t="str">
        <f t="shared" ca="1" si="0"/>
        <v>building.chicken@1</v>
      </c>
      <c r="B20" t="str">
        <f ca="1">_xlfn.XLOOKUP(tblValidation[[#This Row],[TargetID]],tblTargets[TargetID],tblTargets[TargetType],"")</f>
        <v>BUILDING</v>
      </c>
      <c r="C20" s="48" t="b">
        <f ca="1">COUNTIF(tblTargets[TargetID], $A20) &gt; 0</f>
        <v>1</v>
      </c>
      <c r="D20" s="48" t="b">
        <f ca="1">IF(OR(LEFT(tblValidation[[#This Row],[TargetID]],10)="state.CHAR",RIGHT(tblValidation[[#This Row],[TargetID]],5)="maxed"),TRUE, COUNTIF(tblChecklist[TargetID], $A20) &gt; 0)</f>
        <v>1</v>
      </c>
      <c r="E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 &gt; 0)</f>
        <v>1</v>
      </c>
      <c r="F20" s="48" t="b">
        <f ca="1">COUNTIF(tblDependencies[DependencyID], $A20) &gt; 0</f>
        <v>1</v>
      </c>
      <c r="G20" s="48" t="b">
        <f ca="1">COUNTIF(tblQuestObjectives[QuestTargetID], $A20) &gt; 0</f>
        <v>0</v>
      </c>
      <c r="H20" s="48" t="b">
        <f ca="1">COUNTIF(tblQuestObjectives[ObjectiveID], $A20) &gt; 0</f>
        <v>0</v>
      </c>
      <c r="I20" s="48" t="b">
        <f ca="1">COUNTIF(tblTargetStatus[TargetID], $A20) &gt; 0</f>
        <v>1</v>
      </c>
      <c r="J20" s="48" t="b">
        <f ca="1">COUNTIF(tblCost[TargetID], $A20) &gt; 0</f>
        <v>1</v>
      </c>
      <c r="K20" s="48" t="b">
        <f ca="1">COUNTIF(tblStates[StateID], $A20) &gt; 0</f>
        <v>0</v>
      </c>
      <c r="L20" s="48" t="b">
        <f t="shared" ca="1" si="1"/>
        <v>1</v>
      </c>
      <c r="M20" s="48" t="b">
        <f ca="1">IF(tblValidation[[#This Row],[TargetID]]="","",COUNTIF(tblTargets[TargetID],A20)&gt;1)</f>
        <v>0</v>
      </c>
      <c r="N20" s="48" t="b">
        <f ca="1">IF(tblValidation[[#This Row],[TargetID]]="","",COUNTIF(tblStates[StateID],tblValidation[[#This Row],[TargetID]])&gt;1)</f>
        <v>0</v>
      </c>
      <c r="O20" s="48" t="b" cm="1">
        <f t="array" aca="1" ref="O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 s="48"/>
      <c r="R20" s="48"/>
      <c r="S20" s="48"/>
      <c r="T20" s="48"/>
      <c r="V20" s="49" t="str">
        <f ca="1"/>
        <v>building.chicken@1</v>
      </c>
      <c r="W20" s="48" t="str">
        <f ca="1"/>
        <v>state.character_level@21</v>
      </c>
      <c r="X20" s="48" t="str">
        <f ca="1"/>
        <v>building.chicken@1</v>
      </c>
      <c r="Y20" s="48" t="str">
        <f ca="1"/>
        <v>building.dairy@2</v>
      </c>
      <c r="Z20" s="48" t="str">
        <f ca="1"/>
        <v>building.chicken@1</v>
      </c>
      <c r="AA20" s="48" t="str">
        <f ca="1"/>
        <v>building.dairy@1</v>
      </c>
      <c r="AB20" s="48" t="str">
        <f ca="1"/>
        <v>quest.once_upon_a_forest_chapter_13.finished</v>
      </c>
      <c r="AC20" s="48" t="str">
        <f ca="1"/>
        <v>building.train@1</v>
      </c>
      <c r="AD20" s="49" t="str">
        <f ca="1"/>
        <v>building.chicken@1</v>
      </c>
      <c r="AE20" s="49" t="str">
        <f ca="1"/>
        <v>building.dairy@2</v>
      </c>
      <c r="AF20" s="49"/>
      <c r="AG20" s="49"/>
      <c r="AI20" s="49"/>
      <c r="AL20" s="49"/>
      <c r="AM20" s="49"/>
      <c r="AN20" s="49"/>
      <c r="AO20" s="49"/>
      <c r="AP20" s="49"/>
      <c r="AQ20" s="49"/>
      <c r="AR20" s="49"/>
      <c r="AS20" s="49"/>
      <c r="AU20" s="49"/>
      <c r="AX20" s="49"/>
      <c r="AY20" s="49"/>
      <c r="AZ20" s="49"/>
      <c r="BA20" s="49"/>
      <c r="BB20" s="49"/>
      <c r="BC20" s="49"/>
      <c r="BE20" s="49"/>
    </row>
    <row r="21" spans="1:57" ht="28">
      <c r="A21" t="str">
        <f t="shared" ca="1" si="0"/>
        <v>building.chicken@2</v>
      </c>
      <c r="B21" t="str">
        <f ca="1">_xlfn.XLOOKUP(tblValidation[[#This Row],[TargetID]],tblTargets[TargetID],tblTargets[TargetType],"")</f>
        <v>BUILDING</v>
      </c>
      <c r="C21" s="48" t="b">
        <f ca="1">COUNTIF(tblTargets[TargetID], $A21) &gt; 0</f>
        <v>1</v>
      </c>
      <c r="D21" s="48" t="b">
        <f ca="1">IF(OR(LEFT(tblValidation[[#This Row],[TargetID]],10)="state.CHAR",RIGHT(tblValidation[[#This Row],[TargetID]],5)="maxed"),TRUE, COUNTIF(tblChecklist[TargetID], $A21) &gt; 0)</f>
        <v>1</v>
      </c>
      <c r="E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 &gt; 0)</f>
        <v>1</v>
      </c>
      <c r="F21" s="48" t="b">
        <f ca="1">COUNTIF(tblDependencies[DependencyID], $A21) &gt; 0</f>
        <v>0</v>
      </c>
      <c r="G21" s="48" t="b">
        <f ca="1">COUNTIF(tblQuestObjectives[QuestTargetID], $A21) &gt; 0</f>
        <v>0</v>
      </c>
      <c r="H21" s="48" t="b">
        <f ca="1">COUNTIF(tblQuestObjectives[ObjectiveID], $A21) &gt; 0</f>
        <v>0</v>
      </c>
      <c r="I21" s="48" t="b">
        <f ca="1">COUNTIF(tblTargetStatus[TargetID], $A21) &gt; 0</f>
        <v>1</v>
      </c>
      <c r="J21" s="48" t="b">
        <f ca="1">COUNTIF(tblCost[TargetID], $A21) &gt; 0</f>
        <v>1</v>
      </c>
      <c r="K21" s="48" t="b">
        <f ca="1">COUNTIF(tblStates[StateID], $A21) &gt; 0</f>
        <v>0</v>
      </c>
      <c r="L21" s="48" t="b">
        <f t="shared" ca="1" si="1"/>
        <v>1</v>
      </c>
      <c r="M21" s="48" t="b">
        <f ca="1">IF(tblValidation[[#This Row],[TargetID]]="","",COUNTIF(tblTargets[TargetID],A21)&gt;1)</f>
        <v>0</v>
      </c>
      <c r="N21" s="48" t="b">
        <f ca="1">IF(tblValidation[[#This Row],[TargetID]]="","",COUNTIF(tblStates[StateID],tblValidation[[#This Row],[TargetID]])&gt;1)</f>
        <v>0</v>
      </c>
      <c r="O21" s="48" t="b" cm="1">
        <f t="array" aca="1" ref="O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 s="48"/>
      <c r="R21" s="48"/>
      <c r="S21" s="48"/>
      <c r="T21" s="48"/>
      <c r="V21" s="49" t="str">
        <f ca="1"/>
        <v>building.chicken@2</v>
      </c>
      <c r="W21" s="48" t="str">
        <f ca="1"/>
        <v>state.character_level@22</v>
      </c>
      <c r="X21" s="48" t="str">
        <f ca="1"/>
        <v>building.chicken@2</v>
      </c>
      <c r="Y21" s="48" t="str">
        <f ca="1"/>
        <v>building.dungeon@1</v>
      </c>
      <c r="Z21" s="48" t="str">
        <f ca="1"/>
        <v>building.chicken@2</v>
      </c>
      <c r="AA21" s="48" t="str">
        <f ca="1"/>
        <v>building.dairy@2</v>
      </c>
      <c r="AB21" s="48" t="str">
        <f ca="1"/>
        <v>quest.once_upon_a_forest_chapter_14.finished</v>
      </c>
      <c r="AC21" s="48" t="str">
        <f ca="1"/>
        <v>building.train@2</v>
      </c>
      <c r="AD21" s="49" t="str">
        <f ca="1"/>
        <v>building.chicken@2</v>
      </c>
      <c r="AE21" s="49" t="str">
        <f ca="1"/>
        <v>building.dungeon@1</v>
      </c>
      <c r="AF21" s="49"/>
      <c r="AG21" s="49"/>
      <c r="AI21" s="49"/>
      <c r="AL21" s="49"/>
      <c r="AM21" s="49"/>
      <c r="AN21" s="49"/>
      <c r="AO21" s="49"/>
      <c r="AP21" s="49"/>
      <c r="AQ21" s="49"/>
      <c r="AR21" s="49"/>
      <c r="AS21" s="49"/>
      <c r="AU21" s="49"/>
      <c r="AX21" s="49"/>
      <c r="AY21" s="49"/>
      <c r="AZ21" s="49"/>
      <c r="BA21" s="49"/>
      <c r="BB21" s="49"/>
      <c r="BC21" s="49"/>
      <c r="BE21" s="49"/>
    </row>
    <row r="22" spans="1:57" ht="28">
      <c r="A22" t="str">
        <f t="shared" ca="1" si="0"/>
        <v>building.dairy.maxed</v>
      </c>
      <c r="B22" t="str">
        <f ca="1">_xlfn.XLOOKUP(tblValidation[[#This Row],[TargetID]],tblTargets[TargetID],tblTargets[TargetType],"")</f>
        <v>BUILDING</v>
      </c>
      <c r="C22" s="48" t="b">
        <f ca="1">COUNTIF(tblTargets[TargetID], $A22) &gt; 0</f>
        <v>1</v>
      </c>
      <c r="D22" s="48" t="b">
        <f ca="1">IF(OR(LEFT(tblValidation[[#This Row],[TargetID]],10)="state.CHAR",RIGHT(tblValidation[[#This Row],[TargetID]],5)="maxed"),TRUE, COUNTIF(tblChecklist[TargetID], $A22) &gt; 0)</f>
        <v>1</v>
      </c>
      <c r="E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 &gt; 0)</f>
        <v>1</v>
      </c>
      <c r="F22" s="48" t="b">
        <f ca="1">COUNTIF(tblDependencies[DependencyID], $A22) &gt; 0</f>
        <v>1</v>
      </c>
      <c r="G22" s="48" t="b">
        <f ca="1">COUNTIF(tblQuestObjectives[QuestTargetID], $A22) &gt; 0</f>
        <v>0</v>
      </c>
      <c r="H22" s="48" t="b">
        <f ca="1">COUNTIF(tblQuestObjectives[ObjectiveID], $A22) &gt; 0</f>
        <v>0</v>
      </c>
      <c r="I22" s="48" t="b">
        <f ca="1">COUNTIF(tblTargetStatus[TargetID], $A22) &gt; 0</f>
        <v>1</v>
      </c>
      <c r="J22" s="48" t="b">
        <f ca="1">COUNTIF(tblCost[TargetID], $A22) &gt; 0</f>
        <v>0</v>
      </c>
      <c r="K22" s="48" t="b">
        <f ca="1">COUNTIF(tblStates[StateID], $A22) &gt; 0</f>
        <v>0</v>
      </c>
      <c r="L22" s="48" t="b">
        <f t="shared" ca="1" si="1"/>
        <v>1</v>
      </c>
      <c r="M22" s="48" t="b">
        <f ca="1">IF(tblValidation[[#This Row],[TargetID]]="","",COUNTIF(tblTargets[TargetID],A22)&gt;1)</f>
        <v>0</v>
      </c>
      <c r="N22" s="48" t="b">
        <f ca="1">IF(tblValidation[[#This Row],[TargetID]]="","",COUNTIF(tblStates[StateID],tblValidation[[#This Row],[TargetID]])&gt;1)</f>
        <v>0</v>
      </c>
      <c r="O22" s="48" t="b" cm="1">
        <f t="array" aca="1" ref="O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 s="48"/>
      <c r="R22" s="48"/>
      <c r="S22" s="48"/>
      <c r="T22" s="48"/>
      <c r="V22" s="49" t="str">
        <f ca="1"/>
        <v>building.dairy.maxed</v>
      </c>
      <c r="W22" s="48" t="str">
        <f ca="1"/>
        <v>state.character_level@23</v>
      </c>
      <c r="X22" s="48" t="str">
        <f ca="1"/>
        <v>building.dairy.maxed</v>
      </c>
      <c r="Y22" s="48" t="str">
        <f ca="1"/>
        <v>building.dungeon@2</v>
      </c>
      <c r="Z22" s="48" t="str">
        <f ca="1"/>
        <v>building.dairy.maxed</v>
      </c>
      <c r="AA22" s="48" t="str">
        <f ca="1"/>
        <v>building.dungeon@1</v>
      </c>
      <c r="AB22" s="48" t="str">
        <f ca="1"/>
        <v>quest.once_upon_a_forest_chapter_15.finished</v>
      </c>
      <c r="AC22" s="48" t="str">
        <f ca="1"/>
        <v>building.train_passenger_carriage@1</v>
      </c>
      <c r="AD22" s="49" t="str">
        <f ca="1"/>
        <v>building.dairy.maxed</v>
      </c>
      <c r="AE22" s="49" t="str">
        <f ca="1"/>
        <v>building.dungeon@2</v>
      </c>
      <c r="AF22" s="49"/>
      <c r="AG22" s="49"/>
      <c r="AI22" s="49"/>
      <c r="AL22" s="49"/>
      <c r="AM22" s="49"/>
      <c r="AN22" s="49"/>
      <c r="AO22" s="49"/>
      <c r="AP22" s="49"/>
      <c r="AQ22" s="49"/>
      <c r="AR22" s="49"/>
      <c r="AS22" s="49"/>
      <c r="AU22" s="49"/>
      <c r="AX22" s="49"/>
      <c r="AY22" s="49"/>
      <c r="AZ22" s="49"/>
      <c r="BA22" s="49"/>
      <c r="BB22" s="49"/>
      <c r="BC22" s="49"/>
      <c r="BE22" s="49"/>
    </row>
    <row r="23" spans="1:57" ht="28">
      <c r="A23" t="str">
        <f t="shared" ca="1" si="0"/>
        <v>building.dairy@1</v>
      </c>
      <c r="B23" t="str">
        <f ca="1">_xlfn.XLOOKUP(tblValidation[[#This Row],[TargetID]],tblTargets[TargetID],tblTargets[TargetType],"")</f>
        <v>BUILDING</v>
      </c>
      <c r="C23" s="48" t="b">
        <f ca="1">COUNTIF(tblTargets[TargetID], $A23) &gt; 0</f>
        <v>1</v>
      </c>
      <c r="D23" s="48" t="b">
        <f ca="1">IF(OR(LEFT(tblValidation[[#This Row],[TargetID]],10)="state.CHAR",RIGHT(tblValidation[[#This Row],[TargetID]],5)="maxed"),TRUE, COUNTIF(tblChecklist[TargetID], $A23) &gt; 0)</f>
        <v>1</v>
      </c>
      <c r="E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 &gt; 0)</f>
        <v>1</v>
      </c>
      <c r="F23" s="48" t="b">
        <f ca="1">COUNTIF(tblDependencies[DependencyID], $A23) &gt; 0</f>
        <v>1</v>
      </c>
      <c r="G23" s="48" t="b">
        <f ca="1">COUNTIF(tblQuestObjectives[QuestTargetID], $A23) &gt; 0</f>
        <v>0</v>
      </c>
      <c r="H23" s="48" t="b">
        <f ca="1">COUNTIF(tblQuestObjectives[ObjectiveID], $A23) &gt; 0</f>
        <v>0</v>
      </c>
      <c r="I23" s="48" t="b">
        <f ca="1">COUNTIF(tblTargetStatus[TargetID], $A23) &gt; 0</f>
        <v>1</v>
      </c>
      <c r="J23" s="48" t="b">
        <f ca="1">COUNTIF(tblCost[TargetID], $A23) &gt; 0</f>
        <v>1</v>
      </c>
      <c r="K23" s="48" t="b">
        <f ca="1">COUNTIF(tblStates[StateID], $A23) &gt; 0</f>
        <v>0</v>
      </c>
      <c r="L23" s="48" t="b">
        <f t="shared" ca="1" si="1"/>
        <v>1</v>
      </c>
      <c r="M23" s="48" t="b">
        <f ca="1">IF(tblValidation[[#This Row],[TargetID]]="","",COUNTIF(tblTargets[TargetID],A23)&gt;1)</f>
        <v>0</v>
      </c>
      <c r="N23" s="48" t="b">
        <f ca="1">IF(tblValidation[[#This Row],[TargetID]]="","",COUNTIF(tblStates[StateID],tblValidation[[#This Row],[TargetID]])&gt;1)</f>
        <v>0</v>
      </c>
      <c r="O23" s="48" t="b" cm="1">
        <f t="array" aca="1" ref="O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 s="48"/>
      <c r="R23" s="48"/>
      <c r="S23" s="48"/>
      <c r="T23" s="48"/>
      <c r="V23" s="49" t="str">
        <f ca="1"/>
        <v>building.dairy@1</v>
      </c>
      <c r="W23" s="48" t="str">
        <f ca="1"/>
        <v>state.character_level@24</v>
      </c>
      <c r="X23" s="48" t="str">
        <f ca="1"/>
        <v>building.dairy@1</v>
      </c>
      <c r="Y23" s="48" t="str">
        <f ca="1"/>
        <v>building.dungeon@3</v>
      </c>
      <c r="Z23" s="48" t="str">
        <f ca="1"/>
        <v>building.dairy@1</v>
      </c>
      <c r="AA23" s="48" t="str">
        <f ca="1"/>
        <v>building.dungeon@2</v>
      </c>
      <c r="AB23" s="48" t="str">
        <f ca="1"/>
        <v>quest.once_upon_a_forest_chapter_2.finished</v>
      </c>
      <c r="AC23" s="48" t="str">
        <f ca="1"/>
        <v>building.warehouse@1</v>
      </c>
      <c r="AD23" s="49" t="str">
        <f ca="1"/>
        <v>building.dairy@1</v>
      </c>
      <c r="AE23" s="49" t="str">
        <f ca="1"/>
        <v>building.dungeon@3</v>
      </c>
      <c r="AF23" s="49"/>
      <c r="AG23" s="49"/>
      <c r="AI23" s="49"/>
      <c r="AL23" s="49"/>
      <c r="AM23" s="49"/>
      <c r="AN23" s="49"/>
      <c r="AO23" s="49"/>
      <c r="AP23" s="49"/>
      <c r="AQ23" s="49"/>
      <c r="AR23" s="49"/>
      <c r="AS23" s="49"/>
      <c r="AU23" s="49"/>
      <c r="AX23" s="49"/>
      <c r="AY23" s="49"/>
      <c r="AZ23" s="49"/>
      <c r="BA23" s="49"/>
      <c r="BB23" s="49"/>
      <c r="BC23" s="49"/>
      <c r="BE23" s="49"/>
    </row>
    <row r="24" spans="1:57" ht="28">
      <c r="A24" t="str">
        <f t="shared" ca="1" si="0"/>
        <v>building.dairy@2</v>
      </c>
      <c r="B24" t="str">
        <f ca="1">_xlfn.XLOOKUP(tblValidation[[#This Row],[TargetID]],tblTargets[TargetID],tblTargets[TargetType],"")</f>
        <v>BUILDING</v>
      </c>
      <c r="C24" s="48" t="b">
        <f ca="1">COUNTIF(tblTargets[TargetID], $A24) &gt; 0</f>
        <v>1</v>
      </c>
      <c r="D24" s="48" t="b">
        <f ca="1">IF(OR(LEFT(tblValidation[[#This Row],[TargetID]],10)="state.CHAR",RIGHT(tblValidation[[#This Row],[TargetID]],5)="maxed"),TRUE, COUNTIF(tblChecklist[TargetID], $A24) &gt; 0)</f>
        <v>1</v>
      </c>
      <c r="E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 &gt; 0)</f>
        <v>1</v>
      </c>
      <c r="F24" s="48" t="b">
        <f ca="1">COUNTIF(tblDependencies[DependencyID], $A24) &gt; 0</f>
        <v>1</v>
      </c>
      <c r="G24" s="48" t="b">
        <f ca="1">COUNTIF(tblQuestObjectives[QuestTargetID], $A24) &gt; 0</f>
        <v>0</v>
      </c>
      <c r="H24" s="48" t="b">
        <f ca="1">COUNTIF(tblQuestObjectives[ObjectiveID], $A24) &gt; 0</f>
        <v>0</v>
      </c>
      <c r="I24" s="48" t="b">
        <f ca="1">COUNTIF(tblTargetStatus[TargetID], $A24) &gt; 0</f>
        <v>1</v>
      </c>
      <c r="J24" s="48" t="b">
        <f ca="1">COUNTIF(tblCost[TargetID], $A24) &gt; 0</f>
        <v>1</v>
      </c>
      <c r="K24" s="48" t="b">
        <f ca="1">COUNTIF(tblStates[StateID], $A24) &gt; 0</f>
        <v>0</v>
      </c>
      <c r="L24" s="48" t="b">
        <f t="shared" ca="1" si="1"/>
        <v>1</v>
      </c>
      <c r="M24" s="48" t="b">
        <f ca="1">IF(tblValidation[[#This Row],[TargetID]]="","",COUNTIF(tblTargets[TargetID],A24)&gt;1)</f>
        <v>0</v>
      </c>
      <c r="N24" s="48" t="b">
        <f ca="1">IF(tblValidation[[#This Row],[TargetID]]="","",COUNTIF(tblStates[StateID],tblValidation[[#This Row],[TargetID]])&gt;1)</f>
        <v>0</v>
      </c>
      <c r="O24" s="48" t="b" cm="1">
        <f t="array" aca="1" ref="O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 s="48"/>
      <c r="R24" s="48"/>
      <c r="S24" s="48"/>
      <c r="T24" s="48"/>
      <c r="V24" s="49" t="str">
        <f ca="1"/>
        <v>building.dairy@2</v>
      </c>
      <c r="W24" s="48" t="str">
        <f ca="1"/>
        <v>state.character_level@28</v>
      </c>
      <c r="X24" s="48" t="str">
        <f ca="1"/>
        <v>building.dairy@2</v>
      </c>
      <c r="Y24" s="48" t="str">
        <f ca="1"/>
        <v>building.dungeon@4</v>
      </c>
      <c r="Z24" s="48" t="str">
        <f ca="1"/>
        <v>building.dairy@2</v>
      </c>
      <c r="AA24" s="48" t="str">
        <f ca="1"/>
        <v>building.dungeon@3</v>
      </c>
      <c r="AB24" s="48" t="str">
        <f ca="1"/>
        <v>quest.once_upon_a_forest_chapter_3.finished</v>
      </c>
      <c r="AC24" s="48" t="str">
        <f ca="1"/>
        <v>citadel.tunnel</v>
      </c>
      <c r="AD24" s="49" t="str">
        <f ca="1"/>
        <v>building.dairy@2</v>
      </c>
      <c r="AE24" s="49" t="str">
        <f ca="1"/>
        <v>building.dungeon@4</v>
      </c>
      <c r="AF24" s="49"/>
      <c r="AG24" s="49"/>
      <c r="AI24" s="49"/>
      <c r="AL24" s="49"/>
      <c r="AM24" s="49"/>
      <c r="AN24" s="49"/>
      <c r="AO24" s="49"/>
      <c r="AP24" s="49"/>
      <c r="AQ24" s="49"/>
      <c r="AR24" s="49"/>
      <c r="AS24" s="49"/>
      <c r="AU24" s="49"/>
      <c r="AX24" s="49"/>
      <c r="AY24" s="49"/>
      <c r="AZ24" s="49"/>
      <c r="BA24" s="49"/>
      <c r="BB24" s="49"/>
      <c r="BC24" s="49"/>
      <c r="BE24" s="49"/>
    </row>
    <row r="25" spans="1:57" ht="28">
      <c r="A25" t="str">
        <f t="shared" ca="1" si="0"/>
        <v>building.dungeon.maxed</v>
      </c>
      <c r="B25" t="str">
        <f ca="1">_xlfn.XLOOKUP(tblValidation[[#This Row],[TargetID]],tblTargets[TargetID],tblTargets[TargetType],"")</f>
        <v>BUILDING</v>
      </c>
      <c r="C25" s="48" t="b">
        <f ca="1">COUNTIF(tblTargets[TargetID], $A25) &gt; 0</f>
        <v>1</v>
      </c>
      <c r="D25" s="48" t="b">
        <f ca="1">IF(OR(LEFT(tblValidation[[#This Row],[TargetID]],10)="state.CHAR",RIGHT(tblValidation[[#This Row],[TargetID]],5)="maxed"),TRUE, COUNTIF(tblChecklist[TargetID], $A25) &gt; 0)</f>
        <v>1</v>
      </c>
      <c r="E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 &gt; 0)</f>
        <v>1</v>
      </c>
      <c r="F25" s="48" t="b">
        <f ca="1">COUNTIF(tblDependencies[DependencyID], $A25) &gt; 0</f>
        <v>0</v>
      </c>
      <c r="G25" s="48" t="b">
        <f ca="1">COUNTIF(tblQuestObjectives[QuestTargetID], $A25) &gt; 0</f>
        <v>0</v>
      </c>
      <c r="H25" s="48" t="b">
        <f ca="1">COUNTIF(tblQuestObjectives[ObjectiveID], $A25) &gt; 0</f>
        <v>0</v>
      </c>
      <c r="I25" s="48" t="b">
        <f ca="1">COUNTIF(tblTargetStatus[TargetID], $A25) &gt; 0</f>
        <v>1</v>
      </c>
      <c r="J25" s="48" t="b">
        <f ca="1">COUNTIF(tblCost[TargetID], $A25) &gt; 0</f>
        <v>0</v>
      </c>
      <c r="K25" s="48" t="b">
        <f ca="1">COUNTIF(tblStates[StateID], $A25) &gt; 0</f>
        <v>0</v>
      </c>
      <c r="L25" s="48" t="b">
        <f t="shared" ca="1" si="1"/>
        <v>1</v>
      </c>
      <c r="M25" s="48" t="b">
        <f ca="1">IF(tblValidation[[#This Row],[TargetID]]="","",COUNTIF(tblTargets[TargetID],A25)&gt;1)</f>
        <v>0</v>
      </c>
      <c r="N25" s="48" t="b">
        <f ca="1">IF(tblValidation[[#This Row],[TargetID]]="","",COUNTIF(tblStates[StateID],tblValidation[[#This Row],[TargetID]])&gt;1)</f>
        <v>0</v>
      </c>
      <c r="O25" s="48" t="b" cm="1">
        <f t="array" aca="1" ref="O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 s="48"/>
      <c r="R25" s="48"/>
      <c r="S25" s="48"/>
      <c r="T25" s="48"/>
      <c r="U25" s="49"/>
      <c r="V25" s="49" t="str">
        <f ca="1"/>
        <v>building.dungeon.maxed</v>
      </c>
      <c r="W25" s="48" t="str">
        <f ca="1"/>
        <v>state.character_level@3</v>
      </c>
      <c r="X25" s="48" t="str">
        <f ca="1"/>
        <v>building.dungeon.maxed</v>
      </c>
      <c r="Y25" s="48" t="str">
        <f ca="1"/>
        <v>building.dungeon@5</v>
      </c>
      <c r="Z25" s="48" t="str">
        <f ca="1"/>
        <v>building.dungeon.maxed</v>
      </c>
      <c r="AA25" s="48" t="str">
        <f ca="1"/>
        <v>building.dungeon@4</v>
      </c>
      <c r="AB25" s="48" t="str">
        <f ca="1"/>
        <v>quest.once_upon_a_forest_chapter_4.finished</v>
      </c>
      <c r="AC25" s="48" t="str">
        <f ca="1"/>
        <v>collection.alchemist_hall_1@1</v>
      </c>
      <c r="AD25" s="49" t="str">
        <f ca="1"/>
        <v>building.dungeon.maxed</v>
      </c>
      <c r="AE25" s="49" t="str">
        <f ca="1"/>
        <v>building.dungeon@5</v>
      </c>
      <c r="AF25" s="49"/>
      <c r="AG25" s="49"/>
      <c r="AI25" s="49"/>
      <c r="AL25" s="49"/>
      <c r="AM25" s="49"/>
      <c r="AN25" s="49"/>
      <c r="AO25" s="49"/>
      <c r="AP25" s="49"/>
      <c r="AQ25" s="49"/>
      <c r="AR25" s="49"/>
      <c r="AS25" s="49"/>
      <c r="AU25" s="49"/>
      <c r="AX25" s="49"/>
      <c r="AY25" s="49"/>
      <c r="AZ25" s="49"/>
      <c r="BA25" s="49"/>
      <c r="BB25" s="49"/>
      <c r="BC25" s="49"/>
      <c r="BE25" s="49"/>
    </row>
    <row r="26" spans="1:57" ht="28">
      <c r="A26" t="str">
        <f t="shared" ca="1" si="0"/>
        <v>building.dungeon@1</v>
      </c>
      <c r="B26" t="str">
        <f ca="1">_xlfn.XLOOKUP(tblValidation[[#This Row],[TargetID]],tblTargets[TargetID],tblTargets[TargetType],"")</f>
        <v>BUILDING</v>
      </c>
      <c r="C26" s="48" t="b">
        <f ca="1">COUNTIF(tblTargets[TargetID], $A26) &gt; 0</f>
        <v>1</v>
      </c>
      <c r="D26" s="48" t="b">
        <f ca="1">IF(OR(LEFT(tblValidation[[#This Row],[TargetID]],10)="state.CHAR",RIGHT(tblValidation[[#This Row],[TargetID]],5)="maxed"),TRUE, COUNTIF(tblChecklist[TargetID], $A26) &gt; 0)</f>
        <v>1</v>
      </c>
      <c r="E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 &gt; 0)</f>
        <v>1</v>
      </c>
      <c r="F26" s="48" t="b">
        <f ca="1">COUNTIF(tblDependencies[DependencyID], $A26) &gt; 0</f>
        <v>1</v>
      </c>
      <c r="G26" s="48" t="b">
        <f ca="1">COUNTIF(tblQuestObjectives[QuestTargetID], $A26) &gt; 0</f>
        <v>0</v>
      </c>
      <c r="H26" s="48" t="b">
        <f ca="1">COUNTIF(tblQuestObjectives[ObjectiveID], $A26) &gt; 0</f>
        <v>0</v>
      </c>
      <c r="I26" s="48" t="b">
        <f ca="1">COUNTIF(tblTargetStatus[TargetID], $A26) &gt; 0</f>
        <v>1</v>
      </c>
      <c r="J26" s="48" t="b">
        <f ca="1">COUNTIF(tblCost[TargetID], $A26) &gt; 0</f>
        <v>1</v>
      </c>
      <c r="K26" s="48" t="b">
        <f ca="1">COUNTIF(tblStates[StateID], $A26) &gt; 0</f>
        <v>0</v>
      </c>
      <c r="L26" s="48" t="b">
        <f t="shared" ca="1" si="1"/>
        <v>1</v>
      </c>
      <c r="M26" s="48" t="b">
        <f ca="1">IF(tblValidation[[#This Row],[TargetID]]="","",COUNTIF(tblTargets[TargetID],A26)&gt;1)</f>
        <v>0</v>
      </c>
      <c r="N26" s="48" t="b">
        <f ca="1">IF(tblValidation[[#This Row],[TargetID]]="","",COUNTIF(tblStates[StateID],tblValidation[[#This Row],[TargetID]])&gt;1)</f>
        <v>0</v>
      </c>
      <c r="O26" s="48" t="b" cm="1">
        <f t="array" aca="1" ref="O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 s="48"/>
      <c r="R26" s="48"/>
      <c r="S26" s="48"/>
      <c r="T26" s="48"/>
      <c r="U26" s="49"/>
      <c r="V26" s="49" t="str">
        <f ca="1"/>
        <v>building.dungeon@1</v>
      </c>
      <c r="W26" s="48" t="str">
        <f ca="1"/>
        <v>state.character_level@30</v>
      </c>
      <c r="X26" s="48" t="str">
        <f ca="1"/>
        <v>building.dungeon@1</v>
      </c>
      <c r="Y26" s="48" t="str">
        <f ca="1"/>
        <v>building.dungeon@6</v>
      </c>
      <c r="Z26" s="48" t="str">
        <f ca="1"/>
        <v>building.dungeon@1</v>
      </c>
      <c r="AA26" s="48" t="str">
        <f ca="1"/>
        <v>building.dungeon@5</v>
      </c>
      <c r="AB26" s="48" t="str">
        <f ca="1"/>
        <v>quest.once_upon_a_forest_chapter_6.finished</v>
      </c>
      <c r="AC26" s="48" t="str">
        <f ca="1"/>
        <v>collection.alchemist_hall_2@1</v>
      </c>
      <c r="AD26" s="49" t="str">
        <f ca="1"/>
        <v>building.dungeon@1</v>
      </c>
      <c r="AE26" s="49" t="str">
        <f ca="1"/>
        <v>building.fermentory@1</v>
      </c>
      <c r="AF26" s="49"/>
      <c r="AG26" s="49"/>
      <c r="AI26" s="49"/>
      <c r="AL26" s="49"/>
      <c r="AM26" s="49"/>
      <c r="AN26" s="49"/>
      <c r="AO26" s="49"/>
      <c r="AP26" s="49"/>
      <c r="AQ26" s="49"/>
      <c r="AR26" s="49"/>
      <c r="AS26" s="49"/>
      <c r="AU26" s="49"/>
      <c r="AX26" s="49"/>
      <c r="AY26" s="49"/>
      <c r="AZ26" s="49"/>
      <c r="BA26" s="49"/>
      <c r="BB26" s="49"/>
      <c r="BC26" s="49"/>
      <c r="BE26" s="49"/>
    </row>
    <row r="27" spans="1:57" ht="28">
      <c r="A27" t="str">
        <f t="shared" ca="1" si="0"/>
        <v>building.dungeon@2</v>
      </c>
      <c r="B27" t="str">
        <f ca="1">_xlfn.XLOOKUP(tblValidation[[#This Row],[TargetID]],tblTargets[TargetID],tblTargets[TargetType],"")</f>
        <v>BUILDING</v>
      </c>
      <c r="C27" s="48" t="b">
        <f ca="1">COUNTIF(tblTargets[TargetID], $A27) &gt; 0</f>
        <v>1</v>
      </c>
      <c r="D27" s="48" t="b">
        <f ca="1">IF(OR(LEFT(tblValidation[[#This Row],[TargetID]],10)="state.CHAR",RIGHT(tblValidation[[#This Row],[TargetID]],5)="maxed"),TRUE, COUNTIF(tblChecklist[TargetID], $A27) &gt; 0)</f>
        <v>1</v>
      </c>
      <c r="E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 &gt; 0)</f>
        <v>1</v>
      </c>
      <c r="F27" s="48" t="b">
        <f ca="1">COUNTIF(tblDependencies[DependencyID], $A27) &gt; 0</f>
        <v>1</v>
      </c>
      <c r="G27" s="48" t="b">
        <f ca="1">COUNTIF(tblQuestObjectives[QuestTargetID], $A27) &gt; 0</f>
        <v>0</v>
      </c>
      <c r="H27" s="48" t="b">
        <f ca="1">COUNTIF(tblQuestObjectives[ObjectiveID], $A27) &gt; 0</f>
        <v>0</v>
      </c>
      <c r="I27" s="48" t="b">
        <f ca="1">COUNTIF(tblTargetStatus[TargetID], $A27) &gt; 0</f>
        <v>1</v>
      </c>
      <c r="J27" s="48" t="b">
        <f ca="1">COUNTIF(tblCost[TargetID], $A27) &gt; 0</f>
        <v>1</v>
      </c>
      <c r="K27" s="48" t="b">
        <f ca="1">COUNTIF(tblStates[StateID], $A27) &gt; 0</f>
        <v>0</v>
      </c>
      <c r="L27" s="48" t="b">
        <f t="shared" ca="1" si="1"/>
        <v>1</v>
      </c>
      <c r="M27" s="48" t="b">
        <f ca="1">IF(tblValidation[[#This Row],[TargetID]]="","",COUNTIF(tblTargets[TargetID],A27)&gt;1)</f>
        <v>0</v>
      </c>
      <c r="N27" s="48" t="b">
        <f ca="1">IF(tblValidation[[#This Row],[TargetID]]="","",COUNTIF(tblStates[StateID],tblValidation[[#This Row],[TargetID]])&gt;1)</f>
        <v>0</v>
      </c>
      <c r="O27" s="48" t="b" cm="1">
        <f t="array" aca="1" ref="O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 s="48"/>
      <c r="R27" s="48"/>
      <c r="S27" s="48"/>
      <c r="T27" s="48"/>
      <c r="U27" s="49"/>
      <c r="V27" s="49" t="str">
        <f ca="1"/>
        <v>building.dungeon@2</v>
      </c>
      <c r="W27" s="48" t="str">
        <f ca="1"/>
        <v>state.character_level@31</v>
      </c>
      <c r="X27" s="48" t="str">
        <f ca="1"/>
        <v>building.dungeon@2</v>
      </c>
      <c r="Y27" s="48" t="str">
        <f ca="1"/>
        <v>building.fermentory@1</v>
      </c>
      <c r="Z27" s="48" t="str">
        <f ca="1"/>
        <v>building.dungeon@2</v>
      </c>
      <c r="AA27" s="48" t="str">
        <f ca="1"/>
        <v>building.dungeon@6</v>
      </c>
      <c r="AB27" s="48" t="str">
        <f ca="1"/>
        <v>quest.once_upon_a_forest_chapter_7.finished</v>
      </c>
      <c r="AC27" s="48" t="str">
        <f ca="1"/>
        <v>collection.alchemist_hall_3@1</v>
      </c>
      <c r="AD27" s="49" t="str">
        <f ca="1"/>
        <v>building.dungeon@2</v>
      </c>
      <c r="AE27" s="49" t="str">
        <f ca="1"/>
        <v>building.fermentory@2</v>
      </c>
      <c r="AF27" s="49"/>
      <c r="AG27" s="49"/>
      <c r="AI27" s="49"/>
      <c r="AL27" s="49"/>
      <c r="AM27" s="49"/>
      <c r="AN27" s="49"/>
      <c r="AO27" s="49"/>
      <c r="AP27" s="49"/>
      <c r="AQ27" s="49"/>
      <c r="AR27" s="49"/>
      <c r="AS27" s="49"/>
      <c r="AU27" s="49"/>
      <c r="AX27" s="49"/>
      <c r="AY27" s="49"/>
      <c r="AZ27" s="49"/>
      <c r="BA27" s="49"/>
      <c r="BB27" s="49"/>
      <c r="BC27" s="49"/>
      <c r="BE27" s="49"/>
    </row>
    <row r="28" spans="1:57" ht="28">
      <c r="A28" t="str">
        <f t="shared" ca="1" si="0"/>
        <v>building.dungeon@3</v>
      </c>
      <c r="B28" t="str">
        <f ca="1">_xlfn.XLOOKUP(tblValidation[[#This Row],[TargetID]],tblTargets[TargetID],tblTargets[TargetType],"")</f>
        <v>BUILDING</v>
      </c>
      <c r="C28" s="48" t="b">
        <f ca="1">COUNTIF(tblTargets[TargetID], $A28) &gt; 0</f>
        <v>1</v>
      </c>
      <c r="D28" s="48" t="b">
        <f ca="1">IF(OR(LEFT(tblValidation[[#This Row],[TargetID]],10)="state.CHAR",RIGHT(tblValidation[[#This Row],[TargetID]],5)="maxed"),TRUE, COUNTIF(tblChecklist[TargetID], $A28) &gt; 0)</f>
        <v>1</v>
      </c>
      <c r="E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 &gt; 0)</f>
        <v>1</v>
      </c>
      <c r="F28" s="48" t="b">
        <f ca="1">COUNTIF(tblDependencies[DependencyID], $A28) &gt; 0</f>
        <v>1</v>
      </c>
      <c r="G28" s="48" t="b">
        <f ca="1">COUNTIF(tblQuestObjectives[QuestTargetID], $A28) &gt; 0</f>
        <v>0</v>
      </c>
      <c r="H28" s="48" t="b">
        <f ca="1">COUNTIF(tblQuestObjectives[ObjectiveID], $A28) &gt; 0</f>
        <v>1</v>
      </c>
      <c r="I28" s="48" t="b">
        <f ca="1">COUNTIF(tblTargetStatus[TargetID], $A28) &gt; 0</f>
        <v>1</v>
      </c>
      <c r="J28" s="48" t="b">
        <f ca="1">COUNTIF(tblCost[TargetID], $A28) &gt; 0</f>
        <v>1</v>
      </c>
      <c r="K28" s="48" t="b">
        <f ca="1">COUNTIF(tblStates[StateID], $A28) &gt; 0</f>
        <v>0</v>
      </c>
      <c r="L28" s="48" t="b">
        <f t="shared" ca="1" si="1"/>
        <v>1</v>
      </c>
      <c r="M28" s="48" t="b">
        <f ca="1">IF(tblValidation[[#This Row],[TargetID]]="","",COUNTIF(tblTargets[TargetID],A28)&gt;1)</f>
        <v>0</v>
      </c>
      <c r="N28" s="48" t="b">
        <f ca="1">IF(tblValidation[[#This Row],[TargetID]]="","",COUNTIF(tblStates[StateID],tblValidation[[#This Row],[TargetID]])&gt;1)</f>
        <v>0</v>
      </c>
      <c r="O28" s="48" t="b" cm="1">
        <f t="array" aca="1" ref="O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 s="48"/>
      <c r="R28" s="48"/>
      <c r="S28" s="48"/>
      <c r="T28" s="48"/>
      <c r="U28" s="49"/>
      <c r="V28" s="49" t="str">
        <f ca="1"/>
        <v>building.dungeon@3</v>
      </c>
      <c r="W28" s="48" t="str">
        <f ca="1"/>
        <v>state.character_level@32</v>
      </c>
      <c r="X28" s="48" t="str">
        <f ca="1"/>
        <v>building.dungeon@3</v>
      </c>
      <c r="Y28" s="48" t="str">
        <f ca="1"/>
        <v>building.fermentory@2</v>
      </c>
      <c r="Z28" s="48" t="str">
        <f ca="1"/>
        <v>building.dungeon@3</v>
      </c>
      <c r="AA28" s="48" t="str">
        <f ca="1"/>
        <v>building.fermentory.maxed</v>
      </c>
      <c r="AB28" s="48" t="str">
        <f ca="1"/>
        <v>quest.once_upon_a_forest_chapter_9.finished</v>
      </c>
      <c r="AC28" s="48" t="str">
        <f ca="1"/>
        <v>collection.bone_dragon@1</v>
      </c>
      <c r="AD28" s="49" t="str">
        <f ca="1"/>
        <v>building.dungeon@3</v>
      </c>
      <c r="AE28" s="49" t="str">
        <f ca="1"/>
        <v>building.fermentory@3</v>
      </c>
      <c r="AF28" s="49"/>
      <c r="AG28" s="49"/>
      <c r="AI28" s="49"/>
      <c r="AL28" s="49"/>
      <c r="AM28" s="49"/>
      <c r="AN28" s="49"/>
      <c r="AO28" s="49"/>
      <c r="AP28" s="49"/>
      <c r="AQ28" s="49"/>
      <c r="AR28" s="49"/>
      <c r="AS28" s="49"/>
      <c r="AU28" s="49"/>
      <c r="AX28" s="49"/>
      <c r="AY28" s="49"/>
      <c r="AZ28" s="49"/>
      <c r="BA28" s="49"/>
      <c r="BB28" s="49"/>
      <c r="BC28" s="49"/>
      <c r="BE28" s="49"/>
    </row>
    <row r="29" spans="1:57" ht="28">
      <c r="A29" t="str">
        <f t="shared" ca="1" si="0"/>
        <v>building.dungeon@4</v>
      </c>
      <c r="B29" t="str">
        <f ca="1">_xlfn.XLOOKUP(tblValidation[[#This Row],[TargetID]],tblTargets[TargetID],tblTargets[TargetType],"")</f>
        <v>BUILDING</v>
      </c>
      <c r="C29" s="48" t="b">
        <f ca="1">COUNTIF(tblTargets[TargetID], $A29) &gt; 0</f>
        <v>1</v>
      </c>
      <c r="D29" s="48" t="b">
        <f ca="1">IF(OR(LEFT(tblValidation[[#This Row],[TargetID]],10)="state.CHAR",RIGHT(tblValidation[[#This Row],[TargetID]],5)="maxed"),TRUE, COUNTIF(tblChecklist[TargetID], $A29) &gt; 0)</f>
        <v>1</v>
      </c>
      <c r="E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 &gt; 0)</f>
        <v>1</v>
      </c>
      <c r="F29" s="48" t="b">
        <f ca="1">COUNTIF(tblDependencies[DependencyID], $A29) &gt; 0</f>
        <v>1</v>
      </c>
      <c r="G29" s="48" t="b">
        <f ca="1">COUNTIF(tblQuestObjectives[QuestTargetID], $A29) &gt; 0</f>
        <v>0</v>
      </c>
      <c r="H29" s="48" t="b">
        <f ca="1">COUNTIF(tblQuestObjectives[ObjectiveID], $A29) &gt; 0</f>
        <v>0</v>
      </c>
      <c r="I29" s="48" t="b">
        <f ca="1">COUNTIF(tblTargetStatus[TargetID], $A29) &gt; 0</f>
        <v>1</v>
      </c>
      <c r="J29" s="48" t="b">
        <f ca="1">COUNTIF(tblCost[TargetID], $A29) &gt; 0</f>
        <v>1</v>
      </c>
      <c r="K29" s="48" t="b">
        <f ca="1">COUNTIF(tblStates[StateID], $A29) &gt; 0</f>
        <v>0</v>
      </c>
      <c r="L29" s="48" t="b">
        <f t="shared" ca="1" si="1"/>
        <v>1</v>
      </c>
      <c r="M29" s="48" t="b">
        <f ca="1">IF(tblValidation[[#This Row],[TargetID]]="","",COUNTIF(tblTargets[TargetID],A29)&gt;1)</f>
        <v>0</v>
      </c>
      <c r="N29" s="48" t="b">
        <f ca="1">IF(tblValidation[[#This Row],[TargetID]]="","",COUNTIF(tblStates[StateID],tblValidation[[#This Row],[TargetID]])&gt;1)</f>
        <v>0</v>
      </c>
      <c r="O29" s="48" t="b" cm="1">
        <f t="array" aca="1" ref="O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 s="48"/>
      <c r="R29" s="48"/>
      <c r="S29" s="48"/>
      <c r="T29" s="48"/>
      <c r="V29" s="49" t="str">
        <f ca="1"/>
        <v>building.dungeon@4</v>
      </c>
      <c r="W29" s="48" t="str">
        <f ca="1"/>
        <v>state.character_level@4</v>
      </c>
      <c r="X29" s="48" t="str">
        <f ca="1"/>
        <v>building.dungeon@4</v>
      </c>
      <c r="Y29" s="48" t="str">
        <f ca="1"/>
        <v>building.fermentory@3</v>
      </c>
      <c r="Z29" s="48" t="str">
        <f ca="1"/>
        <v>building.dungeon@4</v>
      </c>
      <c r="AA29" s="48" t="str">
        <f ca="1"/>
        <v>building.fermentory@1</v>
      </c>
      <c r="AB29" s="48" t="str">
        <f ca="1"/>
        <v>quest.quest_for_knowledge_chapter_1.finished</v>
      </c>
      <c r="AC29" s="48" t="str">
        <f ca="1"/>
        <v>collection.broken_lever@1</v>
      </c>
      <c r="AD29" s="49" t="str">
        <f ca="1"/>
        <v>building.dungeon@4</v>
      </c>
      <c r="AE29" s="49" t="str">
        <f ca="1"/>
        <v>building.fermentory@4</v>
      </c>
      <c r="AF29" s="49"/>
      <c r="AG29" s="49"/>
      <c r="AI29" s="49"/>
      <c r="AL29" s="49"/>
      <c r="AM29" s="49"/>
      <c r="AN29" s="49"/>
      <c r="AO29" s="49"/>
      <c r="AP29" s="49"/>
      <c r="AQ29" s="49"/>
      <c r="AR29" s="49"/>
      <c r="AS29" s="49"/>
      <c r="AU29" s="49"/>
      <c r="AX29" s="49"/>
      <c r="AY29" s="49"/>
      <c r="AZ29" s="49"/>
      <c r="BA29" s="49"/>
      <c r="BB29" s="49"/>
      <c r="BC29" s="49"/>
      <c r="BE29" s="49"/>
    </row>
    <row r="30" spans="1:57" ht="28">
      <c r="A30" t="str">
        <f t="shared" ca="1" si="0"/>
        <v>building.dungeon@5</v>
      </c>
      <c r="B30" t="str">
        <f ca="1">_xlfn.XLOOKUP(tblValidation[[#This Row],[TargetID]],tblTargets[TargetID],tblTargets[TargetType],"")</f>
        <v>BUILDING</v>
      </c>
      <c r="C30" s="48" t="b">
        <f ca="1">COUNTIF(tblTargets[TargetID], $A30) &gt; 0</f>
        <v>1</v>
      </c>
      <c r="D30" s="48" t="b">
        <f ca="1">IF(OR(LEFT(tblValidation[[#This Row],[TargetID]],10)="state.CHAR",RIGHT(tblValidation[[#This Row],[TargetID]],5)="maxed"),TRUE, COUNTIF(tblChecklist[TargetID], $A30) &gt; 0)</f>
        <v>1</v>
      </c>
      <c r="E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 &gt; 0)</f>
        <v>1</v>
      </c>
      <c r="F30" s="48" t="b">
        <f ca="1">COUNTIF(tblDependencies[DependencyID], $A30) &gt; 0</f>
        <v>1</v>
      </c>
      <c r="G30" s="48" t="b">
        <f ca="1">COUNTIF(tblQuestObjectives[QuestTargetID], $A30) &gt; 0</f>
        <v>0</v>
      </c>
      <c r="H30" s="48" t="b">
        <f ca="1">COUNTIF(tblQuestObjectives[ObjectiveID], $A30) &gt; 0</f>
        <v>0</v>
      </c>
      <c r="I30" s="48" t="b">
        <f ca="1">COUNTIF(tblTargetStatus[TargetID], $A30) &gt; 0</f>
        <v>1</v>
      </c>
      <c r="J30" s="48" t="b">
        <f ca="1">COUNTIF(tblCost[TargetID], $A30) &gt; 0</f>
        <v>1</v>
      </c>
      <c r="K30" s="48" t="b">
        <f ca="1">COUNTIF(tblStates[StateID], $A30) &gt; 0</f>
        <v>0</v>
      </c>
      <c r="L30" s="48" t="b">
        <f t="shared" ca="1" si="1"/>
        <v>1</v>
      </c>
      <c r="M30" s="48" t="b">
        <f ca="1">IF(tblValidation[[#This Row],[TargetID]]="","",COUNTIF(tblTargets[TargetID],A30)&gt;1)</f>
        <v>0</v>
      </c>
      <c r="N30" s="48" t="b">
        <f ca="1">IF(tblValidation[[#This Row],[TargetID]]="","",COUNTIF(tblStates[StateID],tblValidation[[#This Row],[TargetID]])&gt;1)</f>
        <v>0</v>
      </c>
      <c r="O30" s="48" t="b" cm="1">
        <f t="array" aca="1" ref="O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 s="48"/>
      <c r="R30" s="48"/>
      <c r="S30" s="48"/>
      <c r="T30" s="48"/>
      <c r="V30" s="49" t="str">
        <f ca="1"/>
        <v>building.dungeon@5</v>
      </c>
      <c r="W30" s="48" t="str">
        <f ca="1"/>
        <v>state.character_level@40</v>
      </c>
      <c r="X30" s="48" t="str">
        <f ca="1"/>
        <v>building.dungeon@5</v>
      </c>
      <c r="Y30" s="48" t="str">
        <f ca="1"/>
        <v>building.fermentory@4</v>
      </c>
      <c r="Z30" s="48" t="str">
        <f ca="1"/>
        <v>building.dungeon@5</v>
      </c>
      <c r="AA30" s="48" t="str">
        <f ca="1"/>
        <v>building.fermentory@2</v>
      </c>
      <c r="AB30" s="48" t="str">
        <f ca="1"/>
        <v>quest.quest_for_knowledge_chapter_2.finished</v>
      </c>
      <c r="AC30" s="48" t="str">
        <f ca="1"/>
        <v>collection.broken_minecart@1</v>
      </c>
      <c r="AD30" s="49" t="str">
        <f ca="1"/>
        <v>building.dungeon@5</v>
      </c>
      <c r="AE30" s="49" t="str">
        <f ca="1"/>
        <v>building.fermentory@5</v>
      </c>
      <c r="AF30" s="49"/>
      <c r="AG30" s="49"/>
      <c r="AI30" s="49"/>
      <c r="AL30" s="49"/>
      <c r="AM30" s="49"/>
      <c r="AN30" s="49"/>
      <c r="AO30" s="49"/>
      <c r="AP30" s="49"/>
      <c r="AQ30" s="49"/>
      <c r="AR30" s="49"/>
      <c r="AS30" s="49"/>
      <c r="AU30" s="49"/>
      <c r="AX30" s="49"/>
      <c r="AY30" s="49"/>
      <c r="AZ30" s="49"/>
      <c r="BA30" s="49"/>
      <c r="BB30" s="49"/>
      <c r="BC30" s="49"/>
      <c r="BE30" s="49"/>
    </row>
    <row r="31" spans="1:57" ht="28">
      <c r="A31" t="str">
        <f t="shared" ca="1" si="0"/>
        <v>building.dungeon@6</v>
      </c>
      <c r="B31" t="str">
        <f ca="1">_xlfn.XLOOKUP(tblValidation[[#This Row],[TargetID]],tblTargets[TargetID],tblTargets[TargetType],"")</f>
        <v>BUILDING</v>
      </c>
      <c r="C31" s="48" t="b">
        <f ca="1">COUNTIF(tblTargets[TargetID], $A31) &gt; 0</f>
        <v>1</v>
      </c>
      <c r="D31" s="48" t="b">
        <f ca="1">IF(OR(LEFT(tblValidation[[#This Row],[TargetID]],10)="state.CHAR",RIGHT(tblValidation[[#This Row],[TargetID]],5)="maxed"),TRUE, COUNTIF(tblChecklist[TargetID], $A31) &gt; 0)</f>
        <v>1</v>
      </c>
      <c r="E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 &gt; 0)</f>
        <v>1</v>
      </c>
      <c r="F31" s="48" t="b">
        <f ca="1">COUNTIF(tblDependencies[DependencyID], $A31) &gt; 0</f>
        <v>1</v>
      </c>
      <c r="G31" s="48" t="b">
        <f ca="1">COUNTIF(tblQuestObjectives[QuestTargetID], $A31) &gt; 0</f>
        <v>0</v>
      </c>
      <c r="H31" s="48" t="b">
        <f ca="1">COUNTIF(tblQuestObjectives[ObjectiveID], $A31) &gt; 0</f>
        <v>0</v>
      </c>
      <c r="I31" s="48" t="b">
        <f ca="1">COUNTIF(tblTargetStatus[TargetID], $A31) &gt; 0</f>
        <v>1</v>
      </c>
      <c r="J31" s="48" t="b">
        <f ca="1">COUNTIF(tblCost[TargetID], $A31) &gt; 0</f>
        <v>0</v>
      </c>
      <c r="K31" s="48" t="b">
        <f ca="1">COUNTIF(tblStates[StateID], $A31) &gt; 0</f>
        <v>0</v>
      </c>
      <c r="L31" s="48" t="b">
        <f t="shared" ca="1" si="1"/>
        <v>1</v>
      </c>
      <c r="M31" s="48" t="b">
        <f ca="1">IF(tblValidation[[#This Row],[TargetID]]="","",COUNTIF(tblTargets[TargetID],A31)&gt;1)</f>
        <v>0</v>
      </c>
      <c r="N31" s="48" t="b">
        <f ca="1">IF(tblValidation[[#This Row],[TargetID]]="","",COUNTIF(tblStates[StateID],tblValidation[[#This Row],[TargetID]])&gt;1)</f>
        <v>0</v>
      </c>
      <c r="O31" s="48" t="b" cm="1">
        <f t="array" aca="1" ref="O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 s="48"/>
      <c r="R31" s="48"/>
      <c r="S31" s="48"/>
      <c r="T31" s="48"/>
      <c r="V31" s="49" t="str">
        <f ca="1"/>
        <v>building.dungeon@6</v>
      </c>
      <c r="W31" s="48" t="str">
        <f ca="1"/>
        <v>state.character_level@5</v>
      </c>
      <c r="X31" s="48" t="str">
        <f ca="1"/>
        <v>building.dungeon@6</v>
      </c>
      <c r="Y31" s="48" t="str">
        <f ca="1"/>
        <v>building.fermentory@5</v>
      </c>
      <c r="Z31" s="48" t="str">
        <f ca="1"/>
        <v>building.dungeon@6</v>
      </c>
      <c r="AA31" s="48" t="str">
        <f ca="1"/>
        <v>building.fermentory@3</v>
      </c>
      <c r="AB31" s="48" t="str">
        <f ca="1"/>
        <v>quest.quest_for_knowledge_chapter_3.finished</v>
      </c>
      <c r="AC31" s="48" t="str">
        <f ca="1"/>
        <v>collection.cave_in_alchemist_hall@1</v>
      </c>
      <c r="AD31" s="49" t="str">
        <f ca="1"/>
        <v>building.dungeon@6</v>
      </c>
      <c r="AE31" s="49" t="str">
        <f ca="1"/>
        <v>building.fermentory@6</v>
      </c>
      <c r="AF31" s="49"/>
      <c r="AG31" s="49"/>
      <c r="AI31" s="49"/>
      <c r="AL31" s="49"/>
      <c r="AM31" s="49"/>
      <c r="AN31" s="49"/>
      <c r="AO31" s="49"/>
      <c r="AP31" s="49"/>
      <c r="AQ31" s="49"/>
      <c r="AR31" s="49"/>
      <c r="AS31" s="49"/>
      <c r="AU31" s="49"/>
      <c r="AX31" s="49"/>
      <c r="AY31" s="49"/>
      <c r="AZ31" s="49"/>
      <c r="BA31" s="49"/>
      <c r="BB31" s="49"/>
      <c r="BC31" s="49"/>
      <c r="BE31" s="49"/>
    </row>
    <row r="32" spans="1:57" ht="28">
      <c r="A32" t="str">
        <f t="shared" ca="1" si="0"/>
        <v>building.fermentory.maxed</v>
      </c>
      <c r="B32" t="str">
        <f ca="1">_xlfn.XLOOKUP(tblValidation[[#This Row],[TargetID]],tblTargets[TargetID],tblTargets[TargetType],"")</f>
        <v>BUILDING</v>
      </c>
      <c r="C32" s="48" t="b">
        <f ca="1">COUNTIF(tblTargets[TargetID], $A32) &gt; 0</f>
        <v>1</v>
      </c>
      <c r="D32" s="48" t="b">
        <f ca="1">IF(OR(LEFT(tblValidation[[#This Row],[TargetID]],10)="state.CHAR",RIGHT(tblValidation[[#This Row],[TargetID]],5)="maxed"),TRUE, COUNTIF(tblChecklist[TargetID], $A32) &gt; 0)</f>
        <v>1</v>
      </c>
      <c r="E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 &gt; 0)</f>
        <v>1</v>
      </c>
      <c r="F32" s="48" t="b">
        <f ca="1">COUNTIF(tblDependencies[DependencyID], $A32) &gt; 0</f>
        <v>1</v>
      </c>
      <c r="G32" s="48" t="b">
        <f ca="1">COUNTIF(tblQuestObjectives[QuestTargetID], $A32) &gt; 0</f>
        <v>0</v>
      </c>
      <c r="H32" s="48" t="b">
        <f ca="1">COUNTIF(tblQuestObjectives[ObjectiveID], $A32) &gt; 0</f>
        <v>0</v>
      </c>
      <c r="I32" s="48" t="b">
        <f ca="1">COUNTIF(tblTargetStatus[TargetID], $A32) &gt; 0</f>
        <v>1</v>
      </c>
      <c r="J32" s="48" t="b">
        <f ca="1">COUNTIF(tblCost[TargetID], $A32) &gt; 0</f>
        <v>0</v>
      </c>
      <c r="K32" s="48" t="b">
        <f ca="1">COUNTIF(tblStates[StateID], $A32) &gt; 0</f>
        <v>0</v>
      </c>
      <c r="L32" s="48" t="b">
        <f t="shared" ca="1" si="1"/>
        <v>1</v>
      </c>
      <c r="M32" s="48" t="b">
        <f ca="1">IF(tblValidation[[#This Row],[TargetID]]="","",COUNTIF(tblTargets[TargetID],A32)&gt;1)</f>
        <v>0</v>
      </c>
      <c r="N32" s="48" t="b">
        <f ca="1">IF(tblValidation[[#This Row],[TargetID]]="","",COUNTIF(tblStates[StateID],tblValidation[[#This Row],[TargetID]])&gt;1)</f>
        <v>0</v>
      </c>
      <c r="O32" s="48" t="b" cm="1">
        <f t="array" aca="1" ref="O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 s="48"/>
      <c r="R32" s="48"/>
      <c r="S32" s="48"/>
      <c r="T32" s="48"/>
      <c r="V32" s="49" t="str">
        <f ca="1"/>
        <v>building.fermentory.maxed</v>
      </c>
      <c r="W32" s="48" t="str">
        <f ca="1"/>
        <v>state.character_level@50</v>
      </c>
      <c r="X32" s="48" t="str">
        <f ca="1"/>
        <v>building.fermentory.maxed</v>
      </c>
      <c r="Y32" s="48" t="str">
        <f ca="1"/>
        <v>building.fermentory@6</v>
      </c>
      <c r="Z32" s="48" t="str">
        <f ca="1"/>
        <v>building.fermentory.maxed</v>
      </c>
      <c r="AA32" s="48" t="str">
        <f ca="1"/>
        <v>building.fermentory@4</v>
      </c>
      <c r="AB32" s="48" t="str">
        <f ca="1"/>
        <v>quest.quest_for_knowledge_chapter_4.finished</v>
      </c>
      <c r="AC32" s="48" t="str">
        <f ca="1"/>
        <v>collection.cave_in_bone_dragon@1</v>
      </c>
      <c r="AD32" s="49" t="str">
        <f ca="1"/>
        <v>building.fermentory.maxed</v>
      </c>
      <c r="AE32" s="49" t="str">
        <f ca="1"/>
        <v>building.field@1</v>
      </c>
      <c r="AF32" s="49"/>
      <c r="AG32" s="49"/>
      <c r="AI32" s="49"/>
      <c r="AL32" s="49"/>
      <c r="AM32" s="49"/>
      <c r="AN32" s="49"/>
      <c r="AO32" s="49"/>
      <c r="AP32" s="49"/>
      <c r="AQ32" s="49"/>
      <c r="AR32" s="49"/>
      <c r="AS32" s="49"/>
      <c r="AU32" s="49"/>
      <c r="AX32" s="49"/>
      <c r="AY32" s="49"/>
      <c r="AZ32" s="49"/>
      <c r="BA32" s="49"/>
      <c r="BB32" s="49"/>
      <c r="BC32" s="49"/>
      <c r="BE32" s="49"/>
    </row>
    <row r="33" spans="1:57" ht="28">
      <c r="A33" t="str">
        <f t="shared" ca="1" si="0"/>
        <v>building.fermentory@1</v>
      </c>
      <c r="B33" t="str">
        <f ca="1">_xlfn.XLOOKUP(tblValidation[[#This Row],[TargetID]],tblTargets[TargetID],tblTargets[TargetType],"")</f>
        <v>BUILDING</v>
      </c>
      <c r="C33" s="48" t="b">
        <f ca="1">COUNTIF(tblTargets[TargetID], $A33) &gt; 0</f>
        <v>1</v>
      </c>
      <c r="D33" s="48" t="b">
        <f ca="1">IF(OR(LEFT(tblValidation[[#This Row],[TargetID]],10)="state.CHAR",RIGHT(tblValidation[[#This Row],[TargetID]],5)="maxed"),TRUE, COUNTIF(tblChecklist[TargetID], $A33) &gt; 0)</f>
        <v>1</v>
      </c>
      <c r="E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 &gt; 0)</f>
        <v>1</v>
      </c>
      <c r="F33" s="48" t="b">
        <f ca="1">COUNTIF(tblDependencies[DependencyID], $A33) &gt; 0</f>
        <v>1</v>
      </c>
      <c r="G33" s="48" t="b">
        <f ca="1">COUNTIF(tblQuestObjectives[QuestTargetID], $A33) &gt; 0</f>
        <v>0</v>
      </c>
      <c r="H33" s="48" t="b">
        <f ca="1">COUNTIF(tblQuestObjectives[ObjectiveID], $A33) &gt; 0</f>
        <v>0</v>
      </c>
      <c r="I33" s="48" t="b">
        <f ca="1">COUNTIF(tblTargetStatus[TargetID], $A33) &gt; 0</f>
        <v>1</v>
      </c>
      <c r="J33" s="48" t="b">
        <f ca="1">COUNTIF(tblCost[TargetID], $A33) &gt; 0</f>
        <v>1</v>
      </c>
      <c r="K33" s="48" t="b">
        <f ca="1">COUNTIF(tblStates[StateID], $A33) &gt; 0</f>
        <v>0</v>
      </c>
      <c r="L33" s="48" t="b">
        <f t="shared" ca="1" si="1"/>
        <v>1</v>
      </c>
      <c r="M33" s="48" t="b">
        <f ca="1">IF(tblValidation[[#This Row],[TargetID]]="","",COUNTIF(tblTargets[TargetID],A33)&gt;1)</f>
        <v>0</v>
      </c>
      <c r="N33" s="48" t="b">
        <f ca="1">IF(tblValidation[[#This Row],[TargetID]]="","",COUNTIF(tblStates[StateID],tblValidation[[#This Row],[TargetID]])&gt;1)</f>
        <v>0</v>
      </c>
      <c r="O33" s="48" t="b" cm="1">
        <f t="array" aca="1" ref="O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 s="48"/>
      <c r="R33" s="48"/>
      <c r="S33" s="48"/>
      <c r="T33" s="48"/>
      <c r="V33" s="49" t="str">
        <f ca="1"/>
        <v>building.fermentory@1</v>
      </c>
      <c r="W33" s="48" t="str">
        <f ca="1"/>
        <v>state.character_level@55</v>
      </c>
      <c r="X33" s="48" t="str">
        <f ca="1"/>
        <v>building.fermentory@1</v>
      </c>
      <c r="Y33" s="48" t="str">
        <f ca="1"/>
        <v>building.field@1</v>
      </c>
      <c r="Z33" s="48" t="str">
        <f ca="1"/>
        <v>building.fermentory@1</v>
      </c>
      <c r="AA33" s="48" t="str">
        <f ca="1"/>
        <v>building.fermentory@5</v>
      </c>
      <c r="AB33" s="48" t="str">
        <f ca="1"/>
        <v>quest.quest_for_knowledge_chapter_5.finished</v>
      </c>
      <c r="AC33" s="48" t="str">
        <f ca="1"/>
        <v>collection.collapsed_staircase@1</v>
      </c>
      <c r="AD33" s="49" t="str">
        <f ca="1"/>
        <v>building.fermentory@1</v>
      </c>
      <c r="AE33" s="49" t="str">
        <f ca="1"/>
        <v>building.field@2</v>
      </c>
      <c r="AF33" s="49"/>
      <c r="AG33" s="49"/>
      <c r="AI33" s="49"/>
      <c r="AL33" s="49"/>
      <c r="AM33" s="49"/>
      <c r="AN33" s="49"/>
      <c r="AO33" s="49"/>
      <c r="AP33" s="49"/>
      <c r="AQ33" s="49"/>
      <c r="AR33" s="49"/>
      <c r="AS33" s="49"/>
      <c r="AU33" s="49"/>
      <c r="AX33" s="49"/>
      <c r="AY33" s="49"/>
      <c r="AZ33" s="49"/>
      <c r="BA33" s="49"/>
      <c r="BB33" s="49"/>
      <c r="BC33" s="49"/>
      <c r="BE33" s="49"/>
    </row>
    <row r="34" spans="1:57" ht="28">
      <c r="A34" t="str">
        <f t="shared" ca="1" si="0"/>
        <v>building.fermentory@2</v>
      </c>
      <c r="B34" t="str">
        <f ca="1">_xlfn.XLOOKUP(tblValidation[[#This Row],[TargetID]],tblTargets[TargetID],tblTargets[TargetType],"")</f>
        <v>BUILDING</v>
      </c>
      <c r="C34" s="48" t="b">
        <f ca="1">COUNTIF(tblTargets[TargetID], $A34) &gt; 0</f>
        <v>1</v>
      </c>
      <c r="D34" s="48" t="b">
        <f ca="1">IF(OR(LEFT(tblValidation[[#This Row],[TargetID]],10)="state.CHAR",RIGHT(tblValidation[[#This Row],[TargetID]],5)="maxed"),TRUE, COUNTIF(tblChecklist[TargetID], $A34) &gt; 0)</f>
        <v>1</v>
      </c>
      <c r="E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 &gt; 0)</f>
        <v>1</v>
      </c>
      <c r="F34" s="48" t="b">
        <f ca="1">COUNTIF(tblDependencies[DependencyID], $A34) &gt; 0</f>
        <v>1</v>
      </c>
      <c r="G34" s="48" t="b">
        <f ca="1">COUNTIF(tblQuestObjectives[QuestTargetID], $A34) &gt; 0</f>
        <v>0</v>
      </c>
      <c r="H34" s="48" t="b">
        <f ca="1">COUNTIF(tblQuestObjectives[ObjectiveID], $A34) &gt; 0</f>
        <v>0</v>
      </c>
      <c r="I34" s="48" t="b">
        <f ca="1">COUNTIF(tblTargetStatus[TargetID], $A34) &gt; 0</f>
        <v>1</v>
      </c>
      <c r="J34" s="48" t="b">
        <f ca="1">COUNTIF(tblCost[TargetID], $A34) &gt; 0</f>
        <v>1</v>
      </c>
      <c r="K34" s="48" t="b">
        <f ca="1">COUNTIF(tblStates[StateID], $A34) &gt; 0</f>
        <v>0</v>
      </c>
      <c r="L34" s="48" t="b">
        <f t="shared" ca="1" si="1"/>
        <v>1</v>
      </c>
      <c r="M34" s="48" t="b">
        <f ca="1">IF(tblValidation[[#This Row],[TargetID]]="","",COUNTIF(tblTargets[TargetID],A34)&gt;1)</f>
        <v>0</v>
      </c>
      <c r="N34" s="48" t="b">
        <f ca="1">IF(tblValidation[[#This Row],[TargetID]]="","",COUNTIF(tblStates[StateID],tblValidation[[#This Row],[TargetID]])&gt;1)</f>
        <v>0</v>
      </c>
      <c r="O34" s="48" t="b" cm="1">
        <f t="array" aca="1" ref="O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 s="48"/>
      <c r="R34" s="48"/>
      <c r="S34" s="48"/>
      <c r="T34" s="48"/>
      <c r="V34" s="49" t="str">
        <f ca="1"/>
        <v>building.fermentory@2</v>
      </c>
      <c r="W34" s="48" t="str">
        <f ca="1"/>
        <v>state.character_level@6</v>
      </c>
      <c r="X34" s="48" t="str">
        <f ca="1"/>
        <v>building.fermentory@2</v>
      </c>
      <c r="Y34" s="48" t="str">
        <f ca="1"/>
        <v>building.field@2</v>
      </c>
      <c r="Z34" s="48" t="str">
        <f ca="1"/>
        <v>building.fermentory@2</v>
      </c>
      <c r="AA34" s="48" t="str">
        <f ca="1"/>
        <v>building.fermentory@6</v>
      </c>
      <c r="AB34" s="48" t="str">
        <f ca="1"/>
        <v>quest.shoguns_katana_chapter_1.finished</v>
      </c>
      <c r="AC34" s="48" t="str">
        <f ca="1"/>
        <v>collection.rotten_ladder@1</v>
      </c>
      <c r="AD34" s="49" t="str">
        <f ca="1"/>
        <v>building.fermentory@2</v>
      </c>
      <c r="AE34" s="49" t="str">
        <f ca="1"/>
        <v>building.food_stall@1</v>
      </c>
      <c r="AF34" s="49"/>
      <c r="AG34" s="49"/>
      <c r="AI34" s="49"/>
      <c r="AL34" s="49"/>
      <c r="AM34" s="49"/>
      <c r="AN34" s="49"/>
      <c r="AO34" s="49"/>
      <c r="AP34" s="49"/>
      <c r="AQ34" s="49"/>
      <c r="AR34" s="49"/>
      <c r="AS34" s="49"/>
      <c r="AU34" s="49"/>
      <c r="AX34" s="49"/>
      <c r="AY34" s="49"/>
      <c r="AZ34" s="49"/>
      <c r="BA34" s="49"/>
      <c r="BB34" s="49"/>
      <c r="BC34" s="49"/>
      <c r="BE34" s="49"/>
    </row>
    <row r="35" spans="1:57" ht="28">
      <c r="A35" t="str">
        <f t="shared" ca="1" si="0"/>
        <v>building.fermentory@3</v>
      </c>
      <c r="B35" t="str">
        <f ca="1">_xlfn.XLOOKUP(tblValidation[[#This Row],[TargetID]],tblTargets[TargetID],tblTargets[TargetType],"")</f>
        <v>BUILDING</v>
      </c>
      <c r="C35" s="48" t="b">
        <f ca="1">COUNTIF(tblTargets[TargetID], $A35) &gt; 0</f>
        <v>1</v>
      </c>
      <c r="D35" s="48" t="b">
        <f ca="1">IF(OR(LEFT(tblValidation[[#This Row],[TargetID]],10)="state.CHAR",RIGHT(tblValidation[[#This Row],[TargetID]],5)="maxed"),TRUE, COUNTIF(tblChecklist[TargetID], $A35) &gt; 0)</f>
        <v>1</v>
      </c>
      <c r="E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 &gt; 0)</f>
        <v>1</v>
      </c>
      <c r="F35" s="48" t="b">
        <f ca="1">COUNTIF(tblDependencies[DependencyID], $A35) &gt; 0</f>
        <v>1</v>
      </c>
      <c r="G35" s="48" t="b">
        <f ca="1">COUNTIF(tblQuestObjectives[QuestTargetID], $A35) &gt; 0</f>
        <v>0</v>
      </c>
      <c r="H35" s="48" t="b">
        <f ca="1">COUNTIF(tblQuestObjectives[ObjectiveID], $A35) &gt; 0</f>
        <v>0</v>
      </c>
      <c r="I35" s="48" t="b">
        <f ca="1">COUNTIF(tblTargetStatus[TargetID], $A35) &gt; 0</f>
        <v>1</v>
      </c>
      <c r="J35" s="48" t="b">
        <f ca="1">COUNTIF(tblCost[TargetID], $A35) &gt; 0</f>
        <v>1</v>
      </c>
      <c r="K35" s="48" t="b">
        <f ca="1">COUNTIF(tblStates[StateID], $A35) &gt; 0</f>
        <v>0</v>
      </c>
      <c r="L35" s="48" t="b">
        <f t="shared" ca="1" si="1"/>
        <v>1</v>
      </c>
      <c r="M35" s="48" t="b">
        <f ca="1">IF(tblValidation[[#This Row],[TargetID]]="","",COUNTIF(tblTargets[TargetID],A35)&gt;1)</f>
        <v>0</v>
      </c>
      <c r="N35" s="48" t="b">
        <f ca="1">IF(tblValidation[[#This Row],[TargetID]]="","",COUNTIF(tblStates[StateID],tblValidation[[#This Row],[TargetID]])&gt;1)</f>
        <v>0</v>
      </c>
      <c r="O35" s="48" t="b" cm="1">
        <f t="array" aca="1" ref="O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 s="48"/>
      <c r="R35" s="48"/>
      <c r="S35" s="48"/>
      <c r="T35" s="48"/>
      <c r="V35" s="49" t="str">
        <f ca="1"/>
        <v>building.fermentory@3</v>
      </c>
      <c r="W35" s="48" t="str">
        <f ca="1"/>
        <v>state.character_level@7</v>
      </c>
      <c r="X35" s="48" t="str">
        <f ca="1"/>
        <v>building.fermentory@3</v>
      </c>
      <c r="Y35" s="48" t="str">
        <f ca="1"/>
        <v>building.food_stall@1</v>
      </c>
      <c r="Z35" s="48" t="str">
        <f ca="1"/>
        <v>building.fermentory@3</v>
      </c>
      <c r="AA35" s="48" t="str">
        <f ca="1"/>
        <v>building.field.maxed</v>
      </c>
      <c r="AB35" s="48" t="str">
        <f ca="1"/>
        <v>quest.shoguns_katana_chapter_2.finished</v>
      </c>
      <c r="AC35" s="48" t="str">
        <f ca="1"/>
        <v>craftifact.emerald_tablet</v>
      </c>
      <c r="AD35" s="49" t="str">
        <f ca="1"/>
        <v>building.fermentory@3</v>
      </c>
      <c r="AE35" s="49" t="str">
        <f ca="1"/>
        <v>building.food_stall@2</v>
      </c>
      <c r="AF35" s="49"/>
      <c r="AG35" s="49"/>
      <c r="AI35" s="49"/>
      <c r="AL35" s="49"/>
      <c r="AM35" s="49"/>
      <c r="AN35" s="49"/>
      <c r="AO35" s="49"/>
      <c r="AP35" s="49"/>
      <c r="AQ35" s="49"/>
      <c r="AR35" s="49"/>
      <c r="AS35" s="49"/>
      <c r="AU35" s="49"/>
      <c r="AX35" s="49"/>
      <c r="AY35" s="49"/>
      <c r="AZ35" s="49"/>
      <c r="BA35" s="49"/>
      <c r="BB35" s="49"/>
      <c r="BC35" s="49"/>
      <c r="BE35" s="49"/>
    </row>
    <row r="36" spans="1:57" ht="28">
      <c r="A36" t="str">
        <f t="shared" ca="1" si="0"/>
        <v>building.fermentory@4</v>
      </c>
      <c r="B36" t="str">
        <f ca="1">_xlfn.XLOOKUP(tblValidation[[#This Row],[TargetID]],tblTargets[TargetID],tblTargets[TargetType],"")</f>
        <v>BUILDING</v>
      </c>
      <c r="C36" s="48" t="b">
        <f ca="1">COUNTIF(tblTargets[TargetID], $A36) &gt; 0</f>
        <v>1</v>
      </c>
      <c r="D36" s="48" t="b">
        <f ca="1">IF(OR(LEFT(tblValidation[[#This Row],[TargetID]],10)="state.CHAR",RIGHT(tblValidation[[#This Row],[TargetID]],5)="maxed"),TRUE, COUNTIF(tblChecklist[TargetID], $A36) &gt; 0)</f>
        <v>1</v>
      </c>
      <c r="E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 &gt; 0)</f>
        <v>1</v>
      </c>
      <c r="F36" s="48" t="b">
        <f ca="1">COUNTIF(tblDependencies[DependencyID], $A36) &gt; 0</f>
        <v>1</v>
      </c>
      <c r="G36" s="48" t="b">
        <f ca="1">COUNTIF(tblQuestObjectives[QuestTargetID], $A36) &gt; 0</f>
        <v>0</v>
      </c>
      <c r="H36" s="48" t="b">
        <f ca="1">COUNTIF(tblQuestObjectives[ObjectiveID], $A36) &gt; 0</f>
        <v>0</v>
      </c>
      <c r="I36" s="48" t="b">
        <f ca="1">COUNTIF(tblTargetStatus[TargetID], $A36) &gt; 0</f>
        <v>1</v>
      </c>
      <c r="J36" s="48" t="b">
        <f ca="1">COUNTIF(tblCost[TargetID], $A36) &gt; 0</f>
        <v>1</v>
      </c>
      <c r="K36" s="48" t="b">
        <f ca="1">COUNTIF(tblStates[StateID], $A36) &gt; 0</f>
        <v>0</v>
      </c>
      <c r="L36" s="48" t="b">
        <f t="shared" ca="1" si="1"/>
        <v>1</v>
      </c>
      <c r="M36" s="48" t="b">
        <f ca="1">IF(tblValidation[[#This Row],[TargetID]]="","",COUNTIF(tblTargets[TargetID],A36)&gt;1)</f>
        <v>0</v>
      </c>
      <c r="N36" s="48" t="b">
        <f ca="1">IF(tblValidation[[#This Row],[TargetID]]="","",COUNTIF(tblStates[StateID],tblValidation[[#This Row],[TargetID]])&gt;1)</f>
        <v>0</v>
      </c>
      <c r="O36" s="48" t="b" cm="1">
        <f t="array" aca="1" ref="O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 s="48"/>
      <c r="R36" s="48"/>
      <c r="S36" s="48"/>
      <c r="T36" s="48"/>
      <c r="V36" s="49" t="str">
        <f ca="1"/>
        <v>building.fermentory@4</v>
      </c>
      <c r="W36" s="48" t="str">
        <f ca="1"/>
        <v>state.character_level@8</v>
      </c>
      <c r="X36" s="48" t="str">
        <f ca="1"/>
        <v>building.fermentory@4</v>
      </c>
      <c r="Y36" s="48" t="str">
        <f ca="1"/>
        <v>building.food_stall@2</v>
      </c>
      <c r="Z36" s="48" t="str">
        <f ca="1"/>
        <v>building.fermentory@4</v>
      </c>
      <c r="AA36" s="48" t="str">
        <f ca="1"/>
        <v>building.field@1</v>
      </c>
      <c r="AB36" s="48" t="str">
        <f ca="1"/>
        <v>quest.shoguns_katana_chapter_3.finished</v>
      </c>
      <c r="AC36" s="48" t="str">
        <f ca="1"/>
        <v>craftifact.guild_banner</v>
      </c>
      <c r="AD36" s="49" t="str">
        <f ca="1"/>
        <v>building.fermentory@4</v>
      </c>
      <c r="AE36" s="49" t="str">
        <f ca="1"/>
        <v>building.food_stall@3</v>
      </c>
      <c r="AF36" s="49"/>
      <c r="AG36" s="49"/>
      <c r="AI36" s="49"/>
      <c r="AL36" s="49"/>
      <c r="AM36" s="49"/>
      <c r="AN36" s="49"/>
      <c r="AO36" s="49"/>
      <c r="AP36" s="49"/>
      <c r="AQ36" s="49"/>
      <c r="AR36" s="49"/>
      <c r="AS36" s="49"/>
      <c r="AU36" s="49"/>
      <c r="AX36" s="49"/>
      <c r="AY36" s="49"/>
      <c r="AZ36" s="49"/>
      <c r="BA36" s="49"/>
      <c r="BB36" s="49"/>
      <c r="BC36" s="49"/>
      <c r="BE36" s="49"/>
    </row>
    <row r="37" spans="1:57" ht="28">
      <c r="A37" t="str">
        <f t="shared" ca="1" si="0"/>
        <v>building.fermentory@5</v>
      </c>
      <c r="B37" t="str">
        <f ca="1">_xlfn.XLOOKUP(tblValidation[[#This Row],[TargetID]],tblTargets[TargetID],tblTargets[TargetType],"")</f>
        <v>BUILDING</v>
      </c>
      <c r="C37" s="48" t="b">
        <f ca="1">COUNTIF(tblTargets[TargetID], $A37) &gt; 0</f>
        <v>1</v>
      </c>
      <c r="D37" s="48" t="b">
        <f ca="1">IF(OR(LEFT(tblValidation[[#This Row],[TargetID]],10)="state.CHAR",RIGHT(tblValidation[[#This Row],[TargetID]],5)="maxed"),TRUE, COUNTIF(tblChecklist[TargetID], $A37) &gt; 0)</f>
        <v>1</v>
      </c>
      <c r="E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 &gt; 0)</f>
        <v>1</v>
      </c>
      <c r="F37" s="48" t="b">
        <f ca="1">COUNTIF(tblDependencies[DependencyID], $A37) &gt; 0</f>
        <v>1</v>
      </c>
      <c r="G37" s="48" t="b">
        <f ca="1">COUNTIF(tblQuestObjectives[QuestTargetID], $A37) &gt; 0</f>
        <v>0</v>
      </c>
      <c r="H37" s="48" t="b">
        <f ca="1">COUNTIF(tblQuestObjectives[ObjectiveID], $A37) &gt; 0</f>
        <v>0</v>
      </c>
      <c r="I37" s="48" t="b">
        <f ca="1">COUNTIF(tblTargetStatus[TargetID], $A37) &gt; 0</f>
        <v>1</v>
      </c>
      <c r="J37" s="48" t="b">
        <f ca="1">COUNTIF(tblCost[TargetID], $A37) &gt; 0</f>
        <v>1</v>
      </c>
      <c r="K37" s="48" t="b">
        <f ca="1">COUNTIF(tblStates[StateID], $A37) &gt; 0</f>
        <v>0</v>
      </c>
      <c r="L37" s="48" t="b">
        <f t="shared" ca="1" si="1"/>
        <v>1</v>
      </c>
      <c r="M37" s="48" t="b">
        <f ca="1">IF(tblValidation[[#This Row],[TargetID]]="","",COUNTIF(tblTargets[TargetID],A37)&gt;1)</f>
        <v>0</v>
      </c>
      <c r="N37" s="48" t="b">
        <f ca="1">IF(tblValidation[[#This Row],[TargetID]]="","",COUNTIF(tblStates[StateID],tblValidation[[#This Row],[TargetID]])&gt;1)</f>
        <v>0</v>
      </c>
      <c r="O37" s="48" t="b" cm="1">
        <f t="array" aca="1" ref="O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 s="48"/>
      <c r="R37" s="48"/>
      <c r="S37" s="48"/>
      <c r="T37" s="48"/>
      <c r="V37" s="49" t="str">
        <f ca="1"/>
        <v>building.fermentory@5</v>
      </c>
      <c r="W37" s="48" t="str">
        <f ca="1"/>
        <v>state.character_level@80</v>
      </c>
      <c r="X37" s="48" t="str">
        <f ca="1"/>
        <v>building.fermentory@5</v>
      </c>
      <c r="Y37" s="48" t="str">
        <f ca="1"/>
        <v>building.food_stall@3</v>
      </c>
      <c r="Z37" s="48" t="str">
        <f ca="1"/>
        <v>building.fermentory@5</v>
      </c>
      <c r="AA37" s="48" t="str">
        <f ca="1"/>
        <v>building.field@2</v>
      </c>
      <c r="AB37" s="48" t="str">
        <f ca="1"/>
        <v>quest.shoguns_katana_chapter_4.finished</v>
      </c>
      <c r="AC37" s="48" t="str">
        <f ca="1"/>
        <v>craftifact.guild_codex</v>
      </c>
      <c r="AD37" s="49" t="str">
        <f ca="1"/>
        <v>building.fermentory@5</v>
      </c>
      <c r="AE37" s="49" t="str">
        <f ca="1"/>
        <v>building.furnace@1</v>
      </c>
      <c r="AF37" s="49"/>
      <c r="AG37" s="49"/>
      <c r="AI37" s="49"/>
      <c r="AL37" s="49"/>
      <c r="AM37" s="49"/>
      <c r="AN37" s="49"/>
      <c r="AO37" s="49"/>
      <c r="AP37" s="49"/>
      <c r="AQ37" s="49"/>
      <c r="AR37" s="49"/>
      <c r="AS37" s="49"/>
      <c r="AU37" s="49"/>
      <c r="AX37" s="49"/>
      <c r="AY37" s="49"/>
      <c r="AZ37" s="49"/>
      <c r="BA37" s="49"/>
      <c r="BB37" s="49"/>
      <c r="BC37" s="49"/>
      <c r="BE37" s="49"/>
    </row>
    <row r="38" spans="1:57" ht="28">
      <c r="A38" t="str">
        <f t="shared" ca="1" si="0"/>
        <v>building.fermentory@6</v>
      </c>
      <c r="B38" t="str">
        <f ca="1">_xlfn.XLOOKUP(tblValidation[[#This Row],[TargetID]],tblTargets[TargetID],tblTargets[TargetType],"")</f>
        <v>BUILDING</v>
      </c>
      <c r="C38" s="48" t="b">
        <f ca="1">COUNTIF(tblTargets[TargetID], $A38) &gt; 0</f>
        <v>1</v>
      </c>
      <c r="D38" s="48" t="b">
        <f ca="1">IF(OR(LEFT(tblValidation[[#This Row],[TargetID]],10)="state.CHAR",RIGHT(tblValidation[[#This Row],[TargetID]],5)="maxed"),TRUE, COUNTIF(tblChecklist[TargetID], $A38) &gt; 0)</f>
        <v>1</v>
      </c>
      <c r="E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 &gt; 0)</f>
        <v>1</v>
      </c>
      <c r="F38" s="48" t="b">
        <f ca="1">COUNTIF(tblDependencies[DependencyID], $A38) &gt; 0</f>
        <v>1</v>
      </c>
      <c r="G38" s="48" t="b">
        <f ca="1">COUNTIF(tblQuestObjectives[QuestTargetID], $A38) &gt; 0</f>
        <v>0</v>
      </c>
      <c r="H38" s="48" t="b">
        <f ca="1">COUNTIF(tblQuestObjectives[ObjectiveID], $A38) &gt; 0</f>
        <v>0</v>
      </c>
      <c r="I38" s="48" t="b">
        <f ca="1">COUNTIF(tblTargetStatus[TargetID], $A38) &gt; 0</f>
        <v>1</v>
      </c>
      <c r="J38" s="48" t="b">
        <f ca="1">COUNTIF(tblCost[TargetID], $A38) &gt; 0</f>
        <v>1</v>
      </c>
      <c r="K38" s="48" t="b">
        <f ca="1">COUNTIF(tblStates[StateID], $A38) &gt; 0</f>
        <v>0</v>
      </c>
      <c r="L38" s="48" t="b">
        <f t="shared" ca="1" si="1"/>
        <v>1</v>
      </c>
      <c r="M38" s="48" t="b">
        <f ca="1">IF(tblValidation[[#This Row],[TargetID]]="","",COUNTIF(tblTargets[TargetID],A38)&gt;1)</f>
        <v>0</v>
      </c>
      <c r="N38" s="48" t="b">
        <f ca="1">IF(tblValidation[[#This Row],[TargetID]]="","",COUNTIF(tblStates[StateID],tblValidation[[#This Row],[TargetID]])&gt;1)</f>
        <v>0</v>
      </c>
      <c r="O38" s="48" t="b" cm="1">
        <f t="array" aca="1" ref="O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 s="48"/>
      <c r="R38" s="48"/>
      <c r="S38" s="48"/>
      <c r="T38" s="48"/>
      <c r="V38" s="49" t="str">
        <f ca="1"/>
        <v>building.fermentory@6</v>
      </c>
      <c r="W38" s="48" t="str">
        <f ca="1"/>
        <v>state.character_level@9</v>
      </c>
      <c r="X38" s="48" t="str">
        <f ca="1"/>
        <v>building.fermentory@6</v>
      </c>
      <c r="Y38" s="48" t="str">
        <f ca="1"/>
        <v>building.furnace@1</v>
      </c>
      <c r="Z38" s="48" t="str">
        <f ca="1"/>
        <v>building.fermentory@6</v>
      </c>
      <c r="AA38" s="48" t="str">
        <f ca="1"/>
        <v>building.food_stall.maxed</v>
      </c>
      <c r="AB38" s="48" t="str">
        <f ca="1"/>
        <v>quest.shoguns_katana_chapter_5.finished</v>
      </c>
      <c r="AC38" s="48" t="str">
        <f ca="1"/>
        <v>craftifact.guild_supplies</v>
      </c>
      <c r="AD38" s="49" t="str">
        <f ca="1"/>
        <v>building.fermentory@6</v>
      </c>
      <c r="AE38" s="49" t="str">
        <f ca="1"/>
        <v>building.furnace@2</v>
      </c>
      <c r="AF38" s="49"/>
      <c r="AG38" s="49"/>
      <c r="AI38" s="49"/>
      <c r="AL38" s="49"/>
      <c r="AM38" s="49"/>
      <c r="AN38" s="49"/>
      <c r="AO38" s="49"/>
      <c r="AP38" s="49"/>
      <c r="AQ38" s="49"/>
      <c r="AR38" s="49"/>
      <c r="AS38" s="49"/>
      <c r="AU38" s="49"/>
      <c r="AX38" s="49"/>
      <c r="AY38" s="49"/>
      <c r="AZ38" s="49"/>
      <c r="BA38" s="49"/>
      <c r="BB38" s="49"/>
      <c r="BC38" s="49"/>
      <c r="BE38" s="49"/>
    </row>
    <row r="39" spans="1:57" ht="28">
      <c r="A39" t="str">
        <f t="shared" ca="1" si="0"/>
        <v>building.field.maxed</v>
      </c>
      <c r="B39" t="str">
        <f ca="1">_xlfn.XLOOKUP(tblValidation[[#This Row],[TargetID]],tblTargets[TargetID],tblTargets[TargetType],"")</f>
        <v>BUILDING</v>
      </c>
      <c r="C39" s="48" t="b">
        <f ca="1">COUNTIF(tblTargets[TargetID], $A39) &gt; 0</f>
        <v>1</v>
      </c>
      <c r="D39" s="48" t="b">
        <f ca="1">IF(OR(LEFT(tblValidation[[#This Row],[TargetID]],10)="state.CHAR",RIGHT(tblValidation[[#This Row],[TargetID]],5)="maxed"),TRUE, COUNTIF(tblChecklist[TargetID], $A39) &gt; 0)</f>
        <v>1</v>
      </c>
      <c r="E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 &gt; 0)</f>
        <v>1</v>
      </c>
      <c r="F39" s="48" t="b">
        <f ca="1">COUNTIF(tblDependencies[DependencyID], $A39) &gt; 0</f>
        <v>1</v>
      </c>
      <c r="G39" s="48" t="b">
        <f ca="1">COUNTIF(tblQuestObjectives[QuestTargetID], $A39) &gt; 0</f>
        <v>0</v>
      </c>
      <c r="H39" s="48" t="b">
        <f ca="1">COUNTIF(tblQuestObjectives[ObjectiveID], $A39) &gt; 0</f>
        <v>0</v>
      </c>
      <c r="I39" s="48" t="b">
        <f ca="1">COUNTIF(tblTargetStatus[TargetID], $A39) &gt; 0</f>
        <v>1</v>
      </c>
      <c r="J39" s="48" t="b">
        <f ca="1">COUNTIF(tblCost[TargetID], $A39) &gt; 0</f>
        <v>0</v>
      </c>
      <c r="K39" s="48" t="b">
        <f ca="1">COUNTIF(tblStates[StateID], $A39) &gt; 0</f>
        <v>0</v>
      </c>
      <c r="L39" s="48" t="b">
        <f t="shared" ca="1" si="1"/>
        <v>1</v>
      </c>
      <c r="M39" s="48" t="b">
        <f ca="1">IF(tblValidation[[#This Row],[TargetID]]="","",COUNTIF(tblTargets[TargetID],A39)&gt;1)</f>
        <v>0</v>
      </c>
      <c r="N39" s="48" t="b">
        <f ca="1">IF(tblValidation[[#This Row],[TargetID]]="","",COUNTIF(tblStates[StateID],tblValidation[[#This Row],[TargetID]])&gt;1)</f>
        <v>0</v>
      </c>
      <c r="O39" s="48" t="b" cm="1">
        <f t="array" aca="1" ref="O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 s="48"/>
      <c r="R39" s="48"/>
      <c r="S39" s="48"/>
      <c r="T39" s="48"/>
      <c r="V39" s="49" t="str">
        <f ca="1"/>
        <v>building.field.maxed</v>
      </c>
      <c r="W39" s="48" t="str">
        <f ca="1"/>
        <v>state.complete_dungeon_5c</v>
      </c>
      <c r="X39" s="48" t="str">
        <f ca="1"/>
        <v>building.field.maxed</v>
      </c>
      <c r="Y39" s="48" t="str">
        <f ca="1"/>
        <v>building.furnace@2</v>
      </c>
      <c r="Z39" s="48" t="str">
        <f ca="1"/>
        <v>building.field.maxed</v>
      </c>
      <c r="AA39" s="48" t="str">
        <f ca="1"/>
        <v>building.food_stall@1</v>
      </c>
      <c r="AB39" s="48" t="str">
        <f ca="1"/>
        <v>quest.shoguns_katana_chapter_6.finished</v>
      </c>
      <c r="AC39" s="48" t="str">
        <f ca="1"/>
        <v>craftifact.historical_library</v>
      </c>
      <c r="AD39" s="49" t="str">
        <f ca="1"/>
        <v>building.field.maxed</v>
      </c>
      <c r="AE39" s="49" t="str">
        <f ca="1"/>
        <v>building.furnace@3</v>
      </c>
      <c r="AF39" s="49"/>
      <c r="AG39" s="49"/>
      <c r="AI39" s="49"/>
      <c r="AL39" s="49"/>
      <c r="AM39" s="49"/>
      <c r="AN39" s="49"/>
      <c r="AO39" s="49"/>
      <c r="AP39" s="49"/>
      <c r="AQ39" s="49"/>
      <c r="AR39" s="49"/>
      <c r="AS39" s="49"/>
      <c r="AU39" s="49"/>
      <c r="AX39" s="49"/>
      <c r="AY39" s="49"/>
      <c r="AZ39" s="49"/>
      <c r="BA39" s="49"/>
      <c r="BB39" s="49"/>
      <c r="BC39" s="49"/>
      <c r="BE39" s="49"/>
    </row>
    <row r="40" spans="1:57" ht="28">
      <c r="A40" t="str">
        <f t="shared" ca="1" si="0"/>
        <v>building.field@1</v>
      </c>
      <c r="B40" t="str">
        <f ca="1">_xlfn.XLOOKUP(tblValidation[[#This Row],[TargetID]],tblTargets[TargetID],tblTargets[TargetType],"")</f>
        <v>BUILDING</v>
      </c>
      <c r="C40" s="48" t="b">
        <f ca="1">COUNTIF(tblTargets[TargetID], $A40) &gt; 0</f>
        <v>1</v>
      </c>
      <c r="D40" s="48" t="b">
        <f ca="1">IF(OR(LEFT(tblValidation[[#This Row],[TargetID]],10)="state.CHAR",RIGHT(tblValidation[[#This Row],[TargetID]],5)="maxed"),TRUE, COUNTIF(tblChecklist[TargetID], $A40) &gt; 0)</f>
        <v>1</v>
      </c>
      <c r="E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 &gt; 0)</f>
        <v>1</v>
      </c>
      <c r="F40" s="48" t="b">
        <f ca="1">COUNTIF(tblDependencies[DependencyID], $A40) &gt; 0</f>
        <v>1</v>
      </c>
      <c r="G40" s="48" t="b">
        <f ca="1">COUNTIF(tblQuestObjectives[QuestTargetID], $A40) &gt; 0</f>
        <v>0</v>
      </c>
      <c r="H40" s="48" t="b">
        <f ca="1">COUNTIF(tblQuestObjectives[ObjectiveID], $A40) &gt; 0</f>
        <v>1</v>
      </c>
      <c r="I40" s="48" t="b">
        <f ca="1">COUNTIF(tblTargetStatus[TargetID], $A40) &gt; 0</f>
        <v>1</v>
      </c>
      <c r="J40" s="48" t="b">
        <f ca="1">COUNTIF(tblCost[TargetID], $A40) &gt; 0</f>
        <v>1</v>
      </c>
      <c r="K40" s="48" t="b">
        <f ca="1">COUNTIF(tblStates[StateID], $A40) &gt; 0</f>
        <v>0</v>
      </c>
      <c r="L40" s="48" t="b">
        <f t="shared" ca="1" si="1"/>
        <v>1</v>
      </c>
      <c r="M40" s="48" t="b">
        <f ca="1">IF(tblValidation[[#This Row],[TargetID]]="","",COUNTIF(tblTargets[TargetID],A40)&gt;1)</f>
        <v>0</v>
      </c>
      <c r="N40" s="48" t="b">
        <f ca="1">IF(tblValidation[[#This Row],[TargetID]]="","",COUNTIF(tblStates[StateID],tblValidation[[#This Row],[TargetID]])&gt;1)</f>
        <v>0</v>
      </c>
      <c r="O40" s="48" t="b" cm="1">
        <f t="array" aca="1" ref="O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 s="48"/>
      <c r="R40" s="48"/>
      <c r="S40" s="48"/>
      <c r="T40" s="48"/>
      <c r="V40" s="49" t="str">
        <f ca="1"/>
        <v>building.field@1</v>
      </c>
      <c r="W40" s="48" t="str">
        <f ca="1"/>
        <v>state.complete_dungeon_6c</v>
      </c>
      <c r="X40" s="48" t="str">
        <f ca="1"/>
        <v>building.field@1</v>
      </c>
      <c r="Y40" s="48" t="str">
        <f ca="1"/>
        <v>building.furnace@3</v>
      </c>
      <c r="Z40" s="48" t="str">
        <f ca="1"/>
        <v>building.field@1</v>
      </c>
      <c r="AA40" s="48" t="str">
        <f ca="1"/>
        <v>building.food_stall@2</v>
      </c>
      <c r="AB40" s="48" t="str">
        <f ca="1"/>
        <v>quest.shoguns_katana_chapter_7.finished</v>
      </c>
      <c r="AC40" s="48" t="str">
        <f ca="1"/>
        <v>craftifact.solver_1_prototype</v>
      </c>
      <c r="AD40" s="49" t="str">
        <f ca="1"/>
        <v>building.field@1</v>
      </c>
      <c r="AE40" s="49" t="str">
        <f ca="1"/>
        <v>building.garden@1</v>
      </c>
      <c r="AF40" s="49"/>
      <c r="AG40" s="49"/>
      <c r="AI40" s="49"/>
      <c r="AL40" s="49"/>
      <c r="AM40" s="49"/>
      <c r="AN40" s="49"/>
      <c r="AO40" s="49"/>
      <c r="AP40" s="49"/>
      <c r="AQ40" s="49"/>
      <c r="AR40" s="49"/>
      <c r="AS40" s="49"/>
      <c r="AU40" s="49"/>
      <c r="AX40" s="49"/>
      <c r="AY40" s="49"/>
      <c r="AZ40" s="49"/>
      <c r="BA40" s="49"/>
      <c r="BB40" s="49"/>
      <c r="BC40" s="49"/>
      <c r="BE40" s="49"/>
    </row>
    <row r="41" spans="1:57" ht="28">
      <c r="A41" t="str">
        <f t="shared" ca="1" si="0"/>
        <v>building.field@2</v>
      </c>
      <c r="B41" t="str">
        <f ca="1">_xlfn.XLOOKUP(tblValidation[[#This Row],[TargetID]],tblTargets[TargetID],tblTargets[TargetType],"")</f>
        <v>BUILDING</v>
      </c>
      <c r="C41" s="48" t="b">
        <f ca="1">COUNTIF(tblTargets[TargetID], $A41) &gt; 0</f>
        <v>1</v>
      </c>
      <c r="D41" s="48" t="b">
        <f ca="1">IF(OR(LEFT(tblValidation[[#This Row],[TargetID]],10)="state.CHAR",RIGHT(tblValidation[[#This Row],[TargetID]],5)="maxed"),TRUE, COUNTIF(tblChecklist[TargetID], $A41) &gt; 0)</f>
        <v>1</v>
      </c>
      <c r="E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 &gt; 0)</f>
        <v>1</v>
      </c>
      <c r="F41" s="48" t="b">
        <f ca="1">COUNTIF(tblDependencies[DependencyID], $A41) &gt; 0</f>
        <v>1</v>
      </c>
      <c r="G41" s="48" t="b">
        <f ca="1">COUNTIF(tblQuestObjectives[QuestTargetID], $A41) &gt; 0</f>
        <v>0</v>
      </c>
      <c r="H41" s="48" t="b">
        <f ca="1">COUNTIF(tblQuestObjectives[ObjectiveID], $A41) &gt; 0</f>
        <v>0</v>
      </c>
      <c r="I41" s="48" t="b">
        <f ca="1">COUNTIF(tblTargetStatus[TargetID], $A41) &gt; 0</f>
        <v>1</v>
      </c>
      <c r="J41" s="48" t="b">
        <f ca="1">COUNTIF(tblCost[TargetID], $A41) &gt; 0</f>
        <v>1</v>
      </c>
      <c r="K41" s="48" t="b">
        <f ca="1">COUNTIF(tblStates[StateID], $A41) &gt; 0</f>
        <v>0</v>
      </c>
      <c r="L41" s="48" t="b">
        <f t="shared" ca="1" si="1"/>
        <v>1</v>
      </c>
      <c r="M41" s="48" t="b">
        <f ca="1">IF(tblValidation[[#This Row],[TargetID]]="","",COUNTIF(tblTargets[TargetID],A41)&gt;1)</f>
        <v>0</v>
      </c>
      <c r="N41" s="48" t="b">
        <f ca="1">IF(tblValidation[[#This Row],[TargetID]]="","",COUNTIF(tblStates[StateID],tblValidation[[#This Row],[TargetID]])&gt;1)</f>
        <v>0</v>
      </c>
      <c r="O41" s="48" t="b" cm="1">
        <f t="array" aca="1" ref="O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 s="48"/>
      <c r="R41" s="48"/>
      <c r="S41" s="48"/>
      <c r="T41" s="48"/>
      <c r="V41" s="49" t="str">
        <f ca="1"/>
        <v>building.field@2</v>
      </c>
      <c r="W41" s="48" t="str">
        <f ca="1"/>
        <v>state.complete_f1_first_time</v>
      </c>
      <c r="X41" s="48" t="str">
        <f ca="1"/>
        <v>building.field@2</v>
      </c>
      <c r="Y41" s="48" t="str">
        <f ca="1"/>
        <v>building.garden@1</v>
      </c>
      <c r="Z41" s="48" t="str">
        <f ca="1"/>
        <v>building.field@2</v>
      </c>
      <c r="AA41" s="48" t="str">
        <f ca="1"/>
        <v>building.food_stall@3</v>
      </c>
      <c r="AB41" s="48" t="str">
        <f ca="1"/>
        <v>quest.silk_road.finished</v>
      </c>
      <c r="AC41" s="48" t="str">
        <f ca="1"/>
        <v>craftifact.telescope</v>
      </c>
      <c r="AD41" s="49" t="str">
        <f ca="1"/>
        <v>building.field@2</v>
      </c>
      <c r="AE41" s="49" t="str">
        <f ca="1"/>
        <v>building.garden@2</v>
      </c>
      <c r="AF41" s="49"/>
      <c r="AG41" s="49"/>
      <c r="AH41" s="49"/>
      <c r="AI41" s="49"/>
      <c r="AL41" s="49"/>
      <c r="AM41" s="49"/>
      <c r="AN41" s="49"/>
      <c r="AO41" s="49"/>
      <c r="AP41" s="49"/>
      <c r="AQ41" s="49"/>
      <c r="AR41" s="49"/>
      <c r="AS41" s="49"/>
      <c r="AT41" s="49"/>
      <c r="AU41" s="49"/>
      <c r="AX41" s="49"/>
      <c r="AY41" s="49"/>
      <c r="AZ41" s="49"/>
      <c r="BA41" s="49"/>
      <c r="BB41" s="49"/>
      <c r="BC41" s="49"/>
      <c r="BE41" s="49"/>
    </row>
    <row r="42" spans="1:57" ht="28">
      <c r="A42" t="str">
        <f t="shared" ca="1" si="0"/>
        <v>building.food_stall.maxed</v>
      </c>
      <c r="B42" t="str">
        <f ca="1">_xlfn.XLOOKUP(tblValidation[[#This Row],[TargetID]],tblTargets[TargetID],tblTargets[TargetType],"")</f>
        <v>BUILDING</v>
      </c>
      <c r="C42" s="48" t="b">
        <f ca="1">COUNTIF(tblTargets[TargetID], $A42) &gt; 0</f>
        <v>1</v>
      </c>
      <c r="D42" s="48" t="b">
        <f ca="1">IF(OR(LEFT(tblValidation[[#This Row],[TargetID]],10)="state.CHAR",RIGHT(tblValidation[[#This Row],[TargetID]],5)="maxed"),TRUE, COUNTIF(tblChecklist[TargetID], $A42) &gt; 0)</f>
        <v>1</v>
      </c>
      <c r="E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 &gt; 0)</f>
        <v>1</v>
      </c>
      <c r="F42" s="48" t="b">
        <f ca="1">COUNTIF(tblDependencies[DependencyID], $A42) &gt; 0</f>
        <v>1</v>
      </c>
      <c r="G42" s="48" t="b">
        <f ca="1">COUNTIF(tblQuestObjectives[QuestTargetID], $A42) &gt; 0</f>
        <v>0</v>
      </c>
      <c r="H42" s="48" t="b">
        <f ca="1">COUNTIF(tblQuestObjectives[ObjectiveID], $A42) &gt; 0</f>
        <v>0</v>
      </c>
      <c r="I42" s="48" t="b">
        <f ca="1">COUNTIF(tblTargetStatus[TargetID], $A42) &gt; 0</f>
        <v>1</v>
      </c>
      <c r="J42" s="48" t="b">
        <f ca="1">COUNTIF(tblCost[TargetID], $A42) &gt; 0</f>
        <v>0</v>
      </c>
      <c r="K42" s="48" t="b">
        <f ca="1">COUNTIF(tblStates[StateID], $A42) &gt; 0</f>
        <v>0</v>
      </c>
      <c r="L42" s="48" t="b">
        <f t="shared" ca="1" si="1"/>
        <v>1</v>
      </c>
      <c r="M42" s="48" t="b">
        <f ca="1">IF(tblValidation[[#This Row],[TargetID]]="","",COUNTIF(tblTargets[TargetID],A42)&gt;1)</f>
        <v>0</v>
      </c>
      <c r="N42" s="48" t="b">
        <f ca="1">IF(tblValidation[[#This Row],[TargetID]]="","",COUNTIF(tblStates[StateID],tblValidation[[#This Row],[TargetID]])&gt;1)</f>
        <v>0</v>
      </c>
      <c r="O42" s="48" t="b" cm="1">
        <f t="array" aca="1" ref="O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 s="48"/>
      <c r="R42" s="48"/>
      <c r="S42" s="48"/>
      <c r="T42" s="48"/>
      <c r="V42" s="49" t="str">
        <f ca="1"/>
        <v>building.food_stall.maxed</v>
      </c>
      <c r="W42" s="48" t="str">
        <f ca="1"/>
        <v>state.complete_f1_with_diligence</v>
      </c>
      <c r="X42" s="48" t="str">
        <f ca="1"/>
        <v>building.food_stall.maxed</v>
      </c>
      <c r="Y42" s="48" t="str">
        <f ca="1"/>
        <v>building.garden@2</v>
      </c>
      <c r="Z42" s="48" t="str">
        <f ca="1"/>
        <v>building.food_stall.maxed</v>
      </c>
      <c r="AA42" s="48" t="str">
        <f ca="1"/>
        <v>building.furnace.maxed</v>
      </c>
      <c r="AB42" s="48" t="str">
        <f ca="1"/>
        <v>quest.spicy_odyssey.finished</v>
      </c>
      <c r="AC42" s="48" t="str">
        <f ca="1"/>
        <v>craftifact.trigonometry</v>
      </c>
      <c r="AD42" s="49" t="str">
        <f ca="1"/>
        <v>building.food_stall.maxed</v>
      </c>
      <c r="AE42" s="49" t="str">
        <f ca="1"/>
        <v>building.garden@3</v>
      </c>
      <c r="AF42" s="49"/>
      <c r="AG42" s="49"/>
      <c r="AI42" s="49"/>
      <c r="AL42" s="49"/>
      <c r="AM42" s="49"/>
      <c r="AN42" s="49"/>
      <c r="AO42" s="49"/>
      <c r="AP42" s="49"/>
      <c r="AQ42" s="49"/>
      <c r="AR42" s="49"/>
      <c r="AS42" s="49"/>
      <c r="AU42" s="49"/>
      <c r="AX42" s="49"/>
      <c r="AY42" s="49"/>
      <c r="AZ42" s="49"/>
      <c r="BA42" s="49"/>
      <c r="BB42" s="49"/>
      <c r="BC42" s="49"/>
      <c r="BE42" s="49"/>
    </row>
    <row r="43" spans="1:57" ht="28">
      <c r="A43" t="str">
        <f t="shared" ca="1" si="0"/>
        <v>building.food_stall@1</v>
      </c>
      <c r="B43" t="str">
        <f ca="1">_xlfn.XLOOKUP(tblValidation[[#This Row],[TargetID]],tblTargets[TargetID],tblTargets[TargetType],"")</f>
        <v>BUILDING</v>
      </c>
      <c r="C43" s="48" t="b">
        <f ca="1">COUNTIF(tblTargets[TargetID], $A43) &gt; 0</f>
        <v>1</v>
      </c>
      <c r="D43" s="48" t="b">
        <f ca="1">IF(OR(LEFT(tblValidation[[#This Row],[TargetID]],10)="state.CHAR",RIGHT(tblValidation[[#This Row],[TargetID]],5)="maxed"),TRUE, COUNTIF(tblChecklist[TargetID], $A43) &gt; 0)</f>
        <v>1</v>
      </c>
      <c r="E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 &gt; 0)</f>
        <v>1</v>
      </c>
      <c r="F43" s="48" t="b">
        <f ca="1">COUNTIF(tblDependencies[DependencyID], $A43) &gt; 0</f>
        <v>1</v>
      </c>
      <c r="G43" s="48" t="b">
        <f ca="1">COUNTIF(tblQuestObjectives[QuestTargetID], $A43) &gt; 0</f>
        <v>0</v>
      </c>
      <c r="H43" s="48" t="b">
        <f ca="1">COUNTIF(tblQuestObjectives[ObjectiveID], $A43) &gt; 0</f>
        <v>1</v>
      </c>
      <c r="I43" s="48" t="b">
        <f ca="1">COUNTIF(tblTargetStatus[TargetID], $A43) &gt; 0</f>
        <v>1</v>
      </c>
      <c r="J43" s="48" t="b">
        <f ca="1">COUNTIF(tblCost[TargetID], $A43) &gt; 0</f>
        <v>1</v>
      </c>
      <c r="K43" s="48" t="b">
        <f ca="1">COUNTIF(tblStates[StateID], $A43) &gt; 0</f>
        <v>0</v>
      </c>
      <c r="L43" s="48" t="b">
        <f t="shared" ca="1" si="1"/>
        <v>1</v>
      </c>
      <c r="M43" s="48" t="b">
        <f ca="1">IF(tblValidation[[#This Row],[TargetID]]="","",COUNTIF(tblTargets[TargetID],A43)&gt;1)</f>
        <v>0</v>
      </c>
      <c r="N43" s="48" t="b">
        <f ca="1">IF(tblValidation[[#This Row],[TargetID]]="","",COUNTIF(tblStates[StateID],tblValidation[[#This Row],[TargetID]])&gt;1)</f>
        <v>0</v>
      </c>
      <c r="O43" s="48" t="b" cm="1">
        <f t="array" aca="1" ref="O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 s="48"/>
      <c r="R43" s="48"/>
      <c r="S43" s="48"/>
      <c r="T43" s="48"/>
      <c r="V43" s="49" t="str">
        <f ca="1"/>
        <v>building.food_stall@1</v>
      </c>
      <c r="W43" s="48" t="str">
        <f ca="1"/>
        <v>state.complete_f2_with_diligence</v>
      </c>
      <c r="X43" s="48" t="str">
        <f ca="1"/>
        <v>building.food_stall@1</v>
      </c>
      <c r="Y43" s="48" t="str">
        <f ca="1"/>
        <v>building.garden@3</v>
      </c>
      <c r="Z43" s="48" t="str">
        <f ca="1"/>
        <v>building.food_stall@1</v>
      </c>
      <c r="AA43" s="48" t="str">
        <f ca="1"/>
        <v>building.furnace@1</v>
      </c>
      <c r="AB43" s="48" t="str">
        <f ca="1"/>
        <v>quest.the_ordinary_days_of_an_adventurer_chapter_1.finished</v>
      </c>
      <c r="AC43" s="48" t="str">
        <f ca="1"/>
        <v>state.action_defeat_bone_dragon_4c</v>
      </c>
      <c r="AD43" s="49" t="str">
        <f ca="1"/>
        <v>building.food_stall@1</v>
      </c>
      <c r="AE43" s="49" t="str">
        <f ca="1"/>
        <v>building.gong@1</v>
      </c>
      <c r="AF43" s="49"/>
      <c r="AG43" s="49"/>
      <c r="AI43" s="49"/>
      <c r="AL43" s="49"/>
      <c r="AM43" s="49"/>
      <c r="AN43" s="49"/>
      <c r="AO43" s="49"/>
      <c r="AP43" s="49"/>
      <c r="AQ43" s="49"/>
      <c r="AR43" s="49"/>
      <c r="AS43" s="49"/>
      <c r="AU43" s="49"/>
      <c r="AX43" s="49"/>
      <c r="AY43" s="49"/>
      <c r="AZ43" s="49"/>
      <c r="BA43" s="49"/>
      <c r="BB43" s="49"/>
      <c r="BC43" s="49"/>
      <c r="BE43" s="49"/>
    </row>
    <row r="44" spans="1:57" ht="28">
      <c r="A44" t="str">
        <f t="shared" ca="1" si="0"/>
        <v>building.food_stall@2</v>
      </c>
      <c r="B44" t="str">
        <f ca="1">_xlfn.XLOOKUP(tblValidation[[#This Row],[TargetID]],tblTargets[TargetID],tblTargets[TargetType],"")</f>
        <v>BUILDING</v>
      </c>
      <c r="C44" s="48" t="b">
        <f ca="1">COUNTIF(tblTargets[TargetID], $A44) &gt; 0</f>
        <v>1</v>
      </c>
      <c r="D44" s="48" t="b">
        <f ca="1">IF(OR(LEFT(tblValidation[[#This Row],[TargetID]],10)="state.CHAR",RIGHT(tblValidation[[#This Row],[TargetID]],5)="maxed"),TRUE, COUNTIF(tblChecklist[TargetID], $A44) &gt; 0)</f>
        <v>1</v>
      </c>
      <c r="E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 &gt; 0)</f>
        <v>1</v>
      </c>
      <c r="F44" s="48" t="b">
        <f ca="1">COUNTIF(tblDependencies[DependencyID], $A44) &gt; 0</f>
        <v>1</v>
      </c>
      <c r="G44" s="48" t="b">
        <f ca="1">COUNTIF(tblQuestObjectives[QuestTargetID], $A44) &gt; 0</f>
        <v>0</v>
      </c>
      <c r="H44" s="48" t="b">
        <f ca="1">COUNTIF(tblQuestObjectives[ObjectiveID], $A44) &gt; 0</f>
        <v>1</v>
      </c>
      <c r="I44" s="48" t="b">
        <f ca="1">COUNTIF(tblTargetStatus[TargetID], $A44) &gt; 0</f>
        <v>1</v>
      </c>
      <c r="J44" s="48" t="b">
        <f ca="1">COUNTIF(tblCost[TargetID], $A44) &gt; 0</f>
        <v>1</v>
      </c>
      <c r="K44" s="48" t="b">
        <f ca="1">COUNTIF(tblStates[StateID], $A44) &gt; 0</f>
        <v>0</v>
      </c>
      <c r="L44" s="48" t="b">
        <f t="shared" ca="1" si="1"/>
        <v>1</v>
      </c>
      <c r="M44" s="48" t="b">
        <f ca="1">IF(tblValidation[[#This Row],[TargetID]]="","",COUNTIF(tblTargets[TargetID],A44)&gt;1)</f>
        <v>0</v>
      </c>
      <c r="N44" s="48" t="b">
        <f ca="1">IF(tblValidation[[#This Row],[TargetID]]="","",COUNTIF(tblStates[StateID],tblValidation[[#This Row],[TargetID]])&gt;1)</f>
        <v>0</v>
      </c>
      <c r="O44" s="48" t="b" cm="1">
        <f t="array" aca="1" ref="O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 s="48"/>
      <c r="R44" s="48"/>
      <c r="S44" s="48"/>
      <c r="T44" s="48"/>
      <c r="V44" s="49" t="str">
        <f ca="1"/>
        <v>building.food_stall@2</v>
      </c>
      <c r="W44" s="48" t="str">
        <f ca="1"/>
        <v>state.complete_f3_with_diligence</v>
      </c>
      <c r="X44" s="48" t="str">
        <f ca="1"/>
        <v>building.food_stall@2</v>
      </c>
      <c r="Y44" s="48" t="str">
        <f ca="1"/>
        <v>building.gong@1</v>
      </c>
      <c r="Z44" s="48" t="str">
        <f ca="1"/>
        <v>building.food_stall@2</v>
      </c>
      <c r="AA44" s="48" t="str">
        <f ca="1"/>
        <v>building.furnace@2</v>
      </c>
      <c r="AB44" s="48" t="str">
        <f ca="1"/>
        <v>quest.the_ordinary_days_of_an_adventurer_chapter_3.finished</v>
      </c>
      <c r="AC44" s="48" t="str">
        <f ca="1"/>
        <v>state.action_send_train_to_sapporo</v>
      </c>
      <c r="AD44" s="49" t="str">
        <f ca="1"/>
        <v>building.food_stall@2</v>
      </c>
      <c r="AE44" s="49" t="str">
        <f ca="1"/>
        <v>building.guild@2</v>
      </c>
      <c r="AF44" s="49"/>
      <c r="AG44" s="49"/>
      <c r="AI44" s="49"/>
      <c r="AL44" s="49"/>
      <c r="AM44" s="49"/>
      <c r="AN44" s="49"/>
      <c r="AO44" s="49"/>
      <c r="AP44" s="49"/>
      <c r="AQ44" s="49"/>
      <c r="AR44" s="49"/>
      <c r="AS44" s="49"/>
      <c r="AU44" s="49"/>
      <c r="AX44" s="49"/>
      <c r="AY44" s="49"/>
      <c r="AZ44" s="49"/>
      <c r="BA44" s="49"/>
      <c r="BB44" s="49"/>
      <c r="BC44" s="49"/>
      <c r="BE44" s="49"/>
    </row>
    <row r="45" spans="1:57" ht="28">
      <c r="A45" t="str">
        <f t="shared" ca="1" si="0"/>
        <v>building.food_stall@3</v>
      </c>
      <c r="B45" t="str">
        <f ca="1">_xlfn.XLOOKUP(tblValidation[[#This Row],[TargetID]],tblTargets[TargetID],tblTargets[TargetType],"")</f>
        <v>BUILDING</v>
      </c>
      <c r="C45" s="48" t="b">
        <f ca="1">COUNTIF(tblTargets[TargetID], $A45) &gt; 0</f>
        <v>1</v>
      </c>
      <c r="D45" s="48" t="b">
        <f ca="1">IF(OR(LEFT(tblValidation[[#This Row],[TargetID]],10)="state.CHAR",RIGHT(tblValidation[[#This Row],[TargetID]],5)="maxed"),TRUE, COUNTIF(tblChecklist[TargetID], $A45) &gt; 0)</f>
        <v>1</v>
      </c>
      <c r="E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 &gt; 0)</f>
        <v>1</v>
      </c>
      <c r="F45" s="48" t="b">
        <f ca="1">COUNTIF(tblDependencies[DependencyID], $A45) &gt; 0</f>
        <v>1</v>
      </c>
      <c r="G45" s="48" t="b">
        <f ca="1">COUNTIF(tblQuestObjectives[QuestTargetID], $A45) &gt; 0</f>
        <v>0</v>
      </c>
      <c r="H45" s="48" t="b">
        <f ca="1">COUNTIF(tblQuestObjectives[ObjectiveID], $A45) &gt; 0</f>
        <v>1</v>
      </c>
      <c r="I45" s="48" t="b">
        <f ca="1">COUNTIF(tblTargetStatus[TargetID], $A45) &gt; 0</f>
        <v>1</v>
      </c>
      <c r="J45" s="48" t="b">
        <f ca="1">COUNTIF(tblCost[TargetID], $A45) &gt; 0</f>
        <v>1</v>
      </c>
      <c r="K45" s="48" t="b">
        <f ca="1">COUNTIF(tblStates[StateID], $A45) &gt; 0</f>
        <v>0</v>
      </c>
      <c r="L45" s="48" t="b">
        <f t="shared" ca="1" si="1"/>
        <v>1</v>
      </c>
      <c r="M45" s="48" t="b">
        <f ca="1">IF(tblValidation[[#This Row],[TargetID]]="","",COUNTIF(tblTargets[TargetID],A45)&gt;1)</f>
        <v>0</v>
      </c>
      <c r="N45" s="48" t="b">
        <f ca="1">IF(tblValidation[[#This Row],[TargetID]]="","",COUNTIF(tblStates[StateID],tblValidation[[#This Row],[TargetID]])&gt;1)</f>
        <v>0</v>
      </c>
      <c r="O45" s="48" t="b" cm="1">
        <f t="array" aca="1" ref="O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 s="48"/>
      <c r="R45" s="48"/>
      <c r="S45" s="48"/>
      <c r="T45" s="48"/>
      <c r="V45" s="49" t="str">
        <f ca="1"/>
        <v>building.food_stall@3</v>
      </c>
      <c r="W45" s="48" t="str">
        <f ca="1"/>
        <v>state.complete_f4_with_diligence</v>
      </c>
      <c r="X45" s="48" t="str">
        <f ca="1"/>
        <v>building.food_stall@3</v>
      </c>
      <c r="Y45" s="48" t="str">
        <f ca="1"/>
        <v>building.guild@1</v>
      </c>
      <c r="Z45" s="48" t="str">
        <f ca="1"/>
        <v>building.food_stall@3</v>
      </c>
      <c r="AA45" s="48" t="str">
        <f ca="1"/>
        <v>building.furnace@3</v>
      </c>
      <c r="AB45" s="48" t="str">
        <f ca="1"/>
        <v>quest.the_ordinary_days_of_an_adventurer_chapter_4.finished</v>
      </c>
      <c r="AC45" s="48" t="str">
        <f ca="1"/>
        <v>state.character_cartographer@2</v>
      </c>
      <c r="AD45" s="49" t="str">
        <f ca="1"/>
        <v>building.food_stall@3</v>
      </c>
      <c r="AE45" s="49" t="str">
        <f ca="1"/>
        <v>building.guild@3</v>
      </c>
      <c r="AF45" s="49"/>
      <c r="AG45" s="49"/>
      <c r="AI45" s="49"/>
      <c r="AL45" s="49"/>
      <c r="AM45" s="49"/>
      <c r="AN45" s="49"/>
      <c r="AO45" s="49"/>
      <c r="AP45" s="49"/>
      <c r="AQ45" s="49"/>
      <c r="AR45" s="49"/>
      <c r="AS45" s="49"/>
      <c r="AU45" s="49"/>
      <c r="AX45" s="49"/>
      <c r="AY45" s="49"/>
      <c r="AZ45" s="49"/>
      <c r="BA45" s="49"/>
      <c r="BB45" s="49"/>
      <c r="BC45" s="49"/>
      <c r="BE45" s="49"/>
    </row>
    <row r="46" spans="1:57" ht="28">
      <c r="A46" t="str">
        <f t="shared" ca="1" si="0"/>
        <v>building.furnace.maxed</v>
      </c>
      <c r="B46" t="str">
        <f ca="1">_xlfn.XLOOKUP(tblValidation[[#This Row],[TargetID]],tblTargets[TargetID],tblTargets[TargetType],"")</f>
        <v>BUILDING</v>
      </c>
      <c r="C46" s="48" t="b">
        <f ca="1">COUNTIF(tblTargets[TargetID], $A46) &gt; 0</f>
        <v>1</v>
      </c>
      <c r="D46" s="48" t="b">
        <f ca="1">IF(OR(LEFT(tblValidation[[#This Row],[TargetID]],10)="state.CHAR",RIGHT(tblValidation[[#This Row],[TargetID]],5)="maxed"),TRUE, COUNTIF(tblChecklist[TargetID], $A46) &gt; 0)</f>
        <v>1</v>
      </c>
      <c r="E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 &gt; 0)</f>
        <v>1</v>
      </c>
      <c r="F46" s="48" t="b">
        <f ca="1">COUNTIF(tblDependencies[DependencyID], $A46) &gt; 0</f>
        <v>1</v>
      </c>
      <c r="G46" s="48" t="b">
        <f ca="1">COUNTIF(tblQuestObjectives[QuestTargetID], $A46) &gt; 0</f>
        <v>0</v>
      </c>
      <c r="H46" s="48" t="b">
        <f ca="1">COUNTIF(tblQuestObjectives[ObjectiveID], $A46) &gt; 0</f>
        <v>0</v>
      </c>
      <c r="I46" s="48" t="b">
        <f ca="1">COUNTIF(tblTargetStatus[TargetID], $A46) &gt; 0</f>
        <v>1</v>
      </c>
      <c r="J46" s="48" t="b">
        <f ca="1">COUNTIF(tblCost[TargetID], $A46) &gt; 0</f>
        <v>0</v>
      </c>
      <c r="K46" s="48" t="b">
        <f ca="1">COUNTIF(tblStates[StateID], $A46) &gt; 0</f>
        <v>0</v>
      </c>
      <c r="L46" s="48" t="b">
        <f t="shared" ca="1" si="1"/>
        <v>1</v>
      </c>
      <c r="M46" s="48" t="b">
        <f ca="1">IF(tblValidation[[#This Row],[TargetID]]="","",COUNTIF(tblTargets[TargetID],A46)&gt;1)</f>
        <v>0</v>
      </c>
      <c r="N46" s="48" t="b">
        <f ca="1">IF(tblValidation[[#This Row],[TargetID]]="","",COUNTIF(tblStates[StateID],tblValidation[[#This Row],[TargetID]])&gt;1)</f>
        <v>0</v>
      </c>
      <c r="O46" s="48" t="b" cm="1">
        <f t="array" aca="1" ref="O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 s="48"/>
      <c r="R46" s="48"/>
      <c r="S46" s="48"/>
      <c r="T46" s="48"/>
      <c r="V46" s="49" t="str">
        <f ca="1"/>
        <v>building.furnace.maxed</v>
      </c>
      <c r="W46" s="48" t="str">
        <f ca="1"/>
        <v>state.complete_lvl1_any_project</v>
      </c>
      <c r="X46" s="48" t="str">
        <f ca="1"/>
        <v>building.furnace.maxed</v>
      </c>
      <c r="Y46" s="48" t="str">
        <f ca="1"/>
        <v>building.guild@2</v>
      </c>
      <c r="Z46" s="48" t="str">
        <f ca="1"/>
        <v>building.furnace.maxed</v>
      </c>
      <c r="AA46" s="48" t="str">
        <f ca="1"/>
        <v>building.garden.maxed</v>
      </c>
      <c r="AB46" s="48" t="str">
        <f ca="1"/>
        <v>quest.the_ordinary_days_of_an_adventurer_chapter_6.finished</v>
      </c>
      <c r="AC46" s="48" t="str">
        <f ca="1"/>
        <v>state.character_cartographer@4</v>
      </c>
      <c r="AD46" s="49" t="str">
        <f ca="1"/>
        <v>building.furnace.maxed</v>
      </c>
      <c r="AE46" s="49" t="str">
        <f ca="1"/>
        <v>building.guild@4</v>
      </c>
      <c r="AF46" s="49"/>
      <c r="AG46" s="49"/>
      <c r="AI46" s="49"/>
      <c r="AL46" s="49"/>
      <c r="AM46" s="49"/>
      <c r="AN46" s="49"/>
      <c r="AO46" s="49"/>
      <c r="AP46" s="49"/>
      <c r="AQ46" s="49"/>
      <c r="AR46" s="49"/>
      <c r="AS46" s="49"/>
      <c r="AU46" s="49"/>
      <c r="AX46" s="49"/>
      <c r="AY46" s="49"/>
      <c r="AZ46" s="49"/>
      <c r="BA46" s="49"/>
      <c r="BB46" s="49"/>
      <c r="BC46" s="49"/>
      <c r="BE46" s="49"/>
    </row>
    <row r="47" spans="1:57" ht="28">
      <c r="A47" t="str">
        <f t="shared" ca="1" si="0"/>
        <v>building.furnace@1</v>
      </c>
      <c r="B47" t="str">
        <f ca="1">_xlfn.XLOOKUP(tblValidation[[#This Row],[TargetID]],tblTargets[TargetID],tblTargets[TargetType],"")</f>
        <v>BUILDING</v>
      </c>
      <c r="C47" s="48" t="b">
        <f ca="1">COUNTIF(tblTargets[TargetID], $A47) &gt; 0</f>
        <v>1</v>
      </c>
      <c r="D47" s="48" t="b">
        <f ca="1">IF(OR(LEFT(tblValidation[[#This Row],[TargetID]],10)="state.CHAR",RIGHT(tblValidation[[#This Row],[TargetID]],5)="maxed"),TRUE, COUNTIF(tblChecklist[TargetID], $A47) &gt; 0)</f>
        <v>1</v>
      </c>
      <c r="E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 &gt; 0)</f>
        <v>1</v>
      </c>
      <c r="F47" s="48" t="b">
        <f ca="1">COUNTIF(tblDependencies[DependencyID], $A47) &gt; 0</f>
        <v>1</v>
      </c>
      <c r="G47" s="48" t="b">
        <f ca="1">COUNTIF(tblQuestObjectives[QuestTargetID], $A47) &gt; 0</f>
        <v>0</v>
      </c>
      <c r="H47" s="48" t="b">
        <f ca="1">COUNTIF(tblQuestObjectives[ObjectiveID], $A47) &gt; 0</f>
        <v>1</v>
      </c>
      <c r="I47" s="48" t="b">
        <f ca="1">COUNTIF(tblTargetStatus[TargetID], $A47) &gt; 0</f>
        <v>1</v>
      </c>
      <c r="J47" s="48" t="b">
        <f ca="1">COUNTIF(tblCost[TargetID], $A47) &gt; 0</f>
        <v>1</v>
      </c>
      <c r="K47" s="48" t="b">
        <f ca="1">COUNTIF(tblStates[StateID], $A47) &gt; 0</f>
        <v>0</v>
      </c>
      <c r="L47" s="48" t="b">
        <f t="shared" ca="1" si="1"/>
        <v>1</v>
      </c>
      <c r="M47" s="48" t="b">
        <f ca="1">IF(tblValidation[[#This Row],[TargetID]]="","",COUNTIF(tblTargets[TargetID],A47)&gt;1)</f>
        <v>0</v>
      </c>
      <c r="N47" s="48" t="b">
        <f ca="1">IF(tblValidation[[#This Row],[TargetID]]="","",COUNTIF(tblStates[StateID],tblValidation[[#This Row],[TargetID]])&gt;1)</f>
        <v>0</v>
      </c>
      <c r="O47" s="48" t="b" cm="1">
        <f t="array" aca="1" ref="O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 s="48"/>
      <c r="R47" s="48"/>
      <c r="S47" s="48"/>
      <c r="T47" s="48"/>
      <c r="V47" s="49" t="str">
        <f ca="1"/>
        <v>building.furnace@1</v>
      </c>
      <c r="W47" s="48" t="str">
        <f ca="1"/>
        <v>state.deliver_ambrosia@f3</v>
      </c>
      <c r="X47" s="48" t="str">
        <f ca="1"/>
        <v>building.furnace@1</v>
      </c>
      <c r="Y47" s="48" t="str">
        <f ca="1"/>
        <v>building.guild@3</v>
      </c>
      <c r="Z47" s="48" t="str">
        <f ca="1"/>
        <v>building.furnace@1</v>
      </c>
      <c r="AA47" s="48" t="str">
        <f ca="1"/>
        <v>building.garden@1</v>
      </c>
      <c r="AB47" s="48" t="str">
        <f ca="1"/>
        <v>quest.the_ordinary_days_of_an_adventurer_chapter_7.finished</v>
      </c>
      <c r="AC47" s="48" t="str">
        <f ca="1"/>
        <v>state.character_cooking@13</v>
      </c>
      <c r="AD47" s="49" t="str">
        <f ca="1"/>
        <v>building.furnace@1</v>
      </c>
      <c r="AE47" s="49" t="str">
        <f ca="1"/>
        <v>building.guild@5</v>
      </c>
      <c r="AF47" s="49"/>
      <c r="AG47" s="49"/>
      <c r="AI47" s="49"/>
      <c r="AL47" s="49"/>
      <c r="AM47" s="49"/>
      <c r="AN47" s="49"/>
      <c r="AO47" s="49"/>
      <c r="AP47" s="49"/>
      <c r="AQ47" s="49"/>
      <c r="AR47" s="49"/>
      <c r="AS47" s="49"/>
      <c r="AU47" s="49"/>
      <c r="AX47" s="49"/>
      <c r="AY47" s="49"/>
      <c r="AZ47" s="49"/>
      <c r="BA47" s="49"/>
      <c r="BB47" s="49"/>
      <c r="BC47" s="49"/>
      <c r="BE47" s="49"/>
    </row>
    <row r="48" spans="1:57" ht="28">
      <c r="A48" t="str">
        <f t="shared" ca="1" si="0"/>
        <v>building.furnace@2</v>
      </c>
      <c r="B48" t="str">
        <f ca="1">_xlfn.XLOOKUP(tblValidation[[#This Row],[TargetID]],tblTargets[TargetID],tblTargets[TargetType],"")</f>
        <v>BUILDING</v>
      </c>
      <c r="C48" s="48" t="b">
        <f ca="1">COUNTIF(tblTargets[TargetID], $A48) &gt; 0</f>
        <v>1</v>
      </c>
      <c r="D48" s="48" t="b">
        <f ca="1">IF(OR(LEFT(tblValidation[[#This Row],[TargetID]],10)="state.CHAR",RIGHT(tblValidation[[#This Row],[TargetID]],5)="maxed"),TRUE, COUNTIF(tblChecklist[TargetID], $A48) &gt; 0)</f>
        <v>1</v>
      </c>
      <c r="E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 &gt; 0)</f>
        <v>1</v>
      </c>
      <c r="F48" s="48" t="b">
        <f ca="1">COUNTIF(tblDependencies[DependencyID], $A48) &gt; 0</f>
        <v>1</v>
      </c>
      <c r="G48" s="48" t="b">
        <f ca="1">COUNTIF(tblQuestObjectives[QuestTargetID], $A48) &gt; 0</f>
        <v>0</v>
      </c>
      <c r="H48" s="48" t="b">
        <f ca="1">COUNTIF(tblQuestObjectives[ObjectiveID], $A48) &gt; 0</f>
        <v>0</v>
      </c>
      <c r="I48" s="48" t="b">
        <f ca="1">COUNTIF(tblTargetStatus[TargetID], $A48) &gt; 0</f>
        <v>1</v>
      </c>
      <c r="J48" s="48" t="b">
        <f ca="1">COUNTIF(tblCost[TargetID], $A48) &gt; 0</f>
        <v>1</v>
      </c>
      <c r="K48" s="48" t="b">
        <f ca="1">COUNTIF(tblStates[StateID], $A48) &gt; 0</f>
        <v>0</v>
      </c>
      <c r="L48" s="48" t="b">
        <f t="shared" ca="1" si="1"/>
        <v>1</v>
      </c>
      <c r="M48" s="48" t="b">
        <f ca="1">IF(tblValidation[[#This Row],[TargetID]]="","",COUNTIF(tblTargets[TargetID],A48)&gt;1)</f>
        <v>0</v>
      </c>
      <c r="N48" s="48" t="b">
        <f ca="1">IF(tblValidation[[#This Row],[TargetID]]="","",COUNTIF(tblStates[StateID],tblValidation[[#This Row],[TargetID]])&gt;1)</f>
        <v>0</v>
      </c>
      <c r="O48" s="48" t="b" cm="1">
        <f t="array" aca="1" ref="O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 s="48"/>
      <c r="R48" s="48"/>
      <c r="S48" s="48"/>
      <c r="T48" s="48"/>
      <c r="V48" s="49" t="str">
        <f ca="1"/>
        <v>building.furnace@2</v>
      </c>
      <c r="W48" s="48" t="str">
        <f ca="1"/>
        <v>state.deliver_balm_to_hunter@f2</v>
      </c>
      <c r="X48" s="48" t="str">
        <f ca="1"/>
        <v>building.furnace@2</v>
      </c>
      <c r="Y48" s="48" t="str">
        <f ca="1"/>
        <v>building.guild@4</v>
      </c>
      <c r="Z48" s="48" t="str">
        <f ca="1"/>
        <v>building.furnace@2</v>
      </c>
      <c r="AA48" s="48" t="str">
        <f ca="1"/>
        <v>building.garden@2</v>
      </c>
      <c r="AB48" s="48" t="str">
        <f ca="1"/>
        <v>quest.the_ordinary_days_of_an_adventurer_chapter_8.finished</v>
      </c>
      <c r="AC48" s="48" t="str">
        <f ca="1"/>
        <v>state.character_cooking@2</v>
      </c>
      <c r="AD48" s="49" t="str">
        <f ca="1"/>
        <v>building.furnace@2</v>
      </c>
      <c r="AE48" s="49" t="str">
        <f ca="1"/>
        <v>building.guild_video_game_arcade@1</v>
      </c>
      <c r="AF48" s="49"/>
      <c r="AG48" s="49"/>
      <c r="AI48" s="49"/>
      <c r="AL48" s="49"/>
      <c r="AM48" s="49"/>
      <c r="AN48" s="49"/>
      <c r="AO48" s="49"/>
      <c r="AP48" s="49"/>
      <c r="AQ48" s="49"/>
      <c r="AR48" s="49"/>
      <c r="AS48" s="49"/>
      <c r="AU48" s="49"/>
      <c r="AX48" s="49"/>
      <c r="AY48" s="49"/>
      <c r="AZ48" s="49"/>
      <c r="BA48" s="49"/>
      <c r="BB48" s="49"/>
      <c r="BC48" s="49"/>
      <c r="BE48" s="49"/>
    </row>
    <row r="49" spans="1:57" ht="28">
      <c r="A49" t="str">
        <f t="shared" ca="1" si="0"/>
        <v>building.furnace@3</v>
      </c>
      <c r="B49" t="str">
        <f ca="1">_xlfn.XLOOKUP(tblValidation[[#This Row],[TargetID]],tblTargets[TargetID],tblTargets[TargetType],"")</f>
        <v>BUILDING</v>
      </c>
      <c r="C49" s="48" t="b">
        <f ca="1">COUNTIF(tblTargets[TargetID], $A49) &gt; 0</f>
        <v>1</v>
      </c>
      <c r="D49" s="48" t="b">
        <f ca="1">IF(OR(LEFT(tblValidation[[#This Row],[TargetID]],10)="state.CHAR",RIGHT(tblValidation[[#This Row],[TargetID]],5)="maxed"),TRUE, COUNTIF(tblChecklist[TargetID], $A49) &gt; 0)</f>
        <v>1</v>
      </c>
      <c r="E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 &gt; 0)</f>
        <v>1</v>
      </c>
      <c r="F49" s="48" t="b">
        <f ca="1">COUNTIF(tblDependencies[DependencyID], $A49) &gt; 0</f>
        <v>1</v>
      </c>
      <c r="G49" s="48" t="b">
        <f ca="1">COUNTIF(tblQuestObjectives[QuestTargetID], $A49) &gt; 0</f>
        <v>0</v>
      </c>
      <c r="H49" s="48" t="b">
        <f ca="1">COUNTIF(tblQuestObjectives[ObjectiveID], $A49) &gt; 0</f>
        <v>0</v>
      </c>
      <c r="I49" s="48" t="b">
        <f ca="1">COUNTIF(tblTargetStatus[TargetID], $A49) &gt; 0</f>
        <v>1</v>
      </c>
      <c r="J49" s="48" t="b">
        <f ca="1">COUNTIF(tblCost[TargetID], $A49) &gt; 0</f>
        <v>1</v>
      </c>
      <c r="K49" s="48" t="b">
        <f ca="1">COUNTIF(tblStates[StateID], $A49) &gt; 0</f>
        <v>0</v>
      </c>
      <c r="L49" s="48" t="b">
        <f t="shared" ca="1" si="1"/>
        <v>1</v>
      </c>
      <c r="M49" s="48" t="b">
        <f ca="1">IF(tblValidation[[#This Row],[TargetID]]="","",COUNTIF(tblTargets[TargetID],A49)&gt;1)</f>
        <v>0</v>
      </c>
      <c r="N49" s="48" t="b">
        <f ca="1">IF(tblValidation[[#This Row],[TargetID]]="","",COUNTIF(tblStates[StateID],tblValidation[[#This Row],[TargetID]])&gt;1)</f>
        <v>0</v>
      </c>
      <c r="O49" s="48" t="b" cm="1">
        <f t="array" aca="1" ref="O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 s="48"/>
      <c r="R49" s="48"/>
      <c r="S49" s="48"/>
      <c r="T49" s="48"/>
      <c r="V49" s="49" t="str">
        <f ca="1"/>
        <v>building.furnace@3</v>
      </c>
      <c r="W49" s="48" t="str">
        <f ca="1"/>
        <v>state.deliver_bedroll_4b</v>
      </c>
      <c r="X49" s="48" t="str">
        <f ca="1"/>
        <v>building.furnace@3</v>
      </c>
      <c r="Y49" s="48" t="str">
        <f ca="1"/>
        <v>building.guild@5</v>
      </c>
      <c r="Z49" s="48" t="str">
        <f ca="1"/>
        <v>building.furnace@3</v>
      </c>
      <c r="AA49" s="48" t="str">
        <f ca="1"/>
        <v>building.garden@3</v>
      </c>
      <c r="AB49" s="48" t="str">
        <f ca="1"/>
        <v>quest.the_ring_of_the_dark_lady.finished</v>
      </c>
      <c r="AC49" s="48" t="str">
        <f ca="1"/>
        <v>state.character_cooking@3</v>
      </c>
      <c r="AD49" s="49" t="str">
        <f ca="1"/>
        <v>building.furnace@3</v>
      </c>
      <c r="AE49" s="49" t="str">
        <f ca="1"/>
        <v>building.laboratory@1</v>
      </c>
      <c r="AF49" s="49"/>
      <c r="AG49" s="49"/>
      <c r="AI49" s="49"/>
      <c r="AL49" s="49"/>
      <c r="AM49" s="49"/>
      <c r="AN49" s="49"/>
      <c r="AO49" s="49"/>
      <c r="AP49" s="49"/>
      <c r="AQ49" s="49"/>
      <c r="AR49" s="49"/>
      <c r="AS49" s="49"/>
      <c r="AU49" s="49"/>
      <c r="AX49" s="49"/>
      <c r="AY49" s="49"/>
      <c r="AZ49" s="49"/>
      <c r="BA49" s="49"/>
      <c r="BB49" s="49"/>
      <c r="BC49" s="49"/>
      <c r="BE49" s="49"/>
    </row>
    <row r="50" spans="1:57" ht="29">
      <c r="A50" t="str">
        <f t="shared" ca="1" si="0"/>
        <v>building.garden.maxed</v>
      </c>
      <c r="B50" t="str">
        <f ca="1">_xlfn.XLOOKUP(tblValidation[[#This Row],[TargetID]],tblTargets[TargetID],tblTargets[TargetType],"")</f>
        <v>BUILDING</v>
      </c>
      <c r="C50" s="48" t="b">
        <f ca="1">COUNTIF(tblTargets[TargetID], $A50) &gt; 0</f>
        <v>1</v>
      </c>
      <c r="D50" s="48" t="b">
        <f ca="1">IF(OR(LEFT(tblValidation[[#This Row],[TargetID]],10)="state.CHAR",RIGHT(tblValidation[[#This Row],[TargetID]],5)="maxed"),TRUE, COUNTIF(tblChecklist[TargetID], $A50) &gt; 0)</f>
        <v>1</v>
      </c>
      <c r="E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 &gt; 0)</f>
        <v>1</v>
      </c>
      <c r="F50" s="48" t="b">
        <f ca="1">COUNTIF(tblDependencies[DependencyID], $A50) &gt; 0</f>
        <v>1</v>
      </c>
      <c r="G50" s="48" t="b">
        <f ca="1">COUNTIF(tblQuestObjectives[QuestTargetID], $A50) &gt; 0</f>
        <v>0</v>
      </c>
      <c r="H50" s="48" t="b">
        <f ca="1">COUNTIF(tblQuestObjectives[ObjectiveID], $A50) &gt; 0</f>
        <v>0</v>
      </c>
      <c r="I50" s="48" t="b">
        <f ca="1">COUNTIF(tblTargetStatus[TargetID], $A50) &gt; 0</f>
        <v>1</v>
      </c>
      <c r="J50" s="48" t="b">
        <f ca="1">COUNTIF(tblCost[TargetID], $A50) &gt; 0</f>
        <v>0</v>
      </c>
      <c r="K50" s="48" t="b">
        <f ca="1">COUNTIF(tblStates[StateID], $A50) &gt; 0</f>
        <v>0</v>
      </c>
      <c r="L50" s="48" t="b">
        <f t="shared" ca="1" si="1"/>
        <v>1</v>
      </c>
      <c r="M50" s="48" t="b">
        <f ca="1">IF(tblValidation[[#This Row],[TargetID]]="","",COUNTIF(tblTargets[TargetID],A50)&gt;1)</f>
        <v>0</v>
      </c>
      <c r="N50" s="48" t="b">
        <f ca="1">IF(tblValidation[[#This Row],[TargetID]]="","",COUNTIF(tblStates[StateID],tblValidation[[#This Row],[TargetID]])&gt;1)</f>
        <v>0</v>
      </c>
      <c r="O50" s="48" t="b" cm="1">
        <f t="array" aca="1" ref="O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 s="48"/>
      <c r="R50" s="48"/>
      <c r="S50" s="48"/>
      <c r="T50" s="48"/>
      <c r="V50" s="49" t="str">
        <f ca="1"/>
        <v>building.garden.maxed</v>
      </c>
      <c r="W50" s="48" t="str">
        <f ca="1"/>
        <v>state.deliver_cheese_6b</v>
      </c>
      <c r="X50" s="48" t="str">
        <f ca="1"/>
        <v>building.garden.maxed</v>
      </c>
      <c r="Y50" s="48" t="str">
        <f ca="1"/>
        <v>building.guild_video_game_arcade@1</v>
      </c>
      <c r="Z50" s="48" t="str">
        <f ca="1"/>
        <v>building.garden.maxed</v>
      </c>
      <c r="AA50" s="48" t="str">
        <f ca="1"/>
        <v>building.guild@1</v>
      </c>
      <c r="AB50" s="48" t="str">
        <f ca="1"/>
        <v>quest.treasure_island.finished</v>
      </c>
      <c r="AC50" s="48" t="str">
        <f ca="1"/>
        <v>state.character_level@22</v>
      </c>
      <c r="AD50" s="2" t="str">
        <f ca="1"/>
        <v>building.garden.maxed</v>
      </c>
      <c r="AE50" s="2" t="str">
        <f ca="1"/>
        <v>building.laboratory@2</v>
      </c>
      <c r="AL50" s="49"/>
      <c r="AX50" s="49"/>
      <c r="AY50" s="49"/>
      <c r="AZ50" s="49"/>
      <c r="BA50" s="49"/>
      <c r="BB50" s="49"/>
      <c r="BC50" s="49"/>
      <c r="BE50" s="49"/>
    </row>
    <row r="51" spans="1:57">
      <c r="A51" t="str">
        <f t="shared" ca="1" si="0"/>
        <v>building.garden@1</v>
      </c>
      <c r="B51" t="str">
        <f ca="1">_xlfn.XLOOKUP(tblValidation[[#This Row],[TargetID]],tblTargets[TargetID],tblTargets[TargetType],"")</f>
        <v>BUILDING</v>
      </c>
      <c r="C51" s="48" t="b">
        <f ca="1">COUNTIF(tblTargets[TargetID], $A51) &gt; 0</f>
        <v>1</v>
      </c>
      <c r="D51" s="48" t="b">
        <f ca="1">IF(OR(LEFT(tblValidation[[#This Row],[TargetID]],10)="state.CHAR",RIGHT(tblValidation[[#This Row],[TargetID]],5)="maxed"),TRUE, COUNTIF(tblChecklist[TargetID], $A51) &gt; 0)</f>
        <v>1</v>
      </c>
      <c r="E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 &gt; 0)</f>
        <v>1</v>
      </c>
      <c r="F51" s="48" t="b">
        <f ca="1">COUNTIF(tblDependencies[DependencyID], $A51) &gt; 0</f>
        <v>1</v>
      </c>
      <c r="G51" s="48" t="b">
        <f ca="1">COUNTIF(tblQuestObjectives[QuestTargetID], $A51) &gt; 0</f>
        <v>0</v>
      </c>
      <c r="H51" s="48" t="b">
        <f ca="1">COUNTIF(tblQuestObjectives[ObjectiveID], $A51) &gt; 0</f>
        <v>0</v>
      </c>
      <c r="I51" s="48" t="b">
        <f ca="1">COUNTIF(tblTargetStatus[TargetID], $A51) &gt; 0</f>
        <v>1</v>
      </c>
      <c r="J51" s="48" t="b">
        <f ca="1">COUNTIF(tblCost[TargetID], $A51) &gt; 0</f>
        <v>1</v>
      </c>
      <c r="K51" s="48" t="b">
        <f ca="1">COUNTIF(tblStates[StateID], $A51) &gt; 0</f>
        <v>0</v>
      </c>
      <c r="L51" s="48" t="b">
        <f t="shared" ca="1" si="1"/>
        <v>1</v>
      </c>
      <c r="M51" s="48" t="b">
        <f ca="1">IF(tblValidation[[#This Row],[TargetID]]="","",COUNTIF(tblTargets[TargetID],A51)&gt;1)</f>
        <v>0</v>
      </c>
      <c r="N51" s="48" t="b">
        <f ca="1">IF(tblValidation[[#This Row],[TargetID]]="","",COUNTIF(tblStates[StateID],tblValidation[[#This Row],[TargetID]])&gt;1)</f>
        <v>0</v>
      </c>
      <c r="O51" s="48" t="b" cm="1">
        <f t="array" aca="1" ref="O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 s="48"/>
      <c r="R51" s="48"/>
      <c r="S51" s="48"/>
      <c r="T51" s="48"/>
      <c r="V51" s="49" t="str">
        <f ca="1"/>
        <v>building.garden@1</v>
      </c>
      <c r="W51" s="48" t="str">
        <f ca="1"/>
        <v>state.deliver_horn_ 2c</v>
      </c>
      <c r="X51" s="48" t="str">
        <f ca="1"/>
        <v>building.garden@1</v>
      </c>
      <c r="Y51" s="48" t="str">
        <f ca="1"/>
        <v>building.laboratory@1</v>
      </c>
      <c r="Z51" s="48" t="str">
        <f ca="1"/>
        <v>building.garden@1</v>
      </c>
      <c r="AA51" s="48" t="str">
        <f ca="1"/>
        <v>building.guild@2</v>
      </c>
      <c r="AB51" s="48" t="str">
        <f ca="1"/>
        <v>quest.undead_revenge.finished</v>
      </c>
      <c r="AC51" s="48" t="str">
        <f ca="1"/>
        <v>state.character_level@24</v>
      </c>
      <c r="AD51" s="2" t="str">
        <f ca="1"/>
        <v>building.garden@1</v>
      </c>
      <c r="AE51" s="2" t="str">
        <f ca="1"/>
        <v>building.laboratory@3</v>
      </c>
      <c r="AX51" s="49"/>
      <c r="AY51" s="49"/>
      <c r="AZ51" s="49"/>
      <c r="BA51" s="49"/>
      <c r="BB51" s="49"/>
      <c r="BC51" s="49"/>
      <c r="BE51" s="49"/>
    </row>
    <row r="52" spans="1:57">
      <c r="A52" t="str">
        <f t="shared" ca="1" si="0"/>
        <v>building.garden@2</v>
      </c>
      <c r="B52" t="str">
        <f ca="1">_xlfn.XLOOKUP(tblValidation[[#This Row],[TargetID]],tblTargets[TargetID],tblTargets[TargetType],"")</f>
        <v>BUILDING</v>
      </c>
      <c r="C52" s="48" t="b">
        <f ca="1">COUNTIF(tblTargets[TargetID], $A52) &gt; 0</f>
        <v>1</v>
      </c>
      <c r="D52" s="48" t="b">
        <f ca="1">IF(OR(LEFT(tblValidation[[#This Row],[TargetID]],10)="state.CHAR",RIGHT(tblValidation[[#This Row],[TargetID]],5)="maxed"),TRUE, COUNTIF(tblChecklist[TargetID], $A52) &gt; 0)</f>
        <v>1</v>
      </c>
      <c r="E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 &gt; 0)</f>
        <v>1</v>
      </c>
      <c r="F52" s="48" t="b">
        <f ca="1">COUNTIF(tblDependencies[DependencyID], $A52) &gt; 0</f>
        <v>1</v>
      </c>
      <c r="G52" s="48" t="b">
        <f ca="1">COUNTIF(tblQuestObjectives[QuestTargetID], $A52) &gt; 0</f>
        <v>0</v>
      </c>
      <c r="H52" s="48" t="b">
        <f ca="1">COUNTIF(tblQuestObjectives[ObjectiveID], $A52) &gt; 0</f>
        <v>0</v>
      </c>
      <c r="I52" s="48" t="b">
        <f ca="1">COUNTIF(tblTargetStatus[TargetID], $A52) &gt; 0</f>
        <v>1</v>
      </c>
      <c r="J52" s="48" t="b">
        <f ca="1">COUNTIF(tblCost[TargetID], $A52) &gt; 0</f>
        <v>1</v>
      </c>
      <c r="K52" s="48" t="b">
        <f ca="1">COUNTIF(tblStates[StateID], $A52) &gt; 0</f>
        <v>0</v>
      </c>
      <c r="L52" s="48" t="b">
        <f t="shared" ca="1" si="1"/>
        <v>1</v>
      </c>
      <c r="M52" s="48" t="b">
        <f ca="1">IF(tblValidation[[#This Row],[TargetID]]="","",COUNTIF(tblTargets[TargetID],A52)&gt;1)</f>
        <v>0</v>
      </c>
      <c r="N52" s="48" t="b">
        <f ca="1">IF(tblValidation[[#This Row],[TargetID]]="","",COUNTIF(tblStates[StateID],tblValidation[[#This Row],[TargetID]])&gt;1)</f>
        <v>0</v>
      </c>
      <c r="O52" s="48" t="b" cm="1">
        <f t="array" aca="1" ref="O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 s="48"/>
      <c r="R52" s="48"/>
      <c r="S52" s="48"/>
      <c r="T52" s="48"/>
      <c r="V52" s="49" t="str">
        <f ca="1"/>
        <v>building.garden@2</v>
      </c>
      <c r="W52" s="48" t="str">
        <f ca="1"/>
        <v>state.deliver_inarizushi_4b</v>
      </c>
      <c r="X52" s="48" t="str">
        <f ca="1"/>
        <v>building.garden@2</v>
      </c>
      <c r="Y52" s="48" t="str">
        <f ca="1"/>
        <v>building.laboratory@2</v>
      </c>
      <c r="Z52" s="48" t="str">
        <f ca="1"/>
        <v>building.garden@2</v>
      </c>
      <c r="AA52" s="48" t="str">
        <f ca="1"/>
        <v>building.guild@3</v>
      </c>
      <c r="AB52" s="48"/>
      <c r="AC52" s="48" t="str">
        <f ca="1"/>
        <v>state.complete_dungeon@1a</v>
      </c>
      <c r="AD52" s="2" t="str">
        <f ca="1"/>
        <v>building.garden@2</v>
      </c>
      <c r="AE52" s="2" t="str">
        <f ca="1"/>
        <v>building.laboratory@4</v>
      </c>
      <c r="AX52" s="49"/>
      <c r="AY52" s="49"/>
      <c r="AZ52" s="49"/>
      <c r="BA52" s="49"/>
      <c r="BB52" s="49"/>
      <c r="BC52" s="49"/>
      <c r="BE52" s="49"/>
    </row>
    <row r="53" spans="1:57">
      <c r="A53" t="str">
        <f t="shared" ca="1" si="0"/>
        <v>building.garden@3</v>
      </c>
      <c r="B53" t="str">
        <f ca="1">_xlfn.XLOOKUP(tblValidation[[#This Row],[TargetID]],tblTargets[TargetID],tblTargets[TargetType],"")</f>
        <v>BUILDING</v>
      </c>
      <c r="C53" s="48" t="b">
        <f ca="1">COUNTIF(tblTargets[TargetID], $A53) &gt; 0</f>
        <v>1</v>
      </c>
      <c r="D53" s="48" t="b">
        <f ca="1">IF(OR(LEFT(tblValidation[[#This Row],[TargetID]],10)="state.CHAR",RIGHT(tblValidation[[#This Row],[TargetID]],5)="maxed"),TRUE, COUNTIF(tblChecklist[TargetID], $A53) &gt; 0)</f>
        <v>1</v>
      </c>
      <c r="E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 &gt; 0)</f>
        <v>1</v>
      </c>
      <c r="F53" s="48" t="b">
        <f ca="1">COUNTIF(tblDependencies[DependencyID], $A53) &gt; 0</f>
        <v>1</v>
      </c>
      <c r="G53" s="48" t="b">
        <f ca="1">COUNTIF(tblQuestObjectives[QuestTargetID], $A53) &gt; 0</f>
        <v>0</v>
      </c>
      <c r="H53" s="48" t="b">
        <f ca="1">COUNTIF(tblQuestObjectives[ObjectiveID], $A53) &gt; 0</f>
        <v>0</v>
      </c>
      <c r="I53" s="48" t="b">
        <f ca="1">COUNTIF(tblTargetStatus[TargetID], $A53) &gt; 0</f>
        <v>1</v>
      </c>
      <c r="J53" s="48" t="b">
        <f ca="1">COUNTIF(tblCost[TargetID], $A53) &gt; 0</f>
        <v>1</v>
      </c>
      <c r="K53" s="48" t="b">
        <f ca="1">COUNTIF(tblStates[StateID], $A53) &gt; 0</f>
        <v>0</v>
      </c>
      <c r="L53" s="48" t="b">
        <f t="shared" ca="1" si="1"/>
        <v>1</v>
      </c>
      <c r="M53" s="48" t="b">
        <f ca="1">IF(tblValidation[[#This Row],[TargetID]]="","",COUNTIF(tblTargets[TargetID],A53)&gt;1)</f>
        <v>0</v>
      </c>
      <c r="N53" s="48" t="b">
        <f ca="1">IF(tblValidation[[#This Row],[TargetID]]="","",COUNTIF(tblStates[StateID],tblValidation[[#This Row],[TargetID]])&gt;1)</f>
        <v>0</v>
      </c>
      <c r="O53" s="48" t="b" cm="1">
        <f t="array" aca="1" ref="O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 s="48"/>
      <c r="R53" s="48"/>
      <c r="S53" s="48"/>
      <c r="T53" s="48"/>
      <c r="V53" s="49" t="str">
        <f ca="1"/>
        <v>building.garden@3</v>
      </c>
      <c r="W53" s="48" t="str">
        <f ca="1"/>
        <v>state.deliver_pizza_diavola_ 5b</v>
      </c>
      <c r="X53" s="48" t="str">
        <f ca="1"/>
        <v>building.garden@3</v>
      </c>
      <c r="Y53" s="48" t="str">
        <f ca="1"/>
        <v>building.laboratory@3</v>
      </c>
      <c r="Z53" s="48" t="str">
        <f ca="1"/>
        <v>building.garden@3</v>
      </c>
      <c r="AA53" s="48" t="str">
        <f ca="1"/>
        <v>building.guild@4</v>
      </c>
      <c r="AB53" s="48"/>
      <c r="AC53" s="48" t="str">
        <f ca="1"/>
        <v>state.complete_dungeon@6D</v>
      </c>
      <c r="AD53" s="2" t="str">
        <f ca="1"/>
        <v>building.garden@3</v>
      </c>
      <c r="AE53" s="2" t="str">
        <f ca="1"/>
        <v>building.laboratory@5</v>
      </c>
      <c r="AX53" s="49"/>
      <c r="AY53" s="49"/>
      <c r="AZ53" s="49"/>
      <c r="BA53" s="49"/>
      <c r="BB53" s="49"/>
      <c r="BC53" s="49"/>
      <c r="BE53" s="49"/>
    </row>
    <row r="54" spans="1:57">
      <c r="A54" t="str">
        <f t="shared" ca="1" si="0"/>
        <v>building.gong@1</v>
      </c>
      <c r="B54" t="str">
        <f ca="1">_xlfn.XLOOKUP(tblValidation[[#This Row],[TargetID]],tblTargets[TargetID],tblTargets[TargetType],"")</f>
        <v>BUILDING</v>
      </c>
      <c r="C54" s="48" t="b">
        <f ca="1">COUNTIF(tblTargets[TargetID], $A54) &gt; 0</f>
        <v>1</v>
      </c>
      <c r="D54" s="48" t="b">
        <f ca="1">IF(OR(LEFT(tblValidation[[#This Row],[TargetID]],10)="state.CHAR",RIGHT(tblValidation[[#This Row],[TargetID]],5)="maxed"),TRUE, COUNTIF(tblChecklist[TargetID], $A54) &gt; 0)</f>
        <v>1</v>
      </c>
      <c r="E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 &gt; 0)</f>
        <v>1</v>
      </c>
      <c r="F54" s="48" t="b">
        <f ca="1">COUNTIF(tblDependencies[DependencyID], $A54) &gt; 0</f>
        <v>0</v>
      </c>
      <c r="G54" s="48" t="b">
        <f ca="1">COUNTIF(tblQuestObjectives[QuestTargetID], $A54) &gt; 0</f>
        <v>0</v>
      </c>
      <c r="H54" s="48" t="b">
        <f ca="1">COUNTIF(tblQuestObjectives[ObjectiveID], $A54) &gt; 0</f>
        <v>0</v>
      </c>
      <c r="I54" s="48" t="b">
        <f ca="1">COUNTIF(tblTargetStatus[TargetID], $A54) &gt; 0</f>
        <v>1</v>
      </c>
      <c r="J54" s="48" t="b">
        <f ca="1">COUNTIF(tblCost[TargetID], $A54) &gt; 0</f>
        <v>1</v>
      </c>
      <c r="K54" s="48" t="b">
        <f ca="1">COUNTIF(tblStates[StateID], $A54) &gt; 0</f>
        <v>0</v>
      </c>
      <c r="L54" s="48" t="b">
        <f t="shared" ca="1" si="1"/>
        <v>1</v>
      </c>
      <c r="M54" s="48" t="b">
        <f ca="1">IF(tblValidation[[#This Row],[TargetID]]="","",COUNTIF(tblTargets[TargetID],A54)&gt;1)</f>
        <v>0</v>
      </c>
      <c r="N54" s="48" t="b">
        <f ca="1">IF(tblValidation[[#This Row],[TargetID]]="","",COUNTIF(tblStates[StateID],tblValidation[[#This Row],[TargetID]])&gt;1)</f>
        <v>0</v>
      </c>
      <c r="O54" s="48" t="b" cm="1">
        <f t="array" aca="1" ref="O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 s="48"/>
      <c r="R54" s="48"/>
      <c r="S54" s="48"/>
      <c r="T54" s="48"/>
      <c r="U54" s="49"/>
      <c r="V54" s="49" t="str">
        <f ca="1"/>
        <v>building.gong@1</v>
      </c>
      <c r="W54" s="48" t="str">
        <f ca="1"/>
        <v>state.deliver_pizza_diavola_ 5c</v>
      </c>
      <c r="X54" s="48" t="str">
        <f ca="1"/>
        <v>building.gong@1</v>
      </c>
      <c r="Y54" s="48" t="str">
        <f ca="1"/>
        <v>building.laboratory@4</v>
      </c>
      <c r="Z54" s="48" t="str">
        <f ca="1"/>
        <v>building.gong@1</v>
      </c>
      <c r="AA54" s="48" t="str">
        <f ca="1"/>
        <v>building.guild@5</v>
      </c>
      <c r="AB54" s="48"/>
      <c r="AC54" s="48" t="str">
        <f ca="1"/>
        <v>state.complete_dungeon_5c</v>
      </c>
      <c r="AD54" s="2" t="str">
        <f ca="1"/>
        <v>building.gong@1</v>
      </c>
      <c r="AE54" s="2" t="str">
        <f ca="1"/>
        <v>building.laboratory_data_center@1</v>
      </c>
      <c r="AX54" s="49"/>
      <c r="AY54" s="49"/>
      <c r="AZ54" s="49"/>
      <c r="BA54" s="49"/>
      <c r="BB54" s="49"/>
      <c r="BC54" s="49"/>
      <c r="BE54" s="49"/>
    </row>
    <row r="55" spans="1:57">
      <c r="A55" t="str">
        <f t="shared" ca="1" si="0"/>
        <v>building.guild@1</v>
      </c>
      <c r="B55" t="str">
        <f ca="1">_xlfn.XLOOKUP(tblValidation[[#This Row],[TargetID]],tblTargets[TargetID],tblTargets[TargetType],"")</f>
        <v>BUILDING</v>
      </c>
      <c r="C55" s="48" t="b">
        <f ca="1">COUNTIF(tblTargets[TargetID], $A55) &gt; 0</f>
        <v>1</v>
      </c>
      <c r="D55" s="48" t="b">
        <f ca="1">IF(OR(LEFT(tblValidation[[#This Row],[TargetID]],10)="state.CHAR",RIGHT(tblValidation[[#This Row],[TargetID]],5)="maxed"),TRUE, COUNTIF(tblChecklist[TargetID], $A55) &gt; 0)</f>
        <v>1</v>
      </c>
      <c r="E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 &gt; 0)</f>
        <v>1</v>
      </c>
      <c r="F55" s="48" t="b">
        <f ca="1">COUNTIF(tblDependencies[DependencyID], $A55) &gt; 0</f>
        <v>1</v>
      </c>
      <c r="G55" s="48" t="b">
        <f ca="1">COUNTIF(tblQuestObjectives[QuestTargetID], $A55) &gt; 0</f>
        <v>0</v>
      </c>
      <c r="H55" s="48" t="b">
        <f ca="1">COUNTIF(tblQuestObjectives[ObjectiveID], $A55) &gt; 0</f>
        <v>0</v>
      </c>
      <c r="I55" s="48" t="b">
        <f ca="1">COUNTIF(tblTargetStatus[TargetID], $A55) &gt; 0</f>
        <v>1</v>
      </c>
      <c r="J55" s="48" t="b">
        <f ca="1">COUNTIF(tblCost[TargetID], $A55) &gt; 0</f>
        <v>0</v>
      </c>
      <c r="K55" s="48" t="b">
        <f ca="1">COUNTIF(tblStates[StateID], $A55) &gt; 0</f>
        <v>0</v>
      </c>
      <c r="L55" s="48" t="b">
        <f t="shared" ca="1" si="1"/>
        <v>1</v>
      </c>
      <c r="M55" s="48" t="b">
        <f ca="1">IF(tblValidation[[#This Row],[TargetID]]="","",COUNTIF(tblTargets[TargetID],A55)&gt;1)</f>
        <v>0</v>
      </c>
      <c r="N55" s="48" t="b">
        <f ca="1">IF(tblValidation[[#This Row],[TargetID]]="","",COUNTIF(tblStates[StateID],tblValidation[[#This Row],[TargetID]])&gt;1)</f>
        <v>0</v>
      </c>
      <c r="O55" s="48" t="b" cm="1">
        <f t="array" aca="1" ref="O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 s="48"/>
      <c r="R55" s="48"/>
      <c r="S55" s="48"/>
      <c r="T55" s="48"/>
      <c r="V55" s="49" t="str">
        <f ca="1"/>
        <v>building.guild@1</v>
      </c>
      <c r="W55" s="48" t="str">
        <f ca="1"/>
        <v>state.deliver_porcini_pasta_ 3c</v>
      </c>
      <c r="X55" s="48" t="str">
        <f ca="1"/>
        <v>building.guild@1</v>
      </c>
      <c r="Y55" s="48" t="str">
        <f ca="1"/>
        <v>building.laboratory@5</v>
      </c>
      <c r="Z55" s="48" t="str">
        <f ca="1"/>
        <v>building.guild@2</v>
      </c>
      <c r="AA55" s="48" t="str">
        <f ca="1"/>
        <v>building.laboratory.maxed</v>
      </c>
      <c r="AB55" s="48"/>
      <c r="AC55" s="48" t="str">
        <f ca="1"/>
        <v>state.complete_dungeon_5c_second</v>
      </c>
      <c r="AD55" s="2" t="str">
        <f ca="1"/>
        <v>building.guild@1</v>
      </c>
      <c r="AE55" s="2" t="str">
        <f ca="1"/>
        <v>building.lumber@1</v>
      </c>
      <c r="AX55" s="49"/>
      <c r="AY55" s="49"/>
      <c r="AZ55" s="49"/>
      <c r="BA55" s="49"/>
      <c r="BB55" s="49"/>
      <c r="BC55" s="49"/>
      <c r="BD55" s="49"/>
      <c r="BE55" s="49"/>
    </row>
    <row r="56" spans="1:57">
      <c r="A56" t="str">
        <f t="shared" ca="1" si="0"/>
        <v>building.guild@2</v>
      </c>
      <c r="B56" t="str">
        <f ca="1">_xlfn.XLOOKUP(tblValidation[[#This Row],[TargetID]],tblTargets[TargetID],tblTargets[TargetType],"")</f>
        <v>BUILDING</v>
      </c>
      <c r="C56" s="48" t="b">
        <f ca="1">COUNTIF(tblTargets[TargetID], $A56) &gt; 0</f>
        <v>1</v>
      </c>
      <c r="D56" s="48" t="b">
        <f ca="1">IF(OR(LEFT(tblValidation[[#This Row],[TargetID]],10)="state.CHAR",RIGHT(tblValidation[[#This Row],[TargetID]],5)="maxed"),TRUE, COUNTIF(tblChecklist[TargetID], $A56) &gt; 0)</f>
        <v>1</v>
      </c>
      <c r="E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 &gt; 0)</f>
        <v>1</v>
      </c>
      <c r="F56" s="48" t="b">
        <f ca="1">COUNTIF(tblDependencies[DependencyID], $A56) &gt; 0</f>
        <v>1</v>
      </c>
      <c r="G56" s="48" t="b">
        <f ca="1">COUNTIF(tblQuestObjectives[QuestTargetID], $A56) &gt; 0</f>
        <v>0</v>
      </c>
      <c r="H56" s="48" t="b">
        <f ca="1">COUNTIF(tblQuestObjectives[ObjectiveID], $A56) &gt; 0</f>
        <v>0</v>
      </c>
      <c r="I56" s="48" t="b">
        <f ca="1">COUNTIF(tblTargetStatus[TargetID], $A56) &gt; 0</f>
        <v>1</v>
      </c>
      <c r="J56" s="48" t="b">
        <f ca="1">COUNTIF(tblCost[TargetID], $A56) &gt; 0</f>
        <v>1</v>
      </c>
      <c r="K56" s="48" t="b">
        <f ca="1">COUNTIF(tblStates[StateID], $A56) &gt; 0</f>
        <v>0</v>
      </c>
      <c r="L56" s="48" t="b">
        <f t="shared" ca="1" si="1"/>
        <v>1</v>
      </c>
      <c r="M56" s="48" t="b">
        <f ca="1">IF(tblValidation[[#This Row],[TargetID]]="","",COUNTIF(tblTargets[TargetID],A56)&gt;1)</f>
        <v>0</v>
      </c>
      <c r="N56" s="48" t="b">
        <f ca="1">IF(tblValidation[[#This Row],[TargetID]]="","",COUNTIF(tblStates[StateID],tblValidation[[#This Row],[TargetID]])&gt;1)</f>
        <v>0</v>
      </c>
      <c r="O56" s="48" t="b" cm="1">
        <f t="array" aca="1" ref="O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 s="48"/>
      <c r="R56" s="48"/>
      <c r="S56" s="48"/>
      <c r="T56" s="48"/>
      <c r="V56" s="49" t="str">
        <f ca="1"/>
        <v>building.guild@2</v>
      </c>
      <c r="W56" s="48" t="str">
        <f ca="1"/>
        <v>state.deliver_potion_ambrosia_ 3b</v>
      </c>
      <c r="X56" s="48" t="str">
        <f ca="1"/>
        <v>building.guild@2</v>
      </c>
      <c r="Y56" s="48" t="str">
        <f ca="1"/>
        <v>building.laboratory_data_center@1</v>
      </c>
      <c r="Z56" s="48" t="str">
        <f ca="1"/>
        <v>building.guild@3</v>
      </c>
      <c r="AA56" s="48" t="str">
        <f ca="1"/>
        <v>building.laboratory@1</v>
      </c>
      <c r="AB56" s="48"/>
      <c r="AC56" s="48" t="str">
        <f ca="1"/>
        <v>state.complete_dungeon_6c</v>
      </c>
      <c r="AD56" s="2" t="str">
        <f ca="1"/>
        <v>building.guild@2</v>
      </c>
      <c r="AE56" s="2" t="str">
        <f ca="1"/>
        <v>building.lumber@2</v>
      </c>
      <c r="AX56" s="49"/>
      <c r="AY56" s="49"/>
      <c r="AZ56" s="49"/>
      <c r="BA56" s="49"/>
      <c r="BB56" s="49"/>
      <c r="BC56" s="49"/>
      <c r="BE56" s="49"/>
    </row>
    <row r="57" spans="1:57">
      <c r="A57" t="str">
        <f t="shared" ca="1" si="0"/>
        <v>building.guild@3</v>
      </c>
      <c r="B57" t="str">
        <f ca="1">_xlfn.XLOOKUP(tblValidation[[#This Row],[TargetID]],tblTargets[TargetID],tblTargets[TargetType],"")</f>
        <v>BUILDING</v>
      </c>
      <c r="C57" s="48" t="b">
        <f ca="1">COUNTIF(tblTargets[TargetID], $A57) &gt; 0</f>
        <v>1</v>
      </c>
      <c r="D57" s="48" t="b">
        <f ca="1">IF(OR(LEFT(tblValidation[[#This Row],[TargetID]],10)="state.CHAR",RIGHT(tblValidation[[#This Row],[TargetID]],5)="maxed"),TRUE, COUNTIF(tblChecklist[TargetID], $A57) &gt; 0)</f>
        <v>1</v>
      </c>
      <c r="E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 &gt; 0)</f>
        <v>1</v>
      </c>
      <c r="F57" s="48" t="b">
        <f ca="1">COUNTIF(tblDependencies[DependencyID], $A57) &gt; 0</f>
        <v>1</v>
      </c>
      <c r="G57" s="48" t="b">
        <f ca="1">COUNTIF(tblQuestObjectives[QuestTargetID], $A57) &gt; 0</f>
        <v>0</v>
      </c>
      <c r="H57" s="48" t="b">
        <f ca="1">COUNTIF(tblQuestObjectives[ObjectiveID], $A57) &gt; 0</f>
        <v>0</v>
      </c>
      <c r="I57" s="48" t="b">
        <f ca="1">COUNTIF(tblTargetStatus[TargetID], $A57) &gt; 0</f>
        <v>1</v>
      </c>
      <c r="J57" s="48" t="b">
        <f ca="1">COUNTIF(tblCost[TargetID], $A57) &gt; 0</f>
        <v>1</v>
      </c>
      <c r="K57" s="48" t="b">
        <f ca="1">COUNTIF(tblStates[StateID], $A57) &gt; 0</f>
        <v>0</v>
      </c>
      <c r="L57" s="48" t="b">
        <f t="shared" ca="1" si="1"/>
        <v>1</v>
      </c>
      <c r="M57" s="48" t="b">
        <f ca="1">IF(tblValidation[[#This Row],[TargetID]]="","",COUNTIF(tblTargets[TargetID],A57)&gt;1)</f>
        <v>0</v>
      </c>
      <c r="N57" s="48" t="b">
        <f ca="1">IF(tblValidation[[#This Row],[TargetID]]="","",COUNTIF(tblStates[StateID],tblValidation[[#This Row],[TargetID]])&gt;1)</f>
        <v>0</v>
      </c>
      <c r="O57" s="48" t="b" cm="1">
        <f t="array" aca="1" ref="O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 s="48"/>
      <c r="R57" s="48"/>
      <c r="S57" s="48"/>
      <c r="T57" s="48"/>
      <c r="V57" s="49" t="str">
        <f ca="1"/>
        <v>building.guild@3</v>
      </c>
      <c r="W57" s="48" t="str">
        <f ca="1"/>
        <v>state.deliver_potion_berserker_rage_ 1c</v>
      </c>
      <c r="X57" s="48" t="str">
        <f ca="1"/>
        <v>building.guild@3</v>
      </c>
      <c r="Y57" s="48" t="str">
        <f ca="1"/>
        <v>building.lumber@1</v>
      </c>
      <c r="Z57" s="48" t="str">
        <f ca="1"/>
        <v>building.guild@4</v>
      </c>
      <c r="AA57" s="48" t="str">
        <f ca="1"/>
        <v>building.laboratory@2</v>
      </c>
      <c r="AB57" s="48"/>
      <c r="AC57" s="48" t="str">
        <f ca="1"/>
        <v>state.complete_f1_first_time</v>
      </c>
      <c r="AD57" s="2" t="str">
        <f ca="1"/>
        <v>building.guild@3</v>
      </c>
      <c r="AE57" s="2" t="str">
        <f ca="1"/>
        <v>building.lumber@3</v>
      </c>
      <c r="AX57" s="49"/>
      <c r="AY57" s="49"/>
      <c r="AZ57" s="49"/>
      <c r="BA57" s="49"/>
      <c r="BB57" s="49"/>
      <c r="BC57" s="49"/>
      <c r="BE57" s="49"/>
    </row>
    <row r="58" spans="1:57">
      <c r="A58" t="str">
        <f t="shared" ca="1" si="0"/>
        <v>building.guild@4</v>
      </c>
      <c r="B58" t="str">
        <f ca="1">_xlfn.XLOOKUP(tblValidation[[#This Row],[TargetID]],tblTargets[TargetID],tblTargets[TargetType],"")</f>
        <v>BUILDING</v>
      </c>
      <c r="C58" s="48" t="b">
        <f ca="1">COUNTIF(tblTargets[TargetID], $A58) &gt; 0</f>
        <v>1</v>
      </c>
      <c r="D58" s="48" t="b">
        <f ca="1">IF(OR(LEFT(tblValidation[[#This Row],[TargetID]],10)="state.CHAR",RIGHT(tblValidation[[#This Row],[TargetID]],5)="maxed"),TRUE, COUNTIF(tblChecklist[TargetID], $A58) &gt; 0)</f>
        <v>1</v>
      </c>
      <c r="E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 &gt; 0)</f>
        <v>1</v>
      </c>
      <c r="F58" s="48" t="b">
        <f ca="1">COUNTIF(tblDependencies[DependencyID], $A58) &gt; 0</f>
        <v>1</v>
      </c>
      <c r="G58" s="48" t="b">
        <f ca="1">COUNTIF(tblQuestObjectives[QuestTargetID], $A58) &gt; 0</f>
        <v>0</v>
      </c>
      <c r="H58" s="48" t="b">
        <f ca="1">COUNTIF(tblQuestObjectives[ObjectiveID], $A58) &gt; 0</f>
        <v>0</v>
      </c>
      <c r="I58" s="48" t="b">
        <f ca="1">COUNTIF(tblTargetStatus[TargetID], $A58) &gt; 0</f>
        <v>1</v>
      </c>
      <c r="J58" s="48" t="b">
        <f ca="1">COUNTIF(tblCost[TargetID], $A58) &gt; 0</f>
        <v>1</v>
      </c>
      <c r="K58" s="48" t="b">
        <f ca="1">COUNTIF(tblStates[StateID], $A58) &gt; 0</f>
        <v>0</v>
      </c>
      <c r="L58" s="48" t="b">
        <f t="shared" ca="1" si="1"/>
        <v>1</v>
      </c>
      <c r="M58" s="48" t="b">
        <f ca="1">IF(tblValidation[[#This Row],[TargetID]]="","",COUNTIF(tblTargets[TargetID],A58)&gt;1)</f>
        <v>0</v>
      </c>
      <c r="N58" s="48" t="b">
        <f ca="1">IF(tblValidation[[#This Row],[TargetID]]="","",COUNTIF(tblStates[StateID],tblValidation[[#This Row],[TargetID]])&gt;1)</f>
        <v>0</v>
      </c>
      <c r="O58" s="48" t="b" cm="1">
        <f t="array" aca="1" ref="O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 s="48"/>
      <c r="R58" s="48"/>
      <c r="S58" s="48"/>
      <c r="T58" s="48"/>
      <c r="V58" s="49" t="str">
        <f ca="1"/>
        <v>building.guild@4</v>
      </c>
      <c r="W58" s="48" t="str">
        <f ca="1"/>
        <v>state.deliver_potion_mental_power@f2</v>
      </c>
      <c r="X58" s="48" t="str">
        <f ca="1"/>
        <v>building.guild@4</v>
      </c>
      <c r="Y58" s="48" t="str">
        <f ca="1"/>
        <v>building.lumber@2</v>
      </c>
      <c r="Z58" s="48" t="str">
        <f ca="1"/>
        <v>building.guild@5</v>
      </c>
      <c r="AA58" s="48" t="str">
        <f ca="1"/>
        <v>building.laboratory@3</v>
      </c>
      <c r="AB58" s="48"/>
      <c r="AC58" s="48" t="str">
        <f ca="1"/>
        <v>state.complete_f1_with_diligence</v>
      </c>
      <c r="AD58" s="2" t="str">
        <f ca="1"/>
        <v>building.guild@4</v>
      </c>
      <c r="AE58" s="2" t="str">
        <f ca="1"/>
        <v>building.onsen@1</v>
      </c>
      <c r="AX58" s="49"/>
      <c r="AY58" s="49"/>
      <c r="AZ58" s="49"/>
      <c r="BA58" s="49"/>
      <c r="BB58" s="49"/>
      <c r="BC58" s="49"/>
      <c r="BD58" s="49"/>
      <c r="BE58" s="49"/>
    </row>
    <row r="59" spans="1:57">
      <c r="A59" t="str">
        <f t="shared" ca="1" si="0"/>
        <v>building.guild@5</v>
      </c>
      <c r="B59" t="str">
        <f ca="1">_xlfn.XLOOKUP(tblValidation[[#This Row],[TargetID]],tblTargets[TargetID],tblTargets[TargetType],"")</f>
        <v>BUILDING</v>
      </c>
      <c r="C59" s="48" t="b">
        <f ca="1">COUNTIF(tblTargets[TargetID], $A59) &gt; 0</f>
        <v>1</v>
      </c>
      <c r="D59" s="48" t="b">
        <f ca="1">IF(OR(LEFT(tblValidation[[#This Row],[TargetID]],10)="state.CHAR",RIGHT(tblValidation[[#This Row],[TargetID]],5)="maxed"),TRUE, COUNTIF(tblChecklist[TargetID], $A59) &gt; 0)</f>
        <v>1</v>
      </c>
      <c r="E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 &gt; 0)</f>
        <v>1</v>
      </c>
      <c r="F59" s="48" t="b">
        <f ca="1">COUNTIF(tblDependencies[DependencyID], $A59) &gt; 0</f>
        <v>1</v>
      </c>
      <c r="G59" s="48" t="b">
        <f ca="1">COUNTIF(tblQuestObjectives[QuestTargetID], $A59) &gt; 0</f>
        <v>0</v>
      </c>
      <c r="H59" s="48" t="b">
        <f ca="1">COUNTIF(tblQuestObjectives[ObjectiveID], $A59) &gt; 0</f>
        <v>1</v>
      </c>
      <c r="I59" s="48" t="b">
        <f ca="1">COUNTIF(tblTargetStatus[TargetID], $A59) &gt; 0</f>
        <v>1</v>
      </c>
      <c r="J59" s="48" t="b">
        <f ca="1">COUNTIF(tblCost[TargetID], $A59) &gt; 0</f>
        <v>1</v>
      </c>
      <c r="K59" s="48" t="b">
        <f ca="1">COUNTIF(tblStates[StateID], $A59) &gt; 0</f>
        <v>0</v>
      </c>
      <c r="L59" s="48" t="b">
        <f t="shared" ca="1" si="1"/>
        <v>1</v>
      </c>
      <c r="M59" s="48" t="b">
        <f ca="1">IF(tblValidation[[#This Row],[TargetID]]="","",COUNTIF(tblTargets[TargetID],A59)&gt;1)</f>
        <v>0</v>
      </c>
      <c r="N59" s="48" t="b">
        <f ca="1">IF(tblValidation[[#This Row],[TargetID]]="","",COUNTIF(tblStates[StateID],tblValidation[[#This Row],[TargetID]])&gt;1)</f>
        <v>0</v>
      </c>
      <c r="O59" s="48" t="b" cm="1">
        <f t="array" aca="1" ref="O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 s="48"/>
      <c r="R59" s="48"/>
      <c r="S59" s="48"/>
      <c r="T59" s="48"/>
      <c r="V59" s="49" t="str">
        <f ca="1"/>
        <v>building.guild@5</v>
      </c>
      <c r="W59" s="48" t="str">
        <f ca="1"/>
        <v>state.deliver_ring</v>
      </c>
      <c r="X59" s="48" t="str">
        <f ca="1"/>
        <v>building.guild@5</v>
      </c>
      <c r="Y59" s="48" t="str">
        <f ca="1"/>
        <v>building.lumber@3</v>
      </c>
      <c r="Z59" s="48" t="str">
        <f ca="1"/>
        <v>building.guild_video_game_arcade@1</v>
      </c>
      <c r="AA59" s="48" t="str">
        <f ca="1"/>
        <v>building.laboratory@4</v>
      </c>
      <c r="AB59" s="48"/>
      <c r="AC59" s="48" t="str">
        <f ca="1"/>
        <v>state.complete_f2_with_diligence</v>
      </c>
      <c r="AD59" s="2" t="str">
        <f ca="1"/>
        <v>building.guild@5</v>
      </c>
      <c r="AE59" s="2" t="str">
        <f ca="1"/>
        <v>building.onsen@2</v>
      </c>
      <c r="AX59" s="49"/>
      <c r="AY59" s="49"/>
      <c r="AZ59" s="49"/>
      <c r="BA59" s="49"/>
      <c r="BB59" s="49"/>
      <c r="BC59" s="49"/>
      <c r="BE59" s="49"/>
    </row>
    <row r="60" spans="1:57" ht="29">
      <c r="A60" t="str">
        <f t="shared" ca="1" si="0"/>
        <v>building.guild_video_game_arcade@1</v>
      </c>
      <c r="B60" t="str">
        <f ca="1">_xlfn.XLOOKUP(tblValidation[[#This Row],[TargetID]],tblTargets[TargetID],tblTargets[TargetType],"")</f>
        <v>BUILDING</v>
      </c>
      <c r="C60" s="48" t="b">
        <f ca="1">COUNTIF(tblTargets[TargetID], $A60) &gt; 0</f>
        <v>1</v>
      </c>
      <c r="D60" s="48" t="b">
        <f ca="1">IF(OR(LEFT(tblValidation[[#This Row],[TargetID]],10)="state.CHAR",RIGHT(tblValidation[[#This Row],[TargetID]],5)="maxed"),TRUE, COUNTIF(tblChecklist[TargetID], $A60) &gt; 0)</f>
        <v>1</v>
      </c>
      <c r="E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 &gt; 0)</f>
        <v>1</v>
      </c>
      <c r="F60" s="48" t="b">
        <f ca="1">COUNTIF(tblDependencies[DependencyID], $A60) &gt; 0</f>
        <v>0</v>
      </c>
      <c r="G60" s="48" t="b">
        <f ca="1">COUNTIF(tblQuestObjectives[QuestTargetID], $A60) &gt; 0</f>
        <v>0</v>
      </c>
      <c r="H60" s="48" t="b">
        <f ca="1">COUNTIF(tblQuestObjectives[ObjectiveID], $A60) &gt; 0</f>
        <v>0</v>
      </c>
      <c r="I60" s="48" t="b">
        <f ca="1">COUNTIF(tblTargetStatus[TargetID], $A60) &gt; 0</f>
        <v>1</v>
      </c>
      <c r="J60" s="48" t="b">
        <f ca="1">COUNTIF(tblCost[TargetID], $A60) &gt; 0</f>
        <v>1</v>
      </c>
      <c r="K60" s="48" t="b">
        <f ca="1">COUNTIF(tblStates[StateID], $A60) &gt; 0</f>
        <v>0</v>
      </c>
      <c r="L60" s="48" t="b">
        <f t="shared" ca="1" si="1"/>
        <v>1</v>
      </c>
      <c r="M60" s="48" t="b">
        <f ca="1">IF(tblValidation[[#This Row],[TargetID]]="","",COUNTIF(tblTargets[TargetID],A60)&gt;1)</f>
        <v>0</v>
      </c>
      <c r="N60" s="48" t="b">
        <f ca="1">IF(tblValidation[[#This Row],[TargetID]]="","",COUNTIF(tblStates[StateID],tblValidation[[#This Row],[TargetID]])&gt;1)</f>
        <v>0</v>
      </c>
      <c r="O60" s="48" t="b" cm="1">
        <f t="array" aca="1" ref="O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 s="48"/>
      <c r="R60" s="48"/>
      <c r="S60" s="48"/>
      <c r="T60" s="48"/>
      <c r="V60" s="49" t="str">
        <f ca="1"/>
        <v>building.guild_video_game_arcade@1</v>
      </c>
      <c r="W60" s="48" t="str">
        <f ca="1"/>
        <v>state.deliver_teriyaki_salmon_4c</v>
      </c>
      <c r="X60" s="48" t="str">
        <f ca="1"/>
        <v>building.guild_video_game_arcade@1</v>
      </c>
      <c r="Y60" s="48" t="str">
        <f ca="1"/>
        <v>building.onsen@1</v>
      </c>
      <c r="Z60" s="48" t="str">
        <f ca="1"/>
        <v>building.laboratory.maxed</v>
      </c>
      <c r="AA60" s="48" t="str">
        <f ca="1"/>
        <v>building.laboratory@5</v>
      </c>
      <c r="AB60" s="48"/>
      <c r="AC60" s="48" t="str">
        <f ca="1"/>
        <v>state.complete_f3_with_diligence</v>
      </c>
      <c r="AD60" s="2" t="str">
        <f ca="1"/>
        <v>building.guild_video_game_arcade@1</v>
      </c>
      <c r="AE60" s="2" t="str">
        <f ca="1"/>
        <v>building.outpost@1</v>
      </c>
      <c r="AX60" s="49"/>
      <c r="AY60" s="49"/>
      <c r="AZ60" s="49"/>
      <c r="BA60" s="49"/>
      <c r="BB60" s="49"/>
      <c r="BC60" s="49"/>
      <c r="BE60" s="49"/>
    </row>
    <row r="61" spans="1:57" ht="29">
      <c r="A61" t="str">
        <f t="shared" ca="1" si="0"/>
        <v>building.laboratory.maxed</v>
      </c>
      <c r="B61" t="str">
        <f ca="1">_xlfn.XLOOKUP(tblValidation[[#This Row],[TargetID]],tblTargets[TargetID],tblTargets[TargetType],"")</f>
        <v>BUILDING</v>
      </c>
      <c r="C61" s="48" t="b">
        <f ca="1">COUNTIF(tblTargets[TargetID], $A61) &gt; 0</f>
        <v>1</v>
      </c>
      <c r="D61" s="48" t="b">
        <f ca="1">IF(OR(LEFT(tblValidation[[#This Row],[TargetID]],10)="state.CHAR",RIGHT(tblValidation[[#This Row],[TargetID]],5)="maxed"),TRUE, COUNTIF(tblChecklist[TargetID], $A61) &gt; 0)</f>
        <v>1</v>
      </c>
      <c r="E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$A61) &gt; 0)</f>
        <v>1</v>
      </c>
      <c r="F61" s="48" t="b">
        <f ca="1">COUNTIF(tblDependencies[DependencyID], $A61) &gt; 0</f>
        <v>1</v>
      </c>
      <c r="G61" s="48" t="b">
        <f ca="1">COUNTIF(tblQuestObjectives[QuestTargetID], $A61) &gt; 0</f>
        <v>0</v>
      </c>
      <c r="H61" s="48" t="b">
        <f ca="1">COUNTIF(tblQuestObjectives[ObjectiveID], $A61) &gt; 0</f>
        <v>0</v>
      </c>
      <c r="I61" s="48" t="b">
        <f ca="1">COUNTIF(tblTargetStatus[TargetID], $A61) &gt; 0</f>
        <v>1</v>
      </c>
      <c r="J61" s="48" t="b">
        <f ca="1">COUNTIF(tblCost[TargetID], $A61) &gt; 0</f>
        <v>0</v>
      </c>
      <c r="K61" s="48" t="b">
        <f ca="1">COUNTIF(tblStates[StateID], $A61) &gt; 0</f>
        <v>0</v>
      </c>
      <c r="L61" s="48" t="b">
        <f t="shared" ca="1" si="1"/>
        <v>1</v>
      </c>
      <c r="M61" s="48" t="b">
        <f ca="1">IF(tblValidation[[#This Row],[TargetID]]="","",COUNTIF(tblTargets[TargetID],A61)&gt;1)</f>
        <v>0</v>
      </c>
      <c r="N61" s="48" t="b">
        <f ca="1">IF(tblValidation[[#This Row],[TargetID]]="","",COUNTIF(tblStates[StateID],tblValidation[[#This Row],[TargetID]])&gt;1)</f>
        <v>0</v>
      </c>
      <c r="O61" s="48" t="b" cm="1">
        <f t="array" aca="1" ref="O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1" s="48"/>
      <c r="R61" s="48"/>
      <c r="S61" s="48"/>
      <c r="T61" s="48"/>
      <c r="V61" s="49" t="str">
        <f ca="1"/>
        <v>building.laboratory.maxed</v>
      </c>
      <c r="W61" s="48" t="str">
        <f ca="1"/>
        <v>state.deliver_tofu_4a</v>
      </c>
      <c r="X61" s="48" t="str">
        <f ca="1"/>
        <v>building.laboratory.maxed</v>
      </c>
      <c r="Y61" s="48" t="str">
        <f ca="1"/>
        <v>building.onsen@2</v>
      </c>
      <c r="Z61" s="48" t="str">
        <f ca="1"/>
        <v>building.laboratory@1</v>
      </c>
      <c r="AA61" s="48" t="str">
        <f ca="1"/>
        <v>building.laboratory_data_center.maxed</v>
      </c>
      <c r="AB61" s="48"/>
      <c r="AC61" s="48" t="str">
        <f ca="1"/>
        <v>state.complete_f4_with_diligence</v>
      </c>
      <c r="AD61" s="2" t="str">
        <f ca="1"/>
        <v>building.laboratory.maxed</v>
      </c>
      <c r="AE61" s="2" t="str">
        <f ca="1"/>
        <v>building.outpost@2</v>
      </c>
      <c r="AX61" s="49"/>
      <c r="AY61" s="49"/>
      <c r="AZ61" s="49"/>
      <c r="BA61" s="49"/>
      <c r="BB61" s="49"/>
      <c r="BC61" s="49"/>
      <c r="BD61" s="49"/>
      <c r="BE61" s="49"/>
    </row>
    <row r="62" spans="1:57" ht="29">
      <c r="A62" t="str">
        <f t="shared" ca="1" si="0"/>
        <v>building.laboratory@1</v>
      </c>
      <c r="B62" t="str">
        <f ca="1">_xlfn.XLOOKUP(tblValidation[[#This Row],[TargetID]],tblTargets[TargetID],tblTargets[TargetType],"")</f>
        <v>BUILDING</v>
      </c>
      <c r="C62" s="48" t="b">
        <f ca="1">COUNTIF(tblTargets[TargetID], $A62) &gt; 0</f>
        <v>1</v>
      </c>
      <c r="D62" s="48" t="b">
        <f ca="1">IF(OR(LEFT(tblValidation[[#This Row],[TargetID]],10)="state.CHAR",RIGHT(tblValidation[[#This Row],[TargetID]],5)="maxed"),TRUE, COUNTIF(tblChecklist[TargetID], $A62) &gt; 0)</f>
        <v>1</v>
      </c>
      <c r="E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$A62) &gt; 0)</f>
        <v>1</v>
      </c>
      <c r="F62" s="48" t="b">
        <f ca="1">COUNTIF(tblDependencies[DependencyID], $A62) &gt; 0</f>
        <v>1</v>
      </c>
      <c r="G62" s="48" t="b">
        <f ca="1">COUNTIF(tblQuestObjectives[QuestTargetID], $A62) &gt; 0</f>
        <v>0</v>
      </c>
      <c r="H62" s="48" t="b">
        <f ca="1">COUNTIF(tblQuestObjectives[ObjectiveID], $A62) &gt; 0</f>
        <v>0</v>
      </c>
      <c r="I62" s="48" t="b">
        <f ca="1">COUNTIF(tblTargetStatus[TargetID], $A62) &gt; 0</f>
        <v>1</v>
      </c>
      <c r="J62" s="48" t="b">
        <f ca="1">COUNTIF(tblCost[TargetID], $A62) &gt; 0</f>
        <v>1</v>
      </c>
      <c r="K62" s="48" t="b">
        <f ca="1">COUNTIF(tblStates[StateID], $A62) &gt; 0</f>
        <v>0</v>
      </c>
      <c r="L62" s="48" t="b">
        <f t="shared" ca="1" si="1"/>
        <v>1</v>
      </c>
      <c r="M62" s="48" t="b">
        <f ca="1">IF(tblValidation[[#This Row],[TargetID]]="","",COUNTIF(tblTargets[TargetID],A62)&gt;1)</f>
        <v>0</v>
      </c>
      <c r="N62" s="48" t="b">
        <f ca="1">IF(tblValidation[[#This Row],[TargetID]]="","",COUNTIF(tblStates[StateID],tblValidation[[#This Row],[TargetID]])&gt;1)</f>
        <v>0</v>
      </c>
      <c r="O62" s="48" t="b" cm="1">
        <f t="array" aca="1" ref="O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2" s="48"/>
      <c r="R62" s="48"/>
      <c r="S62" s="48"/>
      <c r="T62" s="48"/>
      <c r="V62" s="49" t="str">
        <f ca="1"/>
        <v>building.laboratory@1</v>
      </c>
      <c r="W62" s="48" t="str">
        <f ca="1"/>
        <v>state.deliver_yuba_4c</v>
      </c>
      <c r="X62" s="48" t="str">
        <f ca="1"/>
        <v>building.laboratory@1</v>
      </c>
      <c r="Y62" s="48" t="str">
        <f ca="1"/>
        <v>building.outpost@1</v>
      </c>
      <c r="Z62" s="48" t="str">
        <f ca="1"/>
        <v>building.laboratory@2</v>
      </c>
      <c r="AA62" s="48" t="str">
        <f ca="1"/>
        <v>building.laboratory_data_center@1</v>
      </c>
      <c r="AB62" s="48"/>
      <c r="AC62" s="48" t="str">
        <f ca="1"/>
        <v>state.deliver_ambrosia@f3</v>
      </c>
      <c r="AD62" s="2" t="str">
        <f ca="1"/>
        <v>building.laboratory@1</v>
      </c>
      <c r="AE62" s="2" t="str">
        <f ca="1"/>
        <v>building.outpost@3</v>
      </c>
      <c r="AX62" s="49"/>
      <c r="AY62" s="49"/>
      <c r="AZ62" s="49"/>
      <c r="BA62" s="49"/>
      <c r="BB62" s="49"/>
      <c r="BC62" s="49"/>
      <c r="BE62" s="49"/>
    </row>
    <row r="63" spans="1:57" ht="29">
      <c r="A63" t="str">
        <f t="shared" ca="1" si="0"/>
        <v>building.laboratory@2</v>
      </c>
      <c r="B63" t="str">
        <f ca="1">_xlfn.XLOOKUP(tblValidation[[#This Row],[TargetID]],tblTargets[TargetID],tblTargets[TargetType],"")</f>
        <v>BUILDING</v>
      </c>
      <c r="C63" s="48" t="b">
        <f ca="1">COUNTIF(tblTargets[TargetID], $A63) &gt; 0</f>
        <v>1</v>
      </c>
      <c r="D63" s="48" t="b">
        <f ca="1">IF(OR(LEFT(tblValidation[[#This Row],[TargetID]],10)="state.CHAR",RIGHT(tblValidation[[#This Row],[TargetID]],5)="maxed"),TRUE, COUNTIF(tblChecklist[TargetID], $A63) &gt; 0)</f>
        <v>1</v>
      </c>
      <c r="E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$A63) &gt; 0)</f>
        <v>1</v>
      </c>
      <c r="F63" s="48" t="b">
        <f ca="1">COUNTIF(tblDependencies[DependencyID], $A63) &gt; 0</f>
        <v>1</v>
      </c>
      <c r="G63" s="48" t="b">
        <f ca="1">COUNTIF(tblQuestObjectives[QuestTargetID], $A63) &gt; 0</f>
        <v>0</v>
      </c>
      <c r="H63" s="48" t="b">
        <f ca="1">COUNTIF(tblQuestObjectives[ObjectiveID], $A63) &gt; 0</f>
        <v>0</v>
      </c>
      <c r="I63" s="48" t="b">
        <f ca="1">COUNTIF(tblTargetStatus[TargetID], $A63) &gt; 0</f>
        <v>1</v>
      </c>
      <c r="J63" s="48" t="b">
        <f ca="1">COUNTIF(tblCost[TargetID], $A63) &gt; 0</f>
        <v>1</v>
      </c>
      <c r="K63" s="48" t="b">
        <f ca="1">COUNTIF(tblStates[StateID], $A63) &gt; 0</f>
        <v>0</v>
      </c>
      <c r="L63" s="48" t="b">
        <f t="shared" ca="1" si="1"/>
        <v>1</v>
      </c>
      <c r="M63" s="48" t="b">
        <f ca="1">IF(tblValidation[[#This Row],[TargetID]]="","",COUNTIF(tblTargets[TargetID],A63)&gt;1)</f>
        <v>0</v>
      </c>
      <c r="N63" s="48" t="b">
        <f ca="1">IF(tblValidation[[#This Row],[TargetID]]="","",COUNTIF(tblStates[StateID],tblValidation[[#This Row],[TargetID]])&gt;1)</f>
        <v>0</v>
      </c>
      <c r="O63" s="48" t="b" cm="1">
        <f t="array" aca="1" ref="O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3" s="48"/>
      <c r="R63" s="48"/>
      <c r="S63" s="48"/>
      <c r="T63" s="48"/>
      <c r="V63" s="49" t="str">
        <f ca="1"/>
        <v>building.laboratory@2</v>
      </c>
      <c r="W63" s="48" t="str">
        <f ca="1"/>
        <v>state.find_gate_3c</v>
      </c>
      <c r="X63" s="48" t="str">
        <f ca="1"/>
        <v>building.laboratory@2</v>
      </c>
      <c r="Y63" s="48" t="str">
        <f ca="1"/>
        <v>building.outpost@2</v>
      </c>
      <c r="Z63" s="48" t="str">
        <f ca="1"/>
        <v>building.laboratory@3</v>
      </c>
      <c r="AA63" s="48" t="str">
        <f ca="1"/>
        <v>building.lumber@1</v>
      </c>
      <c r="AB63" s="48"/>
      <c r="AC63" s="48" t="str">
        <f ca="1"/>
        <v>state.deliver_balm_to_hunter@f2</v>
      </c>
      <c r="AD63" s="2" t="str">
        <f ca="1"/>
        <v>building.laboratory@2</v>
      </c>
      <c r="AE63" s="2" t="str">
        <f ca="1"/>
        <v>building.pagoda@1</v>
      </c>
      <c r="AX63" s="49"/>
      <c r="AY63" s="49"/>
      <c r="AZ63" s="49"/>
      <c r="BA63" s="49"/>
      <c r="BB63" s="49"/>
      <c r="BC63" s="49"/>
      <c r="BD63" s="49"/>
      <c r="BE63" s="49"/>
    </row>
    <row r="64" spans="1:57" ht="29">
      <c r="A64" t="str">
        <f t="shared" ca="1" si="0"/>
        <v>building.laboratory@3</v>
      </c>
      <c r="B64" t="str">
        <f ca="1">_xlfn.XLOOKUP(tblValidation[[#This Row],[TargetID]],tblTargets[TargetID],tblTargets[TargetType],"")</f>
        <v>BUILDING</v>
      </c>
      <c r="C64" s="48" t="b">
        <f ca="1">COUNTIF(tblTargets[TargetID], $A64) &gt; 0</f>
        <v>1</v>
      </c>
      <c r="D64" s="48" t="b">
        <f ca="1">IF(OR(LEFT(tblValidation[[#This Row],[TargetID]],10)="state.CHAR",RIGHT(tblValidation[[#This Row],[TargetID]],5)="maxed"),TRUE, COUNTIF(tblChecklist[TargetID], $A64) &gt; 0)</f>
        <v>1</v>
      </c>
      <c r="E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$A64) &gt; 0)</f>
        <v>1</v>
      </c>
      <c r="F64" s="48" t="b">
        <f ca="1">COUNTIF(tblDependencies[DependencyID], $A64) &gt; 0</f>
        <v>1</v>
      </c>
      <c r="G64" s="48" t="b">
        <f ca="1">COUNTIF(tblQuestObjectives[QuestTargetID], $A64) &gt; 0</f>
        <v>0</v>
      </c>
      <c r="H64" s="48" t="b">
        <f ca="1">COUNTIF(tblQuestObjectives[ObjectiveID], $A64) &gt; 0</f>
        <v>0</v>
      </c>
      <c r="I64" s="48" t="b">
        <f ca="1">COUNTIF(tblTargetStatus[TargetID], $A64) &gt; 0</f>
        <v>1</v>
      </c>
      <c r="J64" s="48" t="b">
        <f ca="1">COUNTIF(tblCost[TargetID], $A64) &gt; 0</f>
        <v>1</v>
      </c>
      <c r="K64" s="48" t="b">
        <f ca="1">COUNTIF(tblStates[StateID], $A64) &gt; 0</f>
        <v>0</v>
      </c>
      <c r="L64" s="48" t="b">
        <f t="shared" ca="1" si="1"/>
        <v>1</v>
      </c>
      <c r="M64" s="48" t="b">
        <f ca="1">IF(tblValidation[[#This Row],[TargetID]]="","",COUNTIF(tblTargets[TargetID],A64)&gt;1)</f>
        <v>0</v>
      </c>
      <c r="N64" s="48" t="b">
        <f ca="1">IF(tblValidation[[#This Row],[TargetID]]="","",COUNTIF(tblStates[StateID],tblValidation[[#This Row],[TargetID]])&gt;1)</f>
        <v>0</v>
      </c>
      <c r="O64" s="48" t="b" cm="1">
        <f t="array" aca="1" ref="O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4" s="48"/>
      <c r="R64" s="48"/>
      <c r="S64" s="48"/>
      <c r="T64" s="48"/>
      <c r="V64" s="49" t="str">
        <f ca="1"/>
        <v>building.laboratory@3</v>
      </c>
      <c r="W64" s="48" t="str">
        <f ca="1"/>
        <v>state.find_gate_4c</v>
      </c>
      <c r="X64" s="48" t="str">
        <f ca="1"/>
        <v>building.laboratory@3</v>
      </c>
      <c r="Y64" s="48" t="str">
        <f ca="1"/>
        <v>building.outpost@3</v>
      </c>
      <c r="Z64" s="48" t="str">
        <f ca="1"/>
        <v>building.laboratory@4</v>
      </c>
      <c r="AA64" s="48" t="str">
        <f ca="1"/>
        <v>building.lumber@2</v>
      </c>
      <c r="AB64" s="48"/>
      <c r="AC64" s="48" t="str">
        <f ca="1"/>
        <v>state.deliver_bedroll_4b</v>
      </c>
      <c r="AD64" s="2" t="str">
        <f ca="1"/>
        <v>building.laboratory@3</v>
      </c>
      <c r="AE64" s="2" t="str">
        <f ca="1"/>
        <v>building.pagoda@2</v>
      </c>
      <c r="AX64" s="49"/>
      <c r="AY64" s="49"/>
      <c r="AZ64" s="49"/>
      <c r="BA64" s="49"/>
      <c r="BB64" s="49"/>
      <c r="BC64" s="49"/>
      <c r="BE64" s="49"/>
    </row>
    <row r="65" spans="1:57" ht="29">
      <c r="A65" t="str">
        <f t="shared" ca="1" si="0"/>
        <v>building.laboratory@4</v>
      </c>
      <c r="B65" t="str">
        <f ca="1">_xlfn.XLOOKUP(tblValidation[[#This Row],[TargetID]],tblTargets[TargetID],tblTargets[TargetType],"")</f>
        <v>BUILDING</v>
      </c>
      <c r="C65" s="48" t="b">
        <f ca="1">COUNTIF(tblTargets[TargetID], $A65) &gt; 0</f>
        <v>1</v>
      </c>
      <c r="D65" s="48" t="b">
        <f ca="1">IF(OR(LEFT(tblValidation[[#This Row],[TargetID]],10)="state.CHAR",RIGHT(tblValidation[[#This Row],[TargetID]],5)="maxed"),TRUE, COUNTIF(tblChecklist[TargetID], $A65) &gt; 0)</f>
        <v>1</v>
      </c>
      <c r="E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$A65) &gt; 0)</f>
        <v>1</v>
      </c>
      <c r="F65" s="48" t="b">
        <f ca="1">COUNTIF(tblDependencies[DependencyID], $A65) &gt; 0</f>
        <v>1</v>
      </c>
      <c r="G65" s="48" t="b">
        <f ca="1">COUNTIF(tblQuestObjectives[QuestTargetID], $A65) &gt; 0</f>
        <v>0</v>
      </c>
      <c r="H65" s="48" t="b">
        <f ca="1">COUNTIF(tblQuestObjectives[ObjectiveID], $A65) &gt; 0</f>
        <v>0</v>
      </c>
      <c r="I65" s="48" t="b">
        <f ca="1">COUNTIF(tblTargetStatus[TargetID], $A65) &gt; 0</f>
        <v>1</v>
      </c>
      <c r="J65" s="48" t="b">
        <f ca="1">COUNTIF(tblCost[TargetID], $A65) &gt; 0</f>
        <v>1</v>
      </c>
      <c r="K65" s="48" t="b">
        <f ca="1">COUNTIF(tblStates[StateID], $A65) &gt; 0</f>
        <v>0</v>
      </c>
      <c r="L65" s="48" t="b">
        <f t="shared" ca="1" si="1"/>
        <v>1</v>
      </c>
      <c r="M65" s="48" t="b">
        <f ca="1">IF(tblValidation[[#This Row],[TargetID]]="","",COUNTIF(tblTargets[TargetID],A65)&gt;1)</f>
        <v>0</v>
      </c>
      <c r="N65" s="48" t="b">
        <f ca="1">IF(tblValidation[[#This Row],[TargetID]]="","",COUNTIF(tblStates[StateID],tblValidation[[#This Row],[TargetID]])&gt;1)</f>
        <v>0</v>
      </c>
      <c r="O65" s="48" t="b" cm="1">
        <f t="array" aca="1" ref="O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5" s="48"/>
      <c r="R65" s="48"/>
      <c r="S65" s="48"/>
      <c r="T65" s="48"/>
      <c r="V65" s="49" t="str">
        <f ca="1"/>
        <v>building.laboratory@4</v>
      </c>
      <c r="W65" s="48" t="str">
        <f ca="1"/>
        <v>state.find_gate_5c</v>
      </c>
      <c r="X65" s="48" t="str">
        <f ca="1"/>
        <v>building.laboratory@4</v>
      </c>
      <c r="Y65" s="48" t="str">
        <f ca="1"/>
        <v>building.pagoda@1</v>
      </c>
      <c r="Z65" s="48" t="str">
        <f ca="1"/>
        <v>building.laboratory@5</v>
      </c>
      <c r="AA65" s="48" t="str">
        <f ca="1"/>
        <v>building.onsen@1</v>
      </c>
      <c r="AB65" s="48"/>
      <c r="AC65" s="48" t="str">
        <f ca="1"/>
        <v>state.deliver_cheese_6b</v>
      </c>
      <c r="AD65" s="2" t="str">
        <f ca="1"/>
        <v>building.laboratory@4</v>
      </c>
      <c r="AE65" s="2" t="str">
        <f ca="1"/>
        <v>building.pagoda@3</v>
      </c>
      <c r="AX65" s="49"/>
      <c r="AY65" s="49"/>
      <c r="AZ65" s="49"/>
      <c r="BA65" s="49"/>
      <c r="BB65" s="49"/>
      <c r="BC65" s="49"/>
      <c r="BE65" s="49"/>
    </row>
    <row r="66" spans="1:57" ht="29">
      <c r="A66" t="str">
        <f t="shared" ref="A66:A129" ca="1" si="2">IF(OR(V66=0,V66=""),"",V66)</f>
        <v>building.laboratory@5</v>
      </c>
      <c r="B66" t="str">
        <f ca="1">_xlfn.XLOOKUP(tblValidation[[#This Row],[TargetID]],tblTargets[TargetID],tblTargets[TargetType],"")</f>
        <v>BUILDING</v>
      </c>
      <c r="C66" s="48" t="b">
        <f ca="1">COUNTIF(tblTargets[TargetID], $A66) &gt; 0</f>
        <v>1</v>
      </c>
      <c r="D66" s="48" t="b">
        <f ca="1">IF(OR(LEFT(tblValidation[[#This Row],[TargetID]],10)="state.CHAR",RIGHT(tblValidation[[#This Row],[TargetID]],5)="maxed"),TRUE, COUNTIF(tblChecklist[TargetID], $A66) &gt; 0)</f>
        <v>1</v>
      </c>
      <c r="E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$A66) &gt; 0)</f>
        <v>1</v>
      </c>
      <c r="F66" s="48" t="b">
        <f ca="1">COUNTIF(tblDependencies[DependencyID], $A66) &gt; 0</f>
        <v>1</v>
      </c>
      <c r="G66" s="48" t="b">
        <f ca="1">COUNTIF(tblQuestObjectives[QuestTargetID], $A66) &gt; 0</f>
        <v>0</v>
      </c>
      <c r="H66" s="48" t="b">
        <f ca="1">COUNTIF(tblQuestObjectives[ObjectiveID], $A66) &gt; 0</f>
        <v>1</v>
      </c>
      <c r="I66" s="48" t="b">
        <f ca="1">COUNTIF(tblTargetStatus[TargetID], $A66) &gt; 0</f>
        <v>1</v>
      </c>
      <c r="J66" s="48" t="b">
        <f ca="1">COUNTIF(tblCost[TargetID], $A66) &gt; 0</f>
        <v>1</v>
      </c>
      <c r="K66" s="48" t="b">
        <f ca="1">COUNTIF(tblStates[StateID], $A66) &gt; 0</f>
        <v>0</v>
      </c>
      <c r="L66" s="48" t="b">
        <f t="shared" ref="L66:L129" ca="1" si="3">AND(
A66=LOWER(A66),
ISERROR(SEARCH(" ",A66)),
ISERROR(SEARCH("..",A66))
)</f>
        <v>1</v>
      </c>
      <c r="M66" s="48" t="b">
        <f ca="1">IF(tblValidation[[#This Row],[TargetID]]="","",COUNTIF(tblTargets[TargetID],A66)&gt;1)</f>
        <v>0</v>
      </c>
      <c r="N66" s="48" t="b">
        <f ca="1">IF(tblValidation[[#This Row],[TargetID]]="","",COUNTIF(tblStates[StateID],tblValidation[[#This Row],[TargetID]])&gt;1)</f>
        <v>0</v>
      </c>
      <c r="O66" s="48" t="b" cm="1">
        <f t="array" aca="1" ref="O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6" s="48"/>
      <c r="R66" s="48"/>
      <c r="S66" s="48"/>
      <c r="T66" s="48"/>
      <c r="U66" s="49"/>
      <c r="V66" s="49" t="str">
        <f ca="1"/>
        <v>building.laboratory@5</v>
      </c>
      <c r="W66" s="48" t="str">
        <f ca="1"/>
        <v>state.find_goat_6b</v>
      </c>
      <c r="X66" s="48" t="str">
        <f ca="1"/>
        <v>building.laboratory@5</v>
      </c>
      <c r="Y66" s="48" t="str">
        <f ca="1"/>
        <v>building.pagoda@2</v>
      </c>
      <c r="Z66" s="48" t="str">
        <f ca="1"/>
        <v>building.laboratory_data_center.maxed</v>
      </c>
      <c r="AA66" s="48" t="str">
        <f ca="1"/>
        <v>building.outpost.maxed</v>
      </c>
      <c r="AB66" s="48"/>
      <c r="AC66" s="48" t="str">
        <f ca="1"/>
        <v>state.deliver_horn_ 2c</v>
      </c>
      <c r="AD66" s="2" t="str">
        <f ca="1"/>
        <v>building.laboratory@5</v>
      </c>
      <c r="AE66" s="2" t="str">
        <f ca="1"/>
        <v>building.pagoda@4</v>
      </c>
      <c r="AX66" s="49"/>
      <c r="AY66" s="49"/>
      <c r="AZ66" s="49"/>
      <c r="BA66" s="49"/>
      <c r="BB66" s="49"/>
      <c r="BC66" s="49"/>
      <c r="BD66" s="49"/>
      <c r="BE66" s="49"/>
    </row>
    <row r="67" spans="1:57" ht="29">
      <c r="A67" t="str">
        <f t="shared" ca="1" si="2"/>
        <v>building.laboratory_data_center.maxed</v>
      </c>
      <c r="B67" t="str">
        <f ca="1">_xlfn.XLOOKUP(tblValidation[[#This Row],[TargetID]],tblTargets[TargetID],tblTargets[TargetType],"")</f>
        <v>BUILDING</v>
      </c>
      <c r="C67" s="48" t="b">
        <f ca="1">COUNTIF(tblTargets[TargetID], $A67) &gt; 0</f>
        <v>1</v>
      </c>
      <c r="D67" s="48" t="b">
        <f ca="1">IF(OR(LEFT(tblValidation[[#This Row],[TargetID]],10)="state.CHAR",RIGHT(tblValidation[[#This Row],[TargetID]],5)="maxed"),TRUE, COUNTIF(tblChecklist[TargetID], $A67) &gt; 0)</f>
        <v>1</v>
      </c>
      <c r="E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$A67) &gt; 0)</f>
        <v>1</v>
      </c>
      <c r="F67" s="48" t="b">
        <f ca="1">COUNTIF(tblDependencies[DependencyID], $A67) &gt; 0</f>
        <v>1</v>
      </c>
      <c r="G67" s="48" t="b">
        <f ca="1">COUNTIF(tblQuestObjectives[QuestTargetID], $A67) &gt; 0</f>
        <v>0</v>
      </c>
      <c r="H67" s="48" t="b">
        <f ca="1">COUNTIF(tblQuestObjectives[ObjectiveID], $A67) &gt; 0</f>
        <v>0</v>
      </c>
      <c r="I67" s="48" t="b">
        <f ca="1">COUNTIF(tblTargetStatus[TargetID], $A67) &gt; 0</f>
        <v>1</v>
      </c>
      <c r="J67" s="48" t="b">
        <f ca="1">COUNTIF(tblCost[TargetID], $A67) &gt; 0</f>
        <v>0</v>
      </c>
      <c r="K67" s="48" t="b">
        <f ca="1">COUNTIF(tblStates[StateID], $A67) &gt; 0</f>
        <v>0</v>
      </c>
      <c r="L67" s="48" t="b">
        <f t="shared" ca="1" si="3"/>
        <v>1</v>
      </c>
      <c r="M67" s="48" t="b">
        <f ca="1">IF(tblValidation[[#This Row],[TargetID]]="","",COUNTIF(tblTargets[TargetID],A67)&gt;1)</f>
        <v>0</v>
      </c>
      <c r="N67" s="48" t="b">
        <f ca="1">IF(tblValidation[[#This Row],[TargetID]]="","",COUNTIF(tblStates[StateID],tblValidation[[#This Row],[TargetID]])&gt;1)</f>
        <v>0</v>
      </c>
      <c r="O67" s="48" t="b" cm="1">
        <f t="array" aca="1" ref="O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7" s="48"/>
      <c r="R67" s="48"/>
      <c r="S67" s="48"/>
      <c r="T67" s="48"/>
      <c r="V67" s="49" t="str">
        <f ca="1"/>
        <v>building.laboratory_data_center.maxed</v>
      </c>
      <c r="W67" s="48" t="str">
        <f ca="1"/>
        <v>state.find_jade_gate_2c</v>
      </c>
      <c r="X67" s="48" t="str">
        <f ca="1"/>
        <v>building.laboratory_data_center.maxed</v>
      </c>
      <c r="Y67" s="48" t="str">
        <f ca="1"/>
        <v>building.pagoda@3</v>
      </c>
      <c r="Z67" s="48" t="str">
        <f ca="1"/>
        <v>building.laboratory_data_center@1</v>
      </c>
      <c r="AA67" s="48" t="str">
        <f ca="1"/>
        <v>building.outpost@1</v>
      </c>
      <c r="AB67" s="48"/>
      <c r="AC67" s="48" t="str">
        <f ca="1"/>
        <v>state.deliver_inarizushi_4b</v>
      </c>
      <c r="AD67" s="2" t="str">
        <f ca="1"/>
        <v>building.laboratory_data_center.maxed</v>
      </c>
      <c r="AE67" s="2" t="str">
        <f ca="1"/>
        <v>building.pagoda@5</v>
      </c>
      <c r="AX67" s="49"/>
      <c r="AY67" s="49"/>
      <c r="AZ67" s="49"/>
      <c r="BA67" s="49"/>
      <c r="BB67" s="49"/>
      <c r="BC67" s="49"/>
      <c r="BE67" s="49"/>
    </row>
    <row r="68" spans="1:57" ht="29">
      <c r="A68" t="str">
        <f t="shared" ca="1" si="2"/>
        <v>building.laboratory_data_center@1</v>
      </c>
      <c r="B68" t="str">
        <f ca="1">_xlfn.XLOOKUP(tblValidation[[#This Row],[TargetID]],tblTargets[TargetID],tblTargets[TargetType],"")</f>
        <v>BUILDING</v>
      </c>
      <c r="C68" s="48" t="b">
        <f ca="1">COUNTIF(tblTargets[TargetID], $A68) &gt; 0</f>
        <v>1</v>
      </c>
      <c r="D68" s="48" t="b">
        <f ca="1">IF(OR(LEFT(tblValidation[[#This Row],[TargetID]],10)="state.CHAR",RIGHT(tblValidation[[#This Row],[TargetID]],5)="maxed"),TRUE, COUNTIF(tblChecklist[TargetID], $A68) &gt; 0)</f>
        <v>1</v>
      </c>
      <c r="E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$A68) &gt; 0)</f>
        <v>1</v>
      </c>
      <c r="F68" s="48" t="b">
        <f ca="1">COUNTIF(tblDependencies[DependencyID], $A68) &gt; 0</f>
        <v>1</v>
      </c>
      <c r="G68" s="48" t="b">
        <f ca="1">COUNTIF(tblQuestObjectives[QuestTargetID], $A68) &gt; 0</f>
        <v>0</v>
      </c>
      <c r="H68" s="48" t="b">
        <f ca="1">COUNTIF(tblQuestObjectives[ObjectiveID], $A68) &gt; 0</f>
        <v>1</v>
      </c>
      <c r="I68" s="48" t="b">
        <f ca="1">COUNTIF(tblTargetStatus[TargetID], $A68) &gt; 0</f>
        <v>1</v>
      </c>
      <c r="J68" s="48" t="b">
        <f ca="1">COUNTIF(tblCost[TargetID], $A68) &gt; 0</f>
        <v>1</v>
      </c>
      <c r="K68" s="48" t="b">
        <f ca="1">COUNTIF(tblStates[StateID], $A68) &gt; 0</f>
        <v>0</v>
      </c>
      <c r="L68" s="48" t="b">
        <f t="shared" ca="1" si="3"/>
        <v>1</v>
      </c>
      <c r="M68" s="48" t="b">
        <f ca="1">IF(tblValidation[[#This Row],[TargetID]]="","",COUNTIF(tblTargets[TargetID],A68)&gt;1)</f>
        <v>0</v>
      </c>
      <c r="N68" s="48" t="b">
        <f ca="1">IF(tblValidation[[#This Row],[TargetID]]="","",COUNTIF(tblStates[StateID],tblValidation[[#This Row],[TargetID]])&gt;1)</f>
        <v>0</v>
      </c>
      <c r="O68" s="48" t="b" cm="1">
        <f t="array" aca="1" ref="O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8" s="48"/>
      <c r="R68" s="48"/>
      <c r="S68" s="48"/>
      <c r="T68" s="48"/>
      <c r="V68" s="49" t="str">
        <f ca="1"/>
        <v>building.laboratory_data_center@1</v>
      </c>
      <c r="W68" s="48" t="str">
        <f ca="1"/>
        <v>state.meet_alchemist_6d</v>
      </c>
      <c r="X68" s="48" t="str">
        <f ca="1"/>
        <v>building.laboratory_data_center@1</v>
      </c>
      <c r="Y68" s="48" t="str">
        <f ca="1"/>
        <v>building.pagoda@4</v>
      </c>
      <c r="Z68" s="48" t="str">
        <f ca="1"/>
        <v>building.lumber@1</v>
      </c>
      <c r="AA68" s="48" t="str">
        <f ca="1"/>
        <v>building.outpost@2</v>
      </c>
      <c r="AB68" s="48"/>
      <c r="AC68" s="48" t="str">
        <f ca="1"/>
        <v>state.deliver_pizza_diavola_ 5b</v>
      </c>
      <c r="AD68" s="2" t="str">
        <f ca="1"/>
        <v>building.laboratory_data_center@1</v>
      </c>
      <c r="AE68" s="2" t="str">
        <f ca="1"/>
        <v>building.pagoda@6</v>
      </c>
      <c r="AX68" s="49"/>
      <c r="AY68" s="49"/>
      <c r="AZ68" s="49"/>
      <c r="BA68" s="49"/>
      <c r="BB68" s="49"/>
      <c r="BC68" s="49"/>
      <c r="BE68" s="49"/>
    </row>
    <row r="69" spans="1:57">
      <c r="A69" t="str">
        <f t="shared" ca="1" si="2"/>
        <v>building.lumber@1</v>
      </c>
      <c r="B69" t="str">
        <f ca="1">_xlfn.XLOOKUP(tblValidation[[#This Row],[TargetID]],tblTargets[TargetID],tblTargets[TargetType],"")</f>
        <v>BUILDING</v>
      </c>
      <c r="C69" s="48" t="b">
        <f ca="1">COUNTIF(tblTargets[TargetID], $A69) &gt; 0</f>
        <v>1</v>
      </c>
      <c r="D69" s="48" t="b">
        <f ca="1">IF(OR(LEFT(tblValidation[[#This Row],[TargetID]],10)="state.CHAR",RIGHT(tblValidation[[#This Row],[TargetID]],5)="maxed"),TRUE, COUNTIF(tblChecklist[TargetID], $A69) &gt; 0)</f>
        <v>1</v>
      </c>
      <c r="E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$A69) &gt; 0)</f>
        <v>1</v>
      </c>
      <c r="F69" s="48" t="b">
        <f ca="1">COUNTIF(tblDependencies[DependencyID], $A69) &gt; 0</f>
        <v>1</v>
      </c>
      <c r="G69" s="48" t="b">
        <f ca="1">COUNTIF(tblQuestObjectives[QuestTargetID], $A69) &gt; 0</f>
        <v>0</v>
      </c>
      <c r="H69" s="48" t="b">
        <f ca="1">COUNTIF(tblQuestObjectives[ObjectiveID], $A69) &gt; 0</f>
        <v>0</v>
      </c>
      <c r="I69" s="48" t="b">
        <f ca="1">COUNTIF(tblTargetStatus[TargetID], $A69) &gt; 0</f>
        <v>1</v>
      </c>
      <c r="J69" s="48" t="b">
        <f ca="1">COUNTIF(tblCost[TargetID], $A69) &gt; 0</f>
        <v>1</v>
      </c>
      <c r="K69" s="48" t="b">
        <f ca="1">COUNTIF(tblStates[StateID], $A69) &gt; 0</f>
        <v>0</v>
      </c>
      <c r="L69" s="48" t="b">
        <f t="shared" ca="1" si="3"/>
        <v>1</v>
      </c>
      <c r="M69" s="48" t="b">
        <f ca="1">IF(tblValidation[[#This Row],[TargetID]]="","",COUNTIF(tblTargets[TargetID],A69)&gt;1)</f>
        <v>0</v>
      </c>
      <c r="N69" s="48" t="b">
        <f ca="1">IF(tblValidation[[#This Row],[TargetID]]="","",COUNTIF(tblStates[StateID],tblValidation[[#This Row],[TargetID]])&gt;1)</f>
        <v>0</v>
      </c>
      <c r="O69" s="48" t="b" cm="1">
        <f t="array" aca="1" ref="O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9" s="48"/>
      <c r="R69" s="48"/>
      <c r="S69" s="48"/>
      <c r="T69" s="48"/>
      <c r="V69" s="49" t="str">
        <f ca="1"/>
        <v>building.lumber@1</v>
      </c>
      <c r="W69" s="48" t="str">
        <f ca="1"/>
        <v>state.meet_dark_lady@4a</v>
      </c>
      <c r="X69" s="48" t="str">
        <f ca="1"/>
        <v>building.lumber@1</v>
      </c>
      <c r="Y69" s="48" t="str">
        <f ca="1"/>
        <v>building.pagoda@5</v>
      </c>
      <c r="Z69" s="48" t="str">
        <f ca="1"/>
        <v>building.lumber@2</v>
      </c>
      <c r="AA69" s="48" t="str">
        <f ca="1"/>
        <v>building.outpost@3</v>
      </c>
      <c r="AB69" s="48"/>
      <c r="AC69" s="48" t="str">
        <f ca="1"/>
        <v>state.deliver_pizza_diavola_ 5c</v>
      </c>
      <c r="AD69" s="2" t="str">
        <f ca="1"/>
        <v>building.lumber@1</v>
      </c>
      <c r="AE69" s="2" t="str">
        <f ca="1"/>
        <v>building.pagoda@7</v>
      </c>
      <c r="AX69" s="49"/>
      <c r="AY69" s="49"/>
      <c r="AZ69" s="49"/>
      <c r="BA69" s="49"/>
      <c r="BB69" s="49"/>
      <c r="BC69" s="49"/>
      <c r="BE69" s="49"/>
    </row>
    <row r="70" spans="1:57">
      <c r="A70" t="str">
        <f t="shared" ca="1" si="2"/>
        <v>building.lumber@2</v>
      </c>
      <c r="B70" t="str">
        <f ca="1">_xlfn.XLOOKUP(tblValidation[[#This Row],[TargetID]],tblTargets[TargetID],tblTargets[TargetType],"")</f>
        <v>BUILDING</v>
      </c>
      <c r="C70" s="48" t="b">
        <f ca="1">COUNTIF(tblTargets[TargetID], $A70) &gt; 0</f>
        <v>1</v>
      </c>
      <c r="D70" s="48" t="b">
        <f ca="1">IF(OR(LEFT(tblValidation[[#This Row],[TargetID]],10)="state.CHAR",RIGHT(tblValidation[[#This Row],[TargetID]],5)="maxed"),TRUE, COUNTIF(tblChecklist[TargetID], $A70) &gt; 0)</f>
        <v>1</v>
      </c>
      <c r="E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$A70) &gt; 0)</f>
        <v>1</v>
      </c>
      <c r="F70" s="48" t="b">
        <f ca="1">COUNTIF(tblDependencies[DependencyID], $A70) &gt; 0</f>
        <v>1</v>
      </c>
      <c r="G70" s="48" t="b">
        <f ca="1">COUNTIF(tblQuestObjectives[QuestTargetID], $A70) &gt; 0</f>
        <v>0</v>
      </c>
      <c r="H70" s="48" t="b">
        <f ca="1">COUNTIF(tblQuestObjectives[ObjectiveID], $A70) &gt; 0</f>
        <v>0</v>
      </c>
      <c r="I70" s="48" t="b">
        <f ca="1">COUNTIF(tblTargetStatus[TargetID], $A70) &gt; 0</f>
        <v>1</v>
      </c>
      <c r="J70" s="48" t="b">
        <f ca="1">COUNTIF(tblCost[TargetID], $A70) &gt; 0</f>
        <v>1</v>
      </c>
      <c r="K70" s="48" t="b">
        <f ca="1">COUNTIF(tblStates[StateID], $A70) &gt; 0</f>
        <v>0</v>
      </c>
      <c r="L70" s="48" t="b">
        <f t="shared" ca="1" si="3"/>
        <v>1</v>
      </c>
      <c r="M70" s="48" t="b">
        <f ca="1">IF(tblValidation[[#This Row],[TargetID]]="","",COUNTIF(tblTargets[TargetID],A70)&gt;1)</f>
        <v>0</v>
      </c>
      <c r="N70" s="48" t="b">
        <f ca="1">IF(tblValidation[[#This Row],[TargetID]]="","",COUNTIF(tblStates[StateID],tblValidation[[#This Row],[TargetID]])&gt;1)</f>
        <v>0</v>
      </c>
      <c r="O70" s="48" t="b" cm="1">
        <f t="array" aca="1" ref="O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0" s="48"/>
      <c r="R70" s="48"/>
      <c r="S70" s="48"/>
      <c r="T70" s="48"/>
      <c r="V70" s="49" t="str">
        <f ca="1"/>
        <v>building.lumber@2</v>
      </c>
      <c r="W70" s="48" t="str">
        <f ca="1"/>
        <v>state.meet_dark_lady@6a</v>
      </c>
      <c r="X70" s="48" t="str">
        <f ca="1"/>
        <v>building.lumber@2</v>
      </c>
      <c r="Y70" s="48" t="str">
        <f ca="1"/>
        <v>building.pagoda@6</v>
      </c>
      <c r="Z70" s="48" t="str">
        <f ca="1"/>
        <v>building.lumber@3</v>
      </c>
      <c r="AA70" s="48" t="str">
        <f ca="1"/>
        <v>building.pagoda@1</v>
      </c>
      <c r="AB70" s="48"/>
      <c r="AC70" s="48" t="str">
        <f ca="1"/>
        <v>state.deliver_porcini_pasta_ 3c</v>
      </c>
      <c r="AD70" s="2" t="str">
        <f ca="1"/>
        <v>building.lumber@2</v>
      </c>
      <c r="AE70" s="2" t="str">
        <f ca="1"/>
        <v>building.pier@1</v>
      </c>
      <c r="AX70" s="49"/>
      <c r="AY70" s="49"/>
      <c r="AZ70" s="49"/>
      <c r="BA70" s="49"/>
      <c r="BB70" s="49"/>
      <c r="BC70" s="49"/>
      <c r="BE70" s="49"/>
    </row>
    <row r="71" spans="1:57">
      <c r="A71" t="str">
        <f t="shared" ca="1" si="2"/>
        <v>building.lumber@3</v>
      </c>
      <c r="B71" t="str">
        <f ca="1">_xlfn.XLOOKUP(tblValidation[[#This Row],[TargetID]],tblTargets[TargetID],tblTargets[TargetType],"")</f>
        <v>BUILDING</v>
      </c>
      <c r="C71" s="48" t="b">
        <f ca="1">COUNTIF(tblTargets[TargetID], $A71) &gt; 0</f>
        <v>1</v>
      </c>
      <c r="D71" s="48" t="b">
        <f ca="1">IF(OR(LEFT(tblValidation[[#This Row],[TargetID]],10)="state.CHAR",RIGHT(tblValidation[[#This Row],[TargetID]],5)="maxed"),TRUE, COUNTIF(tblChecklist[TargetID], $A71) &gt; 0)</f>
        <v>1</v>
      </c>
      <c r="E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$A71) &gt; 0)</f>
        <v>1</v>
      </c>
      <c r="F71" s="48" t="b">
        <f ca="1">COUNTIF(tblDependencies[DependencyID], $A71) &gt; 0</f>
        <v>0</v>
      </c>
      <c r="G71" s="48" t="b">
        <f ca="1">COUNTIF(tblQuestObjectives[QuestTargetID], $A71) &gt; 0</f>
        <v>0</v>
      </c>
      <c r="H71" s="48" t="b">
        <f ca="1">COUNTIF(tblQuestObjectives[ObjectiveID], $A71) &gt; 0</f>
        <v>1</v>
      </c>
      <c r="I71" s="48" t="b">
        <f ca="1">COUNTIF(tblTargetStatus[TargetID], $A71) &gt; 0</f>
        <v>1</v>
      </c>
      <c r="J71" s="48" t="b">
        <f ca="1">COUNTIF(tblCost[TargetID], $A71) &gt; 0</f>
        <v>1</v>
      </c>
      <c r="K71" s="48" t="b">
        <f ca="1">COUNTIF(tblStates[StateID], $A71) &gt; 0</f>
        <v>0</v>
      </c>
      <c r="L71" s="48" t="b">
        <f t="shared" ca="1" si="3"/>
        <v>1</v>
      </c>
      <c r="M71" s="48" t="b">
        <f ca="1">IF(tblValidation[[#This Row],[TargetID]]="","",COUNTIF(tblTargets[TargetID],A71)&gt;1)</f>
        <v>0</v>
      </c>
      <c r="N71" s="48" t="b">
        <f ca="1">IF(tblValidation[[#This Row],[TargetID]]="","",COUNTIF(tblStates[StateID],tblValidation[[#This Row],[TargetID]])&gt;1)</f>
        <v>0</v>
      </c>
      <c r="O71" s="48" t="b" cm="1">
        <f t="array" aca="1" ref="O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1" s="48"/>
      <c r="R71" s="48"/>
      <c r="S71" s="48"/>
      <c r="T71" s="48"/>
      <c r="V71" s="49" t="str">
        <f ca="1"/>
        <v>building.lumber@3</v>
      </c>
      <c r="W71" s="48" t="str">
        <f ca="1"/>
        <v>state.meet_dark_lady@6b</v>
      </c>
      <c r="X71" s="48" t="str">
        <f ca="1"/>
        <v>building.lumber@3</v>
      </c>
      <c r="Y71" s="48" t="str">
        <f ca="1"/>
        <v>building.pagoda@7</v>
      </c>
      <c r="Z71" s="48" t="str">
        <f ca="1"/>
        <v>building.onsen@1</v>
      </c>
      <c r="AA71" s="48" t="str">
        <f ca="1"/>
        <v>building.pagoda@2</v>
      </c>
      <c r="AB71" s="48"/>
      <c r="AC71" s="48" t="str">
        <f ca="1"/>
        <v>state.deliver_potion_ambrosia_ 3b</v>
      </c>
      <c r="AD71" s="2" t="str">
        <f ca="1"/>
        <v>building.lumber@3</v>
      </c>
      <c r="AE71" s="2" t="str">
        <f ca="1"/>
        <v>building.rock_garden@1</v>
      </c>
      <c r="AX71" s="49"/>
      <c r="AY71" s="49"/>
      <c r="AZ71" s="49"/>
      <c r="BA71" s="49"/>
      <c r="BB71" s="49"/>
      <c r="BC71" s="49"/>
      <c r="BE71" s="49"/>
    </row>
    <row r="72" spans="1:57">
      <c r="A72" t="str">
        <f t="shared" ca="1" si="2"/>
        <v>building.onsen@1</v>
      </c>
      <c r="B72" t="str">
        <f ca="1">_xlfn.XLOOKUP(tblValidation[[#This Row],[TargetID]],tblTargets[TargetID],tblTargets[TargetType],"")</f>
        <v>BUILDING</v>
      </c>
      <c r="C72" s="48" t="b">
        <f ca="1">COUNTIF(tblTargets[TargetID], $A72) &gt; 0</f>
        <v>1</v>
      </c>
      <c r="D72" s="48" t="b">
        <f ca="1">IF(OR(LEFT(tblValidation[[#This Row],[TargetID]],10)="state.CHAR",RIGHT(tblValidation[[#This Row],[TargetID]],5)="maxed"),TRUE, COUNTIF(tblChecklist[TargetID], $A72) &gt; 0)</f>
        <v>1</v>
      </c>
      <c r="E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$A72) &gt; 0)</f>
        <v>1</v>
      </c>
      <c r="F72" s="48" t="b">
        <f ca="1">COUNTIF(tblDependencies[DependencyID], $A72) &gt; 0</f>
        <v>1</v>
      </c>
      <c r="G72" s="48" t="b">
        <f ca="1">COUNTIF(tblQuestObjectives[QuestTargetID], $A72) &gt; 0</f>
        <v>0</v>
      </c>
      <c r="H72" s="48" t="b">
        <f ca="1">COUNTIF(tblQuestObjectives[ObjectiveID], $A72) &gt; 0</f>
        <v>0</v>
      </c>
      <c r="I72" s="48" t="b">
        <f ca="1">COUNTIF(tblTargetStatus[TargetID], $A72) &gt; 0</f>
        <v>1</v>
      </c>
      <c r="J72" s="48" t="b">
        <f ca="1">COUNTIF(tblCost[TargetID], $A72) &gt; 0</f>
        <v>1</v>
      </c>
      <c r="K72" s="48" t="b">
        <f ca="1">COUNTIF(tblStates[StateID], $A72) &gt; 0</f>
        <v>0</v>
      </c>
      <c r="L72" s="48" t="b">
        <f t="shared" ca="1" si="3"/>
        <v>1</v>
      </c>
      <c r="M72" s="48" t="b">
        <f ca="1">IF(tblValidation[[#This Row],[TargetID]]="","",COUNTIF(tblTargets[TargetID],A72)&gt;1)</f>
        <v>0</v>
      </c>
      <c r="N72" s="48" t="b">
        <f ca="1">IF(tblValidation[[#This Row],[TargetID]]="","",COUNTIF(tblStates[StateID],tblValidation[[#This Row],[TargetID]])&gt;1)</f>
        <v>0</v>
      </c>
      <c r="O72" s="48" t="b" cm="1">
        <f t="array" aca="1" ref="O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2" s="48"/>
      <c r="R72" s="48"/>
      <c r="S72" s="48"/>
      <c r="T72" s="48"/>
      <c r="U72" s="49"/>
      <c r="V72" s="49" t="str">
        <f ca="1"/>
        <v>building.onsen@1</v>
      </c>
      <c r="W72" s="48" t="str">
        <f ca="1"/>
        <v>state.meet_dark_lady@f2</v>
      </c>
      <c r="X72" s="48" t="str">
        <f ca="1"/>
        <v>building.onsen@1</v>
      </c>
      <c r="Y72" s="48" t="str">
        <f ca="1"/>
        <v>building.pier@1</v>
      </c>
      <c r="Z72" s="48" t="str">
        <f ca="1"/>
        <v>building.onsen@2</v>
      </c>
      <c r="AA72" s="48" t="str">
        <f ca="1"/>
        <v>building.pagoda@3</v>
      </c>
      <c r="AB72" s="48"/>
      <c r="AC72" s="48" t="str">
        <f ca="1"/>
        <v>state.deliver_potion_berserker_rage_ 1c</v>
      </c>
      <c r="AD72" s="2" t="str">
        <f ca="1"/>
        <v>building.onsen@1</v>
      </c>
      <c r="AE72" s="2" t="str">
        <f ca="1"/>
        <v>building.rock_garden@2</v>
      </c>
      <c r="AX72" s="49"/>
      <c r="AY72" s="49"/>
      <c r="AZ72" s="49"/>
      <c r="BA72" s="49"/>
      <c r="BB72" s="49"/>
      <c r="BC72" s="49"/>
      <c r="BE72" s="49"/>
    </row>
    <row r="73" spans="1:57">
      <c r="A73" t="str">
        <f t="shared" ca="1" si="2"/>
        <v>building.onsen@2</v>
      </c>
      <c r="B73" t="str">
        <f ca="1">_xlfn.XLOOKUP(tblValidation[[#This Row],[TargetID]],tblTargets[TargetID],tblTargets[TargetType],"")</f>
        <v>BUILDING</v>
      </c>
      <c r="C73" s="48" t="b">
        <f ca="1">COUNTIF(tblTargets[TargetID], $A73) &gt; 0</f>
        <v>1</v>
      </c>
      <c r="D73" s="48" t="b">
        <f ca="1">IF(OR(LEFT(tblValidation[[#This Row],[TargetID]],10)="state.CHAR",RIGHT(tblValidation[[#This Row],[TargetID]],5)="maxed"),TRUE, COUNTIF(tblChecklist[TargetID], $A73) &gt; 0)</f>
        <v>1</v>
      </c>
      <c r="E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$A73) &gt; 0)</f>
        <v>1</v>
      </c>
      <c r="F73" s="48" t="b">
        <f ca="1">COUNTIF(tblDependencies[DependencyID], $A73) &gt; 0</f>
        <v>0</v>
      </c>
      <c r="G73" s="48" t="b">
        <f ca="1">COUNTIF(tblQuestObjectives[QuestTargetID], $A73) &gt; 0</f>
        <v>0</v>
      </c>
      <c r="H73" s="48" t="b">
        <f ca="1">COUNTIF(tblQuestObjectives[ObjectiveID], $A73) &gt; 0</f>
        <v>0</v>
      </c>
      <c r="I73" s="48" t="b">
        <f ca="1">COUNTIF(tblTargetStatus[TargetID], $A73) &gt; 0</f>
        <v>1</v>
      </c>
      <c r="J73" s="48" t="b">
        <f ca="1">COUNTIF(tblCost[TargetID], $A73) &gt; 0</f>
        <v>1</v>
      </c>
      <c r="K73" s="48" t="b">
        <f ca="1">COUNTIF(tblStates[StateID], $A73) &gt; 0</f>
        <v>0</v>
      </c>
      <c r="L73" s="48" t="b">
        <f t="shared" ca="1" si="3"/>
        <v>1</v>
      </c>
      <c r="M73" s="48" t="b">
        <f ca="1">IF(tblValidation[[#This Row],[TargetID]]="","",COUNTIF(tblTargets[TargetID],A73)&gt;1)</f>
        <v>0</v>
      </c>
      <c r="N73" s="48" t="b">
        <f ca="1">IF(tblValidation[[#This Row],[TargetID]]="","",COUNTIF(tblStates[StateID],tblValidation[[#This Row],[TargetID]])&gt;1)</f>
        <v>0</v>
      </c>
      <c r="O73" s="48" t="b" cm="1">
        <f t="array" aca="1" ref="O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3" s="48"/>
      <c r="R73" s="48"/>
      <c r="S73" s="48"/>
      <c r="T73" s="48"/>
      <c r="V73" s="49" t="str">
        <f ca="1"/>
        <v>building.onsen@2</v>
      </c>
      <c r="W73" s="48" t="str">
        <f ca="1"/>
        <v>state.meet_dark_lady_6d</v>
      </c>
      <c r="X73" s="48" t="str">
        <f ca="1"/>
        <v>building.onsen@2</v>
      </c>
      <c r="Y73" s="48" t="str">
        <f ca="1"/>
        <v>building.rock_garden@1</v>
      </c>
      <c r="Z73" s="48" t="str">
        <f ca="1"/>
        <v>building.outpost.maxed</v>
      </c>
      <c r="AA73" s="48" t="str">
        <f ca="1"/>
        <v>building.pagoda@4</v>
      </c>
      <c r="AB73" s="48"/>
      <c r="AC73" s="48" t="str">
        <f ca="1"/>
        <v>state.deliver_potion_mental_power@F2</v>
      </c>
      <c r="AD73" s="2" t="str">
        <f ca="1"/>
        <v>building.onsen@2</v>
      </c>
      <c r="AE73" s="2" t="str">
        <f ca="1"/>
        <v>building.rock_garden@3</v>
      </c>
      <c r="AX73" s="49"/>
      <c r="AY73" s="49"/>
      <c r="AZ73" s="49"/>
      <c r="BA73" s="49"/>
      <c r="BB73" s="49"/>
      <c r="BC73" s="49"/>
      <c r="BE73" s="49"/>
    </row>
    <row r="74" spans="1:57" ht="29">
      <c r="A74" t="str">
        <f t="shared" ca="1" si="2"/>
        <v>building.outpost.maxed</v>
      </c>
      <c r="B74" t="str">
        <f ca="1">_xlfn.XLOOKUP(tblValidation[[#This Row],[TargetID]],tblTargets[TargetID],tblTargets[TargetType],"")</f>
        <v>BUILDING</v>
      </c>
      <c r="C74" s="48" t="b">
        <f ca="1">COUNTIF(tblTargets[TargetID], $A74) &gt; 0</f>
        <v>1</v>
      </c>
      <c r="D74" s="48" t="b">
        <f ca="1">IF(OR(LEFT(tblValidation[[#This Row],[TargetID]],10)="state.CHAR",RIGHT(tblValidation[[#This Row],[TargetID]],5)="maxed"),TRUE, COUNTIF(tblChecklist[TargetID], $A74) &gt; 0)</f>
        <v>1</v>
      </c>
      <c r="E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$A74) &gt; 0)</f>
        <v>1</v>
      </c>
      <c r="F74" s="48" t="b">
        <f ca="1">COUNTIF(tblDependencies[DependencyID], $A74) &gt; 0</f>
        <v>1</v>
      </c>
      <c r="G74" s="48" t="b">
        <f ca="1">COUNTIF(tblQuestObjectives[QuestTargetID], $A74) &gt; 0</f>
        <v>0</v>
      </c>
      <c r="H74" s="48" t="b">
        <f ca="1">COUNTIF(tblQuestObjectives[ObjectiveID], $A74) &gt; 0</f>
        <v>0</v>
      </c>
      <c r="I74" s="48" t="b">
        <f ca="1">COUNTIF(tblTargetStatus[TargetID], $A74) &gt; 0</f>
        <v>1</v>
      </c>
      <c r="J74" s="48" t="b">
        <f ca="1">COUNTIF(tblCost[TargetID], $A74) &gt; 0</f>
        <v>0</v>
      </c>
      <c r="K74" s="48" t="b">
        <f ca="1">COUNTIF(tblStates[StateID], $A74) &gt; 0</f>
        <v>0</v>
      </c>
      <c r="L74" s="48" t="b">
        <f t="shared" ca="1" si="3"/>
        <v>1</v>
      </c>
      <c r="M74" s="48" t="b">
        <f ca="1">IF(tblValidation[[#This Row],[TargetID]]="","",COUNTIF(tblTargets[TargetID],A74)&gt;1)</f>
        <v>0</v>
      </c>
      <c r="N74" s="48" t="b">
        <f ca="1">IF(tblValidation[[#This Row],[TargetID]]="","",COUNTIF(tblStates[StateID],tblValidation[[#This Row],[TargetID]])&gt;1)</f>
        <v>0</v>
      </c>
      <c r="O74" s="48" t="b" cm="1">
        <f t="array" aca="1" ref="O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4" s="48"/>
      <c r="R74" s="48"/>
      <c r="S74" s="48"/>
      <c r="T74" s="48"/>
      <c r="V74" s="49" t="str">
        <f ca="1"/>
        <v>building.outpost.maxed</v>
      </c>
      <c r="W74" s="48" t="str">
        <f ca="1"/>
        <v>state.meet_fat_demon@4a</v>
      </c>
      <c r="X74" s="48" t="str">
        <f ca="1"/>
        <v>building.outpost.maxed</v>
      </c>
      <c r="Y74" s="48" t="str">
        <f ca="1"/>
        <v>building.rock_garden@2</v>
      </c>
      <c r="Z74" s="48" t="str">
        <f ca="1"/>
        <v>building.outpost@1</v>
      </c>
      <c r="AA74" s="48" t="str">
        <f ca="1"/>
        <v>building.pagoda@5</v>
      </c>
      <c r="AB74" s="48"/>
      <c r="AC74" s="48" t="str">
        <f ca="1"/>
        <v>state.deliver_ring</v>
      </c>
      <c r="AD74" s="2" t="str">
        <f ca="1"/>
        <v>building.outpost.maxed</v>
      </c>
      <c r="AE74" s="2" t="str">
        <f ca="1"/>
        <v>building.ship@1</v>
      </c>
      <c r="AX74" s="49"/>
      <c r="AY74" s="49"/>
      <c r="AZ74" s="49"/>
      <c r="BA74" s="49"/>
      <c r="BB74" s="49"/>
      <c r="BC74" s="49"/>
      <c r="BE74" s="49"/>
    </row>
    <row r="75" spans="1:57">
      <c r="A75" t="str">
        <f t="shared" ca="1" si="2"/>
        <v>building.outpost@1</v>
      </c>
      <c r="B75" t="str">
        <f ca="1">_xlfn.XLOOKUP(tblValidation[[#This Row],[TargetID]],tblTargets[TargetID],tblTargets[TargetType],"")</f>
        <v>BUILDING</v>
      </c>
      <c r="C75" s="48" t="b">
        <f ca="1">COUNTIF(tblTargets[TargetID], $A75) &gt; 0</f>
        <v>1</v>
      </c>
      <c r="D75" s="48" t="b">
        <f ca="1">IF(OR(LEFT(tblValidation[[#This Row],[TargetID]],10)="state.CHAR",RIGHT(tblValidation[[#This Row],[TargetID]],5)="maxed"),TRUE, COUNTIF(tblChecklist[TargetID], $A75) &gt; 0)</f>
        <v>1</v>
      </c>
      <c r="E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$A75) &gt; 0)</f>
        <v>1</v>
      </c>
      <c r="F75" s="48" t="b">
        <f ca="1">COUNTIF(tblDependencies[DependencyID], $A75) &gt; 0</f>
        <v>1</v>
      </c>
      <c r="G75" s="48" t="b">
        <f ca="1">COUNTIF(tblQuestObjectives[QuestTargetID], $A75) &gt; 0</f>
        <v>0</v>
      </c>
      <c r="H75" s="48" t="b">
        <f ca="1">COUNTIF(tblQuestObjectives[ObjectiveID], $A75) &gt; 0</f>
        <v>0</v>
      </c>
      <c r="I75" s="48" t="b">
        <f ca="1">COUNTIF(tblTargetStatus[TargetID], $A75) &gt; 0</f>
        <v>1</v>
      </c>
      <c r="J75" s="48" t="b">
        <f ca="1">COUNTIF(tblCost[TargetID], $A75) &gt; 0</f>
        <v>1</v>
      </c>
      <c r="K75" s="48" t="b">
        <f ca="1">COUNTIF(tblStates[StateID], $A75) &gt; 0</f>
        <v>0</v>
      </c>
      <c r="L75" s="48" t="b">
        <f t="shared" ca="1" si="3"/>
        <v>1</v>
      </c>
      <c r="M75" s="48" t="b">
        <f ca="1">IF(tblValidation[[#This Row],[TargetID]]="","",COUNTIF(tblTargets[TargetID],A75)&gt;1)</f>
        <v>0</v>
      </c>
      <c r="N75" s="48" t="b">
        <f ca="1">IF(tblValidation[[#This Row],[TargetID]]="","",COUNTIF(tblStates[StateID],tblValidation[[#This Row],[TargetID]])&gt;1)</f>
        <v>0</v>
      </c>
      <c r="O75" s="48" t="b" cm="1">
        <f t="array" aca="1" ref="O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5" s="48"/>
      <c r="R75" s="48"/>
      <c r="S75" s="48"/>
      <c r="T75" s="48"/>
      <c r="V75" s="49" t="str">
        <f ca="1"/>
        <v>building.outpost@1</v>
      </c>
      <c r="W75" s="48" t="str">
        <f ca="1"/>
        <v>state.meet_foodie_demon@f2</v>
      </c>
      <c r="X75" s="48" t="str">
        <f ca="1"/>
        <v>building.outpost@1</v>
      </c>
      <c r="Y75" s="48" t="str">
        <f ca="1"/>
        <v>building.rock_garden@3</v>
      </c>
      <c r="Z75" s="48" t="str">
        <f ca="1"/>
        <v>building.outpost@2</v>
      </c>
      <c r="AA75" s="48" t="str">
        <f ca="1"/>
        <v>building.pagoda@6</v>
      </c>
      <c r="AB75" s="48"/>
      <c r="AC75" s="48" t="str">
        <f ca="1"/>
        <v>state.deliver_teriyaki_salmon_4c</v>
      </c>
      <c r="AD75" s="2" t="str">
        <f ca="1"/>
        <v>building.outpost@1</v>
      </c>
      <c r="AE75" s="2" t="str">
        <f ca="1"/>
        <v>building.ship@2</v>
      </c>
      <c r="AX75" s="49"/>
    </row>
    <row r="76" spans="1:57">
      <c r="A76" t="str">
        <f t="shared" ca="1" si="2"/>
        <v>building.outpost@2</v>
      </c>
      <c r="B76" t="str">
        <f ca="1">_xlfn.XLOOKUP(tblValidation[[#This Row],[TargetID]],tblTargets[TargetID],tblTargets[TargetType],"")</f>
        <v>BUILDING</v>
      </c>
      <c r="C76" s="48" t="b">
        <f ca="1">COUNTIF(tblTargets[TargetID], $A76) &gt; 0</f>
        <v>1</v>
      </c>
      <c r="D76" s="48" t="b">
        <f ca="1">IF(OR(LEFT(tblValidation[[#This Row],[TargetID]],10)="state.CHAR",RIGHT(tblValidation[[#This Row],[TargetID]],5)="maxed"),TRUE, COUNTIF(tblChecklist[TargetID], $A76) &gt; 0)</f>
        <v>1</v>
      </c>
      <c r="E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$A76) &gt; 0)</f>
        <v>1</v>
      </c>
      <c r="F76" s="48" t="b">
        <f ca="1">COUNTIF(tblDependencies[DependencyID], $A76) &gt; 0</f>
        <v>1</v>
      </c>
      <c r="G76" s="48" t="b">
        <f ca="1">COUNTIF(tblQuestObjectives[QuestTargetID], $A76) &gt; 0</f>
        <v>0</v>
      </c>
      <c r="H76" s="48" t="b">
        <f ca="1">COUNTIF(tblQuestObjectives[ObjectiveID], $A76) &gt; 0</f>
        <v>0</v>
      </c>
      <c r="I76" s="48" t="b">
        <f ca="1">COUNTIF(tblTargetStatus[TargetID], $A76) &gt; 0</f>
        <v>1</v>
      </c>
      <c r="J76" s="48" t="b">
        <f ca="1">COUNTIF(tblCost[TargetID], $A76) &gt; 0</f>
        <v>1</v>
      </c>
      <c r="K76" s="48" t="b">
        <f ca="1">COUNTIF(tblStates[StateID], $A76) &gt; 0</f>
        <v>0</v>
      </c>
      <c r="L76" s="48" t="b">
        <f t="shared" ca="1" si="3"/>
        <v>1</v>
      </c>
      <c r="M76" s="48" t="b">
        <f ca="1">IF(tblValidation[[#This Row],[TargetID]]="","",COUNTIF(tblTargets[TargetID],A76)&gt;1)</f>
        <v>0</v>
      </c>
      <c r="N76" s="48" t="b">
        <f ca="1">IF(tblValidation[[#This Row],[TargetID]]="","",COUNTIF(tblStates[StateID],tblValidation[[#This Row],[TargetID]])&gt;1)</f>
        <v>0</v>
      </c>
      <c r="O76" s="48" t="b" cm="1">
        <f t="array" aca="1" ref="O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6" s="48"/>
      <c r="R76" s="48"/>
      <c r="S76" s="48"/>
      <c r="T76" s="48"/>
      <c r="V76" s="49" t="str">
        <f ca="1"/>
        <v>building.outpost@2</v>
      </c>
      <c r="W76" s="48" t="str">
        <f ca="1"/>
        <v>state.meet_forest_fairy@f2</v>
      </c>
      <c r="X76" s="48" t="str">
        <f ca="1"/>
        <v>building.outpost@2</v>
      </c>
      <c r="Y76" s="48" t="str">
        <f ca="1"/>
        <v>building.ship@1</v>
      </c>
      <c r="Z76" s="48" t="str">
        <f ca="1"/>
        <v>building.outpost@3</v>
      </c>
      <c r="AA76" s="48" t="str">
        <f ca="1"/>
        <v>building.pier@1</v>
      </c>
      <c r="AB76" s="48"/>
      <c r="AC76" s="48" t="str">
        <f ca="1"/>
        <v>state.deliver_tofu_4a</v>
      </c>
      <c r="AD76" s="2" t="str">
        <f ca="1"/>
        <v>building.outpost@2</v>
      </c>
      <c r="AE76" s="2" t="str">
        <f ca="1"/>
        <v>building.ship@3</v>
      </c>
    </row>
    <row r="77" spans="1:57">
      <c r="A77" t="str">
        <f t="shared" ca="1" si="2"/>
        <v>building.outpost@3</v>
      </c>
      <c r="B77" t="str">
        <f ca="1">_xlfn.XLOOKUP(tblValidation[[#This Row],[TargetID]],tblTargets[TargetID],tblTargets[TargetType],"")</f>
        <v>BUILDING</v>
      </c>
      <c r="C77" s="48" t="b">
        <f ca="1">COUNTIF(tblTargets[TargetID], $A77) &gt; 0</f>
        <v>1</v>
      </c>
      <c r="D77" s="48" t="b">
        <f ca="1">IF(OR(LEFT(tblValidation[[#This Row],[TargetID]],10)="state.CHAR",RIGHT(tblValidation[[#This Row],[TargetID]],5)="maxed"),TRUE, COUNTIF(tblChecklist[TargetID], $A77) &gt; 0)</f>
        <v>1</v>
      </c>
      <c r="E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$A77) &gt; 0)</f>
        <v>1</v>
      </c>
      <c r="F77" s="48" t="b">
        <f ca="1">COUNTIF(tblDependencies[DependencyID], $A77) &gt; 0</f>
        <v>1</v>
      </c>
      <c r="G77" s="48" t="b">
        <f ca="1">COUNTIF(tblQuestObjectives[QuestTargetID], $A77) &gt; 0</f>
        <v>0</v>
      </c>
      <c r="H77" s="48" t="b">
        <f ca="1">COUNTIF(tblQuestObjectives[ObjectiveID], $A77) &gt; 0</f>
        <v>1</v>
      </c>
      <c r="I77" s="48" t="b">
        <f ca="1">COUNTIF(tblTargetStatus[TargetID], $A77) &gt; 0</f>
        <v>1</v>
      </c>
      <c r="J77" s="48" t="b">
        <f ca="1">COUNTIF(tblCost[TargetID], $A77) &gt; 0</f>
        <v>1</v>
      </c>
      <c r="K77" s="48" t="b">
        <f ca="1">COUNTIF(tblStates[StateID], $A77) &gt; 0</f>
        <v>0</v>
      </c>
      <c r="L77" s="48" t="b">
        <f t="shared" ca="1" si="3"/>
        <v>1</v>
      </c>
      <c r="M77" s="48" t="b">
        <f ca="1">IF(tblValidation[[#This Row],[TargetID]]="","",COUNTIF(tblTargets[TargetID],A77)&gt;1)</f>
        <v>0</v>
      </c>
      <c r="N77" s="48" t="b">
        <f ca="1">IF(tblValidation[[#This Row],[TargetID]]="","",COUNTIF(tblStates[StateID],tblValidation[[#This Row],[TargetID]])&gt;1)</f>
        <v>0</v>
      </c>
      <c r="O77" s="48" t="b" cm="1">
        <f t="array" aca="1" ref="O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7" s="48"/>
      <c r="R77" s="48"/>
      <c r="S77" s="48"/>
      <c r="T77" s="48"/>
      <c r="V77" s="49" t="str">
        <f ca="1"/>
        <v>building.outpost@3</v>
      </c>
      <c r="W77" s="48" t="str">
        <f ca="1"/>
        <v>state.meet_hunter@f1</v>
      </c>
      <c r="X77" s="48" t="str">
        <f ca="1"/>
        <v>building.outpost@3</v>
      </c>
      <c r="Y77" s="48" t="str">
        <f ca="1"/>
        <v>building.ship@2</v>
      </c>
      <c r="Z77" s="48" t="str">
        <f ca="1"/>
        <v>building.pagoda@1</v>
      </c>
      <c r="AA77" s="48" t="str">
        <f ca="1"/>
        <v>building.rock_garden.maxed</v>
      </c>
      <c r="AB77" s="48"/>
      <c r="AC77" s="48" t="str">
        <f ca="1"/>
        <v>state.deliver_yuba_4c</v>
      </c>
      <c r="AD77" s="2" t="str">
        <f ca="1"/>
        <v>building.outpost@3</v>
      </c>
      <c r="AE77" s="2" t="str">
        <f ca="1"/>
        <v>building.ship@4</v>
      </c>
    </row>
    <row r="78" spans="1:57">
      <c r="A78" t="str">
        <f t="shared" ca="1" si="2"/>
        <v>building.pagoda@1</v>
      </c>
      <c r="B78" t="str">
        <f ca="1">_xlfn.XLOOKUP(tblValidation[[#This Row],[TargetID]],tblTargets[TargetID],tblTargets[TargetType],"")</f>
        <v>BUILDING</v>
      </c>
      <c r="C78" s="48" t="b">
        <f ca="1">COUNTIF(tblTargets[TargetID], $A78) &gt; 0</f>
        <v>1</v>
      </c>
      <c r="D78" s="48" t="b">
        <f ca="1">IF(OR(LEFT(tblValidation[[#This Row],[TargetID]],10)="state.CHAR",RIGHT(tblValidation[[#This Row],[TargetID]],5)="maxed"),TRUE, COUNTIF(tblChecklist[TargetID], $A78) &gt; 0)</f>
        <v>1</v>
      </c>
      <c r="E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$A78) &gt; 0)</f>
        <v>1</v>
      </c>
      <c r="F78" s="48" t="b">
        <f ca="1">COUNTIF(tblDependencies[DependencyID], $A78) &gt; 0</f>
        <v>1</v>
      </c>
      <c r="G78" s="48" t="b">
        <f ca="1">COUNTIF(tblQuestObjectives[QuestTargetID], $A78) &gt; 0</f>
        <v>0</v>
      </c>
      <c r="H78" s="48" t="b">
        <f ca="1">COUNTIF(tblQuestObjectives[ObjectiveID], $A78) &gt; 0</f>
        <v>0</v>
      </c>
      <c r="I78" s="48" t="b">
        <f ca="1">COUNTIF(tblTargetStatus[TargetID], $A78) &gt; 0</f>
        <v>1</v>
      </c>
      <c r="J78" s="48" t="b">
        <f ca="1">COUNTIF(tblCost[TargetID], $A78) &gt; 0</f>
        <v>1</v>
      </c>
      <c r="K78" s="48" t="b">
        <f ca="1">COUNTIF(tblStates[StateID], $A78) &gt; 0</f>
        <v>0</v>
      </c>
      <c r="L78" s="48" t="b">
        <f t="shared" ca="1" si="3"/>
        <v>1</v>
      </c>
      <c r="M78" s="48" t="b">
        <f ca="1">IF(tblValidation[[#This Row],[TargetID]]="","",COUNTIF(tblTargets[TargetID],A78)&gt;1)</f>
        <v>0</v>
      </c>
      <c r="N78" s="48" t="b">
        <f ca="1">IF(tblValidation[[#This Row],[TargetID]]="","",COUNTIF(tblStates[StateID],tblValidation[[#This Row],[TargetID]])&gt;1)</f>
        <v>0</v>
      </c>
      <c r="O78" s="48" t="b" cm="1">
        <f t="array" aca="1" ref="O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8" s="48"/>
      <c r="R78" s="48"/>
      <c r="S78" s="48"/>
      <c r="T78" s="48"/>
      <c r="V78" s="49" t="str">
        <f ca="1"/>
        <v>building.pagoda@1</v>
      </c>
      <c r="W78" s="48" t="str">
        <f ca="1"/>
        <v>state.meet_inventor@5b</v>
      </c>
      <c r="X78" s="48" t="str">
        <f ca="1"/>
        <v>building.pagoda@1</v>
      </c>
      <c r="Y78" s="48" t="str">
        <f ca="1"/>
        <v>building.ship@3</v>
      </c>
      <c r="Z78" s="48" t="str">
        <f ca="1"/>
        <v>building.pagoda@2</v>
      </c>
      <c r="AA78" s="48" t="str">
        <f ca="1"/>
        <v>building.rock_garden@1</v>
      </c>
      <c r="AB78" s="48"/>
      <c r="AC78" s="48" t="str">
        <f ca="1"/>
        <v>state.find_gate_3c</v>
      </c>
      <c r="AD78" s="2" t="str">
        <f ca="1"/>
        <v>building.pagoda@1</v>
      </c>
      <c r="AE78" s="2" t="str">
        <f ca="1"/>
        <v>building.shop@1</v>
      </c>
    </row>
    <row r="79" spans="1:57">
      <c r="A79" t="str">
        <f t="shared" ca="1" si="2"/>
        <v>building.pagoda@2</v>
      </c>
      <c r="B79" t="str">
        <f ca="1">_xlfn.XLOOKUP(tblValidation[[#This Row],[TargetID]],tblTargets[TargetID],tblTargets[TargetType],"")</f>
        <v>BUILDING</v>
      </c>
      <c r="C79" s="48" t="b">
        <f ca="1">COUNTIF(tblTargets[TargetID], $A79) &gt; 0</f>
        <v>1</v>
      </c>
      <c r="D79" s="48" t="b">
        <f ca="1">IF(OR(LEFT(tblValidation[[#This Row],[TargetID]],10)="state.CHAR",RIGHT(tblValidation[[#This Row],[TargetID]],5)="maxed"),TRUE, COUNTIF(tblChecklist[TargetID], $A79) &gt; 0)</f>
        <v>1</v>
      </c>
      <c r="E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$A79) &gt; 0)</f>
        <v>1</v>
      </c>
      <c r="F79" s="48" t="b">
        <f ca="1">COUNTIF(tblDependencies[DependencyID], $A79) &gt; 0</f>
        <v>1</v>
      </c>
      <c r="G79" s="48" t="b">
        <f ca="1">COUNTIF(tblQuestObjectives[QuestTargetID], $A79) &gt; 0</f>
        <v>0</v>
      </c>
      <c r="H79" s="48" t="b">
        <f ca="1">COUNTIF(tblQuestObjectives[ObjectiveID], $A79) &gt; 0</f>
        <v>0</v>
      </c>
      <c r="I79" s="48" t="b">
        <f ca="1">COUNTIF(tblTargetStatus[TargetID], $A79) &gt; 0</f>
        <v>1</v>
      </c>
      <c r="J79" s="48" t="b">
        <f ca="1">COUNTIF(tblCost[TargetID], $A79) &gt; 0</f>
        <v>1</v>
      </c>
      <c r="K79" s="48" t="b">
        <f ca="1">COUNTIF(tblStates[StateID], $A79) &gt; 0</f>
        <v>0</v>
      </c>
      <c r="L79" s="48" t="b">
        <f t="shared" ca="1" si="3"/>
        <v>1</v>
      </c>
      <c r="M79" s="48" t="b">
        <f ca="1">IF(tblValidation[[#This Row],[TargetID]]="","",COUNTIF(tblTargets[TargetID],A79)&gt;1)</f>
        <v>0</v>
      </c>
      <c r="N79" s="48" t="b">
        <f ca="1">IF(tblValidation[[#This Row],[TargetID]]="","",COUNTIF(tblStates[StateID],tblValidation[[#This Row],[TargetID]])&gt;1)</f>
        <v>0</v>
      </c>
      <c r="O79" s="48" t="b" cm="1">
        <f t="array" aca="1" ref="O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9" s="48"/>
      <c r="R79" s="48"/>
      <c r="S79" s="48"/>
      <c r="T79" s="48"/>
      <c r="V79" s="49" t="str">
        <f ca="1"/>
        <v>building.pagoda@2</v>
      </c>
      <c r="W79" s="48" t="str">
        <f ca="1"/>
        <v>state.meet_mech_adventurer@2b</v>
      </c>
      <c r="X79" s="48" t="str">
        <f ca="1"/>
        <v>building.pagoda@2</v>
      </c>
      <c r="Y79" s="48" t="str">
        <f ca="1"/>
        <v>building.ship@4</v>
      </c>
      <c r="Z79" s="48" t="str">
        <f ca="1"/>
        <v>building.pagoda@3</v>
      </c>
      <c r="AA79" s="48" t="str">
        <f ca="1"/>
        <v>building.rock_garden@2</v>
      </c>
      <c r="AB79" s="48"/>
      <c r="AC79" s="48" t="str">
        <f ca="1"/>
        <v>state.find_gate_4c</v>
      </c>
      <c r="AD79" s="2" t="str">
        <f ca="1"/>
        <v>building.pagoda@2</v>
      </c>
      <c r="AE79" s="2" t="str">
        <f ca="1"/>
        <v>building.shop@2</v>
      </c>
    </row>
    <row r="80" spans="1:57">
      <c r="A80" t="str">
        <f t="shared" ca="1" si="2"/>
        <v>building.pagoda@3</v>
      </c>
      <c r="B80" t="str">
        <f ca="1">_xlfn.XLOOKUP(tblValidation[[#This Row],[TargetID]],tblTargets[TargetID],tblTargets[TargetType],"")</f>
        <v>BUILDING</v>
      </c>
      <c r="C80" s="48" t="b">
        <f ca="1">COUNTIF(tblTargets[TargetID], $A80) &gt; 0</f>
        <v>1</v>
      </c>
      <c r="D80" s="48" t="b">
        <f ca="1">IF(OR(LEFT(tblValidation[[#This Row],[TargetID]],10)="state.CHAR",RIGHT(tblValidation[[#This Row],[TargetID]],5)="maxed"),TRUE, COUNTIF(tblChecklist[TargetID], $A80) &gt; 0)</f>
        <v>1</v>
      </c>
      <c r="E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$A80) &gt; 0)</f>
        <v>1</v>
      </c>
      <c r="F80" s="48" t="b">
        <f ca="1">COUNTIF(tblDependencies[DependencyID], $A80) &gt; 0</f>
        <v>1</v>
      </c>
      <c r="G80" s="48" t="b">
        <f ca="1">COUNTIF(tblQuestObjectives[QuestTargetID], $A80) &gt; 0</f>
        <v>0</v>
      </c>
      <c r="H80" s="48" t="b">
        <f ca="1">COUNTIF(tblQuestObjectives[ObjectiveID], $A80) &gt; 0</f>
        <v>0</v>
      </c>
      <c r="I80" s="48" t="b">
        <f ca="1">COUNTIF(tblTargetStatus[TargetID], $A80) &gt; 0</f>
        <v>1</v>
      </c>
      <c r="J80" s="48" t="b">
        <f ca="1">COUNTIF(tblCost[TargetID], $A80) &gt; 0</f>
        <v>1</v>
      </c>
      <c r="K80" s="48" t="b">
        <f ca="1">COUNTIF(tblStates[StateID], $A80) &gt; 0</f>
        <v>0</v>
      </c>
      <c r="L80" s="48" t="b">
        <f t="shared" ca="1" si="3"/>
        <v>1</v>
      </c>
      <c r="M80" s="48" t="b">
        <f ca="1">IF(tblValidation[[#This Row],[TargetID]]="","",COUNTIF(tblTargets[TargetID],A80)&gt;1)</f>
        <v>0</v>
      </c>
      <c r="N80" s="48" t="b">
        <f ca="1">IF(tblValidation[[#This Row],[TargetID]]="","",COUNTIF(tblStates[StateID],tblValidation[[#This Row],[TargetID]])&gt;1)</f>
        <v>0</v>
      </c>
      <c r="O80" s="48" t="b" cm="1">
        <f t="array" aca="1" ref="O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0" s="48"/>
      <c r="R80" s="48"/>
      <c r="S80" s="48"/>
      <c r="T80" s="48"/>
      <c r="V80" s="49" t="str">
        <f ca="1"/>
        <v>building.pagoda@3</v>
      </c>
      <c r="W80" s="48" t="str">
        <f ca="1"/>
        <v>state.meet_mech_adventurer_3a</v>
      </c>
      <c r="X80" s="48" t="str">
        <f ca="1"/>
        <v>building.pagoda@3</v>
      </c>
      <c r="Y80" s="48" t="str">
        <f ca="1"/>
        <v>building.shop@1</v>
      </c>
      <c r="Z80" s="48" t="str">
        <f ca="1"/>
        <v>building.pagoda@4</v>
      </c>
      <c r="AA80" s="48" t="str">
        <f ca="1"/>
        <v>building.rock_garden@3</v>
      </c>
      <c r="AB80" s="48"/>
      <c r="AC80" s="48" t="str">
        <f ca="1"/>
        <v>state.find_gate_5c</v>
      </c>
      <c r="AD80" s="2" t="str">
        <f ca="1"/>
        <v>building.pagoda@3</v>
      </c>
      <c r="AE80" s="2" t="str">
        <f ca="1"/>
        <v>building.shop@3</v>
      </c>
    </row>
    <row r="81" spans="1:31">
      <c r="A81" t="str">
        <f t="shared" ca="1" si="2"/>
        <v>building.pagoda@4</v>
      </c>
      <c r="B81" t="str">
        <f ca="1">_xlfn.XLOOKUP(tblValidation[[#This Row],[TargetID]],tblTargets[TargetID],tblTargets[TargetType],"")</f>
        <v>BUILDING</v>
      </c>
      <c r="C81" s="48" t="b">
        <f ca="1">COUNTIF(tblTargets[TargetID], $A81) &gt; 0</f>
        <v>1</v>
      </c>
      <c r="D81" s="48" t="b">
        <f ca="1">IF(OR(LEFT(tblValidation[[#This Row],[TargetID]],10)="state.CHAR",RIGHT(tblValidation[[#This Row],[TargetID]],5)="maxed"),TRUE, COUNTIF(tblChecklist[TargetID], $A81) &gt; 0)</f>
        <v>1</v>
      </c>
      <c r="E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$A81) &gt; 0)</f>
        <v>1</v>
      </c>
      <c r="F81" s="48" t="b">
        <f ca="1">COUNTIF(tblDependencies[DependencyID], $A81) &gt; 0</f>
        <v>1</v>
      </c>
      <c r="G81" s="48" t="b">
        <f ca="1">COUNTIF(tblQuestObjectives[QuestTargetID], $A81) &gt; 0</f>
        <v>0</v>
      </c>
      <c r="H81" s="48" t="b">
        <f ca="1">COUNTIF(tblQuestObjectives[ObjectiveID], $A81) &gt; 0</f>
        <v>0</v>
      </c>
      <c r="I81" s="48" t="b">
        <f ca="1">COUNTIF(tblTargetStatus[TargetID], $A81) &gt; 0</f>
        <v>1</v>
      </c>
      <c r="J81" s="48" t="b">
        <f ca="1">COUNTIF(tblCost[TargetID], $A81) &gt; 0</f>
        <v>1</v>
      </c>
      <c r="K81" s="48" t="b">
        <f ca="1">COUNTIF(tblStates[StateID], $A81) &gt; 0</f>
        <v>0</v>
      </c>
      <c r="L81" s="48" t="b">
        <f t="shared" ca="1" si="3"/>
        <v>1</v>
      </c>
      <c r="M81" s="48" t="b">
        <f ca="1">IF(tblValidation[[#This Row],[TargetID]]="","",COUNTIF(tblTargets[TargetID],A81)&gt;1)</f>
        <v>0</v>
      </c>
      <c r="N81" s="48" t="b">
        <f ca="1">IF(tblValidation[[#This Row],[TargetID]]="","",COUNTIF(tblStates[StateID],tblValidation[[#This Row],[TargetID]])&gt;1)</f>
        <v>0</v>
      </c>
      <c r="O81" s="48" t="b" cm="1">
        <f t="array" aca="1" ref="O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1" s="48"/>
      <c r="R81" s="48"/>
      <c r="S81" s="48"/>
      <c r="T81" s="48"/>
      <c r="V81" s="49" t="str">
        <f ca="1"/>
        <v>building.pagoda@4</v>
      </c>
      <c r="W81" s="48" t="str">
        <f ca="1"/>
        <v>state.meet_mech_adventurer_f1</v>
      </c>
      <c r="X81" s="48" t="str">
        <f ca="1"/>
        <v>building.pagoda@4</v>
      </c>
      <c r="Y81" s="48" t="str">
        <f ca="1"/>
        <v>building.shop@2</v>
      </c>
      <c r="Z81" s="48" t="str">
        <f ca="1"/>
        <v>building.pagoda@5</v>
      </c>
      <c r="AA81" s="48" t="str">
        <f ca="1"/>
        <v>building.ship@1</v>
      </c>
      <c r="AB81" s="48"/>
      <c r="AC81" s="48" t="str">
        <f ca="1"/>
        <v>state.find_goat_6b</v>
      </c>
      <c r="AD81" s="2" t="str">
        <f ca="1"/>
        <v>building.pagoda@4</v>
      </c>
      <c r="AE81" s="2" t="str">
        <f ca="1"/>
        <v>building.smithy@1</v>
      </c>
    </row>
    <row r="82" spans="1:31">
      <c r="A82" t="str">
        <f t="shared" ca="1" si="2"/>
        <v>building.pagoda@5</v>
      </c>
      <c r="B82" t="str">
        <f ca="1">_xlfn.XLOOKUP(tblValidation[[#This Row],[TargetID]],tblTargets[TargetID],tblTargets[TargetType],"")</f>
        <v>BUILDING</v>
      </c>
      <c r="C82" s="48" t="b">
        <f ca="1">COUNTIF(tblTargets[TargetID], $A82) &gt; 0</f>
        <v>1</v>
      </c>
      <c r="D82" s="48" t="b">
        <f ca="1">IF(OR(LEFT(tblValidation[[#This Row],[TargetID]],10)="state.CHAR",RIGHT(tblValidation[[#This Row],[TargetID]],5)="maxed"),TRUE, COUNTIF(tblChecklist[TargetID], $A82) &gt; 0)</f>
        <v>1</v>
      </c>
      <c r="E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$A82) &gt; 0)</f>
        <v>1</v>
      </c>
      <c r="F82" s="48" t="b">
        <f ca="1">COUNTIF(tblDependencies[DependencyID], $A82) &gt; 0</f>
        <v>1</v>
      </c>
      <c r="G82" s="48" t="b">
        <f ca="1">COUNTIF(tblQuestObjectives[QuestTargetID], $A82) &gt; 0</f>
        <v>0</v>
      </c>
      <c r="H82" s="48" t="b">
        <f ca="1">COUNTIF(tblQuestObjectives[ObjectiveID], $A82) &gt; 0</f>
        <v>0</v>
      </c>
      <c r="I82" s="48" t="b">
        <f ca="1">COUNTIF(tblTargetStatus[TargetID], $A82) &gt; 0</f>
        <v>1</v>
      </c>
      <c r="J82" s="48" t="b">
        <f ca="1">COUNTIF(tblCost[TargetID], $A82) &gt; 0</f>
        <v>1</v>
      </c>
      <c r="K82" s="48" t="b">
        <f ca="1">COUNTIF(tblStates[StateID], $A82) &gt; 0</f>
        <v>0</v>
      </c>
      <c r="L82" s="48" t="b">
        <f t="shared" ca="1" si="3"/>
        <v>1</v>
      </c>
      <c r="M82" s="48" t="b">
        <f ca="1">IF(tblValidation[[#This Row],[TargetID]]="","",COUNTIF(tblTargets[TargetID],A82)&gt;1)</f>
        <v>0</v>
      </c>
      <c r="N82" s="48" t="b">
        <f ca="1">IF(tblValidation[[#This Row],[TargetID]]="","",COUNTIF(tblStates[StateID],tblValidation[[#This Row],[TargetID]])&gt;1)</f>
        <v>0</v>
      </c>
      <c r="O82" s="48" t="b" cm="1">
        <f t="array" aca="1" ref="O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2" s="48"/>
      <c r="R82" s="48"/>
      <c r="S82" s="48"/>
      <c r="T82" s="48"/>
      <c r="V82" s="49" t="str">
        <f ca="1"/>
        <v>building.pagoda@5</v>
      </c>
      <c r="W82" s="48" t="str">
        <f ca="1"/>
        <v>state.meet_methusalem@f3</v>
      </c>
      <c r="X82" s="48" t="str">
        <f ca="1"/>
        <v>building.pagoda@5</v>
      </c>
      <c r="Y82" s="48" t="str">
        <f ca="1"/>
        <v>building.shop@3</v>
      </c>
      <c r="Z82" s="48" t="str">
        <f ca="1"/>
        <v>building.pagoda@6</v>
      </c>
      <c r="AA82" s="48" t="str">
        <f ca="1"/>
        <v>building.ship@2</v>
      </c>
      <c r="AB82" s="48"/>
      <c r="AC82" s="48" t="str">
        <f ca="1"/>
        <v>state.find_jade_gate_2c</v>
      </c>
      <c r="AD82" s="2" t="str">
        <f ca="1"/>
        <v>building.pagoda@5</v>
      </c>
      <c r="AE82" s="2" t="str">
        <f ca="1"/>
        <v>building.smithy@2</v>
      </c>
    </row>
    <row r="83" spans="1:31">
      <c r="A83" t="str">
        <f t="shared" ca="1" si="2"/>
        <v>building.pagoda@6</v>
      </c>
      <c r="B83" t="str">
        <f ca="1">_xlfn.XLOOKUP(tblValidation[[#This Row],[TargetID]],tblTargets[TargetID],tblTargets[TargetType],"")</f>
        <v>BUILDING</v>
      </c>
      <c r="C83" s="48" t="b">
        <f ca="1">COUNTIF(tblTargets[TargetID], $A83) &gt; 0</f>
        <v>1</v>
      </c>
      <c r="D83" s="48" t="b">
        <f ca="1">IF(OR(LEFT(tblValidation[[#This Row],[TargetID]],10)="state.CHAR",RIGHT(tblValidation[[#This Row],[TargetID]],5)="maxed"),TRUE, COUNTIF(tblChecklist[TargetID], $A83) &gt; 0)</f>
        <v>1</v>
      </c>
      <c r="E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$A83) &gt; 0)</f>
        <v>1</v>
      </c>
      <c r="F83" s="48" t="b">
        <f ca="1">COUNTIF(tblDependencies[DependencyID], $A83) &gt; 0</f>
        <v>1</v>
      </c>
      <c r="G83" s="48" t="b">
        <f ca="1">COUNTIF(tblQuestObjectives[QuestTargetID], $A83) &gt; 0</f>
        <v>0</v>
      </c>
      <c r="H83" s="48" t="b">
        <f ca="1">COUNTIF(tblQuestObjectives[ObjectiveID], $A83) &gt; 0</f>
        <v>0</v>
      </c>
      <c r="I83" s="48" t="b">
        <f ca="1">COUNTIF(tblTargetStatus[TargetID], $A83) &gt; 0</f>
        <v>1</v>
      </c>
      <c r="J83" s="48" t="b">
        <f ca="1">COUNTIF(tblCost[TargetID], $A83) &gt; 0</f>
        <v>1</v>
      </c>
      <c r="K83" s="48" t="b">
        <f ca="1">COUNTIF(tblStates[StateID], $A83) &gt; 0</f>
        <v>0</v>
      </c>
      <c r="L83" s="48" t="b">
        <f t="shared" ca="1" si="3"/>
        <v>1</v>
      </c>
      <c r="M83" s="48" t="b">
        <f ca="1">IF(tblValidation[[#This Row],[TargetID]]="","",COUNTIF(tblTargets[TargetID],A83)&gt;1)</f>
        <v>0</v>
      </c>
      <c r="N83" s="48" t="b">
        <f ca="1">IF(tblValidation[[#This Row],[TargetID]]="","",COUNTIF(tblStates[StateID],tblValidation[[#This Row],[TargetID]])&gt;1)</f>
        <v>0</v>
      </c>
      <c r="O83" s="48" t="b" cm="1">
        <f t="array" aca="1" ref="O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3" s="48"/>
      <c r="R83" s="48"/>
      <c r="S83" s="48"/>
      <c r="T83" s="48"/>
      <c r="V83" s="49" t="str">
        <f ca="1"/>
        <v>building.pagoda@6</v>
      </c>
      <c r="W83" s="49" t="str">
        <f ca="1"/>
        <v>state.meet_mr_diligence@f1</v>
      </c>
      <c r="X83" s="2" t="str">
        <f ca="1"/>
        <v>building.pagoda@6</v>
      </c>
      <c r="Y83" s="2" t="str">
        <f ca="1"/>
        <v>building.smithy@1</v>
      </c>
      <c r="Z83" s="2" t="str">
        <f ca="1"/>
        <v>building.pagoda@7</v>
      </c>
      <c r="AA83" s="2" t="str">
        <f ca="1"/>
        <v>building.ship@3</v>
      </c>
      <c r="AC83" s="2" t="str">
        <f ca="1"/>
        <v>state.meet_alchemist_6d</v>
      </c>
      <c r="AD83" s="2" t="str">
        <f ca="1"/>
        <v>building.pagoda@6</v>
      </c>
      <c r="AE83" s="2" t="str">
        <f ca="1"/>
        <v>building.smithy@3</v>
      </c>
    </row>
    <row r="84" spans="1:31">
      <c r="A84" t="str">
        <f t="shared" ca="1" si="2"/>
        <v>building.pagoda@7</v>
      </c>
      <c r="B84" t="str">
        <f ca="1">_xlfn.XLOOKUP(tblValidation[[#This Row],[TargetID]],tblTargets[TargetID],tblTargets[TargetType],"")</f>
        <v>BUILDING</v>
      </c>
      <c r="C84" s="48" t="b">
        <f ca="1">COUNTIF(tblTargets[TargetID], $A84) &gt; 0</f>
        <v>1</v>
      </c>
      <c r="D84" s="48" t="b">
        <f ca="1">IF(OR(LEFT(tblValidation[[#This Row],[TargetID]],10)="state.CHAR",RIGHT(tblValidation[[#This Row],[TargetID]],5)="maxed"),TRUE, COUNTIF(tblChecklist[TargetID], $A84) &gt; 0)</f>
        <v>1</v>
      </c>
      <c r="E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$A84) &gt; 0)</f>
        <v>1</v>
      </c>
      <c r="F84" s="48" t="b">
        <f ca="1">COUNTIF(tblDependencies[DependencyID], $A84) &gt; 0</f>
        <v>0</v>
      </c>
      <c r="G84" s="48" t="b">
        <f ca="1">COUNTIF(tblQuestObjectives[QuestTargetID], $A84) &gt; 0</f>
        <v>0</v>
      </c>
      <c r="H84" s="48" t="b">
        <f ca="1">COUNTIF(tblQuestObjectives[ObjectiveID], $A84) &gt; 0</f>
        <v>1</v>
      </c>
      <c r="I84" s="48" t="b">
        <f ca="1">COUNTIF(tblTargetStatus[TargetID], $A84) &gt; 0</f>
        <v>1</v>
      </c>
      <c r="J84" s="48" t="b">
        <f ca="1">COUNTIF(tblCost[TargetID], $A84) &gt; 0</f>
        <v>1</v>
      </c>
      <c r="K84" s="48" t="b">
        <f ca="1">COUNTIF(tblStates[StateID], $A84) &gt; 0</f>
        <v>0</v>
      </c>
      <c r="L84" s="48" t="b">
        <f t="shared" ca="1" si="3"/>
        <v>1</v>
      </c>
      <c r="M84" s="48" t="b">
        <f ca="1">IF(tblValidation[[#This Row],[TargetID]]="","",COUNTIF(tblTargets[TargetID],A84)&gt;1)</f>
        <v>0</v>
      </c>
      <c r="N84" s="48" t="b">
        <f ca="1">IF(tblValidation[[#This Row],[TargetID]]="","",COUNTIF(tblStates[StateID],tblValidation[[#This Row],[TargetID]])&gt;1)</f>
        <v>0</v>
      </c>
      <c r="O84" s="48" t="b" cm="1">
        <f t="array" aca="1" ref="O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4" s="48"/>
      <c r="R84" s="48"/>
      <c r="S84" s="48"/>
      <c r="T84" s="48"/>
      <c r="V84" s="49" t="str">
        <f ca="1"/>
        <v>building.pagoda@7</v>
      </c>
      <c r="W84" s="49" t="str">
        <f ca="1"/>
        <v>state.meet_mrs_diligance@f2</v>
      </c>
      <c r="X84" s="2" t="str">
        <f ca="1"/>
        <v>building.pagoda@7</v>
      </c>
      <c r="Y84" s="2" t="str">
        <f ca="1"/>
        <v>building.smithy@2</v>
      </c>
      <c r="Z84" s="2" t="str">
        <f ca="1"/>
        <v>building.pier@1</v>
      </c>
      <c r="AA84" s="2" t="str">
        <f ca="1"/>
        <v>building.ship@4</v>
      </c>
      <c r="AC84" s="2" t="str">
        <f ca="1"/>
        <v>state.meet_dark_lady_6d</v>
      </c>
      <c r="AD84" s="2" t="str">
        <f ca="1"/>
        <v>building.pagoda@7</v>
      </c>
      <c r="AE84" s="2" t="str">
        <f ca="1"/>
        <v>building.station@1</v>
      </c>
    </row>
    <row r="85" spans="1:31" ht="29">
      <c r="A85" t="str">
        <f t="shared" ca="1" si="2"/>
        <v>building.pier@1</v>
      </c>
      <c r="B85" t="str">
        <f ca="1">_xlfn.XLOOKUP(tblValidation[[#This Row],[TargetID]],tblTargets[TargetID],tblTargets[TargetType],"")</f>
        <v>BUILDING</v>
      </c>
      <c r="C85" s="48" t="b">
        <f ca="1">COUNTIF(tblTargets[TargetID], $A85) &gt; 0</f>
        <v>1</v>
      </c>
      <c r="D85" s="48" t="b">
        <f ca="1">IF(OR(LEFT(tblValidation[[#This Row],[TargetID]],10)="state.CHAR",RIGHT(tblValidation[[#This Row],[TargetID]],5)="maxed"),TRUE, COUNTIF(tblChecklist[TargetID], $A85) &gt; 0)</f>
        <v>1</v>
      </c>
      <c r="E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$A85) &gt; 0)</f>
        <v>1</v>
      </c>
      <c r="F85" s="48" t="b">
        <f ca="1">COUNTIF(tblDependencies[DependencyID], $A85) &gt; 0</f>
        <v>1</v>
      </c>
      <c r="G85" s="48" t="b">
        <f ca="1">COUNTIF(tblQuestObjectives[QuestTargetID], $A85) &gt; 0</f>
        <v>0</v>
      </c>
      <c r="H85" s="48" t="b">
        <f ca="1">COUNTIF(tblQuestObjectives[ObjectiveID], $A85) &gt; 0</f>
        <v>1</v>
      </c>
      <c r="I85" s="48" t="b">
        <f ca="1">COUNTIF(tblTargetStatus[TargetID], $A85) &gt; 0</f>
        <v>1</v>
      </c>
      <c r="J85" s="48" t="b">
        <f ca="1">COUNTIF(tblCost[TargetID], $A85) &gt; 0</f>
        <v>1</v>
      </c>
      <c r="K85" s="48" t="b">
        <f ca="1">COUNTIF(tblStates[StateID], $A85) &gt; 0</f>
        <v>0</v>
      </c>
      <c r="L85" s="48" t="b">
        <f t="shared" ca="1" si="3"/>
        <v>1</v>
      </c>
      <c r="M85" s="48" t="b">
        <f ca="1">IF(tblValidation[[#This Row],[TargetID]]="","",COUNTIF(tblTargets[TargetID],A85)&gt;1)</f>
        <v>0</v>
      </c>
      <c r="N85" s="48" t="b">
        <f ca="1">IF(tblValidation[[#This Row],[TargetID]]="","",COUNTIF(tblStates[StateID],tblValidation[[#This Row],[TargetID]])&gt;1)</f>
        <v>0</v>
      </c>
      <c r="O85" s="48" t="b" cm="1">
        <f t="array" aca="1" ref="O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5" s="48"/>
      <c r="R85" s="48"/>
      <c r="S85" s="48"/>
      <c r="T85" s="48"/>
      <c r="V85" s="49" t="str">
        <f ca="1"/>
        <v>building.pier@1</v>
      </c>
      <c r="W85" s="49" t="str">
        <f ca="1"/>
        <v>state.meet_old_man@4c</v>
      </c>
      <c r="X85" s="49" t="str">
        <f ca="1"/>
        <v>building.pier@1</v>
      </c>
      <c r="Y85" s="2" t="str">
        <f ca="1"/>
        <v>building.smithy@3</v>
      </c>
      <c r="Z85" s="2" t="str">
        <f ca="1"/>
        <v>building.rock_garden.maxed</v>
      </c>
      <c r="AA85" s="2" t="str">
        <f ca="1"/>
        <v>building.shop.maxed</v>
      </c>
      <c r="AC85" s="2" t="str">
        <f ca="1"/>
        <v>state.meet_foodie_demon@f2</v>
      </c>
      <c r="AD85" s="2" t="str">
        <f ca="1"/>
        <v>building.pier@1</v>
      </c>
      <c r="AE85" s="2" t="str">
        <f ca="1"/>
        <v>building.tailor@1</v>
      </c>
    </row>
    <row r="86" spans="1:31" ht="29">
      <c r="A86" t="str">
        <f t="shared" ca="1" si="2"/>
        <v>building.rock_garden.maxed</v>
      </c>
      <c r="B86" t="str">
        <f ca="1">_xlfn.XLOOKUP(tblValidation[[#This Row],[TargetID]],tblTargets[TargetID],tblTargets[TargetType],"")</f>
        <v>BUILDING</v>
      </c>
      <c r="C86" s="48" t="b">
        <f ca="1">COUNTIF(tblTargets[TargetID], $A86) &gt; 0</f>
        <v>1</v>
      </c>
      <c r="D86" s="48" t="b">
        <f ca="1">IF(OR(LEFT(tblValidation[[#This Row],[TargetID]],10)="state.CHAR",RIGHT(tblValidation[[#This Row],[TargetID]],5)="maxed"),TRUE, COUNTIF(tblChecklist[TargetID], $A86) &gt; 0)</f>
        <v>1</v>
      </c>
      <c r="E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$A86) &gt; 0)</f>
        <v>1</v>
      </c>
      <c r="F86" s="48" t="b">
        <f ca="1">COUNTIF(tblDependencies[DependencyID], $A86) &gt; 0</f>
        <v>1</v>
      </c>
      <c r="G86" s="48" t="b">
        <f ca="1">COUNTIF(tblQuestObjectives[QuestTargetID], $A86) &gt; 0</f>
        <v>0</v>
      </c>
      <c r="H86" s="48" t="b">
        <f ca="1">COUNTIF(tblQuestObjectives[ObjectiveID], $A86) &gt; 0</f>
        <v>0</v>
      </c>
      <c r="I86" s="48" t="b">
        <f ca="1">COUNTIF(tblTargetStatus[TargetID], $A86) &gt; 0</f>
        <v>1</v>
      </c>
      <c r="J86" s="48" t="b">
        <f ca="1">COUNTIF(tblCost[TargetID], $A86) &gt; 0</f>
        <v>0</v>
      </c>
      <c r="K86" s="48" t="b">
        <f ca="1">COUNTIF(tblStates[StateID], $A86) &gt; 0</f>
        <v>0</v>
      </c>
      <c r="L86" s="48" t="b">
        <f t="shared" ca="1" si="3"/>
        <v>1</v>
      </c>
      <c r="M86" s="48" t="b">
        <f ca="1">IF(tblValidation[[#This Row],[TargetID]]="","",COUNTIF(tblTargets[TargetID],A86)&gt;1)</f>
        <v>0</v>
      </c>
      <c r="N86" s="48" t="b">
        <f ca="1">IF(tblValidation[[#This Row],[TargetID]]="","",COUNTIF(tblStates[StateID],tblValidation[[#This Row],[TargetID]])&gt;1)</f>
        <v>0</v>
      </c>
      <c r="O86" s="48" t="b" cm="1">
        <f t="array" aca="1" ref="O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6" s="48"/>
      <c r="R86" s="48"/>
      <c r="S86" s="48"/>
      <c r="T86" s="48"/>
      <c r="V86" s="49" t="str">
        <f ca="1"/>
        <v>building.rock_garden.maxed</v>
      </c>
      <c r="W86" s="49" t="str">
        <f ca="1"/>
        <v>state.meet_pilot@f3</v>
      </c>
      <c r="X86" s="49" t="str">
        <f ca="1"/>
        <v>building.rock_garden.maxed</v>
      </c>
      <c r="Y86" s="2" t="str">
        <f ca="1"/>
        <v>building.station@1</v>
      </c>
      <c r="Z86" s="2" t="str">
        <f ca="1"/>
        <v>building.rock_garden@1</v>
      </c>
      <c r="AA86" s="2" t="str">
        <f ca="1"/>
        <v>building.shop@1</v>
      </c>
      <c r="AC86" s="2" t="str">
        <f ca="1"/>
        <v>state.meet_raven@f2</v>
      </c>
      <c r="AD86" s="2" t="str">
        <f ca="1"/>
        <v>building.rock_garden.maxed</v>
      </c>
      <c r="AE86" s="2" t="str">
        <f ca="1"/>
        <v>building.tailor@2</v>
      </c>
    </row>
    <row r="87" spans="1:31" ht="29">
      <c r="A87" t="str">
        <f t="shared" ca="1" si="2"/>
        <v>building.rock_garden@1</v>
      </c>
      <c r="B87" t="str">
        <f ca="1">_xlfn.XLOOKUP(tblValidation[[#This Row],[TargetID]],tblTargets[TargetID],tblTargets[TargetType],"")</f>
        <v>BUILDING</v>
      </c>
      <c r="C87" s="48" t="b">
        <f ca="1">COUNTIF(tblTargets[TargetID], $A87) &gt; 0</f>
        <v>1</v>
      </c>
      <c r="D87" s="48" t="b">
        <f ca="1">IF(OR(LEFT(tblValidation[[#This Row],[TargetID]],10)="state.CHAR",RIGHT(tblValidation[[#This Row],[TargetID]],5)="maxed"),TRUE, COUNTIF(tblChecklist[TargetID], $A87) &gt; 0)</f>
        <v>1</v>
      </c>
      <c r="E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$A87) &gt; 0)</f>
        <v>1</v>
      </c>
      <c r="F87" s="48" t="b">
        <f ca="1">COUNTIF(tblDependencies[DependencyID], $A87) &gt; 0</f>
        <v>1</v>
      </c>
      <c r="G87" s="48" t="b">
        <f ca="1">COUNTIF(tblQuestObjectives[QuestTargetID], $A87) &gt; 0</f>
        <v>0</v>
      </c>
      <c r="H87" s="48" t="b">
        <f ca="1">COUNTIF(tblQuestObjectives[ObjectiveID], $A87) &gt; 0</f>
        <v>0</v>
      </c>
      <c r="I87" s="48" t="b">
        <f ca="1">COUNTIF(tblTargetStatus[TargetID], $A87) &gt; 0</f>
        <v>1</v>
      </c>
      <c r="J87" s="48" t="b">
        <f ca="1">COUNTIF(tblCost[TargetID], $A87) &gt; 0</f>
        <v>1</v>
      </c>
      <c r="K87" s="48" t="b">
        <f ca="1">COUNTIF(tblStates[StateID], $A87) &gt; 0</f>
        <v>0</v>
      </c>
      <c r="L87" s="48" t="b">
        <f t="shared" ca="1" si="3"/>
        <v>1</v>
      </c>
      <c r="M87" s="48" t="b">
        <f ca="1">IF(tblValidation[[#This Row],[TargetID]]="","",COUNTIF(tblTargets[TargetID],A87)&gt;1)</f>
        <v>0</v>
      </c>
      <c r="N87" s="48" t="b">
        <f ca="1">IF(tblValidation[[#This Row],[TargetID]]="","",COUNTIF(tblStates[StateID],tblValidation[[#This Row],[TargetID]])&gt;1)</f>
        <v>0</v>
      </c>
      <c r="O87" s="48" t="b" cm="1">
        <f t="array" aca="1" ref="O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7" s="48"/>
      <c r="R87" s="48"/>
      <c r="S87" s="48"/>
      <c r="T87" s="48"/>
      <c r="V87" s="49" t="str">
        <f ca="1"/>
        <v>building.rock_garden@1</v>
      </c>
      <c r="W87" s="49" t="str">
        <f ca="1"/>
        <v>state.meet_pirate_skeleton@3a</v>
      </c>
      <c r="X87" s="2" t="str">
        <f ca="1"/>
        <v>building.rock_garden@1</v>
      </c>
      <c r="Y87" s="2" t="str">
        <f ca="1"/>
        <v>building.tailor@1</v>
      </c>
      <c r="Z87" s="2" t="str">
        <f ca="1"/>
        <v>building.rock_garden@2</v>
      </c>
      <c r="AA87" s="2" t="str">
        <f ca="1"/>
        <v>building.shop@2</v>
      </c>
      <c r="AC87" s="2" t="str">
        <f ca="1"/>
        <v>state.obtain_8_malu</v>
      </c>
      <c r="AD87" s="2" t="str">
        <f ca="1"/>
        <v>building.rock_garden@1</v>
      </c>
      <c r="AE87" s="2" t="str">
        <f ca="1"/>
        <v>building.tailor@3</v>
      </c>
    </row>
    <row r="88" spans="1:31" ht="29">
      <c r="A88" t="str">
        <f t="shared" ca="1" si="2"/>
        <v>building.rock_garden@2</v>
      </c>
      <c r="B88" t="str">
        <f ca="1">_xlfn.XLOOKUP(tblValidation[[#This Row],[TargetID]],tblTargets[TargetID],tblTargets[TargetType],"")</f>
        <v>BUILDING</v>
      </c>
      <c r="C88" s="48" t="b">
        <f ca="1">COUNTIF(tblTargets[TargetID], $A88) &gt; 0</f>
        <v>1</v>
      </c>
      <c r="D88" s="48" t="b">
        <f ca="1">IF(OR(LEFT(tblValidation[[#This Row],[TargetID]],10)="state.CHAR",RIGHT(tblValidation[[#This Row],[TargetID]],5)="maxed"),TRUE, COUNTIF(tblChecklist[TargetID], $A88) &gt; 0)</f>
        <v>1</v>
      </c>
      <c r="E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$A88) &gt; 0)</f>
        <v>1</v>
      </c>
      <c r="F88" s="48" t="b">
        <f ca="1">COUNTIF(tblDependencies[DependencyID], $A88) &gt; 0</f>
        <v>1</v>
      </c>
      <c r="G88" s="48" t="b">
        <f ca="1">COUNTIF(tblQuestObjectives[QuestTargetID], $A88) &gt; 0</f>
        <v>0</v>
      </c>
      <c r="H88" s="48" t="b">
        <f ca="1">COUNTIF(tblQuestObjectives[ObjectiveID], $A88) &gt; 0</f>
        <v>0</v>
      </c>
      <c r="I88" s="48" t="b">
        <f ca="1">COUNTIF(tblTargetStatus[TargetID], $A88) &gt; 0</f>
        <v>1</v>
      </c>
      <c r="J88" s="48" t="b">
        <f ca="1">COUNTIF(tblCost[TargetID], $A88) &gt; 0</f>
        <v>1</v>
      </c>
      <c r="K88" s="48" t="b">
        <f ca="1">COUNTIF(tblStates[StateID], $A88) &gt; 0</f>
        <v>0</v>
      </c>
      <c r="L88" s="48" t="b">
        <f t="shared" ca="1" si="3"/>
        <v>1</v>
      </c>
      <c r="M88" s="48" t="b">
        <f ca="1">IF(tblValidation[[#This Row],[TargetID]]="","",COUNTIF(tblTargets[TargetID],A88)&gt;1)</f>
        <v>0</v>
      </c>
      <c r="N88" s="48" t="b">
        <f ca="1">IF(tblValidation[[#This Row],[TargetID]]="","",COUNTIF(tblStates[StateID],tblValidation[[#This Row],[TargetID]])&gt;1)</f>
        <v>0</v>
      </c>
      <c r="O88" s="48" t="b" cm="1">
        <f t="array" aca="1" ref="O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8" s="48"/>
      <c r="R88" s="48"/>
      <c r="S88" s="48"/>
      <c r="T88" s="48"/>
      <c r="V88" s="49" t="str">
        <f ca="1"/>
        <v>building.rock_garden@2</v>
      </c>
      <c r="W88" s="49" t="str">
        <f ca="1"/>
        <v>state.meet_raven@f1_first_time</v>
      </c>
      <c r="X88" s="2" t="str">
        <f ca="1"/>
        <v>building.rock_garden@2</v>
      </c>
      <c r="Y88" s="2" t="str">
        <f ca="1"/>
        <v>building.tailor@2</v>
      </c>
      <c r="Z88" s="2" t="str">
        <f ca="1"/>
        <v>building.rock_garden@3</v>
      </c>
      <c r="AA88" s="2" t="str">
        <f ca="1"/>
        <v>building.shop@3</v>
      </c>
      <c r="AC88" s="2" t="str">
        <f ca="1"/>
        <v>state.obtain_all_emerald_shards</v>
      </c>
      <c r="AD88" s="2" t="str">
        <f ca="1"/>
        <v>building.rock_garden@2</v>
      </c>
      <c r="AE88" s="2" t="str">
        <f ca="1"/>
        <v>building.train@1</v>
      </c>
    </row>
    <row r="89" spans="1:31" ht="29">
      <c r="A89" t="str">
        <f t="shared" ca="1" si="2"/>
        <v>building.rock_garden@3</v>
      </c>
      <c r="B89" t="str">
        <f ca="1">_xlfn.XLOOKUP(tblValidation[[#This Row],[TargetID]],tblTargets[TargetID],tblTargets[TargetType],"")</f>
        <v>BUILDING</v>
      </c>
      <c r="C89" s="48" t="b">
        <f ca="1">COUNTIF(tblTargets[TargetID], $A89) &gt; 0</f>
        <v>1</v>
      </c>
      <c r="D89" s="48" t="b">
        <f ca="1">IF(OR(LEFT(tblValidation[[#This Row],[TargetID]],10)="state.CHAR",RIGHT(tblValidation[[#This Row],[TargetID]],5)="maxed"),TRUE, COUNTIF(tblChecklist[TargetID], $A89) &gt; 0)</f>
        <v>1</v>
      </c>
      <c r="E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$A89) &gt; 0)</f>
        <v>1</v>
      </c>
      <c r="F89" s="48" t="b">
        <f ca="1">COUNTIF(tblDependencies[DependencyID], $A89) &gt; 0</f>
        <v>1</v>
      </c>
      <c r="G89" s="48" t="b">
        <f ca="1">COUNTIF(tblQuestObjectives[QuestTargetID], $A89) &gt; 0</f>
        <v>0</v>
      </c>
      <c r="H89" s="48" t="b">
        <f ca="1">COUNTIF(tblQuestObjectives[ObjectiveID], $A89) &gt; 0</f>
        <v>0</v>
      </c>
      <c r="I89" s="48" t="b">
        <f ca="1">COUNTIF(tblTargetStatus[TargetID], $A89) &gt; 0</f>
        <v>1</v>
      </c>
      <c r="J89" s="48" t="b">
        <f ca="1">COUNTIF(tblCost[TargetID], $A89) &gt; 0</f>
        <v>1</v>
      </c>
      <c r="K89" s="48" t="b">
        <f ca="1">COUNTIF(tblStates[StateID], $A89) &gt; 0</f>
        <v>0</v>
      </c>
      <c r="L89" s="48" t="b">
        <f t="shared" ca="1" si="3"/>
        <v>1</v>
      </c>
      <c r="M89" s="48" t="b">
        <f ca="1">IF(tblValidation[[#This Row],[TargetID]]="","",COUNTIF(tblTargets[TargetID],A89)&gt;1)</f>
        <v>0</v>
      </c>
      <c r="N89" s="48" t="b">
        <f ca="1">IF(tblValidation[[#This Row],[TargetID]]="","",COUNTIF(tblStates[StateID],tblValidation[[#This Row],[TargetID]])&gt;1)</f>
        <v>0</v>
      </c>
      <c r="O89" s="48" t="b" cm="1">
        <f t="array" aca="1" ref="O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9" s="48"/>
      <c r="R89" s="48"/>
      <c r="S89" s="48"/>
      <c r="T89" s="48"/>
      <c r="V89" s="49" t="str">
        <f ca="1"/>
        <v>building.rock_garden@3</v>
      </c>
      <c r="W89" s="49" t="str">
        <f ca="1"/>
        <v>state.meet_raven@f1_second_time</v>
      </c>
      <c r="X89" s="49" t="str">
        <f ca="1"/>
        <v>building.rock_garden@3</v>
      </c>
      <c r="Y89" s="2" t="str">
        <f ca="1"/>
        <v>building.tailor@3</v>
      </c>
      <c r="Z89" s="2" t="str">
        <f ca="1"/>
        <v>building.ship@1</v>
      </c>
      <c r="AA89" s="2" t="str">
        <f ca="1"/>
        <v>building.smithy.maxed</v>
      </c>
      <c r="AC89" s="2" t="str">
        <f ca="1"/>
        <v>state.obtain_armor4</v>
      </c>
      <c r="AD89" s="2" t="str">
        <f ca="1"/>
        <v>building.rock_garden@3</v>
      </c>
      <c r="AE89" s="2" t="str">
        <f ca="1"/>
        <v>building.train@2</v>
      </c>
    </row>
    <row r="90" spans="1:31">
      <c r="A90" t="str">
        <f t="shared" ca="1" si="2"/>
        <v>building.ship@1</v>
      </c>
      <c r="B90" t="str">
        <f ca="1">_xlfn.XLOOKUP(tblValidation[[#This Row],[TargetID]],tblTargets[TargetID],tblTargets[TargetType],"")</f>
        <v>BUILDING</v>
      </c>
      <c r="C90" s="48" t="b">
        <f ca="1">COUNTIF(tblTargets[TargetID], $A90) &gt; 0</f>
        <v>1</v>
      </c>
      <c r="D90" s="48" t="b">
        <f ca="1">IF(OR(LEFT(tblValidation[[#This Row],[TargetID]],10)="state.CHAR",RIGHT(tblValidation[[#This Row],[TargetID]],5)="maxed"),TRUE, COUNTIF(tblChecklist[TargetID], $A90) &gt; 0)</f>
        <v>1</v>
      </c>
      <c r="E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$A90) &gt; 0)</f>
        <v>1</v>
      </c>
      <c r="F90" s="48" t="b">
        <f ca="1">COUNTIF(tblDependencies[DependencyID], $A90) &gt; 0</f>
        <v>1</v>
      </c>
      <c r="G90" s="48" t="b">
        <f ca="1">COUNTIF(tblQuestObjectives[QuestTargetID], $A90) &gt; 0</f>
        <v>0</v>
      </c>
      <c r="H90" s="48" t="b">
        <f ca="1">COUNTIF(tblQuestObjectives[ObjectiveID], $A90) &gt; 0</f>
        <v>1</v>
      </c>
      <c r="I90" s="48" t="b">
        <f ca="1">COUNTIF(tblTargetStatus[TargetID], $A90) &gt; 0</f>
        <v>1</v>
      </c>
      <c r="J90" s="48" t="b">
        <f ca="1">COUNTIF(tblCost[TargetID], $A90) &gt; 0</f>
        <v>1</v>
      </c>
      <c r="K90" s="48" t="b">
        <f ca="1">COUNTIF(tblStates[StateID], $A90) &gt; 0</f>
        <v>0</v>
      </c>
      <c r="L90" s="48" t="b">
        <f t="shared" ca="1" si="3"/>
        <v>1</v>
      </c>
      <c r="M90" s="48" t="b">
        <f ca="1">IF(tblValidation[[#This Row],[TargetID]]="","",COUNTIF(tblTargets[TargetID],A90)&gt;1)</f>
        <v>0</v>
      </c>
      <c r="N90" s="48" t="b">
        <f ca="1">IF(tblValidation[[#This Row],[TargetID]]="","",COUNTIF(tblStates[StateID],tblValidation[[#This Row],[TargetID]])&gt;1)</f>
        <v>0</v>
      </c>
      <c r="O90" s="48" t="b" cm="1">
        <f t="array" aca="1" ref="O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0" s="48"/>
      <c r="R90" s="48"/>
      <c r="S90" s="48"/>
      <c r="T90" s="48"/>
      <c r="V90" s="49" t="str">
        <f ca="1"/>
        <v>building.ship@1</v>
      </c>
      <c r="W90" s="49" t="str">
        <f ca="1"/>
        <v>state.meet_raven@f1_third_time</v>
      </c>
      <c r="X90" s="49" t="str">
        <f ca="1"/>
        <v>building.ship@1</v>
      </c>
      <c r="Y90" s="2" t="str">
        <f ca="1"/>
        <v>building.train@1</v>
      </c>
      <c r="Z90" s="2" t="str">
        <f ca="1"/>
        <v>building.ship@2</v>
      </c>
      <c r="AA90" s="2" t="str">
        <f ca="1"/>
        <v>building.smithy@1</v>
      </c>
      <c r="AC90" s="2" t="str">
        <f ca="1"/>
        <v>state.obtain_armor4+</v>
      </c>
      <c r="AD90" s="2" t="str">
        <f ca="1"/>
        <v>building.ship@1</v>
      </c>
      <c r="AE90" s="2" t="str">
        <f ca="1"/>
        <v>building.train_freight_carriage@1</v>
      </c>
    </row>
    <row r="91" spans="1:31">
      <c r="A91" t="str">
        <f t="shared" ca="1" si="2"/>
        <v>building.ship@2</v>
      </c>
      <c r="B91" t="str">
        <f ca="1">_xlfn.XLOOKUP(tblValidation[[#This Row],[TargetID]],tblTargets[TargetID],tblTargets[TargetType],"")</f>
        <v>BUILDING</v>
      </c>
      <c r="C91" s="48" t="b">
        <f ca="1">COUNTIF(tblTargets[TargetID], $A91) &gt; 0</f>
        <v>1</v>
      </c>
      <c r="D91" s="48" t="b">
        <f ca="1">IF(OR(LEFT(tblValidation[[#This Row],[TargetID]],10)="state.CHAR",RIGHT(tblValidation[[#This Row],[TargetID]],5)="maxed"),TRUE, COUNTIF(tblChecklist[TargetID], $A91) &gt; 0)</f>
        <v>1</v>
      </c>
      <c r="E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$A91) &gt; 0)</f>
        <v>1</v>
      </c>
      <c r="F91" s="48" t="b">
        <f ca="1">COUNTIF(tblDependencies[DependencyID], $A91) &gt; 0</f>
        <v>1</v>
      </c>
      <c r="G91" s="48" t="b">
        <f ca="1">COUNTIF(tblQuestObjectives[QuestTargetID], $A91) &gt; 0</f>
        <v>0</v>
      </c>
      <c r="H91" s="48" t="b">
        <f ca="1">COUNTIF(tblQuestObjectives[ObjectiveID], $A91) &gt; 0</f>
        <v>1</v>
      </c>
      <c r="I91" s="48" t="b">
        <f ca="1">COUNTIF(tblTargetStatus[TargetID], $A91) &gt; 0</f>
        <v>1</v>
      </c>
      <c r="J91" s="48" t="b">
        <f ca="1">COUNTIF(tblCost[TargetID], $A91) &gt; 0</f>
        <v>1</v>
      </c>
      <c r="K91" s="48" t="b">
        <f ca="1">COUNTIF(tblStates[StateID], $A91) &gt; 0</f>
        <v>0</v>
      </c>
      <c r="L91" s="48" t="b">
        <f t="shared" ca="1" si="3"/>
        <v>1</v>
      </c>
      <c r="M91" s="48" t="b">
        <f ca="1">IF(tblValidation[[#This Row],[TargetID]]="","",COUNTIF(tblTargets[TargetID],A91)&gt;1)</f>
        <v>0</v>
      </c>
      <c r="N91" s="48" t="b">
        <f ca="1">IF(tblValidation[[#This Row],[TargetID]]="","",COUNTIF(tblStates[StateID],tblValidation[[#This Row],[TargetID]])&gt;1)</f>
        <v>0</v>
      </c>
      <c r="O91" s="48" t="b" cm="1">
        <f t="array" aca="1" ref="O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1" s="48"/>
      <c r="R91" s="48"/>
      <c r="S91" s="48"/>
      <c r="T91" s="48"/>
      <c r="U91" s="49"/>
      <c r="V91" s="49" t="str">
        <f ca="1"/>
        <v>building.ship@2</v>
      </c>
      <c r="W91" s="49" t="str">
        <f ca="1"/>
        <v>state.meet_raven@f2</v>
      </c>
      <c r="X91" s="49" t="str">
        <f ca="1"/>
        <v>building.ship@2</v>
      </c>
      <c r="Y91" s="2" t="str">
        <f ca="1"/>
        <v>building.train@2</v>
      </c>
      <c r="Z91" s="2" t="str">
        <f ca="1"/>
        <v>building.ship@3</v>
      </c>
      <c r="AA91" s="2" t="str">
        <f ca="1"/>
        <v>building.smithy@2</v>
      </c>
      <c r="AC91" s="2" t="str">
        <f ca="1"/>
        <v>state.obtain_Black_Pearl</v>
      </c>
      <c r="AD91" s="2" t="str">
        <f ca="1"/>
        <v>building.ship@2</v>
      </c>
      <c r="AE91" s="2" t="str">
        <f ca="1"/>
        <v>building.train_freight_carriage@2</v>
      </c>
    </row>
    <row r="92" spans="1:31">
      <c r="A92" t="str">
        <f t="shared" ca="1" si="2"/>
        <v>building.ship@3</v>
      </c>
      <c r="B92" t="str">
        <f ca="1">_xlfn.XLOOKUP(tblValidation[[#This Row],[TargetID]],tblTargets[TargetID],tblTargets[TargetType],"")</f>
        <v>BUILDING</v>
      </c>
      <c r="C92" s="48" t="b">
        <f ca="1">COUNTIF(tblTargets[TargetID], $A92) &gt; 0</f>
        <v>1</v>
      </c>
      <c r="D92" s="48" t="b">
        <f ca="1">IF(OR(LEFT(tblValidation[[#This Row],[TargetID]],10)="state.CHAR",RIGHT(tblValidation[[#This Row],[TargetID]],5)="maxed"),TRUE, COUNTIF(tblChecklist[TargetID], $A92) &gt; 0)</f>
        <v>1</v>
      </c>
      <c r="E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$A92) &gt; 0)</f>
        <v>1</v>
      </c>
      <c r="F92" s="48" t="b">
        <f ca="1">COUNTIF(tblDependencies[DependencyID], $A92) &gt; 0</f>
        <v>1</v>
      </c>
      <c r="G92" s="48" t="b">
        <f ca="1">COUNTIF(tblQuestObjectives[QuestTargetID], $A92) &gt; 0</f>
        <v>0</v>
      </c>
      <c r="H92" s="48" t="b">
        <f ca="1">COUNTIF(tblQuestObjectives[ObjectiveID], $A92) &gt; 0</f>
        <v>1</v>
      </c>
      <c r="I92" s="48" t="b">
        <f ca="1">COUNTIF(tblTargetStatus[TargetID], $A92) &gt; 0</f>
        <v>1</v>
      </c>
      <c r="J92" s="48" t="b">
        <f ca="1">COUNTIF(tblCost[TargetID], $A92) &gt; 0</f>
        <v>1</v>
      </c>
      <c r="K92" s="48" t="b">
        <f ca="1">COUNTIF(tblStates[StateID], $A92) &gt; 0</f>
        <v>0</v>
      </c>
      <c r="L92" s="48" t="b">
        <f t="shared" ca="1" si="3"/>
        <v>1</v>
      </c>
      <c r="M92" s="48" t="b">
        <f ca="1">IF(tblValidation[[#This Row],[TargetID]]="","",COUNTIF(tblTargets[TargetID],A92)&gt;1)</f>
        <v>0</v>
      </c>
      <c r="N92" s="48" t="b">
        <f ca="1">IF(tblValidation[[#This Row],[TargetID]]="","",COUNTIF(tblStates[StateID],tblValidation[[#This Row],[TargetID]])&gt;1)</f>
        <v>0</v>
      </c>
      <c r="O92" s="48" t="b" cm="1">
        <f t="array" aca="1" ref="O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2" s="48"/>
      <c r="R92" s="48"/>
      <c r="S92" s="48"/>
      <c r="T92" s="48"/>
      <c r="V92" s="49" t="str">
        <f ca="1"/>
        <v>building.ship@3</v>
      </c>
      <c r="W92" s="49" t="str">
        <f ca="1"/>
        <v>state.meet_raven@f3</v>
      </c>
      <c r="X92" s="49" t="str">
        <f ca="1"/>
        <v>building.ship@3</v>
      </c>
      <c r="Y92" s="2" t="str">
        <f ca="1"/>
        <v>building.train_freight_carriage@1</v>
      </c>
      <c r="Z92" s="2" t="str">
        <f ca="1"/>
        <v>building.ship@4</v>
      </c>
      <c r="AA92" s="2" t="str">
        <f ca="1"/>
        <v>building.smithy@3</v>
      </c>
      <c r="AC92" s="2" t="str">
        <f ca="1"/>
        <v>state.obtain_blueprint</v>
      </c>
      <c r="AD92" s="2" t="str">
        <f ca="1"/>
        <v>building.ship@3</v>
      </c>
      <c r="AE92" s="2" t="str">
        <f ca="1"/>
        <v>building.train_passenger_carriage@1</v>
      </c>
    </row>
    <row r="93" spans="1:31">
      <c r="A93" t="str">
        <f t="shared" ca="1" si="2"/>
        <v>building.ship@4</v>
      </c>
      <c r="B93" t="str">
        <f ca="1">_xlfn.XLOOKUP(tblValidation[[#This Row],[TargetID]],tblTargets[TargetID],tblTargets[TargetType],"")</f>
        <v>BUILDING</v>
      </c>
      <c r="C93" s="48" t="b">
        <f ca="1">COUNTIF(tblTargets[TargetID], $A93) &gt; 0</f>
        <v>1</v>
      </c>
      <c r="D93" s="48" t="b">
        <f ca="1">IF(OR(LEFT(tblValidation[[#This Row],[TargetID]],10)="state.CHAR",RIGHT(tblValidation[[#This Row],[TargetID]],5)="maxed"),TRUE, COUNTIF(tblChecklist[TargetID], $A93) &gt; 0)</f>
        <v>1</v>
      </c>
      <c r="E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$A93) &gt; 0)</f>
        <v>1</v>
      </c>
      <c r="F93" s="48" t="b">
        <f ca="1">COUNTIF(tblDependencies[DependencyID], $A93) &gt; 0</f>
        <v>1</v>
      </c>
      <c r="G93" s="48" t="b">
        <f ca="1">COUNTIF(tblQuestObjectives[QuestTargetID], $A93) &gt; 0</f>
        <v>0</v>
      </c>
      <c r="H93" s="48" t="b">
        <f ca="1">COUNTIF(tblQuestObjectives[ObjectiveID], $A93) &gt; 0</f>
        <v>1</v>
      </c>
      <c r="I93" s="48" t="b">
        <f ca="1">COUNTIF(tblTargetStatus[TargetID], $A93) &gt; 0</f>
        <v>1</v>
      </c>
      <c r="J93" s="48" t="b">
        <f ca="1">COUNTIF(tblCost[TargetID], $A93) &gt; 0</f>
        <v>1</v>
      </c>
      <c r="K93" s="48" t="b">
        <f ca="1">COUNTIF(tblStates[StateID], $A93) &gt; 0</f>
        <v>0</v>
      </c>
      <c r="L93" s="48" t="b">
        <f t="shared" ca="1" si="3"/>
        <v>1</v>
      </c>
      <c r="M93" s="48" t="b">
        <f ca="1">IF(tblValidation[[#This Row],[TargetID]]="","",COUNTIF(tblTargets[TargetID],A93)&gt;1)</f>
        <v>0</v>
      </c>
      <c r="N93" s="48" t="b">
        <f ca="1">IF(tblValidation[[#This Row],[TargetID]]="","",COUNTIF(tblStates[StateID],tblValidation[[#This Row],[TargetID]])&gt;1)</f>
        <v>0</v>
      </c>
      <c r="O93" s="48" t="b" cm="1">
        <f t="array" aca="1" ref="O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3" s="48"/>
      <c r="R93" s="48"/>
      <c r="S93" s="48"/>
      <c r="T93" s="48"/>
      <c r="V93" s="49" t="str">
        <f ca="1"/>
        <v>building.ship@4</v>
      </c>
      <c r="W93" s="49" t="str">
        <f ca="1"/>
        <v>state.meet_royal_rat@6b</v>
      </c>
      <c r="X93" s="49" t="str">
        <f ca="1"/>
        <v>building.ship@4</v>
      </c>
      <c r="Y93" s="2" t="str">
        <f ca="1"/>
        <v>building.train_freight_carriage@2</v>
      </c>
      <c r="Z93" s="2" t="str">
        <f ca="1"/>
        <v>building.shop.maxed</v>
      </c>
      <c r="AA93" s="2" t="str">
        <f ca="1"/>
        <v>building.station@1</v>
      </c>
      <c r="AC93" s="2" t="str">
        <f ca="1"/>
        <v>state.obtain_hide</v>
      </c>
      <c r="AD93" s="2" t="str">
        <f ca="1"/>
        <v>building.ship@4</v>
      </c>
      <c r="AE93" s="2" t="str">
        <f ca="1"/>
        <v>building.train_passenger_carriage@2</v>
      </c>
    </row>
    <row r="94" spans="1:31" ht="29">
      <c r="A94" t="str">
        <f t="shared" ca="1" si="2"/>
        <v>building.shop.maxed</v>
      </c>
      <c r="B94" t="str">
        <f ca="1">_xlfn.XLOOKUP(tblValidation[[#This Row],[TargetID]],tblTargets[TargetID],tblTargets[TargetType],"")</f>
        <v>BUILDING</v>
      </c>
      <c r="C94" s="48" t="b">
        <f ca="1">COUNTIF(tblTargets[TargetID], $A94) &gt; 0</f>
        <v>1</v>
      </c>
      <c r="D94" s="48" t="b">
        <f ca="1">IF(OR(LEFT(tblValidation[[#This Row],[TargetID]],10)="state.CHAR",RIGHT(tblValidation[[#This Row],[TargetID]],5)="maxed"),TRUE, COUNTIF(tblChecklist[TargetID], $A94) &gt; 0)</f>
        <v>1</v>
      </c>
      <c r="E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$A94) &gt; 0)</f>
        <v>1</v>
      </c>
      <c r="F94" s="48" t="b">
        <f ca="1">COUNTIF(tblDependencies[DependencyID], $A94) &gt; 0</f>
        <v>1</v>
      </c>
      <c r="G94" s="48" t="b">
        <f ca="1">COUNTIF(tblQuestObjectives[QuestTargetID], $A94) &gt; 0</f>
        <v>0</v>
      </c>
      <c r="H94" s="48" t="b">
        <f ca="1">COUNTIF(tblQuestObjectives[ObjectiveID], $A94) &gt; 0</f>
        <v>0</v>
      </c>
      <c r="I94" s="48" t="b">
        <f ca="1">COUNTIF(tblTargetStatus[TargetID], $A94) &gt; 0</f>
        <v>1</v>
      </c>
      <c r="J94" s="48" t="b">
        <f ca="1">COUNTIF(tblCost[TargetID], $A94) &gt; 0</f>
        <v>0</v>
      </c>
      <c r="K94" s="48" t="b">
        <f ca="1">COUNTIF(tblStates[StateID], $A94) &gt; 0</f>
        <v>0</v>
      </c>
      <c r="L94" s="48" t="b">
        <f t="shared" ca="1" si="3"/>
        <v>1</v>
      </c>
      <c r="M94" s="48" t="b">
        <f ca="1">IF(tblValidation[[#This Row],[TargetID]]="","",COUNTIF(tblTargets[TargetID],A94)&gt;1)</f>
        <v>0</v>
      </c>
      <c r="N94" s="48" t="b">
        <f ca="1">IF(tblValidation[[#This Row],[TargetID]]="","",COUNTIF(tblStates[StateID],tblValidation[[#This Row],[TargetID]])&gt;1)</f>
        <v>0</v>
      </c>
      <c r="O94" s="48" t="b" cm="1">
        <f t="array" aca="1" ref="O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4" s="48"/>
      <c r="R94" s="48"/>
      <c r="S94" s="48"/>
      <c r="T94" s="48"/>
      <c r="V94" s="49" t="str">
        <f ca="1"/>
        <v>building.shop.maxed</v>
      </c>
      <c r="W94" s="49" t="str">
        <f ca="1"/>
        <v>state.meet_samurai_panda@6a</v>
      </c>
      <c r="X94" s="49" t="str">
        <f ca="1"/>
        <v>building.shop.maxed</v>
      </c>
      <c r="Y94" s="2" t="str">
        <f ca="1"/>
        <v>building.train_passenger_carriage@1</v>
      </c>
      <c r="Z94" s="2" t="str">
        <f ca="1"/>
        <v>building.shop@1</v>
      </c>
      <c r="AA94" s="2" t="str">
        <f ca="1"/>
        <v>building.tailor.maxed</v>
      </c>
      <c r="AC94" s="2" t="str">
        <f ca="1"/>
        <v>state.obtain_level_2_artifact</v>
      </c>
      <c r="AD94" s="2" t="str">
        <f ca="1"/>
        <v>building.shop.maxed</v>
      </c>
      <c r="AE94" s="2" t="str">
        <f ca="1"/>
        <v>building.warehouse@1</v>
      </c>
    </row>
    <row r="95" spans="1:31">
      <c r="A95" t="str">
        <f t="shared" ca="1" si="2"/>
        <v>building.shop@1</v>
      </c>
      <c r="B95" t="str">
        <f ca="1">_xlfn.XLOOKUP(tblValidation[[#This Row],[TargetID]],tblTargets[TargetID],tblTargets[TargetType],"")</f>
        <v>BUILDING</v>
      </c>
      <c r="C95" s="48" t="b">
        <f ca="1">COUNTIF(tblTargets[TargetID], $A95) &gt; 0</f>
        <v>1</v>
      </c>
      <c r="D95" s="48" t="b">
        <f ca="1">IF(OR(LEFT(tblValidation[[#This Row],[TargetID]],10)="state.CHAR",RIGHT(tblValidation[[#This Row],[TargetID]],5)="maxed"),TRUE, COUNTIF(tblChecklist[TargetID], $A95) &gt; 0)</f>
        <v>1</v>
      </c>
      <c r="E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$A95) &gt; 0)</f>
        <v>1</v>
      </c>
      <c r="F95" s="48" t="b">
        <f ca="1">COUNTIF(tblDependencies[DependencyID], $A95) &gt; 0</f>
        <v>1</v>
      </c>
      <c r="G95" s="48" t="b">
        <f ca="1">COUNTIF(tblQuestObjectives[QuestTargetID], $A95) &gt; 0</f>
        <v>0</v>
      </c>
      <c r="H95" s="48" t="b">
        <f ca="1">COUNTIF(tblQuestObjectives[ObjectiveID], $A95) &gt; 0</f>
        <v>0</v>
      </c>
      <c r="I95" s="48" t="b">
        <f ca="1">COUNTIF(tblTargetStatus[TargetID], $A95) &gt; 0</f>
        <v>1</v>
      </c>
      <c r="J95" s="48" t="b">
        <f ca="1">COUNTIF(tblCost[TargetID], $A95) &gt; 0</f>
        <v>1</v>
      </c>
      <c r="K95" s="48" t="b">
        <f ca="1">COUNTIF(tblStates[StateID], $A95) &gt; 0</f>
        <v>0</v>
      </c>
      <c r="L95" s="48" t="b">
        <f t="shared" ca="1" si="3"/>
        <v>1</v>
      </c>
      <c r="M95" s="48" t="b">
        <f ca="1">IF(tblValidation[[#This Row],[TargetID]]="","",COUNTIF(tblTargets[TargetID],A95)&gt;1)</f>
        <v>0</v>
      </c>
      <c r="N95" s="48" t="b">
        <f ca="1">IF(tblValidation[[#This Row],[TargetID]]="","",COUNTIF(tblStates[StateID],tblValidation[[#This Row],[TargetID]])&gt;1)</f>
        <v>0</v>
      </c>
      <c r="O95" s="48" t="b" cm="1">
        <f t="array" aca="1" ref="O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5" s="48"/>
      <c r="R95" s="48"/>
      <c r="S95" s="48"/>
      <c r="T95" s="48"/>
      <c r="V95" s="49" t="str">
        <f ca="1"/>
        <v>building.shop@1</v>
      </c>
      <c r="W95" s="49" t="str">
        <f ca="1"/>
        <v>state.meet_traveling_merchant@1b</v>
      </c>
      <c r="X95" s="49" t="str">
        <f ca="1"/>
        <v>building.shop@1</v>
      </c>
      <c r="Y95" s="2" t="str">
        <f ca="1"/>
        <v>building.train_passenger_carriage@2</v>
      </c>
      <c r="Z95" s="2" t="str">
        <f ca="1"/>
        <v>building.shop@2</v>
      </c>
      <c r="AA95" s="2" t="str">
        <f ca="1"/>
        <v>building.tailor@1</v>
      </c>
      <c r="AC95" s="2" t="str">
        <f ca="1"/>
        <v>state.obtain_level_2_map</v>
      </c>
      <c r="AD95" s="2" t="str">
        <f ca="1"/>
        <v>building.shop@1</v>
      </c>
      <c r="AE95" s="2" t="str">
        <f ca="1"/>
        <v>building.warehouse@2</v>
      </c>
    </row>
    <row r="96" spans="1:31">
      <c r="A96" t="str">
        <f t="shared" ca="1" si="2"/>
        <v>building.shop@2</v>
      </c>
      <c r="B96" t="str">
        <f ca="1">_xlfn.XLOOKUP(tblValidation[[#This Row],[TargetID]],tblTargets[TargetID],tblTargets[TargetType],"")</f>
        <v>BUILDING</v>
      </c>
      <c r="C96" s="48" t="b">
        <f ca="1">COUNTIF(tblTargets[TargetID], $A96) &gt; 0</f>
        <v>1</v>
      </c>
      <c r="D96" s="48" t="b">
        <f ca="1">IF(OR(LEFT(tblValidation[[#This Row],[TargetID]],10)="state.CHAR",RIGHT(tblValidation[[#This Row],[TargetID]],5)="maxed"),TRUE, COUNTIF(tblChecklist[TargetID], $A96) &gt; 0)</f>
        <v>1</v>
      </c>
      <c r="E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$A96) &gt; 0)</f>
        <v>1</v>
      </c>
      <c r="F96" s="48" t="b">
        <f ca="1">COUNTIF(tblDependencies[DependencyID], $A96) &gt; 0</f>
        <v>1</v>
      </c>
      <c r="G96" s="48" t="b">
        <f ca="1">COUNTIF(tblQuestObjectives[QuestTargetID], $A96) &gt; 0</f>
        <v>0</v>
      </c>
      <c r="H96" s="48" t="b">
        <f ca="1">COUNTIF(tblQuestObjectives[ObjectiveID], $A96) &gt; 0</f>
        <v>0</v>
      </c>
      <c r="I96" s="48" t="b">
        <f ca="1">COUNTIF(tblTargetStatus[TargetID], $A96) &gt; 0</f>
        <v>1</v>
      </c>
      <c r="J96" s="48" t="b">
        <f ca="1">COUNTIF(tblCost[TargetID], $A96) &gt; 0</f>
        <v>1</v>
      </c>
      <c r="K96" s="48" t="b">
        <f ca="1">COUNTIF(tblStates[StateID], $A96) &gt; 0</f>
        <v>0</v>
      </c>
      <c r="L96" s="48" t="b">
        <f t="shared" ca="1" si="3"/>
        <v>1</v>
      </c>
      <c r="M96" s="48" t="b">
        <f ca="1">IF(tblValidation[[#This Row],[TargetID]]="","",COUNTIF(tblTargets[TargetID],A96)&gt;1)</f>
        <v>0</v>
      </c>
      <c r="N96" s="48" t="b">
        <f ca="1">IF(tblValidation[[#This Row],[TargetID]]="","",COUNTIF(tblStates[StateID],tblValidation[[#This Row],[TargetID]])&gt;1)</f>
        <v>0</v>
      </c>
      <c r="O96" s="48" t="b" cm="1">
        <f t="array" aca="1" ref="O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6" s="48"/>
      <c r="R96" s="48"/>
      <c r="S96" s="48"/>
      <c r="T96" s="48"/>
      <c r="V96" s="49" t="str">
        <f ca="1"/>
        <v>building.shop@2</v>
      </c>
      <c r="W96" s="49" t="str">
        <f ca="1"/>
        <v>state.obtain_8_malu</v>
      </c>
      <c r="X96" s="49" t="str">
        <f ca="1"/>
        <v>building.shop@2</v>
      </c>
      <c r="Y96" s="2" t="str">
        <f ca="1"/>
        <v>building.warehouse@1</v>
      </c>
      <c r="Z96" s="2" t="str">
        <f ca="1"/>
        <v>building.shop@3</v>
      </c>
      <c r="AA96" s="2" t="str">
        <f ca="1"/>
        <v>building.tailor@2</v>
      </c>
      <c r="AC96" s="2" t="str">
        <f ca="1"/>
        <v>state.obtain_level_3_artifact</v>
      </c>
      <c r="AD96" s="2" t="str">
        <f ca="1"/>
        <v>building.shop@2</v>
      </c>
      <c r="AE96" s="2" t="str">
        <f ca="1"/>
        <v>building.warehouse@3</v>
      </c>
    </row>
    <row r="97" spans="1:31">
      <c r="A97" t="str">
        <f t="shared" ca="1" si="2"/>
        <v>building.shop@3</v>
      </c>
      <c r="B97" t="str">
        <f ca="1">_xlfn.XLOOKUP(tblValidation[[#This Row],[TargetID]],tblTargets[TargetID],tblTargets[TargetType],"")</f>
        <v>BUILDING</v>
      </c>
      <c r="C97" s="48" t="b">
        <f ca="1">COUNTIF(tblTargets[TargetID], $A97) &gt; 0</f>
        <v>1</v>
      </c>
      <c r="D97" s="48" t="b">
        <f ca="1">IF(OR(LEFT(tblValidation[[#This Row],[TargetID]],10)="state.CHAR",RIGHT(tblValidation[[#This Row],[TargetID]],5)="maxed"),TRUE, COUNTIF(tblChecklist[TargetID], $A97) &gt; 0)</f>
        <v>1</v>
      </c>
      <c r="E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$A97) &gt; 0)</f>
        <v>1</v>
      </c>
      <c r="F97" s="48" t="b">
        <f ca="1">COUNTIF(tblDependencies[DependencyID], $A97) &gt; 0</f>
        <v>1</v>
      </c>
      <c r="G97" s="48" t="b">
        <f ca="1">COUNTIF(tblQuestObjectives[QuestTargetID], $A97) &gt; 0</f>
        <v>0</v>
      </c>
      <c r="H97" s="48" t="b">
        <f ca="1">COUNTIF(tblQuestObjectives[ObjectiveID], $A97) &gt; 0</f>
        <v>0</v>
      </c>
      <c r="I97" s="48" t="b">
        <f ca="1">COUNTIF(tblTargetStatus[TargetID], $A97) &gt; 0</f>
        <v>1</v>
      </c>
      <c r="J97" s="48" t="b">
        <f ca="1">COUNTIF(tblCost[TargetID], $A97) &gt; 0</f>
        <v>1</v>
      </c>
      <c r="K97" s="48" t="b">
        <f ca="1">COUNTIF(tblStates[StateID], $A97) &gt; 0</f>
        <v>0</v>
      </c>
      <c r="L97" s="48" t="b">
        <f t="shared" ca="1" si="3"/>
        <v>1</v>
      </c>
      <c r="M97" s="48" t="b">
        <f ca="1">IF(tblValidation[[#This Row],[TargetID]]="","",COUNTIF(tblTargets[TargetID],A97)&gt;1)</f>
        <v>0</v>
      </c>
      <c r="N97" s="48" t="b">
        <f ca="1">IF(tblValidation[[#This Row],[TargetID]]="","",COUNTIF(tblStates[StateID],tblValidation[[#This Row],[TargetID]])&gt;1)</f>
        <v>0</v>
      </c>
      <c r="O97" s="48" t="b" cm="1">
        <f t="array" aca="1" ref="O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7" s="48"/>
      <c r="R97" s="48"/>
      <c r="S97" s="48"/>
      <c r="T97" s="48"/>
      <c r="V97" s="49" t="str">
        <f ca="1"/>
        <v>building.shop@3</v>
      </c>
      <c r="W97" s="49" t="str">
        <f ca="1"/>
        <v>state.obtain_all_emerald_shards</v>
      </c>
      <c r="X97" s="49" t="str">
        <f ca="1"/>
        <v>building.shop@3</v>
      </c>
      <c r="Y97" s="2" t="str">
        <f ca="1"/>
        <v>building.warehouse@2</v>
      </c>
      <c r="Z97" s="2" t="str">
        <f ca="1"/>
        <v>building.smithy.maxed</v>
      </c>
      <c r="AA97" s="2" t="str">
        <f ca="1"/>
        <v>building.tailor@3</v>
      </c>
      <c r="AC97" s="2" t="str">
        <f ca="1"/>
        <v>state.obtain_map4</v>
      </c>
      <c r="AD97" s="2" t="str">
        <f ca="1"/>
        <v>building.shop@3</v>
      </c>
      <c r="AE97" s="2" t="str">
        <f ca="1"/>
        <v>building.warehouse@4</v>
      </c>
    </row>
    <row r="98" spans="1:31">
      <c r="A98" t="str">
        <f t="shared" ca="1" si="2"/>
        <v>building.smithy.maxed</v>
      </c>
      <c r="B98" t="str">
        <f ca="1">_xlfn.XLOOKUP(tblValidation[[#This Row],[TargetID]],tblTargets[TargetID],tblTargets[TargetType],"")</f>
        <v>BUILDING</v>
      </c>
      <c r="C98" s="48" t="b">
        <f ca="1">COUNTIF(tblTargets[TargetID], $A98) &gt; 0</f>
        <v>1</v>
      </c>
      <c r="D98" s="48" t="b">
        <f ca="1">IF(OR(LEFT(tblValidation[[#This Row],[TargetID]],10)="state.CHAR",RIGHT(tblValidation[[#This Row],[TargetID]],5)="maxed"),TRUE, COUNTIF(tblChecklist[TargetID], $A98) &gt; 0)</f>
        <v>1</v>
      </c>
      <c r="E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$A98) &gt; 0)</f>
        <v>1</v>
      </c>
      <c r="F98" s="48" t="b">
        <f ca="1">COUNTIF(tblDependencies[DependencyID], $A98) &gt; 0</f>
        <v>1</v>
      </c>
      <c r="G98" s="48" t="b">
        <f ca="1">COUNTIF(tblQuestObjectives[QuestTargetID], $A98) &gt; 0</f>
        <v>0</v>
      </c>
      <c r="H98" s="48" t="b">
        <f ca="1">COUNTIF(tblQuestObjectives[ObjectiveID], $A98) &gt; 0</f>
        <v>0</v>
      </c>
      <c r="I98" s="48" t="b">
        <f ca="1">COUNTIF(tblTargetStatus[TargetID], $A98) &gt; 0</f>
        <v>1</v>
      </c>
      <c r="J98" s="48" t="b">
        <f ca="1">COUNTIF(tblCost[TargetID], $A98) &gt; 0</f>
        <v>0</v>
      </c>
      <c r="K98" s="48" t="b">
        <f ca="1">COUNTIF(tblStates[StateID], $A98) &gt; 0</f>
        <v>0</v>
      </c>
      <c r="L98" s="48" t="b">
        <f t="shared" ca="1" si="3"/>
        <v>1</v>
      </c>
      <c r="M98" s="48" t="b">
        <f ca="1">IF(tblValidation[[#This Row],[TargetID]]="","",COUNTIF(tblTargets[TargetID],A98)&gt;1)</f>
        <v>0</v>
      </c>
      <c r="N98" s="48" t="b">
        <f ca="1">IF(tblValidation[[#This Row],[TargetID]]="","",COUNTIF(tblStates[StateID],tblValidation[[#This Row],[TargetID]])&gt;1)</f>
        <v>0</v>
      </c>
      <c r="O98" s="48" t="b" cm="1">
        <f t="array" aca="1" ref="O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8" s="48"/>
      <c r="R98" s="48"/>
      <c r="S98" s="48"/>
      <c r="T98" s="48"/>
      <c r="V98" s="2" t="str">
        <f ca="1"/>
        <v>building.smithy.maxed</v>
      </c>
      <c r="W98" s="2" t="str">
        <f ca="1"/>
        <v>state.obtain_any_artifact</v>
      </c>
      <c r="X98" s="2" t="str">
        <f ca="1"/>
        <v>building.smithy.maxed</v>
      </c>
      <c r="Y98" s="2" t="str">
        <f ca="1"/>
        <v>building.warehouse@3</v>
      </c>
      <c r="Z98" s="2" t="str">
        <f ca="1"/>
        <v>building.smithy@1</v>
      </c>
      <c r="AA98" s="2" t="str">
        <f ca="1"/>
        <v>building.train.maxed</v>
      </c>
      <c r="AC98" s="2" t="str">
        <f ca="1"/>
        <v>state.obtain_map4_x2</v>
      </c>
      <c r="AD98" s="2" t="str">
        <f ca="1"/>
        <v>building.smithy.maxed</v>
      </c>
      <c r="AE98" s="2" t="str">
        <f ca="1"/>
        <v>building.warehouse@5</v>
      </c>
    </row>
    <row r="99" spans="1:31">
      <c r="A99" t="str">
        <f t="shared" ca="1" si="2"/>
        <v>building.smithy@1</v>
      </c>
      <c r="B99" t="str">
        <f ca="1">_xlfn.XLOOKUP(tblValidation[[#This Row],[TargetID]],tblTargets[TargetID],tblTargets[TargetType],"")</f>
        <v>BUILDING</v>
      </c>
      <c r="C99" s="48" t="b">
        <f ca="1">COUNTIF(tblTargets[TargetID], $A99) &gt; 0</f>
        <v>1</v>
      </c>
      <c r="D99" s="48" t="b">
        <f ca="1">IF(OR(LEFT(tblValidation[[#This Row],[TargetID]],10)="state.CHAR",RIGHT(tblValidation[[#This Row],[TargetID]],5)="maxed"),TRUE, COUNTIF(tblChecklist[TargetID], $A99) &gt; 0)</f>
        <v>1</v>
      </c>
      <c r="E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$A99) &gt; 0)</f>
        <v>1</v>
      </c>
      <c r="F99" s="48" t="b">
        <f ca="1">COUNTIF(tblDependencies[DependencyID], $A99) &gt; 0</f>
        <v>1</v>
      </c>
      <c r="G99" s="48" t="b">
        <f ca="1">COUNTIF(tblQuestObjectives[QuestTargetID], $A99) &gt; 0</f>
        <v>0</v>
      </c>
      <c r="H99" s="48" t="b">
        <f ca="1">COUNTIF(tblQuestObjectives[ObjectiveID], $A99) &gt; 0</f>
        <v>0</v>
      </c>
      <c r="I99" s="48" t="b">
        <f ca="1">COUNTIF(tblTargetStatus[TargetID], $A99) &gt; 0</f>
        <v>1</v>
      </c>
      <c r="J99" s="48" t="b">
        <f ca="1">COUNTIF(tblCost[TargetID], $A99) &gt; 0</f>
        <v>1</v>
      </c>
      <c r="K99" s="48" t="b">
        <f ca="1">COUNTIF(tblStates[StateID], $A99) &gt; 0</f>
        <v>0</v>
      </c>
      <c r="L99" s="48" t="b">
        <f t="shared" ca="1" si="3"/>
        <v>1</v>
      </c>
      <c r="M99" s="48" t="b">
        <f ca="1">IF(tblValidation[[#This Row],[TargetID]]="","",COUNTIF(tblTargets[TargetID],A99)&gt;1)</f>
        <v>0</v>
      </c>
      <c r="N99" s="48" t="b">
        <f ca="1">IF(tblValidation[[#This Row],[TargetID]]="","",COUNTIF(tblStates[StateID],tblValidation[[#This Row],[TargetID]])&gt;1)</f>
        <v>0</v>
      </c>
      <c r="O99" s="48" t="b" cm="1">
        <f t="array" aca="1" ref="O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9" s="48"/>
      <c r="R99" s="48"/>
      <c r="S99" s="48"/>
      <c r="T99" s="48"/>
      <c r="V99" s="2" t="str">
        <f ca="1"/>
        <v>building.smithy@1</v>
      </c>
      <c r="W99" s="2" t="str">
        <f ca="1"/>
        <v>state.obtain_armor4</v>
      </c>
      <c r="X99" s="2" t="str">
        <f ca="1"/>
        <v>building.smithy@1</v>
      </c>
      <c r="Y99" s="2" t="str">
        <f ca="1"/>
        <v>building.warehouse@4</v>
      </c>
      <c r="Z99" s="2" t="str">
        <f ca="1"/>
        <v>building.smithy@2</v>
      </c>
      <c r="AA99" s="2" t="str">
        <f ca="1"/>
        <v>building.train@1</v>
      </c>
      <c r="AC99" s="2" t="str">
        <f ca="1"/>
        <v>state.obtain_mechanism</v>
      </c>
      <c r="AD99" s="2" t="str">
        <f ca="1"/>
        <v>building.smithy@1</v>
      </c>
      <c r="AE99" s="2" t="str">
        <f ca="1"/>
        <v>building.warehouse@6</v>
      </c>
    </row>
    <row r="100" spans="1:31">
      <c r="A100" t="str">
        <f t="shared" ca="1" si="2"/>
        <v>building.smithy@2</v>
      </c>
      <c r="B100" t="str">
        <f ca="1">_xlfn.XLOOKUP(tblValidation[[#This Row],[TargetID]],tblTargets[TargetID],tblTargets[TargetType],"")</f>
        <v>BUILDING</v>
      </c>
      <c r="C100" s="48" t="b">
        <f ca="1">COUNTIF(tblTargets[TargetID], $A100) &gt; 0</f>
        <v>1</v>
      </c>
      <c r="D100" s="48" t="b">
        <f ca="1">IF(OR(LEFT(tblValidation[[#This Row],[TargetID]],10)="state.CHAR",RIGHT(tblValidation[[#This Row],[TargetID]],5)="maxed"),TRUE, COUNTIF(tblChecklist[TargetID], $A100) &gt; 0)</f>
        <v>1</v>
      </c>
      <c r="E1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$A100) &gt; 0)</f>
        <v>1</v>
      </c>
      <c r="F100" s="48" t="b">
        <f ca="1">COUNTIF(tblDependencies[DependencyID], $A100) &gt; 0</f>
        <v>1</v>
      </c>
      <c r="G100" s="48" t="b">
        <f ca="1">COUNTIF(tblQuestObjectives[QuestTargetID], $A100) &gt; 0</f>
        <v>0</v>
      </c>
      <c r="H100" s="48" t="b">
        <f ca="1">COUNTIF(tblQuestObjectives[ObjectiveID], $A100) &gt; 0</f>
        <v>0</v>
      </c>
      <c r="I100" s="48" t="b">
        <f ca="1">COUNTIF(tblTargetStatus[TargetID], $A100) &gt; 0</f>
        <v>1</v>
      </c>
      <c r="J100" s="48" t="b">
        <f ca="1">COUNTIF(tblCost[TargetID], $A100) &gt; 0</f>
        <v>1</v>
      </c>
      <c r="K100" s="48" t="b">
        <f ca="1">COUNTIF(tblStates[StateID], $A100) &gt; 0</f>
        <v>0</v>
      </c>
      <c r="L100" s="48" t="b">
        <f t="shared" ca="1" si="3"/>
        <v>1</v>
      </c>
      <c r="M100" s="48" t="b">
        <f ca="1">IF(tblValidation[[#This Row],[TargetID]]="","",COUNTIF(tblTargets[TargetID],A100)&gt;1)</f>
        <v>0</v>
      </c>
      <c r="N100" s="48" t="b">
        <f ca="1">IF(tblValidation[[#This Row],[TargetID]]="","",COUNTIF(tblStates[StateID],tblValidation[[#This Row],[TargetID]])&gt;1)</f>
        <v>0</v>
      </c>
      <c r="O100" s="48" t="b" cm="1">
        <f t="array" aca="1" ref="O1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0" s="48"/>
      <c r="R100" s="48"/>
      <c r="S100" s="48"/>
      <c r="T100" s="48"/>
      <c r="V100" s="2" t="str">
        <f ca="1"/>
        <v>building.smithy@2</v>
      </c>
      <c r="W100" s="2" t="str">
        <f ca="1"/>
        <v>state.obtain_armor4+</v>
      </c>
      <c r="X100" s="2" t="str">
        <f ca="1"/>
        <v>building.smithy@2</v>
      </c>
      <c r="Y100" s="2" t="str">
        <f ca="1"/>
        <v>building.warehouse@5</v>
      </c>
      <c r="Z100" s="2" t="str">
        <f ca="1"/>
        <v>building.smithy@3</v>
      </c>
      <c r="AA100" s="2" t="str">
        <f ca="1"/>
        <v>building.train@2</v>
      </c>
      <c r="AC100" s="2" t="str">
        <f ca="1"/>
        <v>state.obtain_Pirate_hat</v>
      </c>
      <c r="AD100" s="2" t="str">
        <f ca="1"/>
        <v>building.smithy@2</v>
      </c>
      <c r="AE100" s="2" t="str">
        <f ca="1"/>
        <v>building.warehouse@7</v>
      </c>
    </row>
    <row r="101" spans="1:31">
      <c r="A101" t="str">
        <f t="shared" ca="1" si="2"/>
        <v>building.smithy@3</v>
      </c>
      <c r="B101" t="str">
        <f ca="1">_xlfn.XLOOKUP(tblValidation[[#This Row],[TargetID]],tblTargets[TargetID],tblTargets[TargetType],"")</f>
        <v>BUILDING</v>
      </c>
      <c r="C101" s="48" t="b">
        <f ca="1">COUNTIF(tblTargets[TargetID], $A101) &gt; 0</f>
        <v>1</v>
      </c>
      <c r="D101" s="48" t="b">
        <f ca="1">IF(OR(LEFT(tblValidation[[#This Row],[TargetID]],10)="state.CHAR",RIGHT(tblValidation[[#This Row],[TargetID]],5)="maxed"),TRUE, COUNTIF(tblChecklist[TargetID], $A101) &gt; 0)</f>
        <v>1</v>
      </c>
      <c r="E1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$A101) &gt; 0)</f>
        <v>1</v>
      </c>
      <c r="F101" s="48" t="b">
        <f ca="1">COUNTIF(tblDependencies[DependencyID], $A101) &gt; 0</f>
        <v>1</v>
      </c>
      <c r="G101" s="48" t="b">
        <f ca="1">COUNTIF(tblQuestObjectives[QuestTargetID], $A101) &gt; 0</f>
        <v>0</v>
      </c>
      <c r="H101" s="48" t="b">
        <f ca="1">COUNTIF(tblQuestObjectives[ObjectiveID], $A101) &gt; 0</f>
        <v>0</v>
      </c>
      <c r="I101" s="48" t="b">
        <f ca="1">COUNTIF(tblTargetStatus[TargetID], $A101) &gt; 0</f>
        <v>1</v>
      </c>
      <c r="J101" s="48" t="b">
        <f ca="1">COUNTIF(tblCost[TargetID], $A101) &gt; 0</f>
        <v>1</v>
      </c>
      <c r="K101" s="48" t="b">
        <f ca="1">COUNTIF(tblStates[StateID], $A101) &gt; 0</f>
        <v>0</v>
      </c>
      <c r="L101" s="48" t="b">
        <f t="shared" ca="1" si="3"/>
        <v>1</v>
      </c>
      <c r="M101" s="48" t="b">
        <f ca="1">IF(tblValidation[[#This Row],[TargetID]]="","",COUNTIF(tblTargets[TargetID],A101)&gt;1)</f>
        <v>0</v>
      </c>
      <c r="N101" s="48" t="b">
        <f ca="1">IF(tblValidation[[#This Row],[TargetID]]="","",COUNTIF(tblStates[StateID],tblValidation[[#This Row],[TargetID]])&gt;1)</f>
        <v>0</v>
      </c>
      <c r="O101" s="48" t="b" cm="1">
        <f t="array" aca="1" ref="O1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1" s="48"/>
      <c r="R101" s="48"/>
      <c r="S101" s="48"/>
      <c r="T101" s="48"/>
      <c r="V101" s="2" t="str">
        <f ca="1"/>
        <v>building.smithy@3</v>
      </c>
      <c r="W101" s="2" t="str">
        <f ca="1"/>
        <v>state.obtain_blueprint</v>
      </c>
      <c r="X101" s="2" t="str">
        <f ca="1"/>
        <v>building.smithy@3</v>
      </c>
      <c r="Y101" s="2" t="str">
        <f ca="1"/>
        <v>building.warehouse@6</v>
      </c>
      <c r="Z101" s="2" t="str">
        <f ca="1"/>
        <v>building.station@1</v>
      </c>
      <c r="AA101" s="2" t="str">
        <f ca="1"/>
        <v>building.train_freight_carriage@1</v>
      </c>
      <c r="AC101" s="2" t="str">
        <f ca="1"/>
        <v>state.obtain_potion_of_mental_power</v>
      </c>
      <c r="AD101" s="2" t="str">
        <f ca="1"/>
        <v>building.smithy@3</v>
      </c>
      <c r="AE101" s="2" t="str">
        <f ca="1"/>
        <v>building.windmill@1</v>
      </c>
    </row>
    <row r="102" spans="1:31">
      <c r="A102" t="str">
        <f t="shared" ca="1" si="2"/>
        <v>building.station@1</v>
      </c>
      <c r="B102" t="str">
        <f ca="1">_xlfn.XLOOKUP(tblValidation[[#This Row],[TargetID]],tblTargets[TargetID],tblTargets[TargetType],"")</f>
        <v>BUILDING</v>
      </c>
      <c r="C102" s="48" t="b">
        <f ca="1">COUNTIF(tblTargets[TargetID], $A102) &gt; 0</f>
        <v>1</v>
      </c>
      <c r="D102" s="48" t="b">
        <f ca="1">IF(OR(LEFT(tblValidation[[#This Row],[TargetID]],10)="state.CHAR",RIGHT(tblValidation[[#This Row],[TargetID]],5)="maxed"),TRUE, COUNTIF(tblChecklist[TargetID], $A102) &gt; 0)</f>
        <v>1</v>
      </c>
      <c r="E1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$A102) &gt; 0)</f>
        <v>1</v>
      </c>
      <c r="F102" s="48" t="b">
        <f ca="1">COUNTIF(tblDependencies[DependencyID], $A102) &gt; 0</f>
        <v>1</v>
      </c>
      <c r="G102" s="48" t="b">
        <f ca="1">COUNTIF(tblQuestObjectives[QuestTargetID], $A102) &gt; 0</f>
        <v>0</v>
      </c>
      <c r="H102" s="48" t="b">
        <f ca="1">COUNTIF(tblQuestObjectives[ObjectiveID], $A102) &gt; 0</f>
        <v>1</v>
      </c>
      <c r="I102" s="48" t="b">
        <f ca="1">COUNTIF(tblTargetStatus[TargetID], $A102) &gt; 0</f>
        <v>1</v>
      </c>
      <c r="J102" s="48" t="b">
        <f ca="1">COUNTIF(tblCost[TargetID], $A102) &gt; 0</f>
        <v>1</v>
      </c>
      <c r="K102" s="48" t="b">
        <f ca="1">COUNTIF(tblStates[StateID], $A102) &gt; 0</f>
        <v>0</v>
      </c>
      <c r="L102" s="48" t="b">
        <f t="shared" ca="1" si="3"/>
        <v>1</v>
      </c>
      <c r="M102" s="48" t="b">
        <f ca="1">IF(tblValidation[[#This Row],[TargetID]]="","",COUNTIF(tblTargets[TargetID],A102)&gt;1)</f>
        <v>0</v>
      </c>
      <c r="N102" s="48" t="b">
        <f ca="1">IF(tblValidation[[#This Row],[TargetID]]="","",COUNTIF(tblStates[StateID],tblValidation[[#This Row],[TargetID]])&gt;1)</f>
        <v>0</v>
      </c>
      <c r="O102" s="48" t="b" cm="1">
        <f t="array" aca="1" ref="O1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2" s="48"/>
      <c r="R102" s="48"/>
      <c r="S102" s="48"/>
      <c r="T102" s="48"/>
      <c r="V102" s="2" t="str">
        <f ca="1"/>
        <v>building.station@1</v>
      </c>
      <c r="W102" s="2" t="str">
        <f ca="1"/>
        <v>state.obtain_hide</v>
      </c>
      <c r="X102" s="2" t="str">
        <f ca="1"/>
        <v>building.station@1</v>
      </c>
      <c r="Y102" s="2" t="str">
        <f ca="1"/>
        <v>building.warehouse@7</v>
      </c>
      <c r="Z102" s="2" t="str">
        <f ca="1"/>
        <v>building.tailor.maxed</v>
      </c>
      <c r="AA102" s="2" t="str">
        <f ca="1"/>
        <v>building.train_passenger_carriage@1</v>
      </c>
      <c r="AC102" s="2" t="str">
        <f ca="1"/>
        <v>state.obtain_reagent</v>
      </c>
      <c r="AD102" s="2" t="str">
        <f ca="1"/>
        <v>building.station@1</v>
      </c>
      <c r="AE102" s="2" t="str">
        <f ca="1"/>
        <v>building.windmill@2</v>
      </c>
    </row>
    <row r="103" spans="1:31">
      <c r="A103" t="str">
        <f t="shared" ca="1" si="2"/>
        <v>building.tailor.maxed</v>
      </c>
      <c r="B103" t="str">
        <f ca="1">_xlfn.XLOOKUP(tblValidation[[#This Row],[TargetID]],tblTargets[TargetID],tblTargets[TargetType],"")</f>
        <v>BUILDING</v>
      </c>
      <c r="C103" s="48" t="b">
        <f ca="1">COUNTIF(tblTargets[TargetID], $A103) &gt; 0</f>
        <v>1</v>
      </c>
      <c r="D103" s="48" t="b">
        <f ca="1">IF(OR(LEFT(tblValidation[[#This Row],[TargetID]],10)="state.CHAR",RIGHT(tblValidation[[#This Row],[TargetID]],5)="maxed"),TRUE, COUNTIF(tblChecklist[TargetID], $A103) &gt; 0)</f>
        <v>1</v>
      </c>
      <c r="E1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$A103) &gt; 0)</f>
        <v>1</v>
      </c>
      <c r="F103" s="48" t="b">
        <f ca="1">COUNTIF(tblDependencies[DependencyID], $A103) &gt; 0</f>
        <v>1</v>
      </c>
      <c r="G103" s="48" t="b">
        <f ca="1">COUNTIF(tblQuestObjectives[QuestTargetID], $A103) &gt; 0</f>
        <v>0</v>
      </c>
      <c r="H103" s="48" t="b">
        <f ca="1">COUNTIF(tblQuestObjectives[ObjectiveID], $A103) &gt; 0</f>
        <v>0</v>
      </c>
      <c r="I103" s="48" t="b">
        <f ca="1">COUNTIF(tblTargetStatus[TargetID], $A103) &gt; 0</f>
        <v>1</v>
      </c>
      <c r="J103" s="48" t="b">
        <f ca="1">COUNTIF(tblCost[TargetID], $A103) &gt; 0</f>
        <v>0</v>
      </c>
      <c r="K103" s="48" t="b">
        <f ca="1">COUNTIF(tblStates[StateID], $A103) &gt; 0</f>
        <v>0</v>
      </c>
      <c r="L103" s="48" t="b">
        <f t="shared" ca="1" si="3"/>
        <v>1</v>
      </c>
      <c r="M103" s="48" t="b">
        <f ca="1">IF(tblValidation[[#This Row],[TargetID]]="","",COUNTIF(tblTargets[TargetID],A103)&gt;1)</f>
        <v>0</v>
      </c>
      <c r="N103" s="48" t="b">
        <f ca="1">IF(tblValidation[[#This Row],[TargetID]]="","",COUNTIF(tblStates[StateID],tblValidation[[#This Row],[TargetID]])&gt;1)</f>
        <v>0</v>
      </c>
      <c r="O103" s="48" t="b" cm="1">
        <f t="array" aca="1" ref="O1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3" s="48"/>
      <c r="R103" s="48"/>
      <c r="S103" s="48"/>
      <c r="T103" s="48"/>
      <c r="V103" s="2" t="str">
        <f ca="1"/>
        <v>building.tailor.maxed</v>
      </c>
      <c r="W103" s="2" t="str">
        <f ca="1"/>
        <v>state.obtain_level_2_artifact</v>
      </c>
      <c r="X103" s="2" t="str">
        <f ca="1"/>
        <v>building.tailor.maxed</v>
      </c>
      <c r="Y103" s="2" t="str">
        <f ca="1"/>
        <v>building.windmill@1</v>
      </c>
      <c r="Z103" s="2" t="str">
        <f ca="1"/>
        <v>building.tailor@1</v>
      </c>
      <c r="AA103" s="2" t="str">
        <f ca="1"/>
        <v>building.warehouse.maxed</v>
      </c>
      <c r="AC103" s="2" t="str">
        <f ca="1"/>
        <v>state.obtain_red_diamond_6a</v>
      </c>
      <c r="AD103" s="2" t="str">
        <f ca="1"/>
        <v>building.tailor.maxed</v>
      </c>
      <c r="AE103" s="2" t="str">
        <f ca="1"/>
        <v>building.workshop@1</v>
      </c>
    </row>
    <row r="104" spans="1:31">
      <c r="A104" t="str">
        <f t="shared" ca="1" si="2"/>
        <v>building.tailor@1</v>
      </c>
      <c r="B104" t="str">
        <f ca="1">_xlfn.XLOOKUP(tblValidation[[#This Row],[TargetID]],tblTargets[TargetID],tblTargets[TargetType],"")</f>
        <v>BUILDING</v>
      </c>
      <c r="C104" s="48" t="b">
        <f ca="1">COUNTIF(tblTargets[TargetID], $A104) &gt; 0</f>
        <v>1</v>
      </c>
      <c r="D104" s="48" t="b">
        <f ca="1">IF(OR(LEFT(tblValidation[[#This Row],[TargetID]],10)="state.CHAR",RIGHT(tblValidation[[#This Row],[TargetID]],5)="maxed"),TRUE, COUNTIF(tblChecklist[TargetID], $A104) &gt; 0)</f>
        <v>1</v>
      </c>
      <c r="E1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$A104) &gt; 0)</f>
        <v>1</v>
      </c>
      <c r="F104" s="48" t="b">
        <f ca="1">COUNTIF(tblDependencies[DependencyID], $A104) &gt; 0</f>
        <v>1</v>
      </c>
      <c r="G104" s="48" t="b">
        <f ca="1">COUNTIF(tblQuestObjectives[QuestTargetID], $A104) &gt; 0</f>
        <v>0</v>
      </c>
      <c r="H104" s="48" t="b">
        <f ca="1">COUNTIF(tblQuestObjectives[ObjectiveID], $A104) &gt; 0</f>
        <v>0</v>
      </c>
      <c r="I104" s="48" t="b">
        <f ca="1">COUNTIF(tblTargetStatus[TargetID], $A104) &gt; 0</f>
        <v>1</v>
      </c>
      <c r="J104" s="48" t="b">
        <f ca="1">COUNTIF(tblCost[TargetID], $A104) &gt; 0</f>
        <v>1</v>
      </c>
      <c r="K104" s="48" t="b">
        <f ca="1">COUNTIF(tblStates[StateID], $A104) &gt; 0</f>
        <v>0</v>
      </c>
      <c r="L104" s="48" t="b">
        <f t="shared" ca="1" si="3"/>
        <v>1</v>
      </c>
      <c r="M104" s="48" t="b">
        <f ca="1">IF(tblValidation[[#This Row],[TargetID]]="","",COUNTIF(tblTargets[TargetID],A104)&gt;1)</f>
        <v>0</v>
      </c>
      <c r="N104" s="48" t="b">
        <f ca="1">IF(tblValidation[[#This Row],[TargetID]]="","",COUNTIF(tblStates[StateID],tblValidation[[#This Row],[TargetID]])&gt;1)</f>
        <v>0</v>
      </c>
      <c r="O104" s="48" t="b" cm="1">
        <f t="array" aca="1" ref="O1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4" s="48"/>
      <c r="R104" s="48"/>
      <c r="S104" s="48"/>
      <c r="T104" s="48"/>
      <c r="V104" s="2" t="str">
        <f ca="1"/>
        <v>building.tailor@1</v>
      </c>
      <c r="W104" s="2" t="str">
        <f ca="1"/>
        <v>state.obtain_level_2_map</v>
      </c>
      <c r="X104" s="2" t="str">
        <f ca="1"/>
        <v>building.tailor@1</v>
      </c>
      <c r="Y104" s="2" t="str">
        <f ca="1"/>
        <v>building.windmill@2</v>
      </c>
      <c r="Z104" s="2" t="str">
        <f ca="1"/>
        <v>building.tailor@2</v>
      </c>
      <c r="AA104" s="2" t="str">
        <f ca="1"/>
        <v>building.warehouse@1</v>
      </c>
      <c r="AC104" s="2" t="str">
        <f ca="1"/>
        <v>state.obtain_red_diamond_6b</v>
      </c>
      <c r="AD104" s="2" t="str">
        <f ca="1"/>
        <v>building.tailor@1</v>
      </c>
      <c r="AE104" s="2" t="str">
        <f ca="1"/>
        <v>building.workshop@2</v>
      </c>
    </row>
    <row r="105" spans="1:31">
      <c r="A105" t="str">
        <f t="shared" ca="1" si="2"/>
        <v>building.tailor@2</v>
      </c>
      <c r="B105" t="str">
        <f ca="1">_xlfn.XLOOKUP(tblValidation[[#This Row],[TargetID]],tblTargets[TargetID],tblTargets[TargetType],"")</f>
        <v>BUILDING</v>
      </c>
      <c r="C105" s="48" t="b">
        <f ca="1">COUNTIF(tblTargets[TargetID], $A105) &gt; 0</f>
        <v>1</v>
      </c>
      <c r="D105" s="48" t="b">
        <f ca="1">IF(OR(LEFT(tblValidation[[#This Row],[TargetID]],10)="state.CHAR",RIGHT(tblValidation[[#This Row],[TargetID]],5)="maxed"),TRUE, COUNTIF(tblChecklist[TargetID], $A105) &gt; 0)</f>
        <v>1</v>
      </c>
      <c r="E1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$A105) &gt; 0)</f>
        <v>1</v>
      </c>
      <c r="F105" s="48" t="b">
        <f ca="1">COUNTIF(tblDependencies[DependencyID], $A105) &gt; 0</f>
        <v>1</v>
      </c>
      <c r="G105" s="48" t="b">
        <f ca="1">COUNTIF(tblQuestObjectives[QuestTargetID], $A105) &gt; 0</f>
        <v>0</v>
      </c>
      <c r="H105" s="48" t="b">
        <f ca="1">COUNTIF(tblQuestObjectives[ObjectiveID], $A105) &gt; 0</f>
        <v>0</v>
      </c>
      <c r="I105" s="48" t="b">
        <f ca="1">COUNTIF(tblTargetStatus[TargetID], $A105) &gt; 0</f>
        <v>1</v>
      </c>
      <c r="J105" s="48" t="b">
        <f ca="1">COUNTIF(tblCost[TargetID], $A105) &gt; 0</f>
        <v>1</v>
      </c>
      <c r="K105" s="48" t="b">
        <f ca="1">COUNTIF(tblStates[StateID], $A105) &gt; 0</f>
        <v>0</v>
      </c>
      <c r="L105" s="48" t="b">
        <f t="shared" ca="1" si="3"/>
        <v>1</v>
      </c>
      <c r="M105" s="48" t="b">
        <f ca="1">IF(tblValidation[[#This Row],[TargetID]]="","",COUNTIF(tblTargets[TargetID],A105)&gt;1)</f>
        <v>0</v>
      </c>
      <c r="N105" s="48" t="b">
        <f ca="1">IF(tblValidation[[#This Row],[TargetID]]="","",COUNTIF(tblStates[StateID],tblValidation[[#This Row],[TargetID]])&gt;1)</f>
        <v>0</v>
      </c>
      <c r="O105" s="48" t="b" cm="1">
        <f t="array" aca="1" ref="O1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5" s="48"/>
      <c r="R105" s="48"/>
      <c r="S105" s="48"/>
      <c r="T105" s="48"/>
      <c r="V105" s="2" t="str">
        <f ca="1"/>
        <v>building.tailor@2</v>
      </c>
      <c r="W105" s="2" t="str">
        <f ca="1"/>
        <v>state.obtain_level_3_artifact</v>
      </c>
      <c r="X105" s="2" t="str">
        <f ca="1"/>
        <v>building.tailor@2</v>
      </c>
      <c r="Y105" s="2" t="str">
        <f ca="1"/>
        <v>building.workshop@1</v>
      </c>
      <c r="Z105" s="2" t="str">
        <f ca="1"/>
        <v>building.tailor@3</v>
      </c>
      <c r="AA105" s="2" t="str">
        <f ca="1"/>
        <v>building.warehouse@2</v>
      </c>
      <c r="AC105" s="2" t="str">
        <f ca="1"/>
        <v>state.obtain_red_diamond_6c</v>
      </c>
      <c r="AD105" s="2" t="str">
        <f ca="1"/>
        <v>building.tailor@2</v>
      </c>
      <c r="AE105" s="2" t="str">
        <f ca="1"/>
        <v>building.workshop@3</v>
      </c>
    </row>
    <row r="106" spans="1:31">
      <c r="A106" t="str">
        <f t="shared" ca="1" si="2"/>
        <v>building.tailor@3</v>
      </c>
      <c r="B106" t="str">
        <f ca="1">_xlfn.XLOOKUP(tblValidation[[#This Row],[TargetID]],tblTargets[TargetID],tblTargets[TargetType],"")</f>
        <v>BUILDING</v>
      </c>
      <c r="C106" s="48" t="b">
        <f ca="1">COUNTIF(tblTargets[TargetID], $A106) &gt; 0</f>
        <v>1</v>
      </c>
      <c r="D106" s="48" t="b">
        <f ca="1">IF(OR(LEFT(tblValidation[[#This Row],[TargetID]],10)="state.CHAR",RIGHT(tblValidation[[#This Row],[TargetID]],5)="maxed"),TRUE, COUNTIF(tblChecklist[TargetID], $A106) &gt; 0)</f>
        <v>1</v>
      </c>
      <c r="E1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$A106) &gt; 0)</f>
        <v>1</v>
      </c>
      <c r="F106" s="48" t="b">
        <f ca="1">COUNTIF(tblDependencies[DependencyID], $A106) &gt; 0</f>
        <v>1</v>
      </c>
      <c r="G106" s="48" t="b">
        <f ca="1">COUNTIF(tblQuestObjectives[QuestTargetID], $A106) &gt; 0</f>
        <v>0</v>
      </c>
      <c r="H106" s="48" t="b">
        <f ca="1">COUNTIF(tblQuestObjectives[ObjectiveID], $A106) &gt; 0</f>
        <v>0</v>
      </c>
      <c r="I106" s="48" t="b">
        <f ca="1">COUNTIF(tblTargetStatus[TargetID], $A106) &gt; 0</f>
        <v>1</v>
      </c>
      <c r="J106" s="48" t="b">
        <f ca="1">COUNTIF(tblCost[TargetID], $A106) &gt; 0</f>
        <v>1</v>
      </c>
      <c r="K106" s="48" t="b">
        <f ca="1">COUNTIF(tblStates[StateID], $A106) &gt; 0</f>
        <v>0</v>
      </c>
      <c r="L106" s="48" t="b">
        <f t="shared" ca="1" si="3"/>
        <v>1</v>
      </c>
      <c r="M106" s="48" t="b">
        <f ca="1">IF(tblValidation[[#This Row],[TargetID]]="","",COUNTIF(tblTargets[TargetID],A106)&gt;1)</f>
        <v>0</v>
      </c>
      <c r="N106" s="48" t="b">
        <f ca="1">IF(tblValidation[[#This Row],[TargetID]]="","",COUNTIF(tblStates[StateID],tblValidation[[#This Row],[TargetID]])&gt;1)</f>
        <v>0</v>
      </c>
      <c r="O106" s="48" t="b" cm="1">
        <f t="array" aca="1" ref="O1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6" s="48"/>
      <c r="R106" s="48"/>
      <c r="S106" s="48"/>
      <c r="T106" s="48"/>
      <c r="V106" s="2" t="str">
        <f ca="1"/>
        <v>building.tailor@3</v>
      </c>
      <c r="W106" s="2" t="str">
        <f ca="1"/>
        <v>state.obtain_map_catacombs</v>
      </c>
      <c r="X106" s="2" t="str">
        <f ca="1"/>
        <v>building.tailor@3</v>
      </c>
      <c r="Y106" s="2" t="str">
        <f ca="1"/>
        <v>building.workshop@2</v>
      </c>
      <c r="Z106" s="2" t="str">
        <f ca="1"/>
        <v>building.train.maxed</v>
      </c>
      <c r="AA106" s="2" t="str">
        <f ca="1"/>
        <v>building.warehouse@3</v>
      </c>
      <c r="AC106" s="2" t="str">
        <f ca="1"/>
        <v>state.obtain_shield4+</v>
      </c>
      <c r="AD106" s="2" t="str">
        <f ca="1"/>
        <v>building.tailor@3</v>
      </c>
      <c r="AE106" s="2" t="str">
        <f ca="1"/>
        <v>building.workshop@4</v>
      </c>
    </row>
    <row r="107" spans="1:31">
      <c r="A107" t="str">
        <f t="shared" ca="1" si="2"/>
        <v>building.train.maxed</v>
      </c>
      <c r="B107" t="str">
        <f ca="1">_xlfn.XLOOKUP(tblValidation[[#This Row],[TargetID]],tblTargets[TargetID],tblTargets[TargetType],"")</f>
        <v>BUILDING</v>
      </c>
      <c r="C107" s="48" t="b">
        <f ca="1">COUNTIF(tblTargets[TargetID], $A107) &gt; 0</f>
        <v>1</v>
      </c>
      <c r="D107" s="48" t="b">
        <f ca="1">IF(OR(LEFT(tblValidation[[#This Row],[TargetID]],10)="state.CHAR",RIGHT(tblValidation[[#This Row],[TargetID]],5)="maxed"),TRUE, COUNTIF(tblChecklist[TargetID], $A107) &gt; 0)</f>
        <v>1</v>
      </c>
      <c r="E1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$A107) &gt; 0)</f>
        <v>1</v>
      </c>
      <c r="F107" s="48" t="b">
        <f ca="1">COUNTIF(tblDependencies[DependencyID], $A107) &gt; 0</f>
        <v>1</v>
      </c>
      <c r="G107" s="48" t="b">
        <f ca="1">COUNTIF(tblQuestObjectives[QuestTargetID], $A107) &gt; 0</f>
        <v>0</v>
      </c>
      <c r="H107" s="48" t="b">
        <f ca="1">COUNTIF(tblQuestObjectives[ObjectiveID], $A107) &gt; 0</f>
        <v>0</v>
      </c>
      <c r="I107" s="48" t="b">
        <f ca="1">COUNTIF(tblTargetStatus[TargetID], $A107) &gt; 0</f>
        <v>1</v>
      </c>
      <c r="J107" s="48" t="b">
        <f ca="1">COUNTIF(tblCost[TargetID], $A107) &gt; 0</f>
        <v>0</v>
      </c>
      <c r="K107" s="48" t="b">
        <f ca="1">COUNTIF(tblStates[StateID], $A107) &gt; 0</f>
        <v>0</v>
      </c>
      <c r="L107" s="48" t="b">
        <f t="shared" ca="1" si="3"/>
        <v>1</v>
      </c>
      <c r="M107" s="48" t="b">
        <f ca="1">IF(tblValidation[[#This Row],[TargetID]]="","",COUNTIF(tblTargets[TargetID],A107)&gt;1)</f>
        <v>0</v>
      </c>
      <c r="N107" s="48" t="b">
        <f ca="1">IF(tblValidation[[#This Row],[TargetID]]="","",COUNTIF(tblStates[StateID],tblValidation[[#This Row],[TargetID]])&gt;1)</f>
        <v>0</v>
      </c>
      <c r="O107" s="48" t="b" cm="1">
        <f t="array" aca="1" ref="O1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7" s="48"/>
      <c r="R107" s="48"/>
      <c r="S107" s="48"/>
      <c r="T107" s="48"/>
      <c r="V107" s="2" t="str">
        <f ca="1"/>
        <v>building.train.maxed</v>
      </c>
      <c r="W107" s="2" t="str">
        <f ca="1"/>
        <v>state.obtain_map4</v>
      </c>
      <c r="X107" s="2" t="str">
        <f ca="1"/>
        <v>building.train.maxed</v>
      </c>
      <c r="Y107" s="2" t="str">
        <f ca="1"/>
        <v>building.workshop@3</v>
      </c>
      <c r="Z107" s="2" t="str">
        <f ca="1"/>
        <v>building.train@1</v>
      </c>
      <c r="AA107" s="2" t="str">
        <f ca="1"/>
        <v>building.warehouse@4</v>
      </c>
      <c r="AC107" s="2" t="str">
        <f ca="1"/>
        <v>state.obtain_ship_in_a_bottle</v>
      </c>
      <c r="AD107" s="2" t="str">
        <f ca="1"/>
        <v>building.train.maxed</v>
      </c>
      <c r="AE107" s="2" t="str">
        <f ca="1"/>
        <v>building.workshop@5</v>
      </c>
    </row>
    <row r="108" spans="1:31">
      <c r="A108" t="str">
        <f t="shared" ca="1" si="2"/>
        <v>building.train@1</v>
      </c>
      <c r="B108" t="str">
        <f ca="1">_xlfn.XLOOKUP(tblValidation[[#This Row],[TargetID]],tblTargets[TargetID],tblTargets[TargetType],"")</f>
        <v>BUILDING</v>
      </c>
      <c r="C108" s="48" t="b">
        <f ca="1">COUNTIF(tblTargets[TargetID], $A108) &gt; 0</f>
        <v>1</v>
      </c>
      <c r="D108" s="48" t="b">
        <f ca="1">IF(OR(LEFT(tblValidation[[#This Row],[TargetID]],10)="state.CHAR",RIGHT(tblValidation[[#This Row],[TargetID]],5)="maxed"),TRUE, COUNTIF(tblChecklist[TargetID], $A108) &gt; 0)</f>
        <v>1</v>
      </c>
      <c r="E1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$A108) &gt; 0)</f>
        <v>1</v>
      </c>
      <c r="F108" s="48" t="b">
        <f ca="1">COUNTIF(tblDependencies[DependencyID], $A108) &gt; 0</f>
        <v>1</v>
      </c>
      <c r="G108" s="48" t="b">
        <f ca="1">COUNTIF(tblQuestObjectives[QuestTargetID], $A108) &gt; 0</f>
        <v>0</v>
      </c>
      <c r="H108" s="48" t="b">
        <f ca="1">COUNTIF(tblQuestObjectives[ObjectiveID], $A108) &gt; 0</f>
        <v>1</v>
      </c>
      <c r="I108" s="48" t="b">
        <f ca="1">COUNTIF(tblTargetStatus[TargetID], $A108) &gt; 0</f>
        <v>1</v>
      </c>
      <c r="J108" s="48" t="b">
        <f ca="1">COUNTIF(tblCost[TargetID], $A108) &gt; 0</f>
        <v>1</v>
      </c>
      <c r="K108" s="48" t="b">
        <f ca="1">COUNTIF(tblStates[StateID], $A108) &gt; 0</f>
        <v>0</v>
      </c>
      <c r="L108" s="48" t="b">
        <f t="shared" ca="1" si="3"/>
        <v>1</v>
      </c>
      <c r="M108" s="48" t="b">
        <f ca="1">IF(tblValidation[[#This Row],[TargetID]]="","",COUNTIF(tblTargets[TargetID],A108)&gt;1)</f>
        <v>0</v>
      </c>
      <c r="N108" s="48" t="b">
        <f ca="1">IF(tblValidation[[#This Row],[TargetID]]="","",COUNTIF(tblStates[StateID],tblValidation[[#This Row],[TargetID]])&gt;1)</f>
        <v>0</v>
      </c>
      <c r="O108" s="48" t="b" cm="1">
        <f t="array" aca="1" ref="O1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8" s="48"/>
      <c r="R108" s="48"/>
      <c r="S108" s="48"/>
      <c r="T108" s="48"/>
      <c r="V108" s="2" t="str">
        <f ca="1"/>
        <v>building.train@1</v>
      </c>
      <c r="W108" s="2" t="str">
        <f ca="1"/>
        <v>state.obtain_map4_x2</v>
      </c>
      <c r="X108" s="2" t="str">
        <f ca="1"/>
        <v>building.train@1</v>
      </c>
      <c r="Y108" s="2" t="str">
        <f ca="1"/>
        <v>building.workshop@4</v>
      </c>
      <c r="Z108" s="2" t="str">
        <f ca="1"/>
        <v>building.train@2</v>
      </c>
      <c r="AA108" s="2" t="str">
        <f ca="1"/>
        <v>building.warehouse@5</v>
      </c>
      <c r="AC108" s="2" t="str">
        <f ca="1"/>
        <v>state.obtain_shoguns_katana</v>
      </c>
      <c r="AD108" s="2" t="str">
        <f ca="1"/>
        <v>building.train@1</v>
      </c>
      <c r="AE108" s="2" t="str">
        <f ca="1"/>
        <v>citadel.armory</v>
      </c>
    </row>
    <row r="109" spans="1:31">
      <c r="A109" t="str">
        <f t="shared" ca="1" si="2"/>
        <v>building.train@2</v>
      </c>
      <c r="B109" t="str">
        <f ca="1">_xlfn.XLOOKUP(tblValidation[[#This Row],[TargetID]],tblTargets[TargetID],tblTargets[TargetType],"")</f>
        <v>BUILDING</v>
      </c>
      <c r="C109" s="48" t="b">
        <f ca="1">COUNTIF(tblTargets[TargetID], $A109) &gt; 0</f>
        <v>1</v>
      </c>
      <c r="D109" s="48" t="b">
        <f ca="1">IF(OR(LEFT(tblValidation[[#This Row],[TargetID]],10)="state.CHAR",RIGHT(tblValidation[[#This Row],[TargetID]],5)="maxed"),TRUE, COUNTIF(tblChecklist[TargetID], $A109) &gt; 0)</f>
        <v>1</v>
      </c>
      <c r="E1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$A109) &gt; 0)</f>
        <v>1</v>
      </c>
      <c r="F109" s="48" t="b">
        <f ca="1">COUNTIF(tblDependencies[DependencyID], $A109) &gt; 0</f>
        <v>1</v>
      </c>
      <c r="G109" s="48" t="b">
        <f ca="1">COUNTIF(tblQuestObjectives[QuestTargetID], $A109) &gt; 0</f>
        <v>0</v>
      </c>
      <c r="H109" s="48" t="b">
        <f ca="1">COUNTIF(tblQuestObjectives[ObjectiveID], $A109) &gt; 0</f>
        <v>1</v>
      </c>
      <c r="I109" s="48" t="b">
        <f ca="1">COUNTIF(tblTargetStatus[TargetID], $A109) &gt; 0</f>
        <v>1</v>
      </c>
      <c r="J109" s="48" t="b">
        <f ca="1">COUNTIF(tblCost[TargetID], $A109) &gt; 0</f>
        <v>1</v>
      </c>
      <c r="K109" s="48" t="b">
        <f ca="1">COUNTIF(tblStates[StateID], $A109) &gt; 0</f>
        <v>0</v>
      </c>
      <c r="L109" s="48" t="b">
        <f t="shared" ca="1" si="3"/>
        <v>1</v>
      </c>
      <c r="M109" s="48" t="b">
        <f ca="1">IF(tblValidation[[#This Row],[TargetID]]="","",COUNTIF(tblTargets[TargetID],A109)&gt;1)</f>
        <v>0</v>
      </c>
      <c r="N109" s="48" t="b">
        <f ca="1">IF(tblValidation[[#This Row],[TargetID]]="","",COUNTIF(tblStates[StateID],tblValidation[[#This Row],[TargetID]])&gt;1)</f>
        <v>0</v>
      </c>
      <c r="O109" s="48" t="b" cm="1">
        <f t="array" aca="1" ref="O1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9" s="48"/>
      <c r="R109" s="48"/>
      <c r="S109" s="48"/>
      <c r="T109" s="48"/>
      <c r="V109" s="2" t="str">
        <f ca="1"/>
        <v>building.train@2</v>
      </c>
      <c r="W109" s="2" t="str">
        <f ca="1"/>
        <v>state.obtain_mechanism</v>
      </c>
      <c r="X109" s="2" t="str">
        <f ca="1"/>
        <v>building.train@2</v>
      </c>
      <c r="Y109" s="2" t="str">
        <f ca="1"/>
        <v>building.workshop@5</v>
      </c>
      <c r="Z109" s="2" t="str">
        <f ca="1"/>
        <v>building.train_freight_carriage@1</v>
      </c>
      <c r="AA109" s="2" t="str">
        <f ca="1"/>
        <v>building.warehouse@6</v>
      </c>
      <c r="AC109" s="2" t="str">
        <f ca="1"/>
        <v>state.obtain_Shoguns_Mortar</v>
      </c>
      <c r="AD109" s="2" t="str">
        <f ca="1"/>
        <v>building.train@2</v>
      </c>
      <c r="AE109" s="2" t="str">
        <f ca="1"/>
        <v>citadel.attic</v>
      </c>
    </row>
    <row r="110" spans="1:31">
      <c r="A110" t="str">
        <f t="shared" ca="1" si="2"/>
        <v>building.train_freight_carriage@1</v>
      </c>
      <c r="B110" t="str">
        <f ca="1">_xlfn.XLOOKUP(tblValidation[[#This Row],[TargetID]],tblTargets[TargetID],tblTargets[TargetType],"")</f>
        <v>BUILDING</v>
      </c>
      <c r="C110" s="48" t="b">
        <f ca="1">COUNTIF(tblTargets[TargetID], $A110) &gt; 0</f>
        <v>1</v>
      </c>
      <c r="D110" s="48" t="b">
        <f ca="1">IF(OR(LEFT(tblValidation[[#This Row],[TargetID]],10)="state.CHAR",RIGHT(tblValidation[[#This Row],[TargetID]],5)="maxed"),TRUE, COUNTIF(tblChecklist[TargetID], $A110) &gt; 0)</f>
        <v>1</v>
      </c>
      <c r="E1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$A110) &gt; 0)</f>
        <v>1</v>
      </c>
      <c r="F110" s="48" t="b">
        <f ca="1">COUNTIF(tblDependencies[DependencyID], $A110) &gt; 0</f>
        <v>1</v>
      </c>
      <c r="G110" s="48" t="b">
        <f ca="1">COUNTIF(tblQuestObjectives[QuestTargetID], $A110) &gt; 0</f>
        <v>0</v>
      </c>
      <c r="H110" s="48" t="b">
        <f ca="1">COUNTIF(tblQuestObjectives[ObjectiveID], $A110) &gt; 0</f>
        <v>0</v>
      </c>
      <c r="I110" s="48" t="b">
        <f ca="1">COUNTIF(tblTargetStatus[TargetID], $A110) &gt; 0</f>
        <v>1</v>
      </c>
      <c r="J110" s="48" t="b">
        <f ca="1">COUNTIF(tblCost[TargetID], $A110) &gt; 0</f>
        <v>1</v>
      </c>
      <c r="K110" s="48" t="b">
        <f ca="1">COUNTIF(tblStates[StateID], $A110) &gt; 0</f>
        <v>0</v>
      </c>
      <c r="L110" s="48" t="b">
        <f t="shared" ca="1" si="3"/>
        <v>1</v>
      </c>
      <c r="M110" s="48" t="b">
        <f ca="1">IF(tblValidation[[#This Row],[TargetID]]="","",COUNTIF(tblTargets[TargetID],A110)&gt;1)</f>
        <v>0</v>
      </c>
      <c r="N110" s="48" t="b">
        <f ca="1">IF(tblValidation[[#This Row],[TargetID]]="","",COUNTIF(tblStates[StateID],tblValidation[[#This Row],[TargetID]])&gt;1)</f>
        <v>0</v>
      </c>
      <c r="O110" s="48" t="b" cm="1">
        <f t="array" aca="1" ref="O1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0" s="48"/>
      <c r="R110" s="48"/>
      <c r="S110" s="48"/>
      <c r="T110" s="48"/>
      <c r="V110" s="2" t="str">
        <f ca="1"/>
        <v>building.train_freight_carriage@1</v>
      </c>
      <c r="W110" s="2" t="str">
        <f ca="1"/>
        <v>state.obtain_potion_of_mental_power</v>
      </c>
      <c r="X110" s="2" t="str">
        <f ca="1"/>
        <v>building.train_freight_carriage@1</v>
      </c>
      <c r="Y110" s="2" t="str">
        <f ca="1"/>
        <v>citadel.armory</v>
      </c>
      <c r="Z110" s="2" t="str">
        <f ca="1"/>
        <v>building.train_freight_carriage@2</v>
      </c>
      <c r="AA110" s="2" t="str">
        <f ca="1"/>
        <v>building.warehouse@7</v>
      </c>
      <c r="AC110" s="2" t="str">
        <f ca="1"/>
        <v>state.obtain_smugglers_map_10_spices</v>
      </c>
      <c r="AD110" s="2" t="str">
        <f ca="1"/>
        <v>building.train_freight_carriage@1</v>
      </c>
      <c r="AE110" s="2" t="str">
        <f ca="1"/>
        <v>citadel.cheese_cave</v>
      </c>
    </row>
    <row r="111" spans="1:31">
      <c r="A111" t="str">
        <f t="shared" ca="1" si="2"/>
        <v>building.train_freight_carriage@2</v>
      </c>
      <c r="B111" t="str">
        <f ca="1">_xlfn.XLOOKUP(tblValidation[[#This Row],[TargetID]],tblTargets[TargetID],tblTargets[TargetType],"")</f>
        <v>BUILDING</v>
      </c>
      <c r="C111" s="48" t="b">
        <f ca="1">COUNTIF(tblTargets[TargetID], $A111) &gt; 0</f>
        <v>1</v>
      </c>
      <c r="D111" s="48" t="b">
        <f ca="1">IF(OR(LEFT(tblValidation[[#This Row],[TargetID]],10)="state.CHAR",RIGHT(tblValidation[[#This Row],[TargetID]],5)="maxed"),TRUE, COUNTIF(tblChecklist[TargetID], $A111) &gt; 0)</f>
        <v>1</v>
      </c>
      <c r="E1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$A111) &gt; 0)</f>
        <v>1</v>
      </c>
      <c r="F111" s="48" t="b">
        <f ca="1">COUNTIF(tblDependencies[DependencyID], $A111) &gt; 0</f>
        <v>0</v>
      </c>
      <c r="G111" s="48" t="b">
        <f ca="1">COUNTIF(tblQuestObjectives[QuestTargetID], $A111) &gt; 0</f>
        <v>0</v>
      </c>
      <c r="H111" s="48" t="b">
        <f ca="1">COUNTIF(tblQuestObjectives[ObjectiveID], $A111) &gt; 0</f>
        <v>0</v>
      </c>
      <c r="I111" s="48" t="b">
        <f ca="1">COUNTIF(tblTargetStatus[TargetID], $A111) &gt; 0</f>
        <v>1</v>
      </c>
      <c r="J111" s="48" t="b">
        <f ca="1">COUNTIF(tblCost[TargetID], $A111) &gt; 0</f>
        <v>1</v>
      </c>
      <c r="K111" s="48" t="b">
        <f ca="1">COUNTIF(tblStates[StateID], $A111) &gt; 0</f>
        <v>0</v>
      </c>
      <c r="L111" s="48" t="b">
        <f t="shared" ca="1" si="3"/>
        <v>1</v>
      </c>
      <c r="M111" s="48" t="b">
        <f ca="1">IF(tblValidation[[#This Row],[TargetID]]="","",COUNTIF(tblTargets[TargetID],A111)&gt;1)</f>
        <v>0</v>
      </c>
      <c r="N111" s="48" t="b">
        <f ca="1">IF(tblValidation[[#This Row],[TargetID]]="","",COUNTIF(tblStates[StateID],tblValidation[[#This Row],[TargetID]])&gt;1)</f>
        <v>0</v>
      </c>
      <c r="O111" s="48" t="b" cm="1">
        <f t="array" aca="1" ref="O1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1" s="48"/>
      <c r="R111" s="48"/>
      <c r="S111" s="48"/>
      <c r="T111" s="48"/>
      <c r="V111" s="2" t="str">
        <f ca="1"/>
        <v>building.train_freight_carriage@2</v>
      </c>
      <c r="W111" s="2" t="str">
        <f ca="1"/>
        <v>state.obtain_reagent</v>
      </c>
      <c r="X111" s="2" t="str">
        <f ca="1"/>
        <v>building.train_freight_carriage@2</v>
      </c>
      <c r="Y111" s="2" t="str">
        <f ca="1"/>
        <v>citadel.attic</v>
      </c>
      <c r="Z111" s="2" t="str">
        <f ca="1"/>
        <v>building.train_passenger_carriage@1</v>
      </c>
      <c r="AA111" s="2" t="str">
        <f ca="1"/>
        <v>building.windmill.maxed</v>
      </c>
      <c r="AC111" s="2" t="str">
        <f ca="1"/>
        <v>state.obtain_smugglers_map_100_beans</v>
      </c>
      <c r="AD111" s="2" t="str">
        <f ca="1"/>
        <v>building.train_freight_carriage@2</v>
      </c>
      <c r="AE111" s="2" t="str">
        <f ca="1"/>
        <v>citadel.courtyard</v>
      </c>
    </row>
    <row r="112" spans="1:31">
      <c r="A112" t="str">
        <f t="shared" ca="1" si="2"/>
        <v>building.train_passenger_carriage@1</v>
      </c>
      <c r="B112" t="str">
        <f ca="1">_xlfn.XLOOKUP(tblValidation[[#This Row],[TargetID]],tblTargets[TargetID],tblTargets[TargetType],"")</f>
        <v>BUILDING</v>
      </c>
      <c r="C112" s="48" t="b">
        <f ca="1">COUNTIF(tblTargets[TargetID], $A112) &gt; 0</f>
        <v>1</v>
      </c>
      <c r="D112" s="48" t="b">
        <f ca="1">IF(OR(LEFT(tblValidation[[#This Row],[TargetID]],10)="state.CHAR",RIGHT(tblValidation[[#This Row],[TargetID]],5)="maxed"),TRUE, COUNTIF(tblChecklist[TargetID], $A112) &gt; 0)</f>
        <v>1</v>
      </c>
      <c r="E1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$A112) &gt; 0)</f>
        <v>1</v>
      </c>
      <c r="F112" s="48" t="b">
        <f ca="1">COUNTIF(tblDependencies[DependencyID], $A112) &gt; 0</f>
        <v>1</v>
      </c>
      <c r="G112" s="48" t="b">
        <f ca="1">COUNTIF(tblQuestObjectives[QuestTargetID], $A112) &gt; 0</f>
        <v>0</v>
      </c>
      <c r="H112" s="48" t="b">
        <f ca="1">COUNTIF(tblQuestObjectives[ObjectiveID], $A112) &gt; 0</f>
        <v>1</v>
      </c>
      <c r="I112" s="48" t="b">
        <f ca="1">COUNTIF(tblTargetStatus[TargetID], $A112) &gt; 0</f>
        <v>1</v>
      </c>
      <c r="J112" s="48" t="b">
        <f ca="1">COUNTIF(tblCost[TargetID], $A112) &gt; 0</f>
        <v>1</v>
      </c>
      <c r="K112" s="48" t="b">
        <f ca="1">COUNTIF(tblStates[StateID], $A112) &gt; 0</f>
        <v>0</v>
      </c>
      <c r="L112" s="48" t="b">
        <f t="shared" ca="1" si="3"/>
        <v>1</v>
      </c>
      <c r="M112" s="48" t="b">
        <f ca="1">IF(tblValidation[[#This Row],[TargetID]]="","",COUNTIF(tblTargets[TargetID],A112)&gt;1)</f>
        <v>0</v>
      </c>
      <c r="N112" s="48" t="b">
        <f ca="1">IF(tblValidation[[#This Row],[TargetID]]="","",COUNTIF(tblStates[StateID],tblValidation[[#This Row],[TargetID]])&gt;1)</f>
        <v>0</v>
      </c>
      <c r="O112" s="48" t="b" cm="1">
        <f t="array" aca="1" ref="O1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2" s="48"/>
      <c r="R112" s="48"/>
      <c r="S112" s="48"/>
      <c r="T112" s="48"/>
      <c r="V112" s="2" t="str">
        <f ca="1"/>
        <v>building.train_passenger_carriage@1</v>
      </c>
      <c r="W112" s="2" t="str">
        <f ca="1"/>
        <v>state.obtain_red_diamond_6a</v>
      </c>
      <c r="X112" s="2" t="str">
        <f ca="1"/>
        <v>building.train_passenger_carriage@1</v>
      </c>
      <c r="Y112" s="2" t="str">
        <f ca="1"/>
        <v>citadel.cheese_cave</v>
      </c>
      <c r="Z112" s="2" t="str">
        <f ca="1"/>
        <v>building.train_passenger_carriage@2</v>
      </c>
      <c r="AA112" s="2" t="str">
        <f ca="1"/>
        <v>building.windmill@1</v>
      </c>
      <c r="AC112" s="2" t="str">
        <f ca="1"/>
        <v>state.obtain_smugglers_map_15_pearl</v>
      </c>
      <c r="AD112" s="2" t="str">
        <f ca="1"/>
        <v>building.train_passenger_carriage@1</v>
      </c>
      <c r="AE112" s="2" t="str">
        <f ca="1"/>
        <v>citadel.gallery</v>
      </c>
    </row>
    <row r="113" spans="1:31">
      <c r="A113" t="str">
        <f t="shared" ca="1" si="2"/>
        <v>building.train_passenger_carriage@2</v>
      </c>
      <c r="B113" t="str">
        <f ca="1">_xlfn.XLOOKUP(tblValidation[[#This Row],[TargetID]],tblTargets[TargetID],tblTargets[TargetType],"")</f>
        <v>BUILDING</v>
      </c>
      <c r="C113" s="48" t="b">
        <f ca="1">COUNTIF(tblTargets[TargetID], $A113) &gt; 0</f>
        <v>1</v>
      </c>
      <c r="D113" s="48" t="b">
        <f ca="1">IF(OR(LEFT(tblValidation[[#This Row],[TargetID]],10)="state.CHAR",RIGHT(tblValidation[[#This Row],[TargetID]],5)="maxed"),TRUE, COUNTIF(tblChecklist[TargetID], $A113) &gt; 0)</f>
        <v>1</v>
      </c>
      <c r="E1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$A113) &gt; 0)</f>
        <v>1</v>
      </c>
      <c r="F113" s="48" t="b">
        <f ca="1">COUNTIF(tblDependencies[DependencyID], $A113) &gt; 0</f>
        <v>0</v>
      </c>
      <c r="G113" s="48" t="b">
        <f ca="1">COUNTIF(tblQuestObjectives[QuestTargetID], $A113) &gt; 0</f>
        <v>0</v>
      </c>
      <c r="H113" s="48" t="b">
        <f ca="1">COUNTIF(tblQuestObjectives[ObjectiveID], $A113) &gt; 0</f>
        <v>0</v>
      </c>
      <c r="I113" s="48" t="b">
        <f ca="1">COUNTIF(tblTargetStatus[TargetID], $A113) &gt; 0</f>
        <v>1</v>
      </c>
      <c r="J113" s="48" t="b">
        <f ca="1">COUNTIF(tblCost[TargetID], $A113) &gt; 0</f>
        <v>1</v>
      </c>
      <c r="K113" s="48" t="b">
        <f ca="1">COUNTIF(tblStates[StateID], $A113) &gt; 0</f>
        <v>0</v>
      </c>
      <c r="L113" s="48" t="b">
        <f t="shared" ca="1" si="3"/>
        <v>1</v>
      </c>
      <c r="M113" s="48" t="b">
        <f ca="1">IF(tblValidation[[#This Row],[TargetID]]="","",COUNTIF(tblTargets[TargetID],A113)&gt;1)</f>
        <v>0</v>
      </c>
      <c r="N113" s="48" t="b">
        <f ca="1">IF(tblValidation[[#This Row],[TargetID]]="","",COUNTIF(tblStates[StateID],tblValidation[[#This Row],[TargetID]])&gt;1)</f>
        <v>0</v>
      </c>
      <c r="O113" s="48" t="b" cm="1">
        <f t="array" aca="1" ref="O1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3" s="48"/>
      <c r="R113" s="48"/>
      <c r="S113" s="48"/>
      <c r="T113" s="48"/>
      <c r="V113" s="2" t="str">
        <f ca="1"/>
        <v>building.train_passenger_carriage@2</v>
      </c>
      <c r="W113" s="2" t="str">
        <f ca="1"/>
        <v>state.obtain_red_diamond_6b</v>
      </c>
      <c r="X113" s="2" t="str">
        <f ca="1"/>
        <v>building.train_passenger_carriage@2</v>
      </c>
      <c r="Y113" s="2" t="str">
        <f ca="1"/>
        <v>citadel.courtyard</v>
      </c>
      <c r="Z113" s="2" t="str">
        <f ca="1"/>
        <v>building.warehouse.maxed</v>
      </c>
      <c r="AA113" s="2" t="str">
        <f ca="1"/>
        <v>building.windmill@2</v>
      </c>
      <c r="AC113" s="2" t="str">
        <f ca="1"/>
        <v>state.obtain_spices</v>
      </c>
      <c r="AD113" s="2" t="str">
        <f ca="1"/>
        <v>building.train_passenger_carriage@2</v>
      </c>
      <c r="AE113" s="2" t="str">
        <f ca="1"/>
        <v>citadel.great_hall</v>
      </c>
    </row>
    <row r="114" spans="1:31">
      <c r="A114" t="str">
        <f t="shared" ca="1" si="2"/>
        <v>building.warehouse.maxed</v>
      </c>
      <c r="B114" t="str">
        <f ca="1">_xlfn.XLOOKUP(tblValidation[[#This Row],[TargetID]],tblTargets[TargetID],tblTargets[TargetType],"")</f>
        <v>BUILDING</v>
      </c>
      <c r="C114" s="48" t="b">
        <f ca="1">COUNTIF(tblTargets[TargetID], $A114) &gt; 0</f>
        <v>1</v>
      </c>
      <c r="D114" s="48" t="b">
        <f ca="1">IF(OR(LEFT(tblValidation[[#This Row],[TargetID]],10)="state.CHAR",RIGHT(tblValidation[[#This Row],[TargetID]],5)="maxed"),TRUE, COUNTIF(tblChecklist[TargetID], $A114) &gt; 0)</f>
        <v>1</v>
      </c>
      <c r="E1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$A114) &gt; 0)</f>
        <v>1</v>
      </c>
      <c r="F114" s="48" t="b">
        <f ca="1">COUNTIF(tblDependencies[DependencyID], $A114) &gt; 0</f>
        <v>1</v>
      </c>
      <c r="G114" s="48" t="b">
        <f ca="1">COUNTIF(tblQuestObjectives[QuestTargetID], $A114) &gt; 0</f>
        <v>0</v>
      </c>
      <c r="H114" s="48" t="b">
        <f ca="1">COUNTIF(tblQuestObjectives[ObjectiveID], $A114) &gt; 0</f>
        <v>0</v>
      </c>
      <c r="I114" s="48" t="b">
        <f ca="1">COUNTIF(tblTargetStatus[TargetID], $A114) &gt; 0</f>
        <v>1</v>
      </c>
      <c r="J114" s="48" t="b">
        <f ca="1">COUNTIF(tblCost[TargetID], $A114) &gt; 0</f>
        <v>0</v>
      </c>
      <c r="K114" s="48" t="b">
        <f ca="1">COUNTIF(tblStates[StateID], $A114) &gt; 0</f>
        <v>0</v>
      </c>
      <c r="L114" s="48" t="b">
        <f t="shared" ca="1" si="3"/>
        <v>1</v>
      </c>
      <c r="M114" s="48" t="b">
        <f ca="1">IF(tblValidation[[#This Row],[TargetID]]="","",COUNTIF(tblTargets[TargetID],A114)&gt;1)</f>
        <v>0</v>
      </c>
      <c r="N114" s="48" t="b">
        <f ca="1">IF(tblValidation[[#This Row],[TargetID]]="","",COUNTIF(tblStates[StateID],tblValidation[[#This Row],[TargetID]])&gt;1)</f>
        <v>0</v>
      </c>
      <c r="O114" s="48" t="b" cm="1">
        <f t="array" aca="1" ref="O1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4" s="48"/>
      <c r="R114" s="48"/>
      <c r="S114" s="48"/>
      <c r="T114" s="48"/>
      <c r="V114" s="2" t="str">
        <f ca="1"/>
        <v>building.warehouse.maxed</v>
      </c>
      <c r="W114" s="2" t="str">
        <f ca="1"/>
        <v>state.obtain_red_diamond_6c</v>
      </c>
      <c r="X114" s="2" t="str">
        <f ca="1"/>
        <v>building.warehouse.maxed</v>
      </c>
      <c r="Y114" s="2" t="str">
        <f ca="1"/>
        <v>citadel.gallery</v>
      </c>
      <c r="Z114" s="2" t="str">
        <f ca="1"/>
        <v>building.warehouse@1</v>
      </c>
      <c r="AA114" s="2" t="str">
        <f ca="1"/>
        <v>building.workshop.maxed</v>
      </c>
      <c r="AC114" s="2" t="str">
        <f ca="1"/>
        <v>state.obtain_steamobile</v>
      </c>
      <c r="AD114" s="2" t="str">
        <f ca="1"/>
        <v>building.warehouse.maxed</v>
      </c>
      <c r="AE114" s="2" t="str">
        <f ca="1"/>
        <v>citadel.kitchen_and_buttery</v>
      </c>
    </row>
    <row r="115" spans="1:31">
      <c r="A115" t="str">
        <f t="shared" ca="1" si="2"/>
        <v>building.warehouse@1</v>
      </c>
      <c r="B115" t="str">
        <f ca="1">_xlfn.XLOOKUP(tblValidation[[#This Row],[TargetID]],tblTargets[TargetID],tblTargets[TargetType],"")</f>
        <v>BUILDING</v>
      </c>
      <c r="C115" s="48" t="b">
        <f ca="1">COUNTIF(tblTargets[TargetID], $A115) &gt; 0</f>
        <v>1</v>
      </c>
      <c r="D115" s="48" t="b">
        <f ca="1">IF(OR(LEFT(tblValidation[[#This Row],[TargetID]],10)="state.CHAR",RIGHT(tblValidation[[#This Row],[TargetID]],5)="maxed"),TRUE, COUNTIF(tblChecklist[TargetID], $A115) &gt; 0)</f>
        <v>1</v>
      </c>
      <c r="E1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$A115) &gt; 0)</f>
        <v>1</v>
      </c>
      <c r="F115" s="48" t="b">
        <f ca="1">COUNTIF(tblDependencies[DependencyID], $A115) &gt; 0</f>
        <v>1</v>
      </c>
      <c r="G115" s="48" t="b">
        <f ca="1">COUNTIF(tblQuestObjectives[QuestTargetID], $A115) &gt; 0</f>
        <v>0</v>
      </c>
      <c r="H115" s="48" t="b">
        <f ca="1">COUNTIF(tblQuestObjectives[ObjectiveID], $A115) &gt; 0</f>
        <v>1</v>
      </c>
      <c r="I115" s="48" t="b">
        <f ca="1">COUNTIF(tblTargetStatus[TargetID], $A115) &gt; 0</f>
        <v>1</v>
      </c>
      <c r="J115" s="48" t="b">
        <f ca="1">COUNTIF(tblCost[TargetID], $A115) &gt; 0</f>
        <v>1</v>
      </c>
      <c r="K115" s="48" t="b">
        <f ca="1">COUNTIF(tblStates[StateID], $A115) &gt; 0</f>
        <v>0</v>
      </c>
      <c r="L115" s="48" t="b">
        <f t="shared" ca="1" si="3"/>
        <v>1</v>
      </c>
      <c r="M115" s="48" t="b">
        <f ca="1">IF(tblValidation[[#This Row],[TargetID]]="","",COUNTIF(tblTargets[TargetID],A115)&gt;1)</f>
        <v>0</v>
      </c>
      <c r="N115" s="48" t="b">
        <f ca="1">IF(tblValidation[[#This Row],[TargetID]]="","",COUNTIF(tblStates[StateID],tblValidation[[#This Row],[TargetID]])&gt;1)</f>
        <v>0</v>
      </c>
      <c r="O115" s="48" t="b" cm="1">
        <f t="array" aca="1" ref="O1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5" s="48"/>
      <c r="R115" s="48"/>
      <c r="S115" s="48"/>
      <c r="T115" s="48"/>
      <c r="V115" s="2" t="str">
        <f ca="1"/>
        <v>building.warehouse@1</v>
      </c>
      <c r="W115" s="2" t="str">
        <f ca="1"/>
        <v>state.obtain_shield4+</v>
      </c>
      <c r="X115" s="2" t="str">
        <f ca="1"/>
        <v>building.warehouse@1</v>
      </c>
      <c r="Y115" s="2" t="str">
        <f ca="1"/>
        <v>citadel.great_hall</v>
      </c>
      <c r="Z115" s="2" t="str">
        <f ca="1"/>
        <v>building.warehouse@2</v>
      </c>
      <c r="AA115" s="2" t="str">
        <f ca="1"/>
        <v>building.workshop@1</v>
      </c>
      <c r="AC115" s="2" t="str">
        <f ca="1"/>
        <v>state.obtain_sword4</v>
      </c>
      <c r="AD115" s="2" t="str">
        <f ca="1"/>
        <v>building.warehouse@1</v>
      </c>
      <c r="AE115" s="2" t="str">
        <f ca="1"/>
        <v>citadel.lair_lvl_1</v>
      </c>
    </row>
    <row r="116" spans="1:31">
      <c r="A116" t="str">
        <f t="shared" ca="1" si="2"/>
        <v>building.warehouse@2</v>
      </c>
      <c r="B116" t="str">
        <f ca="1">_xlfn.XLOOKUP(tblValidation[[#This Row],[TargetID]],tblTargets[TargetID],tblTargets[TargetType],"")</f>
        <v>BUILDING</v>
      </c>
      <c r="C116" s="48" t="b">
        <f ca="1">COUNTIF(tblTargets[TargetID], $A116) &gt; 0</f>
        <v>1</v>
      </c>
      <c r="D116" s="48" t="b">
        <f ca="1">IF(OR(LEFT(tblValidation[[#This Row],[TargetID]],10)="state.CHAR",RIGHT(tblValidation[[#This Row],[TargetID]],5)="maxed"),TRUE, COUNTIF(tblChecklist[TargetID], $A116) &gt; 0)</f>
        <v>1</v>
      </c>
      <c r="E1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$A116) &gt; 0)</f>
        <v>1</v>
      </c>
      <c r="F116" s="48" t="b">
        <f ca="1">COUNTIF(tblDependencies[DependencyID], $A116) &gt; 0</f>
        <v>1</v>
      </c>
      <c r="G116" s="48" t="b">
        <f ca="1">COUNTIF(tblQuestObjectives[QuestTargetID], $A116) &gt; 0</f>
        <v>0</v>
      </c>
      <c r="H116" s="48" t="b">
        <f ca="1">COUNTIF(tblQuestObjectives[ObjectiveID], $A116) &gt; 0</f>
        <v>0</v>
      </c>
      <c r="I116" s="48" t="b">
        <f ca="1">COUNTIF(tblTargetStatus[TargetID], $A116) &gt; 0</f>
        <v>1</v>
      </c>
      <c r="J116" s="48" t="b">
        <f ca="1">COUNTIF(tblCost[TargetID], $A116) &gt; 0</f>
        <v>1</v>
      </c>
      <c r="K116" s="48" t="b">
        <f ca="1">COUNTIF(tblStates[StateID], $A116) &gt; 0</f>
        <v>0</v>
      </c>
      <c r="L116" s="48" t="b">
        <f t="shared" ca="1" si="3"/>
        <v>1</v>
      </c>
      <c r="M116" s="48" t="b">
        <f ca="1">IF(tblValidation[[#This Row],[TargetID]]="","",COUNTIF(tblTargets[TargetID],A116)&gt;1)</f>
        <v>0</v>
      </c>
      <c r="N116" s="48" t="b">
        <f ca="1">IF(tblValidation[[#This Row],[TargetID]]="","",COUNTIF(tblStates[StateID],tblValidation[[#This Row],[TargetID]])&gt;1)</f>
        <v>0</v>
      </c>
      <c r="O116" s="48" t="b" cm="1">
        <f t="array" aca="1" ref="O1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6" s="48"/>
      <c r="R116" s="48"/>
      <c r="S116" s="48"/>
      <c r="T116" s="48"/>
      <c r="V116" s="2" t="str">
        <f ca="1"/>
        <v>building.warehouse@2</v>
      </c>
      <c r="W116" s="2" t="str">
        <f ca="1"/>
        <v>state.obtain_ship_in_a_bottle</v>
      </c>
      <c r="X116" s="2" t="str">
        <f ca="1"/>
        <v>building.warehouse@2</v>
      </c>
      <c r="Y116" s="2" t="str">
        <f ca="1"/>
        <v>citadel.kitchen_and_buttery</v>
      </c>
      <c r="Z116" s="2" t="str">
        <f ca="1"/>
        <v>building.warehouse@3</v>
      </c>
      <c r="AA116" s="2" t="str">
        <f ca="1"/>
        <v>building.workshop@2</v>
      </c>
      <c r="AC116" s="2" t="str">
        <f ca="1"/>
        <v>state.obtain_sword4+</v>
      </c>
      <c r="AD116" s="2" t="str">
        <f ca="1"/>
        <v>building.warehouse@2</v>
      </c>
      <c r="AE116" s="2" t="str">
        <f ca="1"/>
        <v>citadel.lair_lvl_2</v>
      </c>
    </row>
    <row r="117" spans="1:31">
      <c r="A117" t="str">
        <f t="shared" ca="1" si="2"/>
        <v>building.warehouse@3</v>
      </c>
      <c r="B117" t="str">
        <f ca="1">_xlfn.XLOOKUP(tblValidation[[#This Row],[TargetID]],tblTargets[TargetID],tblTargets[TargetType],"")</f>
        <v>BUILDING</v>
      </c>
      <c r="C117" s="48" t="b">
        <f ca="1">COUNTIF(tblTargets[TargetID], $A117) &gt; 0</f>
        <v>1</v>
      </c>
      <c r="D117" s="48" t="b">
        <f ca="1">IF(OR(LEFT(tblValidation[[#This Row],[TargetID]],10)="state.CHAR",RIGHT(tblValidation[[#This Row],[TargetID]],5)="maxed"),TRUE, COUNTIF(tblChecklist[TargetID], $A117) &gt; 0)</f>
        <v>1</v>
      </c>
      <c r="E1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$A117) &gt; 0)</f>
        <v>1</v>
      </c>
      <c r="F117" s="48" t="b">
        <f ca="1">COUNTIF(tblDependencies[DependencyID], $A117) &gt; 0</f>
        <v>1</v>
      </c>
      <c r="G117" s="48" t="b">
        <f ca="1">COUNTIF(tblQuestObjectives[QuestTargetID], $A117) &gt; 0</f>
        <v>0</v>
      </c>
      <c r="H117" s="48" t="b">
        <f ca="1">COUNTIF(tblQuestObjectives[ObjectiveID], $A117) &gt; 0</f>
        <v>0</v>
      </c>
      <c r="I117" s="48" t="b">
        <f ca="1">COUNTIF(tblTargetStatus[TargetID], $A117) &gt; 0</f>
        <v>1</v>
      </c>
      <c r="J117" s="48" t="b">
        <f ca="1">COUNTIF(tblCost[TargetID], $A117) &gt; 0</f>
        <v>1</v>
      </c>
      <c r="K117" s="48" t="b">
        <f ca="1">COUNTIF(tblStates[StateID], $A117) &gt; 0</f>
        <v>0</v>
      </c>
      <c r="L117" s="48" t="b">
        <f t="shared" ca="1" si="3"/>
        <v>1</v>
      </c>
      <c r="M117" s="48" t="b">
        <f ca="1">IF(tblValidation[[#This Row],[TargetID]]="","",COUNTIF(tblTargets[TargetID],A117)&gt;1)</f>
        <v>0</v>
      </c>
      <c r="N117" s="48" t="b">
        <f ca="1">IF(tblValidation[[#This Row],[TargetID]]="","",COUNTIF(tblStates[StateID],tblValidation[[#This Row],[TargetID]])&gt;1)</f>
        <v>0</v>
      </c>
      <c r="O117" s="48" t="b" cm="1">
        <f t="array" aca="1" ref="O1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7" s="48"/>
      <c r="R117" s="48"/>
      <c r="S117" s="48"/>
      <c r="T117" s="48"/>
      <c r="V117" s="2" t="str">
        <f ca="1"/>
        <v>building.warehouse@3</v>
      </c>
      <c r="W117" s="2" t="str">
        <f ca="1"/>
        <v>state.obtain_shoguns_katana</v>
      </c>
      <c r="X117" s="2" t="str">
        <f ca="1"/>
        <v>building.warehouse@3</v>
      </c>
      <c r="Y117" s="2" t="str">
        <f ca="1"/>
        <v>citadel.lair_lvl_1</v>
      </c>
      <c r="Z117" s="2" t="str">
        <f ca="1"/>
        <v>building.warehouse@4</v>
      </c>
      <c r="AA117" s="2" t="str">
        <f ca="1"/>
        <v>building.workshop@3</v>
      </c>
      <c r="AC117" s="2" t="str">
        <f ca="1"/>
        <v>state.obtain_titanium</v>
      </c>
      <c r="AD117" s="2" t="str">
        <f ca="1"/>
        <v>building.warehouse@3</v>
      </c>
      <c r="AE117" s="2" t="str">
        <f ca="1"/>
        <v>citadel.mushroom_farm</v>
      </c>
    </row>
    <row r="118" spans="1:31">
      <c r="A118" t="str">
        <f t="shared" ca="1" si="2"/>
        <v>building.warehouse@4</v>
      </c>
      <c r="B118" t="str">
        <f ca="1">_xlfn.XLOOKUP(tblValidation[[#This Row],[TargetID]],tblTargets[TargetID],tblTargets[TargetType],"")</f>
        <v>BUILDING</v>
      </c>
      <c r="C118" s="48" t="b">
        <f ca="1">COUNTIF(tblTargets[TargetID], $A118) &gt; 0</f>
        <v>1</v>
      </c>
      <c r="D118" s="48" t="b">
        <f ca="1">IF(OR(LEFT(tblValidation[[#This Row],[TargetID]],10)="state.CHAR",RIGHT(tblValidation[[#This Row],[TargetID]],5)="maxed"),TRUE, COUNTIF(tblChecklist[TargetID], $A118) &gt; 0)</f>
        <v>1</v>
      </c>
      <c r="E1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$A118) &gt; 0)</f>
        <v>1</v>
      </c>
      <c r="F118" s="48" t="b">
        <f ca="1">COUNTIF(tblDependencies[DependencyID], $A118) &gt; 0</f>
        <v>1</v>
      </c>
      <c r="G118" s="48" t="b">
        <f ca="1">COUNTIF(tblQuestObjectives[QuestTargetID], $A118) &gt; 0</f>
        <v>0</v>
      </c>
      <c r="H118" s="48" t="b">
        <f ca="1">COUNTIF(tblQuestObjectives[ObjectiveID], $A118) &gt; 0</f>
        <v>0</v>
      </c>
      <c r="I118" s="48" t="b">
        <f ca="1">COUNTIF(tblTargetStatus[TargetID], $A118) &gt; 0</f>
        <v>1</v>
      </c>
      <c r="J118" s="48" t="b">
        <f ca="1">COUNTIF(tblCost[TargetID], $A118) &gt; 0</f>
        <v>1</v>
      </c>
      <c r="K118" s="48" t="b">
        <f ca="1">COUNTIF(tblStates[StateID], $A118) &gt; 0</f>
        <v>0</v>
      </c>
      <c r="L118" s="48" t="b">
        <f t="shared" ca="1" si="3"/>
        <v>1</v>
      </c>
      <c r="M118" s="48" t="b">
        <f ca="1">IF(tblValidation[[#This Row],[TargetID]]="","",COUNTIF(tblTargets[TargetID],A118)&gt;1)</f>
        <v>0</v>
      </c>
      <c r="N118" s="48" t="b">
        <f ca="1">IF(tblValidation[[#This Row],[TargetID]]="","",COUNTIF(tblStates[StateID],tblValidation[[#This Row],[TargetID]])&gt;1)</f>
        <v>0</v>
      </c>
      <c r="O118" s="48" t="b" cm="1">
        <f t="array" aca="1" ref="O1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8" s="48"/>
      <c r="R118" s="48"/>
      <c r="S118" s="48"/>
      <c r="T118" s="48"/>
      <c r="V118" s="2" t="str">
        <f ca="1"/>
        <v>building.warehouse@4</v>
      </c>
      <c r="W118" s="2" t="str">
        <f ca="1"/>
        <v>state.obtain_smugglers_map_10_spices</v>
      </c>
      <c r="X118" s="2" t="str">
        <f ca="1"/>
        <v>building.warehouse@4</v>
      </c>
      <c r="Y118" s="2" t="str">
        <f ca="1"/>
        <v>citadel.lair_lvl_2</v>
      </c>
      <c r="Z118" s="2" t="str">
        <f ca="1"/>
        <v>building.warehouse@5</v>
      </c>
      <c r="AA118" s="2" t="str">
        <f ca="1"/>
        <v>building.workshop@4</v>
      </c>
      <c r="AC118" s="2" t="str">
        <f ca="1"/>
        <v>state.obtain_treasure</v>
      </c>
      <c r="AD118" s="2" t="str">
        <f ca="1"/>
        <v>building.warehouse@4</v>
      </c>
      <c r="AE118" s="2" t="str">
        <f ca="1"/>
        <v>citadel.orangery</v>
      </c>
    </row>
    <row r="119" spans="1:31">
      <c r="A119" t="str">
        <f t="shared" ca="1" si="2"/>
        <v>building.warehouse@5</v>
      </c>
      <c r="B119" t="str">
        <f ca="1">_xlfn.XLOOKUP(tblValidation[[#This Row],[TargetID]],tblTargets[TargetID],tblTargets[TargetType],"")</f>
        <v>BUILDING</v>
      </c>
      <c r="C119" s="48" t="b">
        <f ca="1">COUNTIF(tblTargets[TargetID], $A119) &gt; 0</f>
        <v>1</v>
      </c>
      <c r="D119" s="48" t="b">
        <f ca="1">IF(OR(LEFT(tblValidation[[#This Row],[TargetID]],10)="state.CHAR",RIGHT(tblValidation[[#This Row],[TargetID]],5)="maxed"),TRUE, COUNTIF(tblChecklist[TargetID], $A119) &gt; 0)</f>
        <v>1</v>
      </c>
      <c r="E1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$A119) &gt; 0)</f>
        <v>1</v>
      </c>
      <c r="F119" s="48" t="b">
        <f ca="1">COUNTIF(tblDependencies[DependencyID], $A119) &gt; 0</f>
        <v>1</v>
      </c>
      <c r="G119" s="48" t="b">
        <f ca="1">COUNTIF(tblQuestObjectives[QuestTargetID], $A119) &gt; 0</f>
        <v>0</v>
      </c>
      <c r="H119" s="48" t="b">
        <f ca="1">COUNTIF(tblQuestObjectives[ObjectiveID], $A119) &gt; 0</f>
        <v>0</v>
      </c>
      <c r="I119" s="48" t="b">
        <f ca="1">COUNTIF(tblTargetStatus[TargetID], $A119) &gt; 0</f>
        <v>1</v>
      </c>
      <c r="J119" s="48" t="b">
        <f ca="1">COUNTIF(tblCost[TargetID], $A119) &gt; 0</f>
        <v>1</v>
      </c>
      <c r="K119" s="48" t="b">
        <f ca="1">COUNTIF(tblStates[StateID], $A119) &gt; 0</f>
        <v>0</v>
      </c>
      <c r="L119" s="48" t="b">
        <f t="shared" ca="1" si="3"/>
        <v>1</v>
      </c>
      <c r="M119" s="48" t="b">
        <f ca="1">IF(tblValidation[[#This Row],[TargetID]]="","",COUNTIF(tblTargets[TargetID],A119)&gt;1)</f>
        <v>0</v>
      </c>
      <c r="N119" s="48" t="b">
        <f ca="1">IF(tblValidation[[#This Row],[TargetID]]="","",COUNTIF(tblStates[StateID],tblValidation[[#This Row],[TargetID]])&gt;1)</f>
        <v>0</v>
      </c>
      <c r="O119" s="48" t="b" cm="1">
        <f t="array" aca="1" ref="O1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9" s="48"/>
      <c r="R119" s="48"/>
      <c r="S119" s="48"/>
      <c r="T119" s="48"/>
      <c r="V119" s="2" t="str">
        <f ca="1"/>
        <v>building.warehouse@5</v>
      </c>
      <c r="W119" s="2" t="str">
        <f ca="1"/>
        <v>state.obtain_smugglers_map_100_beans</v>
      </c>
      <c r="X119" s="2" t="str">
        <f ca="1"/>
        <v>building.warehouse@5</v>
      </c>
      <c r="Y119" s="2" t="str">
        <f ca="1"/>
        <v>citadel.mushroom_farm</v>
      </c>
      <c r="Z119" s="2" t="str">
        <f ca="1"/>
        <v>building.warehouse@6</v>
      </c>
      <c r="AA119" s="2" t="str">
        <f ca="1"/>
        <v>building.workshop@5</v>
      </c>
      <c r="AC119" s="2" t="str">
        <f ca="1"/>
        <v>state.visit_aomori</v>
      </c>
      <c r="AD119" s="2" t="str">
        <f ca="1"/>
        <v>building.warehouse@5</v>
      </c>
      <c r="AE119" s="2" t="str">
        <f ca="1"/>
        <v>citadel.pantry</v>
      </c>
    </row>
    <row r="120" spans="1:31">
      <c r="A120" t="str">
        <f t="shared" ca="1" si="2"/>
        <v>building.warehouse@6</v>
      </c>
      <c r="B120" t="str">
        <f ca="1">_xlfn.XLOOKUP(tblValidation[[#This Row],[TargetID]],tblTargets[TargetID],tblTargets[TargetType],"")</f>
        <v>BUILDING</v>
      </c>
      <c r="C120" s="48" t="b">
        <f ca="1">COUNTIF(tblTargets[TargetID], $A120) &gt; 0</f>
        <v>1</v>
      </c>
      <c r="D120" s="48" t="b">
        <f ca="1">IF(OR(LEFT(tblValidation[[#This Row],[TargetID]],10)="state.CHAR",RIGHT(tblValidation[[#This Row],[TargetID]],5)="maxed"),TRUE, COUNTIF(tblChecklist[TargetID], $A120) &gt; 0)</f>
        <v>1</v>
      </c>
      <c r="E1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$A120) &gt; 0)</f>
        <v>1</v>
      </c>
      <c r="F120" s="48" t="b">
        <f ca="1">COUNTIF(tblDependencies[DependencyID], $A120) &gt; 0</f>
        <v>1</v>
      </c>
      <c r="G120" s="48" t="b">
        <f ca="1">COUNTIF(tblQuestObjectives[QuestTargetID], $A120) &gt; 0</f>
        <v>0</v>
      </c>
      <c r="H120" s="48" t="b">
        <f ca="1">COUNTIF(tblQuestObjectives[ObjectiveID], $A120) &gt; 0</f>
        <v>0</v>
      </c>
      <c r="I120" s="48" t="b">
        <f ca="1">COUNTIF(tblTargetStatus[TargetID], $A120) &gt; 0</f>
        <v>1</v>
      </c>
      <c r="J120" s="48" t="b">
        <f ca="1">COUNTIF(tblCost[TargetID], $A120) &gt; 0</f>
        <v>1</v>
      </c>
      <c r="K120" s="48" t="b">
        <f ca="1">COUNTIF(tblStates[StateID], $A120) &gt; 0</f>
        <v>0</v>
      </c>
      <c r="L120" s="48" t="b">
        <f t="shared" ca="1" si="3"/>
        <v>1</v>
      </c>
      <c r="M120" s="48" t="b">
        <f ca="1">IF(tblValidation[[#This Row],[TargetID]]="","",COUNTIF(tblTargets[TargetID],A120)&gt;1)</f>
        <v>0</v>
      </c>
      <c r="N120" s="48" t="b">
        <f ca="1">IF(tblValidation[[#This Row],[TargetID]]="","",COUNTIF(tblStates[StateID],tblValidation[[#This Row],[TargetID]])&gt;1)</f>
        <v>0</v>
      </c>
      <c r="O120" s="48" t="b" cm="1">
        <f t="array" aca="1" ref="O1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0" s="48"/>
      <c r="R120" s="48"/>
      <c r="S120" s="48"/>
      <c r="T120" s="48"/>
      <c r="V120" s="2" t="str">
        <f ca="1"/>
        <v>building.warehouse@6</v>
      </c>
      <c r="W120" s="2" t="str">
        <f ca="1"/>
        <v>state.obtain_smugglers_map_15_pearl</v>
      </c>
      <c r="X120" s="2" t="str">
        <f ca="1"/>
        <v>building.warehouse@6</v>
      </c>
      <c r="Y120" s="2" t="str">
        <f ca="1"/>
        <v>citadel.orangery</v>
      </c>
      <c r="Z120" s="2" t="str">
        <f ca="1"/>
        <v>building.warehouse@7</v>
      </c>
      <c r="AA120" s="2" t="str">
        <f ca="1"/>
        <v>citadel.armory</v>
      </c>
      <c r="AC120" s="2" t="str">
        <f ca="1"/>
        <v>state.visit_athens</v>
      </c>
      <c r="AD120" s="2" t="str">
        <f ca="1"/>
        <v>building.warehouse@6</v>
      </c>
      <c r="AE120" s="2" t="str">
        <f ca="1"/>
        <v>citadel.tavern</v>
      </c>
    </row>
    <row r="121" spans="1:31">
      <c r="A121" t="str">
        <f t="shared" ca="1" si="2"/>
        <v>building.warehouse@7</v>
      </c>
      <c r="B121" t="str">
        <f ca="1">_xlfn.XLOOKUP(tblValidation[[#This Row],[TargetID]],tblTargets[TargetID],tblTargets[TargetType],"")</f>
        <v>BUILDING</v>
      </c>
      <c r="C121" s="48" t="b">
        <f ca="1">COUNTIF(tblTargets[TargetID], $A121) &gt; 0</f>
        <v>1</v>
      </c>
      <c r="D121" s="48" t="b">
        <f ca="1">IF(OR(LEFT(tblValidation[[#This Row],[TargetID]],10)="state.CHAR",RIGHT(tblValidation[[#This Row],[TargetID]],5)="maxed"),TRUE, COUNTIF(tblChecklist[TargetID], $A121) &gt; 0)</f>
        <v>1</v>
      </c>
      <c r="E1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$A121) &gt; 0)</f>
        <v>1</v>
      </c>
      <c r="F121" s="48" t="b">
        <f ca="1">COUNTIF(tblDependencies[DependencyID], $A121) &gt; 0</f>
        <v>1</v>
      </c>
      <c r="G121" s="48" t="b">
        <f ca="1">COUNTIF(tblQuestObjectives[QuestTargetID], $A121) &gt; 0</f>
        <v>0</v>
      </c>
      <c r="H121" s="48" t="b">
        <f ca="1">COUNTIF(tblQuestObjectives[ObjectiveID], $A121) &gt; 0</f>
        <v>0</v>
      </c>
      <c r="I121" s="48" t="b">
        <f ca="1">COUNTIF(tblTargetStatus[TargetID], $A121) &gt; 0</f>
        <v>1</v>
      </c>
      <c r="J121" s="48" t="b">
        <f ca="1">COUNTIF(tblCost[TargetID], $A121) &gt; 0</f>
        <v>1</v>
      </c>
      <c r="K121" s="48" t="b">
        <f ca="1">COUNTIF(tblStates[StateID], $A121) &gt; 0</f>
        <v>0</v>
      </c>
      <c r="L121" s="48" t="b">
        <f t="shared" ca="1" si="3"/>
        <v>1</v>
      </c>
      <c r="M121" s="48" t="b">
        <f ca="1">IF(tblValidation[[#This Row],[TargetID]]="","",COUNTIF(tblTargets[TargetID],A121)&gt;1)</f>
        <v>0</v>
      </c>
      <c r="N121" s="48" t="b">
        <f ca="1">IF(tblValidation[[#This Row],[TargetID]]="","",COUNTIF(tblStates[StateID],tblValidation[[#This Row],[TargetID]])&gt;1)</f>
        <v>0</v>
      </c>
      <c r="O121" s="48" t="b" cm="1">
        <f t="array" aca="1" ref="O1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1" s="48"/>
      <c r="R121" s="48"/>
      <c r="S121" s="48"/>
      <c r="T121" s="48"/>
      <c r="V121" s="2" t="str">
        <f ca="1"/>
        <v>building.warehouse@7</v>
      </c>
      <c r="W121" s="2" t="str">
        <f ca="1"/>
        <v>state.obtain_spices</v>
      </c>
      <c r="X121" s="2" t="str">
        <f ca="1"/>
        <v>building.warehouse@7</v>
      </c>
      <c r="Y121" s="2" t="str">
        <f ca="1"/>
        <v>citadel.pantry</v>
      </c>
      <c r="Z121" s="2" t="str">
        <f ca="1"/>
        <v>building.windmill.maxed</v>
      </c>
      <c r="AA121" s="2" t="str">
        <f ca="1"/>
        <v>citadel.attic</v>
      </c>
      <c r="AC121" s="2" t="str">
        <f ca="1"/>
        <v>state.visit_baghdad</v>
      </c>
      <c r="AD121" s="2" t="str">
        <f ca="1"/>
        <v>building.warehouse@7</v>
      </c>
      <c r="AE121" s="2" t="str">
        <f ca="1"/>
        <v>citadel.treasury</v>
      </c>
    </row>
    <row r="122" spans="1:31">
      <c r="A122" t="str">
        <f t="shared" ca="1" si="2"/>
        <v>building.windmill.maxed</v>
      </c>
      <c r="B122" t="str">
        <f ca="1">_xlfn.XLOOKUP(tblValidation[[#This Row],[TargetID]],tblTargets[TargetID],tblTargets[TargetType],"")</f>
        <v>BUILDING</v>
      </c>
      <c r="C122" s="48" t="b">
        <f ca="1">COUNTIF(tblTargets[TargetID], $A122) &gt; 0</f>
        <v>1</v>
      </c>
      <c r="D122" s="48" t="b">
        <f ca="1">IF(OR(LEFT(tblValidation[[#This Row],[TargetID]],10)="state.CHAR",RIGHT(tblValidation[[#This Row],[TargetID]],5)="maxed"),TRUE, COUNTIF(tblChecklist[TargetID], $A122) &gt; 0)</f>
        <v>1</v>
      </c>
      <c r="E1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$A122) &gt; 0)</f>
        <v>1</v>
      </c>
      <c r="F122" s="48" t="b">
        <f ca="1">COUNTIF(tblDependencies[DependencyID], $A122) &gt; 0</f>
        <v>1</v>
      </c>
      <c r="G122" s="48" t="b">
        <f ca="1">COUNTIF(tblQuestObjectives[QuestTargetID], $A122) &gt; 0</f>
        <v>0</v>
      </c>
      <c r="H122" s="48" t="b">
        <f ca="1">COUNTIF(tblQuestObjectives[ObjectiveID], $A122) &gt; 0</f>
        <v>0</v>
      </c>
      <c r="I122" s="48" t="b">
        <f ca="1">COUNTIF(tblTargetStatus[TargetID], $A122) &gt; 0</f>
        <v>1</v>
      </c>
      <c r="J122" s="48" t="b">
        <f ca="1">COUNTIF(tblCost[TargetID], $A122) &gt; 0</f>
        <v>0</v>
      </c>
      <c r="K122" s="48" t="b">
        <f ca="1">COUNTIF(tblStates[StateID], $A122) &gt; 0</f>
        <v>0</v>
      </c>
      <c r="L122" s="48" t="b">
        <f t="shared" ca="1" si="3"/>
        <v>1</v>
      </c>
      <c r="M122" s="48" t="b">
        <f ca="1">IF(tblValidation[[#This Row],[TargetID]]="","",COUNTIF(tblTargets[TargetID],A122)&gt;1)</f>
        <v>0</v>
      </c>
      <c r="N122" s="48" t="b">
        <f ca="1">IF(tblValidation[[#This Row],[TargetID]]="","",COUNTIF(tblStates[StateID],tblValidation[[#This Row],[TargetID]])&gt;1)</f>
        <v>0</v>
      </c>
      <c r="O122" s="48" t="b" cm="1">
        <f t="array" aca="1" ref="O1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2" s="48"/>
      <c r="R122" s="48"/>
      <c r="S122" s="48"/>
      <c r="T122" s="48"/>
      <c r="V122" s="2" t="str">
        <f ca="1"/>
        <v>building.windmill.maxed</v>
      </c>
      <c r="W122" s="2" t="str">
        <f ca="1"/>
        <v>state.obtain_steamobile</v>
      </c>
      <c r="X122" s="2" t="str">
        <f ca="1"/>
        <v>building.windmill.maxed</v>
      </c>
      <c r="Y122" s="2" t="str">
        <f ca="1"/>
        <v>citadel.tavern</v>
      </c>
      <c r="Z122" s="2" t="str">
        <f ca="1"/>
        <v>building.windmill@1</v>
      </c>
      <c r="AA122" s="2" t="str">
        <f ca="1"/>
        <v>citadel.courtyard</v>
      </c>
      <c r="AC122" s="2" t="str">
        <f ca="1"/>
        <v>state.visit_beijing</v>
      </c>
      <c r="AD122" s="2" t="str">
        <f ca="1"/>
        <v>building.windmill.maxed</v>
      </c>
      <c r="AE122" s="2" t="str">
        <f ca="1"/>
        <v>citadel.tunnel</v>
      </c>
    </row>
    <row r="123" spans="1:31">
      <c r="A123" t="str">
        <f t="shared" ca="1" si="2"/>
        <v>building.windmill@1</v>
      </c>
      <c r="B123" t="str">
        <f ca="1">_xlfn.XLOOKUP(tblValidation[[#This Row],[TargetID]],tblTargets[TargetID],tblTargets[TargetType],"")</f>
        <v>BUILDING</v>
      </c>
      <c r="C123" s="48" t="b">
        <f ca="1">COUNTIF(tblTargets[TargetID], $A123) &gt; 0</f>
        <v>1</v>
      </c>
      <c r="D123" s="48" t="b">
        <f ca="1">IF(OR(LEFT(tblValidation[[#This Row],[TargetID]],10)="state.CHAR",RIGHT(tblValidation[[#This Row],[TargetID]],5)="maxed"),TRUE, COUNTIF(tblChecklist[TargetID], $A123) &gt; 0)</f>
        <v>1</v>
      </c>
      <c r="E1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$A123) &gt; 0)</f>
        <v>1</v>
      </c>
      <c r="F123" s="48" t="b">
        <f ca="1">COUNTIF(tblDependencies[DependencyID], $A123) &gt; 0</f>
        <v>1</v>
      </c>
      <c r="G123" s="48" t="b">
        <f ca="1">COUNTIF(tblQuestObjectives[QuestTargetID], $A123) &gt; 0</f>
        <v>0</v>
      </c>
      <c r="H123" s="48" t="b">
        <f ca="1">COUNTIF(tblQuestObjectives[ObjectiveID], $A123) &gt; 0</f>
        <v>0</v>
      </c>
      <c r="I123" s="48" t="b">
        <f ca="1">COUNTIF(tblTargetStatus[TargetID], $A123) &gt; 0</f>
        <v>1</v>
      </c>
      <c r="J123" s="48" t="b">
        <f ca="1">COUNTIF(tblCost[TargetID], $A123) &gt; 0</f>
        <v>1</v>
      </c>
      <c r="K123" s="48" t="b">
        <f ca="1">COUNTIF(tblStates[StateID], $A123) &gt; 0</f>
        <v>0</v>
      </c>
      <c r="L123" s="48" t="b">
        <f t="shared" ca="1" si="3"/>
        <v>1</v>
      </c>
      <c r="M123" s="48" t="b">
        <f ca="1">IF(tblValidation[[#This Row],[TargetID]]="","",COUNTIF(tblTargets[TargetID],A123)&gt;1)</f>
        <v>0</v>
      </c>
      <c r="N123" s="48" t="b">
        <f ca="1">IF(tblValidation[[#This Row],[TargetID]]="","",COUNTIF(tblStates[StateID],tblValidation[[#This Row],[TargetID]])&gt;1)</f>
        <v>0</v>
      </c>
      <c r="O123" s="48" t="b" cm="1">
        <f t="array" aca="1" ref="O1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3" s="48"/>
      <c r="R123" s="48"/>
      <c r="S123" s="48"/>
      <c r="T123" s="48"/>
      <c r="V123" s="2" t="str">
        <f ca="1"/>
        <v>building.windmill@1</v>
      </c>
      <c r="W123" s="2" t="str">
        <f ca="1"/>
        <v>state.obtain_strawberry@f1</v>
      </c>
      <c r="X123" s="2" t="str">
        <f ca="1"/>
        <v>building.windmill@1</v>
      </c>
      <c r="Y123" s="2" t="str">
        <f ca="1"/>
        <v>citadel.treasury</v>
      </c>
      <c r="Z123" s="2" t="str">
        <f ca="1"/>
        <v>building.windmill@2</v>
      </c>
      <c r="AA123" s="2" t="str">
        <f ca="1"/>
        <v>citadel.gallery</v>
      </c>
      <c r="AC123" s="2" t="str">
        <f ca="1"/>
        <v>state.visit_cairo</v>
      </c>
      <c r="AD123" s="2" t="str">
        <f ca="1"/>
        <v>building.windmill@1</v>
      </c>
      <c r="AE123" s="2" t="str">
        <f ca="1"/>
        <v>collection.alchemist_hall_1@1</v>
      </c>
    </row>
    <row r="124" spans="1:31">
      <c r="A124" t="str">
        <f t="shared" ca="1" si="2"/>
        <v>building.windmill@2</v>
      </c>
      <c r="B124" t="str">
        <f ca="1">_xlfn.XLOOKUP(tblValidation[[#This Row],[TargetID]],tblTargets[TargetID],tblTargets[TargetType],"")</f>
        <v>BUILDING</v>
      </c>
      <c r="C124" s="48" t="b">
        <f ca="1">COUNTIF(tblTargets[TargetID], $A124) &gt; 0</f>
        <v>1</v>
      </c>
      <c r="D124" s="48" t="b">
        <f ca="1">IF(OR(LEFT(tblValidation[[#This Row],[TargetID]],10)="state.CHAR",RIGHT(tblValidation[[#This Row],[TargetID]],5)="maxed"),TRUE, COUNTIF(tblChecklist[TargetID], $A124) &gt; 0)</f>
        <v>1</v>
      </c>
      <c r="E1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$A124) &gt; 0)</f>
        <v>1</v>
      </c>
      <c r="F124" s="48" t="b">
        <f ca="1">COUNTIF(tblDependencies[DependencyID], $A124) &gt; 0</f>
        <v>1</v>
      </c>
      <c r="G124" s="48" t="b">
        <f ca="1">COUNTIF(tblQuestObjectives[QuestTargetID], $A124) &gt; 0</f>
        <v>0</v>
      </c>
      <c r="H124" s="48" t="b">
        <f ca="1">COUNTIF(tblQuestObjectives[ObjectiveID], $A124) &gt; 0</f>
        <v>0</v>
      </c>
      <c r="I124" s="48" t="b">
        <f ca="1">COUNTIF(tblTargetStatus[TargetID], $A124) &gt; 0</f>
        <v>1</v>
      </c>
      <c r="J124" s="48" t="b">
        <f ca="1">COUNTIF(tblCost[TargetID], $A124) &gt; 0</f>
        <v>1</v>
      </c>
      <c r="K124" s="48" t="b">
        <f ca="1">COUNTIF(tblStates[StateID], $A124) &gt; 0</f>
        <v>0</v>
      </c>
      <c r="L124" s="48" t="b">
        <f t="shared" ca="1" si="3"/>
        <v>1</v>
      </c>
      <c r="M124" s="48" t="b">
        <f ca="1">IF(tblValidation[[#This Row],[TargetID]]="","",COUNTIF(tblTargets[TargetID],A124)&gt;1)</f>
        <v>0</v>
      </c>
      <c r="N124" s="48" t="b">
        <f ca="1">IF(tblValidation[[#This Row],[TargetID]]="","",COUNTIF(tblStates[StateID],tblValidation[[#This Row],[TargetID]])&gt;1)</f>
        <v>0</v>
      </c>
      <c r="O124" s="48" t="b" cm="1">
        <f t="array" aca="1" ref="O1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4" s="48"/>
      <c r="R124" s="48"/>
      <c r="S124" s="48"/>
      <c r="T124" s="48"/>
      <c r="V124" s="2" t="str">
        <f ca="1"/>
        <v>building.windmill@2</v>
      </c>
      <c r="W124" s="2" t="str">
        <f ca="1"/>
        <v>state.obtain_sword4</v>
      </c>
      <c r="X124" s="2" t="str">
        <f ca="1"/>
        <v>building.windmill@2</v>
      </c>
      <c r="Y124" s="2" t="str">
        <f ca="1"/>
        <v>citadel.tunnel</v>
      </c>
      <c r="Z124" s="2" t="str">
        <f ca="1"/>
        <v>building.workshop.maxed</v>
      </c>
      <c r="AA124" s="2" t="str">
        <f ca="1"/>
        <v>citadel.great_hall</v>
      </c>
      <c r="AC124" s="2" t="str">
        <f ca="1"/>
        <v>state.visit_delhi</v>
      </c>
      <c r="AD124" s="2" t="str">
        <f ca="1"/>
        <v>building.windmill@2</v>
      </c>
      <c r="AE124" s="2" t="str">
        <f ca="1"/>
        <v>collection.alchemist_hall_1@2</v>
      </c>
    </row>
    <row r="125" spans="1:31">
      <c r="A125" t="str">
        <f t="shared" ca="1" si="2"/>
        <v>building.workshop.maxed</v>
      </c>
      <c r="B125" t="str">
        <f ca="1">_xlfn.XLOOKUP(tblValidation[[#This Row],[TargetID]],tblTargets[TargetID],tblTargets[TargetType],"")</f>
        <v>BUILDING</v>
      </c>
      <c r="C125" s="48" t="b">
        <f ca="1">COUNTIF(tblTargets[TargetID], $A125) &gt; 0</f>
        <v>1</v>
      </c>
      <c r="D125" s="48" t="b">
        <f ca="1">IF(OR(LEFT(tblValidation[[#This Row],[TargetID]],10)="state.CHAR",RIGHT(tblValidation[[#This Row],[TargetID]],5)="maxed"),TRUE, COUNTIF(tblChecklist[TargetID], $A125) &gt; 0)</f>
        <v>1</v>
      </c>
      <c r="E1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$A125) &gt; 0)</f>
        <v>1</v>
      </c>
      <c r="F125" s="48" t="b">
        <f ca="1">COUNTIF(tblDependencies[DependencyID], $A125) &gt; 0</f>
        <v>1</v>
      </c>
      <c r="G125" s="48" t="b">
        <f ca="1">COUNTIF(tblQuestObjectives[QuestTargetID], $A125) &gt; 0</f>
        <v>0</v>
      </c>
      <c r="H125" s="48" t="b">
        <f ca="1">COUNTIF(tblQuestObjectives[ObjectiveID], $A125) &gt; 0</f>
        <v>0</v>
      </c>
      <c r="I125" s="48" t="b">
        <f ca="1">COUNTIF(tblTargetStatus[TargetID], $A125) &gt; 0</f>
        <v>1</v>
      </c>
      <c r="J125" s="48" t="b">
        <f ca="1">COUNTIF(tblCost[TargetID], $A125) &gt; 0</f>
        <v>0</v>
      </c>
      <c r="K125" s="48" t="b">
        <f ca="1">COUNTIF(tblStates[StateID], $A125) &gt; 0</f>
        <v>0</v>
      </c>
      <c r="L125" s="48" t="b">
        <f t="shared" ca="1" si="3"/>
        <v>1</v>
      </c>
      <c r="M125" s="48" t="b">
        <f ca="1">IF(tblValidation[[#This Row],[TargetID]]="","",COUNTIF(tblTargets[TargetID],A125)&gt;1)</f>
        <v>0</v>
      </c>
      <c r="N125" s="48" t="b">
        <f ca="1">IF(tblValidation[[#This Row],[TargetID]]="","",COUNTIF(tblStates[StateID],tblValidation[[#This Row],[TargetID]])&gt;1)</f>
        <v>0</v>
      </c>
      <c r="O125" s="48" t="b" cm="1">
        <f t="array" aca="1" ref="O1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5" s="48"/>
      <c r="R125" s="48"/>
      <c r="S125" s="48"/>
      <c r="T125" s="48"/>
      <c r="V125" s="2" t="str">
        <f ca="1"/>
        <v>building.workshop.maxed</v>
      </c>
      <c r="W125" s="2" t="str">
        <f ca="1"/>
        <v>state.obtain_sword4+</v>
      </c>
      <c r="X125" s="2" t="str">
        <f ca="1"/>
        <v>building.workshop.maxed</v>
      </c>
      <c r="Y125" s="2" t="str">
        <f ca="1"/>
        <v>collection.alchemist_hall_1@1</v>
      </c>
      <c r="Z125" s="2" t="str">
        <f ca="1"/>
        <v>building.workshop@1</v>
      </c>
      <c r="AA125" s="2" t="str">
        <f ca="1"/>
        <v>citadel.kitchen_and_buttery</v>
      </c>
      <c r="AC125" s="2" t="str">
        <f ca="1"/>
        <v>state.visit_fukushima</v>
      </c>
      <c r="AD125" s="2" t="str">
        <f ca="1"/>
        <v>building.workshop.maxed</v>
      </c>
      <c r="AE125" s="2" t="str">
        <f ca="1"/>
        <v>collection.alchemist_hall_2@1</v>
      </c>
    </row>
    <row r="126" spans="1:31">
      <c r="A126" t="str">
        <f t="shared" ca="1" si="2"/>
        <v>building.workshop@1</v>
      </c>
      <c r="B126" t="str">
        <f ca="1">_xlfn.XLOOKUP(tblValidation[[#This Row],[TargetID]],tblTargets[TargetID],tblTargets[TargetType],"")</f>
        <v>BUILDING</v>
      </c>
      <c r="C126" s="48" t="b">
        <f ca="1">COUNTIF(tblTargets[TargetID], $A126) &gt; 0</f>
        <v>1</v>
      </c>
      <c r="D126" s="48" t="b">
        <f ca="1">IF(OR(LEFT(tblValidation[[#This Row],[TargetID]],10)="state.CHAR",RIGHT(tblValidation[[#This Row],[TargetID]],5)="maxed"),TRUE, COUNTIF(tblChecklist[TargetID], $A126) &gt; 0)</f>
        <v>1</v>
      </c>
      <c r="E1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$A126) &gt; 0)</f>
        <v>1</v>
      </c>
      <c r="F126" s="48" t="b">
        <f ca="1">COUNTIF(tblDependencies[DependencyID], $A126) &gt; 0</f>
        <v>1</v>
      </c>
      <c r="G126" s="48" t="b">
        <f ca="1">COUNTIF(tblQuestObjectives[QuestTargetID], $A126) &gt; 0</f>
        <v>0</v>
      </c>
      <c r="H126" s="48" t="b">
        <f ca="1">COUNTIF(tblQuestObjectives[ObjectiveID], $A126) &gt; 0</f>
        <v>0</v>
      </c>
      <c r="I126" s="48" t="b">
        <f ca="1">COUNTIF(tblTargetStatus[TargetID], $A126) &gt; 0</f>
        <v>1</v>
      </c>
      <c r="J126" s="48" t="b">
        <f ca="1">COUNTIF(tblCost[TargetID], $A126) &gt; 0</f>
        <v>1</v>
      </c>
      <c r="K126" s="48" t="b">
        <f ca="1">COUNTIF(tblStates[StateID], $A126) &gt; 0</f>
        <v>0</v>
      </c>
      <c r="L126" s="48" t="b">
        <f t="shared" ca="1" si="3"/>
        <v>1</v>
      </c>
      <c r="M126" s="48" t="b">
        <f ca="1">IF(tblValidation[[#This Row],[TargetID]]="","",COUNTIF(tblTargets[TargetID],A126)&gt;1)</f>
        <v>0</v>
      </c>
      <c r="N126" s="48" t="b">
        <f ca="1">IF(tblValidation[[#This Row],[TargetID]]="","",COUNTIF(tblStates[StateID],tblValidation[[#This Row],[TargetID]])&gt;1)</f>
        <v>0</v>
      </c>
      <c r="O126" s="48" t="b" cm="1">
        <f t="array" aca="1" ref="O1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6" s="48"/>
      <c r="R126" s="48"/>
      <c r="S126" s="48"/>
      <c r="T126" s="48"/>
      <c r="V126" s="2" t="str">
        <f ca="1"/>
        <v>building.workshop@1</v>
      </c>
      <c r="W126" s="2" t="str">
        <f ca="1"/>
        <v>state.obtain_titanium</v>
      </c>
      <c r="X126" s="2" t="str">
        <f ca="1"/>
        <v>building.workshop@1</v>
      </c>
      <c r="Y126" s="2" t="str">
        <f ca="1"/>
        <v>collection.alchemist_hall_1@2</v>
      </c>
      <c r="Z126" s="2" t="str">
        <f ca="1"/>
        <v>building.workshop@2</v>
      </c>
      <c r="AA126" s="2" t="str">
        <f ca="1"/>
        <v>citadel.lair_lvl_1</v>
      </c>
      <c r="AC126" s="2" t="str">
        <f ca="1"/>
        <v>state.visit_kyiv</v>
      </c>
      <c r="AD126" s="2" t="str">
        <f ca="1"/>
        <v>building.workshop@1</v>
      </c>
      <c r="AE126" s="2" t="str">
        <f ca="1"/>
        <v>collection.alchemist_hall_2@2</v>
      </c>
    </row>
    <row r="127" spans="1:31">
      <c r="A127" t="str">
        <f t="shared" ca="1" si="2"/>
        <v>building.workshop@2</v>
      </c>
      <c r="B127" t="str">
        <f ca="1">_xlfn.XLOOKUP(tblValidation[[#This Row],[TargetID]],tblTargets[TargetID],tblTargets[TargetType],"")</f>
        <v>BUILDING</v>
      </c>
      <c r="C127" s="48" t="b">
        <f ca="1">COUNTIF(tblTargets[TargetID], $A127) &gt; 0</f>
        <v>1</v>
      </c>
      <c r="D127" s="48" t="b">
        <f ca="1">IF(OR(LEFT(tblValidation[[#This Row],[TargetID]],10)="state.CHAR",RIGHT(tblValidation[[#This Row],[TargetID]],5)="maxed"),TRUE, COUNTIF(tblChecklist[TargetID], $A127) &gt; 0)</f>
        <v>1</v>
      </c>
      <c r="E1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$A127) &gt; 0)</f>
        <v>1</v>
      </c>
      <c r="F127" s="48" t="b">
        <f ca="1">COUNTIF(tblDependencies[DependencyID], $A127) &gt; 0</f>
        <v>1</v>
      </c>
      <c r="G127" s="48" t="b">
        <f ca="1">COUNTIF(tblQuestObjectives[QuestTargetID], $A127) &gt; 0</f>
        <v>0</v>
      </c>
      <c r="H127" s="48" t="b">
        <f ca="1">COUNTIF(tblQuestObjectives[ObjectiveID], $A127) &gt; 0</f>
        <v>0</v>
      </c>
      <c r="I127" s="48" t="b">
        <f ca="1">COUNTIF(tblTargetStatus[TargetID], $A127) &gt; 0</f>
        <v>1</v>
      </c>
      <c r="J127" s="48" t="b">
        <f ca="1">COUNTIF(tblCost[TargetID], $A127) &gt; 0</f>
        <v>1</v>
      </c>
      <c r="K127" s="48" t="b">
        <f ca="1">COUNTIF(tblStates[StateID], $A127) &gt; 0</f>
        <v>0</v>
      </c>
      <c r="L127" s="48" t="b">
        <f t="shared" ca="1" si="3"/>
        <v>1</v>
      </c>
      <c r="M127" s="48" t="b">
        <f ca="1">IF(tblValidation[[#This Row],[TargetID]]="","",COUNTIF(tblTargets[TargetID],A127)&gt;1)</f>
        <v>0</v>
      </c>
      <c r="N127" s="48" t="b">
        <f ca="1">IF(tblValidation[[#This Row],[TargetID]]="","",COUNTIF(tblStates[StateID],tblValidation[[#This Row],[TargetID]])&gt;1)</f>
        <v>0</v>
      </c>
      <c r="O127" s="48" t="b" cm="1">
        <f t="array" aca="1" ref="O1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7" s="48"/>
      <c r="R127" s="48"/>
      <c r="S127" s="48"/>
      <c r="T127" s="48"/>
      <c r="V127" s="2" t="str">
        <f ca="1"/>
        <v>building.workshop@2</v>
      </c>
      <c r="W127" s="2" t="str">
        <f ca="1"/>
        <v>state.obtain_treasure</v>
      </c>
      <c r="X127" s="2" t="str">
        <f ca="1"/>
        <v>building.workshop@2</v>
      </c>
      <c r="Y127" s="2" t="str">
        <f ca="1"/>
        <v>collection.alchemist_hall_2@1</v>
      </c>
      <c r="Z127" s="2" t="str">
        <f ca="1"/>
        <v>building.workshop@3</v>
      </c>
      <c r="AA127" s="2" t="str">
        <f ca="1"/>
        <v>citadel.mushroom_farm</v>
      </c>
      <c r="AC127" s="2" t="str">
        <f ca="1"/>
        <v>state.visit_kyoto</v>
      </c>
      <c r="AD127" s="2" t="str">
        <f ca="1"/>
        <v>building.workshop@2</v>
      </c>
      <c r="AE127" s="2" t="str">
        <f ca="1"/>
        <v>collection.alchemist_hall_3@1</v>
      </c>
    </row>
    <row r="128" spans="1:31">
      <c r="A128" t="str">
        <f t="shared" ca="1" si="2"/>
        <v>building.workshop@3</v>
      </c>
      <c r="B128" t="str">
        <f ca="1">_xlfn.XLOOKUP(tblValidation[[#This Row],[TargetID]],tblTargets[TargetID],tblTargets[TargetType],"")</f>
        <v>BUILDING</v>
      </c>
      <c r="C128" s="48" t="b">
        <f ca="1">COUNTIF(tblTargets[TargetID], $A128) &gt; 0</f>
        <v>1</v>
      </c>
      <c r="D128" s="48" t="b">
        <f ca="1">IF(OR(LEFT(tblValidation[[#This Row],[TargetID]],10)="state.CHAR",RIGHT(tblValidation[[#This Row],[TargetID]],5)="maxed"),TRUE, COUNTIF(tblChecklist[TargetID], $A128) &gt; 0)</f>
        <v>1</v>
      </c>
      <c r="E1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$A128) &gt; 0)</f>
        <v>1</v>
      </c>
      <c r="F128" s="48" t="b">
        <f ca="1">COUNTIF(tblDependencies[DependencyID], $A128) &gt; 0</f>
        <v>1</v>
      </c>
      <c r="G128" s="48" t="b">
        <f ca="1">COUNTIF(tblQuestObjectives[QuestTargetID], $A128) &gt; 0</f>
        <v>0</v>
      </c>
      <c r="H128" s="48" t="b">
        <f ca="1">COUNTIF(tblQuestObjectives[ObjectiveID], $A128) &gt; 0</f>
        <v>0</v>
      </c>
      <c r="I128" s="48" t="b">
        <f ca="1">COUNTIF(tblTargetStatus[TargetID], $A128) &gt; 0</f>
        <v>1</v>
      </c>
      <c r="J128" s="48" t="b">
        <f ca="1">COUNTIF(tblCost[TargetID], $A128) &gt; 0</f>
        <v>1</v>
      </c>
      <c r="K128" s="48" t="b">
        <f ca="1">COUNTIF(tblStates[StateID], $A128) &gt; 0</f>
        <v>0</v>
      </c>
      <c r="L128" s="48" t="b">
        <f t="shared" ca="1" si="3"/>
        <v>1</v>
      </c>
      <c r="M128" s="48" t="b">
        <f ca="1">IF(tblValidation[[#This Row],[TargetID]]="","",COUNTIF(tblTargets[TargetID],A128)&gt;1)</f>
        <v>0</v>
      </c>
      <c r="N128" s="48" t="b">
        <f ca="1">IF(tblValidation[[#This Row],[TargetID]]="","",COUNTIF(tblStates[StateID],tblValidation[[#This Row],[TargetID]])&gt;1)</f>
        <v>0</v>
      </c>
      <c r="O128" s="48" t="b" cm="1">
        <f t="array" aca="1" ref="O1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8" s="48"/>
      <c r="R128" s="48"/>
      <c r="S128" s="48"/>
      <c r="T128" s="48"/>
      <c r="V128" s="2" t="str">
        <f ca="1"/>
        <v>building.workshop@3</v>
      </c>
      <c r="W128" s="2" t="str">
        <f ca="1"/>
        <v>state.visit_aomori</v>
      </c>
      <c r="X128" s="2" t="str">
        <f ca="1"/>
        <v>building.workshop@3</v>
      </c>
      <c r="Y128" s="2" t="str">
        <f ca="1"/>
        <v>collection.alchemist_hall_2@2</v>
      </c>
      <c r="Z128" s="2" t="str">
        <f ca="1"/>
        <v>building.workshop@4</v>
      </c>
      <c r="AA128" s="2" t="str">
        <f ca="1"/>
        <v>citadel.orangery</v>
      </c>
      <c r="AC128" s="2" t="str">
        <f ca="1"/>
        <v>state.visit_melbourne</v>
      </c>
      <c r="AD128" s="2" t="str">
        <f ca="1"/>
        <v>building.workshop@3</v>
      </c>
      <c r="AE128" s="2" t="str">
        <f ca="1"/>
        <v>collection.alchemist_hall_3@2</v>
      </c>
    </row>
    <row r="129" spans="1:31">
      <c r="A129" t="str">
        <f t="shared" ca="1" si="2"/>
        <v>building.workshop@4</v>
      </c>
      <c r="B129" t="str">
        <f ca="1">_xlfn.XLOOKUP(tblValidation[[#This Row],[TargetID]],tblTargets[TargetID],tblTargets[TargetType],"")</f>
        <v>BUILDING</v>
      </c>
      <c r="C129" s="48" t="b">
        <f ca="1">COUNTIF(tblTargets[TargetID], $A129) &gt; 0</f>
        <v>1</v>
      </c>
      <c r="D129" s="48" t="b">
        <f ca="1">IF(OR(LEFT(tblValidation[[#This Row],[TargetID]],10)="state.CHAR",RIGHT(tblValidation[[#This Row],[TargetID]],5)="maxed"),TRUE, COUNTIF(tblChecklist[TargetID], $A129) &gt; 0)</f>
        <v>1</v>
      </c>
      <c r="E1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$A129) &gt; 0)</f>
        <v>1</v>
      </c>
      <c r="F129" s="48" t="b">
        <f ca="1">COUNTIF(tblDependencies[DependencyID], $A129) &gt; 0</f>
        <v>1</v>
      </c>
      <c r="G129" s="48" t="b">
        <f ca="1">COUNTIF(tblQuestObjectives[QuestTargetID], $A129) &gt; 0</f>
        <v>0</v>
      </c>
      <c r="H129" s="48" t="b">
        <f ca="1">COUNTIF(tblQuestObjectives[ObjectiveID], $A129) &gt; 0</f>
        <v>0</v>
      </c>
      <c r="I129" s="48" t="b">
        <f ca="1">COUNTIF(tblTargetStatus[TargetID], $A129) &gt; 0</f>
        <v>1</v>
      </c>
      <c r="J129" s="48" t="b">
        <f ca="1">COUNTIF(tblCost[TargetID], $A129) &gt; 0</f>
        <v>1</v>
      </c>
      <c r="K129" s="48" t="b">
        <f ca="1">COUNTIF(tblStates[StateID], $A129) &gt; 0</f>
        <v>0</v>
      </c>
      <c r="L129" s="48" t="b">
        <f t="shared" ca="1" si="3"/>
        <v>1</v>
      </c>
      <c r="M129" s="48" t="b">
        <f ca="1">IF(tblValidation[[#This Row],[TargetID]]="","",COUNTIF(tblTargets[TargetID],A129)&gt;1)</f>
        <v>0</v>
      </c>
      <c r="N129" s="48" t="b">
        <f ca="1">IF(tblValidation[[#This Row],[TargetID]]="","",COUNTIF(tblStates[StateID],tblValidation[[#This Row],[TargetID]])&gt;1)</f>
        <v>0</v>
      </c>
      <c r="O129" s="48" t="b" cm="1">
        <f t="array" aca="1" ref="O1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9" s="48"/>
      <c r="R129" s="48"/>
      <c r="S129" s="48"/>
      <c r="T129" s="48"/>
      <c r="V129" s="2" t="str">
        <f ca="1"/>
        <v>building.workshop@4</v>
      </c>
      <c r="W129" s="2" t="str">
        <f ca="1"/>
        <v>state.visit_athens</v>
      </c>
      <c r="X129" s="2" t="str">
        <f ca="1"/>
        <v>building.workshop@4</v>
      </c>
      <c r="Y129" s="2" t="str">
        <f ca="1"/>
        <v>collection.alchemist_hall_3@1</v>
      </c>
      <c r="Z129" s="2" t="str">
        <f ca="1"/>
        <v>building.workshop@5</v>
      </c>
      <c r="AA129" s="2" t="str">
        <f ca="1"/>
        <v>citadel.pantry</v>
      </c>
      <c r="AC129" s="2" t="str">
        <f ca="1"/>
        <v>state.visit_nagasaki</v>
      </c>
      <c r="AD129" s="2" t="str">
        <f ca="1"/>
        <v>building.workshop@4</v>
      </c>
      <c r="AE129" s="2" t="str">
        <f ca="1"/>
        <v>collection.armory_1@1</v>
      </c>
    </row>
    <row r="130" spans="1:31">
      <c r="A130" t="str">
        <f t="shared" ref="A130:A193" ca="1" si="4">IF(OR(V130=0,V130=""),"",V130)</f>
        <v>building.workshop@5</v>
      </c>
      <c r="B130" t="str">
        <f ca="1">_xlfn.XLOOKUP(tblValidation[[#This Row],[TargetID]],tblTargets[TargetID],tblTargets[TargetType],"")</f>
        <v>BUILDING</v>
      </c>
      <c r="C130" s="48" t="b">
        <f ca="1">COUNTIF(tblTargets[TargetID], $A130) &gt; 0</f>
        <v>1</v>
      </c>
      <c r="D130" s="48" t="b">
        <f ca="1">IF(OR(LEFT(tblValidation[[#This Row],[TargetID]],10)="state.CHAR",RIGHT(tblValidation[[#This Row],[TargetID]],5)="maxed"),TRUE, COUNTIF(tblChecklist[TargetID], $A130) &gt; 0)</f>
        <v>1</v>
      </c>
      <c r="E1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$A130) &gt; 0)</f>
        <v>1</v>
      </c>
      <c r="F130" s="48" t="b">
        <f ca="1">COUNTIF(tblDependencies[DependencyID], $A130) &gt; 0</f>
        <v>1</v>
      </c>
      <c r="G130" s="48" t="b">
        <f ca="1">COUNTIF(tblQuestObjectives[QuestTargetID], $A130) &gt; 0</f>
        <v>0</v>
      </c>
      <c r="H130" s="48" t="b">
        <f ca="1">COUNTIF(tblQuestObjectives[ObjectiveID], $A130) &gt; 0</f>
        <v>0</v>
      </c>
      <c r="I130" s="48" t="b">
        <f ca="1">COUNTIF(tblTargetStatus[TargetID], $A130) &gt; 0</f>
        <v>1</v>
      </c>
      <c r="J130" s="48" t="b">
        <f ca="1">COUNTIF(tblCost[TargetID], $A130) &gt; 0</f>
        <v>1</v>
      </c>
      <c r="K130" s="48" t="b">
        <f ca="1">COUNTIF(tblStates[StateID], $A130) &gt; 0</f>
        <v>0</v>
      </c>
      <c r="L130" s="48" t="b">
        <f t="shared" ref="L130:L193" ca="1" si="5">AND(
A130=LOWER(A130),
ISERROR(SEARCH(" ",A130)),
ISERROR(SEARCH("..",A130))
)</f>
        <v>1</v>
      </c>
      <c r="M130" s="48" t="b">
        <f ca="1">IF(tblValidation[[#This Row],[TargetID]]="","",COUNTIF(tblTargets[TargetID],A130)&gt;1)</f>
        <v>0</v>
      </c>
      <c r="N130" s="48" t="b">
        <f ca="1">IF(tblValidation[[#This Row],[TargetID]]="","",COUNTIF(tblStates[StateID],tblValidation[[#This Row],[TargetID]])&gt;1)</f>
        <v>0</v>
      </c>
      <c r="O130" s="48" t="b" cm="1">
        <f t="array" aca="1" ref="O1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0" s="48"/>
      <c r="R130" s="48"/>
      <c r="S130" s="48"/>
      <c r="T130" s="48"/>
      <c r="V130" s="2" t="str">
        <f ca="1"/>
        <v>building.workshop@5</v>
      </c>
      <c r="W130" s="2" t="str">
        <f ca="1"/>
        <v>state.visit_baghdad</v>
      </c>
      <c r="X130" s="2" t="str">
        <f ca="1"/>
        <v>building.workshop@5</v>
      </c>
      <c r="Y130" s="2" t="str">
        <f ca="1"/>
        <v>collection.alchemist_hall_3@2</v>
      </c>
      <c r="Z130" s="2" t="str">
        <f ca="1"/>
        <v>citadel.armory</v>
      </c>
      <c r="AA130" s="2" t="str">
        <f ca="1"/>
        <v>citadel.tavern</v>
      </c>
      <c r="AC130" s="2" t="str">
        <f ca="1"/>
        <v>state.visit_osaka</v>
      </c>
      <c r="AD130" s="2" t="str">
        <f ca="1"/>
        <v>building.workshop@5</v>
      </c>
      <c r="AE130" s="2" t="str">
        <f ca="1"/>
        <v>collection.armory_1@2</v>
      </c>
    </row>
    <row r="131" spans="1:31">
      <c r="A131" t="str">
        <f t="shared" ca="1" si="4"/>
        <v>citadel.armory</v>
      </c>
      <c r="B131" t="str">
        <f ca="1">_xlfn.XLOOKUP(tblValidation[[#This Row],[TargetID]],tblTargets[TargetID],tblTargets[TargetType],"")</f>
        <v>CITADEL</v>
      </c>
      <c r="C131" s="48" t="b">
        <f ca="1">COUNTIF(tblTargets[TargetID], $A131) &gt; 0</f>
        <v>1</v>
      </c>
      <c r="D131" s="48" t="b">
        <f ca="1">IF(OR(LEFT(tblValidation[[#This Row],[TargetID]],10)="state.CHAR",RIGHT(tblValidation[[#This Row],[TargetID]],5)="maxed"),TRUE, COUNTIF(tblChecklist[TargetID], $A131) &gt; 0)</f>
        <v>1</v>
      </c>
      <c r="E1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$A131) &gt; 0)</f>
        <v>1</v>
      </c>
      <c r="F131" s="48" t="b">
        <f ca="1">COUNTIF(tblDependencies[DependencyID], $A131) &gt; 0</f>
        <v>1</v>
      </c>
      <c r="G131" s="48" t="b">
        <f ca="1">COUNTIF(tblQuestObjectives[QuestTargetID], $A131) &gt; 0</f>
        <v>0</v>
      </c>
      <c r="H131" s="48" t="b">
        <f ca="1">COUNTIF(tblQuestObjectives[ObjectiveID], $A131) &gt; 0</f>
        <v>0</v>
      </c>
      <c r="I131" s="48" t="b">
        <f ca="1">COUNTIF(tblTargetStatus[TargetID], $A131) &gt; 0</f>
        <v>1</v>
      </c>
      <c r="J131" s="48" t="b">
        <f ca="1">COUNTIF(tblCost[TargetID], $A131) &gt; 0</f>
        <v>1</v>
      </c>
      <c r="K131" s="48" t="b">
        <f ca="1">COUNTIF(tblStates[StateID], $A131) &gt; 0</f>
        <v>0</v>
      </c>
      <c r="L131" s="48" t="b">
        <f t="shared" ca="1" si="5"/>
        <v>1</v>
      </c>
      <c r="M131" s="48" t="b">
        <f ca="1">IF(tblValidation[[#This Row],[TargetID]]="","",COUNTIF(tblTargets[TargetID],A131)&gt;1)</f>
        <v>0</v>
      </c>
      <c r="N131" s="48" t="b">
        <f ca="1">IF(tblValidation[[#This Row],[TargetID]]="","",COUNTIF(tblStates[StateID],tblValidation[[#This Row],[TargetID]])&gt;1)</f>
        <v>0</v>
      </c>
      <c r="O131" s="48" t="b" cm="1">
        <f t="array" aca="1" ref="O1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1" s="48"/>
      <c r="R131" s="48"/>
      <c r="S131" s="48"/>
      <c r="T131" s="48"/>
      <c r="V131" s="2" t="str">
        <f ca="1"/>
        <v>citadel.armory</v>
      </c>
      <c r="W131" s="2" t="str">
        <f ca="1"/>
        <v>state.visit_beijing</v>
      </c>
      <c r="X131" s="2" t="str">
        <f ca="1"/>
        <v>citadel.armory</v>
      </c>
      <c r="Y131" s="2" t="str">
        <f ca="1"/>
        <v>collection.armory_1@1</v>
      </c>
      <c r="Z131" s="2" t="str">
        <f ca="1"/>
        <v>citadel.attic</v>
      </c>
      <c r="AA131" s="2" t="str">
        <f ca="1"/>
        <v>citadel.treasury</v>
      </c>
      <c r="AC131" s="2" t="str">
        <f ca="1"/>
        <v>state.visit_paris</v>
      </c>
      <c r="AD131" s="2" t="str">
        <f ca="1"/>
        <v>citadel.armory</v>
      </c>
      <c r="AE131" s="2" t="str">
        <f ca="1"/>
        <v>collection.armory_1@3</v>
      </c>
    </row>
    <row r="132" spans="1:31">
      <c r="A132" t="str">
        <f t="shared" ca="1" si="4"/>
        <v>citadel.attic</v>
      </c>
      <c r="B132" t="str">
        <f ca="1">_xlfn.XLOOKUP(tblValidation[[#This Row],[TargetID]],tblTargets[TargetID],tblTargets[TargetType],"")</f>
        <v>CITADEL</v>
      </c>
      <c r="C132" s="48" t="b">
        <f ca="1">COUNTIF(tblTargets[TargetID], $A132) &gt; 0</f>
        <v>1</v>
      </c>
      <c r="D132" s="48" t="b">
        <f ca="1">IF(OR(LEFT(tblValidation[[#This Row],[TargetID]],10)="state.CHAR",RIGHT(tblValidation[[#This Row],[TargetID]],5)="maxed"),TRUE, COUNTIF(tblChecklist[TargetID], $A132) &gt; 0)</f>
        <v>1</v>
      </c>
      <c r="E1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$A132) &gt; 0)</f>
        <v>1</v>
      </c>
      <c r="F132" s="48" t="b">
        <f ca="1">COUNTIF(tblDependencies[DependencyID], $A132) &gt; 0</f>
        <v>1</v>
      </c>
      <c r="G132" s="48" t="b">
        <f ca="1">COUNTIF(tblQuestObjectives[QuestTargetID], $A132) &gt; 0</f>
        <v>0</v>
      </c>
      <c r="H132" s="48" t="b">
        <f ca="1">COUNTIF(tblQuestObjectives[ObjectiveID], $A132) &gt; 0</f>
        <v>0</v>
      </c>
      <c r="I132" s="48" t="b">
        <f ca="1">COUNTIF(tblTargetStatus[TargetID], $A132) &gt; 0</f>
        <v>1</v>
      </c>
      <c r="J132" s="48" t="b">
        <f ca="1">COUNTIF(tblCost[TargetID], $A132) &gt; 0</f>
        <v>1</v>
      </c>
      <c r="K132" s="48" t="b">
        <f ca="1">COUNTIF(tblStates[StateID], $A132) &gt; 0</f>
        <v>0</v>
      </c>
      <c r="L132" s="48" t="b">
        <f t="shared" ca="1" si="5"/>
        <v>1</v>
      </c>
      <c r="M132" s="48" t="b">
        <f ca="1">IF(tblValidation[[#This Row],[TargetID]]="","",COUNTIF(tblTargets[TargetID],A132)&gt;1)</f>
        <v>0</v>
      </c>
      <c r="N132" s="48" t="b">
        <f ca="1">IF(tblValidation[[#This Row],[TargetID]]="","",COUNTIF(tblStates[StateID],tblValidation[[#This Row],[TargetID]])&gt;1)</f>
        <v>0</v>
      </c>
      <c r="O132" s="48" t="b" cm="1">
        <f t="array" aca="1" ref="O1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2" s="48"/>
      <c r="R132" s="48"/>
      <c r="S132" s="48"/>
      <c r="T132" s="48"/>
      <c r="V132" s="2" t="str">
        <f ca="1"/>
        <v>citadel.attic</v>
      </c>
      <c r="W132" s="2" t="str">
        <f ca="1"/>
        <v>state.visit_cairo</v>
      </c>
      <c r="X132" s="2" t="str">
        <f ca="1"/>
        <v>citadel.attic</v>
      </c>
      <c r="Y132" s="2" t="str">
        <f ca="1"/>
        <v>collection.armory_1@2</v>
      </c>
      <c r="Z132" s="2" t="str">
        <f ca="1"/>
        <v>citadel.cheese_cave</v>
      </c>
      <c r="AA132" s="2" t="str">
        <f ca="1"/>
        <v>citadel.tunnel</v>
      </c>
      <c r="AC132" s="2" t="str">
        <f ca="1"/>
        <v>state.visit_rome</v>
      </c>
      <c r="AD132" s="2" t="str">
        <f ca="1"/>
        <v>citadel.attic</v>
      </c>
      <c r="AE132" s="2" t="str">
        <f ca="1"/>
        <v>collection.armory_2@1</v>
      </c>
    </row>
    <row r="133" spans="1:31">
      <c r="A133" t="str">
        <f t="shared" ca="1" si="4"/>
        <v>citadel.cheese_cave</v>
      </c>
      <c r="B133" t="str">
        <f ca="1">_xlfn.XLOOKUP(tblValidation[[#This Row],[TargetID]],tblTargets[TargetID],tblTargets[TargetType],"")</f>
        <v>CITADEL</v>
      </c>
      <c r="C133" s="48" t="b">
        <f ca="1">COUNTIF(tblTargets[TargetID], $A133) &gt; 0</f>
        <v>1</v>
      </c>
      <c r="D133" s="48" t="b">
        <f ca="1">IF(OR(LEFT(tblValidation[[#This Row],[TargetID]],10)="state.CHAR",RIGHT(tblValidation[[#This Row],[TargetID]],5)="maxed"),TRUE, COUNTIF(tblChecklist[TargetID], $A133) &gt; 0)</f>
        <v>1</v>
      </c>
      <c r="E1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$A133) &gt; 0)</f>
        <v>1</v>
      </c>
      <c r="F133" s="48" t="b">
        <f ca="1">COUNTIF(tblDependencies[DependencyID], $A133) &gt; 0</f>
        <v>0</v>
      </c>
      <c r="G133" s="48" t="b">
        <f ca="1">COUNTIF(tblQuestObjectives[QuestTargetID], $A133) &gt; 0</f>
        <v>0</v>
      </c>
      <c r="H133" s="48" t="b">
        <f ca="1">COUNTIF(tblQuestObjectives[ObjectiveID], $A133) &gt; 0</f>
        <v>0</v>
      </c>
      <c r="I133" s="48" t="b">
        <f ca="1">COUNTIF(tblTargetStatus[TargetID], $A133) &gt; 0</f>
        <v>1</v>
      </c>
      <c r="J133" s="48" t="b">
        <f ca="1">COUNTIF(tblCost[TargetID], $A133) &gt; 0</f>
        <v>1</v>
      </c>
      <c r="K133" s="48" t="b">
        <f ca="1">COUNTIF(tblStates[StateID], $A133) &gt; 0</f>
        <v>0</v>
      </c>
      <c r="L133" s="48" t="b">
        <f t="shared" ca="1" si="5"/>
        <v>1</v>
      </c>
      <c r="M133" s="48" t="b">
        <f ca="1">IF(tblValidation[[#This Row],[TargetID]]="","",COUNTIF(tblTargets[TargetID],A133)&gt;1)</f>
        <v>0</v>
      </c>
      <c r="N133" s="48" t="b">
        <f ca="1">IF(tblValidation[[#This Row],[TargetID]]="","",COUNTIF(tblStates[StateID],tblValidation[[#This Row],[TargetID]])&gt;1)</f>
        <v>0</v>
      </c>
      <c r="O133" s="48" t="b" cm="1">
        <f t="array" aca="1" ref="O1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3" s="48"/>
      <c r="R133" s="48"/>
      <c r="S133" s="48"/>
      <c r="T133" s="48"/>
      <c r="V133" s="2" t="str">
        <f ca="1"/>
        <v>citadel.cheese_cave</v>
      </c>
      <c r="W133" s="2" t="str">
        <f ca="1"/>
        <v>state.visit_delhi</v>
      </c>
      <c r="X133" s="2" t="str">
        <f ca="1"/>
        <v>citadel.cheese_cave</v>
      </c>
      <c r="Y133" s="2" t="str">
        <f ca="1"/>
        <v>collection.armory_1@3</v>
      </c>
      <c r="Z133" s="2" t="str">
        <f ca="1"/>
        <v>citadel.courtyard</v>
      </c>
      <c r="AA133" s="2" t="str">
        <f ca="1"/>
        <v>collection.alchemist_hall_1@1</v>
      </c>
      <c r="AC133" s="2" t="str">
        <f ca="1"/>
        <v>state.visit_tokyo</v>
      </c>
      <c r="AD133" s="2" t="str">
        <f ca="1"/>
        <v>citadel.cheese_cave</v>
      </c>
      <c r="AE133" s="2" t="str">
        <f ca="1"/>
        <v>collection.attic@1</v>
      </c>
    </row>
    <row r="134" spans="1:31">
      <c r="A134" t="str">
        <f t="shared" ca="1" si="4"/>
        <v>citadel.courtyard</v>
      </c>
      <c r="B134" t="str">
        <f ca="1">_xlfn.XLOOKUP(tblValidation[[#This Row],[TargetID]],tblTargets[TargetID],tblTargets[TargetType],"")</f>
        <v>CITADEL</v>
      </c>
      <c r="C134" s="48" t="b">
        <f ca="1">COUNTIF(tblTargets[TargetID], $A134) &gt; 0</f>
        <v>1</v>
      </c>
      <c r="D134" s="48" t="b">
        <f ca="1">IF(OR(LEFT(tblValidation[[#This Row],[TargetID]],10)="state.CHAR",RIGHT(tblValidation[[#This Row],[TargetID]],5)="maxed"),TRUE, COUNTIF(tblChecklist[TargetID], $A134) &gt; 0)</f>
        <v>1</v>
      </c>
      <c r="E1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$A134) &gt; 0)</f>
        <v>1</v>
      </c>
      <c r="F134" s="48" t="b">
        <f ca="1">COUNTIF(tblDependencies[DependencyID], $A134) &gt; 0</f>
        <v>1</v>
      </c>
      <c r="G134" s="48" t="b">
        <f ca="1">COUNTIF(tblQuestObjectives[QuestTargetID], $A134) &gt; 0</f>
        <v>0</v>
      </c>
      <c r="H134" s="48" t="b">
        <f ca="1">COUNTIF(tblQuestObjectives[ObjectiveID], $A134) &gt; 0</f>
        <v>0</v>
      </c>
      <c r="I134" s="48" t="b">
        <f ca="1">COUNTIF(tblTargetStatus[TargetID], $A134) &gt; 0</f>
        <v>1</v>
      </c>
      <c r="J134" s="48" t="b">
        <f ca="1">COUNTIF(tblCost[TargetID], $A134) &gt; 0</f>
        <v>1</v>
      </c>
      <c r="K134" s="48" t="b">
        <f ca="1">COUNTIF(tblStates[StateID], $A134) &gt; 0</f>
        <v>0</v>
      </c>
      <c r="L134" s="48" t="b">
        <f t="shared" ca="1" si="5"/>
        <v>1</v>
      </c>
      <c r="M134" s="48" t="b">
        <f ca="1">IF(tblValidation[[#This Row],[TargetID]]="","",COUNTIF(tblTargets[TargetID],A134)&gt;1)</f>
        <v>0</v>
      </c>
      <c r="N134" s="48" t="b">
        <f ca="1">IF(tblValidation[[#This Row],[TargetID]]="","",COUNTIF(tblStates[StateID],tblValidation[[#This Row],[TargetID]])&gt;1)</f>
        <v>0</v>
      </c>
      <c r="O134" s="48" t="b" cm="1">
        <f t="array" aca="1" ref="O1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4" s="48"/>
      <c r="R134" s="48"/>
      <c r="S134" s="48"/>
      <c r="T134" s="48"/>
      <c r="V134" s="2" t="str">
        <f ca="1"/>
        <v>citadel.courtyard</v>
      </c>
      <c r="W134" s="2" t="str">
        <f ca="1"/>
        <v>state.visit_dungeon@4a</v>
      </c>
      <c r="X134" s="2" t="str">
        <f ca="1"/>
        <v>citadel.courtyard</v>
      </c>
      <c r="Y134" s="2" t="str">
        <f ca="1"/>
        <v>collection.armory_2@1</v>
      </c>
      <c r="Z134" s="2" t="str">
        <f ca="1"/>
        <v>citadel.gallery</v>
      </c>
      <c r="AA134" s="2" t="str">
        <f ca="1"/>
        <v>collection.alchemist_hall_2@1</v>
      </c>
      <c r="AC134" s="2" t="str">
        <f ca="1"/>
        <v>state.visit_wakayama</v>
      </c>
      <c r="AD134" s="2" t="str">
        <f ca="1"/>
        <v>citadel.courtyard</v>
      </c>
      <c r="AE134" s="2" t="str">
        <f ca="1"/>
        <v>collection.attic@2</v>
      </c>
    </row>
    <row r="135" spans="1:31">
      <c r="A135" t="str">
        <f t="shared" ca="1" si="4"/>
        <v>citadel.gallery</v>
      </c>
      <c r="B135" t="str">
        <f ca="1">_xlfn.XLOOKUP(tblValidation[[#This Row],[TargetID]],tblTargets[TargetID],tblTargets[TargetType],"")</f>
        <v>CITADEL</v>
      </c>
      <c r="C135" s="48" t="b">
        <f ca="1">COUNTIF(tblTargets[TargetID], $A135) &gt; 0</f>
        <v>1</v>
      </c>
      <c r="D135" s="48" t="b">
        <f ca="1">IF(OR(LEFT(tblValidation[[#This Row],[TargetID]],10)="state.CHAR",RIGHT(tblValidation[[#This Row],[TargetID]],5)="maxed"),TRUE, COUNTIF(tblChecklist[TargetID], $A135) &gt; 0)</f>
        <v>1</v>
      </c>
      <c r="E1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$A135) &gt; 0)</f>
        <v>1</v>
      </c>
      <c r="F135" s="48" t="b">
        <f ca="1">COUNTIF(tblDependencies[DependencyID], $A135) &gt; 0</f>
        <v>1</v>
      </c>
      <c r="G135" s="48" t="b">
        <f ca="1">COUNTIF(tblQuestObjectives[QuestTargetID], $A135) &gt; 0</f>
        <v>0</v>
      </c>
      <c r="H135" s="48" t="b">
        <f ca="1">COUNTIF(tblQuestObjectives[ObjectiveID], $A135) &gt; 0</f>
        <v>0</v>
      </c>
      <c r="I135" s="48" t="b">
        <f ca="1">COUNTIF(tblTargetStatus[TargetID], $A135) &gt; 0</f>
        <v>1</v>
      </c>
      <c r="J135" s="48" t="b">
        <f ca="1">COUNTIF(tblCost[TargetID], $A135) &gt; 0</f>
        <v>1</v>
      </c>
      <c r="K135" s="48" t="b">
        <f ca="1">COUNTIF(tblStates[StateID], $A135) &gt; 0</f>
        <v>0</v>
      </c>
      <c r="L135" s="48" t="b">
        <f t="shared" ca="1" si="5"/>
        <v>1</v>
      </c>
      <c r="M135" s="48" t="b">
        <f ca="1">IF(tblValidation[[#This Row],[TargetID]]="","",COUNTIF(tblTargets[TargetID],A135)&gt;1)</f>
        <v>0</v>
      </c>
      <c r="N135" s="48" t="b">
        <f ca="1">IF(tblValidation[[#This Row],[TargetID]]="","",COUNTIF(tblStates[StateID],tblValidation[[#This Row],[TargetID]])&gt;1)</f>
        <v>0</v>
      </c>
      <c r="O135" s="48" t="b" cm="1">
        <f t="array" aca="1" ref="O1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5" s="48"/>
      <c r="R135" s="48"/>
      <c r="S135" s="48"/>
      <c r="T135" s="48"/>
      <c r="V135" s="2" t="str">
        <f ca="1"/>
        <v>citadel.gallery</v>
      </c>
      <c r="W135" s="2" t="str">
        <f ca="1"/>
        <v>state.visit_dungeon@5a</v>
      </c>
      <c r="X135" s="2" t="str">
        <f ca="1"/>
        <v>citadel.gallery</v>
      </c>
      <c r="Y135" s="2" t="str">
        <f ca="1"/>
        <v>collection.attic@1</v>
      </c>
      <c r="Z135" s="2" t="str">
        <f ca="1"/>
        <v>citadel.great_hall</v>
      </c>
      <c r="AA135" s="2" t="str">
        <f ca="1"/>
        <v>collection.alchemist_hall_3@1</v>
      </c>
      <c r="AC135" s="2" t="str">
        <f ca="1"/>
        <v>state.visit_xian</v>
      </c>
      <c r="AD135" s="2" t="str">
        <f ca="1"/>
        <v>citadel.gallery</v>
      </c>
      <c r="AE135" s="2" t="str">
        <f ca="1"/>
        <v>collection.attic@3</v>
      </c>
    </row>
    <row r="136" spans="1:31">
      <c r="A136" t="str">
        <f t="shared" ca="1" si="4"/>
        <v>citadel.great_hall</v>
      </c>
      <c r="B136" t="str">
        <f ca="1">_xlfn.XLOOKUP(tblValidation[[#This Row],[TargetID]],tblTargets[TargetID],tblTargets[TargetType],"")</f>
        <v>CITADEL</v>
      </c>
      <c r="C136" s="48" t="b">
        <f ca="1">COUNTIF(tblTargets[TargetID], $A136) &gt; 0</f>
        <v>1</v>
      </c>
      <c r="D136" s="48" t="b">
        <f ca="1">IF(OR(LEFT(tblValidation[[#This Row],[TargetID]],10)="state.CHAR",RIGHT(tblValidation[[#This Row],[TargetID]],5)="maxed"),TRUE, COUNTIF(tblChecklist[TargetID], $A136) &gt; 0)</f>
        <v>1</v>
      </c>
      <c r="E1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$A136) &gt; 0)</f>
        <v>1</v>
      </c>
      <c r="F136" s="48" t="b">
        <f ca="1">COUNTIF(tblDependencies[DependencyID], $A136) &gt; 0</f>
        <v>1</v>
      </c>
      <c r="G136" s="48" t="b">
        <f ca="1">COUNTIF(tblQuestObjectives[QuestTargetID], $A136) &gt; 0</f>
        <v>0</v>
      </c>
      <c r="H136" s="48" t="b">
        <f ca="1">COUNTIF(tblQuestObjectives[ObjectiveID], $A136) &gt; 0</f>
        <v>0</v>
      </c>
      <c r="I136" s="48" t="b">
        <f ca="1">COUNTIF(tblTargetStatus[TargetID], $A136) &gt; 0</f>
        <v>1</v>
      </c>
      <c r="J136" s="48" t="b">
        <f ca="1">COUNTIF(tblCost[TargetID], $A136) &gt; 0</f>
        <v>1</v>
      </c>
      <c r="K136" s="48" t="b">
        <f ca="1">COUNTIF(tblStates[StateID], $A136) &gt; 0</f>
        <v>0</v>
      </c>
      <c r="L136" s="48" t="b">
        <f t="shared" ca="1" si="5"/>
        <v>1</v>
      </c>
      <c r="M136" s="48" t="b">
        <f ca="1">IF(tblValidation[[#This Row],[TargetID]]="","",COUNTIF(tblTargets[TargetID],A136)&gt;1)</f>
        <v>0</v>
      </c>
      <c r="N136" s="48" t="b">
        <f ca="1">IF(tblValidation[[#This Row],[TargetID]]="","",COUNTIF(tblStates[StateID],tblValidation[[#This Row],[TargetID]])&gt;1)</f>
        <v>0</v>
      </c>
      <c r="O136" s="48" t="b" cm="1">
        <f t="array" aca="1" ref="O1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6" s="48"/>
      <c r="R136" s="48"/>
      <c r="S136" s="48"/>
      <c r="T136" s="48"/>
      <c r="V136" s="2" t="str">
        <f ca="1"/>
        <v>citadel.great_hall</v>
      </c>
      <c r="W136" s="2" t="str">
        <f ca="1"/>
        <v>state.visit_dungeon@6a</v>
      </c>
      <c r="X136" s="2" t="str">
        <f ca="1"/>
        <v>citadel.great_hall</v>
      </c>
      <c r="Y136" s="2" t="str">
        <f ca="1"/>
        <v>collection.attic@2</v>
      </c>
      <c r="Z136" s="2" t="str">
        <f ca="1"/>
        <v>citadel.kitchen_and_buttery</v>
      </c>
      <c r="AA136" s="2" t="str">
        <f ca="1"/>
        <v>collection.armory_1@1</v>
      </c>
      <c r="AC136" s="2" t="str">
        <f ca="1"/>
        <v>tech.alchemists_hut.potion_of_mental_power</v>
      </c>
      <c r="AD136" s="2" t="str">
        <f ca="1"/>
        <v>citadel.great_hall</v>
      </c>
      <c r="AE136" s="2" t="str">
        <f ca="1"/>
        <v>collection.attic@4</v>
      </c>
    </row>
    <row r="137" spans="1:31">
      <c r="A137" t="str">
        <f t="shared" ca="1" si="4"/>
        <v>citadel.kitchen_and_buttery</v>
      </c>
      <c r="B137" t="str">
        <f ca="1">_xlfn.XLOOKUP(tblValidation[[#This Row],[TargetID]],tblTargets[TargetID],tblTargets[TargetType],"")</f>
        <v>CITADEL</v>
      </c>
      <c r="C137" s="48" t="b">
        <f ca="1">COUNTIF(tblTargets[TargetID], $A137) &gt; 0</f>
        <v>1</v>
      </c>
      <c r="D137" s="48" t="b">
        <f ca="1">IF(OR(LEFT(tblValidation[[#This Row],[TargetID]],10)="state.CHAR",RIGHT(tblValidation[[#This Row],[TargetID]],5)="maxed"),TRUE, COUNTIF(tblChecklist[TargetID], $A137) &gt; 0)</f>
        <v>1</v>
      </c>
      <c r="E1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$A137) &gt; 0)</f>
        <v>1</v>
      </c>
      <c r="F137" s="48" t="b">
        <f ca="1">COUNTIF(tblDependencies[DependencyID], $A137) &gt; 0</f>
        <v>1</v>
      </c>
      <c r="G137" s="48" t="b">
        <f ca="1">COUNTIF(tblQuestObjectives[QuestTargetID], $A137) &gt; 0</f>
        <v>0</v>
      </c>
      <c r="H137" s="48" t="b">
        <f ca="1">COUNTIF(tblQuestObjectives[ObjectiveID], $A137) &gt; 0</f>
        <v>0</v>
      </c>
      <c r="I137" s="48" t="b">
        <f ca="1">COUNTIF(tblTargetStatus[TargetID], $A137) &gt; 0</f>
        <v>1</v>
      </c>
      <c r="J137" s="48" t="b">
        <f ca="1">COUNTIF(tblCost[TargetID], $A137) &gt; 0</f>
        <v>1</v>
      </c>
      <c r="K137" s="48" t="b">
        <f ca="1">COUNTIF(tblStates[StateID], $A137) &gt; 0</f>
        <v>0</v>
      </c>
      <c r="L137" s="48" t="b">
        <f t="shared" ca="1" si="5"/>
        <v>1</v>
      </c>
      <c r="M137" s="48" t="b">
        <f ca="1">IF(tblValidation[[#This Row],[TargetID]]="","",COUNTIF(tblTargets[TargetID],A137)&gt;1)</f>
        <v>0</v>
      </c>
      <c r="N137" s="48" t="b">
        <f ca="1">IF(tblValidation[[#This Row],[TargetID]]="","",COUNTIF(tblStates[StateID],tblValidation[[#This Row],[TargetID]])&gt;1)</f>
        <v>0</v>
      </c>
      <c r="O137" s="48" t="b" cm="1">
        <f t="array" aca="1" ref="O1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7" s="48"/>
      <c r="R137" s="48"/>
      <c r="S137" s="48"/>
      <c r="T137" s="48"/>
      <c r="V137" s="2" t="str">
        <f ca="1"/>
        <v>citadel.kitchen_and_buttery</v>
      </c>
      <c r="W137" s="2" t="str">
        <f ca="1"/>
        <v>state.visit_fukushima</v>
      </c>
      <c r="X137" s="2" t="str">
        <f ca="1"/>
        <v>citadel.kitchen_and_buttery</v>
      </c>
      <c r="Y137" s="2" t="str">
        <f ca="1"/>
        <v>collection.attic@3</v>
      </c>
      <c r="Z137" s="2" t="str">
        <f ca="1"/>
        <v>citadel.lair_lvl_1</v>
      </c>
      <c r="AA137" s="2" t="str">
        <f ca="1"/>
        <v>collection.armory_1@2</v>
      </c>
      <c r="AC137" s="2" t="str">
        <f ca="1"/>
        <v>tech.food_stall.jam</v>
      </c>
      <c r="AD137" s="2" t="str">
        <f ca="1"/>
        <v>citadel.kitchen_and_buttery</v>
      </c>
      <c r="AE137" s="2" t="str">
        <f ca="1"/>
        <v>collection.attic@5</v>
      </c>
    </row>
    <row r="138" spans="1:31">
      <c r="A138" t="str">
        <f t="shared" ca="1" si="4"/>
        <v>citadel.lair_lvl_1</v>
      </c>
      <c r="B138" t="str">
        <f ca="1">_xlfn.XLOOKUP(tblValidation[[#This Row],[TargetID]],tblTargets[TargetID],tblTargets[TargetType],"")</f>
        <v>CITADEL</v>
      </c>
      <c r="C138" s="48" t="b">
        <f ca="1">COUNTIF(tblTargets[TargetID], $A138) &gt; 0</f>
        <v>1</v>
      </c>
      <c r="D138" s="48" t="b">
        <f ca="1">IF(OR(LEFT(tblValidation[[#This Row],[TargetID]],10)="state.CHAR",RIGHT(tblValidation[[#This Row],[TargetID]],5)="maxed"),TRUE, COUNTIF(tblChecklist[TargetID], $A138) &gt; 0)</f>
        <v>1</v>
      </c>
      <c r="E1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$A138) &gt; 0)</f>
        <v>1</v>
      </c>
      <c r="F138" s="48" t="b">
        <f ca="1">COUNTIF(tblDependencies[DependencyID], $A138) &gt; 0</f>
        <v>1</v>
      </c>
      <c r="G138" s="48" t="b">
        <f ca="1">COUNTIF(tblQuestObjectives[QuestTargetID], $A138) &gt; 0</f>
        <v>0</v>
      </c>
      <c r="H138" s="48" t="b">
        <f ca="1">COUNTIF(tblQuestObjectives[ObjectiveID], $A138) &gt; 0</f>
        <v>0</v>
      </c>
      <c r="I138" s="48" t="b">
        <f ca="1">COUNTIF(tblTargetStatus[TargetID], $A138) &gt; 0</f>
        <v>1</v>
      </c>
      <c r="J138" s="48" t="b">
        <f ca="1">COUNTIF(tblCost[TargetID], $A138) &gt; 0</f>
        <v>1</v>
      </c>
      <c r="K138" s="48" t="b">
        <f ca="1">COUNTIF(tblStates[StateID], $A138) &gt; 0</f>
        <v>0</v>
      </c>
      <c r="L138" s="48" t="b">
        <f t="shared" ca="1" si="5"/>
        <v>1</v>
      </c>
      <c r="M138" s="48" t="b">
        <f ca="1">IF(tblValidation[[#This Row],[TargetID]]="","",COUNTIF(tblTargets[TargetID],A138)&gt;1)</f>
        <v>0</v>
      </c>
      <c r="N138" s="48" t="b">
        <f ca="1">IF(tblValidation[[#This Row],[TargetID]]="","",COUNTIF(tblStates[StateID],tblValidation[[#This Row],[TargetID]])&gt;1)</f>
        <v>0</v>
      </c>
      <c r="O138" s="48" t="b" cm="1">
        <f t="array" aca="1" ref="O1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8" s="48"/>
      <c r="R138" s="48"/>
      <c r="S138" s="48"/>
      <c r="T138" s="48"/>
      <c r="V138" s="2" t="str">
        <f ca="1"/>
        <v>citadel.lair_lvl_1</v>
      </c>
      <c r="W138" s="2" t="str">
        <f ca="1"/>
        <v>state.visit_kyiv</v>
      </c>
      <c r="X138" s="2" t="str">
        <f ca="1"/>
        <v>citadel.lair_lvl_1</v>
      </c>
      <c r="Y138" s="2" t="str">
        <f ca="1"/>
        <v>collection.attic@4</v>
      </c>
      <c r="Z138" s="2" t="str">
        <f ca="1"/>
        <v>citadel.lair_lvl_2</v>
      </c>
      <c r="AA138" s="2" t="str">
        <f ca="1"/>
        <v>collection.attic@1</v>
      </c>
      <c r="AC138" s="2" t="str">
        <f ca="1"/>
        <v>tech.food_stall.mandra_cola</v>
      </c>
      <c r="AD138" s="2" t="str">
        <f ca="1"/>
        <v>citadel.lair_lvl_1</v>
      </c>
      <c r="AE138" s="2" t="str">
        <f ca="1"/>
        <v>collection.bone_dragon@1</v>
      </c>
    </row>
    <row r="139" spans="1:31">
      <c r="A139" t="str">
        <f t="shared" ca="1" si="4"/>
        <v>citadel.lair_lvl_2</v>
      </c>
      <c r="B139" t="str">
        <f ca="1">_xlfn.XLOOKUP(tblValidation[[#This Row],[TargetID]],tblTargets[TargetID],tblTargets[TargetType],"")</f>
        <v>CITADEL</v>
      </c>
      <c r="C139" s="48" t="b">
        <f ca="1">COUNTIF(tblTargets[TargetID], $A139) &gt; 0</f>
        <v>1</v>
      </c>
      <c r="D139" s="48" t="b">
        <f ca="1">IF(OR(LEFT(tblValidation[[#This Row],[TargetID]],10)="state.CHAR",RIGHT(tblValidation[[#This Row],[TargetID]],5)="maxed"),TRUE, COUNTIF(tblChecklist[TargetID], $A139) &gt; 0)</f>
        <v>1</v>
      </c>
      <c r="E1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$A139) &gt; 0)</f>
        <v>1</v>
      </c>
      <c r="F139" s="48" t="b">
        <f ca="1">COUNTIF(tblDependencies[DependencyID], $A139) &gt; 0</f>
        <v>0</v>
      </c>
      <c r="G139" s="48" t="b">
        <f ca="1">COUNTIF(tblQuestObjectives[QuestTargetID], $A139) &gt; 0</f>
        <v>0</v>
      </c>
      <c r="H139" s="48" t="b">
        <f ca="1">COUNTIF(tblQuestObjectives[ObjectiveID], $A139) &gt; 0</f>
        <v>0</v>
      </c>
      <c r="I139" s="48" t="b">
        <f ca="1">COUNTIF(tblTargetStatus[TargetID], $A139) &gt; 0</f>
        <v>1</v>
      </c>
      <c r="J139" s="48" t="b">
        <f ca="1">COUNTIF(tblCost[TargetID], $A139) &gt; 0</f>
        <v>1</v>
      </c>
      <c r="K139" s="48" t="b">
        <f ca="1">COUNTIF(tblStates[StateID], $A139) &gt; 0</f>
        <v>0</v>
      </c>
      <c r="L139" s="48" t="b">
        <f t="shared" ca="1" si="5"/>
        <v>1</v>
      </c>
      <c r="M139" s="48" t="b">
        <f ca="1">IF(tblValidation[[#This Row],[TargetID]]="","",COUNTIF(tblTargets[TargetID],A139)&gt;1)</f>
        <v>0</v>
      </c>
      <c r="N139" s="48" t="b">
        <f ca="1">IF(tblValidation[[#This Row],[TargetID]]="","",COUNTIF(tblStates[StateID],tblValidation[[#This Row],[TargetID]])&gt;1)</f>
        <v>0</v>
      </c>
      <c r="O139" s="48" t="b" cm="1">
        <f t="array" aca="1" ref="O1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9" s="48"/>
      <c r="R139" s="48"/>
      <c r="S139" s="48"/>
      <c r="T139" s="48"/>
      <c r="V139" s="2" t="str">
        <f ca="1"/>
        <v>citadel.lair_lvl_2</v>
      </c>
      <c r="W139" s="2" t="str">
        <f ca="1"/>
        <v>state.visit_kyoto</v>
      </c>
      <c r="X139" s="2" t="str">
        <f ca="1"/>
        <v>citadel.lair_lvl_2</v>
      </c>
      <c r="Y139" s="2" t="str">
        <f ca="1"/>
        <v>collection.attic@5</v>
      </c>
      <c r="Z139" s="2" t="str">
        <f ca="1"/>
        <v>citadel.mushroom_farm</v>
      </c>
      <c r="AA139" s="2" t="str">
        <f ca="1"/>
        <v>collection.attic@2</v>
      </c>
      <c r="AC139" s="2" t="str">
        <f ca="1"/>
        <v>tech.food_stall.mayonnaise</v>
      </c>
      <c r="AD139" s="2" t="str">
        <f ca="1"/>
        <v>citadel.lair_lvl_2</v>
      </c>
      <c r="AE139" s="2" t="str">
        <f ca="1"/>
        <v>collection.bone_dragon@2</v>
      </c>
    </row>
    <row r="140" spans="1:31">
      <c r="A140" t="str">
        <f t="shared" ca="1" si="4"/>
        <v>citadel.mushroom_farm</v>
      </c>
      <c r="B140" t="str">
        <f ca="1">_xlfn.XLOOKUP(tblValidation[[#This Row],[TargetID]],tblTargets[TargetID],tblTargets[TargetType],"")</f>
        <v>CITADEL</v>
      </c>
      <c r="C140" s="48" t="b">
        <f ca="1">COUNTIF(tblTargets[TargetID], $A140) &gt; 0</f>
        <v>1</v>
      </c>
      <c r="D140" s="48" t="b">
        <f ca="1">IF(OR(LEFT(tblValidation[[#This Row],[TargetID]],10)="state.CHAR",RIGHT(tblValidation[[#This Row],[TargetID]],5)="maxed"),TRUE, COUNTIF(tblChecklist[TargetID], $A140) &gt; 0)</f>
        <v>1</v>
      </c>
      <c r="E1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$A140) &gt; 0)</f>
        <v>1</v>
      </c>
      <c r="F140" s="48" t="b">
        <f ca="1">COUNTIF(tblDependencies[DependencyID], $A140) &gt; 0</f>
        <v>1</v>
      </c>
      <c r="G140" s="48" t="b">
        <f ca="1">COUNTIF(tblQuestObjectives[QuestTargetID], $A140) &gt; 0</f>
        <v>0</v>
      </c>
      <c r="H140" s="48" t="b">
        <f ca="1">COUNTIF(tblQuestObjectives[ObjectiveID], $A140) &gt; 0</f>
        <v>0</v>
      </c>
      <c r="I140" s="48" t="b">
        <f ca="1">COUNTIF(tblTargetStatus[TargetID], $A140) &gt; 0</f>
        <v>1</v>
      </c>
      <c r="J140" s="48" t="b">
        <f ca="1">COUNTIF(tblCost[TargetID], $A140) &gt; 0</f>
        <v>1</v>
      </c>
      <c r="K140" s="48" t="b">
        <f ca="1">COUNTIF(tblStates[StateID], $A140) &gt; 0</f>
        <v>0</v>
      </c>
      <c r="L140" s="48" t="b">
        <f t="shared" ca="1" si="5"/>
        <v>1</v>
      </c>
      <c r="M140" s="48" t="b">
        <f ca="1">IF(tblValidation[[#This Row],[TargetID]]="","",COUNTIF(tblTargets[TargetID],A140)&gt;1)</f>
        <v>0</v>
      </c>
      <c r="N140" s="48" t="b">
        <f ca="1">IF(tblValidation[[#This Row],[TargetID]]="","",COUNTIF(tblStates[StateID],tblValidation[[#This Row],[TargetID]])&gt;1)</f>
        <v>0</v>
      </c>
      <c r="O140" s="48" t="b" cm="1">
        <f t="array" aca="1" ref="O1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0" s="48"/>
      <c r="R140" s="48"/>
      <c r="S140" s="48"/>
      <c r="T140" s="48"/>
      <c r="V140" s="2" t="str">
        <f ca="1"/>
        <v>citadel.mushroom_farm</v>
      </c>
      <c r="W140" s="2" t="str">
        <f ca="1"/>
        <v>state.visit_melbourne</v>
      </c>
      <c r="X140" s="2" t="str">
        <f ca="1"/>
        <v>citadel.mushroom_farm</v>
      </c>
      <c r="Y140" s="2" t="str">
        <f ca="1"/>
        <v>collection.bone_dragon@1</v>
      </c>
      <c r="Z140" s="2" t="str">
        <f ca="1"/>
        <v>citadel.orangery</v>
      </c>
      <c r="AA140" s="2" t="str">
        <f ca="1"/>
        <v>collection.attic@3</v>
      </c>
      <c r="AC140" s="2" t="str">
        <f ca="1"/>
        <v>tech.food_stall.quintessence_of_taste</v>
      </c>
      <c r="AD140" s="2" t="str">
        <f ca="1"/>
        <v>citadel.mushroom_farm</v>
      </c>
      <c r="AE140" s="2" t="str">
        <f ca="1"/>
        <v>collection.broken_lever@1</v>
      </c>
    </row>
    <row r="141" spans="1:31">
      <c r="A141" t="str">
        <f t="shared" ca="1" si="4"/>
        <v>citadel.orangery</v>
      </c>
      <c r="B141" t="str">
        <f ca="1">_xlfn.XLOOKUP(tblValidation[[#This Row],[TargetID]],tblTargets[TargetID],tblTargets[TargetType],"")</f>
        <v>CITADEL</v>
      </c>
      <c r="C141" s="48" t="b">
        <f ca="1">COUNTIF(tblTargets[TargetID], $A141) &gt; 0</f>
        <v>1</v>
      </c>
      <c r="D141" s="48" t="b">
        <f ca="1">IF(OR(LEFT(tblValidation[[#This Row],[TargetID]],10)="state.CHAR",RIGHT(tblValidation[[#This Row],[TargetID]],5)="maxed"),TRUE, COUNTIF(tblChecklist[TargetID], $A141) &gt; 0)</f>
        <v>1</v>
      </c>
      <c r="E1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$A141) &gt; 0)</f>
        <v>1</v>
      </c>
      <c r="F141" s="48" t="b">
        <f ca="1">COUNTIF(tblDependencies[DependencyID], $A141) &gt; 0</f>
        <v>1</v>
      </c>
      <c r="G141" s="48" t="b">
        <f ca="1">COUNTIF(tblQuestObjectives[QuestTargetID], $A141) &gt; 0</f>
        <v>0</v>
      </c>
      <c r="H141" s="48" t="b">
        <f ca="1">COUNTIF(tblQuestObjectives[ObjectiveID], $A141) &gt; 0</f>
        <v>0</v>
      </c>
      <c r="I141" s="48" t="b">
        <f ca="1">COUNTIF(tblTargetStatus[TargetID], $A141) &gt; 0</f>
        <v>1</v>
      </c>
      <c r="J141" s="48" t="b">
        <f ca="1">COUNTIF(tblCost[TargetID], $A141) &gt; 0</f>
        <v>1</v>
      </c>
      <c r="K141" s="48" t="b">
        <f ca="1">COUNTIF(tblStates[StateID], $A141) &gt; 0</f>
        <v>0</v>
      </c>
      <c r="L141" s="48" t="b">
        <f t="shared" ca="1" si="5"/>
        <v>1</v>
      </c>
      <c r="M141" s="48" t="b">
        <f ca="1">IF(tblValidation[[#This Row],[TargetID]]="","",COUNTIF(tblTargets[TargetID],A141)&gt;1)</f>
        <v>0</v>
      </c>
      <c r="N141" s="48" t="b">
        <f ca="1">IF(tblValidation[[#This Row],[TargetID]]="","",COUNTIF(tblStates[StateID],tblValidation[[#This Row],[TargetID]])&gt;1)</f>
        <v>0</v>
      </c>
      <c r="O141" s="48" t="b" cm="1">
        <f t="array" aca="1" ref="O1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1" s="48"/>
      <c r="R141" s="48"/>
      <c r="S141" s="48"/>
      <c r="T141" s="48"/>
      <c r="V141" s="2" t="str">
        <f ca="1"/>
        <v>citadel.orangery</v>
      </c>
      <c r="W141" s="2" t="str">
        <f ca="1"/>
        <v>state.visit_nagasaki</v>
      </c>
      <c r="X141" s="2" t="str">
        <f ca="1"/>
        <v>citadel.orangery</v>
      </c>
      <c r="Y141" s="2" t="str">
        <f ca="1"/>
        <v>collection.bone_dragon@2</v>
      </c>
      <c r="Z141" s="2" t="str">
        <f ca="1"/>
        <v>citadel.pantry</v>
      </c>
      <c r="AA141" s="2" t="str">
        <f ca="1"/>
        <v>collection.attic@4</v>
      </c>
      <c r="AC141" s="2" t="str">
        <f ca="1"/>
        <v>tech.laboratory.digitization</v>
      </c>
      <c r="AD141" s="2" t="str">
        <f ca="1"/>
        <v>citadel.orangery</v>
      </c>
      <c r="AE141" s="2" t="str">
        <f ca="1"/>
        <v>collection.broken_minecart@1</v>
      </c>
    </row>
    <row r="142" spans="1:31">
      <c r="A142" t="str">
        <f t="shared" ca="1" si="4"/>
        <v>citadel.pantry</v>
      </c>
      <c r="B142" t="str">
        <f ca="1">_xlfn.XLOOKUP(tblValidation[[#This Row],[TargetID]],tblTargets[TargetID],tblTargets[TargetType],"")</f>
        <v>CITADEL</v>
      </c>
      <c r="C142" s="48" t="b">
        <f ca="1">COUNTIF(tblTargets[TargetID], $A142) &gt; 0</f>
        <v>1</v>
      </c>
      <c r="D142" s="48" t="b">
        <f ca="1">IF(OR(LEFT(tblValidation[[#This Row],[TargetID]],10)="state.CHAR",RIGHT(tblValidation[[#This Row],[TargetID]],5)="maxed"),TRUE, COUNTIF(tblChecklist[TargetID], $A142) &gt; 0)</f>
        <v>1</v>
      </c>
      <c r="E1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$A142) &gt; 0)</f>
        <v>1</v>
      </c>
      <c r="F142" s="48" t="b">
        <f ca="1">COUNTIF(tblDependencies[DependencyID], $A142) &gt; 0</f>
        <v>1</v>
      </c>
      <c r="G142" s="48" t="b">
        <f ca="1">COUNTIF(tblQuestObjectives[QuestTargetID], $A142) &gt; 0</f>
        <v>0</v>
      </c>
      <c r="H142" s="48" t="b">
        <f ca="1">COUNTIF(tblQuestObjectives[ObjectiveID], $A142) &gt; 0</f>
        <v>0</v>
      </c>
      <c r="I142" s="48" t="b">
        <f ca="1">COUNTIF(tblTargetStatus[TargetID], $A142) &gt; 0</f>
        <v>1</v>
      </c>
      <c r="J142" s="48" t="b">
        <f ca="1">COUNTIF(tblCost[TargetID], $A142) &gt; 0</f>
        <v>1</v>
      </c>
      <c r="K142" s="48" t="b">
        <f ca="1">COUNTIF(tblStates[StateID], $A142) &gt; 0</f>
        <v>0</v>
      </c>
      <c r="L142" s="48" t="b">
        <f t="shared" ca="1" si="5"/>
        <v>1</v>
      </c>
      <c r="M142" s="48" t="b">
        <f ca="1">IF(tblValidation[[#This Row],[TargetID]]="","",COUNTIF(tblTargets[TargetID],A142)&gt;1)</f>
        <v>0</v>
      </c>
      <c r="N142" s="48" t="b">
        <f ca="1">IF(tblValidation[[#This Row],[TargetID]]="","",COUNTIF(tblStates[StateID],tblValidation[[#This Row],[TargetID]])&gt;1)</f>
        <v>0</v>
      </c>
      <c r="O142" s="48" t="b" cm="1">
        <f t="array" aca="1" ref="O1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2" s="48"/>
      <c r="R142" s="48"/>
      <c r="S142" s="48"/>
      <c r="T142" s="48"/>
      <c r="V142" s="2" t="str">
        <f ca="1"/>
        <v>citadel.pantry</v>
      </c>
      <c r="W142" s="2" t="str">
        <f ca="1"/>
        <v>state.visit_osaka</v>
      </c>
      <c r="X142" s="2" t="str">
        <f ca="1"/>
        <v>citadel.pantry</v>
      </c>
      <c r="Y142" s="2" t="str">
        <f ca="1"/>
        <v>collection.broken_lever@1</v>
      </c>
      <c r="Z142" s="2" t="str">
        <f ca="1"/>
        <v>citadel.tavern</v>
      </c>
      <c r="AA142" s="2" t="str">
        <f ca="1"/>
        <v>collection.bone_dragon@1</v>
      </c>
      <c r="AC142" s="2" t="str">
        <f ca="1"/>
        <v>tech.laboratory.experiments</v>
      </c>
      <c r="AD142" s="2" t="str">
        <f ca="1"/>
        <v>citadel.pantry</v>
      </c>
      <c r="AE142" s="2" t="str">
        <f ca="1"/>
        <v>collection.cave_in_alchemist_hall@1</v>
      </c>
    </row>
    <row r="143" spans="1:31">
      <c r="A143" t="str">
        <f t="shared" ca="1" si="4"/>
        <v>citadel.tavern</v>
      </c>
      <c r="B143" t="str">
        <f ca="1">_xlfn.XLOOKUP(tblValidation[[#This Row],[TargetID]],tblTargets[TargetID],tblTargets[TargetType],"")</f>
        <v>CITADEL</v>
      </c>
      <c r="C143" s="48" t="b">
        <f ca="1">COUNTIF(tblTargets[TargetID], $A143) &gt; 0</f>
        <v>1</v>
      </c>
      <c r="D143" s="48" t="b">
        <f ca="1">IF(OR(LEFT(tblValidation[[#This Row],[TargetID]],10)="state.CHAR",RIGHT(tblValidation[[#This Row],[TargetID]],5)="maxed"),TRUE, COUNTIF(tblChecklist[TargetID], $A143) &gt; 0)</f>
        <v>1</v>
      </c>
      <c r="E1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$A143) &gt; 0)</f>
        <v>1</v>
      </c>
      <c r="F143" s="48" t="b">
        <f ca="1">COUNTIF(tblDependencies[DependencyID], $A143) &gt; 0</f>
        <v>1</v>
      </c>
      <c r="G143" s="48" t="b">
        <f ca="1">COUNTIF(tblQuestObjectives[QuestTargetID], $A143) &gt; 0</f>
        <v>0</v>
      </c>
      <c r="H143" s="48" t="b">
        <f ca="1">COUNTIF(tblQuestObjectives[ObjectiveID], $A143) &gt; 0</f>
        <v>0</v>
      </c>
      <c r="I143" s="48" t="b">
        <f ca="1">COUNTIF(tblTargetStatus[TargetID], $A143) &gt; 0</f>
        <v>1</v>
      </c>
      <c r="J143" s="48" t="b">
        <f ca="1">COUNTIF(tblCost[TargetID], $A143) &gt; 0</f>
        <v>1</v>
      </c>
      <c r="K143" s="48" t="b">
        <f ca="1">COUNTIF(tblStates[StateID], $A143) &gt; 0</f>
        <v>0</v>
      </c>
      <c r="L143" s="48" t="b">
        <f t="shared" ca="1" si="5"/>
        <v>1</v>
      </c>
      <c r="M143" s="48" t="b">
        <f ca="1">IF(tblValidation[[#This Row],[TargetID]]="","",COUNTIF(tblTargets[TargetID],A143)&gt;1)</f>
        <v>0</v>
      </c>
      <c r="N143" s="48" t="b">
        <f ca="1">IF(tblValidation[[#This Row],[TargetID]]="","",COUNTIF(tblStates[StateID],tblValidation[[#This Row],[TargetID]])&gt;1)</f>
        <v>0</v>
      </c>
      <c r="O143" s="48" t="b" cm="1">
        <f t="array" aca="1" ref="O1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3" s="48"/>
      <c r="R143" s="48"/>
      <c r="S143" s="48"/>
      <c r="T143" s="48"/>
      <c r="V143" s="2" t="str">
        <f ca="1"/>
        <v>citadel.tavern</v>
      </c>
      <c r="W143" s="2" t="str">
        <f ca="1"/>
        <v>state.visit_paris</v>
      </c>
      <c r="X143" s="2" t="str">
        <f ca="1"/>
        <v>citadel.tavern</v>
      </c>
      <c r="Y143" s="2" t="str">
        <f ca="1"/>
        <v>collection.broken_minecart@1</v>
      </c>
      <c r="Z143" s="2" t="str">
        <f ca="1"/>
        <v>citadel.treasury</v>
      </c>
      <c r="AA143" s="2" t="str">
        <f ca="1"/>
        <v>collection.broken_lever@1</v>
      </c>
      <c r="AC143" s="2" t="str">
        <f ca="1"/>
        <v>tech.laboratory.research_and_development</v>
      </c>
      <c r="AD143" s="2" t="str">
        <f ca="1"/>
        <v>citadel.tavern</v>
      </c>
      <c r="AE143" s="2" t="str">
        <f ca="1"/>
        <v>collection.cave_in_bone_dragon@1</v>
      </c>
    </row>
    <row r="144" spans="1:31">
      <c r="A144" t="str">
        <f t="shared" ca="1" si="4"/>
        <v>citadel.treasury</v>
      </c>
      <c r="B144" t="str">
        <f ca="1">_xlfn.XLOOKUP(tblValidation[[#This Row],[TargetID]],tblTargets[TargetID],tblTargets[TargetType],"")</f>
        <v>CITADEL</v>
      </c>
      <c r="C144" s="48" t="b">
        <f ca="1">COUNTIF(tblTargets[TargetID], $A144) &gt; 0</f>
        <v>1</v>
      </c>
      <c r="D144" s="48" t="b">
        <f ca="1">IF(OR(LEFT(tblValidation[[#This Row],[TargetID]],10)="state.CHAR",RIGHT(tblValidation[[#This Row],[TargetID]],5)="maxed"),TRUE, COUNTIF(tblChecklist[TargetID], $A144) &gt; 0)</f>
        <v>1</v>
      </c>
      <c r="E1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$A144) &gt; 0)</f>
        <v>1</v>
      </c>
      <c r="F144" s="48" t="b">
        <f ca="1">COUNTIF(tblDependencies[DependencyID], $A144) &gt; 0</f>
        <v>1</v>
      </c>
      <c r="G144" s="48" t="b">
        <f ca="1">COUNTIF(tblQuestObjectives[QuestTargetID], $A144) &gt; 0</f>
        <v>0</v>
      </c>
      <c r="H144" s="48" t="b">
        <f ca="1">COUNTIF(tblQuestObjectives[ObjectiveID], $A144) &gt; 0</f>
        <v>0</v>
      </c>
      <c r="I144" s="48" t="b">
        <f ca="1">COUNTIF(tblTargetStatus[TargetID], $A144) &gt; 0</f>
        <v>1</v>
      </c>
      <c r="J144" s="48" t="b">
        <f ca="1">COUNTIF(tblCost[TargetID], $A144) &gt; 0</f>
        <v>1</v>
      </c>
      <c r="K144" s="48" t="b">
        <f ca="1">COUNTIF(tblStates[StateID], $A144) &gt; 0</f>
        <v>0</v>
      </c>
      <c r="L144" s="48" t="b">
        <f t="shared" ca="1" si="5"/>
        <v>1</v>
      </c>
      <c r="M144" s="48" t="b">
        <f ca="1">IF(tblValidation[[#This Row],[TargetID]]="","",COUNTIF(tblTargets[TargetID],A144)&gt;1)</f>
        <v>0</v>
      </c>
      <c r="N144" s="48" t="b">
        <f ca="1">IF(tblValidation[[#This Row],[TargetID]]="","",COUNTIF(tblStates[StateID],tblValidation[[#This Row],[TargetID]])&gt;1)</f>
        <v>0</v>
      </c>
      <c r="O144" s="48" t="b" cm="1">
        <f t="array" aca="1" ref="O1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4" s="48"/>
      <c r="R144" s="48"/>
      <c r="S144" s="48"/>
      <c r="T144" s="48"/>
      <c r="V144" s="2" t="str">
        <f ca="1"/>
        <v>citadel.treasury</v>
      </c>
      <c r="W144" s="2" t="str">
        <f ca="1"/>
        <v>state.visit_rome</v>
      </c>
      <c r="X144" s="2" t="str">
        <f ca="1"/>
        <v>citadel.treasury</v>
      </c>
      <c r="Y144" s="2" t="str">
        <f ca="1"/>
        <v>collection.cave_in_alchemist_hall@1</v>
      </c>
      <c r="Z144" s="2" t="str">
        <f ca="1"/>
        <v>citadel.tunnel</v>
      </c>
      <c r="AA144" s="2" t="str">
        <f ca="1"/>
        <v>collection.broken_minecart@1</v>
      </c>
      <c r="AC144" s="2" t="str">
        <f ca="1"/>
        <v>tech.smithy.sword_for_a_hero_lvl_4</v>
      </c>
      <c r="AD144" s="2" t="str">
        <f ca="1"/>
        <v>citadel.treasury</v>
      </c>
      <c r="AE144" s="2" t="str">
        <f ca="1"/>
        <v>collection.collapsed_staircase@1</v>
      </c>
    </row>
    <row r="145" spans="1:31">
      <c r="A145" t="str">
        <f t="shared" ca="1" si="4"/>
        <v>citadel.tunnel</v>
      </c>
      <c r="B145" t="str">
        <f ca="1">_xlfn.XLOOKUP(tblValidation[[#This Row],[TargetID]],tblTargets[TargetID],tblTargets[TargetType],"")</f>
        <v>CITADEL</v>
      </c>
      <c r="C145" s="48" t="b">
        <f ca="1">COUNTIF(tblTargets[TargetID], $A145) &gt; 0</f>
        <v>1</v>
      </c>
      <c r="D145" s="48" t="b">
        <f ca="1">IF(OR(LEFT(tblValidation[[#This Row],[TargetID]],10)="state.CHAR",RIGHT(tblValidation[[#This Row],[TargetID]],5)="maxed"),TRUE, COUNTIF(tblChecklist[TargetID], $A145) &gt; 0)</f>
        <v>1</v>
      </c>
      <c r="E1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$A145) &gt; 0)</f>
        <v>1</v>
      </c>
      <c r="F145" s="48" t="b">
        <f ca="1">COUNTIF(tblDependencies[DependencyID], $A145) &gt; 0</f>
        <v>1</v>
      </c>
      <c r="G145" s="48" t="b">
        <f ca="1">COUNTIF(tblQuestObjectives[QuestTargetID], $A145) &gt; 0</f>
        <v>0</v>
      </c>
      <c r="H145" s="48" t="b">
        <f ca="1">COUNTIF(tblQuestObjectives[ObjectiveID], $A145) &gt; 0</f>
        <v>1</v>
      </c>
      <c r="I145" s="48" t="b">
        <f ca="1">COUNTIF(tblTargetStatus[TargetID], $A145) &gt; 0</f>
        <v>1</v>
      </c>
      <c r="J145" s="48" t="b">
        <f ca="1">COUNTIF(tblCost[TargetID], $A145) &gt; 0</f>
        <v>1</v>
      </c>
      <c r="K145" s="48" t="b">
        <f ca="1">COUNTIF(tblStates[StateID], $A145) &gt; 0</f>
        <v>0</v>
      </c>
      <c r="L145" s="48" t="b">
        <f t="shared" ca="1" si="5"/>
        <v>1</v>
      </c>
      <c r="M145" s="48" t="b">
        <f ca="1">IF(tblValidation[[#This Row],[TargetID]]="","",COUNTIF(tblTargets[TargetID],A145)&gt;1)</f>
        <v>0</v>
      </c>
      <c r="N145" s="48" t="b">
        <f ca="1">IF(tblValidation[[#This Row],[TargetID]]="","",COUNTIF(tblStates[StateID],tblValidation[[#This Row],[TargetID]])&gt;1)</f>
        <v>0</v>
      </c>
      <c r="O145" s="48" t="b" cm="1">
        <f t="array" aca="1" ref="O1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5" s="48"/>
      <c r="R145" s="48"/>
      <c r="S145" s="48"/>
      <c r="T145" s="48"/>
      <c r="V145" s="2" t="str">
        <f ca="1"/>
        <v>citadel.tunnel</v>
      </c>
      <c r="W145" s="2" t="str">
        <f ca="1"/>
        <v>state.visit_tokyo</v>
      </c>
      <c r="X145" s="2" t="str">
        <f ca="1"/>
        <v>citadel.tunnel</v>
      </c>
      <c r="Y145" s="2" t="str">
        <f ca="1"/>
        <v>collection.cave_in_bone_dragon@1</v>
      </c>
      <c r="Z145" s="2" t="str">
        <f ca="1"/>
        <v>collection.alchemist_hall_1@1</v>
      </c>
      <c r="AA145" s="2" t="str">
        <f ca="1"/>
        <v>collection.cave_in_alchemist_hall@1</v>
      </c>
      <c r="AC145" s="2" t="str">
        <f ca="1"/>
        <v>tech.smithy.throwing_knife</v>
      </c>
      <c r="AD145" s="2" t="str">
        <f ca="1"/>
        <v>citadel.tunnel</v>
      </c>
      <c r="AE145" s="2" t="str">
        <f ca="1"/>
        <v>collection.courtyard_1@1</v>
      </c>
    </row>
    <row r="146" spans="1:31">
      <c r="A146" t="str">
        <f t="shared" ca="1" si="4"/>
        <v>collection.alchemist_hall_1@1</v>
      </c>
      <c r="B146" t="str">
        <f ca="1">_xlfn.XLOOKUP(tblValidation[[#This Row],[TargetID]],tblTargets[TargetID],tblTargets[TargetType],"")</f>
        <v>COLLECTION</v>
      </c>
      <c r="C146" s="48" t="b">
        <f ca="1">COUNTIF(tblTargets[TargetID], $A146) &gt; 0</f>
        <v>1</v>
      </c>
      <c r="D146" s="48" t="b">
        <f ca="1">IF(OR(LEFT(tblValidation[[#This Row],[TargetID]],10)="state.CHAR",RIGHT(tblValidation[[#This Row],[TargetID]],5)="maxed"),TRUE, COUNTIF(tblChecklist[TargetID], $A146) &gt; 0)</f>
        <v>1</v>
      </c>
      <c r="E1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$A146) &gt; 0)</f>
        <v>1</v>
      </c>
      <c r="F146" s="48" t="b">
        <f ca="1">COUNTIF(tblDependencies[DependencyID], $A146) &gt; 0</f>
        <v>1</v>
      </c>
      <c r="G146" s="48" t="b">
        <f ca="1">COUNTIF(tblQuestObjectives[QuestTargetID], $A146) &gt; 0</f>
        <v>0</v>
      </c>
      <c r="H146" s="48" t="b">
        <f ca="1">COUNTIF(tblQuestObjectives[ObjectiveID], $A146) &gt; 0</f>
        <v>1</v>
      </c>
      <c r="I146" s="48" t="b">
        <f ca="1">COUNTIF(tblTargetStatus[TargetID], $A146) &gt; 0</f>
        <v>1</v>
      </c>
      <c r="J146" s="48" t="b">
        <f ca="1">COUNTIF(tblCost[TargetID], $A146) &gt; 0</f>
        <v>1</v>
      </c>
      <c r="K146" s="48" t="b">
        <f ca="1">COUNTIF(tblStates[StateID], $A146) &gt; 0</f>
        <v>0</v>
      </c>
      <c r="L146" s="48" t="b">
        <f t="shared" ca="1" si="5"/>
        <v>1</v>
      </c>
      <c r="M146" s="48" t="b">
        <f ca="1">IF(tblValidation[[#This Row],[TargetID]]="","",COUNTIF(tblTargets[TargetID],A146)&gt;1)</f>
        <v>0</v>
      </c>
      <c r="N146" s="48" t="b">
        <f ca="1">IF(tblValidation[[#This Row],[TargetID]]="","",COUNTIF(tblStates[StateID],tblValidation[[#This Row],[TargetID]])&gt;1)</f>
        <v>0</v>
      </c>
      <c r="O146" s="48" t="b" cm="1">
        <f t="array" aca="1" ref="O1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6" s="48"/>
      <c r="R146" s="48"/>
      <c r="S146" s="48"/>
      <c r="T146" s="48"/>
      <c r="V146" s="2" t="str">
        <f ca="1"/>
        <v>collection.alchemist_hall_1@1</v>
      </c>
      <c r="W146" s="2" t="str">
        <f ca="1"/>
        <v>state.visit_wakayama</v>
      </c>
      <c r="X146" s="2" t="str">
        <f ca="1"/>
        <v>collection.alchemist_hall_1@1</v>
      </c>
      <c r="Y146" s="2" t="str">
        <f ca="1"/>
        <v>collection.collapsed_staircase@1</v>
      </c>
      <c r="Z146" s="2" t="str">
        <f ca="1"/>
        <v>collection.alchemist_hall_1@2</v>
      </c>
      <c r="AA146" s="2" t="str">
        <f ca="1"/>
        <v>collection.cave_in_bone_dragon@1</v>
      </c>
      <c r="AC146" s="2" t="str">
        <f ca="1"/>
        <v>tech.tailor.armor_for_a_hero_lvl_4</v>
      </c>
      <c r="AD146" s="2" t="str">
        <f ca="1"/>
        <v>collection.alchemist_hall_1@1</v>
      </c>
      <c r="AE146" s="2" t="str">
        <f ca="1"/>
        <v>collection.courtyard_1@2</v>
      </c>
    </row>
    <row r="147" spans="1:31">
      <c r="A147" t="str">
        <f t="shared" ca="1" si="4"/>
        <v>collection.alchemist_hall_1@2</v>
      </c>
      <c r="B147" t="str">
        <f ca="1">_xlfn.XLOOKUP(tblValidation[[#This Row],[TargetID]],tblTargets[TargetID],tblTargets[TargetType],"")</f>
        <v>COLLECTION</v>
      </c>
      <c r="C147" s="48" t="b">
        <f ca="1">COUNTIF(tblTargets[TargetID], $A147) &gt; 0</f>
        <v>1</v>
      </c>
      <c r="D147" s="48" t="b">
        <f ca="1">IF(OR(LEFT(tblValidation[[#This Row],[TargetID]],10)="state.CHAR",RIGHT(tblValidation[[#This Row],[TargetID]],5)="maxed"),TRUE, COUNTIF(tblChecklist[TargetID], $A147) &gt; 0)</f>
        <v>1</v>
      </c>
      <c r="E1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$A147) &gt; 0)</f>
        <v>1</v>
      </c>
      <c r="F147" s="48" t="b">
        <f ca="1">COUNTIF(tblDependencies[DependencyID], $A147) &gt; 0</f>
        <v>0</v>
      </c>
      <c r="G147" s="48" t="b">
        <f ca="1">COUNTIF(tblQuestObjectives[QuestTargetID], $A147) &gt; 0</f>
        <v>0</v>
      </c>
      <c r="H147" s="48" t="b">
        <f ca="1">COUNTIF(tblQuestObjectives[ObjectiveID], $A147) &gt; 0</f>
        <v>0</v>
      </c>
      <c r="I147" s="48" t="b">
        <f ca="1">COUNTIF(tblTargetStatus[TargetID], $A147) &gt; 0</f>
        <v>1</v>
      </c>
      <c r="J147" s="48" t="b">
        <f ca="1">COUNTIF(tblCost[TargetID], $A147) &gt; 0</f>
        <v>1</v>
      </c>
      <c r="K147" s="48" t="b">
        <f ca="1">COUNTIF(tblStates[StateID], $A147) &gt; 0</f>
        <v>0</v>
      </c>
      <c r="L147" s="48" t="b">
        <f t="shared" ca="1" si="5"/>
        <v>1</v>
      </c>
      <c r="M147" s="48" t="b">
        <f ca="1">IF(tblValidation[[#This Row],[TargetID]]="","",COUNTIF(tblTargets[TargetID],A147)&gt;1)</f>
        <v>0</v>
      </c>
      <c r="N147" s="48" t="b">
        <f ca="1">IF(tblValidation[[#This Row],[TargetID]]="","",COUNTIF(tblStates[StateID],tblValidation[[#This Row],[TargetID]])&gt;1)</f>
        <v>0</v>
      </c>
      <c r="O147" s="48" t="b" cm="1">
        <f t="array" aca="1" ref="O1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7" s="48"/>
      <c r="R147" s="48"/>
      <c r="S147" s="48"/>
      <c r="T147" s="48"/>
      <c r="V147" s="2" t="str">
        <f ca="1"/>
        <v>collection.alchemist_hall_1@2</v>
      </c>
      <c r="W147" s="2" t="str">
        <f ca="1"/>
        <v>state.visit_xian</v>
      </c>
      <c r="X147" s="2" t="str">
        <f ca="1"/>
        <v>collection.alchemist_hall_1@2</v>
      </c>
      <c r="Y147" s="2" t="str">
        <f ca="1"/>
        <v>collection.courtyard_1@1</v>
      </c>
      <c r="Z147" s="2" t="str">
        <f ca="1"/>
        <v>collection.alchemist_hall_2@1</v>
      </c>
      <c r="AA147" s="2" t="str">
        <f ca="1"/>
        <v>collection.collapsed_staircase@1</v>
      </c>
      <c r="AD147" s="2" t="str">
        <f ca="1"/>
        <v>collection.alchemist_hall_1@2</v>
      </c>
      <c r="AE147" s="2" t="str">
        <f ca="1"/>
        <v>collection.courtyard_2@1</v>
      </c>
    </row>
    <row r="148" spans="1:31">
      <c r="A148" t="str">
        <f t="shared" ca="1" si="4"/>
        <v>collection.alchemist_hall_2@1</v>
      </c>
      <c r="B148" t="str">
        <f ca="1">_xlfn.XLOOKUP(tblValidation[[#This Row],[TargetID]],tblTargets[TargetID],tblTargets[TargetType],"")</f>
        <v>COLLECTION</v>
      </c>
      <c r="C148" s="48" t="b">
        <f ca="1">COUNTIF(tblTargets[TargetID], $A148) &gt; 0</f>
        <v>1</v>
      </c>
      <c r="D148" s="48" t="b">
        <f ca="1">IF(OR(LEFT(tblValidation[[#This Row],[TargetID]],10)="state.CHAR",RIGHT(tblValidation[[#This Row],[TargetID]],5)="maxed"),TRUE, COUNTIF(tblChecklist[TargetID], $A148) &gt; 0)</f>
        <v>1</v>
      </c>
      <c r="E1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$A148) &gt; 0)</f>
        <v>1</v>
      </c>
      <c r="F148" s="48" t="b">
        <f ca="1">COUNTIF(tblDependencies[DependencyID], $A148) &gt; 0</f>
        <v>1</v>
      </c>
      <c r="G148" s="48" t="b">
        <f ca="1">COUNTIF(tblQuestObjectives[QuestTargetID], $A148) &gt; 0</f>
        <v>0</v>
      </c>
      <c r="H148" s="48" t="b">
        <f ca="1">COUNTIF(tblQuestObjectives[ObjectiveID], $A148) &gt; 0</f>
        <v>1</v>
      </c>
      <c r="I148" s="48" t="b">
        <f ca="1">COUNTIF(tblTargetStatus[TargetID], $A148) &gt; 0</f>
        <v>1</v>
      </c>
      <c r="J148" s="48" t="b">
        <f ca="1">COUNTIF(tblCost[TargetID], $A148) &gt; 0</f>
        <v>1</v>
      </c>
      <c r="K148" s="48" t="b">
        <f ca="1">COUNTIF(tblStates[StateID], $A148) &gt; 0</f>
        <v>0</v>
      </c>
      <c r="L148" s="48" t="b">
        <f t="shared" ca="1" si="5"/>
        <v>1</v>
      </c>
      <c r="M148" s="48" t="b">
        <f ca="1">IF(tblValidation[[#This Row],[TargetID]]="","",COUNTIF(tblTargets[TargetID],A148)&gt;1)</f>
        <v>0</v>
      </c>
      <c r="N148" s="48" t="b">
        <f ca="1">IF(tblValidation[[#This Row],[TargetID]]="","",COUNTIF(tblStates[StateID],tblValidation[[#This Row],[TargetID]])&gt;1)</f>
        <v>0</v>
      </c>
      <c r="O148" s="48" t="b" cm="1">
        <f t="array" aca="1" ref="O1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8" s="48"/>
      <c r="R148" s="48"/>
      <c r="S148" s="48"/>
      <c r="T148" s="48"/>
      <c r="V148" s="2" t="str">
        <f ca="1"/>
        <v>collection.alchemist_hall_2@1</v>
      </c>
      <c r="X148" s="2" t="str">
        <f ca="1"/>
        <v>collection.alchemist_hall_2@1</v>
      </c>
      <c r="Y148" s="2" t="str">
        <f ca="1"/>
        <v>collection.courtyard_1@2</v>
      </c>
      <c r="Z148" s="2" t="str">
        <f ca="1"/>
        <v>collection.alchemist_hall_2@2</v>
      </c>
      <c r="AA148" s="2" t="str">
        <f ca="1"/>
        <v>collection.courtyard_1@1</v>
      </c>
      <c r="AD148" s="2" t="str">
        <f ca="1"/>
        <v>collection.alchemist_hall_2@1</v>
      </c>
      <c r="AE148" s="2" t="str">
        <f ca="1"/>
        <v>collection.crystal_cave@1</v>
      </c>
    </row>
    <row r="149" spans="1:31">
      <c r="A149" t="str">
        <f t="shared" ca="1" si="4"/>
        <v>collection.alchemist_hall_2@2</v>
      </c>
      <c r="B149" t="str">
        <f ca="1">_xlfn.XLOOKUP(tblValidation[[#This Row],[TargetID]],tblTargets[TargetID],tblTargets[TargetType],"")</f>
        <v>COLLECTION</v>
      </c>
      <c r="C149" s="48" t="b">
        <f ca="1">COUNTIF(tblTargets[TargetID], $A149) &gt; 0</f>
        <v>1</v>
      </c>
      <c r="D149" s="48" t="b">
        <f ca="1">IF(OR(LEFT(tblValidation[[#This Row],[TargetID]],10)="state.CHAR",RIGHT(tblValidation[[#This Row],[TargetID]],5)="maxed"),TRUE, COUNTIF(tblChecklist[TargetID], $A149) &gt; 0)</f>
        <v>1</v>
      </c>
      <c r="E1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$A149) &gt; 0)</f>
        <v>1</v>
      </c>
      <c r="F149" s="48" t="b">
        <f ca="1">COUNTIF(tblDependencies[DependencyID], $A149) &gt; 0</f>
        <v>0</v>
      </c>
      <c r="G149" s="48" t="b">
        <f ca="1">COUNTIF(tblQuestObjectives[QuestTargetID], $A149) &gt; 0</f>
        <v>0</v>
      </c>
      <c r="H149" s="48" t="b">
        <f ca="1">COUNTIF(tblQuestObjectives[ObjectiveID], $A149) &gt; 0</f>
        <v>0</v>
      </c>
      <c r="I149" s="48" t="b">
        <f ca="1">COUNTIF(tblTargetStatus[TargetID], $A149) &gt; 0</f>
        <v>1</v>
      </c>
      <c r="J149" s="48" t="b">
        <f ca="1">COUNTIF(tblCost[TargetID], $A149) &gt; 0</f>
        <v>1</v>
      </c>
      <c r="K149" s="48" t="b">
        <f ca="1">COUNTIF(tblStates[StateID], $A149) &gt; 0</f>
        <v>0</v>
      </c>
      <c r="L149" s="48" t="b">
        <f t="shared" ca="1" si="5"/>
        <v>1</v>
      </c>
      <c r="M149" s="48" t="b">
        <f ca="1">IF(tblValidation[[#This Row],[TargetID]]="","",COUNTIF(tblTargets[TargetID],A149)&gt;1)</f>
        <v>0</v>
      </c>
      <c r="N149" s="48" t="b">
        <f ca="1">IF(tblValidation[[#This Row],[TargetID]]="","",COUNTIF(tblStates[StateID],tblValidation[[#This Row],[TargetID]])&gt;1)</f>
        <v>0</v>
      </c>
      <c r="O149" s="48" t="b" cm="1">
        <f t="array" aca="1" ref="O1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9" s="48"/>
      <c r="R149" s="48"/>
      <c r="S149" s="48"/>
      <c r="T149" s="48"/>
      <c r="V149" s="2" t="str">
        <f ca="1"/>
        <v>collection.alchemist_hall_2@2</v>
      </c>
      <c r="X149" s="2" t="str">
        <f ca="1"/>
        <v>collection.alchemist_hall_2@2</v>
      </c>
      <c r="Y149" s="2" t="str">
        <f ca="1"/>
        <v>collection.courtyard_2@1</v>
      </c>
      <c r="Z149" s="2" t="str">
        <f ca="1"/>
        <v>collection.alchemist_hall_3@1</v>
      </c>
      <c r="AA149" s="2" t="str">
        <f ca="1"/>
        <v>collection.gallery_1@1</v>
      </c>
      <c r="AD149" s="2" t="str">
        <f ca="1"/>
        <v>collection.alchemist_hall_2@2</v>
      </c>
      <c r="AE149" s="2" t="str">
        <f ca="1"/>
        <v>collection.gallery_1@1</v>
      </c>
    </row>
    <row r="150" spans="1:31">
      <c r="A150" t="str">
        <f t="shared" ca="1" si="4"/>
        <v>collection.alchemist_hall_3@1</v>
      </c>
      <c r="B150" t="str">
        <f ca="1">_xlfn.XLOOKUP(tblValidation[[#This Row],[TargetID]],tblTargets[TargetID],tblTargets[TargetType],"")</f>
        <v>COLLECTION</v>
      </c>
      <c r="C150" s="48" t="b">
        <f ca="1">COUNTIF(tblTargets[TargetID], $A150) &gt; 0</f>
        <v>1</v>
      </c>
      <c r="D150" s="48" t="b">
        <f ca="1">IF(OR(LEFT(tblValidation[[#This Row],[TargetID]],10)="state.CHAR",RIGHT(tblValidation[[#This Row],[TargetID]],5)="maxed"),TRUE, COUNTIF(tblChecklist[TargetID], $A150) &gt; 0)</f>
        <v>1</v>
      </c>
      <c r="E1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$A150) &gt; 0)</f>
        <v>1</v>
      </c>
      <c r="F150" s="48" t="b">
        <f ca="1">COUNTIF(tblDependencies[DependencyID], $A150) &gt; 0</f>
        <v>1</v>
      </c>
      <c r="G150" s="48" t="b">
        <f ca="1">COUNTIF(tblQuestObjectives[QuestTargetID], $A150) &gt; 0</f>
        <v>0</v>
      </c>
      <c r="H150" s="48" t="b">
        <f ca="1">COUNTIF(tblQuestObjectives[ObjectiveID], $A150) &gt; 0</f>
        <v>1</v>
      </c>
      <c r="I150" s="48" t="b">
        <f ca="1">COUNTIF(tblTargetStatus[TargetID], $A150) &gt; 0</f>
        <v>1</v>
      </c>
      <c r="J150" s="48" t="b">
        <f ca="1">COUNTIF(tblCost[TargetID], $A150) &gt; 0</f>
        <v>1</v>
      </c>
      <c r="K150" s="48" t="b">
        <f ca="1">COUNTIF(tblStates[StateID], $A150) &gt; 0</f>
        <v>0</v>
      </c>
      <c r="L150" s="48" t="b">
        <f t="shared" ca="1" si="5"/>
        <v>1</v>
      </c>
      <c r="M150" s="48" t="b">
        <f ca="1">IF(tblValidation[[#This Row],[TargetID]]="","",COUNTIF(tblTargets[TargetID],A150)&gt;1)</f>
        <v>0</v>
      </c>
      <c r="N150" s="48" t="b">
        <f ca="1">IF(tblValidation[[#This Row],[TargetID]]="","",COUNTIF(tblStates[StateID],tblValidation[[#This Row],[TargetID]])&gt;1)</f>
        <v>0</v>
      </c>
      <c r="O150" s="48" t="b" cm="1">
        <f t="array" aca="1" ref="O1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0" s="48"/>
      <c r="R150" s="48"/>
      <c r="S150" s="48"/>
      <c r="T150" s="48"/>
      <c r="V150" s="2" t="str">
        <f ca="1"/>
        <v>collection.alchemist_hall_3@1</v>
      </c>
      <c r="X150" s="2" t="str">
        <f ca="1"/>
        <v>collection.alchemist_hall_3@1</v>
      </c>
      <c r="Y150" s="2" t="str">
        <f ca="1"/>
        <v>collection.crystal_cave@1</v>
      </c>
      <c r="Z150" s="2" t="str">
        <f ca="1"/>
        <v>collection.alchemist_hall_3@2</v>
      </c>
      <c r="AA150" s="2" t="str">
        <f ca="1"/>
        <v>collection.gallery_1@2</v>
      </c>
      <c r="AD150" s="2" t="str">
        <f ca="1"/>
        <v>collection.alchemist_hall_3@1</v>
      </c>
      <c r="AE150" s="2" t="str">
        <f ca="1"/>
        <v>collection.gallery_1@2</v>
      </c>
    </row>
    <row r="151" spans="1:31">
      <c r="A151" t="str">
        <f t="shared" ca="1" si="4"/>
        <v>collection.alchemist_hall_3@2</v>
      </c>
      <c r="B151" t="str">
        <f ca="1">_xlfn.XLOOKUP(tblValidation[[#This Row],[TargetID]],tblTargets[TargetID],tblTargets[TargetType],"")</f>
        <v>COLLECTION</v>
      </c>
      <c r="C151" s="48" t="b">
        <f ca="1">COUNTIF(tblTargets[TargetID], $A151) &gt; 0</f>
        <v>1</v>
      </c>
      <c r="D151" s="48" t="b">
        <f ca="1">IF(OR(LEFT(tblValidation[[#This Row],[TargetID]],10)="state.CHAR",RIGHT(tblValidation[[#This Row],[TargetID]],5)="maxed"),TRUE, COUNTIF(tblChecklist[TargetID], $A151) &gt; 0)</f>
        <v>1</v>
      </c>
      <c r="E1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$A151) &gt; 0)</f>
        <v>1</v>
      </c>
      <c r="F151" s="48" t="b">
        <f ca="1">COUNTIF(tblDependencies[DependencyID], $A151) &gt; 0</f>
        <v>0</v>
      </c>
      <c r="G151" s="48" t="b">
        <f ca="1">COUNTIF(tblQuestObjectives[QuestTargetID], $A151) &gt; 0</f>
        <v>0</v>
      </c>
      <c r="H151" s="48" t="b">
        <f ca="1">COUNTIF(tblQuestObjectives[ObjectiveID], $A151) &gt; 0</f>
        <v>0</v>
      </c>
      <c r="I151" s="48" t="b">
        <f ca="1">COUNTIF(tblTargetStatus[TargetID], $A151) &gt; 0</f>
        <v>1</v>
      </c>
      <c r="J151" s="48" t="b">
        <f ca="1">COUNTIF(tblCost[TargetID], $A151) &gt; 0</f>
        <v>1</v>
      </c>
      <c r="K151" s="48" t="b">
        <f ca="1">COUNTIF(tblStates[StateID], $A151) &gt; 0</f>
        <v>0</v>
      </c>
      <c r="L151" s="48" t="b">
        <f t="shared" ca="1" si="5"/>
        <v>1</v>
      </c>
      <c r="M151" s="48" t="b">
        <f ca="1">IF(tblValidation[[#This Row],[TargetID]]="","",COUNTIF(tblTargets[TargetID],A151)&gt;1)</f>
        <v>0</v>
      </c>
      <c r="N151" s="48" t="b">
        <f ca="1">IF(tblValidation[[#This Row],[TargetID]]="","",COUNTIF(tblStates[StateID],tblValidation[[#This Row],[TargetID]])&gt;1)</f>
        <v>0</v>
      </c>
      <c r="O151" s="48" t="b" cm="1">
        <f t="array" aca="1" ref="O1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1" s="48"/>
      <c r="R151" s="48"/>
      <c r="S151" s="48"/>
      <c r="T151" s="48"/>
      <c r="V151" s="2" t="str">
        <f ca="1"/>
        <v>collection.alchemist_hall_3@2</v>
      </c>
      <c r="X151" s="2" t="str">
        <f ca="1"/>
        <v>collection.alchemist_hall_3@2</v>
      </c>
      <c r="Y151" s="2" t="str">
        <f ca="1"/>
        <v>collection.gallery_1@1</v>
      </c>
      <c r="Z151" s="2" t="str">
        <f ca="1"/>
        <v>collection.armory_1@1</v>
      </c>
      <c r="AA151" s="2" t="str">
        <f ca="1"/>
        <v>collection.gallery_1@3</v>
      </c>
      <c r="AD151" s="2" t="str">
        <f ca="1"/>
        <v>collection.alchemist_hall_3@2</v>
      </c>
      <c r="AE151" s="2" t="str">
        <f ca="1"/>
        <v>collection.gallery_1@3</v>
      </c>
    </row>
    <row r="152" spans="1:31">
      <c r="A152" t="str">
        <f t="shared" ca="1" si="4"/>
        <v>collection.armory_1@1</v>
      </c>
      <c r="B152" t="str">
        <f ca="1">_xlfn.XLOOKUP(tblValidation[[#This Row],[TargetID]],tblTargets[TargetID],tblTargets[TargetType],"")</f>
        <v>COLLECTION</v>
      </c>
      <c r="C152" s="48" t="b">
        <f ca="1">COUNTIF(tblTargets[TargetID], $A152) &gt; 0</f>
        <v>1</v>
      </c>
      <c r="D152" s="48" t="b">
        <f ca="1">IF(OR(LEFT(tblValidation[[#This Row],[TargetID]],10)="state.CHAR",RIGHT(tblValidation[[#This Row],[TargetID]],5)="maxed"),TRUE, COUNTIF(tblChecklist[TargetID], $A152) &gt; 0)</f>
        <v>1</v>
      </c>
      <c r="E1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$A152) &gt; 0)</f>
        <v>1</v>
      </c>
      <c r="F152" s="48" t="b">
        <f ca="1">COUNTIF(tblDependencies[DependencyID], $A152) &gt; 0</f>
        <v>1</v>
      </c>
      <c r="G152" s="48" t="b">
        <f ca="1">COUNTIF(tblQuestObjectives[QuestTargetID], $A152) &gt; 0</f>
        <v>0</v>
      </c>
      <c r="H152" s="48" t="b">
        <f ca="1">COUNTIF(tblQuestObjectives[ObjectiveID], $A152) &gt; 0</f>
        <v>0</v>
      </c>
      <c r="I152" s="48" t="b">
        <f ca="1">COUNTIF(tblTargetStatus[TargetID], $A152) &gt; 0</f>
        <v>1</v>
      </c>
      <c r="J152" s="48" t="b">
        <f ca="1">COUNTIF(tblCost[TargetID], $A152) &gt; 0</f>
        <v>1</v>
      </c>
      <c r="K152" s="48" t="b">
        <f ca="1">COUNTIF(tblStates[StateID], $A152) &gt; 0</f>
        <v>0</v>
      </c>
      <c r="L152" s="48" t="b">
        <f t="shared" ca="1" si="5"/>
        <v>1</v>
      </c>
      <c r="M152" s="48" t="b">
        <f ca="1">IF(tblValidation[[#This Row],[TargetID]]="","",COUNTIF(tblTargets[TargetID],A152)&gt;1)</f>
        <v>0</v>
      </c>
      <c r="N152" s="48" t="b">
        <f ca="1">IF(tblValidation[[#This Row],[TargetID]]="","",COUNTIF(tblStates[StateID],tblValidation[[#This Row],[TargetID]])&gt;1)</f>
        <v>0</v>
      </c>
      <c r="O152" s="48" t="b" cm="1">
        <f t="array" aca="1" ref="O1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2" s="48"/>
      <c r="R152" s="48"/>
      <c r="S152" s="48"/>
      <c r="T152" s="48"/>
      <c r="V152" s="2" t="str">
        <f ca="1"/>
        <v>collection.armory_1@1</v>
      </c>
      <c r="X152" s="2" t="str">
        <f ca="1"/>
        <v>collection.armory_1@1</v>
      </c>
      <c r="Y152" s="2" t="str">
        <f ca="1"/>
        <v>collection.gallery_1@2</v>
      </c>
      <c r="Z152" s="2" t="str">
        <f ca="1"/>
        <v>collection.armory_1@2</v>
      </c>
      <c r="AA152" s="2" t="str">
        <f ca="1"/>
        <v>collection.gallery_1@4</v>
      </c>
      <c r="AD152" s="2" t="str">
        <f ca="1"/>
        <v>collection.armory_1@1</v>
      </c>
      <c r="AE152" s="2" t="str">
        <f ca="1"/>
        <v>collection.gallery_1@4</v>
      </c>
    </row>
    <row r="153" spans="1:31">
      <c r="A153" t="str">
        <f t="shared" ca="1" si="4"/>
        <v>collection.armory_1@2</v>
      </c>
      <c r="B153" t="str">
        <f ca="1">_xlfn.XLOOKUP(tblValidation[[#This Row],[TargetID]],tblTargets[TargetID],tblTargets[TargetType],"")</f>
        <v>COLLECTION</v>
      </c>
      <c r="C153" s="48" t="b">
        <f ca="1">COUNTIF(tblTargets[TargetID], $A153) &gt; 0</f>
        <v>1</v>
      </c>
      <c r="D153" s="48" t="b">
        <f ca="1">IF(OR(LEFT(tblValidation[[#This Row],[TargetID]],10)="state.CHAR",RIGHT(tblValidation[[#This Row],[TargetID]],5)="maxed"),TRUE, COUNTIF(tblChecklist[TargetID], $A153) &gt; 0)</f>
        <v>1</v>
      </c>
      <c r="E1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$A153) &gt; 0)</f>
        <v>1</v>
      </c>
      <c r="F153" s="48" t="b">
        <f ca="1">COUNTIF(tblDependencies[DependencyID], $A153) &gt; 0</f>
        <v>1</v>
      </c>
      <c r="G153" s="48" t="b">
        <f ca="1">COUNTIF(tblQuestObjectives[QuestTargetID], $A153) &gt; 0</f>
        <v>0</v>
      </c>
      <c r="H153" s="48" t="b">
        <f ca="1">COUNTIF(tblQuestObjectives[ObjectiveID], $A153) &gt; 0</f>
        <v>0</v>
      </c>
      <c r="I153" s="48" t="b">
        <f ca="1">COUNTIF(tblTargetStatus[TargetID], $A153) &gt; 0</f>
        <v>1</v>
      </c>
      <c r="J153" s="48" t="b">
        <f ca="1">COUNTIF(tblCost[TargetID], $A153) &gt; 0</f>
        <v>1</v>
      </c>
      <c r="K153" s="48" t="b">
        <f ca="1">COUNTIF(tblStates[StateID], $A153) &gt; 0</f>
        <v>0</v>
      </c>
      <c r="L153" s="48" t="b">
        <f t="shared" ca="1" si="5"/>
        <v>1</v>
      </c>
      <c r="M153" s="48" t="b">
        <f ca="1">IF(tblValidation[[#This Row],[TargetID]]="","",COUNTIF(tblTargets[TargetID],A153)&gt;1)</f>
        <v>0</v>
      </c>
      <c r="N153" s="48" t="b">
        <f ca="1">IF(tblValidation[[#This Row],[TargetID]]="","",COUNTIF(tblStates[StateID],tblValidation[[#This Row],[TargetID]])&gt;1)</f>
        <v>0</v>
      </c>
      <c r="O153" s="48" t="b" cm="1">
        <f t="array" aca="1" ref="O1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3" s="48"/>
      <c r="R153" s="48"/>
      <c r="S153" s="48"/>
      <c r="T153" s="48"/>
      <c r="V153" s="2" t="str">
        <f ca="1"/>
        <v>collection.armory_1@2</v>
      </c>
      <c r="X153" s="2" t="str">
        <f ca="1"/>
        <v>collection.armory_1@2</v>
      </c>
      <c r="Y153" s="2" t="str">
        <f ca="1"/>
        <v>collection.gallery_1@3</v>
      </c>
      <c r="Z153" s="2" t="str">
        <f ca="1"/>
        <v>collection.armory_1@3</v>
      </c>
      <c r="AA153" s="2" t="str">
        <f ca="1"/>
        <v>collection.gallery_2@1</v>
      </c>
      <c r="AD153" s="2" t="str">
        <f ca="1"/>
        <v>collection.armory_1@2</v>
      </c>
      <c r="AE153" s="2" t="str">
        <f ca="1"/>
        <v>collection.gallery_1@5</v>
      </c>
    </row>
    <row r="154" spans="1:31">
      <c r="A154" t="str">
        <f t="shared" ca="1" si="4"/>
        <v>collection.armory_1@3</v>
      </c>
      <c r="B154" t="str">
        <f ca="1">_xlfn.XLOOKUP(tblValidation[[#This Row],[TargetID]],tblTargets[TargetID],tblTargets[TargetType],"")</f>
        <v>COLLECTION</v>
      </c>
      <c r="C154" s="48" t="b">
        <f ca="1">COUNTIF(tblTargets[TargetID], $A154) &gt; 0</f>
        <v>1</v>
      </c>
      <c r="D154" s="48" t="b">
        <f ca="1">IF(OR(LEFT(tblValidation[[#This Row],[TargetID]],10)="state.CHAR",RIGHT(tblValidation[[#This Row],[TargetID]],5)="maxed"),TRUE, COUNTIF(tblChecklist[TargetID], $A154) &gt; 0)</f>
        <v>1</v>
      </c>
      <c r="E1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$A154) &gt; 0)</f>
        <v>1</v>
      </c>
      <c r="F154" s="48" t="b">
        <f ca="1">COUNTIF(tblDependencies[DependencyID], $A154) &gt; 0</f>
        <v>0</v>
      </c>
      <c r="G154" s="48" t="b">
        <f ca="1">COUNTIF(tblQuestObjectives[QuestTargetID], $A154) &gt; 0</f>
        <v>0</v>
      </c>
      <c r="H154" s="48" t="b">
        <f ca="1">COUNTIF(tblQuestObjectives[ObjectiveID], $A154) &gt; 0</f>
        <v>0</v>
      </c>
      <c r="I154" s="48" t="b">
        <f ca="1">COUNTIF(tblTargetStatus[TargetID], $A154) &gt; 0</f>
        <v>1</v>
      </c>
      <c r="J154" s="48" t="b">
        <f ca="1">COUNTIF(tblCost[TargetID], $A154) &gt; 0</f>
        <v>1</v>
      </c>
      <c r="K154" s="48" t="b">
        <f ca="1">COUNTIF(tblStates[StateID], $A154) &gt; 0</f>
        <v>0</v>
      </c>
      <c r="L154" s="48" t="b">
        <f t="shared" ca="1" si="5"/>
        <v>1</v>
      </c>
      <c r="M154" s="48" t="b">
        <f ca="1">IF(tblValidation[[#This Row],[TargetID]]="","",COUNTIF(tblTargets[TargetID],A154)&gt;1)</f>
        <v>0</v>
      </c>
      <c r="N154" s="48" t="b">
        <f ca="1">IF(tblValidation[[#This Row],[TargetID]]="","",COUNTIF(tblStates[StateID],tblValidation[[#This Row],[TargetID]])&gt;1)</f>
        <v>0</v>
      </c>
      <c r="O154" s="48" t="b" cm="1">
        <f t="array" aca="1" ref="O1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4" s="48"/>
      <c r="R154" s="48"/>
      <c r="S154" s="48"/>
      <c r="T154" s="48"/>
      <c r="V154" s="2" t="str">
        <f ca="1"/>
        <v>collection.armory_1@3</v>
      </c>
      <c r="X154" s="2" t="str">
        <f ca="1"/>
        <v>collection.armory_1@3</v>
      </c>
      <c r="Y154" s="2" t="str">
        <f ca="1"/>
        <v>collection.gallery_1@4</v>
      </c>
      <c r="Z154" s="2" t="str">
        <f ca="1"/>
        <v>collection.armory_2@1</v>
      </c>
      <c r="AA154" s="2" t="str">
        <f ca="1"/>
        <v>collection.gallery_2@2</v>
      </c>
      <c r="AD154" s="2" t="str">
        <f ca="1"/>
        <v>collection.armory_1@3</v>
      </c>
      <c r="AE154" s="2" t="str">
        <f ca="1"/>
        <v>collection.gallery_2@1</v>
      </c>
    </row>
    <row r="155" spans="1:31">
      <c r="A155" t="str">
        <f t="shared" ca="1" si="4"/>
        <v>collection.armory_2@1</v>
      </c>
      <c r="B155" t="str">
        <f ca="1">_xlfn.XLOOKUP(tblValidation[[#This Row],[TargetID]],tblTargets[TargetID],tblTargets[TargetType],"")</f>
        <v>COLLECTION</v>
      </c>
      <c r="C155" s="48" t="b">
        <f ca="1">COUNTIF(tblTargets[TargetID], $A155) &gt; 0</f>
        <v>1</v>
      </c>
      <c r="D155" s="48" t="b">
        <f ca="1">IF(OR(LEFT(tblValidation[[#This Row],[TargetID]],10)="state.CHAR",RIGHT(tblValidation[[#This Row],[TargetID]],5)="maxed"),TRUE, COUNTIF(tblChecklist[TargetID], $A155) &gt; 0)</f>
        <v>1</v>
      </c>
      <c r="E1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$A155) &gt; 0)</f>
        <v>1</v>
      </c>
      <c r="F155" s="48" t="b">
        <f ca="1">COUNTIF(tblDependencies[DependencyID], $A155) &gt; 0</f>
        <v>0</v>
      </c>
      <c r="G155" s="48" t="b">
        <f ca="1">COUNTIF(tblQuestObjectives[QuestTargetID], $A155) &gt; 0</f>
        <v>0</v>
      </c>
      <c r="H155" s="48" t="b">
        <f ca="1">COUNTIF(tblQuestObjectives[ObjectiveID], $A155) &gt; 0</f>
        <v>0</v>
      </c>
      <c r="I155" s="48" t="b">
        <f ca="1">COUNTIF(tblTargetStatus[TargetID], $A155) &gt; 0</f>
        <v>1</v>
      </c>
      <c r="J155" s="48" t="b">
        <f ca="1">COUNTIF(tblCost[TargetID], $A155) &gt; 0</f>
        <v>1</v>
      </c>
      <c r="K155" s="48" t="b">
        <f ca="1">COUNTIF(tblStates[StateID], $A155) &gt; 0</f>
        <v>0</v>
      </c>
      <c r="L155" s="48" t="b">
        <f t="shared" ca="1" si="5"/>
        <v>1</v>
      </c>
      <c r="M155" s="48" t="b">
        <f ca="1">IF(tblValidation[[#This Row],[TargetID]]="","",COUNTIF(tblTargets[TargetID],A155)&gt;1)</f>
        <v>0</v>
      </c>
      <c r="N155" s="48" t="b">
        <f ca="1">IF(tblValidation[[#This Row],[TargetID]]="","",COUNTIF(tblStates[StateID],tblValidation[[#This Row],[TargetID]])&gt;1)</f>
        <v>0</v>
      </c>
      <c r="O155" s="48" t="b" cm="1">
        <f t="array" aca="1" ref="O1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5" s="48"/>
      <c r="R155" s="48"/>
      <c r="S155" s="48"/>
      <c r="T155" s="48"/>
      <c r="V155" s="2" t="str">
        <f ca="1"/>
        <v>collection.armory_2@1</v>
      </c>
      <c r="X155" s="2" t="str">
        <f ca="1"/>
        <v>collection.armory_2@1</v>
      </c>
      <c r="Y155" s="2" t="str">
        <f ca="1"/>
        <v>collection.gallery_1@5</v>
      </c>
      <c r="Z155" s="2" t="str">
        <f ca="1"/>
        <v>collection.attic@1</v>
      </c>
      <c r="AA155" s="2" t="str">
        <f ca="1"/>
        <v>collection.gallery_2@3</v>
      </c>
      <c r="AD155" s="2" t="str">
        <f ca="1"/>
        <v>collection.armory_2@1</v>
      </c>
      <c r="AE155" s="2" t="str">
        <f ca="1"/>
        <v>collection.gallery_2@2</v>
      </c>
    </row>
    <row r="156" spans="1:31">
      <c r="A156" t="str">
        <f t="shared" ca="1" si="4"/>
        <v>collection.attic@1</v>
      </c>
      <c r="B156" t="str">
        <f ca="1">_xlfn.XLOOKUP(tblValidation[[#This Row],[TargetID]],tblTargets[TargetID],tblTargets[TargetType],"")</f>
        <v>COLLECTION</v>
      </c>
      <c r="C156" s="48" t="b">
        <f ca="1">COUNTIF(tblTargets[TargetID], $A156) &gt; 0</f>
        <v>1</v>
      </c>
      <c r="D156" s="48" t="b">
        <f ca="1">IF(OR(LEFT(tblValidation[[#This Row],[TargetID]],10)="state.CHAR",RIGHT(tblValidation[[#This Row],[TargetID]],5)="maxed"),TRUE, COUNTIF(tblChecklist[TargetID], $A156) &gt; 0)</f>
        <v>1</v>
      </c>
      <c r="E1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$A156) &gt; 0)</f>
        <v>1</v>
      </c>
      <c r="F156" s="48" t="b">
        <f ca="1">COUNTIF(tblDependencies[DependencyID], $A156) &gt; 0</f>
        <v>1</v>
      </c>
      <c r="G156" s="48" t="b">
        <f ca="1">COUNTIF(tblQuestObjectives[QuestTargetID], $A156) &gt; 0</f>
        <v>0</v>
      </c>
      <c r="H156" s="48" t="b">
        <f ca="1">COUNTIF(tblQuestObjectives[ObjectiveID], $A156) &gt; 0</f>
        <v>0</v>
      </c>
      <c r="I156" s="48" t="b">
        <f ca="1">COUNTIF(tblTargetStatus[TargetID], $A156) &gt; 0</f>
        <v>1</v>
      </c>
      <c r="J156" s="48" t="b">
        <f ca="1">COUNTIF(tblCost[TargetID], $A156) &gt; 0</f>
        <v>1</v>
      </c>
      <c r="K156" s="48" t="b">
        <f ca="1">COUNTIF(tblStates[StateID], $A156) &gt; 0</f>
        <v>0</v>
      </c>
      <c r="L156" s="48" t="b">
        <f t="shared" ca="1" si="5"/>
        <v>1</v>
      </c>
      <c r="M156" s="48" t="b">
        <f ca="1">IF(tblValidation[[#This Row],[TargetID]]="","",COUNTIF(tblTargets[TargetID],A156)&gt;1)</f>
        <v>0</v>
      </c>
      <c r="N156" s="48" t="b">
        <f ca="1">IF(tblValidation[[#This Row],[TargetID]]="","",COUNTIF(tblStates[StateID],tblValidation[[#This Row],[TargetID]])&gt;1)</f>
        <v>0</v>
      </c>
      <c r="O156" s="48" t="b" cm="1">
        <f t="array" aca="1" ref="O1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6" s="48"/>
      <c r="R156" s="48"/>
      <c r="S156" s="48"/>
      <c r="T156" s="48"/>
      <c r="V156" s="2" t="str">
        <f ca="1"/>
        <v>collection.attic@1</v>
      </c>
      <c r="X156" s="2" t="str">
        <f ca="1"/>
        <v>collection.attic@1</v>
      </c>
      <c r="Y156" s="2" t="str">
        <f ca="1"/>
        <v>collection.gallery_2@1</v>
      </c>
      <c r="Z156" s="2" t="str">
        <f ca="1"/>
        <v>collection.attic@2</v>
      </c>
      <c r="AA156" s="2" t="str">
        <f ca="1"/>
        <v>collection.gallery_2@4</v>
      </c>
      <c r="AD156" s="2" t="str">
        <f ca="1"/>
        <v>collection.attic@1</v>
      </c>
      <c r="AE156" s="2" t="str">
        <f ca="1"/>
        <v>collection.gallery_2@3</v>
      </c>
    </row>
    <row r="157" spans="1:31">
      <c r="A157" t="str">
        <f t="shared" ca="1" si="4"/>
        <v>collection.attic@2</v>
      </c>
      <c r="B157" t="str">
        <f ca="1">_xlfn.XLOOKUP(tblValidation[[#This Row],[TargetID]],tblTargets[TargetID],tblTargets[TargetType],"")</f>
        <v>COLLECTION</v>
      </c>
      <c r="C157" s="48" t="b">
        <f ca="1">COUNTIF(tblTargets[TargetID], $A157) &gt; 0</f>
        <v>1</v>
      </c>
      <c r="D157" s="48" t="b">
        <f ca="1">IF(OR(LEFT(tblValidation[[#This Row],[TargetID]],10)="state.CHAR",RIGHT(tblValidation[[#This Row],[TargetID]],5)="maxed"),TRUE, COUNTIF(tblChecklist[TargetID], $A157) &gt; 0)</f>
        <v>1</v>
      </c>
      <c r="E1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$A157) &gt; 0)</f>
        <v>1</v>
      </c>
      <c r="F157" s="48" t="b">
        <f ca="1">COUNTIF(tblDependencies[DependencyID], $A157) &gt; 0</f>
        <v>1</v>
      </c>
      <c r="G157" s="48" t="b">
        <f ca="1">COUNTIF(tblQuestObjectives[QuestTargetID], $A157) &gt; 0</f>
        <v>0</v>
      </c>
      <c r="H157" s="48" t="b">
        <f ca="1">COUNTIF(tblQuestObjectives[ObjectiveID], $A157) &gt; 0</f>
        <v>0</v>
      </c>
      <c r="I157" s="48" t="b">
        <f ca="1">COUNTIF(tblTargetStatus[TargetID], $A157) &gt; 0</f>
        <v>1</v>
      </c>
      <c r="J157" s="48" t="b">
        <f ca="1">COUNTIF(tblCost[TargetID], $A157) &gt; 0</f>
        <v>1</v>
      </c>
      <c r="K157" s="48" t="b">
        <f ca="1">COUNTIF(tblStates[StateID], $A157) &gt; 0</f>
        <v>0</v>
      </c>
      <c r="L157" s="48" t="b">
        <f t="shared" ca="1" si="5"/>
        <v>1</v>
      </c>
      <c r="M157" s="48" t="b">
        <f ca="1">IF(tblValidation[[#This Row],[TargetID]]="","",COUNTIF(tblTargets[TargetID],A157)&gt;1)</f>
        <v>0</v>
      </c>
      <c r="N157" s="48" t="b">
        <f ca="1">IF(tblValidation[[#This Row],[TargetID]]="","",COUNTIF(tblStates[StateID],tblValidation[[#This Row],[TargetID]])&gt;1)</f>
        <v>0</v>
      </c>
      <c r="O157" s="48" t="b" cm="1">
        <f t="array" aca="1" ref="O1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7" s="48"/>
      <c r="R157" s="48"/>
      <c r="S157" s="48"/>
      <c r="T157" s="48"/>
      <c r="V157" s="2" t="str">
        <f ca="1"/>
        <v>collection.attic@2</v>
      </c>
      <c r="X157" s="2" t="str">
        <f ca="1"/>
        <v>collection.attic@2</v>
      </c>
      <c r="Y157" s="2" t="str">
        <f ca="1"/>
        <v>collection.gallery_2@2</v>
      </c>
      <c r="Z157" s="2" t="str">
        <f ca="1"/>
        <v>collection.attic@3</v>
      </c>
      <c r="AA157" s="2" t="str">
        <f ca="1"/>
        <v>collection.gallery_3@1</v>
      </c>
      <c r="AD157" s="2" t="str">
        <f ca="1"/>
        <v>collection.attic@2</v>
      </c>
      <c r="AE157" s="2" t="str">
        <f ca="1"/>
        <v>collection.gallery_2@4</v>
      </c>
    </row>
    <row r="158" spans="1:31">
      <c r="A158" t="str">
        <f t="shared" ca="1" si="4"/>
        <v>collection.attic@3</v>
      </c>
      <c r="B158" t="str">
        <f ca="1">_xlfn.XLOOKUP(tblValidation[[#This Row],[TargetID]],tblTargets[TargetID],tblTargets[TargetType],"")</f>
        <v>COLLECTION</v>
      </c>
      <c r="C158" s="48" t="b">
        <f ca="1">COUNTIF(tblTargets[TargetID], $A158) &gt; 0</f>
        <v>1</v>
      </c>
      <c r="D158" s="48" t="b">
        <f ca="1">IF(OR(LEFT(tblValidation[[#This Row],[TargetID]],10)="state.CHAR",RIGHT(tblValidation[[#This Row],[TargetID]],5)="maxed"),TRUE, COUNTIF(tblChecklist[TargetID], $A158) &gt; 0)</f>
        <v>1</v>
      </c>
      <c r="E1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$A158) &gt; 0)</f>
        <v>1</v>
      </c>
      <c r="F158" s="48" t="b">
        <f ca="1">COUNTIF(tblDependencies[DependencyID], $A158) &gt; 0</f>
        <v>1</v>
      </c>
      <c r="G158" s="48" t="b">
        <f ca="1">COUNTIF(tblQuestObjectives[QuestTargetID], $A158) &gt; 0</f>
        <v>0</v>
      </c>
      <c r="H158" s="48" t="b">
        <f ca="1">COUNTIF(tblQuestObjectives[ObjectiveID], $A158) &gt; 0</f>
        <v>0</v>
      </c>
      <c r="I158" s="48" t="b">
        <f ca="1">COUNTIF(tblTargetStatus[TargetID], $A158) &gt; 0</f>
        <v>1</v>
      </c>
      <c r="J158" s="48" t="b">
        <f ca="1">COUNTIF(tblCost[TargetID], $A158) &gt; 0</f>
        <v>1</v>
      </c>
      <c r="K158" s="48" t="b">
        <f ca="1">COUNTIF(tblStates[StateID], $A158) &gt; 0</f>
        <v>0</v>
      </c>
      <c r="L158" s="48" t="b">
        <f t="shared" ca="1" si="5"/>
        <v>1</v>
      </c>
      <c r="M158" s="48" t="b">
        <f ca="1">IF(tblValidation[[#This Row],[TargetID]]="","",COUNTIF(tblTargets[TargetID],A158)&gt;1)</f>
        <v>0</v>
      </c>
      <c r="N158" s="48" t="b">
        <f ca="1">IF(tblValidation[[#This Row],[TargetID]]="","",COUNTIF(tblStates[StateID],tblValidation[[#This Row],[TargetID]])&gt;1)</f>
        <v>0</v>
      </c>
      <c r="O158" s="48" t="b" cm="1">
        <f t="array" aca="1" ref="O1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8" s="48"/>
      <c r="R158" s="48"/>
      <c r="S158" s="48"/>
      <c r="T158" s="48"/>
      <c r="V158" s="2" t="str">
        <f ca="1"/>
        <v>collection.attic@3</v>
      </c>
      <c r="X158" s="2" t="str">
        <f ca="1"/>
        <v>collection.attic@3</v>
      </c>
      <c r="Y158" s="2" t="str">
        <f ca="1"/>
        <v>collection.gallery_2@3</v>
      </c>
      <c r="Z158" s="2" t="str">
        <f ca="1"/>
        <v>collection.attic@4</v>
      </c>
      <c r="AA158" s="2" t="str">
        <f ca="1"/>
        <v>collection.gallery_3@2</v>
      </c>
      <c r="AD158" s="2" t="str">
        <f ca="1"/>
        <v>collection.attic@3</v>
      </c>
      <c r="AE158" s="2" t="str">
        <f ca="1"/>
        <v>collection.gallery_2@5</v>
      </c>
    </row>
    <row r="159" spans="1:31">
      <c r="A159" t="str">
        <f t="shared" ca="1" si="4"/>
        <v>collection.attic@4</v>
      </c>
      <c r="B159" t="str">
        <f ca="1">_xlfn.XLOOKUP(tblValidation[[#This Row],[TargetID]],tblTargets[TargetID],tblTargets[TargetType],"")</f>
        <v>COLLECTION</v>
      </c>
      <c r="C159" s="48" t="b">
        <f ca="1">COUNTIF(tblTargets[TargetID], $A159) &gt; 0</f>
        <v>1</v>
      </c>
      <c r="D159" s="48" t="b">
        <f ca="1">IF(OR(LEFT(tblValidation[[#This Row],[TargetID]],10)="state.CHAR",RIGHT(tblValidation[[#This Row],[TargetID]],5)="maxed"),TRUE, COUNTIF(tblChecklist[TargetID], $A159) &gt; 0)</f>
        <v>1</v>
      </c>
      <c r="E1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$A159) &gt; 0)</f>
        <v>1</v>
      </c>
      <c r="F159" s="48" t="b">
        <f ca="1">COUNTIF(tblDependencies[DependencyID], $A159) &gt; 0</f>
        <v>1</v>
      </c>
      <c r="G159" s="48" t="b">
        <f ca="1">COUNTIF(tblQuestObjectives[QuestTargetID], $A159) &gt; 0</f>
        <v>0</v>
      </c>
      <c r="H159" s="48" t="b">
        <f ca="1">COUNTIF(tblQuestObjectives[ObjectiveID], $A159) &gt; 0</f>
        <v>0</v>
      </c>
      <c r="I159" s="48" t="b">
        <f ca="1">COUNTIF(tblTargetStatus[TargetID], $A159) &gt; 0</f>
        <v>1</v>
      </c>
      <c r="J159" s="48" t="b">
        <f ca="1">COUNTIF(tblCost[TargetID], $A159) &gt; 0</f>
        <v>1</v>
      </c>
      <c r="K159" s="48" t="b">
        <f ca="1">COUNTIF(tblStates[StateID], $A159) &gt; 0</f>
        <v>0</v>
      </c>
      <c r="L159" s="48" t="b">
        <f t="shared" ca="1" si="5"/>
        <v>1</v>
      </c>
      <c r="M159" s="48" t="b">
        <f ca="1">IF(tblValidation[[#This Row],[TargetID]]="","",COUNTIF(tblTargets[TargetID],A159)&gt;1)</f>
        <v>0</v>
      </c>
      <c r="N159" s="48" t="b">
        <f ca="1">IF(tblValidation[[#This Row],[TargetID]]="","",COUNTIF(tblStates[StateID],tblValidation[[#This Row],[TargetID]])&gt;1)</f>
        <v>0</v>
      </c>
      <c r="O159" s="48" t="b" cm="1">
        <f t="array" aca="1" ref="O1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9" s="48"/>
      <c r="R159" s="48"/>
      <c r="S159" s="48"/>
      <c r="T159" s="48"/>
      <c r="V159" s="2" t="str">
        <f ca="1"/>
        <v>collection.attic@4</v>
      </c>
      <c r="X159" s="2" t="str">
        <f ca="1"/>
        <v>collection.attic@4</v>
      </c>
      <c r="Y159" s="2" t="str">
        <f ca="1"/>
        <v>collection.gallery_2@4</v>
      </c>
      <c r="Z159" s="2" t="str">
        <f ca="1"/>
        <v>collection.attic@5</v>
      </c>
      <c r="AA159" s="2" t="str">
        <f ca="1"/>
        <v>collection.gallery_3@3</v>
      </c>
      <c r="AD159" s="2" t="str">
        <f ca="1"/>
        <v>collection.attic@4</v>
      </c>
      <c r="AE159" s="2" t="str">
        <f ca="1"/>
        <v>collection.gallery_3@1</v>
      </c>
    </row>
    <row r="160" spans="1:31">
      <c r="A160" t="str">
        <f t="shared" ca="1" si="4"/>
        <v>collection.attic@5</v>
      </c>
      <c r="B160" t="str">
        <f ca="1">_xlfn.XLOOKUP(tblValidation[[#This Row],[TargetID]],tblTargets[TargetID],tblTargets[TargetType],"")</f>
        <v>COLLECTION</v>
      </c>
      <c r="C160" s="48" t="b">
        <f ca="1">COUNTIF(tblTargets[TargetID], $A160) &gt; 0</f>
        <v>1</v>
      </c>
      <c r="D160" s="48" t="b">
        <f ca="1">IF(OR(LEFT(tblValidation[[#This Row],[TargetID]],10)="state.CHAR",RIGHT(tblValidation[[#This Row],[TargetID]],5)="maxed"),TRUE, COUNTIF(tblChecklist[TargetID], $A160) &gt; 0)</f>
        <v>1</v>
      </c>
      <c r="E1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$A160) &gt; 0)</f>
        <v>1</v>
      </c>
      <c r="F160" s="48" t="b">
        <f ca="1">COUNTIF(tblDependencies[DependencyID], $A160) &gt; 0</f>
        <v>0</v>
      </c>
      <c r="G160" s="48" t="b">
        <f ca="1">COUNTIF(tblQuestObjectives[QuestTargetID], $A160) &gt; 0</f>
        <v>0</v>
      </c>
      <c r="H160" s="48" t="b">
        <f ca="1">COUNTIF(tblQuestObjectives[ObjectiveID], $A160) &gt; 0</f>
        <v>0</v>
      </c>
      <c r="I160" s="48" t="b">
        <f ca="1">COUNTIF(tblTargetStatus[TargetID], $A160) &gt; 0</f>
        <v>1</v>
      </c>
      <c r="J160" s="48" t="b">
        <f ca="1">COUNTIF(tblCost[TargetID], $A160) &gt; 0</f>
        <v>1</v>
      </c>
      <c r="K160" s="48" t="b">
        <f ca="1">COUNTIF(tblStates[StateID], $A160) &gt; 0</f>
        <v>0</v>
      </c>
      <c r="L160" s="48" t="b">
        <f t="shared" ca="1" si="5"/>
        <v>1</v>
      </c>
      <c r="M160" s="48" t="b">
        <f ca="1">IF(tblValidation[[#This Row],[TargetID]]="","",COUNTIF(tblTargets[TargetID],A160)&gt;1)</f>
        <v>0</v>
      </c>
      <c r="N160" s="48" t="b">
        <f ca="1">IF(tblValidation[[#This Row],[TargetID]]="","",COUNTIF(tblStates[StateID],tblValidation[[#This Row],[TargetID]])&gt;1)</f>
        <v>0</v>
      </c>
      <c r="O160" s="48" t="b" cm="1">
        <f t="array" aca="1" ref="O1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0" s="48"/>
      <c r="R160" s="48"/>
      <c r="S160" s="48"/>
      <c r="T160" s="48"/>
      <c r="V160" s="2" t="str">
        <f ca="1"/>
        <v>collection.attic@5</v>
      </c>
      <c r="X160" s="2" t="str">
        <f ca="1"/>
        <v>collection.attic@5</v>
      </c>
      <c r="Y160" s="2" t="str">
        <f ca="1"/>
        <v>collection.gallery_2@5</v>
      </c>
      <c r="Z160" s="2" t="str">
        <f ca="1"/>
        <v>collection.bone_dragon@1</v>
      </c>
      <c r="AA160" s="2" t="str">
        <f ca="1"/>
        <v>collection.gallery_3@4</v>
      </c>
      <c r="AD160" s="2" t="str">
        <f ca="1"/>
        <v>collection.attic@5</v>
      </c>
      <c r="AE160" s="2" t="str">
        <f ca="1"/>
        <v>collection.gallery_3@2</v>
      </c>
    </row>
    <row r="161" spans="1:31">
      <c r="A161" t="str">
        <f t="shared" ca="1" si="4"/>
        <v>collection.bone_dragon@1</v>
      </c>
      <c r="B161" t="str">
        <f ca="1">_xlfn.XLOOKUP(tblValidation[[#This Row],[TargetID]],tblTargets[TargetID],tblTargets[TargetType],"")</f>
        <v>COLLECTION</v>
      </c>
      <c r="C161" s="48" t="b">
        <f ca="1">COUNTIF(tblTargets[TargetID], $A161) &gt; 0</f>
        <v>1</v>
      </c>
      <c r="D161" s="48" t="b">
        <f ca="1">IF(OR(LEFT(tblValidation[[#This Row],[TargetID]],10)="state.CHAR",RIGHT(tblValidation[[#This Row],[TargetID]],5)="maxed"),TRUE, COUNTIF(tblChecklist[TargetID], $A161) &gt; 0)</f>
        <v>1</v>
      </c>
      <c r="E1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$A161) &gt; 0)</f>
        <v>1</v>
      </c>
      <c r="F161" s="48" t="b">
        <f ca="1">COUNTIF(tblDependencies[DependencyID], $A161) &gt; 0</f>
        <v>1</v>
      </c>
      <c r="G161" s="48" t="b">
        <f ca="1">COUNTIF(tblQuestObjectives[QuestTargetID], $A161) &gt; 0</f>
        <v>0</v>
      </c>
      <c r="H161" s="48" t="b">
        <f ca="1">COUNTIF(tblQuestObjectives[ObjectiveID], $A161) &gt; 0</f>
        <v>1</v>
      </c>
      <c r="I161" s="48" t="b">
        <f ca="1">COUNTIF(tblTargetStatus[TargetID], $A161) &gt; 0</f>
        <v>1</v>
      </c>
      <c r="J161" s="48" t="b">
        <f ca="1">COUNTIF(tblCost[TargetID], $A161) &gt; 0</f>
        <v>1</v>
      </c>
      <c r="K161" s="48" t="b">
        <f ca="1">COUNTIF(tblStates[StateID], $A161) &gt; 0</f>
        <v>0</v>
      </c>
      <c r="L161" s="48" t="b">
        <f t="shared" ca="1" si="5"/>
        <v>1</v>
      </c>
      <c r="M161" s="48" t="b">
        <f ca="1">IF(tblValidation[[#This Row],[TargetID]]="","",COUNTIF(tblTargets[TargetID],A161)&gt;1)</f>
        <v>0</v>
      </c>
      <c r="N161" s="48" t="b">
        <f ca="1">IF(tblValidation[[#This Row],[TargetID]]="","",COUNTIF(tblStates[StateID],tblValidation[[#This Row],[TargetID]])&gt;1)</f>
        <v>0</v>
      </c>
      <c r="O161" s="48" t="b" cm="1">
        <f t="array" aca="1" ref="O1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1" s="48"/>
      <c r="R161" s="48"/>
      <c r="S161" s="48"/>
      <c r="T161" s="48"/>
      <c r="V161" s="2" t="str">
        <f ca="1"/>
        <v>collection.bone_dragon@1</v>
      </c>
      <c r="X161" s="2" t="str">
        <f ca="1"/>
        <v>collection.bone_dragon@1</v>
      </c>
      <c r="Y161" s="2" t="str">
        <f ca="1"/>
        <v>collection.gallery_3@1</v>
      </c>
      <c r="Z161" s="2" t="str">
        <f ca="1"/>
        <v>collection.bone_dragon@2</v>
      </c>
      <c r="AA161" s="2" t="str">
        <f ca="1"/>
        <v>collection.historical_library_1@1</v>
      </c>
      <c r="AD161" s="2" t="str">
        <f ca="1"/>
        <v>collection.bone_dragon@1</v>
      </c>
      <c r="AE161" s="2" t="str">
        <f ca="1"/>
        <v>collection.gallery_3@3</v>
      </c>
    </row>
    <row r="162" spans="1:31" ht="29">
      <c r="A162" t="str">
        <f t="shared" ca="1" si="4"/>
        <v>collection.bone_dragon@2</v>
      </c>
      <c r="B162" t="str">
        <f ca="1">_xlfn.XLOOKUP(tblValidation[[#This Row],[TargetID]],tblTargets[TargetID],tblTargets[TargetType],"")</f>
        <v>COLLECTION</v>
      </c>
      <c r="C162" s="48" t="b">
        <f ca="1">COUNTIF(tblTargets[TargetID], $A162) &gt; 0</f>
        <v>1</v>
      </c>
      <c r="D162" s="48" t="b">
        <f ca="1">IF(OR(LEFT(tblValidation[[#This Row],[TargetID]],10)="state.CHAR",RIGHT(tblValidation[[#This Row],[TargetID]],5)="maxed"),TRUE, COUNTIF(tblChecklist[TargetID], $A162) &gt; 0)</f>
        <v>1</v>
      </c>
      <c r="E1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$A162) &gt; 0)</f>
        <v>1</v>
      </c>
      <c r="F162" s="48" t="b">
        <f ca="1">COUNTIF(tblDependencies[DependencyID], $A162) &gt; 0</f>
        <v>0</v>
      </c>
      <c r="G162" s="48" t="b">
        <f ca="1">COUNTIF(tblQuestObjectives[QuestTargetID], $A162) &gt; 0</f>
        <v>0</v>
      </c>
      <c r="H162" s="48" t="b">
        <f ca="1">COUNTIF(tblQuestObjectives[ObjectiveID], $A162) &gt; 0</f>
        <v>0</v>
      </c>
      <c r="I162" s="48" t="b">
        <f ca="1">COUNTIF(tblTargetStatus[TargetID], $A162) &gt; 0</f>
        <v>1</v>
      </c>
      <c r="J162" s="48" t="b">
        <f ca="1">COUNTIF(tblCost[TargetID], $A162) &gt; 0</f>
        <v>1</v>
      </c>
      <c r="K162" s="48" t="b">
        <f ca="1">COUNTIF(tblStates[StateID], $A162) &gt; 0</f>
        <v>0</v>
      </c>
      <c r="L162" s="48" t="b">
        <f t="shared" ca="1" si="5"/>
        <v>1</v>
      </c>
      <c r="M162" s="48" t="b">
        <f ca="1">IF(tblValidation[[#This Row],[TargetID]]="","",COUNTIF(tblTargets[TargetID],A162)&gt;1)</f>
        <v>0</v>
      </c>
      <c r="N162" s="48" t="b">
        <f ca="1">IF(tblValidation[[#This Row],[TargetID]]="","",COUNTIF(tblStates[StateID],tblValidation[[#This Row],[TargetID]])&gt;1)</f>
        <v>0</v>
      </c>
      <c r="O162" s="48" t="b" cm="1">
        <f t="array" aca="1" ref="O1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2" s="48"/>
      <c r="R162" s="48"/>
      <c r="S162" s="48"/>
      <c r="T162" s="48"/>
      <c r="V162" s="2" t="str">
        <f ca="1"/>
        <v>collection.bone_dragon@2</v>
      </c>
      <c r="W162" s="48"/>
      <c r="X162" s="48" t="str">
        <f ca="1"/>
        <v>collection.bone_dragon@2</v>
      </c>
      <c r="Y162" s="48" t="str">
        <f ca="1"/>
        <v>collection.gallery_3@2</v>
      </c>
      <c r="Z162" s="48" t="str">
        <f ca="1"/>
        <v>collection.broken_lever@1</v>
      </c>
      <c r="AA162" s="48" t="str">
        <f ca="1"/>
        <v>collection.historical_library_1@2</v>
      </c>
      <c r="AB162" s="48"/>
      <c r="AC162" s="48"/>
      <c r="AD162" s="2" t="str">
        <f ca="1"/>
        <v>collection.bone_dragon@2</v>
      </c>
      <c r="AE162" s="2" t="str">
        <f ca="1"/>
        <v>collection.gallery_3@4</v>
      </c>
    </row>
    <row r="163" spans="1:31" ht="29">
      <c r="A163" t="str">
        <f t="shared" ca="1" si="4"/>
        <v>collection.broken_lever@1</v>
      </c>
      <c r="B163" t="str">
        <f ca="1">_xlfn.XLOOKUP(tblValidation[[#This Row],[TargetID]],tblTargets[TargetID],tblTargets[TargetType],"")</f>
        <v>COLLECTION</v>
      </c>
      <c r="C163" s="48" t="b">
        <f ca="1">COUNTIF(tblTargets[TargetID], $A163) &gt; 0</f>
        <v>1</v>
      </c>
      <c r="D163" s="48" t="b">
        <f ca="1">IF(OR(LEFT(tblValidation[[#This Row],[TargetID]],10)="state.CHAR",RIGHT(tblValidation[[#This Row],[TargetID]],5)="maxed"),TRUE, COUNTIF(tblChecklist[TargetID], $A163) &gt; 0)</f>
        <v>1</v>
      </c>
      <c r="E1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$A163) &gt; 0)</f>
        <v>1</v>
      </c>
      <c r="F163" s="48" t="b">
        <f ca="1">COUNTIF(tblDependencies[DependencyID], $A163) &gt; 0</f>
        <v>1</v>
      </c>
      <c r="G163" s="48" t="b">
        <f ca="1">COUNTIF(tblQuestObjectives[QuestTargetID], $A163) &gt; 0</f>
        <v>0</v>
      </c>
      <c r="H163" s="48" t="b">
        <f ca="1">COUNTIF(tblQuestObjectives[ObjectiveID], $A163) &gt; 0</f>
        <v>1</v>
      </c>
      <c r="I163" s="48" t="b">
        <f ca="1">COUNTIF(tblTargetStatus[TargetID], $A163) &gt; 0</f>
        <v>1</v>
      </c>
      <c r="J163" s="48" t="b">
        <f ca="1">COUNTIF(tblCost[TargetID], $A163) &gt; 0</f>
        <v>1</v>
      </c>
      <c r="K163" s="48" t="b">
        <f ca="1">COUNTIF(tblStates[StateID], $A163) &gt; 0</f>
        <v>0</v>
      </c>
      <c r="L163" s="48" t="b">
        <f t="shared" ca="1" si="5"/>
        <v>1</v>
      </c>
      <c r="M163" s="48" t="b">
        <f ca="1">IF(tblValidation[[#This Row],[TargetID]]="","",COUNTIF(tblTargets[TargetID],A163)&gt;1)</f>
        <v>0</v>
      </c>
      <c r="N163" s="48" t="b">
        <f ca="1">IF(tblValidation[[#This Row],[TargetID]]="","",COUNTIF(tblStates[StateID],tblValidation[[#This Row],[TargetID]])&gt;1)</f>
        <v>0</v>
      </c>
      <c r="O163" s="48" t="b" cm="1">
        <f t="array" aca="1" ref="O1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3" s="48"/>
      <c r="R163" s="48"/>
      <c r="S163" s="48"/>
      <c r="T163" s="48"/>
      <c r="V163" s="2" t="str">
        <f ca="1"/>
        <v>collection.broken_lever@1</v>
      </c>
      <c r="W163" s="48"/>
      <c r="X163" s="48" t="str">
        <f ca="1"/>
        <v>collection.broken_lever@1</v>
      </c>
      <c r="Y163" s="48" t="str">
        <f ca="1"/>
        <v>collection.gallery_3@3</v>
      </c>
      <c r="Z163" s="48" t="str">
        <f ca="1"/>
        <v>collection.broken_minecart@1</v>
      </c>
      <c r="AA163" s="48" t="str">
        <f ca="1"/>
        <v>collection.historical_library_2@1</v>
      </c>
      <c r="AB163" s="48"/>
      <c r="AC163" s="48"/>
      <c r="AD163" s="2" t="str">
        <f ca="1"/>
        <v>collection.broken_lever@1</v>
      </c>
      <c r="AE163" s="2" t="str">
        <f ca="1"/>
        <v>collection.gallery_3@5</v>
      </c>
    </row>
    <row r="164" spans="1:31" ht="29">
      <c r="A164" t="str">
        <f t="shared" ca="1" si="4"/>
        <v>collection.broken_minecart@1</v>
      </c>
      <c r="B164" t="str">
        <f ca="1">_xlfn.XLOOKUP(tblValidation[[#This Row],[TargetID]],tblTargets[TargetID],tblTargets[TargetType],"")</f>
        <v>COLLECTION</v>
      </c>
      <c r="C164" s="48" t="b">
        <f ca="1">COUNTIF(tblTargets[TargetID], $A164) &gt; 0</f>
        <v>1</v>
      </c>
      <c r="D164" s="48" t="b">
        <f ca="1">IF(OR(LEFT(tblValidation[[#This Row],[TargetID]],10)="state.CHAR",RIGHT(tblValidation[[#This Row],[TargetID]],5)="maxed"),TRUE, COUNTIF(tblChecklist[TargetID], $A164) &gt; 0)</f>
        <v>1</v>
      </c>
      <c r="E1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$A164) &gt; 0)</f>
        <v>1</v>
      </c>
      <c r="F164" s="48" t="b">
        <f ca="1">COUNTIF(tblDependencies[DependencyID], $A164) &gt; 0</f>
        <v>1</v>
      </c>
      <c r="G164" s="48" t="b">
        <f ca="1">COUNTIF(tblQuestObjectives[QuestTargetID], $A164) &gt; 0</f>
        <v>0</v>
      </c>
      <c r="H164" s="48" t="b">
        <f ca="1">COUNTIF(tblQuestObjectives[ObjectiveID], $A164) &gt; 0</f>
        <v>1</v>
      </c>
      <c r="I164" s="48" t="b">
        <f ca="1">COUNTIF(tblTargetStatus[TargetID], $A164) &gt; 0</f>
        <v>1</v>
      </c>
      <c r="J164" s="48" t="b">
        <f ca="1">COUNTIF(tblCost[TargetID], $A164) &gt; 0</f>
        <v>1</v>
      </c>
      <c r="K164" s="48" t="b">
        <f ca="1">COUNTIF(tblStates[StateID], $A164) &gt; 0</f>
        <v>0</v>
      </c>
      <c r="L164" s="48" t="b">
        <f t="shared" ca="1" si="5"/>
        <v>1</v>
      </c>
      <c r="M164" s="48" t="b">
        <f ca="1">IF(tblValidation[[#This Row],[TargetID]]="","",COUNTIF(tblTargets[TargetID],A164)&gt;1)</f>
        <v>0</v>
      </c>
      <c r="N164" s="48" t="b">
        <f ca="1">IF(tblValidation[[#This Row],[TargetID]]="","",COUNTIF(tblStates[StateID],tblValidation[[#This Row],[TargetID]])&gt;1)</f>
        <v>0</v>
      </c>
      <c r="O164" s="48" t="b" cm="1">
        <f t="array" aca="1" ref="O1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4" s="48"/>
      <c r="R164" s="48"/>
      <c r="S164" s="48"/>
      <c r="T164" s="48"/>
      <c r="V164" s="2" t="str">
        <f ca="1"/>
        <v>collection.broken_minecart@1</v>
      </c>
      <c r="W164" s="48"/>
      <c r="X164" s="48" t="str">
        <f ca="1"/>
        <v>collection.broken_minecart@1</v>
      </c>
      <c r="Y164" s="48" t="str">
        <f ca="1"/>
        <v>collection.gallery_3@4</v>
      </c>
      <c r="Z164" s="48" t="str">
        <f ca="1"/>
        <v>collection.cave_in_alchemist_hall@1</v>
      </c>
      <c r="AA164" s="48" t="str">
        <f ca="1"/>
        <v>collection.historical_library_2@2</v>
      </c>
      <c r="AB164" s="48"/>
      <c r="AC164" s="48"/>
      <c r="AD164" s="2" t="str">
        <f ca="1"/>
        <v>collection.broken_minecart@1</v>
      </c>
      <c r="AE164" s="2" t="str">
        <f ca="1"/>
        <v>collection.historical_library_1@1</v>
      </c>
    </row>
    <row r="165" spans="1:31" ht="29">
      <c r="A165" t="str">
        <f t="shared" ca="1" si="4"/>
        <v>collection.cave_in_alchemist_hall@1</v>
      </c>
      <c r="B165" t="str">
        <f ca="1">_xlfn.XLOOKUP(tblValidation[[#This Row],[TargetID]],tblTargets[TargetID],tblTargets[TargetType],"")</f>
        <v>COLLECTION</v>
      </c>
      <c r="C165" s="48" t="b">
        <f ca="1">COUNTIF(tblTargets[TargetID], $A165) &gt; 0</f>
        <v>1</v>
      </c>
      <c r="D165" s="48" t="b">
        <f ca="1">IF(OR(LEFT(tblValidation[[#This Row],[TargetID]],10)="state.CHAR",RIGHT(tblValidation[[#This Row],[TargetID]],5)="maxed"),TRUE, COUNTIF(tblChecklist[TargetID], $A165) &gt; 0)</f>
        <v>1</v>
      </c>
      <c r="E1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$A165) &gt; 0)</f>
        <v>1</v>
      </c>
      <c r="F165" s="48" t="b">
        <f ca="1">COUNTIF(tblDependencies[DependencyID], $A165) &gt; 0</f>
        <v>1</v>
      </c>
      <c r="G165" s="48" t="b">
        <f ca="1">COUNTIF(tblQuestObjectives[QuestTargetID], $A165) &gt; 0</f>
        <v>0</v>
      </c>
      <c r="H165" s="48" t="b">
        <f ca="1">COUNTIF(tblQuestObjectives[ObjectiveID], $A165) &gt; 0</f>
        <v>1</v>
      </c>
      <c r="I165" s="48" t="b">
        <f ca="1">COUNTIF(tblTargetStatus[TargetID], $A165) &gt; 0</f>
        <v>1</v>
      </c>
      <c r="J165" s="48" t="b">
        <f ca="1">COUNTIF(tblCost[TargetID], $A165) &gt; 0</f>
        <v>1</v>
      </c>
      <c r="K165" s="48" t="b">
        <f ca="1">COUNTIF(tblStates[StateID], $A165) &gt; 0</f>
        <v>0</v>
      </c>
      <c r="L165" s="48" t="b">
        <f t="shared" ca="1" si="5"/>
        <v>1</v>
      </c>
      <c r="M165" s="48" t="b">
        <f ca="1">IF(tblValidation[[#This Row],[TargetID]]="","",COUNTIF(tblTargets[TargetID],A165)&gt;1)</f>
        <v>0</v>
      </c>
      <c r="N165" s="48" t="b">
        <f ca="1">IF(tblValidation[[#This Row],[TargetID]]="","",COUNTIF(tblStates[StateID],tblValidation[[#This Row],[TargetID]])&gt;1)</f>
        <v>0</v>
      </c>
      <c r="O165" s="48" t="b" cm="1">
        <f t="array" aca="1" ref="O1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5" s="48"/>
      <c r="R165" s="48"/>
      <c r="S165" s="48"/>
      <c r="T165" s="48"/>
      <c r="V165" s="2" t="str">
        <f ca="1"/>
        <v>collection.cave_in_alchemist_hall@1</v>
      </c>
      <c r="W165" s="48"/>
      <c r="X165" s="48" t="str">
        <f ca="1"/>
        <v>collection.cave_in_alchemist_hall@1</v>
      </c>
      <c r="Y165" s="48" t="str">
        <f ca="1"/>
        <v>collection.gallery_3@5</v>
      </c>
      <c r="Z165" s="48" t="str">
        <f ca="1"/>
        <v>collection.cave_in_bone_dragon@1</v>
      </c>
      <c r="AA165" s="48" t="str">
        <f ca="1"/>
        <v>collection.kitchen_and_buttery_1@1</v>
      </c>
      <c r="AB165" s="48"/>
      <c r="AC165" s="48"/>
      <c r="AD165" s="2" t="str">
        <f ca="1"/>
        <v>collection.cave_in_alchemist_hall@1</v>
      </c>
      <c r="AE165" s="2" t="str">
        <f ca="1"/>
        <v>collection.historical_library_1@2</v>
      </c>
    </row>
    <row r="166" spans="1:31" ht="29">
      <c r="A166" t="str">
        <f t="shared" ca="1" si="4"/>
        <v>collection.cave_in_bone_dragon@1</v>
      </c>
      <c r="B166" t="str">
        <f ca="1">_xlfn.XLOOKUP(tblValidation[[#This Row],[TargetID]],tblTargets[TargetID],tblTargets[TargetType],"")</f>
        <v>COLLECTION</v>
      </c>
      <c r="C166" s="48" t="b">
        <f ca="1">COUNTIF(tblTargets[TargetID], $A166) &gt; 0</f>
        <v>1</v>
      </c>
      <c r="D166" s="48" t="b">
        <f ca="1">IF(OR(LEFT(tblValidation[[#This Row],[TargetID]],10)="state.CHAR",RIGHT(tblValidation[[#This Row],[TargetID]],5)="maxed"),TRUE, COUNTIF(tblChecklist[TargetID], $A166) &gt; 0)</f>
        <v>1</v>
      </c>
      <c r="E1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$A166) &gt; 0)</f>
        <v>1</v>
      </c>
      <c r="F166" s="48" t="b">
        <f ca="1">COUNTIF(tblDependencies[DependencyID], $A166) &gt; 0</f>
        <v>1</v>
      </c>
      <c r="G166" s="48" t="b">
        <f ca="1">COUNTIF(tblQuestObjectives[QuestTargetID], $A166) &gt; 0</f>
        <v>0</v>
      </c>
      <c r="H166" s="48" t="b">
        <f ca="1">COUNTIF(tblQuestObjectives[ObjectiveID], $A166) &gt; 0</f>
        <v>1</v>
      </c>
      <c r="I166" s="48" t="b">
        <f ca="1">COUNTIF(tblTargetStatus[TargetID], $A166) &gt; 0</f>
        <v>1</v>
      </c>
      <c r="J166" s="48" t="b">
        <f ca="1">COUNTIF(tblCost[TargetID], $A166) &gt; 0</f>
        <v>1</v>
      </c>
      <c r="K166" s="48" t="b">
        <f ca="1">COUNTIF(tblStates[StateID], $A166) &gt; 0</f>
        <v>0</v>
      </c>
      <c r="L166" s="48" t="b">
        <f t="shared" ca="1" si="5"/>
        <v>1</v>
      </c>
      <c r="M166" s="48" t="b">
        <f ca="1">IF(tblValidation[[#This Row],[TargetID]]="","",COUNTIF(tblTargets[TargetID],A166)&gt;1)</f>
        <v>0</v>
      </c>
      <c r="N166" s="48" t="b">
        <f ca="1">IF(tblValidation[[#This Row],[TargetID]]="","",COUNTIF(tblStates[StateID],tblValidation[[#This Row],[TargetID]])&gt;1)</f>
        <v>0</v>
      </c>
      <c r="O166" s="48" t="b" cm="1">
        <f t="array" aca="1" ref="O1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6" s="48"/>
      <c r="R166" s="48"/>
      <c r="S166" s="48"/>
      <c r="T166" s="48"/>
      <c r="V166" s="2" t="str">
        <f ca="1"/>
        <v>collection.cave_in_bone_dragon@1</v>
      </c>
      <c r="W166" s="48"/>
      <c r="X166" s="48" t="str">
        <f ca="1"/>
        <v>collection.cave_in_bone_dragon@1</v>
      </c>
      <c r="Y166" s="48" t="str">
        <f ca="1"/>
        <v>collection.historical_library_1@1</v>
      </c>
      <c r="Z166" s="48" t="str">
        <f ca="1"/>
        <v>collection.collapsed_staircase@1</v>
      </c>
      <c r="AA166" s="48" t="str">
        <f ca="1"/>
        <v>collection.kitchen_and_buttery_1@2</v>
      </c>
      <c r="AB166" s="48"/>
      <c r="AC166" s="48"/>
      <c r="AD166" s="2" t="str">
        <f ca="1"/>
        <v>collection.cave_in_bone_dragon@1</v>
      </c>
      <c r="AE166" s="2" t="str">
        <f ca="1"/>
        <v>collection.historical_library_1@3</v>
      </c>
    </row>
    <row r="167" spans="1:31" ht="29">
      <c r="A167" t="str">
        <f t="shared" ca="1" si="4"/>
        <v>collection.collapsed_staircase@1</v>
      </c>
      <c r="B167" t="str">
        <f ca="1">_xlfn.XLOOKUP(tblValidation[[#This Row],[TargetID]],tblTargets[TargetID],tblTargets[TargetType],"")</f>
        <v>COLLECTION</v>
      </c>
      <c r="C167" s="48" t="b">
        <f ca="1">COUNTIF(tblTargets[TargetID], $A167) &gt; 0</f>
        <v>1</v>
      </c>
      <c r="D167" s="48" t="b">
        <f ca="1">IF(OR(LEFT(tblValidation[[#This Row],[TargetID]],10)="state.CHAR",RIGHT(tblValidation[[#This Row],[TargetID]],5)="maxed"),TRUE, COUNTIF(tblChecklist[TargetID], $A167) &gt; 0)</f>
        <v>1</v>
      </c>
      <c r="E1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$A167) &gt; 0)</f>
        <v>1</v>
      </c>
      <c r="F167" s="48" t="b">
        <f ca="1">COUNTIF(tblDependencies[DependencyID], $A167) &gt; 0</f>
        <v>1</v>
      </c>
      <c r="G167" s="48" t="b">
        <f ca="1">COUNTIF(tblQuestObjectives[QuestTargetID], $A167) &gt; 0</f>
        <v>0</v>
      </c>
      <c r="H167" s="48" t="b">
        <f ca="1">COUNTIF(tblQuestObjectives[ObjectiveID], $A167) &gt; 0</f>
        <v>1</v>
      </c>
      <c r="I167" s="48" t="b">
        <f ca="1">COUNTIF(tblTargetStatus[TargetID], $A167) &gt; 0</f>
        <v>1</v>
      </c>
      <c r="J167" s="48" t="b">
        <f ca="1">COUNTIF(tblCost[TargetID], $A167) &gt; 0</f>
        <v>1</v>
      </c>
      <c r="K167" s="48" t="b">
        <f ca="1">COUNTIF(tblStates[StateID], $A167) &gt; 0</f>
        <v>0</v>
      </c>
      <c r="L167" s="48" t="b">
        <f t="shared" ca="1" si="5"/>
        <v>1</v>
      </c>
      <c r="M167" s="48" t="b">
        <f ca="1">IF(tblValidation[[#This Row],[TargetID]]="","",COUNTIF(tblTargets[TargetID],A167)&gt;1)</f>
        <v>0</v>
      </c>
      <c r="N167" s="48" t="b">
        <f ca="1">IF(tblValidation[[#This Row],[TargetID]]="","",COUNTIF(tblStates[StateID],tblValidation[[#This Row],[TargetID]])&gt;1)</f>
        <v>0</v>
      </c>
      <c r="O167" s="48" t="b" cm="1">
        <f t="array" aca="1" ref="O1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7" s="48"/>
      <c r="R167" s="48"/>
      <c r="S167" s="48"/>
      <c r="T167" s="48"/>
      <c r="V167" s="2" t="str">
        <f ca="1"/>
        <v>collection.collapsed_staircase@1</v>
      </c>
      <c r="W167" s="48"/>
      <c r="X167" s="48" t="str">
        <f ca="1"/>
        <v>collection.collapsed_staircase@1</v>
      </c>
      <c r="Y167" s="48" t="str">
        <f ca="1"/>
        <v>collection.historical_library_1@2</v>
      </c>
      <c r="Z167" s="48" t="str">
        <f ca="1"/>
        <v>collection.courtyard_1@1</v>
      </c>
      <c r="AA167" s="48" t="str">
        <f ca="1"/>
        <v>collection.kitchen_and_buttery_1@3</v>
      </c>
      <c r="AB167" s="48"/>
      <c r="AC167" s="48"/>
      <c r="AD167" s="2" t="str">
        <f ca="1"/>
        <v>collection.collapsed_staircase@1</v>
      </c>
      <c r="AE167" s="2" t="str">
        <f ca="1"/>
        <v>collection.historical_library_2@1</v>
      </c>
    </row>
    <row r="168" spans="1:31" ht="29">
      <c r="A168" t="str">
        <f t="shared" ca="1" si="4"/>
        <v>collection.courtyard_1@1</v>
      </c>
      <c r="B168" t="str">
        <f ca="1">_xlfn.XLOOKUP(tblValidation[[#This Row],[TargetID]],tblTargets[TargetID],tblTargets[TargetType],"")</f>
        <v>COLLECTION</v>
      </c>
      <c r="C168" s="48" t="b">
        <f ca="1">COUNTIF(tblTargets[TargetID], $A168) &gt; 0</f>
        <v>1</v>
      </c>
      <c r="D168" s="48" t="b">
        <f ca="1">IF(OR(LEFT(tblValidation[[#This Row],[TargetID]],10)="state.CHAR",RIGHT(tblValidation[[#This Row],[TargetID]],5)="maxed"),TRUE, COUNTIF(tblChecklist[TargetID], $A168) &gt; 0)</f>
        <v>1</v>
      </c>
      <c r="E1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$A168) &gt; 0)</f>
        <v>1</v>
      </c>
      <c r="F168" s="48" t="b">
        <f ca="1">COUNTIF(tblDependencies[DependencyID], $A168) &gt; 0</f>
        <v>1</v>
      </c>
      <c r="G168" s="48" t="b">
        <f ca="1">COUNTIF(tblQuestObjectives[QuestTargetID], $A168) &gt; 0</f>
        <v>0</v>
      </c>
      <c r="H168" s="48" t="b">
        <f ca="1">COUNTIF(tblQuestObjectives[ObjectiveID], $A168) &gt; 0</f>
        <v>0</v>
      </c>
      <c r="I168" s="48" t="b">
        <f ca="1">COUNTIF(tblTargetStatus[TargetID], $A168) &gt; 0</f>
        <v>1</v>
      </c>
      <c r="J168" s="48" t="b">
        <f ca="1">COUNTIF(tblCost[TargetID], $A168) &gt; 0</f>
        <v>1</v>
      </c>
      <c r="K168" s="48" t="b">
        <f ca="1">COUNTIF(tblStates[StateID], $A168) &gt; 0</f>
        <v>0</v>
      </c>
      <c r="L168" s="48" t="b">
        <f t="shared" ca="1" si="5"/>
        <v>1</v>
      </c>
      <c r="M168" s="48" t="b">
        <f ca="1">IF(tblValidation[[#This Row],[TargetID]]="","",COUNTIF(tblTargets[TargetID],A168)&gt;1)</f>
        <v>0</v>
      </c>
      <c r="N168" s="48" t="b">
        <f ca="1">IF(tblValidation[[#This Row],[TargetID]]="","",COUNTIF(tblStates[StateID],tblValidation[[#This Row],[TargetID]])&gt;1)</f>
        <v>0</v>
      </c>
      <c r="O168" s="48" t="b" cm="1">
        <f t="array" aca="1" ref="O1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8" s="48"/>
      <c r="R168" s="48"/>
      <c r="S168" s="48"/>
      <c r="T168" s="48"/>
      <c r="V168" s="2" t="str">
        <f ca="1"/>
        <v>collection.courtyard_1@1</v>
      </c>
      <c r="W168" s="48"/>
      <c r="X168" s="48" t="str">
        <f ca="1"/>
        <v>collection.courtyard_1@1</v>
      </c>
      <c r="Y168" s="48" t="str">
        <f ca="1"/>
        <v>collection.historical_library_1@3</v>
      </c>
      <c r="Z168" s="48" t="str">
        <f ca="1"/>
        <v>collection.courtyard_1@2</v>
      </c>
      <c r="AA168" s="48" t="str">
        <f ca="1"/>
        <v>collection.kitchen_and_buttery_1@4</v>
      </c>
      <c r="AB168" s="48"/>
      <c r="AC168" s="48"/>
      <c r="AD168" s="2" t="str">
        <f ca="1"/>
        <v>collection.courtyard_1@1</v>
      </c>
      <c r="AE168" s="2" t="str">
        <f ca="1"/>
        <v>collection.historical_library_2@2</v>
      </c>
    </row>
    <row r="169" spans="1:31" ht="29">
      <c r="A169" t="str">
        <f t="shared" ca="1" si="4"/>
        <v>collection.courtyard_1@2</v>
      </c>
      <c r="B169" t="str">
        <f ca="1">_xlfn.XLOOKUP(tblValidation[[#This Row],[TargetID]],tblTargets[TargetID],tblTargets[TargetType],"")</f>
        <v>COLLECTION</v>
      </c>
      <c r="C169" s="48" t="b">
        <f ca="1">COUNTIF(tblTargets[TargetID], $A169) &gt; 0</f>
        <v>1</v>
      </c>
      <c r="D169" s="48" t="b">
        <f ca="1">IF(OR(LEFT(tblValidation[[#This Row],[TargetID]],10)="state.CHAR",RIGHT(tblValidation[[#This Row],[TargetID]],5)="maxed"),TRUE, COUNTIF(tblChecklist[TargetID], $A169) &gt; 0)</f>
        <v>1</v>
      </c>
      <c r="E1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$A169) &gt; 0)</f>
        <v>1</v>
      </c>
      <c r="F169" s="48" t="b">
        <f ca="1">COUNTIF(tblDependencies[DependencyID], $A169) &gt; 0</f>
        <v>0</v>
      </c>
      <c r="G169" s="48" t="b">
        <f ca="1">COUNTIF(tblQuestObjectives[QuestTargetID], $A169) &gt; 0</f>
        <v>0</v>
      </c>
      <c r="H169" s="48" t="b">
        <f ca="1">COUNTIF(tblQuestObjectives[ObjectiveID], $A169) &gt; 0</f>
        <v>0</v>
      </c>
      <c r="I169" s="48" t="b">
        <f ca="1">COUNTIF(tblTargetStatus[TargetID], $A169) &gt; 0</f>
        <v>1</v>
      </c>
      <c r="J169" s="48" t="b">
        <f ca="1">COUNTIF(tblCost[TargetID], $A169) &gt; 0</f>
        <v>1</v>
      </c>
      <c r="K169" s="48" t="b">
        <f ca="1">COUNTIF(tblStates[StateID], $A169) &gt; 0</f>
        <v>0</v>
      </c>
      <c r="L169" s="48" t="b">
        <f t="shared" ca="1" si="5"/>
        <v>1</v>
      </c>
      <c r="M169" s="48" t="b">
        <f ca="1">IF(tblValidation[[#This Row],[TargetID]]="","",COUNTIF(tblTargets[TargetID],A169)&gt;1)</f>
        <v>0</v>
      </c>
      <c r="N169" s="48" t="b">
        <f ca="1">IF(tblValidation[[#This Row],[TargetID]]="","",COUNTIF(tblStates[StateID],tblValidation[[#This Row],[TargetID]])&gt;1)</f>
        <v>0</v>
      </c>
      <c r="O169" s="48" t="b" cm="1">
        <f t="array" aca="1" ref="O1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9" s="48"/>
      <c r="R169" s="48"/>
      <c r="S169" s="48"/>
      <c r="T169" s="48"/>
      <c r="V169" s="2" t="str">
        <f ca="1"/>
        <v>collection.courtyard_1@2</v>
      </c>
      <c r="W169" s="48"/>
      <c r="X169" s="48" t="str">
        <f ca="1"/>
        <v>collection.courtyard_1@2</v>
      </c>
      <c r="Y169" s="48" t="str">
        <f ca="1"/>
        <v>collection.historical_library_2@1</v>
      </c>
      <c r="Z169" s="48" t="str">
        <f ca="1"/>
        <v>collection.courtyard_2@1</v>
      </c>
      <c r="AA169" s="48" t="str">
        <f ca="1"/>
        <v>collection.mushroom_farm@1</v>
      </c>
      <c r="AB169" s="48"/>
      <c r="AC169" s="48"/>
      <c r="AD169" s="2" t="str">
        <f ca="1"/>
        <v>collection.courtyard_1@2</v>
      </c>
      <c r="AE169" s="2" t="str">
        <f ca="1"/>
        <v>collection.historical_library_2@3</v>
      </c>
    </row>
    <row r="170" spans="1:31" ht="29">
      <c r="A170" t="str">
        <f t="shared" ca="1" si="4"/>
        <v>collection.courtyard_2@1</v>
      </c>
      <c r="B170" t="str">
        <f ca="1">_xlfn.XLOOKUP(tblValidation[[#This Row],[TargetID]],tblTargets[TargetID],tblTargets[TargetType],"")</f>
        <v>COLLECTION</v>
      </c>
      <c r="C170" s="48" t="b">
        <f ca="1">COUNTIF(tblTargets[TargetID], $A170) &gt; 0</f>
        <v>1</v>
      </c>
      <c r="D170" s="48" t="b">
        <f ca="1">IF(OR(LEFT(tblValidation[[#This Row],[TargetID]],10)="state.CHAR",RIGHT(tblValidation[[#This Row],[TargetID]],5)="maxed"),TRUE, COUNTIF(tblChecklist[TargetID], $A170) &gt; 0)</f>
        <v>1</v>
      </c>
      <c r="E1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$A170) &gt; 0)</f>
        <v>1</v>
      </c>
      <c r="F170" s="48" t="b">
        <f ca="1">COUNTIF(tblDependencies[DependencyID], $A170) &gt; 0</f>
        <v>0</v>
      </c>
      <c r="G170" s="48" t="b">
        <f ca="1">COUNTIF(tblQuestObjectives[QuestTargetID], $A170) &gt; 0</f>
        <v>0</v>
      </c>
      <c r="H170" s="48" t="b">
        <f ca="1">COUNTIF(tblQuestObjectives[ObjectiveID], $A170) &gt; 0</f>
        <v>0</v>
      </c>
      <c r="I170" s="48" t="b">
        <f ca="1">COUNTIF(tblTargetStatus[TargetID], $A170) &gt; 0</f>
        <v>1</v>
      </c>
      <c r="J170" s="48" t="b">
        <f ca="1">COUNTIF(tblCost[TargetID], $A170) &gt; 0</f>
        <v>1</v>
      </c>
      <c r="K170" s="48" t="b">
        <f ca="1">COUNTIF(tblStates[StateID], $A170) &gt; 0</f>
        <v>0</v>
      </c>
      <c r="L170" s="48" t="b">
        <f t="shared" ca="1" si="5"/>
        <v>1</v>
      </c>
      <c r="M170" s="48" t="b">
        <f ca="1">IF(tblValidation[[#This Row],[TargetID]]="","",COUNTIF(tblTargets[TargetID],A170)&gt;1)</f>
        <v>0</v>
      </c>
      <c r="N170" s="48" t="b">
        <f ca="1">IF(tblValidation[[#This Row],[TargetID]]="","",COUNTIF(tblStates[StateID],tblValidation[[#This Row],[TargetID]])&gt;1)</f>
        <v>0</v>
      </c>
      <c r="O170" s="48" t="b" cm="1">
        <f t="array" aca="1" ref="O1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0" s="48"/>
      <c r="R170" s="48"/>
      <c r="S170" s="48"/>
      <c r="T170" s="48"/>
      <c r="V170" s="2" t="str">
        <f ca="1"/>
        <v>collection.courtyard_2@1</v>
      </c>
      <c r="W170" s="48"/>
      <c r="X170" s="48" t="str">
        <f ca="1"/>
        <v>collection.courtyard_2@1</v>
      </c>
      <c r="Y170" s="48" t="str">
        <f ca="1"/>
        <v>collection.historical_library_2@2</v>
      </c>
      <c r="Z170" s="48" t="str">
        <f ca="1"/>
        <v>collection.crystal_cave@1</v>
      </c>
      <c r="AA170" s="48" t="str">
        <f ca="1"/>
        <v>collection.orangery@1</v>
      </c>
      <c r="AB170" s="48"/>
      <c r="AC170" s="48"/>
      <c r="AD170" s="2" t="str">
        <f ca="1"/>
        <v>collection.courtyard_2@1</v>
      </c>
      <c r="AE170" s="2" t="str">
        <f ca="1"/>
        <v>collection.horse@1</v>
      </c>
    </row>
    <row r="171" spans="1:31" ht="29">
      <c r="A171" t="str">
        <f t="shared" ca="1" si="4"/>
        <v>collection.crystal_cave@1</v>
      </c>
      <c r="B171" t="str">
        <f ca="1">_xlfn.XLOOKUP(tblValidation[[#This Row],[TargetID]],tblTargets[TargetID],tblTargets[TargetType],"")</f>
        <v>COLLECTION</v>
      </c>
      <c r="C171" s="48" t="b">
        <f ca="1">COUNTIF(tblTargets[TargetID], $A171) &gt; 0</f>
        <v>1</v>
      </c>
      <c r="D171" s="48" t="b">
        <f ca="1">IF(OR(LEFT(tblValidation[[#This Row],[TargetID]],10)="state.CHAR",RIGHT(tblValidation[[#This Row],[TargetID]],5)="maxed"),TRUE, COUNTIF(tblChecklist[TargetID], $A171) &gt; 0)</f>
        <v>1</v>
      </c>
      <c r="E1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$A171) &gt; 0)</f>
        <v>1</v>
      </c>
      <c r="F171" s="48" t="b">
        <f ca="1">COUNTIF(tblDependencies[DependencyID], $A171) &gt; 0</f>
        <v>0</v>
      </c>
      <c r="G171" s="48" t="b">
        <f ca="1">COUNTIF(tblQuestObjectives[QuestTargetID], $A171) &gt; 0</f>
        <v>0</v>
      </c>
      <c r="H171" s="48" t="b">
        <f ca="1">COUNTIF(tblQuestObjectives[ObjectiveID], $A171) &gt; 0</f>
        <v>0</v>
      </c>
      <c r="I171" s="48" t="b">
        <f ca="1">COUNTIF(tblTargetStatus[TargetID], $A171) &gt; 0</f>
        <v>1</v>
      </c>
      <c r="J171" s="48" t="b">
        <f ca="1">COUNTIF(tblCost[TargetID], $A171) &gt; 0</f>
        <v>1</v>
      </c>
      <c r="K171" s="48" t="b">
        <f ca="1">COUNTIF(tblStates[StateID], $A171) &gt; 0</f>
        <v>0</v>
      </c>
      <c r="L171" s="48" t="b">
        <f t="shared" ca="1" si="5"/>
        <v>1</v>
      </c>
      <c r="M171" s="48" t="b">
        <f ca="1">IF(tblValidation[[#This Row],[TargetID]]="","",COUNTIF(tblTargets[TargetID],A171)&gt;1)</f>
        <v>0</v>
      </c>
      <c r="N171" s="48" t="b">
        <f ca="1">IF(tblValidation[[#This Row],[TargetID]]="","",COUNTIF(tblStates[StateID],tblValidation[[#This Row],[TargetID]])&gt;1)</f>
        <v>0</v>
      </c>
      <c r="O171" s="48" t="b" cm="1">
        <f t="array" aca="1" ref="O1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1" s="48"/>
      <c r="R171" s="48"/>
      <c r="S171" s="48"/>
      <c r="T171" s="48"/>
      <c r="V171" s="2" t="str">
        <f ca="1"/>
        <v>collection.crystal_cave@1</v>
      </c>
      <c r="W171" s="48"/>
      <c r="X171" s="48" t="str">
        <f ca="1"/>
        <v>collection.crystal_cave@1</v>
      </c>
      <c r="Y171" s="48" t="str">
        <f ca="1"/>
        <v>collection.historical_library_2@3</v>
      </c>
      <c r="Z171" s="48" t="str">
        <f ca="1"/>
        <v>collection.gallery_1@1</v>
      </c>
      <c r="AA171" s="48" t="str">
        <f ca="1"/>
        <v>collection.pantry_1@1</v>
      </c>
      <c r="AB171" s="48"/>
      <c r="AC171" s="48"/>
      <c r="AD171" s="2" t="str">
        <f ca="1"/>
        <v>collection.crystal_cave@1</v>
      </c>
      <c r="AE171" s="2" t="str">
        <f ca="1"/>
        <v>collection.kitchen_and_buttery_1@1</v>
      </c>
    </row>
    <row r="172" spans="1:31" ht="29">
      <c r="A172" t="str">
        <f t="shared" ca="1" si="4"/>
        <v>collection.gallery_1@1</v>
      </c>
      <c r="B172" t="str">
        <f ca="1">_xlfn.XLOOKUP(tblValidation[[#This Row],[TargetID]],tblTargets[TargetID],tblTargets[TargetType],"")</f>
        <v>COLLECTION</v>
      </c>
      <c r="C172" s="48" t="b">
        <f ca="1">COUNTIF(tblTargets[TargetID], $A172) &gt; 0</f>
        <v>1</v>
      </c>
      <c r="D172" s="48" t="b">
        <f ca="1">IF(OR(LEFT(tblValidation[[#This Row],[TargetID]],10)="state.CHAR",RIGHT(tblValidation[[#This Row],[TargetID]],5)="maxed"),TRUE, COUNTIF(tblChecklist[TargetID], $A172) &gt; 0)</f>
        <v>1</v>
      </c>
      <c r="E1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$A172) &gt; 0)</f>
        <v>1</v>
      </c>
      <c r="F172" s="48" t="b">
        <f ca="1">COUNTIF(tblDependencies[DependencyID], $A172) &gt; 0</f>
        <v>1</v>
      </c>
      <c r="G172" s="48" t="b">
        <f ca="1">COUNTIF(tblQuestObjectives[QuestTargetID], $A172) &gt; 0</f>
        <v>0</v>
      </c>
      <c r="H172" s="48" t="b">
        <f ca="1">COUNTIF(tblQuestObjectives[ObjectiveID], $A172) &gt; 0</f>
        <v>0</v>
      </c>
      <c r="I172" s="48" t="b">
        <f ca="1">COUNTIF(tblTargetStatus[TargetID], $A172) &gt; 0</f>
        <v>1</v>
      </c>
      <c r="J172" s="48" t="b">
        <f ca="1">COUNTIF(tblCost[TargetID], $A172) &gt; 0</f>
        <v>1</v>
      </c>
      <c r="K172" s="48" t="b">
        <f ca="1">COUNTIF(tblStates[StateID], $A172) &gt; 0</f>
        <v>0</v>
      </c>
      <c r="L172" s="48" t="b">
        <f t="shared" ca="1" si="5"/>
        <v>1</v>
      </c>
      <c r="M172" s="48" t="b">
        <f ca="1">IF(tblValidation[[#This Row],[TargetID]]="","",COUNTIF(tblTargets[TargetID],A172)&gt;1)</f>
        <v>0</v>
      </c>
      <c r="N172" s="48" t="b">
        <f ca="1">IF(tblValidation[[#This Row],[TargetID]]="","",COUNTIF(tblStates[StateID],tblValidation[[#This Row],[TargetID]])&gt;1)</f>
        <v>0</v>
      </c>
      <c r="O172" s="48" t="b" cm="1">
        <f t="array" aca="1" ref="O1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2" s="48"/>
      <c r="R172" s="48"/>
      <c r="S172" s="48"/>
      <c r="T172" s="48"/>
      <c r="V172" s="2" t="str">
        <f ca="1"/>
        <v>collection.gallery_1@1</v>
      </c>
      <c r="W172" s="48"/>
      <c r="X172" s="48" t="str">
        <f ca="1"/>
        <v>collection.gallery_1@1</v>
      </c>
      <c r="Y172" s="48" t="str">
        <f ca="1"/>
        <v>collection.horse@1</v>
      </c>
      <c r="Z172" s="48" t="str">
        <f ca="1"/>
        <v>collection.gallery_1@2</v>
      </c>
      <c r="AA172" s="48" t="str">
        <f ca="1"/>
        <v>collection.pantry_1@2</v>
      </c>
      <c r="AB172" s="48"/>
      <c r="AC172" s="48"/>
      <c r="AD172" s="2" t="str">
        <f ca="1"/>
        <v>collection.gallery_1@1</v>
      </c>
      <c r="AE172" s="2" t="str">
        <f ca="1"/>
        <v>collection.kitchen_and_buttery_1@2</v>
      </c>
    </row>
    <row r="173" spans="1:31" ht="29">
      <c r="A173" t="str">
        <f t="shared" ca="1" si="4"/>
        <v>collection.gallery_1@2</v>
      </c>
      <c r="B173" t="str">
        <f ca="1">_xlfn.XLOOKUP(tblValidation[[#This Row],[TargetID]],tblTargets[TargetID],tblTargets[TargetType],"")</f>
        <v>COLLECTION</v>
      </c>
      <c r="C173" s="48" t="b">
        <f ca="1">COUNTIF(tblTargets[TargetID], $A173) &gt; 0</f>
        <v>1</v>
      </c>
      <c r="D173" s="48" t="b">
        <f ca="1">IF(OR(LEFT(tblValidation[[#This Row],[TargetID]],10)="state.CHAR",RIGHT(tblValidation[[#This Row],[TargetID]],5)="maxed"),TRUE, COUNTIF(tblChecklist[TargetID], $A173) &gt; 0)</f>
        <v>1</v>
      </c>
      <c r="E1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$A173) &gt; 0)</f>
        <v>1</v>
      </c>
      <c r="F173" s="48" t="b">
        <f ca="1">COUNTIF(tblDependencies[DependencyID], $A173) &gt; 0</f>
        <v>1</v>
      </c>
      <c r="G173" s="48" t="b">
        <f ca="1">COUNTIF(tblQuestObjectives[QuestTargetID], $A173) &gt; 0</f>
        <v>0</v>
      </c>
      <c r="H173" s="48" t="b">
        <f ca="1">COUNTIF(tblQuestObjectives[ObjectiveID], $A173) &gt; 0</f>
        <v>0</v>
      </c>
      <c r="I173" s="48" t="b">
        <f ca="1">COUNTIF(tblTargetStatus[TargetID], $A173) &gt; 0</f>
        <v>1</v>
      </c>
      <c r="J173" s="48" t="b">
        <f ca="1">COUNTIF(tblCost[TargetID], $A173) &gt; 0</f>
        <v>1</v>
      </c>
      <c r="K173" s="48" t="b">
        <f ca="1">COUNTIF(tblStates[StateID], $A173) &gt; 0</f>
        <v>0</v>
      </c>
      <c r="L173" s="48" t="b">
        <f t="shared" ca="1" si="5"/>
        <v>1</v>
      </c>
      <c r="M173" s="48" t="b">
        <f ca="1">IF(tblValidation[[#This Row],[TargetID]]="","",COUNTIF(tblTargets[TargetID],A173)&gt;1)</f>
        <v>0</v>
      </c>
      <c r="N173" s="48" t="b">
        <f ca="1">IF(tblValidation[[#This Row],[TargetID]]="","",COUNTIF(tblStates[StateID],tblValidation[[#This Row],[TargetID]])&gt;1)</f>
        <v>0</v>
      </c>
      <c r="O173" s="48" t="b" cm="1">
        <f t="array" aca="1" ref="O1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3" s="48"/>
      <c r="R173" s="48"/>
      <c r="S173" s="48"/>
      <c r="T173" s="48"/>
      <c r="V173" s="2" t="str">
        <f ca="1"/>
        <v>collection.gallery_1@2</v>
      </c>
      <c r="W173" s="48"/>
      <c r="X173" s="48" t="str">
        <f ca="1"/>
        <v>collection.gallery_1@2</v>
      </c>
      <c r="Y173" s="48" t="str">
        <f ca="1"/>
        <v>collection.kitchen_and_buttery_1@1</v>
      </c>
      <c r="Z173" s="48" t="str">
        <f ca="1"/>
        <v>collection.gallery_1@3</v>
      </c>
      <c r="AA173" s="48" t="str">
        <f ca="1"/>
        <v>collection.pantry_1@3</v>
      </c>
      <c r="AB173" s="48"/>
      <c r="AC173" s="48"/>
      <c r="AD173" s="2" t="str">
        <f ca="1"/>
        <v>collection.gallery_1@2</v>
      </c>
      <c r="AE173" s="2" t="str">
        <f ca="1"/>
        <v>collection.kitchen_and_buttery_1@3</v>
      </c>
    </row>
    <row r="174" spans="1:31" ht="29">
      <c r="A174" t="str">
        <f t="shared" ca="1" si="4"/>
        <v>collection.gallery_1@3</v>
      </c>
      <c r="B174" t="str">
        <f ca="1">_xlfn.XLOOKUP(tblValidation[[#This Row],[TargetID]],tblTargets[TargetID],tblTargets[TargetType],"")</f>
        <v>COLLECTION</v>
      </c>
      <c r="C174" s="48" t="b">
        <f ca="1">COUNTIF(tblTargets[TargetID], $A174) &gt; 0</f>
        <v>1</v>
      </c>
      <c r="D174" s="48" t="b">
        <f ca="1">IF(OR(LEFT(tblValidation[[#This Row],[TargetID]],10)="state.CHAR",RIGHT(tblValidation[[#This Row],[TargetID]],5)="maxed"),TRUE, COUNTIF(tblChecklist[TargetID], $A174) &gt; 0)</f>
        <v>1</v>
      </c>
      <c r="E1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$A174) &gt; 0)</f>
        <v>1</v>
      </c>
      <c r="F174" s="48" t="b">
        <f ca="1">COUNTIF(tblDependencies[DependencyID], $A174) &gt; 0</f>
        <v>1</v>
      </c>
      <c r="G174" s="48" t="b">
        <f ca="1">COUNTIF(tblQuestObjectives[QuestTargetID], $A174) &gt; 0</f>
        <v>0</v>
      </c>
      <c r="H174" s="48" t="b">
        <f ca="1">COUNTIF(tblQuestObjectives[ObjectiveID], $A174) &gt; 0</f>
        <v>0</v>
      </c>
      <c r="I174" s="48" t="b">
        <f ca="1">COUNTIF(tblTargetStatus[TargetID], $A174) &gt; 0</f>
        <v>1</v>
      </c>
      <c r="J174" s="48" t="b">
        <f ca="1">COUNTIF(tblCost[TargetID], $A174) &gt; 0</f>
        <v>1</v>
      </c>
      <c r="K174" s="48" t="b">
        <f ca="1">COUNTIF(tblStates[StateID], $A174) &gt; 0</f>
        <v>0</v>
      </c>
      <c r="L174" s="48" t="b">
        <f t="shared" ca="1" si="5"/>
        <v>1</v>
      </c>
      <c r="M174" s="48" t="b">
        <f ca="1">IF(tblValidation[[#This Row],[TargetID]]="","",COUNTIF(tblTargets[TargetID],A174)&gt;1)</f>
        <v>0</v>
      </c>
      <c r="N174" s="48" t="b">
        <f ca="1">IF(tblValidation[[#This Row],[TargetID]]="","",COUNTIF(tblStates[StateID],tblValidation[[#This Row],[TargetID]])&gt;1)</f>
        <v>0</v>
      </c>
      <c r="O174" s="48" t="b" cm="1">
        <f t="array" aca="1" ref="O1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4" s="48"/>
      <c r="R174" s="48"/>
      <c r="S174" s="48"/>
      <c r="T174" s="48"/>
      <c r="V174" s="2" t="str">
        <f ca="1"/>
        <v>collection.gallery_1@3</v>
      </c>
      <c r="W174" s="48"/>
      <c r="X174" s="48" t="str">
        <f ca="1"/>
        <v>collection.gallery_1@3</v>
      </c>
      <c r="Y174" s="48" t="str">
        <f ca="1"/>
        <v>collection.kitchen_and_buttery_1@2</v>
      </c>
      <c r="Z174" s="48" t="str">
        <f ca="1"/>
        <v>collection.gallery_1@4</v>
      </c>
      <c r="AA174" s="48" t="str">
        <f ca="1"/>
        <v>collection.pantry_1@4</v>
      </c>
      <c r="AB174" s="48"/>
      <c r="AC174" s="48"/>
      <c r="AD174" s="2" t="str">
        <f ca="1"/>
        <v>collection.gallery_1@3</v>
      </c>
      <c r="AE174" s="2" t="str">
        <f ca="1"/>
        <v>collection.kitchen_and_buttery_1@4</v>
      </c>
    </row>
    <row r="175" spans="1:31" ht="29">
      <c r="A175" t="str">
        <f t="shared" ca="1" si="4"/>
        <v>collection.gallery_1@4</v>
      </c>
      <c r="B175" t="str">
        <f ca="1">_xlfn.XLOOKUP(tblValidation[[#This Row],[TargetID]],tblTargets[TargetID],tblTargets[TargetType],"")</f>
        <v>COLLECTION</v>
      </c>
      <c r="C175" s="48" t="b">
        <f ca="1">COUNTIF(tblTargets[TargetID], $A175) &gt; 0</f>
        <v>1</v>
      </c>
      <c r="D175" s="48" t="b">
        <f ca="1">IF(OR(LEFT(tblValidation[[#This Row],[TargetID]],10)="state.CHAR",RIGHT(tblValidation[[#This Row],[TargetID]],5)="maxed"),TRUE, COUNTIF(tblChecklist[TargetID], $A175) &gt; 0)</f>
        <v>1</v>
      </c>
      <c r="E1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$A175) &gt; 0)</f>
        <v>1</v>
      </c>
      <c r="F175" s="48" t="b">
        <f ca="1">COUNTIF(tblDependencies[DependencyID], $A175) &gt; 0</f>
        <v>1</v>
      </c>
      <c r="G175" s="48" t="b">
        <f ca="1">COUNTIF(tblQuestObjectives[QuestTargetID], $A175) &gt; 0</f>
        <v>0</v>
      </c>
      <c r="H175" s="48" t="b">
        <f ca="1">COUNTIF(tblQuestObjectives[ObjectiveID], $A175) &gt; 0</f>
        <v>0</v>
      </c>
      <c r="I175" s="48" t="b">
        <f ca="1">COUNTIF(tblTargetStatus[TargetID], $A175) &gt; 0</f>
        <v>1</v>
      </c>
      <c r="J175" s="48" t="b">
        <f ca="1">COUNTIF(tblCost[TargetID], $A175) &gt; 0</f>
        <v>1</v>
      </c>
      <c r="K175" s="48" t="b">
        <f ca="1">COUNTIF(tblStates[StateID], $A175) &gt; 0</f>
        <v>0</v>
      </c>
      <c r="L175" s="48" t="b">
        <f t="shared" ca="1" si="5"/>
        <v>1</v>
      </c>
      <c r="M175" s="48" t="b">
        <f ca="1">IF(tblValidation[[#This Row],[TargetID]]="","",COUNTIF(tblTargets[TargetID],A175)&gt;1)</f>
        <v>0</v>
      </c>
      <c r="N175" s="48" t="b">
        <f ca="1">IF(tblValidation[[#This Row],[TargetID]]="","",COUNTIF(tblStates[StateID],tblValidation[[#This Row],[TargetID]])&gt;1)</f>
        <v>0</v>
      </c>
      <c r="O175" s="48" t="b" cm="1">
        <f t="array" aca="1" ref="O1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5" s="48"/>
      <c r="R175" s="48"/>
      <c r="S175" s="48"/>
      <c r="T175" s="48"/>
      <c r="V175" s="2" t="str">
        <f ca="1"/>
        <v>collection.gallery_1@4</v>
      </c>
      <c r="W175" s="48"/>
      <c r="X175" s="48" t="str">
        <f ca="1"/>
        <v>collection.gallery_1@4</v>
      </c>
      <c r="Y175" s="48" t="str">
        <f ca="1"/>
        <v>collection.kitchen_and_buttery_1@3</v>
      </c>
      <c r="Z175" s="48" t="str">
        <f ca="1"/>
        <v>collection.gallery_1@5</v>
      </c>
      <c r="AA175" s="48" t="str">
        <f ca="1"/>
        <v>collection.pantry_2@1</v>
      </c>
      <c r="AB175" s="48"/>
      <c r="AC175" s="48"/>
      <c r="AD175" s="2" t="str">
        <f ca="1"/>
        <v>collection.gallery_1@4</v>
      </c>
      <c r="AE175" s="2" t="str">
        <f ca="1"/>
        <v>collection.kitchen_and_buttery_1@5</v>
      </c>
    </row>
    <row r="176" spans="1:31" ht="29">
      <c r="A176" t="str">
        <f t="shared" ca="1" si="4"/>
        <v>collection.gallery_1@5</v>
      </c>
      <c r="B176" t="str">
        <f ca="1">_xlfn.XLOOKUP(tblValidation[[#This Row],[TargetID]],tblTargets[TargetID],tblTargets[TargetType],"")</f>
        <v>COLLECTION</v>
      </c>
      <c r="C176" s="48" t="b">
        <f ca="1">COUNTIF(tblTargets[TargetID], $A176) &gt; 0</f>
        <v>1</v>
      </c>
      <c r="D176" s="48" t="b">
        <f ca="1">IF(OR(LEFT(tblValidation[[#This Row],[TargetID]],10)="state.CHAR",RIGHT(tblValidation[[#This Row],[TargetID]],5)="maxed"),TRUE, COUNTIF(tblChecklist[TargetID], $A176) &gt; 0)</f>
        <v>1</v>
      </c>
      <c r="E1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$A176) &gt; 0)</f>
        <v>1</v>
      </c>
      <c r="F176" s="48" t="b">
        <f ca="1">COUNTIF(tblDependencies[DependencyID], $A176) &gt; 0</f>
        <v>0</v>
      </c>
      <c r="G176" s="48" t="b">
        <f ca="1">COUNTIF(tblQuestObjectives[QuestTargetID], $A176) &gt; 0</f>
        <v>0</v>
      </c>
      <c r="H176" s="48" t="b">
        <f ca="1">COUNTIF(tblQuestObjectives[ObjectiveID], $A176) &gt; 0</f>
        <v>0</v>
      </c>
      <c r="I176" s="48" t="b">
        <f ca="1">COUNTIF(tblTargetStatus[TargetID], $A176) &gt; 0</f>
        <v>1</v>
      </c>
      <c r="J176" s="48" t="b">
        <f ca="1">COUNTIF(tblCost[TargetID], $A176) &gt; 0</f>
        <v>1</v>
      </c>
      <c r="K176" s="48" t="b">
        <f ca="1">COUNTIF(tblStates[StateID], $A176) &gt; 0</f>
        <v>0</v>
      </c>
      <c r="L176" s="48" t="b">
        <f t="shared" ca="1" si="5"/>
        <v>1</v>
      </c>
      <c r="M176" s="48" t="b">
        <f ca="1">IF(tblValidation[[#This Row],[TargetID]]="","",COUNTIF(tblTargets[TargetID],A176)&gt;1)</f>
        <v>0</v>
      </c>
      <c r="N176" s="48" t="b">
        <f ca="1">IF(tblValidation[[#This Row],[TargetID]]="","",COUNTIF(tblStates[StateID],tblValidation[[#This Row],[TargetID]])&gt;1)</f>
        <v>0</v>
      </c>
      <c r="O176" s="48" t="b" cm="1">
        <f t="array" aca="1" ref="O1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6" s="48"/>
      <c r="R176" s="48"/>
      <c r="S176" s="48"/>
      <c r="T176" s="48"/>
      <c r="V176" s="2" t="str">
        <f ca="1"/>
        <v>collection.gallery_1@5</v>
      </c>
      <c r="W176" s="48"/>
      <c r="X176" s="48" t="str">
        <f ca="1"/>
        <v>collection.gallery_1@5</v>
      </c>
      <c r="Y176" s="48" t="str">
        <f ca="1"/>
        <v>collection.kitchen_and_buttery_1@4</v>
      </c>
      <c r="Z176" s="48" t="str">
        <f ca="1"/>
        <v>collection.gallery_2@1</v>
      </c>
      <c r="AA176" s="48" t="str">
        <f ca="1"/>
        <v>collection.pantry_2@2</v>
      </c>
      <c r="AB176" s="48"/>
      <c r="AC176" s="48"/>
      <c r="AD176" s="2" t="str">
        <f ca="1"/>
        <v>collection.gallery_1@5</v>
      </c>
      <c r="AE176" s="2" t="str">
        <f ca="1"/>
        <v>collection.kitchen_and_buttery_2@1</v>
      </c>
    </row>
    <row r="177" spans="1:31" ht="29">
      <c r="A177" t="str">
        <f t="shared" ca="1" si="4"/>
        <v>collection.gallery_2@1</v>
      </c>
      <c r="B177" t="str">
        <f ca="1">_xlfn.XLOOKUP(tblValidation[[#This Row],[TargetID]],tblTargets[TargetID],tblTargets[TargetType],"")</f>
        <v>COLLECTION</v>
      </c>
      <c r="C177" s="48" t="b">
        <f ca="1">COUNTIF(tblTargets[TargetID], $A177) &gt; 0</f>
        <v>1</v>
      </c>
      <c r="D177" s="48" t="b">
        <f ca="1">IF(OR(LEFT(tblValidation[[#This Row],[TargetID]],10)="state.CHAR",RIGHT(tblValidation[[#This Row],[TargetID]],5)="maxed"),TRUE, COUNTIF(tblChecklist[TargetID], $A177) &gt; 0)</f>
        <v>1</v>
      </c>
      <c r="E1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$A177) &gt; 0)</f>
        <v>1</v>
      </c>
      <c r="F177" s="48" t="b">
        <f ca="1">COUNTIF(tblDependencies[DependencyID], $A177) &gt; 0</f>
        <v>1</v>
      </c>
      <c r="G177" s="48" t="b">
        <f ca="1">COUNTIF(tblQuestObjectives[QuestTargetID], $A177) &gt; 0</f>
        <v>0</v>
      </c>
      <c r="H177" s="48" t="b">
        <f ca="1">COUNTIF(tblQuestObjectives[ObjectiveID], $A177) &gt; 0</f>
        <v>0</v>
      </c>
      <c r="I177" s="48" t="b">
        <f ca="1">COUNTIF(tblTargetStatus[TargetID], $A177) &gt; 0</f>
        <v>1</v>
      </c>
      <c r="J177" s="48" t="b">
        <f ca="1">COUNTIF(tblCost[TargetID], $A177) &gt; 0</f>
        <v>1</v>
      </c>
      <c r="K177" s="48" t="b">
        <f ca="1">COUNTIF(tblStates[StateID], $A177) &gt; 0</f>
        <v>0</v>
      </c>
      <c r="L177" s="48" t="b">
        <f t="shared" ca="1" si="5"/>
        <v>1</v>
      </c>
      <c r="M177" s="48" t="b">
        <f ca="1">IF(tblValidation[[#This Row],[TargetID]]="","",COUNTIF(tblTargets[TargetID],A177)&gt;1)</f>
        <v>0</v>
      </c>
      <c r="N177" s="48" t="b">
        <f ca="1">IF(tblValidation[[#This Row],[TargetID]]="","",COUNTIF(tblStates[StateID],tblValidation[[#This Row],[TargetID]])&gt;1)</f>
        <v>0</v>
      </c>
      <c r="O177" s="48" t="b" cm="1">
        <f t="array" aca="1" ref="O1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7" s="48"/>
      <c r="R177" s="48"/>
      <c r="S177" s="48"/>
      <c r="T177" s="48"/>
      <c r="V177" s="2" t="str">
        <f ca="1"/>
        <v>collection.gallery_2@1</v>
      </c>
      <c r="W177" s="48"/>
      <c r="X177" s="48" t="str">
        <f ca="1"/>
        <v>collection.gallery_2@1</v>
      </c>
      <c r="Y177" s="48" t="str">
        <f ca="1"/>
        <v>collection.kitchen_and_buttery_1@5</v>
      </c>
      <c r="Z177" s="48" t="str">
        <f ca="1"/>
        <v>collection.gallery_2@2</v>
      </c>
      <c r="AA177" s="48" t="str">
        <f ca="1"/>
        <v>collection.pantry_2@3</v>
      </c>
      <c r="AB177" s="48"/>
      <c r="AC177" s="48"/>
      <c r="AD177" s="2" t="str">
        <f ca="1"/>
        <v>collection.gallery_2@1</v>
      </c>
      <c r="AE177" s="2" t="str">
        <f ca="1"/>
        <v>collection.mushroom_farm@1</v>
      </c>
    </row>
    <row r="178" spans="1:31" ht="29">
      <c r="A178" t="str">
        <f t="shared" ca="1" si="4"/>
        <v>collection.gallery_2@2</v>
      </c>
      <c r="B178" t="str">
        <f ca="1">_xlfn.XLOOKUP(tblValidation[[#This Row],[TargetID]],tblTargets[TargetID],tblTargets[TargetType],"")</f>
        <v>COLLECTION</v>
      </c>
      <c r="C178" s="48" t="b">
        <f ca="1">COUNTIF(tblTargets[TargetID], $A178) &gt; 0</f>
        <v>1</v>
      </c>
      <c r="D178" s="48" t="b">
        <f ca="1">IF(OR(LEFT(tblValidation[[#This Row],[TargetID]],10)="state.CHAR",RIGHT(tblValidation[[#This Row],[TargetID]],5)="maxed"),TRUE, COUNTIF(tblChecklist[TargetID], $A178) &gt; 0)</f>
        <v>1</v>
      </c>
      <c r="E1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$A178) &gt; 0)</f>
        <v>1</v>
      </c>
      <c r="F178" s="48" t="b">
        <f ca="1">COUNTIF(tblDependencies[DependencyID], $A178) &gt; 0</f>
        <v>1</v>
      </c>
      <c r="G178" s="48" t="b">
        <f ca="1">COUNTIF(tblQuestObjectives[QuestTargetID], $A178) &gt; 0</f>
        <v>0</v>
      </c>
      <c r="H178" s="48" t="b">
        <f ca="1">COUNTIF(tblQuestObjectives[ObjectiveID], $A178) &gt; 0</f>
        <v>0</v>
      </c>
      <c r="I178" s="48" t="b">
        <f ca="1">COUNTIF(tblTargetStatus[TargetID], $A178) &gt; 0</f>
        <v>1</v>
      </c>
      <c r="J178" s="48" t="b">
        <f ca="1">COUNTIF(tblCost[TargetID], $A178) &gt; 0</f>
        <v>1</v>
      </c>
      <c r="K178" s="48" t="b">
        <f ca="1">COUNTIF(tblStates[StateID], $A178) &gt; 0</f>
        <v>0</v>
      </c>
      <c r="L178" s="48" t="b">
        <f t="shared" ca="1" si="5"/>
        <v>1</v>
      </c>
      <c r="M178" s="48" t="b">
        <f ca="1">IF(tblValidation[[#This Row],[TargetID]]="","",COUNTIF(tblTargets[TargetID],A178)&gt;1)</f>
        <v>0</v>
      </c>
      <c r="N178" s="48" t="b">
        <f ca="1">IF(tblValidation[[#This Row],[TargetID]]="","",COUNTIF(tblStates[StateID],tblValidation[[#This Row],[TargetID]])&gt;1)</f>
        <v>0</v>
      </c>
      <c r="O178" s="48" t="b" cm="1">
        <f t="array" aca="1" ref="O1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8" s="48"/>
      <c r="R178" s="48"/>
      <c r="S178" s="48"/>
      <c r="T178" s="48"/>
      <c r="V178" s="2" t="str">
        <f ca="1"/>
        <v>collection.gallery_2@2</v>
      </c>
      <c r="W178" s="48"/>
      <c r="X178" s="48" t="str">
        <f ca="1"/>
        <v>collection.gallery_2@2</v>
      </c>
      <c r="Y178" s="48" t="str">
        <f ca="1"/>
        <v>collection.kitchen_and_buttery_2@1</v>
      </c>
      <c r="Z178" s="48" t="str">
        <f ca="1"/>
        <v>collection.gallery_2@3</v>
      </c>
      <c r="AA178" s="48" t="str">
        <f ca="1"/>
        <v>collection.pantry_2@4</v>
      </c>
      <c r="AB178" s="48"/>
      <c r="AC178" s="48"/>
      <c r="AD178" s="2" t="str">
        <f ca="1"/>
        <v>collection.gallery_2@2</v>
      </c>
      <c r="AE178" s="2" t="str">
        <f ca="1"/>
        <v>collection.mushroom_farm@2</v>
      </c>
    </row>
    <row r="179" spans="1:31" ht="29">
      <c r="A179" t="str">
        <f t="shared" ca="1" si="4"/>
        <v>collection.gallery_2@3</v>
      </c>
      <c r="B179" t="str">
        <f ca="1">_xlfn.XLOOKUP(tblValidation[[#This Row],[TargetID]],tblTargets[TargetID],tblTargets[TargetType],"")</f>
        <v>COLLECTION</v>
      </c>
      <c r="C179" s="48" t="b">
        <f ca="1">COUNTIF(tblTargets[TargetID], $A179) &gt; 0</f>
        <v>1</v>
      </c>
      <c r="D179" s="48" t="b">
        <f ca="1">IF(OR(LEFT(tblValidation[[#This Row],[TargetID]],10)="state.CHAR",RIGHT(tblValidation[[#This Row],[TargetID]],5)="maxed"),TRUE, COUNTIF(tblChecklist[TargetID], $A179) &gt; 0)</f>
        <v>1</v>
      </c>
      <c r="E1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$A179) &gt; 0)</f>
        <v>1</v>
      </c>
      <c r="F179" s="48" t="b">
        <f ca="1">COUNTIF(tblDependencies[DependencyID], $A179) &gt; 0</f>
        <v>1</v>
      </c>
      <c r="G179" s="48" t="b">
        <f ca="1">COUNTIF(tblQuestObjectives[QuestTargetID], $A179) &gt; 0</f>
        <v>0</v>
      </c>
      <c r="H179" s="48" t="b">
        <f ca="1">COUNTIF(tblQuestObjectives[ObjectiveID], $A179) &gt; 0</f>
        <v>0</v>
      </c>
      <c r="I179" s="48" t="b">
        <f ca="1">COUNTIF(tblTargetStatus[TargetID], $A179) &gt; 0</f>
        <v>1</v>
      </c>
      <c r="J179" s="48" t="b">
        <f ca="1">COUNTIF(tblCost[TargetID], $A179) &gt; 0</f>
        <v>1</v>
      </c>
      <c r="K179" s="48" t="b">
        <f ca="1">COUNTIF(tblStates[StateID], $A179) &gt; 0</f>
        <v>0</v>
      </c>
      <c r="L179" s="48" t="b">
        <f t="shared" ca="1" si="5"/>
        <v>1</v>
      </c>
      <c r="M179" s="48" t="b">
        <f ca="1">IF(tblValidation[[#This Row],[TargetID]]="","",COUNTIF(tblTargets[TargetID],A179)&gt;1)</f>
        <v>0</v>
      </c>
      <c r="N179" s="48" t="b">
        <f ca="1">IF(tblValidation[[#This Row],[TargetID]]="","",COUNTIF(tblStates[StateID],tblValidation[[#This Row],[TargetID]])&gt;1)</f>
        <v>0</v>
      </c>
      <c r="O179" s="48" t="b" cm="1">
        <f t="array" aca="1" ref="O1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9" s="48"/>
      <c r="R179" s="48"/>
      <c r="S179" s="48"/>
      <c r="T179" s="48"/>
      <c r="V179" s="2" t="str">
        <f ca="1"/>
        <v>collection.gallery_2@3</v>
      </c>
      <c r="W179" s="48"/>
      <c r="X179" s="48" t="str">
        <f ca="1"/>
        <v>collection.gallery_2@3</v>
      </c>
      <c r="Y179" s="48" t="str">
        <f ca="1"/>
        <v>collection.mushroom_farm@1</v>
      </c>
      <c r="Z179" s="48" t="str">
        <f ca="1"/>
        <v>collection.gallery_2@4</v>
      </c>
      <c r="AA179" s="48" t="str">
        <f ca="1"/>
        <v>collection.pantry_3@1</v>
      </c>
      <c r="AB179" s="48"/>
      <c r="AC179" s="48"/>
      <c r="AD179" s="2" t="str">
        <f ca="1"/>
        <v>collection.gallery_2@3</v>
      </c>
      <c r="AE179" s="2" t="str">
        <f ca="1"/>
        <v>collection.orangery@1</v>
      </c>
    </row>
    <row r="180" spans="1:31" ht="29">
      <c r="A180" t="str">
        <f t="shared" ca="1" si="4"/>
        <v>collection.gallery_2@4</v>
      </c>
      <c r="B180" t="str">
        <f ca="1">_xlfn.XLOOKUP(tblValidation[[#This Row],[TargetID]],tblTargets[TargetID],tblTargets[TargetType],"")</f>
        <v>COLLECTION</v>
      </c>
      <c r="C180" s="48" t="b">
        <f ca="1">COUNTIF(tblTargets[TargetID], $A180) &gt; 0</f>
        <v>1</v>
      </c>
      <c r="D180" s="48" t="b">
        <f ca="1">IF(OR(LEFT(tblValidation[[#This Row],[TargetID]],10)="state.CHAR",RIGHT(tblValidation[[#This Row],[TargetID]],5)="maxed"),TRUE, COUNTIF(tblChecklist[TargetID], $A180) &gt; 0)</f>
        <v>1</v>
      </c>
      <c r="E1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$A180) &gt; 0)</f>
        <v>1</v>
      </c>
      <c r="F180" s="48" t="b">
        <f ca="1">COUNTIF(tblDependencies[DependencyID], $A180) &gt; 0</f>
        <v>1</v>
      </c>
      <c r="G180" s="48" t="b">
        <f ca="1">COUNTIF(tblQuestObjectives[QuestTargetID], $A180) &gt; 0</f>
        <v>0</v>
      </c>
      <c r="H180" s="48" t="b">
        <f ca="1">COUNTIF(tblQuestObjectives[ObjectiveID], $A180) &gt; 0</f>
        <v>0</v>
      </c>
      <c r="I180" s="48" t="b">
        <f ca="1">COUNTIF(tblTargetStatus[TargetID], $A180) &gt; 0</f>
        <v>1</v>
      </c>
      <c r="J180" s="48" t="b">
        <f ca="1">COUNTIF(tblCost[TargetID], $A180) &gt; 0</f>
        <v>1</v>
      </c>
      <c r="K180" s="48" t="b">
        <f ca="1">COUNTIF(tblStates[StateID], $A180) &gt; 0</f>
        <v>0</v>
      </c>
      <c r="L180" s="48" t="b">
        <f t="shared" ca="1" si="5"/>
        <v>1</v>
      </c>
      <c r="M180" s="48" t="b">
        <f ca="1">IF(tblValidation[[#This Row],[TargetID]]="","",COUNTIF(tblTargets[TargetID],A180)&gt;1)</f>
        <v>0</v>
      </c>
      <c r="N180" s="48" t="b">
        <f ca="1">IF(tblValidation[[#This Row],[TargetID]]="","",COUNTIF(tblStates[StateID],tblValidation[[#This Row],[TargetID]])&gt;1)</f>
        <v>0</v>
      </c>
      <c r="O180" s="48" t="b" cm="1">
        <f t="array" aca="1" ref="O1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0" s="48"/>
      <c r="R180" s="48"/>
      <c r="S180" s="48"/>
      <c r="T180" s="48"/>
      <c r="V180" s="2" t="str">
        <f ca="1"/>
        <v>collection.gallery_2@4</v>
      </c>
      <c r="W180" s="48"/>
      <c r="X180" s="48" t="str">
        <f ca="1"/>
        <v>collection.gallery_2@4</v>
      </c>
      <c r="Y180" s="48" t="str">
        <f ca="1"/>
        <v>collection.mushroom_farm@2</v>
      </c>
      <c r="Z180" s="48" t="str">
        <f ca="1"/>
        <v>collection.gallery_2@5</v>
      </c>
      <c r="AA180" s="48" t="str">
        <f ca="1"/>
        <v>collection.pantry_3@2</v>
      </c>
      <c r="AB180" s="48"/>
      <c r="AC180" s="48"/>
      <c r="AD180" s="2" t="str">
        <f ca="1"/>
        <v>collection.gallery_2@4</v>
      </c>
      <c r="AE180" s="2" t="str">
        <f ca="1"/>
        <v>collection.orangery@2</v>
      </c>
    </row>
    <row r="181" spans="1:31" ht="29">
      <c r="A181" t="str">
        <f t="shared" ca="1" si="4"/>
        <v>collection.gallery_2@5</v>
      </c>
      <c r="B181" t="str">
        <f ca="1">_xlfn.XLOOKUP(tblValidation[[#This Row],[TargetID]],tblTargets[TargetID],tblTargets[TargetType],"")</f>
        <v>COLLECTION</v>
      </c>
      <c r="C181" s="48" t="b">
        <f ca="1">COUNTIF(tblTargets[TargetID], $A181) &gt; 0</f>
        <v>1</v>
      </c>
      <c r="D181" s="48" t="b">
        <f ca="1">IF(OR(LEFT(tblValidation[[#This Row],[TargetID]],10)="state.CHAR",RIGHT(tblValidation[[#This Row],[TargetID]],5)="maxed"),TRUE, COUNTIF(tblChecklist[TargetID], $A181) &gt; 0)</f>
        <v>1</v>
      </c>
      <c r="E1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$A181) &gt; 0)</f>
        <v>1</v>
      </c>
      <c r="F181" s="48" t="b">
        <f ca="1">COUNTIF(tblDependencies[DependencyID], $A181) &gt; 0</f>
        <v>0</v>
      </c>
      <c r="G181" s="48" t="b">
        <f ca="1">COUNTIF(tblQuestObjectives[QuestTargetID], $A181) &gt; 0</f>
        <v>0</v>
      </c>
      <c r="H181" s="48" t="b">
        <f ca="1">COUNTIF(tblQuestObjectives[ObjectiveID], $A181) &gt; 0</f>
        <v>0</v>
      </c>
      <c r="I181" s="48" t="b">
        <f ca="1">COUNTIF(tblTargetStatus[TargetID], $A181) &gt; 0</f>
        <v>1</v>
      </c>
      <c r="J181" s="48" t="b">
        <f ca="1">COUNTIF(tblCost[TargetID], $A181) &gt; 0</f>
        <v>1</v>
      </c>
      <c r="K181" s="48" t="b">
        <f ca="1">COUNTIF(tblStates[StateID], $A181) &gt; 0</f>
        <v>0</v>
      </c>
      <c r="L181" s="48" t="b">
        <f t="shared" ca="1" si="5"/>
        <v>1</v>
      </c>
      <c r="M181" s="48" t="b">
        <f ca="1">IF(tblValidation[[#This Row],[TargetID]]="","",COUNTIF(tblTargets[TargetID],A181)&gt;1)</f>
        <v>0</v>
      </c>
      <c r="N181" s="48" t="b">
        <f ca="1">IF(tblValidation[[#This Row],[TargetID]]="","",COUNTIF(tblStates[StateID],tblValidation[[#This Row],[TargetID]])&gt;1)</f>
        <v>0</v>
      </c>
      <c r="O181" s="48" t="b" cm="1">
        <f t="array" aca="1" ref="O1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1" s="48"/>
      <c r="R181" s="48"/>
      <c r="S181" s="48"/>
      <c r="T181" s="48"/>
      <c r="V181" s="2" t="str">
        <f ca="1"/>
        <v>collection.gallery_2@5</v>
      </c>
      <c r="W181" s="48"/>
      <c r="X181" s="48" t="str">
        <f ca="1"/>
        <v>collection.gallery_2@5</v>
      </c>
      <c r="Y181" s="48" t="str">
        <f ca="1"/>
        <v>collection.orangery@1</v>
      </c>
      <c r="Z181" s="48" t="str">
        <f ca="1"/>
        <v>collection.gallery_3@1</v>
      </c>
      <c r="AA181" s="48" t="str">
        <f ca="1"/>
        <v>collection.pantry_3@3</v>
      </c>
      <c r="AB181" s="48"/>
      <c r="AC181" s="48"/>
      <c r="AD181" s="2" t="str">
        <f ca="1"/>
        <v>collection.gallery_2@5</v>
      </c>
      <c r="AE181" s="2" t="str">
        <f ca="1"/>
        <v>collection.pantry_1@1</v>
      </c>
    </row>
    <row r="182" spans="1:31" ht="29">
      <c r="A182" t="str">
        <f t="shared" ca="1" si="4"/>
        <v>collection.gallery_3@1</v>
      </c>
      <c r="B182" t="str">
        <f ca="1">_xlfn.XLOOKUP(tblValidation[[#This Row],[TargetID]],tblTargets[TargetID],tblTargets[TargetType],"")</f>
        <v>COLLECTION</v>
      </c>
      <c r="C182" s="48" t="b">
        <f ca="1">COUNTIF(tblTargets[TargetID], $A182) &gt; 0</f>
        <v>1</v>
      </c>
      <c r="D182" s="48" t="b">
        <f ca="1">IF(OR(LEFT(tblValidation[[#This Row],[TargetID]],10)="state.CHAR",RIGHT(tblValidation[[#This Row],[TargetID]],5)="maxed"),TRUE, COUNTIF(tblChecklist[TargetID], $A182) &gt; 0)</f>
        <v>1</v>
      </c>
      <c r="E1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$A182) &gt; 0)</f>
        <v>1</v>
      </c>
      <c r="F182" s="48" t="b">
        <f ca="1">COUNTIF(tblDependencies[DependencyID], $A182) &gt; 0</f>
        <v>1</v>
      </c>
      <c r="G182" s="48" t="b">
        <f ca="1">COUNTIF(tblQuestObjectives[QuestTargetID], $A182) &gt; 0</f>
        <v>0</v>
      </c>
      <c r="H182" s="48" t="b">
        <f ca="1">COUNTIF(tblQuestObjectives[ObjectiveID], $A182) &gt; 0</f>
        <v>0</v>
      </c>
      <c r="I182" s="48" t="b">
        <f ca="1">COUNTIF(tblTargetStatus[TargetID], $A182) &gt; 0</f>
        <v>1</v>
      </c>
      <c r="J182" s="48" t="b">
        <f ca="1">COUNTIF(tblCost[TargetID], $A182) &gt; 0</f>
        <v>1</v>
      </c>
      <c r="K182" s="48" t="b">
        <f ca="1">COUNTIF(tblStates[StateID], $A182) &gt; 0</f>
        <v>0</v>
      </c>
      <c r="L182" s="48" t="b">
        <f t="shared" ca="1" si="5"/>
        <v>1</v>
      </c>
      <c r="M182" s="48" t="b">
        <f ca="1">IF(tblValidation[[#This Row],[TargetID]]="","",COUNTIF(tblTargets[TargetID],A182)&gt;1)</f>
        <v>0</v>
      </c>
      <c r="N182" s="48" t="b">
        <f ca="1">IF(tblValidation[[#This Row],[TargetID]]="","",COUNTIF(tblStates[StateID],tblValidation[[#This Row],[TargetID]])&gt;1)</f>
        <v>0</v>
      </c>
      <c r="O182" s="48" t="b" cm="1">
        <f t="array" aca="1" ref="O1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2" s="48"/>
      <c r="R182" s="48"/>
      <c r="S182" s="48"/>
      <c r="T182" s="48"/>
      <c r="V182" s="2" t="str">
        <f ca="1"/>
        <v>collection.gallery_3@1</v>
      </c>
      <c r="W182" s="48"/>
      <c r="X182" s="48" t="str">
        <f ca="1"/>
        <v>collection.gallery_3@1</v>
      </c>
      <c r="Y182" s="48" t="str">
        <f ca="1"/>
        <v>collection.orangery@2</v>
      </c>
      <c r="Z182" s="48" t="str">
        <f ca="1"/>
        <v>collection.gallery_3@2</v>
      </c>
      <c r="AA182" s="48" t="str">
        <f ca="1"/>
        <v>collection.pantry_3@4</v>
      </c>
      <c r="AB182" s="48"/>
      <c r="AC182" s="48"/>
      <c r="AD182" s="2" t="str">
        <f ca="1"/>
        <v>collection.gallery_3@1</v>
      </c>
      <c r="AE182" s="2" t="str">
        <f ca="1"/>
        <v>collection.pantry_1@2</v>
      </c>
    </row>
    <row r="183" spans="1:31" ht="29">
      <c r="A183" t="str">
        <f t="shared" ca="1" si="4"/>
        <v>collection.gallery_3@2</v>
      </c>
      <c r="B183" t="str">
        <f ca="1">_xlfn.XLOOKUP(tblValidation[[#This Row],[TargetID]],tblTargets[TargetID],tblTargets[TargetType],"")</f>
        <v>COLLECTION</v>
      </c>
      <c r="C183" s="48" t="b">
        <f ca="1">COUNTIF(tblTargets[TargetID], $A183) &gt; 0</f>
        <v>1</v>
      </c>
      <c r="D183" s="48" t="b">
        <f ca="1">IF(OR(LEFT(tblValidation[[#This Row],[TargetID]],10)="state.CHAR",RIGHT(tblValidation[[#This Row],[TargetID]],5)="maxed"),TRUE, COUNTIF(tblChecklist[TargetID], $A183) &gt; 0)</f>
        <v>1</v>
      </c>
      <c r="E1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$A183) &gt; 0)</f>
        <v>1</v>
      </c>
      <c r="F183" s="48" t="b">
        <f ca="1">COUNTIF(tblDependencies[DependencyID], $A183) &gt; 0</f>
        <v>1</v>
      </c>
      <c r="G183" s="48" t="b">
        <f ca="1">COUNTIF(tblQuestObjectives[QuestTargetID], $A183) &gt; 0</f>
        <v>0</v>
      </c>
      <c r="H183" s="48" t="b">
        <f ca="1">COUNTIF(tblQuestObjectives[ObjectiveID], $A183) &gt; 0</f>
        <v>0</v>
      </c>
      <c r="I183" s="48" t="b">
        <f ca="1">COUNTIF(tblTargetStatus[TargetID], $A183) &gt; 0</f>
        <v>1</v>
      </c>
      <c r="J183" s="48" t="b">
        <f ca="1">COUNTIF(tblCost[TargetID], $A183) &gt; 0</f>
        <v>1</v>
      </c>
      <c r="K183" s="48" t="b">
        <f ca="1">COUNTIF(tblStates[StateID], $A183) &gt; 0</f>
        <v>0</v>
      </c>
      <c r="L183" s="48" t="b">
        <f t="shared" ca="1" si="5"/>
        <v>1</v>
      </c>
      <c r="M183" s="48" t="b">
        <f ca="1">IF(tblValidation[[#This Row],[TargetID]]="","",COUNTIF(tblTargets[TargetID],A183)&gt;1)</f>
        <v>0</v>
      </c>
      <c r="N183" s="48" t="b">
        <f ca="1">IF(tblValidation[[#This Row],[TargetID]]="","",COUNTIF(tblStates[StateID],tblValidation[[#This Row],[TargetID]])&gt;1)</f>
        <v>0</v>
      </c>
      <c r="O183" s="48" t="b" cm="1">
        <f t="array" aca="1" ref="O1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3" s="48"/>
      <c r="R183" s="48"/>
      <c r="S183" s="48"/>
      <c r="T183" s="48"/>
      <c r="V183" s="2" t="str">
        <f ca="1"/>
        <v>collection.gallery_3@2</v>
      </c>
      <c r="W183" s="48"/>
      <c r="X183" s="48" t="str">
        <f ca="1"/>
        <v>collection.gallery_3@2</v>
      </c>
      <c r="Y183" s="48" t="str">
        <f ca="1"/>
        <v>collection.pantry_1@1</v>
      </c>
      <c r="Z183" s="48" t="str">
        <f ca="1"/>
        <v>collection.gallery_3@3</v>
      </c>
      <c r="AA183" s="48" t="str">
        <f ca="1"/>
        <v>collection.rotten_ladder@1</v>
      </c>
      <c r="AB183" s="48"/>
      <c r="AC183" s="48"/>
      <c r="AD183" s="2" t="str">
        <f ca="1"/>
        <v>collection.gallery_3@2</v>
      </c>
      <c r="AE183" s="2" t="str">
        <f ca="1"/>
        <v>collection.pantry_1@3</v>
      </c>
    </row>
    <row r="184" spans="1:31" ht="29">
      <c r="A184" t="str">
        <f t="shared" ca="1" si="4"/>
        <v>collection.gallery_3@3</v>
      </c>
      <c r="B184" t="str">
        <f ca="1">_xlfn.XLOOKUP(tblValidation[[#This Row],[TargetID]],tblTargets[TargetID],tblTargets[TargetType],"")</f>
        <v>COLLECTION</v>
      </c>
      <c r="C184" s="48" t="b">
        <f ca="1">COUNTIF(tblTargets[TargetID], $A184) &gt; 0</f>
        <v>1</v>
      </c>
      <c r="D184" s="48" t="b">
        <f ca="1">IF(OR(LEFT(tblValidation[[#This Row],[TargetID]],10)="state.CHAR",RIGHT(tblValidation[[#This Row],[TargetID]],5)="maxed"),TRUE, COUNTIF(tblChecklist[TargetID], $A184) &gt; 0)</f>
        <v>1</v>
      </c>
      <c r="E1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$A184) &gt; 0)</f>
        <v>1</v>
      </c>
      <c r="F184" s="48" t="b">
        <f ca="1">COUNTIF(tblDependencies[DependencyID], $A184) &gt; 0</f>
        <v>1</v>
      </c>
      <c r="G184" s="48" t="b">
        <f ca="1">COUNTIF(tblQuestObjectives[QuestTargetID], $A184) &gt; 0</f>
        <v>0</v>
      </c>
      <c r="H184" s="48" t="b">
        <f ca="1">COUNTIF(tblQuestObjectives[ObjectiveID], $A184) &gt; 0</f>
        <v>0</v>
      </c>
      <c r="I184" s="48" t="b">
        <f ca="1">COUNTIF(tblTargetStatus[TargetID], $A184) &gt; 0</f>
        <v>1</v>
      </c>
      <c r="J184" s="48" t="b">
        <f ca="1">COUNTIF(tblCost[TargetID], $A184) &gt; 0</f>
        <v>1</v>
      </c>
      <c r="K184" s="48" t="b">
        <f ca="1">COUNTIF(tblStates[StateID], $A184) &gt; 0</f>
        <v>0</v>
      </c>
      <c r="L184" s="48" t="b">
        <f t="shared" ca="1" si="5"/>
        <v>1</v>
      </c>
      <c r="M184" s="48" t="b">
        <f ca="1">IF(tblValidation[[#This Row],[TargetID]]="","",COUNTIF(tblTargets[TargetID],A184)&gt;1)</f>
        <v>0</v>
      </c>
      <c r="N184" s="48" t="b">
        <f ca="1">IF(tblValidation[[#This Row],[TargetID]]="","",COUNTIF(tblStates[StateID],tblValidation[[#This Row],[TargetID]])&gt;1)</f>
        <v>0</v>
      </c>
      <c r="O184" s="48" t="b" cm="1">
        <f t="array" aca="1" ref="O1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4" s="48"/>
      <c r="R184" s="48"/>
      <c r="S184" s="48"/>
      <c r="T184" s="48"/>
      <c r="V184" s="2" t="str">
        <f ca="1"/>
        <v>collection.gallery_3@3</v>
      </c>
      <c r="W184" s="48"/>
      <c r="X184" s="48" t="str">
        <f ca="1"/>
        <v>collection.gallery_3@3</v>
      </c>
      <c r="Y184" s="48" t="str">
        <f ca="1"/>
        <v>collection.pantry_1@2</v>
      </c>
      <c r="Z184" s="48" t="str">
        <f ca="1"/>
        <v>collection.gallery_3@4</v>
      </c>
      <c r="AA184" s="48" t="str">
        <f ca="1"/>
        <v>collection.tavern@1</v>
      </c>
      <c r="AB184" s="48"/>
      <c r="AC184" s="48"/>
      <c r="AD184" s="2" t="str">
        <f ca="1"/>
        <v>collection.gallery_3@3</v>
      </c>
      <c r="AE184" s="2" t="str">
        <f ca="1"/>
        <v>collection.pantry_1@4</v>
      </c>
    </row>
    <row r="185" spans="1:31" ht="29">
      <c r="A185" t="str">
        <f t="shared" ca="1" si="4"/>
        <v>collection.gallery_3@4</v>
      </c>
      <c r="B185" t="str">
        <f ca="1">_xlfn.XLOOKUP(tblValidation[[#This Row],[TargetID]],tblTargets[TargetID],tblTargets[TargetType],"")</f>
        <v>COLLECTION</v>
      </c>
      <c r="C185" s="48" t="b">
        <f ca="1">COUNTIF(tblTargets[TargetID], $A185) &gt; 0</f>
        <v>1</v>
      </c>
      <c r="D185" s="48" t="b">
        <f ca="1">IF(OR(LEFT(tblValidation[[#This Row],[TargetID]],10)="state.CHAR",RIGHT(tblValidation[[#This Row],[TargetID]],5)="maxed"),TRUE, COUNTIF(tblChecklist[TargetID], $A185) &gt; 0)</f>
        <v>1</v>
      </c>
      <c r="E1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$A185) &gt; 0)</f>
        <v>1</v>
      </c>
      <c r="F185" s="48" t="b">
        <f ca="1">COUNTIF(tblDependencies[DependencyID], $A185) &gt; 0</f>
        <v>1</v>
      </c>
      <c r="G185" s="48" t="b">
        <f ca="1">COUNTIF(tblQuestObjectives[QuestTargetID], $A185) &gt; 0</f>
        <v>0</v>
      </c>
      <c r="H185" s="48" t="b">
        <f ca="1">COUNTIF(tblQuestObjectives[ObjectiveID], $A185) &gt; 0</f>
        <v>0</v>
      </c>
      <c r="I185" s="48" t="b">
        <f ca="1">COUNTIF(tblTargetStatus[TargetID], $A185) &gt; 0</f>
        <v>1</v>
      </c>
      <c r="J185" s="48" t="b">
        <f ca="1">COUNTIF(tblCost[TargetID], $A185) &gt; 0</f>
        <v>1</v>
      </c>
      <c r="K185" s="48" t="b">
        <f ca="1">COUNTIF(tblStates[StateID], $A185) &gt; 0</f>
        <v>0</v>
      </c>
      <c r="L185" s="48" t="b">
        <f t="shared" ca="1" si="5"/>
        <v>1</v>
      </c>
      <c r="M185" s="48" t="b">
        <f ca="1">IF(tblValidation[[#This Row],[TargetID]]="","",COUNTIF(tblTargets[TargetID],A185)&gt;1)</f>
        <v>0</v>
      </c>
      <c r="N185" s="48" t="b">
        <f ca="1">IF(tblValidation[[#This Row],[TargetID]]="","",COUNTIF(tblStates[StateID],tblValidation[[#This Row],[TargetID]])&gt;1)</f>
        <v>0</v>
      </c>
      <c r="O185" s="48" t="b" cm="1">
        <f t="array" aca="1" ref="O1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5" s="48"/>
      <c r="R185" s="48"/>
      <c r="S185" s="48"/>
      <c r="T185" s="48"/>
      <c r="V185" s="2" t="str">
        <f ca="1"/>
        <v>collection.gallery_3@4</v>
      </c>
      <c r="W185" s="48"/>
      <c r="X185" s="48" t="str">
        <f ca="1"/>
        <v>collection.gallery_3@4</v>
      </c>
      <c r="Y185" s="48" t="str">
        <f ca="1"/>
        <v>collection.pantry_1@3</v>
      </c>
      <c r="Z185" s="48" t="str">
        <f ca="1"/>
        <v>collection.gallery_3@5</v>
      </c>
      <c r="AA185" s="48" t="str">
        <f ca="1"/>
        <v>collection.treasury_1@1</v>
      </c>
      <c r="AB185" s="48"/>
      <c r="AC185" s="48"/>
      <c r="AD185" s="2" t="str">
        <f ca="1"/>
        <v>collection.gallery_3@4</v>
      </c>
      <c r="AE185" s="2" t="str">
        <f ca="1"/>
        <v>collection.pantry_1@5</v>
      </c>
    </row>
    <row r="186" spans="1:31" ht="29">
      <c r="A186" t="str">
        <f t="shared" ca="1" si="4"/>
        <v>collection.gallery_3@5</v>
      </c>
      <c r="B186" t="str">
        <f ca="1">_xlfn.XLOOKUP(tblValidation[[#This Row],[TargetID]],tblTargets[TargetID],tblTargets[TargetType],"")</f>
        <v>COLLECTION</v>
      </c>
      <c r="C186" s="48" t="b">
        <f ca="1">COUNTIF(tblTargets[TargetID], $A186) &gt; 0</f>
        <v>1</v>
      </c>
      <c r="D186" s="48" t="b">
        <f ca="1">IF(OR(LEFT(tblValidation[[#This Row],[TargetID]],10)="state.CHAR",RIGHT(tblValidation[[#This Row],[TargetID]],5)="maxed"),TRUE, COUNTIF(tblChecklist[TargetID], $A186) &gt; 0)</f>
        <v>1</v>
      </c>
      <c r="E1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$A186) &gt; 0)</f>
        <v>1</v>
      </c>
      <c r="F186" s="48" t="b">
        <f ca="1">COUNTIF(tblDependencies[DependencyID], $A186) &gt; 0</f>
        <v>0</v>
      </c>
      <c r="G186" s="48" t="b">
        <f ca="1">COUNTIF(tblQuestObjectives[QuestTargetID], $A186) &gt; 0</f>
        <v>0</v>
      </c>
      <c r="H186" s="48" t="b">
        <f ca="1">COUNTIF(tblQuestObjectives[ObjectiveID], $A186) &gt; 0</f>
        <v>0</v>
      </c>
      <c r="I186" s="48" t="b">
        <f ca="1">COUNTIF(tblTargetStatus[TargetID], $A186) &gt; 0</f>
        <v>1</v>
      </c>
      <c r="J186" s="48" t="b">
        <f ca="1">COUNTIF(tblCost[TargetID], $A186) &gt; 0</f>
        <v>1</v>
      </c>
      <c r="K186" s="48" t="b">
        <f ca="1">COUNTIF(tblStates[StateID], $A186) &gt; 0</f>
        <v>0</v>
      </c>
      <c r="L186" s="48" t="b">
        <f t="shared" ca="1" si="5"/>
        <v>1</v>
      </c>
      <c r="M186" s="48" t="b">
        <f ca="1">IF(tblValidation[[#This Row],[TargetID]]="","",COUNTIF(tblTargets[TargetID],A186)&gt;1)</f>
        <v>0</v>
      </c>
      <c r="N186" s="48" t="b">
        <f ca="1">IF(tblValidation[[#This Row],[TargetID]]="","",COUNTIF(tblStates[StateID],tblValidation[[#This Row],[TargetID]])&gt;1)</f>
        <v>0</v>
      </c>
      <c r="O186" s="48" t="b" cm="1">
        <f t="array" aca="1" ref="O1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6" s="48"/>
      <c r="R186" s="48"/>
      <c r="S186" s="48"/>
      <c r="T186" s="48"/>
      <c r="V186" s="2" t="str">
        <f ca="1"/>
        <v>collection.gallery_3@5</v>
      </c>
      <c r="W186" s="48"/>
      <c r="X186" s="48" t="str">
        <f ca="1"/>
        <v>collection.gallery_3@5</v>
      </c>
      <c r="Y186" s="48" t="str">
        <f ca="1"/>
        <v>collection.pantry_1@4</v>
      </c>
      <c r="Z186" s="48" t="str">
        <f ca="1"/>
        <v>collection.historical_library_1@1</v>
      </c>
      <c r="AA186" s="48" t="str">
        <f ca="1"/>
        <v>collection.treasury_1@2</v>
      </c>
      <c r="AB186" s="48"/>
      <c r="AC186" s="48"/>
      <c r="AD186" s="2" t="str">
        <f ca="1"/>
        <v>collection.gallery_3@5</v>
      </c>
      <c r="AE186" s="2" t="str">
        <f ca="1"/>
        <v>collection.pantry_2@1</v>
      </c>
    </row>
    <row r="187" spans="1:31" ht="29">
      <c r="A187" t="str">
        <f t="shared" ca="1" si="4"/>
        <v>collection.historical_library_1@1</v>
      </c>
      <c r="B187" t="str">
        <f ca="1">_xlfn.XLOOKUP(tblValidation[[#This Row],[TargetID]],tblTargets[TargetID],tblTargets[TargetType],"")</f>
        <v>COLLECTION</v>
      </c>
      <c r="C187" s="48" t="b">
        <f ca="1">COUNTIF(tblTargets[TargetID], $A187) &gt; 0</f>
        <v>1</v>
      </c>
      <c r="D187" s="48" t="b">
        <f ca="1">IF(OR(LEFT(tblValidation[[#This Row],[TargetID]],10)="state.CHAR",RIGHT(tblValidation[[#This Row],[TargetID]],5)="maxed"),TRUE, COUNTIF(tblChecklist[TargetID], $A187) &gt; 0)</f>
        <v>1</v>
      </c>
      <c r="E1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$A187) &gt; 0)</f>
        <v>1</v>
      </c>
      <c r="F187" s="48" t="b">
        <f ca="1">COUNTIF(tblDependencies[DependencyID], $A187) &gt; 0</f>
        <v>1</v>
      </c>
      <c r="G187" s="48" t="b">
        <f ca="1">COUNTIF(tblQuestObjectives[QuestTargetID], $A187) &gt; 0</f>
        <v>0</v>
      </c>
      <c r="H187" s="48" t="b">
        <f ca="1">COUNTIF(tblQuestObjectives[ObjectiveID], $A187) &gt; 0</f>
        <v>0</v>
      </c>
      <c r="I187" s="48" t="b">
        <f ca="1">COUNTIF(tblTargetStatus[TargetID], $A187) &gt; 0</f>
        <v>1</v>
      </c>
      <c r="J187" s="48" t="b">
        <f ca="1">COUNTIF(tblCost[TargetID], $A187) &gt; 0</f>
        <v>1</v>
      </c>
      <c r="K187" s="48" t="b">
        <f ca="1">COUNTIF(tblStates[StateID], $A187) &gt; 0</f>
        <v>0</v>
      </c>
      <c r="L187" s="48" t="b">
        <f t="shared" ca="1" si="5"/>
        <v>1</v>
      </c>
      <c r="M187" s="48" t="b">
        <f ca="1">IF(tblValidation[[#This Row],[TargetID]]="","",COUNTIF(tblTargets[TargetID],A187)&gt;1)</f>
        <v>0</v>
      </c>
      <c r="N187" s="48" t="b">
        <f ca="1">IF(tblValidation[[#This Row],[TargetID]]="","",COUNTIF(tblStates[StateID],tblValidation[[#This Row],[TargetID]])&gt;1)</f>
        <v>0</v>
      </c>
      <c r="O187" s="48" t="b" cm="1">
        <f t="array" aca="1" ref="O1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7" s="48"/>
      <c r="R187" s="48"/>
      <c r="S187" s="48"/>
      <c r="T187" s="48"/>
      <c r="V187" s="2" t="str">
        <f ca="1"/>
        <v>collection.historical_library_1@1</v>
      </c>
      <c r="W187" s="48"/>
      <c r="X187" s="48" t="str">
        <f ca="1"/>
        <v>collection.historical_library_1@1</v>
      </c>
      <c r="Y187" s="48" t="str">
        <f ca="1"/>
        <v>collection.pantry_1@5</v>
      </c>
      <c r="Z187" s="48" t="str">
        <f ca="1"/>
        <v>collection.historical_library_1@2</v>
      </c>
      <c r="AA187" s="48" t="str">
        <f ca="1"/>
        <v>collection.treasury_1@3</v>
      </c>
      <c r="AB187" s="48"/>
      <c r="AC187" s="48"/>
      <c r="AD187" s="2" t="str">
        <f ca="1"/>
        <v>collection.historical_library_1@1</v>
      </c>
      <c r="AE187" s="2" t="str">
        <f ca="1"/>
        <v>collection.pantry_2@2</v>
      </c>
    </row>
    <row r="188" spans="1:31" ht="29">
      <c r="A188" t="str">
        <f t="shared" ca="1" si="4"/>
        <v>collection.historical_library_1@2</v>
      </c>
      <c r="B188" t="str">
        <f ca="1">_xlfn.XLOOKUP(tblValidation[[#This Row],[TargetID]],tblTargets[TargetID],tblTargets[TargetType],"")</f>
        <v>COLLECTION</v>
      </c>
      <c r="C188" s="48" t="b">
        <f ca="1">COUNTIF(tblTargets[TargetID], $A188) &gt; 0</f>
        <v>1</v>
      </c>
      <c r="D188" s="48" t="b">
        <f ca="1">IF(OR(LEFT(tblValidation[[#This Row],[TargetID]],10)="state.CHAR",RIGHT(tblValidation[[#This Row],[TargetID]],5)="maxed"),TRUE, COUNTIF(tblChecklist[TargetID], $A188) &gt; 0)</f>
        <v>1</v>
      </c>
      <c r="E1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$A188) &gt; 0)</f>
        <v>1</v>
      </c>
      <c r="F188" s="48" t="b">
        <f ca="1">COUNTIF(tblDependencies[DependencyID], $A188) &gt; 0</f>
        <v>1</v>
      </c>
      <c r="G188" s="48" t="b">
        <f ca="1">COUNTIF(tblQuestObjectives[QuestTargetID], $A188) &gt; 0</f>
        <v>0</v>
      </c>
      <c r="H188" s="48" t="b">
        <f ca="1">COUNTIF(tblQuestObjectives[ObjectiveID], $A188) &gt; 0</f>
        <v>0</v>
      </c>
      <c r="I188" s="48" t="b">
        <f ca="1">COUNTIF(tblTargetStatus[TargetID], $A188) &gt; 0</f>
        <v>1</v>
      </c>
      <c r="J188" s="48" t="b">
        <f ca="1">COUNTIF(tblCost[TargetID], $A188) &gt; 0</f>
        <v>1</v>
      </c>
      <c r="K188" s="48" t="b">
        <f ca="1">COUNTIF(tblStates[StateID], $A188) &gt; 0</f>
        <v>0</v>
      </c>
      <c r="L188" s="48" t="b">
        <f t="shared" ca="1" si="5"/>
        <v>1</v>
      </c>
      <c r="M188" s="48" t="b">
        <f ca="1">IF(tblValidation[[#This Row],[TargetID]]="","",COUNTIF(tblTargets[TargetID],A188)&gt;1)</f>
        <v>0</v>
      </c>
      <c r="N188" s="48" t="b">
        <f ca="1">IF(tblValidation[[#This Row],[TargetID]]="","",COUNTIF(tblStates[StateID],tblValidation[[#This Row],[TargetID]])&gt;1)</f>
        <v>0</v>
      </c>
      <c r="O188" s="48" t="b" cm="1">
        <f t="array" aca="1" ref="O1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8" s="48"/>
      <c r="R188" s="48"/>
      <c r="S188" s="48"/>
      <c r="T188" s="48"/>
      <c r="V188" s="2" t="str">
        <f ca="1"/>
        <v>collection.historical_library_1@2</v>
      </c>
      <c r="W188" s="48"/>
      <c r="X188" s="48" t="str">
        <f ca="1"/>
        <v>collection.historical_library_1@2</v>
      </c>
      <c r="Y188" s="48" t="str">
        <f ca="1"/>
        <v>collection.pantry_2@1</v>
      </c>
      <c r="Z188" s="48" t="str">
        <f ca="1"/>
        <v>collection.historical_library_1@3</v>
      </c>
      <c r="AA188" s="48" t="str">
        <f ca="1"/>
        <v>collection.treasury_1@4</v>
      </c>
      <c r="AB188" s="48"/>
      <c r="AC188" s="48"/>
      <c r="AD188" s="2" t="str">
        <f ca="1"/>
        <v>collection.historical_library_1@2</v>
      </c>
      <c r="AE188" s="2" t="str">
        <f ca="1"/>
        <v>collection.pantry_2@3</v>
      </c>
    </row>
    <row r="189" spans="1:31" ht="29">
      <c r="A189" t="str">
        <f t="shared" ca="1" si="4"/>
        <v>collection.historical_library_1@3</v>
      </c>
      <c r="B189" t="str">
        <f ca="1">_xlfn.XLOOKUP(tblValidation[[#This Row],[TargetID]],tblTargets[TargetID],tblTargets[TargetType],"")</f>
        <v>COLLECTION</v>
      </c>
      <c r="C189" s="48" t="b">
        <f ca="1">COUNTIF(tblTargets[TargetID], $A189) &gt; 0</f>
        <v>1</v>
      </c>
      <c r="D189" s="48" t="b">
        <f ca="1">IF(OR(LEFT(tblValidation[[#This Row],[TargetID]],10)="state.CHAR",RIGHT(tblValidation[[#This Row],[TargetID]],5)="maxed"),TRUE, COUNTIF(tblChecklist[TargetID], $A189) &gt; 0)</f>
        <v>1</v>
      </c>
      <c r="E1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$A189) &gt; 0)</f>
        <v>1</v>
      </c>
      <c r="F189" s="48" t="b">
        <f ca="1">COUNTIF(tblDependencies[DependencyID], $A189) &gt; 0</f>
        <v>0</v>
      </c>
      <c r="G189" s="48" t="b">
        <f ca="1">COUNTIF(tblQuestObjectives[QuestTargetID], $A189) &gt; 0</f>
        <v>0</v>
      </c>
      <c r="H189" s="48" t="b">
        <f ca="1">COUNTIF(tblQuestObjectives[ObjectiveID], $A189) &gt; 0</f>
        <v>0</v>
      </c>
      <c r="I189" s="48" t="b">
        <f ca="1">COUNTIF(tblTargetStatus[TargetID], $A189) &gt; 0</f>
        <v>1</v>
      </c>
      <c r="J189" s="48" t="b">
        <f ca="1">COUNTIF(tblCost[TargetID], $A189) &gt; 0</f>
        <v>1</v>
      </c>
      <c r="K189" s="48" t="b">
        <f ca="1">COUNTIF(tblStates[StateID], $A189) &gt; 0</f>
        <v>0</v>
      </c>
      <c r="L189" s="48" t="b">
        <f t="shared" ca="1" si="5"/>
        <v>1</v>
      </c>
      <c r="M189" s="48" t="b">
        <f ca="1">IF(tblValidation[[#This Row],[TargetID]]="","",COUNTIF(tblTargets[TargetID],A189)&gt;1)</f>
        <v>0</v>
      </c>
      <c r="N189" s="48" t="b">
        <f ca="1">IF(tblValidation[[#This Row],[TargetID]]="","",COUNTIF(tblStates[StateID],tblValidation[[#This Row],[TargetID]])&gt;1)</f>
        <v>0</v>
      </c>
      <c r="O189" s="48" t="b" cm="1">
        <f t="array" aca="1" ref="O1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9" s="48"/>
      <c r="R189" s="48"/>
      <c r="S189" s="48"/>
      <c r="T189" s="48"/>
      <c r="V189" s="2" t="str">
        <f ca="1"/>
        <v>collection.historical_library_1@3</v>
      </c>
      <c r="W189" s="48"/>
      <c r="X189" s="48" t="str">
        <f ca="1"/>
        <v>collection.historical_library_1@3</v>
      </c>
      <c r="Y189" s="48" t="str">
        <f ca="1"/>
        <v>collection.pantry_2@2</v>
      </c>
      <c r="Z189" s="48" t="str">
        <f ca="1"/>
        <v>collection.historical_library_2@1</v>
      </c>
      <c r="AA189" s="48" t="str">
        <f ca="1"/>
        <v>collection.treasury_2@1</v>
      </c>
      <c r="AB189" s="48"/>
      <c r="AC189" s="48"/>
      <c r="AD189" s="2" t="str">
        <f ca="1"/>
        <v>collection.historical_library_1@3</v>
      </c>
      <c r="AE189" s="2" t="str">
        <f ca="1"/>
        <v>collection.pantry_2@4</v>
      </c>
    </row>
    <row r="190" spans="1:31" ht="29">
      <c r="A190" t="str">
        <f t="shared" ca="1" si="4"/>
        <v>collection.historical_library_2@1</v>
      </c>
      <c r="B190" t="str">
        <f ca="1">_xlfn.XLOOKUP(tblValidation[[#This Row],[TargetID]],tblTargets[TargetID],tblTargets[TargetType],"")</f>
        <v>COLLECTION</v>
      </c>
      <c r="C190" s="48" t="b">
        <f ca="1">COUNTIF(tblTargets[TargetID], $A190) &gt; 0</f>
        <v>1</v>
      </c>
      <c r="D190" s="48" t="b">
        <f ca="1">IF(OR(LEFT(tblValidation[[#This Row],[TargetID]],10)="state.CHAR",RIGHT(tblValidation[[#This Row],[TargetID]],5)="maxed"),TRUE, COUNTIF(tblChecklist[TargetID], $A190) &gt; 0)</f>
        <v>1</v>
      </c>
      <c r="E1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$A190) &gt; 0)</f>
        <v>1</v>
      </c>
      <c r="F190" s="48" t="b">
        <f ca="1">COUNTIF(tblDependencies[DependencyID], $A190) &gt; 0</f>
        <v>1</v>
      </c>
      <c r="G190" s="48" t="b">
        <f ca="1">COUNTIF(tblQuestObjectives[QuestTargetID], $A190) &gt; 0</f>
        <v>0</v>
      </c>
      <c r="H190" s="48" t="b">
        <f ca="1">COUNTIF(tblQuestObjectives[ObjectiveID], $A190) &gt; 0</f>
        <v>0</v>
      </c>
      <c r="I190" s="48" t="b">
        <f ca="1">COUNTIF(tblTargetStatus[TargetID], $A190) &gt; 0</f>
        <v>1</v>
      </c>
      <c r="J190" s="48" t="b">
        <f ca="1">COUNTIF(tblCost[TargetID], $A190) &gt; 0</f>
        <v>1</v>
      </c>
      <c r="K190" s="48" t="b">
        <f ca="1">COUNTIF(tblStates[StateID], $A190) &gt; 0</f>
        <v>0</v>
      </c>
      <c r="L190" s="48" t="b">
        <f t="shared" ca="1" si="5"/>
        <v>1</v>
      </c>
      <c r="M190" s="48" t="b">
        <f ca="1">IF(tblValidation[[#This Row],[TargetID]]="","",COUNTIF(tblTargets[TargetID],A190)&gt;1)</f>
        <v>0</v>
      </c>
      <c r="N190" s="48" t="b">
        <f ca="1">IF(tblValidation[[#This Row],[TargetID]]="","",COUNTIF(tblStates[StateID],tblValidation[[#This Row],[TargetID]])&gt;1)</f>
        <v>0</v>
      </c>
      <c r="O190" s="48" t="b" cm="1">
        <f t="array" aca="1" ref="O1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0" s="48"/>
      <c r="R190" s="48"/>
      <c r="S190" s="48"/>
      <c r="T190" s="48"/>
      <c r="V190" s="2" t="str">
        <f ca="1"/>
        <v>collection.historical_library_2@1</v>
      </c>
      <c r="W190" s="48"/>
      <c r="X190" s="48" t="str">
        <f ca="1"/>
        <v>collection.historical_library_2@1</v>
      </c>
      <c r="Y190" s="48" t="str">
        <f ca="1"/>
        <v>collection.pantry_2@3</v>
      </c>
      <c r="Z190" s="48" t="str">
        <f ca="1"/>
        <v>collection.historical_library_2@2</v>
      </c>
      <c r="AA190" s="48" t="str">
        <f ca="1"/>
        <v>collection.treasury_2@2</v>
      </c>
      <c r="AB190" s="48"/>
      <c r="AC190" s="48"/>
      <c r="AD190" s="2" t="str">
        <f ca="1"/>
        <v>collection.historical_library_2@1</v>
      </c>
      <c r="AE190" s="2" t="str">
        <f ca="1"/>
        <v>collection.pantry_2@5</v>
      </c>
    </row>
    <row r="191" spans="1:31" ht="29">
      <c r="A191" t="str">
        <f t="shared" ca="1" si="4"/>
        <v>collection.historical_library_2@2</v>
      </c>
      <c r="B191" t="str">
        <f ca="1">_xlfn.XLOOKUP(tblValidation[[#This Row],[TargetID]],tblTargets[TargetID],tblTargets[TargetType],"")</f>
        <v>COLLECTION</v>
      </c>
      <c r="C191" s="48" t="b">
        <f ca="1">COUNTIF(tblTargets[TargetID], $A191) &gt; 0</f>
        <v>1</v>
      </c>
      <c r="D191" s="48" t="b">
        <f ca="1">IF(OR(LEFT(tblValidation[[#This Row],[TargetID]],10)="state.CHAR",RIGHT(tblValidation[[#This Row],[TargetID]],5)="maxed"),TRUE, COUNTIF(tblChecklist[TargetID], $A191) &gt; 0)</f>
        <v>1</v>
      </c>
      <c r="E1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$A191) &gt; 0)</f>
        <v>1</v>
      </c>
      <c r="F191" s="48" t="b">
        <f ca="1">COUNTIF(tblDependencies[DependencyID], $A191) &gt; 0</f>
        <v>1</v>
      </c>
      <c r="G191" s="48" t="b">
        <f ca="1">COUNTIF(tblQuestObjectives[QuestTargetID], $A191) &gt; 0</f>
        <v>0</v>
      </c>
      <c r="H191" s="48" t="b">
        <f ca="1">COUNTIF(tblQuestObjectives[ObjectiveID], $A191) &gt; 0</f>
        <v>0</v>
      </c>
      <c r="I191" s="48" t="b">
        <f ca="1">COUNTIF(tblTargetStatus[TargetID], $A191) &gt; 0</f>
        <v>1</v>
      </c>
      <c r="J191" s="48" t="b">
        <f ca="1">COUNTIF(tblCost[TargetID], $A191) &gt; 0</f>
        <v>1</v>
      </c>
      <c r="K191" s="48" t="b">
        <f ca="1">COUNTIF(tblStates[StateID], $A191) &gt; 0</f>
        <v>0</v>
      </c>
      <c r="L191" s="48" t="b">
        <f t="shared" ca="1" si="5"/>
        <v>1</v>
      </c>
      <c r="M191" s="48" t="b">
        <f ca="1">IF(tblValidation[[#This Row],[TargetID]]="","",COUNTIF(tblTargets[TargetID],A191)&gt;1)</f>
        <v>0</v>
      </c>
      <c r="N191" s="48" t="b">
        <f ca="1">IF(tblValidation[[#This Row],[TargetID]]="","",COUNTIF(tblStates[StateID],tblValidation[[#This Row],[TargetID]])&gt;1)</f>
        <v>0</v>
      </c>
      <c r="O191" s="48" t="b" cm="1">
        <f t="array" aca="1" ref="O1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1" s="48"/>
      <c r="R191" s="48"/>
      <c r="S191" s="48"/>
      <c r="T191" s="48"/>
      <c r="V191" s="2" t="str">
        <f ca="1"/>
        <v>collection.historical_library_2@2</v>
      </c>
      <c r="W191" s="48"/>
      <c r="X191" s="48" t="str">
        <f ca="1"/>
        <v>collection.historical_library_2@2</v>
      </c>
      <c r="Y191" s="48" t="str">
        <f ca="1"/>
        <v>collection.pantry_2@4</v>
      </c>
      <c r="Z191" s="48" t="str">
        <f ca="1"/>
        <v>collection.historical_library_2@3</v>
      </c>
      <c r="AA191" s="48" t="str">
        <f ca="1"/>
        <v>craftifact.historical_library</v>
      </c>
      <c r="AB191" s="48"/>
      <c r="AC191" s="48"/>
      <c r="AD191" s="2" t="str">
        <f ca="1"/>
        <v>collection.historical_library_2@2</v>
      </c>
      <c r="AE191" s="2" t="str">
        <f ca="1"/>
        <v>collection.pantry_3@1</v>
      </c>
    </row>
    <row r="192" spans="1:31" ht="29">
      <c r="A192" t="str">
        <f t="shared" ca="1" si="4"/>
        <v>collection.historical_library_2@3</v>
      </c>
      <c r="B192" t="str">
        <f ca="1">_xlfn.XLOOKUP(tblValidation[[#This Row],[TargetID]],tblTargets[TargetID],tblTargets[TargetType],"")</f>
        <v>COLLECTION</v>
      </c>
      <c r="C192" s="48" t="b">
        <f ca="1">COUNTIF(tblTargets[TargetID], $A192) &gt; 0</f>
        <v>1</v>
      </c>
      <c r="D192" s="48" t="b">
        <f ca="1">IF(OR(LEFT(tblValidation[[#This Row],[TargetID]],10)="state.CHAR",RIGHT(tblValidation[[#This Row],[TargetID]],5)="maxed"),TRUE, COUNTIF(tblChecklist[TargetID], $A192) &gt; 0)</f>
        <v>1</v>
      </c>
      <c r="E1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$A192) &gt; 0)</f>
        <v>1</v>
      </c>
      <c r="F192" s="48" t="b">
        <f ca="1">COUNTIF(tblDependencies[DependencyID], $A192) &gt; 0</f>
        <v>0</v>
      </c>
      <c r="G192" s="48" t="b">
        <f ca="1">COUNTIF(tblQuestObjectives[QuestTargetID], $A192) &gt; 0</f>
        <v>0</v>
      </c>
      <c r="H192" s="48" t="b">
        <f ca="1">COUNTIF(tblQuestObjectives[ObjectiveID], $A192) &gt; 0</f>
        <v>0</v>
      </c>
      <c r="I192" s="48" t="b">
        <f ca="1">COUNTIF(tblTargetStatus[TargetID], $A192) &gt; 0</f>
        <v>1</v>
      </c>
      <c r="J192" s="48" t="b">
        <f ca="1">COUNTIF(tblCost[TargetID], $A192) &gt; 0</f>
        <v>1</v>
      </c>
      <c r="K192" s="48" t="b">
        <f ca="1">COUNTIF(tblStates[StateID], $A192) &gt; 0</f>
        <v>0</v>
      </c>
      <c r="L192" s="48" t="b">
        <f t="shared" ca="1" si="5"/>
        <v>1</v>
      </c>
      <c r="M192" s="48" t="b">
        <f ca="1">IF(tblValidation[[#This Row],[TargetID]]="","",COUNTIF(tblTargets[TargetID],A192)&gt;1)</f>
        <v>0</v>
      </c>
      <c r="N192" s="48" t="b">
        <f ca="1">IF(tblValidation[[#This Row],[TargetID]]="","",COUNTIF(tblStates[StateID],tblValidation[[#This Row],[TargetID]])&gt;1)</f>
        <v>0</v>
      </c>
      <c r="O192" s="48" t="b" cm="1">
        <f t="array" aca="1" ref="O1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2" s="48"/>
      <c r="R192" s="48"/>
      <c r="S192" s="48"/>
      <c r="T192" s="48"/>
      <c r="V192" s="2" t="str">
        <f ca="1"/>
        <v>collection.historical_library_2@3</v>
      </c>
      <c r="W192" s="48"/>
      <c r="X192" s="48" t="str">
        <f ca="1"/>
        <v>collection.historical_library_2@3</v>
      </c>
      <c r="Y192" s="48" t="str">
        <f ca="1"/>
        <v>collection.pantry_2@5</v>
      </c>
      <c r="Z192" s="48" t="str">
        <f ca="1"/>
        <v>collection.horse@1</v>
      </c>
      <c r="AA192" s="48" t="str">
        <f ca="1"/>
        <v>craftifact.solver_1_prototype</v>
      </c>
      <c r="AB192" s="48"/>
      <c r="AC192" s="48"/>
      <c r="AD192" s="2" t="str">
        <f ca="1"/>
        <v>collection.historical_library_2@3</v>
      </c>
      <c r="AE192" s="2" t="str">
        <f ca="1"/>
        <v>collection.pantry_3@2</v>
      </c>
    </row>
    <row r="193" spans="1:31">
      <c r="A193" t="str">
        <f t="shared" ca="1" si="4"/>
        <v>collection.horse@1</v>
      </c>
      <c r="B193" t="str">
        <f ca="1">_xlfn.XLOOKUP(tblValidation[[#This Row],[TargetID]],tblTargets[TargetID],tblTargets[TargetType],"")</f>
        <v>COLLECTION</v>
      </c>
      <c r="C193" s="48" t="b">
        <f ca="1">COUNTIF(tblTargets[TargetID], $A193) &gt; 0</f>
        <v>1</v>
      </c>
      <c r="D193" s="48" t="b">
        <f ca="1">IF(OR(LEFT(tblValidation[[#This Row],[TargetID]],10)="state.CHAR",RIGHT(tblValidation[[#This Row],[TargetID]],5)="maxed"),TRUE, COUNTIF(tblChecklist[TargetID], $A193) &gt; 0)</f>
        <v>1</v>
      </c>
      <c r="E1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$A193) &gt; 0)</f>
        <v>1</v>
      </c>
      <c r="F193" s="48" t="b">
        <f ca="1">COUNTIF(tblDependencies[DependencyID], $A193) &gt; 0</f>
        <v>0</v>
      </c>
      <c r="G193" s="48" t="b">
        <f ca="1">COUNTIF(tblQuestObjectives[QuestTargetID], $A193) &gt; 0</f>
        <v>0</v>
      </c>
      <c r="H193" s="48" t="b">
        <f ca="1">COUNTIF(tblQuestObjectives[ObjectiveID], $A193) &gt; 0</f>
        <v>0</v>
      </c>
      <c r="I193" s="48" t="b">
        <f ca="1">COUNTIF(tblTargetStatus[TargetID], $A193) &gt; 0</f>
        <v>1</v>
      </c>
      <c r="J193" s="48" t="b">
        <f ca="1">COUNTIF(tblCost[TargetID], $A193) &gt; 0</f>
        <v>1</v>
      </c>
      <c r="K193" s="48" t="b">
        <f ca="1">COUNTIF(tblStates[StateID], $A193) &gt; 0</f>
        <v>0</v>
      </c>
      <c r="L193" s="48" t="b">
        <f t="shared" ca="1" si="5"/>
        <v>1</v>
      </c>
      <c r="M193" s="48" t="b">
        <f ca="1">IF(tblValidation[[#This Row],[TargetID]]="","",COUNTIF(tblTargets[TargetID],A193)&gt;1)</f>
        <v>0</v>
      </c>
      <c r="N193" s="48" t="b">
        <f ca="1">IF(tblValidation[[#This Row],[TargetID]]="","",COUNTIF(tblStates[StateID],tblValidation[[#This Row],[TargetID]])&gt;1)</f>
        <v>0</v>
      </c>
      <c r="O193" s="48" t="b" cm="1">
        <f t="array" aca="1" ref="O1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3" s="48"/>
      <c r="R193" s="48"/>
      <c r="S193" s="48"/>
      <c r="T193" s="48"/>
      <c r="V193" s="2" t="str">
        <f ca="1"/>
        <v>collection.horse@1</v>
      </c>
      <c r="W193" s="48"/>
      <c r="X193" s="48" t="str">
        <f ca="1"/>
        <v>collection.horse@1</v>
      </c>
      <c r="Y193" s="48" t="str">
        <f ca="1"/>
        <v>collection.pantry_3@1</v>
      </c>
      <c r="Z193" s="48" t="str">
        <f ca="1"/>
        <v>collection.kitchen_and_buttery_1@1</v>
      </c>
      <c r="AA193" s="48" t="str">
        <f ca="1"/>
        <v>craftifact.telescope</v>
      </c>
      <c r="AB193" s="48"/>
      <c r="AC193" s="48"/>
      <c r="AD193" s="2" t="str">
        <f ca="1"/>
        <v>collection.horse@1</v>
      </c>
      <c r="AE193" s="2" t="str">
        <f ca="1"/>
        <v>collection.pantry_3@3</v>
      </c>
    </row>
    <row r="194" spans="1:31" ht="29">
      <c r="A194" t="str">
        <f t="shared" ref="A194:A257" ca="1" si="6">IF(OR(V194=0,V194=""),"",V194)</f>
        <v>collection.kitchen_and_buttery_1@1</v>
      </c>
      <c r="B194" t="str">
        <f ca="1">_xlfn.XLOOKUP(tblValidation[[#This Row],[TargetID]],tblTargets[TargetID],tblTargets[TargetType],"")</f>
        <v>COLLECTION</v>
      </c>
      <c r="C194" s="48" t="b">
        <f ca="1">COUNTIF(tblTargets[TargetID], $A194) &gt; 0</f>
        <v>1</v>
      </c>
      <c r="D194" s="48" t="b">
        <f ca="1">IF(OR(LEFT(tblValidation[[#This Row],[TargetID]],10)="state.CHAR",RIGHT(tblValidation[[#This Row],[TargetID]],5)="maxed"),TRUE, COUNTIF(tblChecklist[TargetID], $A194) &gt; 0)</f>
        <v>1</v>
      </c>
      <c r="E1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$A194) &gt; 0)</f>
        <v>1</v>
      </c>
      <c r="F194" s="48" t="b">
        <f ca="1">COUNTIF(tblDependencies[DependencyID], $A194) &gt; 0</f>
        <v>1</v>
      </c>
      <c r="G194" s="48" t="b">
        <f ca="1">COUNTIF(tblQuestObjectives[QuestTargetID], $A194) &gt; 0</f>
        <v>0</v>
      </c>
      <c r="H194" s="48" t="b">
        <f ca="1">COUNTIF(tblQuestObjectives[ObjectiveID], $A194) &gt; 0</f>
        <v>0</v>
      </c>
      <c r="I194" s="48" t="b">
        <f ca="1">COUNTIF(tblTargetStatus[TargetID], $A194) &gt; 0</f>
        <v>1</v>
      </c>
      <c r="J194" s="48" t="b">
        <f ca="1">COUNTIF(tblCost[TargetID], $A194) &gt; 0</f>
        <v>1</v>
      </c>
      <c r="K194" s="48" t="b">
        <f ca="1">COUNTIF(tblStates[StateID], $A194) &gt; 0</f>
        <v>0</v>
      </c>
      <c r="L194" s="48" t="b">
        <f t="shared" ref="L194:L257" ca="1" si="7">AND(
A194=LOWER(A194),
ISERROR(SEARCH(" ",A194)),
ISERROR(SEARCH("..",A194))
)</f>
        <v>1</v>
      </c>
      <c r="M194" s="48" t="b">
        <f ca="1">IF(tblValidation[[#This Row],[TargetID]]="","",COUNTIF(tblTargets[TargetID],A194)&gt;1)</f>
        <v>0</v>
      </c>
      <c r="N194" s="48" t="b">
        <f ca="1">IF(tblValidation[[#This Row],[TargetID]]="","",COUNTIF(tblStates[StateID],tblValidation[[#This Row],[TargetID]])&gt;1)</f>
        <v>0</v>
      </c>
      <c r="O194" s="48" t="b" cm="1">
        <f t="array" aca="1" ref="O1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4" s="48"/>
      <c r="R194" s="48"/>
      <c r="S194" s="48"/>
      <c r="T194" s="48"/>
      <c r="V194" s="2" t="str">
        <f ca="1"/>
        <v>collection.kitchen_and_buttery_1@1</v>
      </c>
      <c r="W194" s="48"/>
      <c r="X194" s="48" t="str">
        <f ca="1"/>
        <v>collection.kitchen_and_buttery_1@1</v>
      </c>
      <c r="Y194" s="48" t="str">
        <f ca="1"/>
        <v>collection.pantry_3@2</v>
      </c>
      <c r="Z194" s="48" t="str">
        <f ca="1"/>
        <v>collection.kitchen_and_buttery_1@2</v>
      </c>
      <c r="AA194" s="48" t="str">
        <f ca="1"/>
        <v>quest.ahead_of_time_chapter_1.accepted</v>
      </c>
      <c r="AB194" s="48"/>
      <c r="AC194" s="48"/>
      <c r="AD194" s="2" t="str">
        <f ca="1"/>
        <v>collection.kitchen_and_buttery_1@1</v>
      </c>
      <c r="AE194" s="2" t="str">
        <f ca="1"/>
        <v>collection.pantry_3@4</v>
      </c>
    </row>
    <row r="195" spans="1:31" ht="29">
      <c r="A195" t="str">
        <f t="shared" ca="1" si="6"/>
        <v>collection.kitchen_and_buttery_1@2</v>
      </c>
      <c r="B195" t="str">
        <f ca="1">_xlfn.XLOOKUP(tblValidation[[#This Row],[TargetID]],tblTargets[TargetID],tblTargets[TargetType],"")</f>
        <v>COLLECTION</v>
      </c>
      <c r="C195" s="48" t="b">
        <f ca="1">COUNTIF(tblTargets[TargetID], $A195) &gt; 0</f>
        <v>1</v>
      </c>
      <c r="D195" s="48" t="b">
        <f ca="1">IF(OR(LEFT(tblValidation[[#This Row],[TargetID]],10)="state.CHAR",RIGHT(tblValidation[[#This Row],[TargetID]],5)="maxed"),TRUE, COUNTIF(tblChecklist[TargetID], $A195) &gt; 0)</f>
        <v>1</v>
      </c>
      <c r="E1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$A195) &gt; 0)</f>
        <v>1</v>
      </c>
      <c r="F195" s="48" t="b">
        <f ca="1">COUNTIF(tblDependencies[DependencyID], $A195) &gt; 0</f>
        <v>1</v>
      </c>
      <c r="G195" s="48" t="b">
        <f ca="1">COUNTIF(tblQuestObjectives[QuestTargetID], $A195) &gt; 0</f>
        <v>0</v>
      </c>
      <c r="H195" s="48" t="b">
        <f ca="1">COUNTIF(tblQuestObjectives[ObjectiveID], $A195) &gt; 0</f>
        <v>0</v>
      </c>
      <c r="I195" s="48" t="b">
        <f ca="1">COUNTIF(tblTargetStatus[TargetID], $A195) &gt; 0</f>
        <v>1</v>
      </c>
      <c r="J195" s="48" t="b">
        <f ca="1">COUNTIF(tblCost[TargetID], $A195) &gt; 0</f>
        <v>1</v>
      </c>
      <c r="K195" s="48" t="b">
        <f ca="1">COUNTIF(tblStates[StateID], $A195) &gt; 0</f>
        <v>0</v>
      </c>
      <c r="L195" s="48" t="b">
        <f t="shared" ca="1" si="7"/>
        <v>1</v>
      </c>
      <c r="M195" s="48" t="b">
        <f ca="1">IF(tblValidation[[#This Row],[TargetID]]="","",COUNTIF(tblTargets[TargetID],A195)&gt;1)</f>
        <v>0</v>
      </c>
      <c r="N195" s="48" t="b">
        <f ca="1">IF(tblValidation[[#This Row],[TargetID]]="","",COUNTIF(tblStates[StateID],tblValidation[[#This Row],[TargetID]])&gt;1)</f>
        <v>0</v>
      </c>
      <c r="O195" s="48" t="b" cm="1">
        <f t="array" aca="1" ref="O1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5" s="48"/>
      <c r="R195" s="48"/>
      <c r="S195" s="48"/>
      <c r="T195" s="48"/>
      <c r="V195" s="2" t="str">
        <f ca="1"/>
        <v>collection.kitchen_and_buttery_1@2</v>
      </c>
      <c r="W195" s="48"/>
      <c r="X195" s="48" t="str">
        <f ca="1"/>
        <v>collection.kitchen_and_buttery_1@2</v>
      </c>
      <c r="Y195" s="48" t="str">
        <f ca="1"/>
        <v>collection.pantry_3@3</v>
      </c>
      <c r="Z195" s="48" t="str">
        <f ca="1"/>
        <v>collection.kitchen_and_buttery_1@3</v>
      </c>
      <c r="AA195" s="48" t="str">
        <f ca="1"/>
        <v>quest.ahead_of_time_chapter_1.finished</v>
      </c>
      <c r="AB195" s="48"/>
      <c r="AC195" s="48"/>
      <c r="AD195" s="2" t="str">
        <f ca="1"/>
        <v>collection.kitchen_and_buttery_1@2</v>
      </c>
      <c r="AE195" s="2" t="str">
        <f ca="1"/>
        <v>collection.pantry_3@5</v>
      </c>
    </row>
    <row r="196" spans="1:31" ht="29">
      <c r="A196" t="str">
        <f t="shared" ca="1" si="6"/>
        <v>collection.kitchen_and_buttery_1@3</v>
      </c>
      <c r="B196" t="str">
        <f ca="1">_xlfn.XLOOKUP(tblValidation[[#This Row],[TargetID]],tblTargets[TargetID],tblTargets[TargetType],"")</f>
        <v>COLLECTION</v>
      </c>
      <c r="C196" s="48" t="b">
        <f ca="1">COUNTIF(tblTargets[TargetID], $A196) &gt; 0</f>
        <v>1</v>
      </c>
      <c r="D196" s="48" t="b">
        <f ca="1">IF(OR(LEFT(tblValidation[[#This Row],[TargetID]],10)="state.CHAR",RIGHT(tblValidation[[#This Row],[TargetID]],5)="maxed"),TRUE, COUNTIF(tblChecklist[TargetID], $A196) &gt; 0)</f>
        <v>1</v>
      </c>
      <c r="E1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$A196) &gt; 0)</f>
        <v>1</v>
      </c>
      <c r="F196" s="48" t="b">
        <f ca="1">COUNTIF(tblDependencies[DependencyID], $A196) &gt; 0</f>
        <v>1</v>
      </c>
      <c r="G196" s="48" t="b">
        <f ca="1">COUNTIF(tblQuestObjectives[QuestTargetID], $A196) &gt; 0</f>
        <v>0</v>
      </c>
      <c r="H196" s="48" t="b">
        <f ca="1">COUNTIF(tblQuestObjectives[ObjectiveID], $A196) &gt; 0</f>
        <v>0</v>
      </c>
      <c r="I196" s="48" t="b">
        <f ca="1">COUNTIF(tblTargetStatus[TargetID], $A196) &gt; 0</f>
        <v>1</v>
      </c>
      <c r="J196" s="48" t="b">
        <f ca="1">COUNTIF(tblCost[TargetID], $A196) &gt; 0</f>
        <v>1</v>
      </c>
      <c r="K196" s="48" t="b">
        <f ca="1">COUNTIF(tblStates[StateID], $A196) &gt; 0</f>
        <v>0</v>
      </c>
      <c r="L196" s="48" t="b">
        <f t="shared" ca="1" si="7"/>
        <v>1</v>
      </c>
      <c r="M196" s="48" t="b">
        <f ca="1">IF(tblValidation[[#This Row],[TargetID]]="","",COUNTIF(tblTargets[TargetID],A196)&gt;1)</f>
        <v>0</v>
      </c>
      <c r="N196" s="48" t="b">
        <f ca="1">IF(tblValidation[[#This Row],[TargetID]]="","",COUNTIF(tblStates[StateID],tblValidation[[#This Row],[TargetID]])&gt;1)</f>
        <v>0</v>
      </c>
      <c r="O196" s="48" t="b" cm="1">
        <f t="array" aca="1" ref="O1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6" s="48"/>
      <c r="R196" s="48"/>
      <c r="S196" s="48"/>
      <c r="T196" s="48"/>
      <c r="V196" s="2" t="str">
        <f ca="1"/>
        <v>collection.kitchen_and_buttery_1@3</v>
      </c>
      <c r="W196" s="48"/>
      <c r="X196" s="48" t="str">
        <f ca="1"/>
        <v>collection.kitchen_and_buttery_1@3</v>
      </c>
      <c r="Y196" s="48" t="str">
        <f ca="1"/>
        <v>collection.pantry_3@4</v>
      </c>
      <c r="Z196" s="48" t="str">
        <f ca="1"/>
        <v>collection.kitchen_and_buttery_1@4</v>
      </c>
      <c r="AA196" s="48" t="str">
        <f ca="1"/>
        <v>quest.ahead_of_time_chapter_2.accepted</v>
      </c>
      <c r="AB196" s="48"/>
      <c r="AC196" s="48"/>
      <c r="AD196" s="2" t="str">
        <f ca="1"/>
        <v>collection.kitchen_and_buttery_1@3</v>
      </c>
      <c r="AE196" s="2" t="str">
        <f ca="1"/>
        <v>collection.pantry_4@1</v>
      </c>
    </row>
    <row r="197" spans="1:31" ht="29">
      <c r="A197" t="str">
        <f t="shared" ca="1" si="6"/>
        <v>collection.kitchen_and_buttery_1@4</v>
      </c>
      <c r="B197" t="str">
        <f ca="1">_xlfn.XLOOKUP(tblValidation[[#This Row],[TargetID]],tblTargets[TargetID],tblTargets[TargetType],"")</f>
        <v>COLLECTION</v>
      </c>
      <c r="C197" s="48" t="b">
        <f ca="1">COUNTIF(tblTargets[TargetID], $A197) &gt; 0</f>
        <v>1</v>
      </c>
      <c r="D197" s="48" t="b">
        <f ca="1">IF(OR(LEFT(tblValidation[[#This Row],[TargetID]],10)="state.CHAR",RIGHT(tblValidation[[#This Row],[TargetID]],5)="maxed"),TRUE, COUNTIF(tblChecklist[TargetID], $A197) &gt; 0)</f>
        <v>1</v>
      </c>
      <c r="E1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$A197) &gt; 0)</f>
        <v>1</v>
      </c>
      <c r="F197" s="48" t="b">
        <f ca="1">COUNTIF(tblDependencies[DependencyID], $A197) &gt; 0</f>
        <v>1</v>
      </c>
      <c r="G197" s="48" t="b">
        <f ca="1">COUNTIF(tblQuestObjectives[QuestTargetID], $A197) &gt; 0</f>
        <v>0</v>
      </c>
      <c r="H197" s="48" t="b">
        <f ca="1">COUNTIF(tblQuestObjectives[ObjectiveID], $A197) &gt; 0</f>
        <v>0</v>
      </c>
      <c r="I197" s="48" t="b">
        <f ca="1">COUNTIF(tblTargetStatus[TargetID], $A197) &gt; 0</f>
        <v>1</v>
      </c>
      <c r="J197" s="48" t="b">
        <f ca="1">COUNTIF(tblCost[TargetID], $A197) &gt; 0</f>
        <v>1</v>
      </c>
      <c r="K197" s="48" t="b">
        <f ca="1">COUNTIF(tblStates[StateID], $A197) &gt; 0</f>
        <v>0</v>
      </c>
      <c r="L197" s="48" t="b">
        <f t="shared" ca="1" si="7"/>
        <v>1</v>
      </c>
      <c r="M197" s="48" t="b">
        <f ca="1">IF(tblValidation[[#This Row],[TargetID]]="","",COUNTIF(tblTargets[TargetID],A197)&gt;1)</f>
        <v>0</v>
      </c>
      <c r="N197" s="48" t="b">
        <f ca="1">IF(tblValidation[[#This Row],[TargetID]]="","",COUNTIF(tblStates[StateID],tblValidation[[#This Row],[TargetID]])&gt;1)</f>
        <v>0</v>
      </c>
      <c r="O197" s="48" t="b" cm="1">
        <f t="array" aca="1" ref="O1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7" s="48"/>
      <c r="R197" s="48"/>
      <c r="S197" s="48"/>
      <c r="T197" s="48"/>
      <c r="V197" s="2" t="str">
        <f ca="1"/>
        <v>collection.kitchen_and_buttery_1@4</v>
      </c>
      <c r="W197" s="48"/>
      <c r="X197" s="48" t="str">
        <f ca="1"/>
        <v>collection.kitchen_and_buttery_1@4</v>
      </c>
      <c r="Y197" s="48" t="str">
        <f ca="1"/>
        <v>collection.pantry_3@5</v>
      </c>
      <c r="Z197" s="48" t="str">
        <f ca="1"/>
        <v>collection.kitchen_and_buttery_1@5</v>
      </c>
      <c r="AA197" s="48" t="str">
        <f ca="1"/>
        <v>quest.ahead_of_time_chapter_2.finished</v>
      </c>
      <c r="AB197" s="48"/>
      <c r="AC197" s="48"/>
      <c r="AD197" s="2" t="str">
        <f ca="1"/>
        <v>collection.kitchen_and_buttery_1@4</v>
      </c>
      <c r="AE197" s="2" t="str">
        <f ca="1"/>
        <v>collection.rotten_ladder@1</v>
      </c>
    </row>
    <row r="198" spans="1:31" ht="29">
      <c r="A198" t="str">
        <f t="shared" ca="1" si="6"/>
        <v>collection.kitchen_and_buttery_1@5</v>
      </c>
      <c r="B198" t="str">
        <f ca="1">_xlfn.XLOOKUP(tblValidation[[#This Row],[TargetID]],tblTargets[TargetID],tblTargets[TargetType],"")</f>
        <v>COLLECTION</v>
      </c>
      <c r="C198" s="48" t="b">
        <f ca="1">COUNTIF(tblTargets[TargetID], $A198) &gt; 0</f>
        <v>1</v>
      </c>
      <c r="D198" s="48" t="b">
        <f ca="1">IF(OR(LEFT(tblValidation[[#This Row],[TargetID]],10)="state.CHAR",RIGHT(tblValidation[[#This Row],[TargetID]],5)="maxed"),TRUE, COUNTIF(tblChecklist[TargetID], $A198) &gt; 0)</f>
        <v>1</v>
      </c>
      <c r="E1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$A198) &gt; 0)</f>
        <v>1</v>
      </c>
      <c r="F198" s="48" t="b">
        <f ca="1">COUNTIF(tblDependencies[DependencyID], $A198) &gt; 0</f>
        <v>0</v>
      </c>
      <c r="G198" s="48" t="b">
        <f ca="1">COUNTIF(tblQuestObjectives[QuestTargetID], $A198) &gt; 0</f>
        <v>0</v>
      </c>
      <c r="H198" s="48" t="b">
        <f ca="1">COUNTIF(tblQuestObjectives[ObjectiveID], $A198) &gt; 0</f>
        <v>0</v>
      </c>
      <c r="I198" s="48" t="b">
        <f ca="1">COUNTIF(tblTargetStatus[TargetID], $A198) &gt; 0</f>
        <v>1</v>
      </c>
      <c r="J198" s="48" t="b">
        <f ca="1">COUNTIF(tblCost[TargetID], $A198) &gt; 0</f>
        <v>1</v>
      </c>
      <c r="K198" s="48" t="b">
        <f ca="1">COUNTIF(tblStates[StateID], $A198) &gt; 0</f>
        <v>0</v>
      </c>
      <c r="L198" s="48" t="b">
        <f t="shared" ca="1" si="7"/>
        <v>1</v>
      </c>
      <c r="M198" s="48" t="b">
        <f ca="1">IF(tblValidation[[#This Row],[TargetID]]="","",COUNTIF(tblTargets[TargetID],A198)&gt;1)</f>
        <v>0</v>
      </c>
      <c r="N198" s="48" t="b">
        <f ca="1">IF(tblValidation[[#This Row],[TargetID]]="","",COUNTIF(tblStates[StateID],tblValidation[[#This Row],[TargetID]])&gt;1)</f>
        <v>0</v>
      </c>
      <c r="O198" s="48" t="b" cm="1">
        <f t="array" aca="1" ref="O1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8" s="48"/>
      <c r="R198" s="48"/>
      <c r="S198" s="48"/>
      <c r="T198" s="48"/>
      <c r="V198" s="2" t="str">
        <f ca="1"/>
        <v>collection.kitchen_and_buttery_1@5</v>
      </c>
      <c r="W198" s="48"/>
      <c r="X198" s="48" t="str">
        <f ca="1"/>
        <v>collection.kitchen_and_buttery_1@5</v>
      </c>
      <c r="Y198" s="48" t="str">
        <f ca="1"/>
        <v>collection.pantry_4@1</v>
      </c>
      <c r="Z198" s="48" t="str">
        <f ca="1"/>
        <v>collection.kitchen_and_buttery_2@1</v>
      </c>
      <c r="AA198" s="48" t="str">
        <f ca="1"/>
        <v>quest.ahead_of_time_chapter_3.accepted</v>
      </c>
      <c r="AB198" s="48"/>
      <c r="AC198" s="48"/>
      <c r="AD198" s="2" t="str">
        <f ca="1"/>
        <v>collection.kitchen_and_buttery_1@5</v>
      </c>
      <c r="AE198" s="2" t="str">
        <f ca="1"/>
        <v>collection.staircase@1</v>
      </c>
    </row>
    <row r="199" spans="1:31" ht="29">
      <c r="A199" t="str">
        <f t="shared" ca="1" si="6"/>
        <v>collection.kitchen_and_buttery_2@1</v>
      </c>
      <c r="B199" t="str">
        <f ca="1">_xlfn.XLOOKUP(tblValidation[[#This Row],[TargetID]],tblTargets[TargetID],tblTargets[TargetType],"")</f>
        <v>COLLECTION</v>
      </c>
      <c r="C199" s="48" t="b">
        <f ca="1">COUNTIF(tblTargets[TargetID], $A199) &gt; 0</f>
        <v>1</v>
      </c>
      <c r="D199" s="48" t="b">
        <f ca="1">IF(OR(LEFT(tblValidation[[#This Row],[TargetID]],10)="state.CHAR",RIGHT(tblValidation[[#This Row],[TargetID]],5)="maxed"),TRUE, COUNTIF(tblChecklist[TargetID], $A199) &gt; 0)</f>
        <v>1</v>
      </c>
      <c r="E1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$A199) &gt; 0)</f>
        <v>1</v>
      </c>
      <c r="F199" s="48" t="b">
        <f ca="1">COUNTIF(tblDependencies[DependencyID], $A199) &gt; 0</f>
        <v>0</v>
      </c>
      <c r="G199" s="48" t="b">
        <f ca="1">COUNTIF(tblQuestObjectives[QuestTargetID], $A199) &gt; 0</f>
        <v>0</v>
      </c>
      <c r="H199" s="48" t="b">
        <f ca="1">COUNTIF(tblQuestObjectives[ObjectiveID], $A199) &gt; 0</f>
        <v>0</v>
      </c>
      <c r="I199" s="48" t="b">
        <f ca="1">COUNTIF(tblTargetStatus[TargetID], $A199) &gt; 0</f>
        <v>1</v>
      </c>
      <c r="J199" s="48" t="b">
        <f ca="1">COUNTIF(tblCost[TargetID], $A199) &gt; 0</f>
        <v>1</v>
      </c>
      <c r="K199" s="48" t="b">
        <f ca="1">COUNTIF(tblStates[StateID], $A199) &gt; 0</f>
        <v>0</v>
      </c>
      <c r="L199" s="48" t="b">
        <f t="shared" ca="1" si="7"/>
        <v>1</v>
      </c>
      <c r="M199" s="48" t="b">
        <f ca="1">IF(tblValidation[[#This Row],[TargetID]]="","",COUNTIF(tblTargets[TargetID],A199)&gt;1)</f>
        <v>0</v>
      </c>
      <c r="N199" s="48" t="b">
        <f ca="1">IF(tblValidation[[#This Row],[TargetID]]="","",COUNTIF(tblStates[StateID],tblValidation[[#This Row],[TargetID]])&gt;1)</f>
        <v>0</v>
      </c>
      <c r="O199" s="48" t="b" cm="1">
        <f t="array" aca="1" ref="O1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9" s="48"/>
      <c r="R199" s="48"/>
      <c r="S199" s="48"/>
      <c r="T199" s="48"/>
      <c r="V199" s="2" t="str">
        <f ca="1"/>
        <v>collection.kitchen_and_buttery_2@1</v>
      </c>
      <c r="W199" s="48"/>
      <c r="X199" s="48" t="str">
        <f ca="1"/>
        <v>collection.kitchen_and_buttery_2@1</v>
      </c>
      <c r="Y199" s="48" t="str">
        <f ca="1"/>
        <v>collection.rotten_ladder@1</v>
      </c>
      <c r="Z199" s="48" t="str">
        <f ca="1"/>
        <v>collection.mushroom_farm@1</v>
      </c>
      <c r="AA199" s="48" t="str">
        <f ca="1"/>
        <v>quest.ahead_of_time_chapter_3.finished</v>
      </c>
      <c r="AB199" s="48"/>
      <c r="AC199" s="48"/>
      <c r="AD199" s="2" t="str">
        <f ca="1"/>
        <v>collection.kitchen_and_buttery_2@1</v>
      </c>
      <c r="AE199" s="2" t="str">
        <f ca="1"/>
        <v>collection.statue@1</v>
      </c>
    </row>
    <row r="200" spans="1:31" ht="29">
      <c r="A200" t="str">
        <f t="shared" ca="1" si="6"/>
        <v>collection.mushroom_farm@1</v>
      </c>
      <c r="B200" t="str">
        <f ca="1">_xlfn.XLOOKUP(tblValidation[[#This Row],[TargetID]],tblTargets[TargetID],tblTargets[TargetType],"")</f>
        <v>COLLECTION</v>
      </c>
      <c r="C200" s="48" t="b">
        <f ca="1">COUNTIF(tblTargets[TargetID], $A200) &gt; 0</f>
        <v>1</v>
      </c>
      <c r="D200" s="48" t="b">
        <f ca="1">IF(OR(LEFT(tblValidation[[#This Row],[TargetID]],10)="state.CHAR",RIGHT(tblValidation[[#This Row],[TargetID]],5)="maxed"),TRUE, COUNTIF(tblChecklist[TargetID], $A200) &gt; 0)</f>
        <v>1</v>
      </c>
      <c r="E2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$A200) &gt; 0)</f>
        <v>1</v>
      </c>
      <c r="F200" s="48" t="b">
        <f ca="1">COUNTIF(tblDependencies[DependencyID], $A200) &gt; 0</f>
        <v>1</v>
      </c>
      <c r="G200" s="48" t="b">
        <f ca="1">COUNTIF(tblQuestObjectives[QuestTargetID], $A200) &gt; 0</f>
        <v>0</v>
      </c>
      <c r="H200" s="48" t="b">
        <f ca="1">COUNTIF(tblQuestObjectives[ObjectiveID], $A200) &gt; 0</f>
        <v>0</v>
      </c>
      <c r="I200" s="48" t="b">
        <f ca="1">COUNTIF(tblTargetStatus[TargetID], $A200) &gt; 0</f>
        <v>1</v>
      </c>
      <c r="J200" s="48" t="b">
        <f ca="1">COUNTIF(tblCost[TargetID], $A200) &gt; 0</f>
        <v>1</v>
      </c>
      <c r="K200" s="48" t="b">
        <f ca="1">COUNTIF(tblStates[StateID], $A200) &gt; 0</f>
        <v>0</v>
      </c>
      <c r="L200" s="48" t="b">
        <f t="shared" ca="1" si="7"/>
        <v>1</v>
      </c>
      <c r="M200" s="48" t="b">
        <f ca="1">IF(tblValidation[[#This Row],[TargetID]]="","",COUNTIF(tblTargets[TargetID],A200)&gt;1)</f>
        <v>0</v>
      </c>
      <c r="N200" s="48" t="b">
        <f ca="1">IF(tblValidation[[#This Row],[TargetID]]="","",COUNTIF(tblStates[StateID],tblValidation[[#This Row],[TargetID]])&gt;1)</f>
        <v>0</v>
      </c>
      <c r="O200" s="48" t="b" cm="1">
        <f t="array" aca="1" ref="O2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0" s="48"/>
      <c r="R200" s="48"/>
      <c r="S200" s="48"/>
      <c r="T200" s="48"/>
      <c r="V200" s="2" t="str">
        <f ca="1"/>
        <v>collection.mushroom_farm@1</v>
      </c>
      <c r="W200" s="48"/>
      <c r="X200" s="48" t="str">
        <f ca="1"/>
        <v>collection.mushroom_farm@1</v>
      </c>
      <c r="Y200" s="48" t="str">
        <f ca="1"/>
        <v>collection.staircase@1</v>
      </c>
      <c r="Z200" s="48" t="str">
        <f ca="1"/>
        <v>collection.mushroom_farm@2</v>
      </c>
      <c r="AA200" s="48" t="str">
        <f ca="1"/>
        <v>quest.ahead_of_time_chapter_4.accepted</v>
      </c>
      <c r="AB200" s="48"/>
      <c r="AC200" s="48"/>
      <c r="AD200" s="2" t="str">
        <f ca="1"/>
        <v>collection.mushroom_farm@1</v>
      </c>
      <c r="AE200" s="2" t="str">
        <f ca="1"/>
        <v>collection.tavern@1</v>
      </c>
    </row>
    <row r="201" spans="1:31" ht="29">
      <c r="A201" t="str">
        <f t="shared" ca="1" si="6"/>
        <v>collection.mushroom_farm@2</v>
      </c>
      <c r="B201" t="str">
        <f ca="1">_xlfn.XLOOKUP(tblValidation[[#This Row],[TargetID]],tblTargets[TargetID],tblTargets[TargetType],"")</f>
        <v>COLLECTION</v>
      </c>
      <c r="C201" s="48" t="b">
        <f ca="1">COUNTIF(tblTargets[TargetID], $A201) &gt; 0</f>
        <v>1</v>
      </c>
      <c r="D201" s="48" t="b">
        <f ca="1">IF(OR(LEFT(tblValidation[[#This Row],[TargetID]],10)="state.CHAR",RIGHT(tblValidation[[#This Row],[TargetID]],5)="maxed"),TRUE, COUNTIF(tblChecklist[TargetID], $A201) &gt; 0)</f>
        <v>1</v>
      </c>
      <c r="E2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$A201) &gt; 0)</f>
        <v>1</v>
      </c>
      <c r="F201" s="48" t="b">
        <f ca="1">COUNTIF(tblDependencies[DependencyID], $A201) &gt; 0</f>
        <v>0</v>
      </c>
      <c r="G201" s="48" t="b">
        <f ca="1">COUNTIF(tblQuestObjectives[QuestTargetID], $A201) &gt; 0</f>
        <v>0</v>
      </c>
      <c r="H201" s="48" t="b">
        <f ca="1">COUNTIF(tblQuestObjectives[ObjectiveID], $A201) &gt; 0</f>
        <v>0</v>
      </c>
      <c r="I201" s="48" t="b">
        <f ca="1">COUNTIF(tblTargetStatus[TargetID], $A201) &gt; 0</f>
        <v>1</v>
      </c>
      <c r="J201" s="48" t="b">
        <f ca="1">COUNTIF(tblCost[TargetID], $A201) &gt; 0</f>
        <v>1</v>
      </c>
      <c r="K201" s="48" t="b">
        <f ca="1">COUNTIF(tblStates[StateID], $A201) &gt; 0</f>
        <v>0</v>
      </c>
      <c r="L201" s="48" t="b">
        <f t="shared" ca="1" si="7"/>
        <v>1</v>
      </c>
      <c r="M201" s="48" t="b">
        <f ca="1">IF(tblValidation[[#This Row],[TargetID]]="","",COUNTIF(tblTargets[TargetID],A201)&gt;1)</f>
        <v>0</v>
      </c>
      <c r="N201" s="48" t="b">
        <f ca="1">IF(tblValidation[[#This Row],[TargetID]]="","",COUNTIF(tblStates[StateID],tblValidation[[#This Row],[TargetID]])&gt;1)</f>
        <v>0</v>
      </c>
      <c r="O201" s="48" t="b" cm="1">
        <f t="array" aca="1" ref="O2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1" s="48"/>
      <c r="R201" s="48"/>
      <c r="S201" s="48"/>
      <c r="T201" s="48"/>
      <c r="V201" s="2" t="str">
        <f ca="1"/>
        <v>collection.mushroom_farm@2</v>
      </c>
      <c r="W201" s="48"/>
      <c r="X201" s="48" t="str">
        <f ca="1"/>
        <v>collection.mushroom_farm@2</v>
      </c>
      <c r="Y201" s="48" t="str">
        <f ca="1"/>
        <v>collection.statue@1</v>
      </c>
      <c r="Z201" s="48" t="str">
        <f ca="1"/>
        <v>collection.orangery@1</v>
      </c>
      <c r="AA201" s="48" t="str">
        <f ca="1"/>
        <v>quest.ahead_of_time_chapter_4.finished</v>
      </c>
      <c r="AB201" s="48"/>
      <c r="AC201" s="48"/>
      <c r="AD201" s="2" t="str">
        <f ca="1"/>
        <v>collection.mushroom_farm@2</v>
      </c>
      <c r="AE201" s="2" t="str">
        <f ca="1"/>
        <v>collection.tavern@2</v>
      </c>
    </row>
    <row r="202" spans="1:31" ht="29">
      <c r="A202" t="str">
        <f t="shared" ca="1" si="6"/>
        <v>collection.orangery@1</v>
      </c>
      <c r="B202" t="str">
        <f ca="1">_xlfn.XLOOKUP(tblValidation[[#This Row],[TargetID]],tblTargets[TargetID],tblTargets[TargetType],"")</f>
        <v>COLLECTION</v>
      </c>
      <c r="C202" s="48" t="b">
        <f ca="1">COUNTIF(tblTargets[TargetID], $A202) &gt; 0</f>
        <v>1</v>
      </c>
      <c r="D202" s="48" t="b">
        <f ca="1">IF(OR(LEFT(tblValidation[[#This Row],[TargetID]],10)="state.CHAR",RIGHT(tblValidation[[#This Row],[TargetID]],5)="maxed"),TRUE, COUNTIF(tblChecklist[TargetID], $A202) &gt; 0)</f>
        <v>1</v>
      </c>
      <c r="E2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$A202) &gt; 0)</f>
        <v>1</v>
      </c>
      <c r="F202" s="48" t="b">
        <f ca="1">COUNTIF(tblDependencies[DependencyID], $A202) &gt; 0</f>
        <v>1</v>
      </c>
      <c r="G202" s="48" t="b">
        <f ca="1">COUNTIF(tblQuestObjectives[QuestTargetID], $A202) &gt; 0</f>
        <v>0</v>
      </c>
      <c r="H202" s="48" t="b">
        <f ca="1">COUNTIF(tblQuestObjectives[ObjectiveID], $A202) &gt; 0</f>
        <v>0</v>
      </c>
      <c r="I202" s="48" t="b">
        <f ca="1">COUNTIF(tblTargetStatus[TargetID], $A202) &gt; 0</f>
        <v>1</v>
      </c>
      <c r="J202" s="48" t="b">
        <f ca="1">COUNTIF(tblCost[TargetID], $A202) &gt; 0</f>
        <v>1</v>
      </c>
      <c r="K202" s="48" t="b">
        <f ca="1">COUNTIF(tblStates[StateID], $A202) &gt; 0</f>
        <v>0</v>
      </c>
      <c r="L202" s="48" t="b">
        <f t="shared" ca="1" si="7"/>
        <v>1</v>
      </c>
      <c r="M202" s="48" t="b">
        <f ca="1">IF(tblValidation[[#This Row],[TargetID]]="","",COUNTIF(tblTargets[TargetID],A202)&gt;1)</f>
        <v>0</v>
      </c>
      <c r="N202" s="48" t="b">
        <f ca="1">IF(tblValidation[[#This Row],[TargetID]]="","",COUNTIF(tblStates[StateID],tblValidation[[#This Row],[TargetID]])&gt;1)</f>
        <v>0</v>
      </c>
      <c r="O202" s="48" t="b" cm="1">
        <f t="array" aca="1" ref="O2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2" s="48"/>
      <c r="R202" s="48"/>
      <c r="S202" s="48"/>
      <c r="T202" s="48"/>
      <c r="V202" s="2" t="str">
        <f ca="1"/>
        <v>collection.orangery@1</v>
      </c>
      <c r="W202" s="48"/>
      <c r="X202" s="48" t="str">
        <f ca="1"/>
        <v>collection.orangery@1</v>
      </c>
      <c r="Y202" s="48" t="str">
        <f ca="1"/>
        <v>collection.tavern@1</v>
      </c>
      <c r="Z202" s="48" t="str">
        <f ca="1"/>
        <v>collection.orangery@2</v>
      </c>
      <c r="AA202" s="48" t="str">
        <f ca="1"/>
        <v>quest.ahead_of_time_chapter_5.accepted</v>
      </c>
      <c r="AB202" s="48"/>
      <c r="AC202" s="48"/>
      <c r="AD202" s="2" t="str">
        <f ca="1"/>
        <v>collection.orangery@1</v>
      </c>
      <c r="AE202" s="2" t="str">
        <f ca="1"/>
        <v>collection.treasury_1@1</v>
      </c>
    </row>
    <row r="203" spans="1:31" ht="29">
      <c r="A203" t="str">
        <f t="shared" ca="1" si="6"/>
        <v>collection.orangery@2</v>
      </c>
      <c r="B203" t="str">
        <f ca="1">_xlfn.XLOOKUP(tblValidation[[#This Row],[TargetID]],tblTargets[TargetID],tblTargets[TargetType],"")</f>
        <v>COLLECTION</v>
      </c>
      <c r="C203" s="48" t="b">
        <f ca="1">COUNTIF(tblTargets[TargetID], $A203) &gt; 0</f>
        <v>1</v>
      </c>
      <c r="D203" s="48" t="b">
        <f ca="1">IF(OR(LEFT(tblValidation[[#This Row],[TargetID]],10)="state.CHAR",RIGHT(tblValidation[[#This Row],[TargetID]],5)="maxed"),TRUE, COUNTIF(tblChecklist[TargetID], $A203) &gt; 0)</f>
        <v>1</v>
      </c>
      <c r="E2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$A203) &gt; 0)</f>
        <v>1</v>
      </c>
      <c r="F203" s="48" t="b">
        <f ca="1">COUNTIF(tblDependencies[DependencyID], $A203) &gt; 0</f>
        <v>0</v>
      </c>
      <c r="G203" s="48" t="b">
        <f ca="1">COUNTIF(tblQuestObjectives[QuestTargetID], $A203) &gt; 0</f>
        <v>0</v>
      </c>
      <c r="H203" s="48" t="b">
        <f ca="1">COUNTIF(tblQuestObjectives[ObjectiveID], $A203) &gt; 0</f>
        <v>0</v>
      </c>
      <c r="I203" s="48" t="b">
        <f ca="1">COUNTIF(tblTargetStatus[TargetID], $A203) &gt; 0</f>
        <v>1</v>
      </c>
      <c r="J203" s="48" t="b">
        <f ca="1">COUNTIF(tblCost[TargetID], $A203) &gt; 0</f>
        <v>1</v>
      </c>
      <c r="K203" s="48" t="b">
        <f ca="1">COUNTIF(tblStates[StateID], $A203) &gt; 0</f>
        <v>0</v>
      </c>
      <c r="L203" s="48" t="b">
        <f t="shared" ca="1" si="7"/>
        <v>1</v>
      </c>
      <c r="M203" s="48" t="b">
        <f ca="1">IF(tblValidation[[#This Row],[TargetID]]="","",COUNTIF(tblTargets[TargetID],A203)&gt;1)</f>
        <v>0</v>
      </c>
      <c r="N203" s="48" t="b">
        <f ca="1">IF(tblValidation[[#This Row],[TargetID]]="","",COUNTIF(tblStates[StateID],tblValidation[[#This Row],[TargetID]])&gt;1)</f>
        <v>0</v>
      </c>
      <c r="O203" s="48" t="b" cm="1">
        <f t="array" aca="1" ref="O2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3" s="48"/>
      <c r="R203" s="48"/>
      <c r="S203" s="48"/>
      <c r="T203" s="48"/>
      <c r="V203" s="2" t="str">
        <f ca="1"/>
        <v>collection.orangery@2</v>
      </c>
      <c r="W203" s="48"/>
      <c r="X203" s="48" t="str">
        <f ca="1"/>
        <v>collection.orangery@2</v>
      </c>
      <c r="Y203" s="48" t="str">
        <f ca="1"/>
        <v>collection.tavern@2</v>
      </c>
      <c r="Z203" s="48" t="str">
        <f ca="1"/>
        <v>collection.pantry_1@1</v>
      </c>
      <c r="AA203" s="48" t="str">
        <f ca="1"/>
        <v>quest.ahead_of_time_chapter_5.finished</v>
      </c>
      <c r="AB203" s="48"/>
      <c r="AC203" s="48"/>
      <c r="AD203" s="2" t="str">
        <f ca="1"/>
        <v>collection.orangery@2</v>
      </c>
      <c r="AE203" s="2" t="str">
        <f ca="1"/>
        <v>collection.treasury_1@2</v>
      </c>
    </row>
    <row r="204" spans="1:31" ht="29">
      <c r="A204" t="str">
        <f t="shared" ca="1" si="6"/>
        <v>collection.pantry_1@1</v>
      </c>
      <c r="B204" t="str">
        <f ca="1">_xlfn.XLOOKUP(tblValidation[[#This Row],[TargetID]],tblTargets[TargetID],tblTargets[TargetType],"")</f>
        <v>COLLECTION</v>
      </c>
      <c r="C204" s="48" t="b">
        <f ca="1">COUNTIF(tblTargets[TargetID], $A204) &gt; 0</f>
        <v>1</v>
      </c>
      <c r="D204" s="48" t="b">
        <f ca="1">IF(OR(LEFT(tblValidation[[#This Row],[TargetID]],10)="state.CHAR",RIGHT(tblValidation[[#This Row],[TargetID]],5)="maxed"),TRUE, COUNTIF(tblChecklist[TargetID], $A204) &gt; 0)</f>
        <v>1</v>
      </c>
      <c r="E2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$A204) &gt; 0)</f>
        <v>1</v>
      </c>
      <c r="F204" s="48" t="b">
        <f ca="1">COUNTIF(tblDependencies[DependencyID], $A204) &gt; 0</f>
        <v>1</v>
      </c>
      <c r="G204" s="48" t="b">
        <f ca="1">COUNTIF(tblQuestObjectives[QuestTargetID], $A204) &gt; 0</f>
        <v>0</v>
      </c>
      <c r="H204" s="48" t="b">
        <f ca="1">COUNTIF(tblQuestObjectives[ObjectiveID], $A204) &gt; 0</f>
        <v>0</v>
      </c>
      <c r="I204" s="48" t="b">
        <f ca="1">COUNTIF(tblTargetStatus[TargetID], $A204) &gt; 0</f>
        <v>1</v>
      </c>
      <c r="J204" s="48" t="b">
        <f ca="1">COUNTIF(tblCost[TargetID], $A204) &gt; 0</f>
        <v>1</v>
      </c>
      <c r="K204" s="48" t="b">
        <f ca="1">COUNTIF(tblStates[StateID], $A204) &gt; 0</f>
        <v>0</v>
      </c>
      <c r="L204" s="48" t="b">
        <f t="shared" ca="1" si="7"/>
        <v>1</v>
      </c>
      <c r="M204" s="48" t="b">
        <f ca="1">IF(tblValidation[[#This Row],[TargetID]]="","",COUNTIF(tblTargets[TargetID],A204)&gt;1)</f>
        <v>0</v>
      </c>
      <c r="N204" s="48" t="b">
        <f ca="1">IF(tblValidation[[#This Row],[TargetID]]="","",COUNTIF(tblStates[StateID],tblValidation[[#This Row],[TargetID]])&gt;1)</f>
        <v>0</v>
      </c>
      <c r="O204" s="48" t="b" cm="1">
        <f t="array" aca="1" ref="O2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4" s="48"/>
      <c r="R204" s="48"/>
      <c r="S204" s="48"/>
      <c r="T204" s="48"/>
      <c r="V204" s="2" t="str">
        <f ca="1"/>
        <v>collection.pantry_1@1</v>
      </c>
      <c r="W204" s="48"/>
      <c r="X204" s="48" t="str">
        <f ca="1"/>
        <v>collection.pantry_1@1</v>
      </c>
      <c r="Y204" s="48" t="str">
        <f ca="1"/>
        <v>collection.treasury_1@1</v>
      </c>
      <c r="Z204" s="48" t="str">
        <f ca="1"/>
        <v>collection.pantry_1@2</v>
      </c>
      <c r="AA204" s="48" t="str">
        <f ca="1"/>
        <v>quest.build_the_guild.accepted</v>
      </c>
      <c r="AB204" s="48"/>
      <c r="AC204" s="48"/>
      <c r="AD204" s="2" t="str">
        <f ca="1"/>
        <v>collection.pantry_1@1</v>
      </c>
      <c r="AE204" s="2" t="str">
        <f ca="1"/>
        <v>collection.treasury_1@3</v>
      </c>
    </row>
    <row r="205" spans="1:31" ht="29">
      <c r="A205" t="str">
        <f t="shared" ca="1" si="6"/>
        <v>collection.pantry_1@2</v>
      </c>
      <c r="B205" t="str">
        <f ca="1">_xlfn.XLOOKUP(tblValidation[[#This Row],[TargetID]],tblTargets[TargetID],tblTargets[TargetType],"")</f>
        <v>COLLECTION</v>
      </c>
      <c r="C205" s="48" t="b">
        <f ca="1">COUNTIF(tblTargets[TargetID], $A205) &gt; 0</f>
        <v>1</v>
      </c>
      <c r="D205" s="48" t="b">
        <f ca="1">IF(OR(LEFT(tblValidation[[#This Row],[TargetID]],10)="state.CHAR",RIGHT(tblValidation[[#This Row],[TargetID]],5)="maxed"),TRUE, COUNTIF(tblChecklist[TargetID], $A205) &gt; 0)</f>
        <v>1</v>
      </c>
      <c r="E2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$A205) &gt; 0)</f>
        <v>1</v>
      </c>
      <c r="F205" s="48" t="b">
        <f ca="1">COUNTIF(tblDependencies[DependencyID], $A205) &gt; 0</f>
        <v>1</v>
      </c>
      <c r="G205" s="48" t="b">
        <f ca="1">COUNTIF(tblQuestObjectives[QuestTargetID], $A205) &gt; 0</f>
        <v>0</v>
      </c>
      <c r="H205" s="48" t="b">
        <f ca="1">COUNTIF(tblQuestObjectives[ObjectiveID], $A205) &gt; 0</f>
        <v>0</v>
      </c>
      <c r="I205" s="48" t="b">
        <f ca="1">COUNTIF(tblTargetStatus[TargetID], $A205) &gt; 0</f>
        <v>1</v>
      </c>
      <c r="J205" s="48" t="b">
        <f ca="1">COUNTIF(tblCost[TargetID], $A205) &gt; 0</f>
        <v>1</v>
      </c>
      <c r="K205" s="48" t="b">
        <f ca="1">COUNTIF(tblStates[StateID], $A205) &gt; 0</f>
        <v>0</v>
      </c>
      <c r="L205" s="48" t="b">
        <f t="shared" ca="1" si="7"/>
        <v>1</v>
      </c>
      <c r="M205" s="48" t="b">
        <f ca="1">IF(tblValidation[[#This Row],[TargetID]]="","",COUNTIF(tblTargets[TargetID],A205)&gt;1)</f>
        <v>0</v>
      </c>
      <c r="N205" s="48" t="b">
        <f ca="1">IF(tblValidation[[#This Row],[TargetID]]="","",COUNTIF(tblStates[StateID],tblValidation[[#This Row],[TargetID]])&gt;1)</f>
        <v>0</v>
      </c>
      <c r="O205" s="48" t="b" cm="1">
        <f t="array" aca="1" ref="O2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5" s="48"/>
      <c r="R205" s="48"/>
      <c r="S205" s="48"/>
      <c r="T205" s="48"/>
      <c r="V205" s="2" t="str">
        <f ca="1"/>
        <v>collection.pantry_1@2</v>
      </c>
      <c r="W205" s="48"/>
      <c r="X205" s="48" t="str">
        <f ca="1"/>
        <v>collection.pantry_1@2</v>
      </c>
      <c r="Y205" s="48" t="str">
        <f ca="1"/>
        <v>collection.treasury_1@2</v>
      </c>
      <c r="Z205" s="48" t="str">
        <f ca="1"/>
        <v>collection.pantry_1@3</v>
      </c>
      <c r="AA205" s="48" t="str">
        <f ca="1"/>
        <v>quest.build_the_pagoda.accepted</v>
      </c>
      <c r="AB205" s="48"/>
      <c r="AC205" s="48"/>
      <c r="AD205" s="2" t="str">
        <f ca="1"/>
        <v>collection.pantry_1@2</v>
      </c>
      <c r="AE205" s="2" t="str">
        <f ca="1"/>
        <v>collection.treasury_1@4</v>
      </c>
    </row>
    <row r="206" spans="1:31" ht="29">
      <c r="A206" t="str">
        <f t="shared" ca="1" si="6"/>
        <v>collection.pantry_1@3</v>
      </c>
      <c r="B206" t="str">
        <f ca="1">_xlfn.XLOOKUP(tblValidation[[#This Row],[TargetID]],tblTargets[TargetID],tblTargets[TargetType],"")</f>
        <v>COLLECTION</v>
      </c>
      <c r="C206" s="48" t="b">
        <f ca="1">COUNTIF(tblTargets[TargetID], $A206) &gt; 0</f>
        <v>1</v>
      </c>
      <c r="D206" s="48" t="b">
        <f ca="1">IF(OR(LEFT(tblValidation[[#This Row],[TargetID]],10)="state.CHAR",RIGHT(tblValidation[[#This Row],[TargetID]],5)="maxed"),TRUE, COUNTIF(tblChecklist[TargetID], $A206) &gt; 0)</f>
        <v>1</v>
      </c>
      <c r="E2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$A206) &gt; 0)</f>
        <v>1</v>
      </c>
      <c r="F206" s="48" t="b">
        <f ca="1">COUNTIF(tblDependencies[DependencyID], $A206) &gt; 0</f>
        <v>1</v>
      </c>
      <c r="G206" s="48" t="b">
        <f ca="1">COUNTIF(tblQuestObjectives[QuestTargetID], $A206) &gt; 0</f>
        <v>0</v>
      </c>
      <c r="H206" s="48" t="b">
        <f ca="1">COUNTIF(tblQuestObjectives[ObjectiveID], $A206) &gt; 0</f>
        <v>0</v>
      </c>
      <c r="I206" s="48" t="b">
        <f ca="1">COUNTIF(tblTargetStatus[TargetID], $A206) &gt; 0</f>
        <v>1</v>
      </c>
      <c r="J206" s="48" t="b">
        <f ca="1">COUNTIF(tblCost[TargetID], $A206) &gt; 0</f>
        <v>1</v>
      </c>
      <c r="K206" s="48" t="b">
        <f ca="1">COUNTIF(tblStates[StateID], $A206) &gt; 0</f>
        <v>0</v>
      </c>
      <c r="L206" s="48" t="b">
        <f t="shared" ca="1" si="7"/>
        <v>1</v>
      </c>
      <c r="M206" s="48" t="b">
        <f ca="1">IF(tblValidation[[#This Row],[TargetID]]="","",COUNTIF(tblTargets[TargetID],A206)&gt;1)</f>
        <v>0</v>
      </c>
      <c r="N206" s="48" t="b">
        <f ca="1">IF(tblValidation[[#This Row],[TargetID]]="","",COUNTIF(tblStates[StateID],tblValidation[[#This Row],[TargetID]])&gt;1)</f>
        <v>0</v>
      </c>
      <c r="O206" s="48" t="b" cm="1">
        <f t="array" aca="1" ref="O2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6" s="48"/>
      <c r="R206" s="48"/>
      <c r="S206" s="48"/>
      <c r="T206" s="48"/>
      <c r="V206" s="2" t="str">
        <f ca="1"/>
        <v>collection.pantry_1@3</v>
      </c>
      <c r="W206" s="48"/>
      <c r="X206" s="48" t="str">
        <f ca="1"/>
        <v>collection.pantry_1@3</v>
      </c>
      <c r="Y206" s="48" t="str">
        <f ca="1"/>
        <v>collection.treasury_1@3</v>
      </c>
      <c r="Z206" s="48" t="str">
        <f ca="1"/>
        <v>collection.pantry_1@4</v>
      </c>
      <c r="AA206" s="48" t="str">
        <f ca="1"/>
        <v>quest.culinary_battle.accepted</v>
      </c>
      <c r="AB206" s="48"/>
      <c r="AC206" s="48"/>
      <c r="AD206" s="2" t="str">
        <f ca="1"/>
        <v>collection.pantry_1@3</v>
      </c>
      <c r="AE206" s="2" t="str">
        <f ca="1"/>
        <v>collection.treasury_1@5</v>
      </c>
    </row>
    <row r="207" spans="1:31" ht="29">
      <c r="A207" t="str">
        <f t="shared" ca="1" si="6"/>
        <v>collection.pantry_1@4</v>
      </c>
      <c r="B207" t="str">
        <f ca="1">_xlfn.XLOOKUP(tblValidation[[#This Row],[TargetID]],tblTargets[TargetID],tblTargets[TargetType],"")</f>
        <v>COLLECTION</v>
      </c>
      <c r="C207" s="48" t="b">
        <f ca="1">COUNTIF(tblTargets[TargetID], $A207) &gt; 0</f>
        <v>1</v>
      </c>
      <c r="D207" s="48" t="b">
        <f ca="1">IF(OR(LEFT(tblValidation[[#This Row],[TargetID]],10)="state.CHAR",RIGHT(tblValidation[[#This Row],[TargetID]],5)="maxed"),TRUE, COUNTIF(tblChecklist[TargetID], $A207) &gt; 0)</f>
        <v>1</v>
      </c>
      <c r="E2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$A207) &gt; 0)</f>
        <v>1</v>
      </c>
      <c r="F207" s="48" t="b">
        <f ca="1">COUNTIF(tblDependencies[DependencyID], $A207) &gt; 0</f>
        <v>1</v>
      </c>
      <c r="G207" s="48" t="b">
        <f ca="1">COUNTIF(tblQuestObjectives[QuestTargetID], $A207) &gt; 0</f>
        <v>0</v>
      </c>
      <c r="H207" s="48" t="b">
        <f ca="1">COUNTIF(tblQuestObjectives[ObjectiveID], $A207) &gt; 0</f>
        <v>0</v>
      </c>
      <c r="I207" s="48" t="b">
        <f ca="1">COUNTIF(tblTargetStatus[TargetID], $A207) &gt; 0</f>
        <v>1</v>
      </c>
      <c r="J207" s="48" t="b">
        <f ca="1">COUNTIF(tblCost[TargetID], $A207) &gt; 0</f>
        <v>1</v>
      </c>
      <c r="K207" s="48" t="b">
        <f ca="1">COUNTIF(tblStates[StateID], $A207) &gt; 0</f>
        <v>0</v>
      </c>
      <c r="L207" s="48" t="b">
        <f t="shared" ca="1" si="7"/>
        <v>1</v>
      </c>
      <c r="M207" s="48" t="b">
        <f ca="1">IF(tblValidation[[#This Row],[TargetID]]="","",COUNTIF(tblTargets[TargetID],A207)&gt;1)</f>
        <v>0</v>
      </c>
      <c r="N207" s="48" t="b">
        <f ca="1">IF(tblValidation[[#This Row],[TargetID]]="","",COUNTIF(tblStates[StateID],tblValidation[[#This Row],[TargetID]])&gt;1)</f>
        <v>0</v>
      </c>
      <c r="O207" s="48" t="b" cm="1">
        <f t="array" aca="1" ref="O2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7" s="48"/>
      <c r="R207" s="48"/>
      <c r="S207" s="48"/>
      <c r="T207" s="48"/>
      <c r="V207" s="2" t="str">
        <f ca="1"/>
        <v>collection.pantry_1@4</v>
      </c>
      <c r="W207" s="48"/>
      <c r="X207" s="48" t="str">
        <f ca="1"/>
        <v>collection.pantry_1@4</v>
      </c>
      <c r="Y207" s="48" t="str">
        <f ca="1"/>
        <v>collection.treasury_1@4</v>
      </c>
      <c r="Z207" s="48" t="str">
        <f ca="1"/>
        <v>collection.pantry_1@5</v>
      </c>
      <c r="AA207" s="48" t="str">
        <f ca="1"/>
        <v>quest.dragon_teeth.accepted</v>
      </c>
      <c r="AB207" s="48"/>
      <c r="AC207" s="48"/>
      <c r="AD207" s="2" t="str">
        <f ca="1"/>
        <v>collection.pantry_1@4</v>
      </c>
      <c r="AE207" s="2" t="str">
        <f ca="1"/>
        <v>collection.treasury_2@1</v>
      </c>
    </row>
    <row r="208" spans="1:31" ht="29">
      <c r="A208" t="str">
        <f t="shared" ca="1" si="6"/>
        <v>collection.pantry_1@5</v>
      </c>
      <c r="B208" t="str">
        <f ca="1">_xlfn.XLOOKUP(tblValidation[[#This Row],[TargetID]],tblTargets[TargetID],tblTargets[TargetType],"")</f>
        <v>COLLECTION</v>
      </c>
      <c r="C208" s="48" t="b">
        <f ca="1">COUNTIF(tblTargets[TargetID], $A208) &gt; 0</f>
        <v>1</v>
      </c>
      <c r="D208" s="48" t="b">
        <f ca="1">IF(OR(LEFT(tblValidation[[#This Row],[TargetID]],10)="state.CHAR",RIGHT(tblValidation[[#This Row],[TargetID]],5)="maxed"),TRUE, COUNTIF(tblChecklist[TargetID], $A208) &gt; 0)</f>
        <v>1</v>
      </c>
      <c r="E2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$A208) &gt; 0)</f>
        <v>1</v>
      </c>
      <c r="F208" s="48" t="b">
        <f ca="1">COUNTIF(tblDependencies[DependencyID], $A208) &gt; 0</f>
        <v>0</v>
      </c>
      <c r="G208" s="48" t="b">
        <f ca="1">COUNTIF(tblQuestObjectives[QuestTargetID], $A208) &gt; 0</f>
        <v>0</v>
      </c>
      <c r="H208" s="48" t="b">
        <f ca="1">COUNTIF(tblQuestObjectives[ObjectiveID], $A208) &gt; 0</f>
        <v>0</v>
      </c>
      <c r="I208" s="48" t="b">
        <f ca="1">COUNTIF(tblTargetStatus[TargetID], $A208) &gt; 0</f>
        <v>1</v>
      </c>
      <c r="J208" s="48" t="b">
        <f ca="1">COUNTIF(tblCost[TargetID], $A208) &gt; 0</f>
        <v>1</v>
      </c>
      <c r="K208" s="48" t="b">
        <f ca="1">COUNTIF(tblStates[StateID], $A208) &gt; 0</f>
        <v>0</v>
      </c>
      <c r="L208" s="48" t="b">
        <f t="shared" ca="1" si="7"/>
        <v>1</v>
      </c>
      <c r="M208" s="48" t="b">
        <f ca="1">IF(tblValidation[[#This Row],[TargetID]]="","",COUNTIF(tblTargets[TargetID],A208)&gt;1)</f>
        <v>0</v>
      </c>
      <c r="N208" s="48" t="b">
        <f ca="1">IF(tblValidation[[#This Row],[TargetID]]="","",COUNTIF(tblStates[StateID],tblValidation[[#This Row],[TargetID]])&gt;1)</f>
        <v>0</v>
      </c>
      <c r="O208" s="48" t="b" cm="1">
        <f t="array" aca="1" ref="O2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8" s="48"/>
      <c r="R208" s="48"/>
      <c r="S208" s="48"/>
      <c r="T208" s="48"/>
      <c r="V208" s="2" t="str">
        <f ca="1"/>
        <v>collection.pantry_1@5</v>
      </c>
      <c r="W208" s="48"/>
      <c r="X208" s="48" t="str">
        <f ca="1"/>
        <v>collection.pantry_1@5</v>
      </c>
      <c r="Y208" s="48" t="str">
        <f ca="1"/>
        <v>collection.treasury_1@5</v>
      </c>
      <c r="Z208" s="48" t="str">
        <f ca="1"/>
        <v>collection.pantry_2@1</v>
      </c>
      <c r="AA208" s="48" t="str">
        <f ca="1"/>
        <v>quest.dragon_teeth.finished</v>
      </c>
      <c r="AB208" s="48"/>
      <c r="AC208" s="48"/>
      <c r="AD208" s="2" t="str">
        <f ca="1"/>
        <v>collection.pantry_1@5</v>
      </c>
      <c r="AE208" s="2" t="str">
        <f ca="1"/>
        <v>collection.treasury_2@2</v>
      </c>
    </row>
    <row r="209" spans="1:31" ht="29">
      <c r="A209" t="str">
        <f t="shared" ca="1" si="6"/>
        <v>collection.pantry_2@1</v>
      </c>
      <c r="B209" t="str">
        <f ca="1">_xlfn.XLOOKUP(tblValidation[[#This Row],[TargetID]],tblTargets[TargetID],tblTargets[TargetType],"")</f>
        <v>COLLECTION</v>
      </c>
      <c r="C209" s="48" t="b">
        <f ca="1">COUNTIF(tblTargets[TargetID], $A209) &gt; 0</f>
        <v>1</v>
      </c>
      <c r="D209" s="48" t="b">
        <f ca="1">IF(OR(LEFT(tblValidation[[#This Row],[TargetID]],10)="state.CHAR",RIGHT(tblValidation[[#This Row],[TargetID]],5)="maxed"),TRUE, COUNTIF(tblChecklist[TargetID], $A209) &gt; 0)</f>
        <v>1</v>
      </c>
      <c r="E2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$A209) &gt; 0)</f>
        <v>1</v>
      </c>
      <c r="F209" s="48" t="b">
        <f ca="1">COUNTIF(tblDependencies[DependencyID], $A209) &gt; 0</f>
        <v>1</v>
      </c>
      <c r="G209" s="48" t="b">
        <f ca="1">COUNTIF(tblQuestObjectives[QuestTargetID], $A209) &gt; 0</f>
        <v>0</v>
      </c>
      <c r="H209" s="48" t="b">
        <f ca="1">COUNTIF(tblQuestObjectives[ObjectiveID], $A209) &gt; 0</f>
        <v>0</v>
      </c>
      <c r="I209" s="48" t="b">
        <f ca="1">COUNTIF(tblTargetStatus[TargetID], $A209) &gt; 0</f>
        <v>1</v>
      </c>
      <c r="J209" s="48" t="b">
        <f ca="1">COUNTIF(tblCost[TargetID], $A209) &gt; 0</f>
        <v>1</v>
      </c>
      <c r="K209" s="48" t="b">
        <f ca="1">COUNTIF(tblStates[StateID], $A209) &gt; 0</f>
        <v>0</v>
      </c>
      <c r="L209" s="48" t="b">
        <f t="shared" ca="1" si="7"/>
        <v>1</v>
      </c>
      <c r="M209" s="48" t="b">
        <f ca="1">IF(tblValidation[[#This Row],[TargetID]]="","",COUNTIF(tblTargets[TargetID],A209)&gt;1)</f>
        <v>0</v>
      </c>
      <c r="N209" s="48" t="b">
        <f ca="1">IF(tblValidation[[#This Row],[TargetID]]="","",COUNTIF(tblStates[StateID],tblValidation[[#This Row],[TargetID]])&gt;1)</f>
        <v>0</v>
      </c>
      <c r="O209" s="48" t="b" cm="1">
        <f t="array" aca="1" ref="O2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9" s="48"/>
      <c r="R209" s="48"/>
      <c r="S209" s="48"/>
      <c r="T209" s="48"/>
      <c r="V209" s="2" t="str">
        <f ca="1"/>
        <v>collection.pantry_2@1</v>
      </c>
      <c r="W209" s="48"/>
      <c r="X209" s="48" t="str">
        <f ca="1"/>
        <v>collection.pantry_2@1</v>
      </c>
      <c r="Y209" s="48" t="str">
        <f ca="1"/>
        <v>collection.treasury_2@1</v>
      </c>
      <c r="Z209" s="48" t="str">
        <f ca="1"/>
        <v>collection.pantry_2@2</v>
      </c>
      <c r="AA209" s="48" t="str">
        <f ca="1"/>
        <v>quest.festival.accepted</v>
      </c>
      <c r="AB209" s="48"/>
      <c r="AC209" s="48"/>
      <c r="AD209" s="2" t="str">
        <f ca="1"/>
        <v>collection.pantry_2@1</v>
      </c>
      <c r="AE209" s="2" t="str">
        <f ca="1"/>
        <v>collection.treasury_2@3</v>
      </c>
    </row>
    <row r="210" spans="1:31" ht="29">
      <c r="A210" t="str">
        <f t="shared" ca="1" si="6"/>
        <v>collection.pantry_2@2</v>
      </c>
      <c r="B210" t="str">
        <f ca="1">_xlfn.XLOOKUP(tblValidation[[#This Row],[TargetID]],tblTargets[TargetID],tblTargets[TargetType],"")</f>
        <v>COLLECTION</v>
      </c>
      <c r="C210" s="48" t="b">
        <f ca="1">COUNTIF(tblTargets[TargetID], $A210) &gt; 0</f>
        <v>1</v>
      </c>
      <c r="D210" s="48" t="b">
        <f ca="1">IF(OR(LEFT(tblValidation[[#This Row],[TargetID]],10)="state.CHAR",RIGHT(tblValidation[[#This Row],[TargetID]],5)="maxed"),TRUE, COUNTIF(tblChecklist[TargetID], $A210) &gt; 0)</f>
        <v>1</v>
      </c>
      <c r="E2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$A210) &gt; 0)</f>
        <v>1</v>
      </c>
      <c r="F210" s="48" t="b">
        <f ca="1">COUNTIF(tblDependencies[DependencyID], $A210) &gt; 0</f>
        <v>1</v>
      </c>
      <c r="G210" s="48" t="b">
        <f ca="1">COUNTIF(tblQuestObjectives[QuestTargetID], $A210) &gt; 0</f>
        <v>0</v>
      </c>
      <c r="H210" s="48" t="b">
        <f ca="1">COUNTIF(tblQuestObjectives[ObjectiveID], $A210) &gt; 0</f>
        <v>0</v>
      </c>
      <c r="I210" s="48" t="b">
        <f ca="1">COUNTIF(tblTargetStatus[TargetID], $A210) &gt; 0</f>
        <v>1</v>
      </c>
      <c r="J210" s="48" t="b">
        <f ca="1">COUNTIF(tblCost[TargetID], $A210) &gt; 0</f>
        <v>1</v>
      </c>
      <c r="K210" s="48" t="b">
        <f ca="1">COUNTIF(tblStates[StateID], $A210) &gt; 0</f>
        <v>0</v>
      </c>
      <c r="L210" s="48" t="b">
        <f t="shared" ca="1" si="7"/>
        <v>1</v>
      </c>
      <c r="M210" s="48" t="b">
        <f ca="1">IF(tblValidation[[#This Row],[TargetID]]="","",COUNTIF(tblTargets[TargetID],A210)&gt;1)</f>
        <v>0</v>
      </c>
      <c r="N210" s="48" t="b">
        <f ca="1">IF(tblValidation[[#This Row],[TargetID]]="","",COUNTIF(tblStates[StateID],tblValidation[[#This Row],[TargetID]])&gt;1)</f>
        <v>0</v>
      </c>
      <c r="O210" s="48" t="b" cm="1">
        <f t="array" aca="1" ref="O2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0" s="48"/>
      <c r="R210" s="48"/>
      <c r="S210" s="48"/>
      <c r="T210" s="48"/>
      <c r="V210" s="2" t="str">
        <f ca="1"/>
        <v>collection.pantry_2@2</v>
      </c>
      <c r="W210" s="48"/>
      <c r="X210" s="48" t="str">
        <f ca="1"/>
        <v>collection.pantry_2@2</v>
      </c>
      <c r="Y210" s="48" t="str">
        <f ca="1"/>
        <v>collection.treasury_2@2</v>
      </c>
      <c r="Z210" s="48" t="str">
        <f ca="1"/>
        <v>collection.pantry_2@3</v>
      </c>
      <c r="AA210" s="48" t="str">
        <f ca="1"/>
        <v>quest.festival.finished</v>
      </c>
      <c r="AB210" s="48"/>
      <c r="AC210" s="48"/>
      <c r="AD210" s="2" t="str">
        <f ca="1"/>
        <v>collection.pantry_2@2</v>
      </c>
      <c r="AE210" s="2" t="str">
        <f ca="1"/>
        <v>collection.treasury_3@1</v>
      </c>
    </row>
    <row r="211" spans="1:31" ht="29">
      <c r="A211" t="str">
        <f t="shared" ca="1" si="6"/>
        <v>collection.pantry_2@3</v>
      </c>
      <c r="B211" t="str">
        <f ca="1">_xlfn.XLOOKUP(tblValidation[[#This Row],[TargetID]],tblTargets[TargetID],tblTargets[TargetType],"")</f>
        <v>COLLECTION</v>
      </c>
      <c r="C211" s="48" t="b">
        <f ca="1">COUNTIF(tblTargets[TargetID], $A211) &gt; 0</f>
        <v>1</v>
      </c>
      <c r="D211" s="48" t="b">
        <f ca="1">IF(OR(LEFT(tblValidation[[#This Row],[TargetID]],10)="state.CHAR",RIGHT(tblValidation[[#This Row],[TargetID]],5)="maxed"),TRUE, COUNTIF(tblChecklist[TargetID], $A211) &gt; 0)</f>
        <v>1</v>
      </c>
      <c r="E2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$A211) &gt; 0)</f>
        <v>1</v>
      </c>
      <c r="F211" s="48" t="b">
        <f ca="1">COUNTIF(tblDependencies[DependencyID], $A211) &gt; 0</f>
        <v>1</v>
      </c>
      <c r="G211" s="48" t="b">
        <f ca="1">COUNTIF(tblQuestObjectives[QuestTargetID], $A211) &gt; 0</f>
        <v>0</v>
      </c>
      <c r="H211" s="48" t="b">
        <f ca="1">COUNTIF(tblQuestObjectives[ObjectiveID], $A211) &gt; 0</f>
        <v>0</v>
      </c>
      <c r="I211" s="48" t="b">
        <f ca="1">COUNTIF(tblTargetStatus[TargetID], $A211) &gt; 0</f>
        <v>1</v>
      </c>
      <c r="J211" s="48" t="b">
        <f ca="1">COUNTIF(tblCost[TargetID], $A211) &gt; 0</f>
        <v>1</v>
      </c>
      <c r="K211" s="48" t="b">
        <f ca="1">COUNTIF(tblStates[StateID], $A211) &gt; 0</f>
        <v>0</v>
      </c>
      <c r="L211" s="48" t="b">
        <f t="shared" ca="1" si="7"/>
        <v>1</v>
      </c>
      <c r="M211" s="48" t="b">
        <f ca="1">IF(tblValidation[[#This Row],[TargetID]]="","",COUNTIF(tblTargets[TargetID],A211)&gt;1)</f>
        <v>0</v>
      </c>
      <c r="N211" s="48" t="b">
        <f ca="1">IF(tblValidation[[#This Row],[TargetID]]="","",COUNTIF(tblStates[StateID],tblValidation[[#This Row],[TargetID]])&gt;1)</f>
        <v>0</v>
      </c>
      <c r="O211" s="48" t="b" cm="1">
        <f t="array" aca="1" ref="O2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1" s="48"/>
      <c r="R211" s="48"/>
      <c r="S211" s="48"/>
      <c r="T211" s="48"/>
      <c r="V211" s="2" t="str">
        <f ca="1"/>
        <v>collection.pantry_2@3</v>
      </c>
      <c r="W211" s="48"/>
      <c r="X211" s="48" t="str">
        <f ca="1"/>
        <v>collection.pantry_2@3</v>
      </c>
      <c r="Y211" s="48" t="str">
        <f ca="1"/>
        <v>collection.treasury_2@3</v>
      </c>
      <c r="Z211" s="48" t="str">
        <f ca="1"/>
        <v>collection.pantry_2@4</v>
      </c>
      <c r="AA211" s="48" t="str">
        <f ca="1"/>
        <v>quest.festival_of_beans.accepted</v>
      </c>
      <c r="AB211" s="48"/>
      <c r="AC211" s="48"/>
      <c r="AD211" s="2" t="str">
        <f ca="1"/>
        <v>collection.pantry_2@3</v>
      </c>
      <c r="AE211" s="2" t="str">
        <f ca="1"/>
        <v>craftifact.astrolabe</v>
      </c>
    </row>
    <row r="212" spans="1:31" ht="29">
      <c r="A212" t="str">
        <f t="shared" ca="1" si="6"/>
        <v>collection.pantry_2@4</v>
      </c>
      <c r="B212" t="str">
        <f ca="1">_xlfn.XLOOKUP(tblValidation[[#This Row],[TargetID]],tblTargets[TargetID],tblTargets[TargetType],"")</f>
        <v>COLLECTION</v>
      </c>
      <c r="C212" s="48" t="b">
        <f ca="1">COUNTIF(tblTargets[TargetID], $A212) &gt; 0</f>
        <v>1</v>
      </c>
      <c r="D212" s="48" t="b">
        <f ca="1">IF(OR(LEFT(tblValidation[[#This Row],[TargetID]],10)="state.CHAR",RIGHT(tblValidation[[#This Row],[TargetID]],5)="maxed"),TRUE, COUNTIF(tblChecklist[TargetID], $A212) &gt; 0)</f>
        <v>1</v>
      </c>
      <c r="E2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$A212) &gt; 0)</f>
        <v>1</v>
      </c>
      <c r="F212" s="48" t="b">
        <f ca="1">COUNTIF(tblDependencies[DependencyID], $A212) &gt; 0</f>
        <v>1</v>
      </c>
      <c r="G212" s="48" t="b">
        <f ca="1">COUNTIF(tblQuestObjectives[QuestTargetID], $A212) &gt; 0</f>
        <v>0</v>
      </c>
      <c r="H212" s="48" t="b">
        <f ca="1">COUNTIF(tblQuestObjectives[ObjectiveID], $A212) &gt; 0</f>
        <v>0</v>
      </c>
      <c r="I212" s="48" t="b">
        <f ca="1">COUNTIF(tblTargetStatus[TargetID], $A212) &gt; 0</f>
        <v>1</v>
      </c>
      <c r="J212" s="48" t="b">
        <f ca="1">COUNTIF(tblCost[TargetID], $A212) &gt; 0</f>
        <v>1</v>
      </c>
      <c r="K212" s="48" t="b">
        <f ca="1">COUNTIF(tblStates[StateID], $A212) &gt; 0</f>
        <v>0</v>
      </c>
      <c r="L212" s="48" t="b">
        <f t="shared" ca="1" si="7"/>
        <v>1</v>
      </c>
      <c r="M212" s="48" t="b">
        <f ca="1">IF(tblValidation[[#This Row],[TargetID]]="","",COUNTIF(tblTargets[TargetID],A212)&gt;1)</f>
        <v>0</v>
      </c>
      <c r="N212" s="48" t="b">
        <f ca="1">IF(tblValidation[[#This Row],[TargetID]]="","",COUNTIF(tblStates[StateID],tblValidation[[#This Row],[TargetID]])&gt;1)</f>
        <v>0</v>
      </c>
      <c r="O212" s="48" t="b" cm="1">
        <f t="array" aca="1" ref="O2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2" s="48"/>
      <c r="R212" s="48"/>
      <c r="S212" s="48"/>
      <c r="T212" s="48"/>
      <c r="V212" s="2" t="str">
        <f ca="1"/>
        <v>collection.pantry_2@4</v>
      </c>
      <c r="W212" s="48"/>
      <c r="X212" s="48" t="str">
        <f ca="1"/>
        <v>collection.pantry_2@4</v>
      </c>
      <c r="Y212" s="48" t="str">
        <f ca="1"/>
        <v>collection.treasury_3@1</v>
      </c>
      <c r="Z212" s="48" t="str">
        <f ca="1"/>
        <v>collection.pantry_2@5</v>
      </c>
      <c r="AA212" s="48" t="str">
        <f ca="1"/>
        <v>quest.festival_returns.accepted</v>
      </c>
      <c r="AB212" s="48"/>
      <c r="AC212" s="48"/>
      <c r="AD212" s="2" t="str">
        <f ca="1"/>
        <v>collection.pantry_2@4</v>
      </c>
      <c r="AE212" s="2" t="str">
        <f ca="1"/>
        <v>craftifact.barometer</v>
      </c>
    </row>
    <row r="213" spans="1:31" ht="29">
      <c r="A213" t="str">
        <f t="shared" ca="1" si="6"/>
        <v>collection.pantry_2@5</v>
      </c>
      <c r="B213" t="str">
        <f ca="1">_xlfn.XLOOKUP(tblValidation[[#This Row],[TargetID]],tblTargets[TargetID],tblTargets[TargetType],"")</f>
        <v>COLLECTION</v>
      </c>
      <c r="C213" s="48" t="b">
        <f ca="1">COUNTIF(tblTargets[TargetID], $A213) &gt; 0</f>
        <v>1</v>
      </c>
      <c r="D213" s="48" t="b">
        <f ca="1">IF(OR(LEFT(tblValidation[[#This Row],[TargetID]],10)="state.CHAR",RIGHT(tblValidation[[#This Row],[TargetID]],5)="maxed"),TRUE, COUNTIF(tblChecklist[TargetID], $A213) &gt; 0)</f>
        <v>1</v>
      </c>
      <c r="E2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$A213) &gt; 0)</f>
        <v>1</v>
      </c>
      <c r="F213" s="48" t="b">
        <f ca="1">COUNTIF(tblDependencies[DependencyID], $A213) &gt; 0</f>
        <v>0</v>
      </c>
      <c r="G213" s="48" t="b">
        <f ca="1">COUNTIF(tblQuestObjectives[QuestTargetID], $A213) &gt; 0</f>
        <v>0</v>
      </c>
      <c r="H213" s="48" t="b">
        <f ca="1">COUNTIF(tblQuestObjectives[ObjectiveID], $A213) &gt; 0</f>
        <v>0</v>
      </c>
      <c r="I213" s="48" t="b">
        <f ca="1">COUNTIF(tblTargetStatus[TargetID], $A213) &gt; 0</f>
        <v>1</v>
      </c>
      <c r="J213" s="48" t="b">
        <f ca="1">COUNTIF(tblCost[TargetID], $A213) &gt; 0</f>
        <v>1</v>
      </c>
      <c r="K213" s="48" t="b">
        <f ca="1">COUNTIF(tblStates[StateID], $A213) &gt; 0</f>
        <v>0</v>
      </c>
      <c r="L213" s="48" t="b">
        <f t="shared" ca="1" si="7"/>
        <v>1</v>
      </c>
      <c r="M213" s="48" t="b">
        <f ca="1">IF(tblValidation[[#This Row],[TargetID]]="","",COUNTIF(tblTargets[TargetID],A213)&gt;1)</f>
        <v>0</v>
      </c>
      <c r="N213" s="48" t="b">
        <f ca="1">IF(tblValidation[[#This Row],[TargetID]]="","",COUNTIF(tblStates[StateID],tblValidation[[#This Row],[TargetID]])&gt;1)</f>
        <v>0</v>
      </c>
      <c r="O213" s="48" t="b" cm="1">
        <f t="array" aca="1" ref="O2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3" s="48"/>
      <c r="R213" s="48"/>
      <c r="S213" s="48"/>
      <c r="T213" s="48"/>
      <c r="V213" s="2" t="str">
        <f ca="1"/>
        <v>collection.pantry_2@5</v>
      </c>
      <c r="W213" s="48"/>
      <c r="X213" s="48" t="str">
        <f ca="1"/>
        <v>collection.pantry_2@5</v>
      </c>
      <c r="Y213" s="48" t="str">
        <f ca="1"/>
        <v>craftifact.astrolabe</v>
      </c>
      <c r="Z213" s="48" t="str">
        <f ca="1"/>
        <v>collection.pantry_3@1</v>
      </c>
      <c r="AA213" s="48" t="str">
        <f ca="1"/>
        <v>quest.festival_returns.finished</v>
      </c>
      <c r="AB213" s="48"/>
      <c r="AC213" s="48"/>
      <c r="AD213" s="2" t="str">
        <f ca="1"/>
        <v>collection.pantry_2@5</v>
      </c>
      <c r="AE213" s="2" t="str">
        <f ca="1"/>
        <v>craftifact.cinema_projector</v>
      </c>
    </row>
    <row r="214" spans="1:31" ht="29">
      <c r="A214" t="str">
        <f t="shared" ca="1" si="6"/>
        <v>collection.pantry_3@1</v>
      </c>
      <c r="B214" t="str">
        <f ca="1">_xlfn.XLOOKUP(tblValidation[[#This Row],[TargetID]],tblTargets[TargetID],tblTargets[TargetType],"")</f>
        <v>COLLECTION</v>
      </c>
      <c r="C214" s="48" t="b">
        <f ca="1">COUNTIF(tblTargets[TargetID], $A214) &gt; 0</f>
        <v>1</v>
      </c>
      <c r="D214" s="48" t="b">
        <f ca="1">IF(OR(LEFT(tblValidation[[#This Row],[TargetID]],10)="state.CHAR",RIGHT(tblValidation[[#This Row],[TargetID]],5)="maxed"),TRUE, COUNTIF(tblChecklist[TargetID], $A214) &gt; 0)</f>
        <v>1</v>
      </c>
      <c r="E2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$A214) &gt; 0)</f>
        <v>1</v>
      </c>
      <c r="F214" s="48" t="b">
        <f ca="1">COUNTIF(tblDependencies[DependencyID], $A214) &gt; 0</f>
        <v>1</v>
      </c>
      <c r="G214" s="48" t="b">
        <f ca="1">COUNTIF(tblQuestObjectives[QuestTargetID], $A214) &gt; 0</f>
        <v>0</v>
      </c>
      <c r="H214" s="48" t="b">
        <f ca="1">COUNTIF(tblQuestObjectives[ObjectiveID], $A214) &gt; 0</f>
        <v>0</v>
      </c>
      <c r="I214" s="48" t="b">
        <f ca="1">COUNTIF(tblTargetStatus[TargetID], $A214) &gt; 0</f>
        <v>1</v>
      </c>
      <c r="J214" s="48" t="b">
        <f ca="1">COUNTIF(tblCost[TargetID], $A214) &gt; 0</f>
        <v>1</v>
      </c>
      <c r="K214" s="48" t="b">
        <f ca="1">COUNTIF(tblStates[StateID], $A214) &gt; 0</f>
        <v>0</v>
      </c>
      <c r="L214" s="48" t="b">
        <f t="shared" ca="1" si="7"/>
        <v>1</v>
      </c>
      <c r="M214" s="48" t="b">
        <f ca="1">IF(tblValidation[[#This Row],[TargetID]]="","",COUNTIF(tblTargets[TargetID],A214)&gt;1)</f>
        <v>0</v>
      </c>
      <c r="N214" s="48" t="b">
        <f ca="1">IF(tblValidation[[#This Row],[TargetID]]="","",COUNTIF(tblStates[StateID],tblValidation[[#This Row],[TargetID]])&gt;1)</f>
        <v>0</v>
      </c>
      <c r="O214" s="48" t="b" cm="1">
        <f t="array" aca="1" ref="O2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4" s="48"/>
      <c r="R214" s="48"/>
      <c r="S214" s="48"/>
      <c r="T214" s="48"/>
      <c r="V214" s="2" t="str">
        <f ca="1"/>
        <v>collection.pantry_3@1</v>
      </c>
      <c r="W214" s="48"/>
      <c r="X214" s="48" t="str">
        <f ca="1"/>
        <v>collection.pantry_3@1</v>
      </c>
      <c r="Y214" s="48" t="str">
        <f ca="1"/>
        <v>craftifact.barometer</v>
      </c>
      <c r="Z214" s="48" t="str">
        <f ca="1"/>
        <v>collection.pantry_3@2</v>
      </c>
      <c r="AA214" s="48" t="str">
        <f ca="1"/>
        <v>quest.green_potion.accepted</v>
      </c>
      <c r="AB214" s="48"/>
      <c r="AC214" s="48"/>
      <c r="AD214" s="2" t="str">
        <f ca="1"/>
        <v>collection.pantry_3@1</v>
      </c>
      <c r="AE214" s="2" t="str">
        <f ca="1"/>
        <v>craftifact.dagger</v>
      </c>
    </row>
    <row r="215" spans="1:31" ht="29">
      <c r="A215" t="str">
        <f t="shared" ca="1" si="6"/>
        <v>collection.pantry_3@2</v>
      </c>
      <c r="B215" t="str">
        <f ca="1">_xlfn.XLOOKUP(tblValidation[[#This Row],[TargetID]],tblTargets[TargetID],tblTargets[TargetType],"")</f>
        <v>COLLECTION</v>
      </c>
      <c r="C215" s="48" t="b">
        <f ca="1">COUNTIF(tblTargets[TargetID], $A215) &gt; 0</f>
        <v>1</v>
      </c>
      <c r="D215" s="48" t="b">
        <f ca="1">IF(OR(LEFT(tblValidation[[#This Row],[TargetID]],10)="state.CHAR",RIGHT(tblValidation[[#This Row],[TargetID]],5)="maxed"),TRUE, COUNTIF(tblChecklist[TargetID], $A215) &gt; 0)</f>
        <v>1</v>
      </c>
      <c r="E2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$A215) &gt; 0)</f>
        <v>1</v>
      </c>
      <c r="F215" s="48" t="b">
        <f ca="1">COUNTIF(tblDependencies[DependencyID], $A215) &gt; 0</f>
        <v>1</v>
      </c>
      <c r="G215" s="48" t="b">
        <f ca="1">COUNTIF(tblQuestObjectives[QuestTargetID], $A215) &gt; 0</f>
        <v>0</v>
      </c>
      <c r="H215" s="48" t="b">
        <f ca="1">COUNTIF(tblQuestObjectives[ObjectiveID], $A215) &gt; 0</f>
        <v>0</v>
      </c>
      <c r="I215" s="48" t="b">
        <f ca="1">COUNTIF(tblTargetStatus[TargetID], $A215) &gt; 0</f>
        <v>1</v>
      </c>
      <c r="J215" s="48" t="b">
        <f ca="1">COUNTIF(tblCost[TargetID], $A215) &gt; 0</f>
        <v>1</v>
      </c>
      <c r="K215" s="48" t="b">
        <f ca="1">COUNTIF(tblStates[StateID], $A215) &gt; 0</f>
        <v>0</v>
      </c>
      <c r="L215" s="48" t="b">
        <f t="shared" ca="1" si="7"/>
        <v>1</v>
      </c>
      <c r="M215" s="48" t="b">
        <f ca="1">IF(tblValidation[[#This Row],[TargetID]]="","",COUNTIF(tblTargets[TargetID],A215)&gt;1)</f>
        <v>0</v>
      </c>
      <c r="N215" s="48" t="b">
        <f ca="1">IF(tblValidation[[#This Row],[TargetID]]="","",COUNTIF(tblStates[StateID],tblValidation[[#This Row],[TargetID]])&gt;1)</f>
        <v>0</v>
      </c>
      <c r="O215" s="48" t="b" cm="1">
        <f t="array" aca="1" ref="O2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5" s="48"/>
      <c r="R215" s="48"/>
      <c r="S215" s="48"/>
      <c r="T215" s="48"/>
      <c r="V215" s="2" t="str">
        <f ca="1"/>
        <v>collection.pantry_3@2</v>
      </c>
      <c r="W215" s="48"/>
      <c r="X215" s="48" t="str">
        <f ca="1"/>
        <v>collection.pantry_3@2</v>
      </c>
      <c r="Y215" s="48" t="str">
        <f ca="1"/>
        <v>craftifact.cinema_projector</v>
      </c>
      <c r="Z215" s="48" t="str">
        <f ca="1"/>
        <v>collection.pantry_3@3</v>
      </c>
      <c r="AA215" s="48" t="str">
        <f ca="1"/>
        <v>quest.honor_glory_sushi.accepted</v>
      </c>
      <c r="AB215" s="48"/>
      <c r="AC215" s="48"/>
      <c r="AD215" s="2" t="str">
        <f ca="1"/>
        <v>collection.pantry_3@2</v>
      </c>
      <c r="AE215" s="2" t="str">
        <f ca="1"/>
        <v>craftifact.emerald_tablet</v>
      </c>
    </row>
    <row r="216" spans="1:31" ht="29">
      <c r="A216" t="str">
        <f t="shared" ca="1" si="6"/>
        <v>collection.pantry_3@3</v>
      </c>
      <c r="B216" t="str">
        <f ca="1">_xlfn.XLOOKUP(tblValidation[[#This Row],[TargetID]],tblTargets[TargetID],tblTargets[TargetType],"")</f>
        <v>COLLECTION</v>
      </c>
      <c r="C216" s="48" t="b">
        <f ca="1">COUNTIF(tblTargets[TargetID], $A216) &gt; 0</f>
        <v>1</v>
      </c>
      <c r="D216" s="48" t="b">
        <f ca="1">IF(OR(LEFT(tblValidation[[#This Row],[TargetID]],10)="state.CHAR",RIGHT(tblValidation[[#This Row],[TargetID]],5)="maxed"),TRUE, COUNTIF(tblChecklist[TargetID], $A216) &gt; 0)</f>
        <v>1</v>
      </c>
      <c r="E2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$A216) &gt; 0)</f>
        <v>1</v>
      </c>
      <c r="F216" s="48" t="b">
        <f ca="1">COUNTIF(tblDependencies[DependencyID], $A216) &gt; 0</f>
        <v>1</v>
      </c>
      <c r="G216" s="48" t="b">
        <f ca="1">COUNTIF(tblQuestObjectives[QuestTargetID], $A216) &gt; 0</f>
        <v>0</v>
      </c>
      <c r="H216" s="48" t="b">
        <f ca="1">COUNTIF(tblQuestObjectives[ObjectiveID], $A216) &gt; 0</f>
        <v>0</v>
      </c>
      <c r="I216" s="48" t="b">
        <f ca="1">COUNTIF(tblTargetStatus[TargetID], $A216) &gt; 0</f>
        <v>1</v>
      </c>
      <c r="J216" s="48" t="b">
        <f ca="1">COUNTIF(tblCost[TargetID], $A216) &gt; 0</f>
        <v>1</v>
      </c>
      <c r="K216" s="48" t="b">
        <f ca="1">COUNTIF(tblStates[StateID], $A216) &gt; 0</f>
        <v>0</v>
      </c>
      <c r="L216" s="48" t="b">
        <f t="shared" ca="1" si="7"/>
        <v>1</v>
      </c>
      <c r="M216" s="48" t="b">
        <f ca="1">IF(tblValidation[[#This Row],[TargetID]]="","",COUNTIF(tblTargets[TargetID],A216)&gt;1)</f>
        <v>0</v>
      </c>
      <c r="N216" s="48" t="b">
        <f ca="1">IF(tblValidation[[#This Row],[TargetID]]="","",COUNTIF(tblStates[StateID],tblValidation[[#This Row],[TargetID]])&gt;1)</f>
        <v>0</v>
      </c>
      <c r="O216" s="48" t="b" cm="1">
        <f t="array" aca="1" ref="O2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6" s="48"/>
      <c r="R216" s="48"/>
      <c r="S216" s="48"/>
      <c r="T216" s="48"/>
      <c r="V216" s="2" t="str">
        <f ca="1"/>
        <v>collection.pantry_3@3</v>
      </c>
      <c r="W216" s="48"/>
      <c r="X216" s="48" t="str">
        <f ca="1"/>
        <v>collection.pantry_3@3</v>
      </c>
      <c r="Y216" s="48" t="str">
        <f ca="1"/>
        <v>craftifact.dagger</v>
      </c>
      <c r="Z216" s="48" t="str">
        <f ca="1"/>
        <v>collection.pantry_3@4</v>
      </c>
      <c r="AA216" s="48" t="str">
        <f ca="1"/>
        <v>quest.journey_through_japan_by_train.accepted</v>
      </c>
      <c r="AB216" s="48"/>
      <c r="AC216" s="48"/>
      <c r="AD216" s="2" t="str">
        <f ca="1"/>
        <v>collection.pantry_3@3</v>
      </c>
      <c r="AE216" s="2" t="str">
        <f ca="1"/>
        <v>craftifact.flamethrower</v>
      </c>
    </row>
    <row r="217" spans="1:31" ht="29">
      <c r="A217" t="str">
        <f t="shared" ca="1" si="6"/>
        <v>collection.pantry_3@4</v>
      </c>
      <c r="B217" t="str">
        <f ca="1">_xlfn.XLOOKUP(tblValidation[[#This Row],[TargetID]],tblTargets[TargetID],tblTargets[TargetType],"")</f>
        <v>COLLECTION</v>
      </c>
      <c r="C217" s="48" t="b">
        <f ca="1">COUNTIF(tblTargets[TargetID], $A217) &gt; 0</f>
        <v>1</v>
      </c>
      <c r="D217" s="48" t="b">
        <f ca="1">IF(OR(LEFT(tblValidation[[#This Row],[TargetID]],10)="state.CHAR",RIGHT(tblValidation[[#This Row],[TargetID]],5)="maxed"),TRUE, COUNTIF(tblChecklist[TargetID], $A217) &gt; 0)</f>
        <v>1</v>
      </c>
      <c r="E2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$A217) &gt; 0)</f>
        <v>1</v>
      </c>
      <c r="F217" s="48" t="b">
        <f ca="1">COUNTIF(tblDependencies[DependencyID], $A217) &gt; 0</f>
        <v>1</v>
      </c>
      <c r="G217" s="48" t="b">
        <f ca="1">COUNTIF(tblQuestObjectives[QuestTargetID], $A217) &gt; 0</f>
        <v>0</v>
      </c>
      <c r="H217" s="48" t="b">
        <f ca="1">COUNTIF(tblQuestObjectives[ObjectiveID], $A217) &gt; 0</f>
        <v>0</v>
      </c>
      <c r="I217" s="48" t="b">
        <f ca="1">COUNTIF(tblTargetStatus[TargetID], $A217) &gt; 0</f>
        <v>1</v>
      </c>
      <c r="J217" s="48" t="b">
        <f ca="1">COUNTIF(tblCost[TargetID], $A217) &gt; 0</f>
        <v>1</v>
      </c>
      <c r="K217" s="48" t="b">
        <f ca="1">COUNTIF(tblStates[StateID], $A217) &gt; 0</f>
        <v>0</v>
      </c>
      <c r="L217" s="48" t="b">
        <f t="shared" ca="1" si="7"/>
        <v>1</v>
      </c>
      <c r="M217" s="48" t="b">
        <f ca="1">IF(tblValidation[[#This Row],[TargetID]]="","",COUNTIF(tblTargets[TargetID],A217)&gt;1)</f>
        <v>0</v>
      </c>
      <c r="N217" s="48" t="b">
        <f ca="1">IF(tblValidation[[#This Row],[TargetID]]="","",COUNTIF(tblStates[StateID],tblValidation[[#This Row],[TargetID]])&gt;1)</f>
        <v>0</v>
      </c>
      <c r="O217" s="48" t="b" cm="1">
        <f t="array" aca="1" ref="O2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7" s="48"/>
      <c r="R217" s="48"/>
      <c r="S217" s="48"/>
      <c r="T217" s="48"/>
      <c r="V217" s="2" t="str">
        <f ca="1"/>
        <v>collection.pantry_3@4</v>
      </c>
      <c r="W217" s="48"/>
      <c r="X217" s="48" t="str">
        <f ca="1"/>
        <v>collection.pantry_3@4</v>
      </c>
      <c r="Y217" s="48" t="str">
        <f ca="1"/>
        <v>craftifact.emerald_tablet</v>
      </c>
      <c r="Z217" s="48" t="str">
        <f ca="1"/>
        <v>collection.pantry_3@5</v>
      </c>
      <c r="AA217" s="48" t="str">
        <f ca="1"/>
        <v>quest.journey_through_japan_by_train.finished</v>
      </c>
      <c r="AB217" s="48"/>
      <c r="AC217" s="48"/>
      <c r="AD217" s="2" t="str">
        <f ca="1"/>
        <v>collection.pantry_3@4</v>
      </c>
      <c r="AE217" s="2" t="str">
        <f ca="1"/>
        <v>craftifact.guild_banner</v>
      </c>
    </row>
    <row r="218" spans="1:31" ht="29">
      <c r="A218" t="str">
        <f t="shared" ca="1" si="6"/>
        <v>collection.pantry_3@5</v>
      </c>
      <c r="B218" t="str">
        <f ca="1">_xlfn.XLOOKUP(tblValidation[[#This Row],[TargetID]],tblTargets[TargetID],tblTargets[TargetType],"")</f>
        <v>COLLECTION</v>
      </c>
      <c r="C218" s="48" t="b">
        <f ca="1">COUNTIF(tblTargets[TargetID], $A218) &gt; 0</f>
        <v>1</v>
      </c>
      <c r="D218" s="48" t="b">
        <f ca="1">IF(OR(LEFT(tblValidation[[#This Row],[TargetID]],10)="state.CHAR",RIGHT(tblValidation[[#This Row],[TargetID]],5)="maxed"),TRUE, COUNTIF(tblChecklist[TargetID], $A218) &gt; 0)</f>
        <v>1</v>
      </c>
      <c r="E2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$A218) &gt; 0)</f>
        <v>1</v>
      </c>
      <c r="F218" s="48" t="b">
        <f ca="1">COUNTIF(tblDependencies[DependencyID], $A218) &gt; 0</f>
        <v>0</v>
      </c>
      <c r="G218" s="48" t="b">
        <f ca="1">COUNTIF(tblQuestObjectives[QuestTargetID], $A218) &gt; 0</f>
        <v>0</v>
      </c>
      <c r="H218" s="48" t="b">
        <f ca="1">COUNTIF(tblQuestObjectives[ObjectiveID], $A218) &gt; 0</f>
        <v>0</v>
      </c>
      <c r="I218" s="48" t="b">
        <f ca="1">COUNTIF(tblTargetStatus[TargetID], $A218) &gt; 0</f>
        <v>1</v>
      </c>
      <c r="J218" s="48" t="b">
        <f ca="1">COUNTIF(tblCost[TargetID], $A218) &gt; 0</f>
        <v>1</v>
      </c>
      <c r="K218" s="48" t="b">
        <f ca="1">COUNTIF(tblStates[StateID], $A218) &gt; 0</f>
        <v>0</v>
      </c>
      <c r="L218" s="48" t="b">
        <f t="shared" ca="1" si="7"/>
        <v>1</v>
      </c>
      <c r="M218" s="48" t="b">
        <f ca="1">IF(tblValidation[[#This Row],[TargetID]]="","",COUNTIF(tblTargets[TargetID],A218)&gt;1)</f>
        <v>0</v>
      </c>
      <c r="N218" s="48" t="b">
        <f ca="1">IF(tblValidation[[#This Row],[TargetID]]="","",COUNTIF(tblStates[StateID],tblValidation[[#This Row],[TargetID]])&gt;1)</f>
        <v>0</v>
      </c>
      <c r="O218" s="48" t="b" cm="1">
        <f t="array" aca="1" ref="O2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8" s="48"/>
      <c r="R218" s="48"/>
      <c r="S218" s="48"/>
      <c r="T218" s="48"/>
      <c r="V218" s="2" t="str">
        <f ca="1"/>
        <v>collection.pantry_3@5</v>
      </c>
      <c r="W218" s="48"/>
      <c r="X218" s="48" t="str">
        <f ca="1"/>
        <v>collection.pantry_3@5</v>
      </c>
      <c r="Y218" s="48" t="str">
        <f ca="1"/>
        <v>craftifact.flamethrower</v>
      </c>
      <c r="Z218" s="48" t="str">
        <f ca="1"/>
        <v>collection.pantry_4@1</v>
      </c>
      <c r="AA218" s="48" t="str">
        <f ca="1"/>
        <v>quest.letter_from_the_dark_lady.accepted</v>
      </c>
      <c r="AB218" s="48"/>
      <c r="AC218" s="48"/>
      <c r="AD218" s="2" t="str">
        <f ca="1"/>
        <v>collection.pantry_3@5</v>
      </c>
      <c r="AE218" s="2" t="str">
        <f ca="1"/>
        <v>craftifact.guild_codex</v>
      </c>
    </row>
    <row r="219" spans="1:31" ht="29">
      <c r="A219" t="str">
        <f t="shared" ca="1" si="6"/>
        <v>collection.pantry_4@1</v>
      </c>
      <c r="B219" t="str">
        <f ca="1">_xlfn.XLOOKUP(tblValidation[[#This Row],[TargetID]],tblTargets[TargetID],tblTargets[TargetType],"")</f>
        <v>COLLECTION</v>
      </c>
      <c r="C219" s="48" t="b">
        <f ca="1">COUNTIF(tblTargets[TargetID], $A219) &gt; 0</f>
        <v>1</v>
      </c>
      <c r="D219" s="48" t="b">
        <f ca="1">IF(OR(LEFT(tblValidation[[#This Row],[TargetID]],10)="state.CHAR",RIGHT(tblValidation[[#This Row],[TargetID]],5)="maxed"),TRUE, COUNTIF(tblChecklist[TargetID], $A219) &gt; 0)</f>
        <v>1</v>
      </c>
      <c r="E2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$A219) &gt; 0)</f>
        <v>1</v>
      </c>
      <c r="F219" s="48" t="b">
        <f ca="1">COUNTIF(tblDependencies[DependencyID], $A219) &gt; 0</f>
        <v>0</v>
      </c>
      <c r="G219" s="48" t="b">
        <f ca="1">COUNTIF(tblQuestObjectives[QuestTargetID], $A219) &gt; 0</f>
        <v>0</v>
      </c>
      <c r="H219" s="48" t="b">
        <f ca="1">COUNTIF(tblQuestObjectives[ObjectiveID], $A219) &gt; 0</f>
        <v>0</v>
      </c>
      <c r="I219" s="48" t="b">
        <f ca="1">COUNTIF(tblTargetStatus[TargetID], $A219) &gt; 0</f>
        <v>1</v>
      </c>
      <c r="J219" s="48" t="b">
        <f ca="1">COUNTIF(tblCost[TargetID], $A219) &gt; 0</f>
        <v>1</v>
      </c>
      <c r="K219" s="48" t="b">
        <f ca="1">COUNTIF(tblStates[StateID], $A219) &gt; 0</f>
        <v>0</v>
      </c>
      <c r="L219" s="48" t="b">
        <f t="shared" ca="1" si="7"/>
        <v>1</v>
      </c>
      <c r="M219" s="48" t="b">
        <f ca="1">IF(tblValidation[[#This Row],[TargetID]]="","",COUNTIF(tblTargets[TargetID],A219)&gt;1)</f>
        <v>0</v>
      </c>
      <c r="N219" s="48" t="b">
        <f ca="1">IF(tblValidation[[#This Row],[TargetID]]="","",COUNTIF(tblStates[StateID],tblValidation[[#This Row],[TargetID]])&gt;1)</f>
        <v>0</v>
      </c>
      <c r="O219" s="48" t="b" cm="1">
        <f t="array" aca="1" ref="O2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9" s="48"/>
      <c r="R219" s="48"/>
      <c r="S219" s="48"/>
      <c r="T219" s="48"/>
      <c r="V219" s="2" t="str">
        <f ca="1"/>
        <v>collection.pantry_4@1</v>
      </c>
      <c r="W219" s="48"/>
      <c r="X219" s="48" t="str">
        <f ca="1"/>
        <v>collection.pantry_4@1</v>
      </c>
      <c r="Y219" s="48" t="str">
        <f ca="1"/>
        <v>craftifact.guild_banner</v>
      </c>
      <c r="Z219" s="48" t="str">
        <f ca="1"/>
        <v>collection.rotten_ladder@1</v>
      </c>
      <c r="AA219" s="48" t="str">
        <f ca="1"/>
        <v>quest.magic_beans.accepted</v>
      </c>
      <c r="AB219" s="48"/>
      <c r="AC219" s="48"/>
      <c r="AD219" s="2" t="str">
        <f ca="1"/>
        <v>collection.pantry_4@1</v>
      </c>
      <c r="AE219" s="2" t="str">
        <f ca="1"/>
        <v>craftifact.guild_supplies</v>
      </c>
    </row>
    <row r="220" spans="1:31" ht="29">
      <c r="A220" t="str">
        <f t="shared" ca="1" si="6"/>
        <v>collection.rotten_ladder@1</v>
      </c>
      <c r="B220" t="str">
        <f ca="1">_xlfn.XLOOKUP(tblValidation[[#This Row],[TargetID]],tblTargets[TargetID],tblTargets[TargetType],"")</f>
        <v>COLLECTION</v>
      </c>
      <c r="C220" s="48" t="b">
        <f ca="1">COUNTIF(tblTargets[TargetID], $A220) &gt; 0</f>
        <v>1</v>
      </c>
      <c r="D220" s="48" t="b">
        <f ca="1">IF(OR(LEFT(tblValidation[[#This Row],[TargetID]],10)="state.CHAR",RIGHT(tblValidation[[#This Row],[TargetID]],5)="maxed"),TRUE, COUNTIF(tblChecklist[TargetID], $A220) &gt; 0)</f>
        <v>1</v>
      </c>
      <c r="E2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$A220) &gt; 0)</f>
        <v>1</v>
      </c>
      <c r="F220" s="48" t="b">
        <f ca="1">COUNTIF(tblDependencies[DependencyID], $A220) &gt; 0</f>
        <v>1</v>
      </c>
      <c r="G220" s="48" t="b">
        <f ca="1">COUNTIF(tblQuestObjectives[QuestTargetID], $A220) &gt; 0</f>
        <v>0</v>
      </c>
      <c r="H220" s="48" t="b">
        <f ca="1">COUNTIF(tblQuestObjectives[ObjectiveID], $A220) &gt; 0</f>
        <v>1</v>
      </c>
      <c r="I220" s="48" t="b">
        <f ca="1">COUNTIF(tblTargetStatus[TargetID], $A220) &gt; 0</f>
        <v>1</v>
      </c>
      <c r="J220" s="48" t="b">
        <f ca="1">COUNTIF(tblCost[TargetID], $A220) &gt; 0</f>
        <v>1</v>
      </c>
      <c r="K220" s="48" t="b">
        <f ca="1">COUNTIF(tblStates[StateID], $A220) &gt; 0</f>
        <v>0</v>
      </c>
      <c r="L220" s="48" t="b">
        <f t="shared" ca="1" si="7"/>
        <v>1</v>
      </c>
      <c r="M220" s="48" t="b">
        <f ca="1">IF(tblValidation[[#This Row],[TargetID]]="","",COUNTIF(tblTargets[TargetID],A220)&gt;1)</f>
        <v>0</v>
      </c>
      <c r="N220" s="48" t="b">
        <f ca="1">IF(tblValidation[[#This Row],[TargetID]]="","",COUNTIF(tblStates[StateID],tblValidation[[#This Row],[TargetID]])&gt;1)</f>
        <v>0</v>
      </c>
      <c r="O220" s="48" t="b" cm="1">
        <f t="array" aca="1" ref="O2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0" s="48"/>
      <c r="R220" s="48"/>
      <c r="S220" s="48"/>
      <c r="T220" s="48"/>
      <c r="V220" s="2" t="str">
        <f ca="1"/>
        <v>collection.rotten_ladder@1</v>
      </c>
      <c r="W220" s="48"/>
      <c r="X220" s="48" t="str">
        <f ca="1"/>
        <v>collection.rotten_ladder@1</v>
      </c>
      <c r="Y220" s="48" t="str">
        <f ca="1"/>
        <v>craftifact.guild_codex</v>
      </c>
      <c r="Z220" s="48" t="str">
        <f ca="1"/>
        <v>collection.staircase@1</v>
      </c>
      <c r="AA220" s="48" t="str">
        <f ca="1"/>
        <v>quest.magic_beans.finished</v>
      </c>
      <c r="AB220" s="48"/>
      <c r="AC220" s="48"/>
      <c r="AD220" s="2" t="str">
        <f ca="1"/>
        <v>collection.rotten_ladder@1</v>
      </c>
      <c r="AE220" s="2" t="str">
        <f ca="1"/>
        <v>craftifact.hat_of_concentration</v>
      </c>
    </row>
    <row r="221" spans="1:31" ht="29">
      <c r="A221" t="str">
        <f t="shared" ca="1" si="6"/>
        <v>collection.staircase@1</v>
      </c>
      <c r="B221" t="str">
        <f ca="1">_xlfn.XLOOKUP(tblValidation[[#This Row],[TargetID]],tblTargets[TargetID],tblTargets[TargetType],"")</f>
        <v>COLLECTION</v>
      </c>
      <c r="C221" s="48" t="b">
        <f ca="1">COUNTIF(tblTargets[TargetID], $A221) &gt; 0</f>
        <v>1</v>
      </c>
      <c r="D221" s="48" t="b">
        <f ca="1">IF(OR(LEFT(tblValidation[[#This Row],[TargetID]],10)="state.CHAR",RIGHT(tblValidation[[#This Row],[TargetID]],5)="maxed"),TRUE, COUNTIF(tblChecklist[TargetID], $A221) &gt; 0)</f>
        <v>1</v>
      </c>
      <c r="E2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$A221) &gt; 0)</f>
        <v>1</v>
      </c>
      <c r="F221" s="48" t="b">
        <f ca="1">COUNTIF(tblDependencies[DependencyID], $A221) &gt; 0</f>
        <v>0</v>
      </c>
      <c r="G221" s="48" t="b">
        <f ca="1">COUNTIF(tblQuestObjectives[QuestTargetID], $A221) &gt; 0</f>
        <v>0</v>
      </c>
      <c r="H221" s="48" t="b">
        <f ca="1">COUNTIF(tblQuestObjectives[ObjectiveID], $A221) &gt; 0</f>
        <v>0</v>
      </c>
      <c r="I221" s="48" t="b">
        <f ca="1">COUNTIF(tblTargetStatus[TargetID], $A221) &gt; 0</f>
        <v>1</v>
      </c>
      <c r="J221" s="48" t="b">
        <f ca="1">COUNTIF(tblCost[TargetID], $A221) &gt; 0</f>
        <v>1</v>
      </c>
      <c r="K221" s="48" t="b">
        <f ca="1">COUNTIF(tblStates[StateID], $A221) &gt; 0</f>
        <v>0</v>
      </c>
      <c r="L221" s="48" t="b">
        <f t="shared" ca="1" si="7"/>
        <v>1</v>
      </c>
      <c r="M221" s="48" t="b">
        <f ca="1">IF(tblValidation[[#This Row],[TargetID]]="","",COUNTIF(tblTargets[TargetID],A221)&gt;1)</f>
        <v>0</v>
      </c>
      <c r="N221" s="48" t="b">
        <f ca="1">IF(tblValidation[[#This Row],[TargetID]]="","",COUNTIF(tblStates[StateID],tblValidation[[#This Row],[TargetID]])&gt;1)</f>
        <v>0</v>
      </c>
      <c r="O221" s="48" t="b" cm="1">
        <f t="array" aca="1" ref="O2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1" s="48"/>
      <c r="R221" s="48"/>
      <c r="S221" s="48"/>
      <c r="T221" s="48"/>
      <c r="V221" s="2" t="str">
        <f ca="1"/>
        <v>collection.staircase@1</v>
      </c>
      <c r="W221" s="48"/>
      <c r="X221" s="48" t="str">
        <f ca="1"/>
        <v>collection.staircase@1</v>
      </c>
      <c r="Y221" s="48" t="str">
        <f ca="1"/>
        <v>craftifact.guild_supplies</v>
      </c>
      <c r="Z221" s="48" t="str">
        <f ca="1"/>
        <v>collection.statue@1</v>
      </c>
      <c r="AA221" s="48" t="str">
        <f ca="1"/>
        <v>quest.once_upon_a_forest_chapter_1.accepted</v>
      </c>
      <c r="AB221" s="48"/>
      <c r="AC221" s="48"/>
      <c r="AD221" s="2" t="str">
        <f ca="1"/>
        <v>collection.staircase@1</v>
      </c>
      <c r="AE221" s="2" t="str">
        <f ca="1"/>
        <v>craftifact.helmet</v>
      </c>
    </row>
    <row r="222" spans="1:31" ht="29">
      <c r="A222" t="str">
        <f t="shared" ca="1" si="6"/>
        <v>collection.statue@1</v>
      </c>
      <c r="B222" t="str">
        <f ca="1">_xlfn.XLOOKUP(tblValidation[[#This Row],[TargetID]],tblTargets[TargetID],tblTargets[TargetType],"")</f>
        <v>COLLECTION</v>
      </c>
      <c r="C222" s="48" t="b">
        <f ca="1">COUNTIF(tblTargets[TargetID], $A222) &gt; 0</f>
        <v>1</v>
      </c>
      <c r="D222" s="48" t="b">
        <f ca="1">IF(OR(LEFT(tblValidation[[#This Row],[TargetID]],10)="state.CHAR",RIGHT(tblValidation[[#This Row],[TargetID]],5)="maxed"),TRUE, COUNTIF(tblChecklist[TargetID], $A222) &gt; 0)</f>
        <v>1</v>
      </c>
      <c r="E2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$A222) &gt; 0)</f>
        <v>1</v>
      </c>
      <c r="F222" s="48" t="b">
        <f ca="1">COUNTIF(tblDependencies[DependencyID], $A222) &gt; 0</f>
        <v>0</v>
      </c>
      <c r="G222" s="48" t="b">
        <f ca="1">COUNTIF(tblQuestObjectives[QuestTargetID], $A222) &gt; 0</f>
        <v>0</v>
      </c>
      <c r="H222" s="48" t="b">
        <f ca="1">COUNTIF(tblQuestObjectives[ObjectiveID], $A222) &gt; 0</f>
        <v>0</v>
      </c>
      <c r="I222" s="48" t="b">
        <f ca="1">COUNTIF(tblTargetStatus[TargetID], $A222) &gt; 0</f>
        <v>1</v>
      </c>
      <c r="J222" s="48" t="b">
        <f ca="1">COUNTIF(tblCost[TargetID], $A222) &gt; 0</f>
        <v>1</v>
      </c>
      <c r="K222" s="48" t="b">
        <f ca="1">COUNTIF(tblStates[StateID], $A222) &gt; 0</f>
        <v>0</v>
      </c>
      <c r="L222" s="48" t="b">
        <f t="shared" ca="1" si="7"/>
        <v>1</v>
      </c>
      <c r="M222" s="48" t="b">
        <f ca="1">IF(tblValidation[[#This Row],[TargetID]]="","",COUNTIF(tblTargets[TargetID],A222)&gt;1)</f>
        <v>0</v>
      </c>
      <c r="N222" s="48" t="b">
        <f ca="1">IF(tblValidation[[#This Row],[TargetID]]="","",COUNTIF(tblStates[StateID],tblValidation[[#This Row],[TargetID]])&gt;1)</f>
        <v>0</v>
      </c>
      <c r="O222" s="48" t="b" cm="1">
        <f t="array" aca="1" ref="O2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2" s="48"/>
      <c r="R222" s="48"/>
      <c r="S222" s="48"/>
      <c r="T222" s="48"/>
      <c r="V222" s="2" t="str">
        <f ca="1"/>
        <v>collection.statue@1</v>
      </c>
      <c r="W222" s="48"/>
      <c r="X222" s="48" t="str">
        <f ca="1"/>
        <v>collection.statue@1</v>
      </c>
      <c r="Y222" s="48" t="str">
        <f ca="1"/>
        <v>craftifact.hat_of_concentration</v>
      </c>
      <c r="Z222" s="48" t="str">
        <f ca="1"/>
        <v>collection.tavern@1</v>
      </c>
      <c r="AA222" s="48" t="str">
        <f ca="1"/>
        <v>quest.once_upon_a_forest_chapter_1.finished</v>
      </c>
      <c r="AB222" s="48"/>
      <c r="AC222" s="48"/>
      <c r="AD222" s="2" t="str">
        <f ca="1"/>
        <v>collection.statue@1</v>
      </c>
      <c r="AE222" s="2" t="str">
        <f ca="1"/>
        <v>craftifact.historical_library</v>
      </c>
    </row>
    <row r="223" spans="1:31" ht="29">
      <c r="A223" t="str">
        <f t="shared" ca="1" si="6"/>
        <v>collection.tavern@1</v>
      </c>
      <c r="B223" t="str">
        <f ca="1">_xlfn.XLOOKUP(tblValidation[[#This Row],[TargetID]],tblTargets[TargetID],tblTargets[TargetType],"")</f>
        <v>COLLECTION</v>
      </c>
      <c r="C223" s="48" t="b">
        <f ca="1">COUNTIF(tblTargets[TargetID], $A223) &gt; 0</f>
        <v>1</v>
      </c>
      <c r="D223" s="48" t="b">
        <f ca="1">IF(OR(LEFT(tblValidation[[#This Row],[TargetID]],10)="state.CHAR",RIGHT(tblValidation[[#This Row],[TargetID]],5)="maxed"),TRUE, COUNTIF(tblChecklist[TargetID], $A223) &gt; 0)</f>
        <v>1</v>
      </c>
      <c r="E2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$A223) &gt; 0)</f>
        <v>1</v>
      </c>
      <c r="F223" s="48" t="b">
        <f ca="1">COUNTIF(tblDependencies[DependencyID], $A223) &gt; 0</f>
        <v>1</v>
      </c>
      <c r="G223" s="48" t="b">
        <f ca="1">COUNTIF(tblQuestObjectives[QuestTargetID], $A223) &gt; 0</f>
        <v>0</v>
      </c>
      <c r="H223" s="48" t="b">
        <f ca="1">COUNTIF(tblQuestObjectives[ObjectiveID], $A223) &gt; 0</f>
        <v>0</v>
      </c>
      <c r="I223" s="48" t="b">
        <f ca="1">COUNTIF(tblTargetStatus[TargetID], $A223) &gt; 0</f>
        <v>1</v>
      </c>
      <c r="J223" s="48" t="b">
        <f ca="1">COUNTIF(tblCost[TargetID], $A223) &gt; 0</f>
        <v>1</v>
      </c>
      <c r="K223" s="48" t="b">
        <f ca="1">COUNTIF(tblStates[StateID], $A223) &gt; 0</f>
        <v>0</v>
      </c>
      <c r="L223" s="48" t="b">
        <f t="shared" ca="1" si="7"/>
        <v>1</v>
      </c>
      <c r="M223" s="48" t="b">
        <f ca="1">IF(tblValidation[[#This Row],[TargetID]]="","",COUNTIF(tblTargets[TargetID],A223)&gt;1)</f>
        <v>0</v>
      </c>
      <c r="N223" s="48" t="b">
        <f ca="1">IF(tblValidation[[#This Row],[TargetID]]="","",COUNTIF(tblStates[StateID],tblValidation[[#This Row],[TargetID]])&gt;1)</f>
        <v>0</v>
      </c>
      <c r="O223" s="48" t="b" cm="1">
        <f t="array" aca="1" ref="O2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3" s="48"/>
      <c r="R223" s="48"/>
      <c r="S223" s="48"/>
      <c r="T223" s="48"/>
      <c r="V223" s="2" t="str">
        <f ca="1"/>
        <v>collection.tavern@1</v>
      </c>
      <c r="W223" s="48"/>
      <c r="X223" s="48" t="str">
        <f ca="1"/>
        <v>collection.tavern@1</v>
      </c>
      <c r="Y223" s="48" t="str">
        <f ca="1"/>
        <v>craftifact.helmet</v>
      </c>
      <c r="Z223" s="48" t="str">
        <f ca="1"/>
        <v>collection.tavern@2</v>
      </c>
      <c r="AA223" s="48" t="str">
        <f ca="1"/>
        <v>quest.once_upon_a_forest_chapter_10.accepted</v>
      </c>
      <c r="AB223" s="48"/>
      <c r="AC223" s="48"/>
      <c r="AD223" s="2" t="str">
        <f ca="1"/>
        <v>collection.tavern@1</v>
      </c>
      <c r="AE223" s="2" t="str">
        <f ca="1"/>
        <v>craftifact.hotei_statuette</v>
      </c>
    </row>
    <row r="224" spans="1:31" ht="29">
      <c r="A224" t="str">
        <f t="shared" ca="1" si="6"/>
        <v>collection.tavern@2</v>
      </c>
      <c r="B224" t="str">
        <f ca="1">_xlfn.XLOOKUP(tblValidation[[#This Row],[TargetID]],tblTargets[TargetID],tblTargets[TargetType],"")</f>
        <v>COLLECTION</v>
      </c>
      <c r="C224" s="48" t="b">
        <f ca="1">COUNTIF(tblTargets[TargetID], $A224) &gt; 0</f>
        <v>1</v>
      </c>
      <c r="D224" s="48" t="b">
        <f ca="1">IF(OR(LEFT(tblValidation[[#This Row],[TargetID]],10)="state.CHAR",RIGHT(tblValidation[[#This Row],[TargetID]],5)="maxed"),TRUE, COUNTIF(tblChecklist[TargetID], $A224) &gt; 0)</f>
        <v>1</v>
      </c>
      <c r="E2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$A224) &gt; 0)</f>
        <v>1</v>
      </c>
      <c r="F224" s="48" t="b">
        <f ca="1">COUNTIF(tblDependencies[DependencyID], $A224) &gt; 0</f>
        <v>0</v>
      </c>
      <c r="G224" s="48" t="b">
        <f ca="1">COUNTIF(tblQuestObjectives[QuestTargetID], $A224) &gt; 0</f>
        <v>0</v>
      </c>
      <c r="H224" s="48" t="b">
        <f ca="1">COUNTIF(tblQuestObjectives[ObjectiveID], $A224) &gt; 0</f>
        <v>0</v>
      </c>
      <c r="I224" s="48" t="b">
        <f ca="1">COUNTIF(tblTargetStatus[TargetID], $A224) &gt; 0</f>
        <v>1</v>
      </c>
      <c r="J224" s="48" t="b">
        <f ca="1">COUNTIF(tblCost[TargetID], $A224) &gt; 0</f>
        <v>1</v>
      </c>
      <c r="K224" s="48" t="b">
        <f ca="1">COUNTIF(tblStates[StateID], $A224) &gt; 0</f>
        <v>0</v>
      </c>
      <c r="L224" s="48" t="b">
        <f t="shared" ca="1" si="7"/>
        <v>1</v>
      </c>
      <c r="M224" s="48" t="b">
        <f ca="1">IF(tblValidation[[#This Row],[TargetID]]="","",COUNTIF(tblTargets[TargetID],A224)&gt;1)</f>
        <v>0</v>
      </c>
      <c r="N224" s="48" t="b">
        <f ca="1">IF(tblValidation[[#This Row],[TargetID]]="","",COUNTIF(tblStates[StateID],tblValidation[[#This Row],[TargetID]])&gt;1)</f>
        <v>0</v>
      </c>
      <c r="O224" s="48" t="b" cm="1">
        <f t="array" aca="1" ref="O2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4" s="48"/>
      <c r="R224" s="48"/>
      <c r="S224" s="48"/>
      <c r="T224" s="48"/>
      <c r="V224" s="2" t="str">
        <f ca="1"/>
        <v>collection.tavern@2</v>
      </c>
      <c r="W224" s="48"/>
      <c r="X224" s="48" t="str">
        <f ca="1"/>
        <v>collection.tavern@2</v>
      </c>
      <c r="Y224" s="48" t="str">
        <f ca="1"/>
        <v>craftifact.historical_library</v>
      </c>
      <c r="Z224" s="48" t="str">
        <f ca="1"/>
        <v>collection.treasury_1@1</v>
      </c>
      <c r="AA224" s="48" t="str">
        <f ca="1"/>
        <v>quest.once_upon_a_forest_chapter_10.finished</v>
      </c>
      <c r="AB224" s="48"/>
      <c r="AC224" s="48"/>
      <c r="AD224" s="2" t="str">
        <f ca="1"/>
        <v>collection.tavern@2</v>
      </c>
      <c r="AE224" s="2" t="str">
        <f ca="1"/>
        <v>craftifact.metal_detector</v>
      </c>
    </row>
    <row r="225" spans="1:31" ht="29">
      <c r="A225" t="str">
        <f t="shared" ca="1" si="6"/>
        <v>collection.treasury_1@1</v>
      </c>
      <c r="B225" t="str">
        <f ca="1">_xlfn.XLOOKUP(tblValidation[[#This Row],[TargetID]],tblTargets[TargetID],tblTargets[TargetType],"")</f>
        <v>COLLECTION</v>
      </c>
      <c r="C225" s="48" t="b">
        <f ca="1">COUNTIF(tblTargets[TargetID], $A225) &gt; 0</f>
        <v>1</v>
      </c>
      <c r="D225" s="48" t="b">
        <f ca="1">IF(OR(LEFT(tblValidation[[#This Row],[TargetID]],10)="state.CHAR",RIGHT(tblValidation[[#This Row],[TargetID]],5)="maxed"),TRUE, COUNTIF(tblChecklist[TargetID], $A225) &gt; 0)</f>
        <v>1</v>
      </c>
      <c r="E2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$A225) &gt; 0)</f>
        <v>1</v>
      </c>
      <c r="F225" s="48" t="b">
        <f ca="1">COUNTIF(tblDependencies[DependencyID], $A225) &gt; 0</f>
        <v>1</v>
      </c>
      <c r="G225" s="48" t="b">
        <f ca="1">COUNTIF(tblQuestObjectives[QuestTargetID], $A225) &gt; 0</f>
        <v>0</v>
      </c>
      <c r="H225" s="48" t="b">
        <f ca="1">COUNTIF(tblQuestObjectives[ObjectiveID], $A225) &gt; 0</f>
        <v>0</v>
      </c>
      <c r="I225" s="48" t="b">
        <f ca="1">COUNTIF(tblTargetStatus[TargetID], $A225) &gt; 0</f>
        <v>1</v>
      </c>
      <c r="J225" s="48" t="b">
        <f ca="1">COUNTIF(tblCost[TargetID], $A225) &gt; 0</f>
        <v>1</v>
      </c>
      <c r="K225" s="48" t="b">
        <f ca="1">COUNTIF(tblStates[StateID], $A225) &gt; 0</f>
        <v>0</v>
      </c>
      <c r="L225" s="48" t="b">
        <f t="shared" ca="1" si="7"/>
        <v>1</v>
      </c>
      <c r="M225" s="48" t="b">
        <f ca="1">IF(tblValidation[[#This Row],[TargetID]]="","",COUNTIF(tblTargets[TargetID],A225)&gt;1)</f>
        <v>0</v>
      </c>
      <c r="N225" s="48" t="b">
        <f ca="1">IF(tblValidation[[#This Row],[TargetID]]="","",COUNTIF(tblStates[StateID],tblValidation[[#This Row],[TargetID]])&gt;1)</f>
        <v>0</v>
      </c>
      <c r="O225" s="48" t="b" cm="1">
        <f t="array" aca="1" ref="O2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5" s="48"/>
      <c r="R225" s="48"/>
      <c r="S225" s="48"/>
      <c r="T225" s="48"/>
      <c r="V225" s="2" t="str">
        <f ca="1"/>
        <v>collection.treasury_1@1</v>
      </c>
      <c r="W225" s="48"/>
      <c r="X225" s="48" t="str">
        <f ca="1"/>
        <v>collection.treasury_1@1</v>
      </c>
      <c r="Y225" s="48" t="str">
        <f ca="1"/>
        <v>craftifact.hotei_statuette</v>
      </c>
      <c r="Z225" s="48" t="str">
        <f ca="1"/>
        <v>collection.treasury_1@2</v>
      </c>
      <c r="AA225" s="48" t="str">
        <f ca="1"/>
        <v>quest.once_upon_a_forest_chapter_11.accepted</v>
      </c>
      <c r="AB225" s="48"/>
      <c r="AC225" s="48"/>
      <c r="AD225" s="2" t="str">
        <f ca="1"/>
        <v>collection.treasury_1@1</v>
      </c>
      <c r="AE225" s="2" t="str">
        <f ca="1"/>
        <v>craftifact.necklace_for_haruka</v>
      </c>
    </row>
    <row r="226" spans="1:31" ht="29">
      <c r="A226" t="str">
        <f t="shared" ca="1" si="6"/>
        <v>collection.treasury_1@2</v>
      </c>
      <c r="B226" t="str">
        <f ca="1">_xlfn.XLOOKUP(tblValidation[[#This Row],[TargetID]],tblTargets[TargetID],tblTargets[TargetType],"")</f>
        <v>COLLECTION</v>
      </c>
      <c r="C226" s="48" t="b">
        <f ca="1">COUNTIF(tblTargets[TargetID], $A226) &gt; 0</f>
        <v>1</v>
      </c>
      <c r="D226" s="48" t="b">
        <f ca="1">IF(OR(LEFT(tblValidation[[#This Row],[TargetID]],10)="state.CHAR",RIGHT(tblValidation[[#This Row],[TargetID]],5)="maxed"),TRUE, COUNTIF(tblChecklist[TargetID], $A226) &gt; 0)</f>
        <v>1</v>
      </c>
      <c r="E2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$A226) &gt; 0)</f>
        <v>1</v>
      </c>
      <c r="F226" s="48" t="b">
        <f ca="1">COUNTIF(tblDependencies[DependencyID], $A226) &gt; 0</f>
        <v>1</v>
      </c>
      <c r="G226" s="48" t="b">
        <f ca="1">COUNTIF(tblQuestObjectives[QuestTargetID], $A226) &gt; 0</f>
        <v>0</v>
      </c>
      <c r="H226" s="48" t="b">
        <f ca="1">COUNTIF(tblQuestObjectives[ObjectiveID], $A226) &gt; 0</f>
        <v>0</v>
      </c>
      <c r="I226" s="48" t="b">
        <f ca="1">COUNTIF(tblTargetStatus[TargetID], $A226) &gt; 0</f>
        <v>1</v>
      </c>
      <c r="J226" s="48" t="b">
        <f ca="1">COUNTIF(tblCost[TargetID], $A226) &gt; 0</f>
        <v>1</v>
      </c>
      <c r="K226" s="48" t="b">
        <f ca="1">COUNTIF(tblStates[StateID], $A226) &gt; 0</f>
        <v>0</v>
      </c>
      <c r="L226" s="48" t="b">
        <f t="shared" ca="1" si="7"/>
        <v>1</v>
      </c>
      <c r="M226" s="48" t="b">
        <f ca="1">IF(tblValidation[[#This Row],[TargetID]]="","",COUNTIF(tblTargets[TargetID],A226)&gt;1)</f>
        <v>0</v>
      </c>
      <c r="N226" s="48" t="b">
        <f ca="1">IF(tblValidation[[#This Row],[TargetID]]="","",COUNTIF(tblStates[StateID],tblValidation[[#This Row],[TargetID]])&gt;1)</f>
        <v>0</v>
      </c>
      <c r="O226" s="48" t="b" cm="1">
        <f t="array" aca="1" ref="O2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6" s="48"/>
      <c r="R226" s="48"/>
      <c r="S226" s="48"/>
      <c r="T226" s="48"/>
      <c r="V226" s="2" t="str">
        <f ca="1"/>
        <v>collection.treasury_1@2</v>
      </c>
      <c r="W226" s="48"/>
      <c r="X226" s="48" t="str">
        <f ca="1"/>
        <v>collection.treasury_1@2</v>
      </c>
      <c r="Y226" s="48" t="str">
        <f ca="1"/>
        <v>craftifact.metal_detector</v>
      </c>
      <c r="Z226" s="48" t="str">
        <f ca="1"/>
        <v>collection.treasury_1@3</v>
      </c>
      <c r="AA226" s="48" t="str">
        <f ca="1"/>
        <v>quest.once_upon_a_forest_chapter_11.finished</v>
      </c>
      <c r="AB226" s="48"/>
      <c r="AC226" s="48"/>
      <c r="AD226" s="2" t="str">
        <f ca="1"/>
        <v>collection.treasury_1@2</v>
      </c>
      <c r="AE226" s="2" t="str">
        <f ca="1"/>
        <v>craftifact.safe</v>
      </c>
    </row>
    <row r="227" spans="1:31" ht="29">
      <c r="A227" t="str">
        <f t="shared" ca="1" si="6"/>
        <v>collection.treasury_1@3</v>
      </c>
      <c r="B227" t="str">
        <f ca="1">_xlfn.XLOOKUP(tblValidation[[#This Row],[TargetID]],tblTargets[TargetID],tblTargets[TargetType],"")</f>
        <v>COLLECTION</v>
      </c>
      <c r="C227" s="48" t="b">
        <f ca="1">COUNTIF(tblTargets[TargetID], $A227) &gt; 0</f>
        <v>1</v>
      </c>
      <c r="D227" s="48" t="b">
        <f ca="1">IF(OR(LEFT(tblValidation[[#This Row],[TargetID]],10)="state.CHAR",RIGHT(tblValidation[[#This Row],[TargetID]],5)="maxed"),TRUE, COUNTIF(tblChecklist[TargetID], $A227) &gt; 0)</f>
        <v>1</v>
      </c>
      <c r="E2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$A227) &gt; 0)</f>
        <v>1</v>
      </c>
      <c r="F227" s="48" t="b">
        <f ca="1">COUNTIF(tblDependencies[DependencyID], $A227) &gt; 0</f>
        <v>1</v>
      </c>
      <c r="G227" s="48" t="b">
        <f ca="1">COUNTIF(tblQuestObjectives[QuestTargetID], $A227) &gt; 0</f>
        <v>0</v>
      </c>
      <c r="H227" s="48" t="b">
        <f ca="1">COUNTIF(tblQuestObjectives[ObjectiveID], $A227) &gt; 0</f>
        <v>0</v>
      </c>
      <c r="I227" s="48" t="b">
        <f ca="1">COUNTIF(tblTargetStatus[TargetID], $A227) &gt; 0</f>
        <v>1</v>
      </c>
      <c r="J227" s="48" t="b">
        <f ca="1">COUNTIF(tblCost[TargetID], $A227) &gt; 0</f>
        <v>1</v>
      </c>
      <c r="K227" s="48" t="b">
        <f ca="1">COUNTIF(tblStates[StateID], $A227) &gt; 0</f>
        <v>0</v>
      </c>
      <c r="L227" s="48" t="b">
        <f t="shared" ca="1" si="7"/>
        <v>1</v>
      </c>
      <c r="M227" s="48" t="b">
        <f ca="1">IF(tblValidation[[#This Row],[TargetID]]="","",COUNTIF(tblTargets[TargetID],A227)&gt;1)</f>
        <v>0</v>
      </c>
      <c r="N227" s="48" t="b">
        <f ca="1">IF(tblValidation[[#This Row],[TargetID]]="","",COUNTIF(tblStates[StateID],tblValidation[[#This Row],[TargetID]])&gt;1)</f>
        <v>0</v>
      </c>
      <c r="O227" s="48" t="b" cm="1">
        <f t="array" aca="1" ref="O2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7" s="48"/>
      <c r="R227" s="48"/>
      <c r="S227" s="48"/>
      <c r="T227" s="48"/>
      <c r="V227" s="2" t="str">
        <f ca="1"/>
        <v>collection.treasury_1@3</v>
      </c>
      <c r="W227" s="48"/>
      <c r="X227" s="48" t="str">
        <f ca="1"/>
        <v>collection.treasury_1@3</v>
      </c>
      <c r="Y227" s="48" t="str">
        <f ca="1"/>
        <v>craftifact.necklace_for_haruka</v>
      </c>
      <c r="Z227" s="48" t="str">
        <f ca="1"/>
        <v>collection.treasury_1@4</v>
      </c>
      <c r="AA227" s="48" t="str">
        <f ca="1"/>
        <v>quest.once_upon_a_forest_chapter_12.accepted</v>
      </c>
      <c r="AB227" s="48"/>
      <c r="AC227" s="48"/>
      <c r="AD227" s="2" t="str">
        <f ca="1"/>
        <v>collection.treasury_1@3</v>
      </c>
      <c r="AE227" s="2" t="str">
        <f ca="1"/>
        <v>craftifact.solver_1_prototype</v>
      </c>
    </row>
    <row r="228" spans="1:31" ht="29">
      <c r="A228" t="str">
        <f t="shared" ca="1" si="6"/>
        <v>collection.treasury_1@4</v>
      </c>
      <c r="B228" t="str">
        <f ca="1">_xlfn.XLOOKUP(tblValidation[[#This Row],[TargetID]],tblTargets[TargetID],tblTargets[TargetType],"")</f>
        <v>COLLECTION</v>
      </c>
      <c r="C228" s="48" t="b">
        <f ca="1">COUNTIF(tblTargets[TargetID], $A228) &gt; 0</f>
        <v>1</v>
      </c>
      <c r="D228" s="48" t="b">
        <f ca="1">IF(OR(LEFT(tblValidation[[#This Row],[TargetID]],10)="state.CHAR",RIGHT(tblValidation[[#This Row],[TargetID]],5)="maxed"),TRUE, COUNTIF(tblChecklist[TargetID], $A228) &gt; 0)</f>
        <v>1</v>
      </c>
      <c r="E2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$A228) &gt; 0)</f>
        <v>1</v>
      </c>
      <c r="F228" s="48" t="b">
        <f ca="1">COUNTIF(tblDependencies[DependencyID], $A228) &gt; 0</f>
        <v>1</v>
      </c>
      <c r="G228" s="48" t="b">
        <f ca="1">COUNTIF(tblQuestObjectives[QuestTargetID], $A228) &gt; 0</f>
        <v>0</v>
      </c>
      <c r="H228" s="48" t="b">
        <f ca="1">COUNTIF(tblQuestObjectives[ObjectiveID], $A228) &gt; 0</f>
        <v>0</v>
      </c>
      <c r="I228" s="48" t="b">
        <f ca="1">COUNTIF(tblTargetStatus[TargetID], $A228) &gt; 0</f>
        <v>1</v>
      </c>
      <c r="J228" s="48" t="b">
        <f ca="1">COUNTIF(tblCost[TargetID], $A228) &gt; 0</f>
        <v>1</v>
      </c>
      <c r="K228" s="48" t="b">
        <f ca="1">COUNTIF(tblStates[StateID], $A228) &gt; 0</f>
        <v>0</v>
      </c>
      <c r="L228" s="48" t="b">
        <f t="shared" ca="1" si="7"/>
        <v>1</v>
      </c>
      <c r="M228" s="48" t="b">
        <f ca="1">IF(tblValidation[[#This Row],[TargetID]]="","",COUNTIF(tblTargets[TargetID],A228)&gt;1)</f>
        <v>0</v>
      </c>
      <c r="N228" s="48" t="b">
        <f ca="1">IF(tblValidation[[#This Row],[TargetID]]="","",COUNTIF(tblStates[StateID],tblValidation[[#This Row],[TargetID]])&gt;1)</f>
        <v>0</v>
      </c>
      <c r="O228" s="48" t="b" cm="1">
        <f t="array" aca="1" ref="O2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8" s="48"/>
      <c r="R228" s="48"/>
      <c r="S228" s="48"/>
      <c r="T228" s="48"/>
      <c r="V228" s="2" t="str">
        <f ca="1"/>
        <v>collection.treasury_1@4</v>
      </c>
      <c r="W228" s="48"/>
      <c r="X228" s="48" t="str">
        <f ca="1"/>
        <v>collection.treasury_1@4</v>
      </c>
      <c r="Y228" s="48" t="str">
        <f ca="1"/>
        <v>craftifact.safe</v>
      </c>
      <c r="Z228" s="48" t="str">
        <f ca="1"/>
        <v>collection.treasury_1@5</v>
      </c>
      <c r="AA228" s="48" t="str">
        <f ca="1"/>
        <v>quest.once_upon_a_forest_chapter_12.finished</v>
      </c>
      <c r="AB228" s="48"/>
      <c r="AC228" s="48"/>
      <c r="AD228" s="2" t="str">
        <f ca="1"/>
        <v>collection.treasury_1@4</v>
      </c>
      <c r="AE228" s="2" t="str">
        <f ca="1"/>
        <v>craftifact.telescope</v>
      </c>
    </row>
    <row r="229" spans="1:31" ht="29">
      <c r="A229" t="str">
        <f t="shared" ca="1" si="6"/>
        <v>collection.treasury_1@5</v>
      </c>
      <c r="B229" t="str">
        <f ca="1">_xlfn.XLOOKUP(tblValidation[[#This Row],[TargetID]],tblTargets[TargetID],tblTargets[TargetType],"")</f>
        <v>COLLECTION</v>
      </c>
      <c r="C229" s="48" t="b">
        <f ca="1">COUNTIF(tblTargets[TargetID], $A229) &gt; 0</f>
        <v>1</v>
      </c>
      <c r="D229" s="48" t="b">
        <f ca="1">IF(OR(LEFT(tblValidation[[#This Row],[TargetID]],10)="state.CHAR",RIGHT(tblValidation[[#This Row],[TargetID]],5)="maxed"),TRUE, COUNTIF(tblChecklist[TargetID], $A229) &gt; 0)</f>
        <v>1</v>
      </c>
      <c r="E2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$A229) &gt; 0)</f>
        <v>1</v>
      </c>
      <c r="F229" s="48" t="b">
        <f ca="1">COUNTIF(tblDependencies[DependencyID], $A229) &gt; 0</f>
        <v>0</v>
      </c>
      <c r="G229" s="48" t="b">
        <f ca="1">COUNTIF(tblQuestObjectives[QuestTargetID], $A229) &gt; 0</f>
        <v>0</v>
      </c>
      <c r="H229" s="48" t="b">
        <f ca="1">COUNTIF(tblQuestObjectives[ObjectiveID], $A229) &gt; 0</f>
        <v>0</v>
      </c>
      <c r="I229" s="48" t="b">
        <f ca="1">COUNTIF(tblTargetStatus[TargetID], $A229) &gt; 0</f>
        <v>1</v>
      </c>
      <c r="J229" s="48" t="b">
        <f ca="1">COUNTIF(tblCost[TargetID], $A229) &gt; 0</f>
        <v>1</v>
      </c>
      <c r="K229" s="48" t="b">
        <f ca="1">COUNTIF(tblStates[StateID], $A229) &gt; 0</f>
        <v>0</v>
      </c>
      <c r="L229" s="48" t="b">
        <f t="shared" ca="1" si="7"/>
        <v>1</v>
      </c>
      <c r="M229" s="48" t="b">
        <f ca="1">IF(tblValidation[[#This Row],[TargetID]]="","",COUNTIF(tblTargets[TargetID],A229)&gt;1)</f>
        <v>0</v>
      </c>
      <c r="N229" s="48" t="b">
        <f ca="1">IF(tblValidation[[#This Row],[TargetID]]="","",COUNTIF(tblStates[StateID],tblValidation[[#This Row],[TargetID]])&gt;1)</f>
        <v>0</v>
      </c>
      <c r="O229" s="48" t="b" cm="1">
        <f t="array" aca="1" ref="O2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9" s="48"/>
      <c r="R229" s="48"/>
      <c r="S229" s="48"/>
      <c r="T229" s="48"/>
      <c r="V229" s="2" t="str">
        <f ca="1"/>
        <v>collection.treasury_1@5</v>
      </c>
      <c r="W229" s="48"/>
      <c r="X229" s="48" t="str">
        <f ca="1"/>
        <v>collection.treasury_1@5</v>
      </c>
      <c r="Y229" s="48" t="str">
        <f ca="1"/>
        <v>craftifact.solver_1_prototype</v>
      </c>
      <c r="Z229" s="48" t="str">
        <f ca="1"/>
        <v>collection.treasury_2@1</v>
      </c>
      <c r="AA229" s="48" t="str">
        <f ca="1"/>
        <v>quest.once_upon_a_forest_chapter_13.accepted</v>
      </c>
      <c r="AB229" s="48"/>
      <c r="AC229" s="48"/>
      <c r="AD229" s="2" t="str">
        <f ca="1"/>
        <v>collection.treasury_1@5</v>
      </c>
      <c r="AE229" s="2" t="str">
        <f ca="1"/>
        <v>craftifact.tetrachloroaurate</v>
      </c>
    </row>
    <row r="230" spans="1:31" ht="29">
      <c r="A230" t="str">
        <f t="shared" ca="1" si="6"/>
        <v>collection.treasury_2@1</v>
      </c>
      <c r="B230" t="str">
        <f ca="1">_xlfn.XLOOKUP(tblValidation[[#This Row],[TargetID]],tblTargets[TargetID],tblTargets[TargetType],"")</f>
        <v>COLLECTION</v>
      </c>
      <c r="C230" s="48" t="b">
        <f ca="1">COUNTIF(tblTargets[TargetID], $A230) &gt; 0</f>
        <v>1</v>
      </c>
      <c r="D230" s="48" t="b">
        <f ca="1">IF(OR(LEFT(tblValidation[[#This Row],[TargetID]],10)="state.CHAR",RIGHT(tblValidation[[#This Row],[TargetID]],5)="maxed"),TRUE, COUNTIF(tblChecklist[TargetID], $A230) &gt; 0)</f>
        <v>1</v>
      </c>
      <c r="E2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$A230) &gt; 0)</f>
        <v>1</v>
      </c>
      <c r="F230" s="48" t="b">
        <f ca="1">COUNTIF(tblDependencies[DependencyID], $A230) &gt; 0</f>
        <v>1</v>
      </c>
      <c r="G230" s="48" t="b">
        <f ca="1">COUNTIF(tblQuestObjectives[QuestTargetID], $A230) &gt; 0</f>
        <v>0</v>
      </c>
      <c r="H230" s="48" t="b">
        <f ca="1">COUNTIF(tblQuestObjectives[ObjectiveID], $A230) &gt; 0</f>
        <v>0</v>
      </c>
      <c r="I230" s="48" t="b">
        <f ca="1">COUNTIF(tblTargetStatus[TargetID], $A230) &gt; 0</f>
        <v>1</v>
      </c>
      <c r="J230" s="48" t="b">
        <f ca="1">COUNTIF(tblCost[TargetID], $A230) &gt; 0</f>
        <v>1</v>
      </c>
      <c r="K230" s="48" t="b">
        <f ca="1">COUNTIF(tblStates[StateID], $A230) &gt; 0</f>
        <v>0</v>
      </c>
      <c r="L230" s="48" t="b">
        <f t="shared" ca="1" si="7"/>
        <v>1</v>
      </c>
      <c r="M230" s="48" t="b">
        <f ca="1">IF(tblValidation[[#This Row],[TargetID]]="","",COUNTIF(tblTargets[TargetID],A230)&gt;1)</f>
        <v>0</v>
      </c>
      <c r="N230" s="48" t="b">
        <f ca="1">IF(tblValidation[[#This Row],[TargetID]]="","",COUNTIF(tblStates[StateID],tblValidation[[#This Row],[TargetID]])&gt;1)</f>
        <v>0</v>
      </c>
      <c r="O230" s="48" t="b" cm="1">
        <f t="array" aca="1" ref="O2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0" s="48"/>
      <c r="R230" s="48"/>
      <c r="S230" s="48"/>
      <c r="T230" s="48"/>
      <c r="V230" s="2" t="str">
        <f ca="1"/>
        <v>collection.treasury_2@1</v>
      </c>
      <c r="W230" s="48"/>
      <c r="X230" s="48" t="str">
        <f ca="1"/>
        <v>collection.treasury_2@1</v>
      </c>
      <c r="Y230" s="48" t="str">
        <f ca="1"/>
        <v>craftifact.telescope</v>
      </c>
      <c r="Z230" s="48" t="str">
        <f ca="1"/>
        <v>collection.treasury_2@2</v>
      </c>
      <c r="AA230" s="48" t="str">
        <f ca="1"/>
        <v>quest.once_upon_a_forest_chapter_13.finished</v>
      </c>
      <c r="AB230" s="48"/>
      <c r="AC230" s="48"/>
      <c r="AD230" s="2" t="str">
        <f ca="1"/>
        <v>collection.treasury_2@1</v>
      </c>
      <c r="AE230" s="2" t="str">
        <f ca="1"/>
        <v>craftifact.trigonometry</v>
      </c>
    </row>
    <row r="231" spans="1:31" ht="29">
      <c r="A231" t="str">
        <f t="shared" ca="1" si="6"/>
        <v>collection.treasury_2@2</v>
      </c>
      <c r="B231" t="str">
        <f ca="1">_xlfn.XLOOKUP(tblValidation[[#This Row],[TargetID]],tblTargets[TargetID],tblTargets[TargetType],"")</f>
        <v>COLLECTION</v>
      </c>
      <c r="C231" s="48" t="b">
        <f ca="1">COUNTIF(tblTargets[TargetID], $A231) &gt; 0</f>
        <v>1</v>
      </c>
      <c r="D231" s="48" t="b">
        <f ca="1">IF(OR(LEFT(tblValidation[[#This Row],[TargetID]],10)="state.CHAR",RIGHT(tblValidation[[#This Row],[TargetID]],5)="maxed"),TRUE, COUNTIF(tblChecklist[TargetID], $A231) &gt; 0)</f>
        <v>1</v>
      </c>
      <c r="E2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$A231) &gt; 0)</f>
        <v>1</v>
      </c>
      <c r="F231" s="48" t="b">
        <f ca="1">COUNTIF(tblDependencies[DependencyID], $A231) &gt; 0</f>
        <v>1</v>
      </c>
      <c r="G231" s="48" t="b">
        <f ca="1">COUNTIF(tblQuestObjectives[QuestTargetID], $A231) &gt; 0</f>
        <v>0</v>
      </c>
      <c r="H231" s="48" t="b">
        <f ca="1">COUNTIF(tblQuestObjectives[ObjectiveID], $A231) &gt; 0</f>
        <v>0</v>
      </c>
      <c r="I231" s="48" t="b">
        <f ca="1">COUNTIF(tblTargetStatus[TargetID], $A231) &gt; 0</f>
        <v>1</v>
      </c>
      <c r="J231" s="48" t="b">
        <f ca="1">COUNTIF(tblCost[TargetID], $A231) &gt; 0</f>
        <v>1</v>
      </c>
      <c r="K231" s="48" t="b">
        <f ca="1">COUNTIF(tblStates[StateID], $A231) &gt; 0</f>
        <v>0</v>
      </c>
      <c r="L231" s="48" t="b">
        <f t="shared" ca="1" si="7"/>
        <v>1</v>
      </c>
      <c r="M231" s="48" t="b">
        <f ca="1">IF(tblValidation[[#This Row],[TargetID]]="","",COUNTIF(tblTargets[TargetID],A231)&gt;1)</f>
        <v>0</v>
      </c>
      <c r="N231" s="48" t="b">
        <f ca="1">IF(tblValidation[[#This Row],[TargetID]]="","",COUNTIF(tblStates[StateID],tblValidation[[#This Row],[TargetID]])&gt;1)</f>
        <v>0</v>
      </c>
      <c r="O231" s="48" t="b" cm="1">
        <f t="array" aca="1" ref="O2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1" s="48"/>
      <c r="R231" s="48"/>
      <c r="S231" s="48"/>
      <c r="T231" s="48"/>
      <c r="V231" s="2" t="str">
        <f ca="1"/>
        <v>collection.treasury_2@2</v>
      </c>
      <c r="W231" s="48"/>
      <c r="X231" s="48" t="str">
        <f ca="1"/>
        <v>collection.treasury_2@2</v>
      </c>
      <c r="Y231" s="48" t="str">
        <f ca="1"/>
        <v>craftifact.tetrachloroaurate</v>
      </c>
      <c r="Z231" s="48" t="str">
        <f ca="1"/>
        <v>collection.treasury_2@3</v>
      </c>
      <c r="AA231" s="48" t="str">
        <f ca="1"/>
        <v>quest.once_upon_a_forest_chapter_14.accepted</v>
      </c>
      <c r="AB231" s="48"/>
      <c r="AC231" s="48"/>
      <c r="AD231" s="2" t="str">
        <f ca="1"/>
        <v>collection.treasury_2@2</v>
      </c>
      <c r="AE231" s="2" t="str">
        <f ca="1"/>
        <v>quest.ahead_of_time_chapter_1.finished</v>
      </c>
    </row>
    <row r="232" spans="1:31" ht="29">
      <c r="A232" t="str">
        <f t="shared" ca="1" si="6"/>
        <v>collection.treasury_2@3</v>
      </c>
      <c r="B232" t="str">
        <f ca="1">_xlfn.XLOOKUP(tblValidation[[#This Row],[TargetID]],tblTargets[TargetID],tblTargets[TargetType],"")</f>
        <v>COLLECTION</v>
      </c>
      <c r="C232" s="48" t="b">
        <f ca="1">COUNTIF(tblTargets[TargetID], $A232) &gt; 0</f>
        <v>1</v>
      </c>
      <c r="D232" s="48" t="b">
        <f ca="1">IF(OR(LEFT(tblValidation[[#This Row],[TargetID]],10)="state.CHAR",RIGHT(tblValidation[[#This Row],[TargetID]],5)="maxed"),TRUE, COUNTIF(tblChecklist[TargetID], $A232) &gt; 0)</f>
        <v>1</v>
      </c>
      <c r="E2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$A232) &gt; 0)</f>
        <v>1</v>
      </c>
      <c r="F232" s="48" t="b">
        <f ca="1">COUNTIF(tblDependencies[DependencyID], $A232) &gt; 0</f>
        <v>0</v>
      </c>
      <c r="G232" s="48" t="b">
        <f ca="1">COUNTIF(tblQuestObjectives[QuestTargetID], $A232) &gt; 0</f>
        <v>0</v>
      </c>
      <c r="H232" s="48" t="b">
        <f ca="1">COUNTIF(tblQuestObjectives[ObjectiveID], $A232) &gt; 0</f>
        <v>0</v>
      </c>
      <c r="I232" s="48" t="b">
        <f ca="1">COUNTIF(tblTargetStatus[TargetID], $A232) &gt; 0</f>
        <v>1</v>
      </c>
      <c r="J232" s="48" t="b">
        <f ca="1">COUNTIF(tblCost[TargetID], $A232) &gt; 0</f>
        <v>1</v>
      </c>
      <c r="K232" s="48" t="b">
        <f ca="1">COUNTIF(tblStates[StateID], $A232) &gt; 0</f>
        <v>0</v>
      </c>
      <c r="L232" s="48" t="b">
        <f t="shared" ca="1" si="7"/>
        <v>1</v>
      </c>
      <c r="M232" s="48" t="b">
        <f ca="1">IF(tblValidation[[#This Row],[TargetID]]="","",COUNTIF(tblTargets[TargetID],A232)&gt;1)</f>
        <v>0</v>
      </c>
      <c r="N232" s="48" t="b">
        <f ca="1">IF(tblValidation[[#This Row],[TargetID]]="","",COUNTIF(tblStates[StateID],tblValidation[[#This Row],[TargetID]])&gt;1)</f>
        <v>0</v>
      </c>
      <c r="O232" s="48" t="b" cm="1">
        <f t="array" aca="1" ref="O2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2" s="48"/>
      <c r="R232" s="48"/>
      <c r="S232" s="48"/>
      <c r="T232" s="48"/>
      <c r="V232" s="2" t="str">
        <f ca="1"/>
        <v>collection.treasury_2@3</v>
      </c>
      <c r="W232" s="48"/>
      <c r="X232" s="48" t="str">
        <f ca="1"/>
        <v>collection.treasury_2@3</v>
      </c>
      <c r="Y232" s="48" t="str">
        <f ca="1"/>
        <v>craftifact.trigonometry</v>
      </c>
      <c r="Z232" s="48" t="str">
        <f ca="1"/>
        <v>collection.treasury_3@1</v>
      </c>
      <c r="AA232" s="48" t="str">
        <f ca="1"/>
        <v>quest.once_upon_a_forest_chapter_14.finished</v>
      </c>
      <c r="AB232" s="48"/>
      <c r="AC232" s="48"/>
      <c r="AD232" s="2" t="str">
        <f ca="1"/>
        <v>collection.treasury_2@3</v>
      </c>
      <c r="AE232" s="2" t="str">
        <f ca="1"/>
        <v>quest.culinary_battle.finished</v>
      </c>
    </row>
    <row r="233" spans="1:31" ht="29">
      <c r="A233" t="str">
        <f t="shared" ca="1" si="6"/>
        <v>collection.treasury_3@1</v>
      </c>
      <c r="B233" t="str">
        <f ca="1">_xlfn.XLOOKUP(tblValidation[[#This Row],[TargetID]],tblTargets[TargetID],tblTargets[TargetType],"")</f>
        <v>COLLECTION</v>
      </c>
      <c r="C233" s="48" t="b">
        <f ca="1">COUNTIF(tblTargets[TargetID], $A233) &gt; 0</f>
        <v>1</v>
      </c>
      <c r="D233" s="48" t="b">
        <f ca="1">IF(OR(LEFT(tblValidation[[#This Row],[TargetID]],10)="state.CHAR",RIGHT(tblValidation[[#This Row],[TargetID]],5)="maxed"),TRUE, COUNTIF(tblChecklist[TargetID], $A233) &gt; 0)</f>
        <v>1</v>
      </c>
      <c r="E2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$A233) &gt; 0)</f>
        <v>1</v>
      </c>
      <c r="F233" s="48" t="b">
        <f ca="1">COUNTIF(tblDependencies[DependencyID], $A233) &gt; 0</f>
        <v>0</v>
      </c>
      <c r="G233" s="48" t="b">
        <f ca="1">COUNTIF(tblQuestObjectives[QuestTargetID], $A233) &gt; 0</f>
        <v>0</v>
      </c>
      <c r="H233" s="48" t="b">
        <f ca="1">COUNTIF(tblQuestObjectives[ObjectiveID], $A233) &gt; 0</f>
        <v>0</v>
      </c>
      <c r="I233" s="48" t="b">
        <f ca="1">COUNTIF(tblTargetStatus[TargetID], $A233) &gt; 0</f>
        <v>1</v>
      </c>
      <c r="J233" s="48" t="b">
        <f ca="1">COUNTIF(tblCost[TargetID], $A233) &gt; 0</f>
        <v>1</v>
      </c>
      <c r="K233" s="48" t="b">
        <f ca="1">COUNTIF(tblStates[StateID], $A233) &gt; 0</f>
        <v>0</v>
      </c>
      <c r="L233" s="48" t="b">
        <f t="shared" ca="1" si="7"/>
        <v>1</v>
      </c>
      <c r="M233" s="48" t="b">
        <f ca="1">IF(tblValidation[[#This Row],[TargetID]]="","",COUNTIF(tblTargets[TargetID],A233)&gt;1)</f>
        <v>0</v>
      </c>
      <c r="N233" s="48" t="b">
        <f ca="1">IF(tblValidation[[#This Row],[TargetID]]="","",COUNTIF(tblStates[StateID],tblValidation[[#This Row],[TargetID]])&gt;1)</f>
        <v>0</v>
      </c>
      <c r="O233" s="48" t="b" cm="1">
        <f t="array" aca="1" ref="O2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3" s="48"/>
      <c r="R233" s="48"/>
      <c r="S233" s="48"/>
      <c r="T233" s="48"/>
      <c r="V233" s="2" t="str">
        <f ca="1"/>
        <v>collection.treasury_3@1</v>
      </c>
      <c r="W233" s="48"/>
      <c r="X233" s="48" t="str">
        <f ca="1"/>
        <v>collection.treasury_3@1</v>
      </c>
      <c r="Y233" s="48" t="str">
        <f ca="1"/>
        <v>quest.ahead_of_time_chapter_1.accepted</v>
      </c>
      <c r="Z233" s="48" t="str">
        <f ca="1"/>
        <v>craftifact.astrolabe</v>
      </c>
      <c r="AA233" s="48" t="str">
        <f ca="1"/>
        <v>quest.once_upon_a_forest_chapter_15.accepted</v>
      </c>
      <c r="AB233" s="48"/>
      <c r="AC233" s="48"/>
      <c r="AD233" s="2" t="str">
        <f ca="1"/>
        <v>collection.treasury_3@1</v>
      </c>
      <c r="AE233" s="2" t="str">
        <f ca="1"/>
        <v>quest.festival.finished</v>
      </c>
    </row>
    <row r="234" spans="1:31">
      <c r="A234" t="str">
        <f t="shared" ca="1" si="6"/>
        <v>craftifact.astrolabe</v>
      </c>
      <c r="B234" t="str">
        <f ca="1">_xlfn.XLOOKUP(tblValidation[[#This Row],[TargetID]],tblTargets[TargetID],tblTargets[TargetType],"")</f>
        <v>CRAFTIFACT</v>
      </c>
      <c r="C234" s="48" t="b">
        <f ca="1">COUNTIF(tblTargets[TargetID], $A234) &gt; 0</f>
        <v>1</v>
      </c>
      <c r="D234" s="48" t="b">
        <f ca="1">IF(OR(LEFT(tblValidation[[#This Row],[TargetID]],10)="state.CHAR",RIGHT(tblValidation[[#This Row],[TargetID]],5)="maxed"),TRUE, COUNTIF(tblChecklist[TargetID], $A234) &gt; 0)</f>
        <v>1</v>
      </c>
      <c r="E2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$A234) &gt; 0)</f>
        <v>1</v>
      </c>
      <c r="F234" s="48" t="b">
        <f ca="1">COUNTIF(tblDependencies[DependencyID], $A234) &gt; 0</f>
        <v>0</v>
      </c>
      <c r="G234" s="48" t="b">
        <f ca="1">COUNTIF(tblQuestObjectives[QuestTargetID], $A234) &gt; 0</f>
        <v>0</v>
      </c>
      <c r="H234" s="48" t="b">
        <f ca="1">COUNTIF(tblQuestObjectives[ObjectiveID], $A234) &gt; 0</f>
        <v>0</v>
      </c>
      <c r="I234" s="48" t="b">
        <f ca="1">COUNTIF(tblTargetStatus[TargetID], $A234) &gt; 0</f>
        <v>1</v>
      </c>
      <c r="J234" s="48" t="b">
        <f ca="1">COUNTIF(tblCost[TargetID], $A234) &gt; 0</f>
        <v>1</v>
      </c>
      <c r="K234" s="48" t="b">
        <f ca="1">COUNTIF(tblStates[StateID], $A234) &gt; 0</f>
        <v>0</v>
      </c>
      <c r="L234" s="48" t="b">
        <f t="shared" ca="1" si="7"/>
        <v>1</v>
      </c>
      <c r="M234" s="48" t="b">
        <f ca="1">IF(tblValidation[[#This Row],[TargetID]]="","",COUNTIF(tblTargets[TargetID],A234)&gt;1)</f>
        <v>0</v>
      </c>
      <c r="N234" s="48" t="b">
        <f ca="1">IF(tblValidation[[#This Row],[TargetID]]="","",COUNTIF(tblStates[StateID],tblValidation[[#This Row],[TargetID]])&gt;1)</f>
        <v>0</v>
      </c>
      <c r="O234" s="48" t="b" cm="1">
        <f t="array" aca="1" ref="O2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4" s="48"/>
      <c r="R234" s="48"/>
      <c r="S234" s="48"/>
      <c r="T234" s="48"/>
      <c r="V234" s="2" t="str">
        <f ca="1"/>
        <v>craftifact.astrolabe</v>
      </c>
      <c r="W234" s="48"/>
      <c r="X234" s="48" t="str">
        <f ca="1"/>
        <v>craftifact.astrolabe</v>
      </c>
      <c r="Y234" s="48" t="str">
        <f ca="1"/>
        <v>quest.ahead_of_time_chapter_1.finished</v>
      </c>
      <c r="Z234" s="48" t="str">
        <f ca="1"/>
        <v>craftifact.barometer</v>
      </c>
      <c r="AA234" s="48" t="str">
        <f ca="1"/>
        <v>quest.once_upon_a_forest_chapter_15.finished</v>
      </c>
      <c r="AB234" s="48"/>
      <c r="AC234" s="48"/>
      <c r="AD234" s="2" t="str">
        <f ca="1"/>
        <v>craftifact.astrolabe</v>
      </c>
      <c r="AE234" s="2" t="str">
        <f ca="1"/>
        <v>quest.festival_of_beans.finished</v>
      </c>
    </row>
    <row r="235" spans="1:31" ht="29">
      <c r="A235" t="str">
        <f t="shared" ca="1" si="6"/>
        <v>craftifact.barometer</v>
      </c>
      <c r="B235" t="str">
        <f ca="1">_xlfn.XLOOKUP(tblValidation[[#This Row],[TargetID]],tblTargets[TargetID],tblTargets[TargetType],"")</f>
        <v>CRAFTIFACT</v>
      </c>
      <c r="C235" s="48" t="b">
        <f ca="1">COUNTIF(tblTargets[TargetID], $A235) &gt; 0</f>
        <v>1</v>
      </c>
      <c r="D235" s="48" t="b">
        <f ca="1">IF(OR(LEFT(tblValidation[[#This Row],[TargetID]],10)="state.CHAR",RIGHT(tblValidation[[#This Row],[TargetID]],5)="maxed"),TRUE, COUNTIF(tblChecklist[TargetID], $A235) &gt; 0)</f>
        <v>1</v>
      </c>
      <c r="E2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$A235) &gt; 0)</f>
        <v>1</v>
      </c>
      <c r="F235" s="48" t="b">
        <f ca="1">COUNTIF(tblDependencies[DependencyID], $A235) &gt; 0</f>
        <v>0</v>
      </c>
      <c r="G235" s="48" t="b">
        <f ca="1">COUNTIF(tblQuestObjectives[QuestTargetID], $A235) &gt; 0</f>
        <v>0</v>
      </c>
      <c r="H235" s="48" t="b">
        <f ca="1">COUNTIF(tblQuestObjectives[ObjectiveID], $A235) &gt; 0</f>
        <v>0</v>
      </c>
      <c r="I235" s="48" t="b">
        <f ca="1">COUNTIF(tblTargetStatus[TargetID], $A235) &gt; 0</f>
        <v>1</v>
      </c>
      <c r="J235" s="48" t="b">
        <f ca="1">COUNTIF(tblCost[TargetID], $A235) &gt; 0</f>
        <v>1</v>
      </c>
      <c r="K235" s="48" t="b">
        <f ca="1">COUNTIF(tblStates[StateID], $A235) &gt; 0</f>
        <v>0</v>
      </c>
      <c r="L235" s="48" t="b">
        <f t="shared" ca="1" si="7"/>
        <v>1</v>
      </c>
      <c r="M235" s="48" t="b">
        <f ca="1">IF(tblValidation[[#This Row],[TargetID]]="","",COUNTIF(tblTargets[TargetID],A235)&gt;1)</f>
        <v>0</v>
      </c>
      <c r="N235" s="48" t="b">
        <f ca="1">IF(tblValidation[[#This Row],[TargetID]]="","",COUNTIF(tblStates[StateID],tblValidation[[#This Row],[TargetID]])&gt;1)</f>
        <v>0</v>
      </c>
      <c r="O235" s="48" t="b" cm="1">
        <f t="array" aca="1" ref="O2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5" s="48"/>
      <c r="R235" s="48"/>
      <c r="S235" s="48"/>
      <c r="T235" s="48"/>
      <c r="V235" s="2" t="str">
        <f ca="1"/>
        <v>craftifact.barometer</v>
      </c>
      <c r="W235" s="48"/>
      <c r="X235" s="48" t="str">
        <f ca="1"/>
        <v>craftifact.barometer</v>
      </c>
      <c r="Y235" s="48" t="str">
        <f ca="1"/>
        <v>quest.ahead_of_time_chapter_2.accepted</v>
      </c>
      <c r="Z235" s="48" t="str">
        <f ca="1"/>
        <v>craftifact.cinema_projector</v>
      </c>
      <c r="AA235" s="48" t="str">
        <f ca="1"/>
        <v>quest.once_upon_a_forest_chapter_2.accepted</v>
      </c>
      <c r="AB235" s="48"/>
      <c r="AC235" s="48"/>
      <c r="AD235" s="2" t="str">
        <f ca="1"/>
        <v>craftifact.barometer</v>
      </c>
      <c r="AE235" s="2" t="str">
        <f ca="1"/>
        <v>quest.festival_returns.finished</v>
      </c>
    </row>
    <row r="236" spans="1:31" ht="29">
      <c r="A236" t="str">
        <f t="shared" ca="1" si="6"/>
        <v>craftifact.cinema_projector</v>
      </c>
      <c r="B236" t="str">
        <f ca="1">_xlfn.XLOOKUP(tblValidation[[#This Row],[TargetID]],tblTargets[TargetID],tblTargets[TargetType],"")</f>
        <v>CRAFTIFACT</v>
      </c>
      <c r="C236" s="48" t="b">
        <f ca="1">COUNTIF(tblTargets[TargetID], $A236) &gt; 0</f>
        <v>1</v>
      </c>
      <c r="D236" s="48" t="b">
        <f ca="1">IF(OR(LEFT(tblValidation[[#This Row],[TargetID]],10)="state.CHAR",RIGHT(tblValidation[[#This Row],[TargetID]],5)="maxed"),TRUE, COUNTIF(tblChecklist[TargetID], $A236) &gt; 0)</f>
        <v>1</v>
      </c>
      <c r="E2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$A236) &gt; 0)</f>
        <v>1</v>
      </c>
      <c r="F236" s="48" t="b">
        <f ca="1">COUNTIF(tblDependencies[DependencyID], $A236) &gt; 0</f>
        <v>0</v>
      </c>
      <c r="G236" s="48" t="b">
        <f ca="1">COUNTIF(tblQuestObjectives[QuestTargetID], $A236) &gt; 0</f>
        <v>0</v>
      </c>
      <c r="H236" s="48" t="b">
        <f ca="1">COUNTIF(tblQuestObjectives[ObjectiveID], $A236) &gt; 0</f>
        <v>0</v>
      </c>
      <c r="I236" s="48" t="b">
        <f ca="1">COUNTIF(tblTargetStatus[TargetID], $A236) &gt; 0</f>
        <v>1</v>
      </c>
      <c r="J236" s="48" t="b">
        <f ca="1">COUNTIF(tblCost[TargetID], $A236) &gt; 0</f>
        <v>1</v>
      </c>
      <c r="K236" s="48" t="b">
        <f ca="1">COUNTIF(tblStates[StateID], $A236) &gt; 0</f>
        <v>0</v>
      </c>
      <c r="L236" s="48" t="b">
        <f t="shared" ca="1" si="7"/>
        <v>1</v>
      </c>
      <c r="M236" s="48" t="b">
        <f ca="1">IF(tblValidation[[#This Row],[TargetID]]="","",COUNTIF(tblTargets[TargetID],A236)&gt;1)</f>
        <v>0</v>
      </c>
      <c r="N236" s="48" t="b">
        <f ca="1">IF(tblValidation[[#This Row],[TargetID]]="","",COUNTIF(tblStates[StateID],tblValidation[[#This Row],[TargetID]])&gt;1)</f>
        <v>0</v>
      </c>
      <c r="O236" s="48" t="b" cm="1">
        <f t="array" aca="1" ref="O2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6" s="48"/>
      <c r="R236" s="48"/>
      <c r="S236" s="48"/>
      <c r="T236" s="48"/>
      <c r="V236" s="2" t="str">
        <f ca="1"/>
        <v>craftifact.cinema_projector</v>
      </c>
      <c r="W236" s="48"/>
      <c r="X236" s="48" t="str">
        <f ca="1"/>
        <v>craftifact.cinema_projector</v>
      </c>
      <c r="Y236" s="48" t="str">
        <f ca="1"/>
        <v>quest.ahead_of_time_chapter_2.finished</v>
      </c>
      <c r="Z236" s="48" t="str">
        <f ca="1"/>
        <v>craftifact.dagger</v>
      </c>
      <c r="AA236" s="48" t="str">
        <f ca="1"/>
        <v>quest.once_upon_a_forest_chapter_2.finished</v>
      </c>
      <c r="AB236" s="48"/>
      <c r="AC236" s="48"/>
      <c r="AD236" s="2" t="str">
        <f ca="1"/>
        <v>craftifact.cinema_projector</v>
      </c>
      <c r="AE236" s="2" t="str">
        <f ca="1"/>
        <v>quest.green_potion.finished</v>
      </c>
    </row>
    <row r="237" spans="1:31">
      <c r="A237" t="str">
        <f t="shared" ca="1" si="6"/>
        <v>craftifact.dagger</v>
      </c>
      <c r="B237" t="str">
        <f ca="1">_xlfn.XLOOKUP(tblValidation[[#This Row],[TargetID]],tblTargets[TargetID],tblTargets[TargetType],"")</f>
        <v>CRAFTIFACT</v>
      </c>
      <c r="C237" s="48" t="b">
        <f ca="1">COUNTIF(tblTargets[TargetID], $A237) &gt; 0</f>
        <v>1</v>
      </c>
      <c r="D237" s="48" t="b">
        <f ca="1">IF(OR(LEFT(tblValidation[[#This Row],[TargetID]],10)="state.CHAR",RIGHT(tblValidation[[#This Row],[TargetID]],5)="maxed"),TRUE, COUNTIF(tblChecklist[TargetID], $A237) &gt; 0)</f>
        <v>1</v>
      </c>
      <c r="E2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$A237) &gt; 0)</f>
        <v>1</v>
      </c>
      <c r="F237" s="48" t="b">
        <f ca="1">COUNTIF(tblDependencies[DependencyID], $A237) &gt; 0</f>
        <v>0</v>
      </c>
      <c r="G237" s="48" t="b">
        <f ca="1">COUNTIF(tblQuestObjectives[QuestTargetID], $A237) &gt; 0</f>
        <v>0</v>
      </c>
      <c r="H237" s="48" t="b">
        <f ca="1">COUNTIF(tblQuestObjectives[ObjectiveID], $A237) &gt; 0</f>
        <v>0</v>
      </c>
      <c r="I237" s="48" t="b">
        <f ca="1">COUNTIF(tblTargetStatus[TargetID], $A237) &gt; 0</f>
        <v>1</v>
      </c>
      <c r="J237" s="48" t="b">
        <f ca="1">COUNTIF(tblCost[TargetID], $A237) &gt; 0</f>
        <v>1</v>
      </c>
      <c r="K237" s="48" t="b">
        <f ca="1">COUNTIF(tblStates[StateID], $A237) &gt; 0</f>
        <v>0</v>
      </c>
      <c r="L237" s="48" t="b">
        <f t="shared" ca="1" si="7"/>
        <v>1</v>
      </c>
      <c r="M237" s="48" t="b">
        <f ca="1">IF(tblValidation[[#This Row],[TargetID]]="","",COUNTIF(tblTargets[TargetID],A237)&gt;1)</f>
        <v>0</v>
      </c>
      <c r="N237" s="48" t="b">
        <f ca="1">IF(tblValidation[[#This Row],[TargetID]]="","",COUNTIF(tblStates[StateID],tblValidation[[#This Row],[TargetID]])&gt;1)</f>
        <v>0</v>
      </c>
      <c r="O237" s="48" t="b" cm="1">
        <f t="array" aca="1" ref="O2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7" s="48"/>
      <c r="R237" s="48"/>
      <c r="S237" s="48"/>
      <c r="T237" s="48"/>
      <c r="V237" s="2" t="str">
        <f ca="1"/>
        <v>craftifact.dagger</v>
      </c>
      <c r="W237" s="48"/>
      <c r="X237" s="48" t="str">
        <f ca="1"/>
        <v>craftifact.dagger</v>
      </c>
      <c r="Y237" s="48" t="str">
        <f ca="1"/>
        <v>quest.ahead_of_time_chapter_3.accepted</v>
      </c>
      <c r="Z237" s="48" t="str">
        <f ca="1"/>
        <v>craftifact.emerald_tablet</v>
      </c>
      <c r="AA237" s="48" t="str">
        <f ca="1"/>
        <v>quest.once_upon_a_forest_chapter_3.accepted</v>
      </c>
      <c r="AB237" s="48"/>
      <c r="AC237" s="48"/>
      <c r="AD237" s="2" t="str">
        <f ca="1"/>
        <v>craftifact.dagger</v>
      </c>
      <c r="AE237" s="2" t="str">
        <f ca="1"/>
        <v>quest.magic_beans.finished</v>
      </c>
    </row>
    <row r="238" spans="1:31" ht="29">
      <c r="A238" t="str">
        <f t="shared" ca="1" si="6"/>
        <v>craftifact.emerald_tablet</v>
      </c>
      <c r="B238" t="str">
        <f ca="1">_xlfn.XLOOKUP(tblValidation[[#This Row],[TargetID]],tblTargets[TargetID],tblTargets[TargetType],"")</f>
        <v>CRAFTIFACT</v>
      </c>
      <c r="C238" s="48" t="b">
        <f ca="1">COUNTIF(tblTargets[TargetID], $A238) &gt; 0</f>
        <v>1</v>
      </c>
      <c r="D238" s="48" t="b">
        <f ca="1">IF(OR(LEFT(tblValidation[[#This Row],[TargetID]],10)="state.CHAR",RIGHT(tblValidation[[#This Row],[TargetID]],5)="maxed"),TRUE, COUNTIF(tblChecklist[TargetID], $A238) &gt; 0)</f>
        <v>1</v>
      </c>
      <c r="E2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$A238) &gt; 0)</f>
        <v>1</v>
      </c>
      <c r="F238" s="48" t="b">
        <f ca="1">COUNTIF(tblDependencies[DependencyID], $A238) &gt; 0</f>
        <v>0</v>
      </c>
      <c r="G238" s="48" t="b">
        <f ca="1">COUNTIF(tblQuestObjectives[QuestTargetID], $A238) &gt; 0</f>
        <v>0</v>
      </c>
      <c r="H238" s="48" t="b">
        <f ca="1">COUNTIF(tblQuestObjectives[ObjectiveID], $A238) &gt; 0</f>
        <v>1</v>
      </c>
      <c r="I238" s="48" t="b">
        <f ca="1">COUNTIF(tblTargetStatus[TargetID], $A238) &gt; 0</f>
        <v>1</v>
      </c>
      <c r="J238" s="48" t="b">
        <f ca="1">COUNTIF(tblCost[TargetID], $A238) &gt; 0</f>
        <v>1</v>
      </c>
      <c r="K238" s="48" t="b">
        <f ca="1">COUNTIF(tblStates[StateID], $A238) &gt; 0</f>
        <v>0</v>
      </c>
      <c r="L238" s="48" t="b">
        <f t="shared" ca="1" si="7"/>
        <v>1</v>
      </c>
      <c r="M238" s="48" t="b">
        <f ca="1">IF(tblValidation[[#This Row],[TargetID]]="","",COUNTIF(tblTargets[TargetID],A238)&gt;1)</f>
        <v>0</v>
      </c>
      <c r="N238" s="48" t="b">
        <f ca="1">IF(tblValidation[[#This Row],[TargetID]]="","",COUNTIF(tblStates[StateID],tblValidation[[#This Row],[TargetID]])&gt;1)</f>
        <v>0</v>
      </c>
      <c r="O238" s="48" t="b" cm="1">
        <f t="array" aca="1" ref="O2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8" s="48"/>
      <c r="R238" s="48"/>
      <c r="S238" s="48"/>
      <c r="T238" s="48"/>
      <c r="V238" s="2" t="str">
        <f ca="1"/>
        <v>craftifact.emerald_tablet</v>
      </c>
      <c r="W238" s="48"/>
      <c r="X238" s="48" t="str">
        <f ca="1"/>
        <v>craftifact.emerald_tablet</v>
      </c>
      <c r="Y238" s="48" t="str">
        <f ca="1"/>
        <v>quest.ahead_of_time_chapter_3.finished</v>
      </c>
      <c r="Z238" s="48" t="str">
        <f ca="1"/>
        <v>craftifact.flamethrower</v>
      </c>
      <c r="AA238" s="48" t="str">
        <f ca="1"/>
        <v>quest.once_upon_a_forest_chapter_3.finished</v>
      </c>
      <c r="AB238" s="48"/>
      <c r="AC238" s="48"/>
      <c r="AD238" s="2" t="str">
        <f ca="1"/>
        <v>craftifact.emerald_tablet</v>
      </c>
      <c r="AE238" s="2" t="str">
        <f ca="1"/>
        <v>quest.once_upon_a_forest_chapter_13.finished</v>
      </c>
    </row>
    <row r="239" spans="1:31" ht="29">
      <c r="A239" t="str">
        <f t="shared" ca="1" si="6"/>
        <v>craftifact.flamethrower</v>
      </c>
      <c r="B239" t="str">
        <f ca="1">_xlfn.XLOOKUP(tblValidation[[#This Row],[TargetID]],tblTargets[TargetID],tblTargets[TargetType],"")</f>
        <v>CRAFTIFACT</v>
      </c>
      <c r="C239" s="48" t="b">
        <f ca="1">COUNTIF(tblTargets[TargetID], $A239) &gt; 0</f>
        <v>1</v>
      </c>
      <c r="D239" s="48" t="b">
        <f ca="1">IF(OR(LEFT(tblValidation[[#This Row],[TargetID]],10)="state.CHAR",RIGHT(tblValidation[[#This Row],[TargetID]],5)="maxed"),TRUE, COUNTIF(tblChecklist[TargetID], $A239) &gt; 0)</f>
        <v>1</v>
      </c>
      <c r="E2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$A239) &gt; 0)</f>
        <v>1</v>
      </c>
      <c r="F239" s="48" t="b">
        <f ca="1">COUNTIF(tblDependencies[DependencyID], $A239) &gt; 0</f>
        <v>0</v>
      </c>
      <c r="G239" s="48" t="b">
        <f ca="1">COUNTIF(tblQuestObjectives[QuestTargetID], $A239) &gt; 0</f>
        <v>0</v>
      </c>
      <c r="H239" s="48" t="b">
        <f ca="1">COUNTIF(tblQuestObjectives[ObjectiveID], $A239) &gt; 0</f>
        <v>0</v>
      </c>
      <c r="I239" s="48" t="b">
        <f ca="1">COUNTIF(tblTargetStatus[TargetID], $A239) &gt; 0</f>
        <v>1</v>
      </c>
      <c r="J239" s="48" t="b">
        <f ca="1">COUNTIF(tblCost[TargetID], $A239) &gt; 0</f>
        <v>1</v>
      </c>
      <c r="K239" s="48" t="b">
        <f ca="1">COUNTIF(tblStates[StateID], $A239) &gt; 0</f>
        <v>0</v>
      </c>
      <c r="L239" s="48" t="b">
        <f t="shared" ca="1" si="7"/>
        <v>1</v>
      </c>
      <c r="M239" s="48" t="b">
        <f ca="1">IF(tblValidation[[#This Row],[TargetID]]="","",COUNTIF(tblTargets[TargetID],A239)&gt;1)</f>
        <v>0</v>
      </c>
      <c r="N239" s="48" t="b">
        <f ca="1">IF(tblValidation[[#This Row],[TargetID]]="","",COUNTIF(tblStates[StateID],tblValidation[[#This Row],[TargetID]])&gt;1)</f>
        <v>0</v>
      </c>
      <c r="O239" s="48" t="b" cm="1">
        <f t="array" aca="1" ref="O2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9" s="48"/>
      <c r="R239" s="48"/>
      <c r="S239" s="48"/>
      <c r="T239" s="48"/>
      <c r="V239" s="2" t="str">
        <f ca="1"/>
        <v>craftifact.flamethrower</v>
      </c>
      <c r="W239" s="48"/>
      <c r="X239" s="48" t="str">
        <f ca="1"/>
        <v>craftifact.flamethrower</v>
      </c>
      <c r="Y239" s="48" t="str">
        <f ca="1"/>
        <v>quest.ahead_of_time_chapter_4.accepted</v>
      </c>
      <c r="Z239" s="48" t="str">
        <f ca="1"/>
        <v>craftifact.guild_banner</v>
      </c>
      <c r="AA239" s="48" t="str">
        <f ca="1"/>
        <v>quest.once_upon_a_forest_chapter_4.accepted</v>
      </c>
      <c r="AB239" s="48"/>
      <c r="AC239" s="48"/>
      <c r="AD239" s="2" t="str">
        <f ca="1"/>
        <v>craftifact.flamethrower</v>
      </c>
      <c r="AE239" s="2" t="str">
        <f ca="1"/>
        <v>quest.once_upon_a_forest_chapter_5.finished</v>
      </c>
    </row>
    <row r="240" spans="1:31" ht="29">
      <c r="A240" t="str">
        <f t="shared" ca="1" si="6"/>
        <v>craftifact.guild_banner</v>
      </c>
      <c r="B240" t="str">
        <f ca="1">_xlfn.XLOOKUP(tblValidation[[#This Row],[TargetID]],tblTargets[TargetID],tblTargets[TargetType],"")</f>
        <v>CRAFTIFACT</v>
      </c>
      <c r="C240" s="48" t="b">
        <f ca="1">COUNTIF(tblTargets[TargetID], $A240) &gt; 0</f>
        <v>1</v>
      </c>
      <c r="D240" s="48" t="b">
        <f ca="1">IF(OR(LEFT(tblValidation[[#This Row],[TargetID]],10)="state.CHAR",RIGHT(tblValidation[[#This Row],[TargetID]],5)="maxed"),TRUE, COUNTIF(tblChecklist[TargetID], $A240) &gt; 0)</f>
        <v>1</v>
      </c>
      <c r="E2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$A240) &gt; 0)</f>
        <v>1</v>
      </c>
      <c r="F240" s="48" t="b">
        <f ca="1">COUNTIF(tblDependencies[DependencyID], $A240) &gt; 0</f>
        <v>0</v>
      </c>
      <c r="G240" s="48" t="b">
        <f ca="1">COUNTIF(tblQuestObjectives[QuestTargetID], $A240) &gt; 0</f>
        <v>0</v>
      </c>
      <c r="H240" s="48" t="b">
        <f ca="1">COUNTIF(tblQuestObjectives[ObjectiveID], $A240) &gt; 0</f>
        <v>1</v>
      </c>
      <c r="I240" s="48" t="b">
        <f ca="1">COUNTIF(tblTargetStatus[TargetID], $A240) &gt; 0</f>
        <v>1</v>
      </c>
      <c r="J240" s="48" t="b">
        <f ca="1">COUNTIF(tblCost[TargetID], $A240) &gt; 0</f>
        <v>1</v>
      </c>
      <c r="K240" s="48" t="b">
        <f ca="1">COUNTIF(tblStates[StateID], $A240) &gt; 0</f>
        <v>0</v>
      </c>
      <c r="L240" s="48" t="b">
        <f t="shared" ca="1" si="7"/>
        <v>1</v>
      </c>
      <c r="M240" s="48" t="b">
        <f ca="1">IF(tblValidation[[#This Row],[TargetID]]="","",COUNTIF(tblTargets[TargetID],A240)&gt;1)</f>
        <v>0</v>
      </c>
      <c r="N240" s="48" t="b">
        <f ca="1">IF(tblValidation[[#This Row],[TargetID]]="","",COUNTIF(tblStates[StateID],tblValidation[[#This Row],[TargetID]])&gt;1)</f>
        <v>0</v>
      </c>
      <c r="O240" s="48" t="b" cm="1">
        <f t="array" aca="1" ref="O2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0" s="48"/>
      <c r="R240" s="48"/>
      <c r="S240" s="48"/>
      <c r="T240" s="48"/>
      <c r="V240" s="2" t="str">
        <f ca="1"/>
        <v>craftifact.guild_banner</v>
      </c>
      <c r="W240" s="48"/>
      <c r="X240" s="48" t="str">
        <f ca="1"/>
        <v>craftifact.guild_banner</v>
      </c>
      <c r="Y240" s="48" t="str">
        <f ca="1"/>
        <v>quest.ahead_of_time_chapter_4.finished</v>
      </c>
      <c r="Z240" s="48" t="str">
        <f ca="1"/>
        <v>craftifact.guild_codex</v>
      </c>
      <c r="AA240" s="48" t="str">
        <f ca="1"/>
        <v>quest.once_upon_a_forest_chapter_4.finished</v>
      </c>
      <c r="AB240" s="48"/>
      <c r="AC240" s="48"/>
      <c r="AD240" s="2" t="str">
        <f ca="1"/>
        <v>craftifact.guild_banner</v>
      </c>
      <c r="AE240" s="2" t="str">
        <f ca="1"/>
        <v>quest.once_upon_a_forest_chapter_8.finished</v>
      </c>
    </row>
    <row r="241" spans="1:31" ht="29">
      <c r="A241" t="str">
        <f t="shared" ca="1" si="6"/>
        <v>craftifact.guild_codex</v>
      </c>
      <c r="B241" t="str">
        <f ca="1">_xlfn.XLOOKUP(tblValidation[[#This Row],[TargetID]],tblTargets[TargetID],tblTargets[TargetType],"")</f>
        <v>CRAFTIFACT</v>
      </c>
      <c r="C241" s="48" t="b">
        <f ca="1">COUNTIF(tblTargets[TargetID], $A241) &gt; 0</f>
        <v>1</v>
      </c>
      <c r="D241" s="48" t="b">
        <f ca="1">IF(OR(LEFT(tblValidation[[#This Row],[TargetID]],10)="state.CHAR",RIGHT(tblValidation[[#This Row],[TargetID]],5)="maxed"),TRUE, COUNTIF(tblChecklist[TargetID], $A241) &gt; 0)</f>
        <v>1</v>
      </c>
      <c r="E2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$A241) &gt; 0)</f>
        <v>1</v>
      </c>
      <c r="F241" s="48" t="b">
        <f ca="1">COUNTIF(tblDependencies[DependencyID], $A241) &gt; 0</f>
        <v>0</v>
      </c>
      <c r="G241" s="48" t="b">
        <f ca="1">COUNTIF(tblQuestObjectives[QuestTargetID], $A241) &gt; 0</f>
        <v>0</v>
      </c>
      <c r="H241" s="48" t="b">
        <f ca="1">COUNTIF(tblQuestObjectives[ObjectiveID], $A241) &gt; 0</f>
        <v>1</v>
      </c>
      <c r="I241" s="48" t="b">
        <f ca="1">COUNTIF(tblTargetStatus[TargetID], $A241) &gt; 0</f>
        <v>1</v>
      </c>
      <c r="J241" s="48" t="b">
        <f ca="1">COUNTIF(tblCost[TargetID], $A241) &gt; 0</f>
        <v>1</v>
      </c>
      <c r="K241" s="48" t="b">
        <f ca="1">COUNTIF(tblStates[StateID], $A241) &gt; 0</f>
        <v>0</v>
      </c>
      <c r="L241" s="48" t="b">
        <f t="shared" ca="1" si="7"/>
        <v>1</v>
      </c>
      <c r="M241" s="48" t="b">
        <f ca="1">IF(tblValidation[[#This Row],[TargetID]]="","",COUNTIF(tblTargets[TargetID],A241)&gt;1)</f>
        <v>0</v>
      </c>
      <c r="N241" s="48" t="b">
        <f ca="1">IF(tblValidation[[#This Row],[TargetID]]="","",COUNTIF(tblStates[StateID],tblValidation[[#This Row],[TargetID]])&gt;1)</f>
        <v>0</v>
      </c>
      <c r="O241" s="48" t="b" cm="1">
        <f t="array" aca="1" ref="O2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1" s="48"/>
      <c r="R241" s="48"/>
      <c r="S241" s="48"/>
      <c r="T241" s="48"/>
      <c r="V241" s="2" t="str">
        <f ca="1"/>
        <v>craftifact.guild_codex</v>
      </c>
      <c r="W241" s="48"/>
      <c r="X241" s="48" t="str">
        <f ca="1"/>
        <v>craftifact.guild_codex</v>
      </c>
      <c r="Y241" s="48" t="str">
        <f ca="1"/>
        <v>quest.ahead_of_time_chapter_5.accepted</v>
      </c>
      <c r="Z241" s="48" t="str">
        <f ca="1"/>
        <v>craftifact.guild_supplies</v>
      </c>
      <c r="AA241" s="48" t="str">
        <f ca="1"/>
        <v>quest.once_upon_a_forest_chapter_5.accepted</v>
      </c>
      <c r="AB241" s="48"/>
      <c r="AC241" s="48"/>
      <c r="AD241" s="2" t="str">
        <f ca="1"/>
        <v>craftifact.guild_codex</v>
      </c>
      <c r="AE241" s="2" t="str">
        <f ca="1"/>
        <v>quest.shoguns_katana_chapter_1.finished</v>
      </c>
    </row>
    <row r="242" spans="1:31" ht="29">
      <c r="A242" t="str">
        <f t="shared" ca="1" si="6"/>
        <v>craftifact.guild_supplies</v>
      </c>
      <c r="B242" t="str">
        <f ca="1">_xlfn.XLOOKUP(tblValidation[[#This Row],[TargetID]],tblTargets[TargetID],tblTargets[TargetType],"")</f>
        <v>CRAFTIFACT</v>
      </c>
      <c r="C242" s="48" t="b">
        <f ca="1">COUNTIF(tblTargets[TargetID], $A242) &gt; 0</f>
        <v>1</v>
      </c>
      <c r="D242" s="48" t="b">
        <f ca="1">IF(OR(LEFT(tblValidation[[#This Row],[TargetID]],10)="state.CHAR",RIGHT(tblValidation[[#This Row],[TargetID]],5)="maxed"),TRUE, COUNTIF(tblChecklist[TargetID], $A242) &gt; 0)</f>
        <v>1</v>
      </c>
      <c r="E2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$A242) &gt; 0)</f>
        <v>1</v>
      </c>
      <c r="F242" s="48" t="b">
        <f ca="1">COUNTIF(tblDependencies[DependencyID], $A242) &gt; 0</f>
        <v>0</v>
      </c>
      <c r="G242" s="48" t="b">
        <f ca="1">COUNTIF(tblQuestObjectives[QuestTargetID], $A242) &gt; 0</f>
        <v>0</v>
      </c>
      <c r="H242" s="48" t="b">
        <f ca="1">COUNTIF(tblQuestObjectives[ObjectiveID], $A242) &gt; 0</f>
        <v>1</v>
      </c>
      <c r="I242" s="48" t="b">
        <f ca="1">COUNTIF(tblTargetStatus[TargetID], $A242) &gt; 0</f>
        <v>1</v>
      </c>
      <c r="J242" s="48" t="b">
        <f ca="1">COUNTIF(tblCost[TargetID], $A242) &gt; 0</f>
        <v>1</v>
      </c>
      <c r="K242" s="48" t="b">
        <f ca="1">COUNTIF(tblStates[StateID], $A242) &gt; 0</f>
        <v>0</v>
      </c>
      <c r="L242" s="48" t="b">
        <f t="shared" ca="1" si="7"/>
        <v>1</v>
      </c>
      <c r="M242" s="48" t="b">
        <f ca="1">IF(tblValidation[[#This Row],[TargetID]]="","",COUNTIF(tblTargets[TargetID],A242)&gt;1)</f>
        <v>0</v>
      </c>
      <c r="N242" s="48" t="b">
        <f ca="1">IF(tblValidation[[#This Row],[TargetID]]="","",COUNTIF(tblStates[StateID],tblValidation[[#This Row],[TargetID]])&gt;1)</f>
        <v>0</v>
      </c>
      <c r="O242" s="48" t="b" cm="1">
        <f t="array" aca="1" ref="O2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2" s="48"/>
      <c r="R242" s="48"/>
      <c r="S242" s="48"/>
      <c r="T242" s="48"/>
      <c r="V242" s="2" t="str">
        <f ca="1"/>
        <v>craftifact.guild_supplies</v>
      </c>
      <c r="W242" s="48"/>
      <c r="X242" s="48" t="str">
        <f ca="1"/>
        <v>craftifact.guild_supplies</v>
      </c>
      <c r="Y242" s="48" t="str">
        <f ca="1"/>
        <v>quest.ahead_of_time_chapter_5.finished</v>
      </c>
      <c r="Z242" s="48" t="str">
        <f ca="1"/>
        <v>craftifact.hat_of_concentration</v>
      </c>
      <c r="AA242" s="48" t="str">
        <f ca="1"/>
        <v>quest.once_upon_a_forest_chapter_5.finished</v>
      </c>
      <c r="AB242" s="48"/>
      <c r="AC242" s="48"/>
      <c r="AD242" s="2" t="str">
        <f ca="1"/>
        <v>craftifact.guild_supplies</v>
      </c>
      <c r="AE242" s="2" t="str">
        <f ca="1"/>
        <v>quest.shoguns_katana_chapter_2.finished</v>
      </c>
    </row>
    <row r="243" spans="1:31">
      <c r="A243" t="str">
        <f t="shared" ca="1" si="6"/>
        <v>craftifact.hat_of_concentration</v>
      </c>
      <c r="B243" t="str">
        <f ca="1">_xlfn.XLOOKUP(tblValidation[[#This Row],[TargetID]],tblTargets[TargetID],tblTargets[TargetType],"")</f>
        <v>CRAFTIFACT</v>
      </c>
      <c r="C243" s="48" t="b">
        <f ca="1">COUNTIF(tblTargets[TargetID], $A243) &gt; 0</f>
        <v>1</v>
      </c>
      <c r="D243" s="48" t="b">
        <f ca="1">IF(OR(LEFT(tblValidation[[#This Row],[TargetID]],10)="state.CHAR",RIGHT(tblValidation[[#This Row],[TargetID]],5)="maxed"),TRUE, COUNTIF(tblChecklist[TargetID], $A243) &gt; 0)</f>
        <v>1</v>
      </c>
      <c r="E2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$A243) &gt; 0)</f>
        <v>1</v>
      </c>
      <c r="F243" s="48" t="b">
        <f ca="1">COUNTIF(tblDependencies[DependencyID], $A243) &gt; 0</f>
        <v>0</v>
      </c>
      <c r="G243" s="48" t="b">
        <f ca="1">COUNTIF(tblQuestObjectives[QuestTargetID], $A243) &gt; 0</f>
        <v>0</v>
      </c>
      <c r="H243" s="48" t="b">
        <f ca="1">COUNTIF(tblQuestObjectives[ObjectiveID], $A243) &gt; 0</f>
        <v>0</v>
      </c>
      <c r="I243" s="48" t="b">
        <f ca="1">COUNTIF(tblTargetStatus[TargetID], $A243) &gt; 0</f>
        <v>1</v>
      </c>
      <c r="J243" s="48" t="b">
        <f ca="1">COUNTIF(tblCost[TargetID], $A243) &gt; 0</f>
        <v>1</v>
      </c>
      <c r="K243" s="48" t="b">
        <f ca="1">COUNTIF(tblStates[StateID], $A243) &gt; 0</f>
        <v>0</v>
      </c>
      <c r="L243" s="48" t="b">
        <f t="shared" ca="1" si="7"/>
        <v>1</v>
      </c>
      <c r="M243" s="48" t="b">
        <f ca="1">IF(tblValidation[[#This Row],[TargetID]]="","",COUNTIF(tblTargets[TargetID],A243)&gt;1)</f>
        <v>0</v>
      </c>
      <c r="N243" s="48" t="b">
        <f ca="1">IF(tblValidation[[#This Row],[TargetID]]="","",COUNTIF(tblStates[StateID],tblValidation[[#This Row],[TargetID]])&gt;1)</f>
        <v>0</v>
      </c>
      <c r="O243" s="48" t="b" cm="1">
        <f t="array" aca="1" ref="O2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3" s="48"/>
      <c r="R243" s="48"/>
      <c r="S243" s="48"/>
      <c r="T243" s="48"/>
      <c r="V243" s="2" t="str">
        <f ca="1"/>
        <v>craftifact.hat_of_concentration</v>
      </c>
      <c r="X243" s="2" t="str">
        <f ca="1"/>
        <v>craftifact.hat_of_concentration</v>
      </c>
      <c r="Y243" s="2" t="str">
        <f ca="1"/>
        <v>quest.build_the_guild.accepted</v>
      </c>
      <c r="Z243" s="2" t="str">
        <f ca="1"/>
        <v>craftifact.helmet</v>
      </c>
      <c r="AA243" s="2" t="str">
        <f ca="1"/>
        <v>quest.once_upon_a_forest_chapter_6.accepted</v>
      </c>
      <c r="AD243" s="2" t="str">
        <f ca="1"/>
        <v>craftifact.hat_of_concentration</v>
      </c>
      <c r="AE243" s="2" t="str">
        <f ca="1"/>
        <v>quest.shoguns_katana_chapter_3.finished</v>
      </c>
    </row>
    <row r="244" spans="1:31">
      <c r="A244" t="str">
        <f t="shared" ca="1" si="6"/>
        <v>craftifact.helmet</v>
      </c>
      <c r="B244" t="str">
        <f ca="1">_xlfn.XLOOKUP(tblValidation[[#This Row],[TargetID]],tblTargets[TargetID],tblTargets[TargetType],"")</f>
        <v>CRAFTIFACT</v>
      </c>
      <c r="C244" s="48" t="b">
        <f ca="1">COUNTIF(tblTargets[TargetID], $A244) &gt; 0</f>
        <v>1</v>
      </c>
      <c r="D244" s="48" t="b">
        <f ca="1">IF(OR(LEFT(tblValidation[[#This Row],[TargetID]],10)="state.CHAR",RIGHT(tblValidation[[#This Row],[TargetID]],5)="maxed"),TRUE, COUNTIF(tblChecklist[TargetID], $A244) &gt; 0)</f>
        <v>1</v>
      </c>
      <c r="E2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$A244) &gt; 0)</f>
        <v>1</v>
      </c>
      <c r="F244" s="48" t="b">
        <f ca="1">COUNTIF(tblDependencies[DependencyID], $A244) &gt; 0</f>
        <v>0</v>
      </c>
      <c r="G244" s="48" t="b">
        <f ca="1">COUNTIF(tblQuestObjectives[QuestTargetID], $A244) &gt; 0</f>
        <v>0</v>
      </c>
      <c r="H244" s="48" t="b">
        <f ca="1">COUNTIF(tblQuestObjectives[ObjectiveID], $A244) &gt; 0</f>
        <v>0</v>
      </c>
      <c r="I244" s="48" t="b">
        <f ca="1">COUNTIF(tblTargetStatus[TargetID], $A244) &gt; 0</f>
        <v>1</v>
      </c>
      <c r="J244" s="48" t="b">
        <f ca="1">COUNTIF(tblCost[TargetID], $A244) &gt; 0</f>
        <v>1</v>
      </c>
      <c r="K244" s="48" t="b">
        <f ca="1">COUNTIF(tblStates[StateID], $A244) &gt; 0</f>
        <v>0</v>
      </c>
      <c r="L244" s="48" t="b">
        <f t="shared" ca="1" si="7"/>
        <v>1</v>
      </c>
      <c r="M244" s="48" t="b">
        <f ca="1">IF(tblValidation[[#This Row],[TargetID]]="","",COUNTIF(tblTargets[TargetID],A244)&gt;1)</f>
        <v>0</v>
      </c>
      <c r="N244" s="48" t="b">
        <f ca="1">IF(tblValidation[[#This Row],[TargetID]]="","",COUNTIF(tblStates[StateID],tblValidation[[#This Row],[TargetID]])&gt;1)</f>
        <v>0</v>
      </c>
      <c r="O244" s="48" t="b" cm="1">
        <f t="array" aca="1" ref="O2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4" s="48"/>
      <c r="R244" s="48"/>
      <c r="S244" s="48"/>
      <c r="T244" s="48"/>
      <c r="V244" s="2" t="str">
        <f ca="1"/>
        <v>craftifact.helmet</v>
      </c>
      <c r="X244" s="2" t="str">
        <f ca="1"/>
        <v>craftifact.helmet</v>
      </c>
      <c r="Y244" s="2" t="str">
        <f ca="1"/>
        <v>quest.build_the_guild.finished</v>
      </c>
      <c r="Z244" s="2" t="str">
        <f ca="1"/>
        <v>craftifact.historical_library</v>
      </c>
      <c r="AA244" s="2" t="str">
        <f ca="1"/>
        <v>quest.once_upon_a_forest_chapter_6.finished</v>
      </c>
      <c r="AD244" s="2" t="str">
        <f ca="1"/>
        <v>craftifact.helmet</v>
      </c>
      <c r="AE244" s="2" t="str">
        <f ca="1"/>
        <v>quest.shoguns_katana_chapter_4.finished</v>
      </c>
    </row>
    <row r="245" spans="1:31">
      <c r="A245" t="str">
        <f t="shared" ca="1" si="6"/>
        <v>craftifact.historical_library</v>
      </c>
      <c r="B245" t="str">
        <f ca="1">_xlfn.XLOOKUP(tblValidation[[#This Row],[TargetID]],tblTargets[TargetID],tblTargets[TargetType],"")</f>
        <v>CRAFTIFACT</v>
      </c>
      <c r="C245" s="48" t="b">
        <f ca="1">COUNTIF(tblTargets[TargetID], $A245) &gt; 0</f>
        <v>1</v>
      </c>
      <c r="D245" s="48" t="b">
        <f ca="1">IF(OR(LEFT(tblValidation[[#This Row],[TargetID]],10)="state.CHAR",RIGHT(tblValidation[[#This Row],[TargetID]],5)="maxed"),TRUE, COUNTIF(tblChecklist[TargetID], $A245) &gt; 0)</f>
        <v>1</v>
      </c>
      <c r="E2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$A245) &gt; 0)</f>
        <v>1</v>
      </c>
      <c r="F245" s="48" t="b">
        <f ca="1">COUNTIF(tblDependencies[DependencyID], $A245) &gt; 0</f>
        <v>1</v>
      </c>
      <c r="G245" s="48" t="b">
        <f ca="1">COUNTIF(tblQuestObjectives[QuestTargetID], $A245) &gt; 0</f>
        <v>0</v>
      </c>
      <c r="H245" s="48" t="b">
        <f ca="1">COUNTIF(tblQuestObjectives[ObjectiveID], $A245) &gt; 0</f>
        <v>1</v>
      </c>
      <c r="I245" s="48" t="b">
        <f ca="1">COUNTIF(tblTargetStatus[TargetID], $A245) &gt; 0</f>
        <v>1</v>
      </c>
      <c r="J245" s="48" t="b">
        <f ca="1">COUNTIF(tblCost[TargetID], $A245) &gt; 0</f>
        <v>1</v>
      </c>
      <c r="K245" s="48" t="b">
        <f ca="1">COUNTIF(tblStates[StateID], $A245) &gt; 0</f>
        <v>0</v>
      </c>
      <c r="L245" s="48" t="b">
        <f t="shared" ca="1" si="7"/>
        <v>1</v>
      </c>
      <c r="M245" s="48" t="b">
        <f ca="1">IF(tblValidation[[#This Row],[TargetID]]="","",COUNTIF(tblTargets[TargetID],A245)&gt;1)</f>
        <v>0</v>
      </c>
      <c r="N245" s="48" t="b">
        <f ca="1">IF(tblValidation[[#This Row],[TargetID]]="","",COUNTIF(tblStates[StateID],tblValidation[[#This Row],[TargetID]])&gt;1)</f>
        <v>0</v>
      </c>
      <c r="O245" s="48" t="b" cm="1">
        <f t="array" aca="1" ref="O2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5" s="48"/>
      <c r="R245" s="48"/>
      <c r="S245" s="48"/>
      <c r="T245" s="48"/>
      <c r="V245" s="2" t="str">
        <f ca="1"/>
        <v>craftifact.historical_library</v>
      </c>
      <c r="X245" s="2" t="str">
        <f ca="1"/>
        <v>craftifact.historical_library</v>
      </c>
      <c r="Y245" s="2" t="str">
        <f ca="1"/>
        <v>quest.build_the_pagoda.accepted</v>
      </c>
      <c r="Z245" s="2" t="str">
        <f ca="1"/>
        <v>craftifact.hotei_statuette</v>
      </c>
      <c r="AA245" s="2" t="str">
        <f ca="1"/>
        <v>quest.once_upon_a_forest_chapter_7.accepted</v>
      </c>
      <c r="AD245" s="2" t="str">
        <f ca="1"/>
        <v>craftifact.historical_library</v>
      </c>
      <c r="AE245" s="2" t="str">
        <f ca="1"/>
        <v>quest.shoguns_katana_chapter_5.finished</v>
      </c>
    </row>
    <row r="246" spans="1:31">
      <c r="A246" t="str">
        <f t="shared" ca="1" si="6"/>
        <v>craftifact.hotei_statuette</v>
      </c>
      <c r="B246" t="str">
        <f ca="1">_xlfn.XLOOKUP(tblValidation[[#This Row],[TargetID]],tblTargets[TargetID],tblTargets[TargetType],"")</f>
        <v>CRAFTIFACT</v>
      </c>
      <c r="C246" s="48" t="b">
        <f ca="1">COUNTIF(tblTargets[TargetID], $A246) &gt; 0</f>
        <v>1</v>
      </c>
      <c r="D246" s="48" t="b">
        <f ca="1">IF(OR(LEFT(tblValidation[[#This Row],[TargetID]],10)="state.CHAR",RIGHT(tblValidation[[#This Row],[TargetID]],5)="maxed"),TRUE, COUNTIF(tblChecklist[TargetID], $A246) &gt; 0)</f>
        <v>1</v>
      </c>
      <c r="E2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$A246) &gt; 0)</f>
        <v>1</v>
      </c>
      <c r="F246" s="48" t="b">
        <f ca="1">COUNTIF(tblDependencies[DependencyID], $A246) &gt; 0</f>
        <v>0</v>
      </c>
      <c r="G246" s="48" t="b">
        <f ca="1">COUNTIF(tblQuestObjectives[QuestTargetID], $A246) &gt; 0</f>
        <v>0</v>
      </c>
      <c r="H246" s="48" t="b">
        <f ca="1">COUNTIF(tblQuestObjectives[ObjectiveID], $A246) &gt; 0</f>
        <v>0</v>
      </c>
      <c r="I246" s="48" t="b">
        <f ca="1">COUNTIF(tblTargetStatus[TargetID], $A246) &gt; 0</f>
        <v>1</v>
      </c>
      <c r="J246" s="48" t="b">
        <f ca="1">COUNTIF(tblCost[TargetID], $A246) &gt; 0</f>
        <v>1</v>
      </c>
      <c r="K246" s="48" t="b">
        <f ca="1">COUNTIF(tblStates[StateID], $A246) &gt; 0</f>
        <v>0</v>
      </c>
      <c r="L246" s="48" t="b">
        <f t="shared" ca="1" si="7"/>
        <v>1</v>
      </c>
      <c r="M246" s="48" t="b">
        <f ca="1">IF(tblValidation[[#This Row],[TargetID]]="","",COUNTIF(tblTargets[TargetID],A246)&gt;1)</f>
        <v>0</v>
      </c>
      <c r="N246" s="48" t="b">
        <f ca="1">IF(tblValidation[[#This Row],[TargetID]]="","",COUNTIF(tblStates[StateID],tblValidation[[#This Row],[TargetID]])&gt;1)</f>
        <v>0</v>
      </c>
      <c r="O246" s="48" t="b" cm="1">
        <f t="array" aca="1" ref="O2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6" s="48"/>
      <c r="R246" s="48"/>
      <c r="S246" s="48"/>
      <c r="T246" s="48"/>
      <c r="V246" s="2" t="str">
        <f ca="1"/>
        <v>craftifact.hotei_statuette</v>
      </c>
      <c r="X246" s="2" t="str">
        <f ca="1"/>
        <v>craftifact.hotei_statuette</v>
      </c>
      <c r="Y246" s="2" t="str">
        <f ca="1"/>
        <v>quest.build_the_pagoda.finished</v>
      </c>
      <c r="Z246" s="2" t="str">
        <f ca="1"/>
        <v>craftifact.metal_detector</v>
      </c>
      <c r="AA246" s="2" t="str">
        <f ca="1"/>
        <v>quest.once_upon_a_forest_chapter_7.finished</v>
      </c>
      <c r="AD246" s="2" t="str">
        <f ca="1"/>
        <v>craftifact.hotei_statuette</v>
      </c>
      <c r="AE246" s="2" t="str">
        <f ca="1"/>
        <v>quest.shoguns_katana_chapter_6.finished</v>
      </c>
    </row>
    <row r="247" spans="1:31">
      <c r="A247" t="str">
        <f t="shared" ca="1" si="6"/>
        <v>craftifact.metal_detector</v>
      </c>
      <c r="B247" t="str">
        <f ca="1">_xlfn.XLOOKUP(tblValidation[[#This Row],[TargetID]],tblTargets[TargetID],tblTargets[TargetType],"")</f>
        <v>CRAFTIFACT</v>
      </c>
      <c r="C247" s="48" t="b">
        <f ca="1">COUNTIF(tblTargets[TargetID], $A247) &gt; 0</f>
        <v>1</v>
      </c>
      <c r="D247" s="48" t="b">
        <f ca="1">IF(OR(LEFT(tblValidation[[#This Row],[TargetID]],10)="state.CHAR",RIGHT(tblValidation[[#This Row],[TargetID]],5)="maxed"),TRUE, COUNTIF(tblChecklist[TargetID], $A247) &gt; 0)</f>
        <v>1</v>
      </c>
      <c r="E2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$A247) &gt; 0)</f>
        <v>1</v>
      </c>
      <c r="F247" s="48" t="b">
        <f ca="1">COUNTIF(tblDependencies[DependencyID], $A247) &gt; 0</f>
        <v>0</v>
      </c>
      <c r="G247" s="48" t="b">
        <f ca="1">COUNTIF(tblQuestObjectives[QuestTargetID], $A247) &gt; 0</f>
        <v>0</v>
      </c>
      <c r="H247" s="48" t="b">
        <f ca="1">COUNTIF(tblQuestObjectives[ObjectiveID], $A247) &gt; 0</f>
        <v>0</v>
      </c>
      <c r="I247" s="48" t="b">
        <f ca="1">COUNTIF(tblTargetStatus[TargetID], $A247) &gt; 0</f>
        <v>1</v>
      </c>
      <c r="J247" s="48" t="b">
        <f ca="1">COUNTIF(tblCost[TargetID], $A247) &gt; 0</f>
        <v>1</v>
      </c>
      <c r="K247" s="48" t="b">
        <f ca="1">COUNTIF(tblStates[StateID], $A247) &gt; 0</f>
        <v>0</v>
      </c>
      <c r="L247" s="48" t="b">
        <f t="shared" ca="1" si="7"/>
        <v>1</v>
      </c>
      <c r="M247" s="48" t="b">
        <f ca="1">IF(tblValidation[[#This Row],[TargetID]]="","",COUNTIF(tblTargets[TargetID],A247)&gt;1)</f>
        <v>0</v>
      </c>
      <c r="N247" s="48" t="b">
        <f ca="1">IF(tblValidation[[#This Row],[TargetID]]="","",COUNTIF(tblStates[StateID],tblValidation[[#This Row],[TargetID]])&gt;1)</f>
        <v>0</v>
      </c>
      <c r="O247" s="48" t="b" cm="1">
        <f t="array" aca="1" ref="O2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7" s="48"/>
      <c r="R247" s="48"/>
      <c r="S247" s="48"/>
      <c r="T247" s="48"/>
      <c r="V247" s="2" t="str">
        <f ca="1"/>
        <v>craftifact.metal_detector</v>
      </c>
      <c r="X247" s="2" t="str">
        <f ca="1"/>
        <v>craftifact.metal_detector</v>
      </c>
      <c r="Y247" s="2" t="str">
        <f ca="1"/>
        <v>quest.culinary_battle.accepted</v>
      </c>
      <c r="Z247" s="2" t="str">
        <f ca="1"/>
        <v>craftifact.necklace_for_haruka</v>
      </c>
      <c r="AA247" s="2" t="str">
        <f ca="1"/>
        <v>quest.once_upon_a_forest_chapter_8.accepted</v>
      </c>
      <c r="AD247" s="2" t="str">
        <f ca="1"/>
        <v>craftifact.metal_detector</v>
      </c>
      <c r="AE247" s="2" t="str">
        <f ca="1"/>
        <v>quest.shoguns_katana_chapter_7.finished</v>
      </c>
    </row>
    <row r="248" spans="1:31">
      <c r="A248" t="str">
        <f t="shared" ca="1" si="6"/>
        <v>craftifact.necklace_for_haruka</v>
      </c>
      <c r="B248" t="str">
        <f ca="1">_xlfn.XLOOKUP(tblValidation[[#This Row],[TargetID]],tblTargets[TargetID],tblTargets[TargetType],"")</f>
        <v>CRAFTIFACT</v>
      </c>
      <c r="C248" s="48" t="b">
        <f ca="1">COUNTIF(tblTargets[TargetID], $A248) &gt; 0</f>
        <v>1</v>
      </c>
      <c r="D248" s="48" t="b">
        <f ca="1">IF(OR(LEFT(tblValidation[[#This Row],[TargetID]],10)="state.CHAR",RIGHT(tblValidation[[#This Row],[TargetID]],5)="maxed"),TRUE, COUNTIF(tblChecklist[TargetID], $A248) &gt; 0)</f>
        <v>1</v>
      </c>
      <c r="E2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$A248) &gt; 0)</f>
        <v>1</v>
      </c>
      <c r="F248" s="48" t="b">
        <f ca="1">COUNTIF(tblDependencies[DependencyID], $A248) &gt; 0</f>
        <v>0</v>
      </c>
      <c r="G248" s="48" t="b">
        <f ca="1">COUNTIF(tblQuestObjectives[QuestTargetID], $A248) &gt; 0</f>
        <v>0</v>
      </c>
      <c r="H248" s="48" t="b">
        <f ca="1">COUNTIF(tblQuestObjectives[ObjectiveID], $A248) &gt; 0</f>
        <v>0</v>
      </c>
      <c r="I248" s="48" t="b">
        <f ca="1">COUNTIF(tblTargetStatus[TargetID], $A248) &gt; 0</f>
        <v>1</v>
      </c>
      <c r="J248" s="48" t="b">
        <f ca="1">COUNTIF(tblCost[TargetID], $A248) &gt; 0</f>
        <v>1</v>
      </c>
      <c r="K248" s="48" t="b">
        <f ca="1">COUNTIF(tblStates[StateID], $A248) &gt; 0</f>
        <v>0</v>
      </c>
      <c r="L248" s="48" t="b">
        <f t="shared" ca="1" si="7"/>
        <v>1</v>
      </c>
      <c r="M248" s="48" t="b">
        <f ca="1">IF(tblValidation[[#This Row],[TargetID]]="","",COUNTIF(tblTargets[TargetID],A248)&gt;1)</f>
        <v>0</v>
      </c>
      <c r="N248" s="48" t="b">
        <f ca="1">IF(tblValidation[[#This Row],[TargetID]]="","",COUNTIF(tblStates[StateID],tblValidation[[#This Row],[TargetID]])&gt;1)</f>
        <v>0</v>
      </c>
      <c r="O248" s="48" t="b" cm="1">
        <f t="array" aca="1" ref="O2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8" s="48"/>
      <c r="R248" s="48"/>
      <c r="S248" s="48"/>
      <c r="T248" s="48"/>
      <c r="V248" s="2" t="str">
        <f ca="1"/>
        <v>craftifact.necklace_for_haruka</v>
      </c>
      <c r="X248" s="2" t="str">
        <f ca="1"/>
        <v>craftifact.necklace_for_haruka</v>
      </c>
      <c r="Y248" s="2" t="str">
        <f ca="1"/>
        <v>quest.culinary_battle.finished</v>
      </c>
      <c r="Z248" s="2" t="str">
        <f ca="1"/>
        <v>craftifact.safe</v>
      </c>
      <c r="AA248" s="2" t="str">
        <f ca="1"/>
        <v>quest.once_upon_a_forest_chapter_8.finished</v>
      </c>
      <c r="AD248" s="2" t="str">
        <f ca="1"/>
        <v>craftifact.necklace_for_haruka</v>
      </c>
      <c r="AE248" s="2" t="str">
        <f ca="1"/>
        <v>quest.the_ordinary_days_of_an_adventurer_chapter_2.finished</v>
      </c>
    </row>
    <row r="249" spans="1:31">
      <c r="A249" t="str">
        <f t="shared" ca="1" si="6"/>
        <v>craftifact.safe</v>
      </c>
      <c r="B249" t="str">
        <f ca="1">_xlfn.XLOOKUP(tblValidation[[#This Row],[TargetID]],tblTargets[TargetID],tblTargets[TargetType],"")</f>
        <v>CRAFTIFACT</v>
      </c>
      <c r="C249" s="48" t="b">
        <f ca="1">COUNTIF(tblTargets[TargetID], $A249) &gt; 0</f>
        <v>1</v>
      </c>
      <c r="D249" s="48" t="b">
        <f ca="1">IF(OR(LEFT(tblValidation[[#This Row],[TargetID]],10)="state.CHAR",RIGHT(tblValidation[[#This Row],[TargetID]],5)="maxed"),TRUE, COUNTIF(tblChecklist[TargetID], $A249) &gt; 0)</f>
        <v>1</v>
      </c>
      <c r="E2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$A249) &gt; 0)</f>
        <v>1</v>
      </c>
      <c r="F249" s="48" t="b">
        <f ca="1">COUNTIF(tblDependencies[DependencyID], $A249) &gt; 0</f>
        <v>0</v>
      </c>
      <c r="G249" s="48" t="b">
        <f ca="1">COUNTIF(tblQuestObjectives[QuestTargetID], $A249) &gt; 0</f>
        <v>0</v>
      </c>
      <c r="H249" s="48" t="b">
        <f ca="1">COUNTIF(tblQuestObjectives[ObjectiveID], $A249) &gt; 0</f>
        <v>0</v>
      </c>
      <c r="I249" s="48" t="b">
        <f ca="1">COUNTIF(tblTargetStatus[TargetID], $A249) &gt; 0</f>
        <v>1</v>
      </c>
      <c r="J249" s="48" t="b">
        <f ca="1">COUNTIF(tblCost[TargetID], $A249) &gt; 0</f>
        <v>1</v>
      </c>
      <c r="K249" s="48" t="b">
        <f ca="1">COUNTIF(tblStates[StateID], $A249) &gt; 0</f>
        <v>0</v>
      </c>
      <c r="L249" s="48" t="b">
        <f t="shared" ca="1" si="7"/>
        <v>1</v>
      </c>
      <c r="M249" s="48" t="b">
        <f ca="1">IF(tblValidation[[#This Row],[TargetID]]="","",COUNTIF(tblTargets[TargetID],A249)&gt;1)</f>
        <v>0</v>
      </c>
      <c r="N249" s="48" t="b">
        <f ca="1">IF(tblValidation[[#This Row],[TargetID]]="","",COUNTIF(tblStates[StateID],tblValidation[[#This Row],[TargetID]])&gt;1)</f>
        <v>0</v>
      </c>
      <c r="O249" s="48" t="b" cm="1">
        <f t="array" aca="1" ref="O2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9" s="48"/>
      <c r="R249" s="48"/>
      <c r="S249" s="48"/>
      <c r="T249" s="48"/>
      <c r="V249" s="2" t="str">
        <f ca="1"/>
        <v>craftifact.safe</v>
      </c>
      <c r="X249" s="2" t="str">
        <f ca="1"/>
        <v>craftifact.safe</v>
      </c>
      <c r="Y249" s="2" t="str">
        <f ca="1"/>
        <v>quest.dragon_teeth.accepted</v>
      </c>
      <c r="Z249" s="2" t="str">
        <f ca="1"/>
        <v>craftifact.solver_1_prototype</v>
      </c>
      <c r="AA249" s="2" t="str">
        <f ca="1"/>
        <v>quest.once_upon_a_forest_chapter_9.accepted</v>
      </c>
      <c r="AD249" s="2" t="str">
        <f ca="1"/>
        <v>craftifact.safe</v>
      </c>
      <c r="AE249" s="2" t="str">
        <f ca="1"/>
        <v>quest.the_ordinary_days_of_an_adventurer_chapter_5.finished</v>
      </c>
    </row>
    <row r="250" spans="1:31">
      <c r="A250" t="str">
        <f t="shared" ca="1" si="6"/>
        <v>craftifact.solver_1_prototype</v>
      </c>
      <c r="B250" t="str">
        <f ca="1">_xlfn.XLOOKUP(tblValidation[[#This Row],[TargetID]],tblTargets[TargetID],tblTargets[TargetType],"")</f>
        <v>CRAFTIFACT</v>
      </c>
      <c r="C250" s="48" t="b">
        <f ca="1">COUNTIF(tblTargets[TargetID], $A250) &gt; 0</f>
        <v>1</v>
      </c>
      <c r="D250" s="48" t="b">
        <f ca="1">IF(OR(LEFT(tblValidation[[#This Row],[TargetID]],10)="state.CHAR",RIGHT(tblValidation[[#This Row],[TargetID]],5)="maxed"),TRUE, COUNTIF(tblChecklist[TargetID], $A250) &gt; 0)</f>
        <v>1</v>
      </c>
      <c r="E2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$A250) &gt; 0)</f>
        <v>1</v>
      </c>
      <c r="F250" s="48" t="b">
        <f ca="1">COUNTIF(tblDependencies[DependencyID], $A250) &gt; 0</f>
        <v>1</v>
      </c>
      <c r="G250" s="48" t="b">
        <f ca="1">COUNTIF(tblQuestObjectives[QuestTargetID], $A250) &gt; 0</f>
        <v>0</v>
      </c>
      <c r="H250" s="48" t="b">
        <f ca="1">COUNTIF(tblQuestObjectives[ObjectiveID], $A250) &gt; 0</f>
        <v>1</v>
      </c>
      <c r="I250" s="48" t="b">
        <f ca="1">COUNTIF(tblTargetStatus[TargetID], $A250) &gt; 0</f>
        <v>1</v>
      </c>
      <c r="J250" s="48" t="b">
        <f ca="1">COUNTIF(tblCost[TargetID], $A250) &gt; 0</f>
        <v>1</v>
      </c>
      <c r="K250" s="48" t="b">
        <f ca="1">COUNTIF(tblStates[StateID], $A250) &gt; 0</f>
        <v>0</v>
      </c>
      <c r="L250" s="48" t="b">
        <f t="shared" ca="1" si="7"/>
        <v>1</v>
      </c>
      <c r="M250" s="48" t="b">
        <f ca="1">IF(tblValidation[[#This Row],[TargetID]]="","",COUNTIF(tblTargets[TargetID],A250)&gt;1)</f>
        <v>0</v>
      </c>
      <c r="N250" s="48" t="b">
        <f ca="1">IF(tblValidation[[#This Row],[TargetID]]="","",COUNTIF(tblStates[StateID],tblValidation[[#This Row],[TargetID]])&gt;1)</f>
        <v>0</v>
      </c>
      <c r="O250" s="48" t="b" cm="1">
        <f t="array" aca="1" ref="O2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0" s="48"/>
      <c r="R250" s="48"/>
      <c r="S250" s="48"/>
      <c r="T250" s="48"/>
      <c r="V250" s="2" t="str">
        <f ca="1"/>
        <v>craftifact.solver_1_prototype</v>
      </c>
      <c r="X250" s="2" t="str">
        <f ca="1"/>
        <v>craftifact.solver_1_prototype</v>
      </c>
      <c r="Y250" s="2" t="str">
        <f ca="1"/>
        <v>quest.dragon_teeth.finished</v>
      </c>
      <c r="Z250" s="2" t="str">
        <f ca="1"/>
        <v>craftifact.telescope</v>
      </c>
      <c r="AA250" s="2" t="str">
        <f ca="1"/>
        <v>quest.once_upon_a_forest_chapter_9.finished</v>
      </c>
      <c r="AD250" s="2" t="str">
        <f ca="1"/>
        <v>craftifact.solver_1_prototype</v>
      </c>
      <c r="AE250" s="2" t="str">
        <f ca="1"/>
        <v>quest.the_ordinary_days_of_an_adventurer_chapter_6.finished</v>
      </c>
    </row>
    <row r="251" spans="1:31">
      <c r="A251" t="str">
        <f t="shared" ca="1" si="6"/>
        <v>craftifact.telescope</v>
      </c>
      <c r="B251" t="str">
        <f ca="1">_xlfn.XLOOKUP(tblValidation[[#This Row],[TargetID]],tblTargets[TargetID],tblTargets[TargetType],"")</f>
        <v>CRAFTIFACT</v>
      </c>
      <c r="C251" s="48" t="b">
        <f ca="1">COUNTIF(tblTargets[TargetID], $A251) &gt; 0</f>
        <v>1</v>
      </c>
      <c r="D251" s="48" t="b">
        <f ca="1">IF(OR(LEFT(tblValidation[[#This Row],[TargetID]],10)="state.CHAR",RIGHT(tblValidation[[#This Row],[TargetID]],5)="maxed"),TRUE, COUNTIF(tblChecklist[TargetID], $A251) &gt; 0)</f>
        <v>1</v>
      </c>
      <c r="E2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$A251) &gt; 0)</f>
        <v>1</v>
      </c>
      <c r="F251" s="48" t="b">
        <f ca="1">COUNTIF(tblDependencies[DependencyID], $A251) &gt; 0</f>
        <v>1</v>
      </c>
      <c r="G251" s="48" t="b">
        <f ca="1">COUNTIF(tblQuestObjectives[QuestTargetID], $A251) &gt; 0</f>
        <v>0</v>
      </c>
      <c r="H251" s="48" t="b">
        <f ca="1">COUNTIF(tblQuestObjectives[ObjectiveID], $A251) &gt; 0</f>
        <v>1</v>
      </c>
      <c r="I251" s="48" t="b">
        <f ca="1">COUNTIF(tblTargetStatus[TargetID], $A251) &gt; 0</f>
        <v>1</v>
      </c>
      <c r="J251" s="48" t="b">
        <f ca="1">COUNTIF(tblCost[TargetID], $A251) &gt; 0</f>
        <v>1</v>
      </c>
      <c r="K251" s="48" t="b">
        <f ca="1">COUNTIF(tblStates[StateID], $A251) &gt; 0</f>
        <v>0</v>
      </c>
      <c r="L251" s="48" t="b">
        <f t="shared" ca="1" si="7"/>
        <v>1</v>
      </c>
      <c r="M251" s="48" t="b">
        <f ca="1">IF(tblValidation[[#This Row],[TargetID]]="","",COUNTIF(tblTargets[TargetID],A251)&gt;1)</f>
        <v>0</v>
      </c>
      <c r="N251" s="48" t="b">
        <f ca="1">IF(tblValidation[[#This Row],[TargetID]]="","",COUNTIF(tblStates[StateID],tblValidation[[#This Row],[TargetID]])&gt;1)</f>
        <v>0</v>
      </c>
      <c r="O251" s="48" t="b" cm="1">
        <f t="array" aca="1" ref="O2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1" s="48"/>
      <c r="R251" s="48"/>
      <c r="S251" s="48"/>
      <c r="T251" s="48"/>
      <c r="V251" s="2" t="str">
        <f ca="1"/>
        <v>craftifact.telescope</v>
      </c>
      <c r="X251" s="2" t="str">
        <f ca="1"/>
        <v>craftifact.telescope</v>
      </c>
      <c r="Y251" s="2" t="str">
        <f ca="1"/>
        <v>quest.festival.accepted</v>
      </c>
      <c r="Z251" s="2" t="str">
        <f ca="1"/>
        <v>craftifact.tetrachloroaurate</v>
      </c>
      <c r="AA251" s="2" t="str">
        <f ca="1"/>
        <v>quest.quest_for_knowledge_chapter_1.accepted</v>
      </c>
      <c r="AD251" s="2" t="str">
        <f ca="1"/>
        <v>craftifact.telescope</v>
      </c>
      <c r="AE251" s="2" t="str">
        <f ca="1"/>
        <v>tech.airship.titanium_longerons</v>
      </c>
    </row>
    <row r="252" spans="1:31">
      <c r="A252" t="str">
        <f t="shared" ca="1" si="6"/>
        <v>craftifact.tetrachloroaurate</v>
      </c>
      <c r="B252" t="str">
        <f ca="1">_xlfn.XLOOKUP(tblValidation[[#This Row],[TargetID]],tblTargets[TargetID],tblTargets[TargetType],"")</f>
        <v>CRAFTIFACT</v>
      </c>
      <c r="C252" s="48" t="b">
        <f ca="1">COUNTIF(tblTargets[TargetID], $A252) &gt; 0</f>
        <v>1</v>
      </c>
      <c r="D252" s="48" t="b">
        <f ca="1">IF(OR(LEFT(tblValidation[[#This Row],[TargetID]],10)="state.CHAR",RIGHT(tblValidation[[#This Row],[TargetID]],5)="maxed"),TRUE, COUNTIF(tblChecklist[TargetID], $A252) &gt; 0)</f>
        <v>1</v>
      </c>
      <c r="E2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$A252) &gt; 0)</f>
        <v>1</v>
      </c>
      <c r="F252" s="48" t="b">
        <f ca="1">COUNTIF(tblDependencies[DependencyID], $A252) &gt; 0</f>
        <v>0</v>
      </c>
      <c r="G252" s="48" t="b">
        <f ca="1">COUNTIF(tblQuestObjectives[QuestTargetID], $A252) &gt; 0</f>
        <v>0</v>
      </c>
      <c r="H252" s="48" t="b">
        <f ca="1">COUNTIF(tblQuestObjectives[ObjectiveID], $A252) &gt; 0</f>
        <v>0</v>
      </c>
      <c r="I252" s="48" t="b">
        <f ca="1">COUNTIF(tblTargetStatus[TargetID], $A252) &gt; 0</f>
        <v>1</v>
      </c>
      <c r="J252" s="48" t="b">
        <f ca="1">COUNTIF(tblCost[TargetID], $A252) &gt; 0</f>
        <v>1</v>
      </c>
      <c r="K252" s="48" t="b">
        <f ca="1">COUNTIF(tblStates[StateID], $A252) &gt; 0</f>
        <v>0</v>
      </c>
      <c r="L252" s="48" t="b">
        <f t="shared" ca="1" si="7"/>
        <v>1</v>
      </c>
      <c r="M252" s="48" t="b">
        <f ca="1">IF(tblValidation[[#This Row],[TargetID]]="","",COUNTIF(tblTargets[TargetID],A252)&gt;1)</f>
        <v>0</v>
      </c>
      <c r="N252" s="48" t="b">
        <f ca="1">IF(tblValidation[[#This Row],[TargetID]]="","",COUNTIF(tblStates[StateID],tblValidation[[#This Row],[TargetID]])&gt;1)</f>
        <v>0</v>
      </c>
      <c r="O252" s="48" t="b" cm="1">
        <f t="array" aca="1" ref="O2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2" s="48"/>
      <c r="R252" s="48"/>
      <c r="S252" s="48"/>
      <c r="T252" s="48"/>
      <c r="V252" s="2" t="str">
        <f ca="1"/>
        <v>craftifact.tetrachloroaurate</v>
      </c>
      <c r="X252" s="2" t="str">
        <f ca="1"/>
        <v>craftifact.tetrachloroaurate</v>
      </c>
      <c r="Y252" s="2" t="str">
        <f ca="1"/>
        <v>quest.festival.finished</v>
      </c>
      <c r="Z252" s="2" t="str">
        <f ca="1"/>
        <v>craftifact.trigonometry</v>
      </c>
      <c r="AA252" s="2" t="str">
        <f ca="1"/>
        <v>quest.quest_for_knowledge_chapter_1.finished</v>
      </c>
      <c r="AD252" s="2" t="str">
        <f ca="1"/>
        <v>craftifact.tetrachloroaurate</v>
      </c>
      <c r="AE252" s="2" t="str">
        <f ca="1"/>
        <v>tech.alchemists_hut.advanced_fertilizer</v>
      </c>
    </row>
    <row r="253" spans="1:31">
      <c r="A253" t="str">
        <f t="shared" ca="1" si="6"/>
        <v>craftifact.trigonometry</v>
      </c>
      <c r="B253" t="str">
        <f ca="1">_xlfn.XLOOKUP(tblValidation[[#This Row],[TargetID]],tblTargets[TargetID],tblTargets[TargetType],"")</f>
        <v>CRAFTIFACT</v>
      </c>
      <c r="C253" s="48" t="b">
        <f ca="1">COUNTIF(tblTargets[TargetID], $A253) &gt; 0</f>
        <v>1</v>
      </c>
      <c r="D253" s="48" t="b">
        <f ca="1">IF(OR(LEFT(tblValidation[[#This Row],[TargetID]],10)="state.CHAR",RIGHT(tblValidation[[#This Row],[TargetID]],5)="maxed"),TRUE, COUNTIF(tblChecklist[TargetID], $A253) &gt; 0)</f>
        <v>1</v>
      </c>
      <c r="E2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$A253) &gt; 0)</f>
        <v>1</v>
      </c>
      <c r="F253" s="48" t="b">
        <f ca="1">COUNTIF(tblDependencies[DependencyID], $A253) &gt; 0</f>
        <v>0</v>
      </c>
      <c r="G253" s="48" t="b">
        <f ca="1">COUNTIF(tblQuestObjectives[QuestTargetID], $A253) &gt; 0</f>
        <v>0</v>
      </c>
      <c r="H253" s="48" t="b">
        <f ca="1">COUNTIF(tblQuestObjectives[ObjectiveID], $A253) &gt; 0</f>
        <v>1</v>
      </c>
      <c r="I253" s="48" t="b">
        <f ca="1">COUNTIF(tblTargetStatus[TargetID], $A253) &gt; 0</f>
        <v>1</v>
      </c>
      <c r="J253" s="48" t="b">
        <f ca="1">COUNTIF(tblCost[TargetID], $A253) &gt; 0</f>
        <v>1</v>
      </c>
      <c r="K253" s="48" t="b">
        <f ca="1">COUNTIF(tblStates[StateID], $A253) &gt; 0</f>
        <v>0</v>
      </c>
      <c r="L253" s="48" t="b">
        <f t="shared" ca="1" si="7"/>
        <v>1</v>
      </c>
      <c r="M253" s="48" t="b">
        <f ca="1">IF(tblValidation[[#This Row],[TargetID]]="","",COUNTIF(tblTargets[TargetID],A253)&gt;1)</f>
        <v>0</v>
      </c>
      <c r="N253" s="48" t="b">
        <f ca="1">IF(tblValidation[[#This Row],[TargetID]]="","",COUNTIF(tblStates[StateID],tblValidation[[#This Row],[TargetID]])&gt;1)</f>
        <v>0</v>
      </c>
      <c r="O253" s="48" t="b" cm="1">
        <f t="array" aca="1" ref="O2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3" s="48"/>
      <c r="R253" s="48"/>
      <c r="S253" s="48"/>
      <c r="T253" s="48"/>
      <c r="V253" s="2" t="str">
        <f ca="1"/>
        <v>craftifact.trigonometry</v>
      </c>
      <c r="X253" s="2" t="str">
        <f ca="1"/>
        <v>craftifact.trigonometry</v>
      </c>
      <c r="Y253" s="2" t="str">
        <f ca="1"/>
        <v>quest.festival_of_beans.accepted</v>
      </c>
      <c r="Z253" s="2" t="str">
        <f ca="1"/>
        <v>quest.ahead_of_time_chapter_1.accepted</v>
      </c>
      <c r="AA253" s="2" t="str">
        <f ca="1"/>
        <v>quest.quest_for_knowledge_chapter_2.accepted</v>
      </c>
      <c r="AD253" s="2" t="str">
        <f ca="1"/>
        <v>craftifact.trigonometry</v>
      </c>
      <c r="AE253" s="2" t="str">
        <f ca="1"/>
        <v>tech.alchemists_hut.balm</v>
      </c>
    </row>
    <row r="254" spans="1:31">
      <c r="A254" t="str">
        <f t="shared" ca="1" si="6"/>
        <v>quest.ahead_of_time_chapter_1.accepted</v>
      </c>
      <c r="B254" t="str">
        <f ca="1">_xlfn.XLOOKUP(tblValidation[[#This Row],[TargetID]],tblTargets[TargetID],tblTargets[TargetType],"")</f>
        <v>QUEST</v>
      </c>
      <c r="C254" s="48" t="b">
        <f ca="1">COUNTIF(tblTargets[TargetID], $A254) &gt; 0</f>
        <v>1</v>
      </c>
      <c r="D254" s="48" t="b">
        <f ca="1">IF(OR(LEFT(tblValidation[[#This Row],[TargetID]],10)="state.CHAR",RIGHT(tblValidation[[#This Row],[TargetID]],5)="maxed"),TRUE, COUNTIF(tblChecklist[TargetID], $A254) &gt; 0)</f>
        <v>1</v>
      </c>
      <c r="E2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$A254) &gt; 0)</f>
        <v>1</v>
      </c>
      <c r="F254" s="48" t="b">
        <f ca="1">COUNTIF(tblDependencies[DependencyID], $A254) &gt; 0</f>
        <v>1</v>
      </c>
      <c r="G254" s="48" t="b">
        <f ca="1">COUNTIF(tblQuestObjectives[QuestTargetID], $A254) &gt; 0</f>
        <v>0</v>
      </c>
      <c r="H254" s="48" t="b">
        <f ca="1">COUNTIF(tblQuestObjectives[ObjectiveID], $A254) &gt; 0</f>
        <v>0</v>
      </c>
      <c r="I254" s="48" t="b">
        <f ca="1">COUNTIF(tblTargetStatus[TargetID], $A254) &gt; 0</f>
        <v>1</v>
      </c>
      <c r="J254" s="48" t="b">
        <f ca="1">COUNTIF(tblCost[TargetID], $A254) &gt; 0</f>
        <v>0</v>
      </c>
      <c r="K254" s="48" t="b">
        <f ca="1">COUNTIF(tblStates[StateID], $A254) &gt; 0</f>
        <v>0</v>
      </c>
      <c r="L254" s="48" t="b">
        <f t="shared" ca="1" si="7"/>
        <v>1</v>
      </c>
      <c r="M254" s="48" t="b">
        <f ca="1">IF(tblValidation[[#This Row],[TargetID]]="","",COUNTIF(tblTargets[TargetID],A254)&gt;1)</f>
        <v>0</v>
      </c>
      <c r="N254" s="48" t="b">
        <f ca="1">IF(tblValidation[[#This Row],[TargetID]]="","",COUNTIF(tblStates[StateID],tblValidation[[#This Row],[TargetID]])&gt;1)</f>
        <v>0</v>
      </c>
      <c r="O254" s="48" t="b" cm="1">
        <f t="array" aca="1" ref="O2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4" s="48"/>
      <c r="R254" s="48"/>
      <c r="S254" s="48"/>
      <c r="T254" s="48"/>
      <c r="V254" s="2" t="str">
        <f ca="1"/>
        <v>quest.ahead_of_time_chapter_1.accepted</v>
      </c>
      <c r="X254" s="2" t="str">
        <f ca="1"/>
        <v>quest.ahead_of_time_chapter_1.accepted</v>
      </c>
      <c r="Y254" s="2" t="str">
        <f ca="1"/>
        <v>quest.festival_of_beans.finished</v>
      </c>
      <c r="Z254" s="2" t="str">
        <f ca="1"/>
        <v>quest.ahead_of_time_chapter_1.finished</v>
      </c>
      <c r="AA254" s="2" t="str">
        <f ca="1"/>
        <v>quest.quest_for_knowledge_chapter_3.accepted</v>
      </c>
      <c r="AD254" s="2" t="str">
        <f ca="1"/>
        <v>quest.ahead_of_time_chapter_1.accepted</v>
      </c>
      <c r="AE254" s="2" t="str">
        <f ca="1"/>
        <v>tech.alchemists_hut.conveyor_lvl_1</v>
      </c>
    </row>
    <row r="255" spans="1:31">
      <c r="A255" t="str">
        <f t="shared" ca="1" si="6"/>
        <v>quest.ahead_of_time_chapter_1.finished</v>
      </c>
      <c r="B255" t="str">
        <f ca="1">_xlfn.XLOOKUP(tblValidation[[#This Row],[TargetID]],tblTargets[TargetID],tblTargets[TargetType],"")</f>
        <v>QUEST</v>
      </c>
      <c r="C255" s="48" t="b">
        <f ca="1">COUNTIF(tblTargets[TargetID], $A255) &gt; 0</f>
        <v>1</v>
      </c>
      <c r="D255" s="48" t="b">
        <f ca="1">IF(OR(LEFT(tblValidation[[#This Row],[TargetID]],10)="state.CHAR",RIGHT(tblValidation[[#This Row],[TargetID]],5)="maxed"),TRUE, COUNTIF(tblChecklist[TargetID], $A255) &gt; 0)</f>
        <v>1</v>
      </c>
      <c r="E2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$A255) &gt; 0)</f>
        <v>1</v>
      </c>
      <c r="F255" s="48" t="b">
        <f ca="1">COUNTIF(tblDependencies[DependencyID], $A255) &gt; 0</f>
        <v>1</v>
      </c>
      <c r="G255" s="48" t="b">
        <f ca="1">COUNTIF(tblQuestObjectives[QuestTargetID], $A255) &gt; 0</f>
        <v>1</v>
      </c>
      <c r="H255" s="48" t="b">
        <f ca="1">COUNTIF(tblQuestObjectives[ObjectiveID], $A255) &gt; 0</f>
        <v>0</v>
      </c>
      <c r="I255" s="48" t="b">
        <f ca="1">COUNTIF(tblTargetStatus[TargetID], $A255) &gt; 0</f>
        <v>1</v>
      </c>
      <c r="J255" s="48" t="b">
        <f ca="1">COUNTIF(tblCost[TargetID], $A255) &gt; 0</f>
        <v>1</v>
      </c>
      <c r="K255" s="48" t="b">
        <f ca="1">COUNTIF(tblStates[StateID], $A255) &gt; 0</f>
        <v>0</v>
      </c>
      <c r="L255" s="48" t="b">
        <f t="shared" ca="1" si="7"/>
        <v>1</v>
      </c>
      <c r="M255" s="48" t="b">
        <f ca="1">IF(tblValidation[[#This Row],[TargetID]]="","",COUNTIF(tblTargets[TargetID],A255)&gt;1)</f>
        <v>0</v>
      </c>
      <c r="N255" s="48" t="b">
        <f ca="1">IF(tblValidation[[#This Row],[TargetID]]="","",COUNTIF(tblStates[StateID],tblValidation[[#This Row],[TargetID]])&gt;1)</f>
        <v>0</v>
      </c>
      <c r="O255" s="48" t="b" cm="1">
        <f t="array" aca="1" ref="O2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5" s="48"/>
      <c r="R255" s="48"/>
      <c r="S255" s="48"/>
      <c r="T255" s="48"/>
      <c r="V255" s="2" t="str">
        <f ca="1"/>
        <v>quest.ahead_of_time_chapter_1.finished</v>
      </c>
      <c r="X255" s="2" t="str">
        <f ca="1"/>
        <v>quest.ahead_of_time_chapter_1.finished</v>
      </c>
      <c r="Y255" s="2" t="str">
        <f ca="1"/>
        <v>quest.festival_returns.accepted</v>
      </c>
      <c r="Z255" s="2" t="str">
        <f ca="1"/>
        <v>quest.ahead_of_time_chapter_2.accepted</v>
      </c>
      <c r="AA255" s="2" t="str">
        <f ca="1"/>
        <v>quest.quest_for_knowledge_chapter_3.finished</v>
      </c>
      <c r="AD255" s="2" t="str">
        <f ca="1"/>
        <v>quest.ahead_of_time_chapter_1.finished</v>
      </c>
      <c r="AE255" s="2" t="str">
        <f ca="1"/>
        <v>tech.alchemists_hut.conveyor_lvl_2</v>
      </c>
    </row>
    <row r="256" spans="1:31">
      <c r="A256" t="str">
        <f t="shared" ca="1" si="6"/>
        <v>quest.ahead_of_time_chapter_2.accepted</v>
      </c>
      <c r="B256" t="str">
        <f ca="1">_xlfn.XLOOKUP(tblValidation[[#This Row],[TargetID]],tblTargets[TargetID],tblTargets[TargetType],"")</f>
        <v>QUEST</v>
      </c>
      <c r="C256" s="48" t="b">
        <f ca="1">COUNTIF(tblTargets[TargetID], $A256) &gt; 0</f>
        <v>1</v>
      </c>
      <c r="D256" s="48" t="b">
        <f ca="1">IF(OR(LEFT(tblValidation[[#This Row],[TargetID]],10)="state.CHAR",RIGHT(tblValidation[[#This Row],[TargetID]],5)="maxed"),TRUE, COUNTIF(tblChecklist[TargetID], $A256) &gt; 0)</f>
        <v>1</v>
      </c>
      <c r="E2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$A256) &gt; 0)</f>
        <v>1</v>
      </c>
      <c r="F256" s="48" t="b">
        <f ca="1">COUNTIF(tblDependencies[DependencyID], $A256) &gt; 0</f>
        <v>1</v>
      </c>
      <c r="G256" s="48" t="b">
        <f ca="1">COUNTIF(tblQuestObjectives[QuestTargetID], $A256) &gt; 0</f>
        <v>0</v>
      </c>
      <c r="H256" s="48" t="b">
        <f ca="1">COUNTIF(tblQuestObjectives[ObjectiveID], $A256) &gt; 0</f>
        <v>0</v>
      </c>
      <c r="I256" s="48" t="b">
        <f ca="1">COUNTIF(tblTargetStatus[TargetID], $A256) &gt; 0</f>
        <v>1</v>
      </c>
      <c r="J256" s="48" t="b">
        <f ca="1">COUNTIF(tblCost[TargetID], $A256) &gt; 0</f>
        <v>0</v>
      </c>
      <c r="K256" s="48" t="b">
        <f ca="1">COUNTIF(tblStates[StateID], $A256) &gt; 0</f>
        <v>0</v>
      </c>
      <c r="L256" s="48" t="b">
        <f t="shared" ca="1" si="7"/>
        <v>1</v>
      </c>
      <c r="M256" s="48" t="b">
        <f ca="1">IF(tblValidation[[#This Row],[TargetID]]="","",COUNTIF(tblTargets[TargetID],A256)&gt;1)</f>
        <v>0</v>
      </c>
      <c r="N256" s="48" t="b">
        <f ca="1">IF(tblValidation[[#This Row],[TargetID]]="","",COUNTIF(tblStates[StateID],tblValidation[[#This Row],[TargetID]])&gt;1)</f>
        <v>0</v>
      </c>
      <c r="O256" s="48" t="b" cm="1">
        <f t="array" aca="1" ref="O2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6" s="48"/>
      <c r="R256" s="48"/>
      <c r="S256" s="48"/>
      <c r="T256" s="48"/>
      <c r="V256" s="2" t="str">
        <f ca="1"/>
        <v>quest.ahead_of_time_chapter_2.accepted</v>
      </c>
      <c r="X256" s="2" t="str">
        <f ca="1"/>
        <v>quest.ahead_of_time_chapter_2.accepted</v>
      </c>
      <c r="Y256" s="2" t="str">
        <f ca="1"/>
        <v>quest.festival_returns.finished</v>
      </c>
      <c r="Z256" s="2" t="str">
        <f ca="1"/>
        <v>quest.ahead_of_time_chapter_2.finished</v>
      </c>
      <c r="AA256" s="2" t="str">
        <f ca="1"/>
        <v>quest.quest_for_knowledge_chapter_4.accepted</v>
      </c>
      <c r="AD256" s="2" t="str">
        <f ca="1"/>
        <v>quest.ahead_of_time_chapter_2.accepted</v>
      </c>
      <c r="AE256" s="2" t="str">
        <f ca="1"/>
        <v>tech.alchemists_hut.galvanization</v>
      </c>
    </row>
    <row r="257" spans="1:31">
      <c r="A257" t="str">
        <f t="shared" ca="1" si="6"/>
        <v>quest.ahead_of_time_chapter_2.finished</v>
      </c>
      <c r="B257" t="str">
        <f ca="1">_xlfn.XLOOKUP(tblValidation[[#This Row],[TargetID]],tblTargets[TargetID],tblTargets[TargetType],"")</f>
        <v>QUEST</v>
      </c>
      <c r="C257" s="48" t="b">
        <f ca="1">COUNTIF(tblTargets[TargetID], $A257) &gt; 0</f>
        <v>1</v>
      </c>
      <c r="D257" s="48" t="b">
        <f ca="1">IF(OR(LEFT(tblValidation[[#This Row],[TargetID]],10)="state.CHAR",RIGHT(tblValidation[[#This Row],[TargetID]],5)="maxed"),TRUE, COUNTIF(tblChecklist[TargetID], $A257) &gt; 0)</f>
        <v>1</v>
      </c>
      <c r="E2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$A257) &gt; 0)</f>
        <v>1</v>
      </c>
      <c r="F257" s="48" t="b">
        <f ca="1">COUNTIF(tblDependencies[DependencyID], $A257) &gt; 0</f>
        <v>1</v>
      </c>
      <c r="G257" s="48" t="b">
        <f ca="1">COUNTIF(tblQuestObjectives[QuestTargetID], $A257) &gt; 0</f>
        <v>1</v>
      </c>
      <c r="H257" s="48" t="b">
        <f ca="1">COUNTIF(tblQuestObjectives[ObjectiveID], $A257) &gt; 0</f>
        <v>0</v>
      </c>
      <c r="I257" s="48" t="b">
        <f ca="1">COUNTIF(tblTargetStatus[TargetID], $A257) &gt; 0</f>
        <v>1</v>
      </c>
      <c r="J257" s="48" t="b">
        <f ca="1">COUNTIF(tblCost[TargetID], $A257) &gt; 0</f>
        <v>0</v>
      </c>
      <c r="K257" s="48" t="b">
        <f ca="1">COUNTIF(tblStates[StateID], $A257) &gt; 0</f>
        <v>0</v>
      </c>
      <c r="L257" s="48" t="b">
        <f t="shared" ca="1" si="7"/>
        <v>1</v>
      </c>
      <c r="M257" s="48" t="b">
        <f ca="1">IF(tblValidation[[#This Row],[TargetID]]="","",COUNTIF(tblTargets[TargetID],A257)&gt;1)</f>
        <v>0</v>
      </c>
      <c r="N257" s="48" t="b">
        <f ca="1">IF(tblValidation[[#This Row],[TargetID]]="","",COUNTIF(tblStates[StateID],tblValidation[[#This Row],[TargetID]])&gt;1)</f>
        <v>0</v>
      </c>
      <c r="O257" s="48" t="b" cm="1">
        <f t="array" aca="1" ref="O2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7" s="48"/>
      <c r="R257" s="48"/>
      <c r="S257" s="48"/>
      <c r="T257" s="48"/>
      <c r="V257" s="2" t="str">
        <f ca="1"/>
        <v>quest.ahead_of_time_chapter_2.finished</v>
      </c>
      <c r="X257" s="2" t="str">
        <f ca="1"/>
        <v>quest.ahead_of_time_chapter_2.finished</v>
      </c>
      <c r="Y257" s="2" t="str">
        <f ca="1"/>
        <v>quest.green_potion.accepted</v>
      </c>
      <c r="Z257" s="2" t="str">
        <f ca="1"/>
        <v>quest.ahead_of_time_chapter_3.accepted</v>
      </c>
      <c r="AA257" s="2" t="str">
        <f ca="1"/>
        <v>quest.quest_for_knowledge_chapter_5.accepted</v>
      </c>
      <c r="AD257" s="2" t="str">
        <f ca="1"/>
        <v>quest.ahead_of_time_chapter_2.finished</v>
      </c>
      <c r="AE257" s="2" t="str">
        <f ca="1"/>
        <v>tech.alchemists_hut.gold_ingot</v>
      </c>
    </row>
    <row r="258" spans="1:31">
      <c r="A258" t="str">
        <f t="shared" ref="A258:A321" ca="1" si="8">IF(OR(V258=0,V258=""),"",V258)</f>
        <v>quest.ahead_of_time_chapter_3.accepted</v>
      </c>
      <c r="B258" t="str">
        <f ca="1">_xlfn.XLOOKUP(tblValidation[[#This Row],[TargetID]],tblTargets[TargetID],tblTargets[TargetType],"")</f>
        <v>QUEST</v>
      </c>
      <c r="C258" s="48" t="b">
        <f ca="1">COUNTIF(tblTargets[TargetID], $A258) &gt; 0</f>
        <v>1</v>
      </c>
      <c r="D258" s="48" t="b">
        <f ca="1">IF(OR(LEFT(tblValidation[[#This Row],[TargetID]],10)="state.CHAR",RIGHT(tblValidation[[#This Row],[TargetID]],5)="maxed"),TRUE, COUNTIF(tblChecklist[TargetID], $A258) &gt; 0)</f>
        <v>1</v>
      </c>
      <c r="E2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$A258) &gt; 0)</f>
        <v>1</v>
      </c>
      <c r="F258" s="48" t="b">
        <f ca="1">COUNTIF(tblDependencies[DependencyID], $A258) &gt; 0</f>
        <v>1</v>
      </c>
      <c r="G258" s="48" t="b">
        <f ca="1">COUNTIF(tblQuestObjectives[QuestTargetID], $A258) &gt; 0</f>
        <v>0</v>
      </c>
      <c r="H258" s="48" t="b">
        <f ca="1">COUNTIF(tblQuestObjectives[ObjectiveID], $A258) &gt; 0</f>
        <v>0</v>
      </c>
      <c r="I258" s="48" t="b">
        <f ca="1">COUNTIF(tblTargetStatus[TargetID], $A258) &gt; 0</f>
        <v>1</v>
      </c>
      <c r="J258" s="48" t="b">
        <f ca="1">COUNTIF(tblCost[TargetID], $A258) &gt; 0</f>
        <v>0</v>
      </c>
      <c r="K258" s="48" t="b">
        <f ca="1">COUNTIF(tblStates[StateID], $A258) &gt; 0</f>
        <v>0</v>
      </c>
      <c r="L258" s="48" t="b">
        <f t="shared" ref="L258:L321" ca="1" si="9">AND(
A258=LOWER(A258),
ISERROR(SEARCH(" ",A258)),
ISERROR(SEARCH("..",A258))
)</f>
        <v>1</v>
      </c>
      <c r="M258" s="48" t="b">
        <f ca="1">IF(tblValidation[[#This Row],[TargetID]]="","",COUNTIF(tblTargets[TargetID],A258)&gt;1)</f>
        <v>0</v>
      </c>
      <c r="N258" s="48" t="b">
        <f ca="1">IF(tblValidation[[#This Row],[TargetID]]="","",COUNTIF(tblStates[StateID],tblValidation[[#This Row],[TargetID]])&gt;1)</f>
        <v>0</v>
      </c>
      <c r="O258" s="48" t="b" cm="1">
        <f t="array" aca="1" ref="O2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8" s="48"/>
      <c r="R258" s="48"/>
      <c r="S258" s="48"/>
      <c r="T258" s="48"/>
      <c r="V258" s="2" t="str">
        <f ca="1"/>
        <v>quest.ahead_of_time_chapter_3.accepted</v>
      </c>
      <c r="X258" s="2" t="str">
        <f ca="1"/>
        <v>quest.ahead_of_time_chapter_3.accepted</v>
      </c>
      <c r="Y258" s="2" t="str">
        <f ca="1"/>
        <v>quest.green_potion.finished</v>
      </c>
      <c r="Z258" s="2" t="str">
        <f ca="1"/>
        <v>quest.ahead_of_time_chapter_3.finished</v>
      </c>
      <c r="AA258" s="2" t="str">
        <f ca="1"/>
        <v>quest.shoguns_katana_chapter_1.accepted</v>
      </c>
      <c r="AD258" s="2" t="str">
        <f ca="1"/>
        <v>quest.ahead_of_time_chapter_3.accepted</v>
      </c>
      <c r="AE258" s="2" t="str">
        <f ca="1"/>
        <v>tech.alchemists_hut.greek_grenade</v>
      </c>
    </row>
    <row r="259" spans="1:31">
      <c r="A259" t="str">
        <f t="shared" ca="1" si="8"/>
        <v>quest.ahead_of_time_chapter_3.finished</v>
      </c>
      <c r="B259" t="str">
        <f ca="1">_xlfn.XLOOKUP(tblValidation[[#This Row],[TargetID]],tblTargets[TargetID],tblTargets[TargetType],"")</f>
        <v>QUEST</v>
      </c>
      <c r="C259" s="48" t="b">
        <f ca="1">COUNTIF(tblTargets[TargetID], $A259) &gt; 0</f>
        <v>1</v>
      </c>
      <c r="D259" s="48" t="b">
        <f ca="1">IF(OR(LEFT(tblValidation[[#This Row],[TargetID]],10)="state.CHAR",RIGHT(tblValidation[[#This Row],[TargetID]],5)="maxed"),TRUE, COUNTIF(tblChecklist[TargetID], $A259) &gt; 0)</f>
        <v>1</v>
      </c>
      <c r="E2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$A259) &gt; 0)</f>
        <v>1</v>
      </c>
      <c r="F259" s="48" t="b">
        <f ca="1">COUNTIF(tblDependencies[DependencyID], $A259) &gt; 0</f>
        <v>1</v>
      </c>
      <c r="G259" s="48" t="b">
        <f ca="1">COUNTIF(tblQuestObjectives[QuestTargetID], $A259) &gt; 0</f>
        <v>1</v>
      </c>
      <c r="H259" s="48" t="b">
        <f ca="1">COUNTIF(tblQuestObjectives[ObjectiveID], $A259) &gt; 0</f>
        <v>0</v>
      </c>
      <c r="I259" s="48" t="b">
        <f ca="1">COUNTIF(tblTargetStatus[TargetID], $A259) &gt; 0</f>
        <v>1</v>
      </c>
      <c r="J259" s="48" t="b">
        <f ca="1">COUNTIF(tblCost[TargetID], $A259) &gt; 0</f>
        <v>0</v>
      </c>
      <c r="K259" s="48" t="b">
        <f ca="1">COUNTIF(tblStates[StateID], $A259) &gt; 0</f>
        <v>0</v>
      </c>
      <c r="L259" s="48" t="b">
        <f t="shared" ca="1" si="9"/>
        <v>1</v>
      </c>
      <c r="M259" s="48" t="b">
        <f ca="1">IF(tblValidation[[#This Row],[TargetID]]="","",COUNTIF(tblTargets[TargetID],A259)&gt;1)</f>
        <v>0</v>
      </c>
      <c r="N259" s="48" t="b">
        <f ca="1">IF(tblValidation[[#This Row],[TargetID]]="","",COUNTIF(tblStates[StateID],tblValidation[[#This Row],[TargetID]])&gt;1)</f>
        <v>0</v>
      </c>
      <c r="O259" s="48" t="b" cm="1">
        <f t="array" aca="1" ref="O2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9" s="48"/>
      <c r="R259" s="48"/>
      <c r="S259" s="48"/>
      <c r="T259" s="48"/>
      <c r="V259" s="2" t="str">
        <f ca="1"/>
        <v>quest.ahead_of_time_chapter_3.finished</v>
      </c>
      <c r="X259" s="2" t="str">
        <f ca="1"/>
        <v>quest.ahead_of_time_chapter_3.finished</v>
      </c>
      <c r="Y259" s="2" t="str">
        <f ca="1"/>
        <v>quest.honor_glory_sushi.accepted</v>
      </c>
      <c r="Z259" s="2" t="str">
        <f ca="1"/>
        <v>quest.ahead_of_time_chapter_4.accepted</v>
      </c>
      <c r="AA259" s="2" t="str">
        <f ca="1"/>
        <v>quest.shoguns_katana_chapter_1.finished</v>
      </c>
      <c r="AD259" s="2" t="str">
        <f ca="1"/>
        <v>quest.ahead_of_time_chapter_3.finished</v>
      </c>
      <c r="AE259" s="2" t="str">
        <f ca="1"/>
        <v>tech.alchemists_hut.madness_grenade</v>
      </c>
    </row>
    <row r="260" spans="1:31">
      <c r="A260" t="str">
        <f t="shared" ca="1" si="8"/>
        <v>quest.ahead_of_time_chapter_4.accepted</v>
      </c>
      <c r="B260" t="str">
        <f ca="1">_xlfn.XLOOKUP(tblValidation[[#This Row],[TargetID]],tblTargets[TargetID],tblTargets[TargetType],"")</f>
        <v>QUEST</v>
      </c>
      <c r="C260" s="48" t="b">
        <f ca="1">COUNTIF(tblTargets[TargetID], $A260) &gt; 0</f>
        <v>1</v>
      </c>
      <c r="D260" s="48" t="b">
        <f ca="1">IF(OR(LEFT(tblValidation[[#This Row],[TargetID]],10)="state.CHAR",RIGHT(tblValidation[[#This Row],[TargetID]],5)="maxed"),TRUE, COUNTIF(tblChecklist[TargetID], $A260) &gt; 0)</f>
        <v>1</v>
      </c>
      <c r="E2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$A260) &gt; 0)</f>
        <v>1</v>
      </c>
      <c r="F260" s="48" t="b">
        <f ca="1">COUNTIF(tblDependencies[DependencyID], $A260) &gt; 0</f>
        <v>1</v>
      </c>
      <c r="G260" s="48" t="b">
        <f ca="1">COUNTIF(tblQuestObjectives[QuestTargetID], $A260) &gt; 0</f>
        <v>0</v>
      </c>
      <c r="H260" s="48" t="b">
        <f ca="1">COUNTIF(tblQuestObjectives[ObjectiveID], $A260) &gt; 0</f>
        <v>0</v>
      </c>
      <c r="I260" s="48" t="b">
        <f ca="1">COUNTIF(tblTargetStatus[TargetID], $A260) &gt; 0</f>
        <v>1</v>
      </c>
      <c r="J260" s="48" t="b">
        <f ca="1">COUNTIF(tblCost[TargetID], $A260) &gt; 0</f>
        <v>0</v>
      </c>
      <c r="K260" s="48" t="b">
        <f ca="1">COUNTIF(tblStates[StateID], $A260) &gt; 0</f>
        <v>0</v>
      </c>
      <c r="L260" s="48" t="b">
        <f t="shared" ca="1" si="9"/>
        <v>1</v>
      </c>
      <c r="M260" s="48" t="b">
        <f ca="1">IF(tblValidation[[#This Row],[TargetID]]="","",COUNTIF(tblTargets[TargetID],A260)&gt;1)</f>
        <v>0</v>
      </c>
      <c r="N260" s="48" t="b">
        <f ca="1">IF(tblValidation[[#This Row],[TargetID]]="","",COUNTIF(tblStates[StateID],tblValidation[[#This Row],[TargetID]])&gt;1)</f>
        <v>0</v>
      </c>
      <c r="O260" s="48" t="b" cm="1">
        <f t="array" aca="1" ref="O2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0" s="48"/>
      <c r="R260" s="48"/>
      <c r="S260" s="48"/>
      <c r="T260" s="48"/>
      <c r="V260" s="2" t="str">
        <f ca="1"/>
        <v>quest.ahead_of_time_chapter_4.accepted</v>
      </c>
      <c r="X260" s="2" t="str">
        <f ca="1"/>
        <v>quest.ahead_of_time_chapter_4.accepted</v>
      </c>
      <c r="Y260" s="2" t="str">
        <f ca="1"/>
        <v>quest.honor_glory_sushi.finished</v>
      </c>
      <c r="Z260" s="2" t="str">
        <f ca="1"/>
        <v>quest.ahead_of_time_chapter_4.finished</v>
      </c>
      <c r="AA260" s="2" t="str">
        <f ca="1"/>
        <v>quest.shoguns_katana_chapter_2.accepted</v>
      </c>
      <c r="AD260" s="2" t="str">
        <f ca="1"/>
        <v>quest.ahead_of_time_chapter_4.accepted</v>
      </c>
      <c r="AE260" s="2" t="str">
        <f ca="1"/>
        <v>tech.alchemists_hut.mercury</v>
      </c>
    </row>
    <row r="261" spans="1:31">
      <c r="A261" t="str">
        <f t="shared" ca="1" si="8"/>
        <v>quest.ahead_of_time_chapter_4.finished</v>
      </c>
      <c r="B261" t="str">
        <f ca="1">_xlfn.XLOOKUP(tblValidation[[#This Row],[TargetID]],tblTargets[TargetID],tblTargets[TargetType],"")</f>
        <v>QUEST</v>
      </c>
      <c r="C261" s="48" t="b">
        <f ca="1">COUNTIF(tblTargets[TargetID], $A261) &gt; 0</f>
        <v>1</v>
      </c>
      <c r="D261" s="48" t="b">
        <f ca="1">IF(OR(LEFT(tblValidation[[#This Row],[TargetID]],10)="state.CHAR",RIGHT(tblValidation[[#This Row],[TargetID]],5)="maxed"),TRUE, COUNTIF(tblChecklist[TargetID], $A261) &gt; 0)</f>
        <v>1</v>
      </c>
      <c r="E2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$A261) &gt; 0)</f>
        <v>1</v>
      </c>
      <c r="F261" s="48" t="b">
        <f ca="1">COUNTIF(tblDependencies[DependencyID], $A261) &gt; 0</f>
        <v>1</v>
      </c>
      <c r="G261" s="48" t="b">
        <f ca="1">COUNTIF(tblQuestObjectives[QuestTargetID], $A261) &gt; 0</f>
        <v>1</v>
      </c>
      <c r="H261" s="48" t="b">
        <f ca="1">COUNTIF(tblQuestObjectives[ObjectiveID], $A261) &gt; 0</f>
        <v>0</v>
      </c>
      <c r="I261" s="48" t="b">
        <f ca="1">COUNTIF(tblTargetStatus[TargetID], $A261) &gt; 0</f>
        <v>1</v>
      </c>
      <c r="J261" s="48" t="b">
        <f ca="1">COUNTIF(tblCost[TargetID], $A261) &gt; 0</f>
        <v>0</v>
      </c>
      <c r="K261" s="48" t="b">
        <f ca="1">COUNTIF(tblStates[StateID], $A261) &gt; 0</f>
        <v>0</v>
      </c>
      <c r="L261" s="48" t="b">
        <f t="shared" ca="1" si="9"/>
        <v>1</v>
      </c>
      <c r="M261" s="48" t="b">
        <f ca="1">IF(tblValidation[[#This Row],[TargetID]]="","",COUNTIF(tblTargets[TargetID],A261)&gt;1)</f>
        <v>0</v>
      </c>
      <c r="N261" s="48" t="b">
        <f ca="1">IF(tblValidation[[#This Row],[TargetID]]="","",COUNTIF(tblStates[StateID],tblValidation[[#This Row],[TargetID]])&gt;1)</f>
        <v>0</v>
      </c>
      <c r="O261" s="48" t="b" cm="1">
        <f t="array" aca="1" ref="O2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1" s="48"/>
      <c r="R261" s="48"/>
      <c r="S261" s="48"/>
      <c r="T261" s="48"/>
      <c r="V261" s="2" t="str">
        <f ca="1"/>
        <v>quest.ahead_of_time_chapter_4.finished</v>
      </c>
      <c r="X261" s="2" t="str">
        <f ca="1"/>
        <v>quest.ahead_of_time_chapter_4.finished</v>
      </c>
      <c r="Y261" s="2" t="str">
        <f ca="1"/>
        <v>quest.journey_through_japan_by_train.accepted</v>
      </c>
      <c r="Z261" s="2" t="str">
        <f ca="1"/>
        <v>quest.ahead_of_time_chapter_5.accepted</v>
      </c>
      <c r="AA261" s="2" t="str">
        <f ca="1"/>
        <v>quest.shoguns_katana_chapter_2.finished</v>
      </c>
      <c r="AD261" s="2" t="str">
        <f ca="1"/>
        <v>quest.ahead_of_time_chapter_4.finished</v>
      </c>
      <c r="AE261" s="2" t="str">
        <f ca="1"/>
        <v>tech.alchemists_hut.metamorphosis</v>
      </c>
    </row>
    <row r="262" spans="1:31">
      <c r="A262" t="str">
        <f t="shared" ca="1" si="8"/>
        <v>quest.ahead_of_time_chapter_5.accepted</v>
      </c>
      <c r="B262" t="str">
        <f ca="1">_xlfn.XLOOKUP(tblValidation[[#This Row],[TargetID]],tblTargets[TargetID],tblTargets[TargetType],"")</f>
        <v>QUEST</v>
      </c>
      <c r="C262" s="48" t="b">
        <f ca="1">COUNTIF(tblTargets[TargetID], $A262) &gt; 0</f>
        <v>1</v>
      </c>
      <c r="D262" s="48" t="b">
        <f ca="1">IF(OR(LEFT(tblValidation[[#This Row],[TargetID]],10)="state.CHAR",RIGHT(tblValidation[[#This Row],[TargetID]],5)="maxed"),TRUE, COUNTIF(tblChecklist[TargetID], $A262) &gt; 0)</f>
        <v>1</v>
      </c>
      <c r="E2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$A262) &gt; 0)</f>
        <v>1</v>
      </c>
      <c r="F262" s="48" t="b">
        <f ca="1">COUNTIF(tblDependencies[DependencyID], $A262) &gt; 0</f>
        <v>1</v>
      </c>
      <c r="G262" s="48" t="b">
        <f ca="1">COUNTIF(tblQuestObjectives[QuestTargetID], $A262) &gt; 0</f>
        <v>0</v>
      </c>
      <c r="H262" s="48" t="b">
        <f ca="1">COUNTIF(tblQuestObjectives[ObjectiveID], $A262) &gt; 0</f>
        <v>0</v>
      </c>
      <c r="I262" s="48" t="b">
        <f ca="1">COUNTIF(tblTargetStatus[TargetID], $A262) &gt; 0</f>
        <v>1</v>
      </c>
      <c r="J262" s="48" t="b">
        <f ca="1">COUNTIF(tblCost[TargetID], $A262) &gt; 0</f>
        <v>0</v>
      </c>
      <c r="K262" s="48" t="b">
        <f ca="1">COUNTIF(tblStates[StateID], $A262) &gt; 0</f>
        <v>0</v>
      </c>
      <c r="L262" s="48" t="b">
        <f t="shared" ca="1" si="9"/>
        <v>1</v>
      </c>
      <c r="M262" s="48" t="b">
        <f ca="1">IF(tblValidation[[#This Row],[TargetID]]="","",COUNTIF(tblTargets[TargetID],A262)&gt;1)</f>
        <v>0</v>
      </c>
      <c r="N262" s="48" t="b">
        <f ca="1">IF(tblValidation[[#This Row],[TargetID]]="","",COUNTIF(tblStates[StateID],tblValidation[[#This Row],[TargetID]])&gt;1)</f>
        <v>0</v>
      </c>
      <c r="O262" s="48" t="b" cm="1">
        <f t="array" aca="1" ref="O2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2" s="48"/>
      <c r="R262" s="48"/>
      <c r="S262" s="48"/>
      <c r="T262" s="48"/>
      <c r="V262" s="2" t="str">
        <f ca="1"/>
        <v>quest.ahead_of_time_chapter_5.accepted</v>
      </c>
      <c r="X262" s="2" t="str">
        <f ca="1"/>
        <v>quest.ahead_of_time_chapter_5.accepted</v>
      </c>
      <c r="Y262" s="2" t="str">
        <f ca="1"/>
        <v>quest.journey_through_japan_by_train.finished</v>
      </c>
      <c r="Z262" s="2" t="str">
        <f ca="1"/>
        <v>quest.ahead_of_time_chapter_5.finished</v>
      </c>
      <c r="AA262" s="2" t="str">
        <f ca="1"/>
        <v>quest.shoguns_katana_chapter_3.accepted</v>
      </c>
      <c r="AD262" s="2" t="str">
        <f ca="1"/>
        <v>quest.ahead_of_time_chapter_5.accepted</v>
      </c>
      <c r="AE262" s="2" t="str">
        <f ca="1"/>
        <v>tech.alchemists_hut.perfect_fertilizer</v>
      </c>
    </row>
    <row r="263" spans="1:31">
      <c r="A263" t="str">
        <f t="shared" ca="1" si="8"/>
        <v>quest.ahead_of_time_chapter_5.finished</v>
      </c>
      <c r="B263" t="str">
        <f ca="1">_xlfn.XLOOKUP(tblValidation[[#This Row],[TargetID]],tblTargets[TargetID],tblTargets[TargetType],"")</f>
        <v>QUEST</v>
      </c>
      <c r="C263" s="48" t="b">
        <f ca="1">COUNTIF(tblTargets[TargetID], $A263) &gt; 0</f>
        <v>1</v>
      </c>
      <c r="D263" s="48" t="b">
        <f ca="1">IF(OR(LEFT(tblValidation[[#This Row],[TargetID]],10)="state.CHAR",RIGHT(tblValidation[[#This Row],[TargetID]],5)="maxed"),TRUE, COUNTIF(tblChecklist[TargetID], $A263) &gt; 0)</f>
        <v>1</v>
      </c>
      <c r="E2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$A263) &gt; 0)</f>
        <v>1</v>
      </c>
      <c r="F263" s="48" t="b">
        <f ca="1">COUNTIF(tblDependencies[DependencyID], $A263) &gt; 0</f>
        <v>1</v>
      </c>
      <c r="G263" s="48" t="b">
        <f ca="1">COUNTIF(tblQuestObjectives[QuestTargetID], $A263) &gt; 0</f>
        <v>1</v>
      </c>
      <c r="H263" s="48" t="b">
        <f ca="1">COUNTIF(tblQuestObjectives[ObjectiveID], $A263) &gt; 0</f>
        <v>0</v>
      </c>
      <c r="I263" s="48" t="b">
        <f ca="1">COUNTIF(tblTargetStatus[TargetID], $A263) &gt; 0</f>
        <v>1</v>
      </c>
      <c r="J263" s="48" t="b">
        <f ca="1">COUNTIF(tblCost[TargetID], $A263) &gt; 0</f>
        <v>0</v>
      </c>
      <c r="K263" s="48" t="b">
        <f ca="1">COUNTIF(tblStates[StateID], $A263) &gt; 0</f>
        <v>0</v>
      </c>
      <c r="L263" s="48" t="b">
        <f t="shared" ca="1" si="9"/>
        <v>1</v>
      </c>
      <c r="M263" s="48" t="b">
        <f ca="1">IF(tblValidation[[#This Row],[TargetID]]="","",COUNTIF(tblTargets[TargetID],A263)&gt;1)</f>
        <v>0</v>
      </c>
      <c r="N263" s="48" t="b">
        <f ca="1">IF(tblValidation[[#This Row],[TargetID]]="","",COUNTIF(tblStates[StateID],tblValidation[[#This Row],[TargetID]])&gt;1)</f>
        <v>0</v>
      </c>
      <c r="O263" s="48" t="b" cm="1">
        <f t="array" aca="1" ref="O2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3" s="48"/>
      <c r="R263" s="48"/>
      <c r="S263" s="48"/>
      <c r="T263" s="48"/>
      <c r="V263" s="2" t="str">
        <f ca="1"/>
        <v>quest.ahead_of_time_chapter_5.finished</v>
      </c>
      <c r="X263" s="2" t="str">
        <f ca="1"/>
        <v>quest.ahead_of_time_chapter_5.finished</v>
      </c>
      <c r="Y263" s="2" t="str">
        <f ca="1"/>
        <v>quest.letter_from_the_dark_lady.accepted</v>
      </c>
      <c r="Z263" s="2" t="str">
        <f ca="1"/>
        <v>quest.build_the_guild.finished</v>
      </c>
      <c r="AA263" s="2" t="str">
        <f ca="1"/>
        <v>quest.shoguns_katana_chapter_3.finished</v>
      </c>
      <c r="AD263" s="2" t="str">
        <f ca="1"/>
        <v>quest.ahead_of_time_chapter_5.finished</v>
      </c>
      <c r="AE263" s="2" t="str">
        <f ca="1"/>
        <v>tech.alchemists_hut.potion_ambrosia</v>
      </c>
    </row>
    <row r="264" spans="1:31">
      <c r="A264" t="str">
        <f t="shared" ca="1" si="8"/>
        <v>quest.build_the_guild.accepted</v>
      </c>
      <c r="B264" t="str">
        <f ca="1">_xlfn.XLOOKUP(tblValidation[[#This Row],[TargetID]],tblTargets[TargetID],tblTargets[TargetType],"")</f>
        <v>QUEST</v>
      </c>
      <c r="C264" s="48" t="b">
        <f ca="1">COUNTIF(tblTargets[TargetID], $A264) &gt; 0</f>
        <v>1</v>
      </c>
      <c r="D264" s="48" t="b">
        <f ca="1">IF(OR(LEFT(tblValidation[[#This Row],[TargetID]],10)="state.CHAR",RIGHT(tblValidation[[#This Row],[TargetID]],5)="maxed"),TRUE, COUNTIF(tblChecklist[TargetID], $A264) &gt; 0)</f>
        <v>1</v>
      </c>
      <c r="E2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$A264) &gt; 0)</f>
        <v>1</v>
      </c>
      <c r="F264" s="48" t="b">
        <f ca="1">COUNTIF(tblDependencies[DependencyID], $A264) &gt; 0</f>
        <v>1</v>
      </c>
      <c r="G264" s="48" t="b">
        <f ca="1">COUNTIF(tblQuestObjectives[QuestTargetID], $A264) &gt; 0</f>
        <v>0</v>
      </c>
      <c r="H264" s="48" t="b">
        <f ca="1">COUNTIF(tblQuestObjectives[ObjectiveID], $A264) &gt; 0</f>
        <v>0</v>
      </c>
      <c r="I264" s="48" t="b">
        <f ca="1">COUNTIF(tblTargetStatus[TargetID], $A264) &gt; 0</f>
        <v>1</v>
      </c>
      <c r="J264" s="48" t="b">
        <f ca="1">COUNTIF(tblCost[TargetID], $A264) &gt; 0</f>
        <v>0</v>
      </c>
      <c r="K264" s="48" t="b">
        <f ca="1">COUNTIF(tblStates[StateID], $A264) &gt; 0</f>
        <v>0</v>
      </c>
      <c r="L264" s="48" t="b">
        <f t="shared" ca="1" si="9"/>
        <v>1</v>
      </c>
      <c r="M264" s="48" t="b">
        <f ca="1">IF(tblValidation[[#This Row],[TargetID]]="","",COUNTIF(tblTargets[TargetID],A264)&gt;1)</f>
        <v>0</v>
      </c>
      <c r="N264" s="48" t="b">
        <f ca="1">IF(tblValidation[[#This Row],[TargetID]]="","",COUNTIF(tblStates[StateID],tblValidation[[#This Row],[TargetID]])&gt;1)</f>
        <v>0</v>
      </c>
      <c r="O264" s="48" t="b" cm="1">
        <f t="array" aca="1" ref="O2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4" s="48"/>
      <c r="R264" s="48"/>
      <c r="S264" s="48"/>
      <c r="T264" s="48"/>
      <c r="V264" s="2" t="str">
        <f ca="1"/>
        <v>quest.build_the_guild.accepted</v>
      </c>
      <c r="X264" s="2" t="str">
        <f ca="1"/>
        <v>quest.build_the_guild.accepted</v>
      </c>
      <c r="Y264" s="2" t="str">
        <f ca="1"/>
        <v>quest.letter_from_the_dark_lady.finished</v>
      </c>
      <c r="Z264" s="2" t="str">
        <f ca="1"/>
        <v>quest.build_the_pagoda.finished</v>
      </c>
      <c r="AA264" s="2" t="str">
        <f ca="1"/>
        <v>quest.shoguns_katana_chapter_4.accepted</v>
      </c>
      <c r="AD264" s="2" t="str">
        <f ca="1"/>
        <v>quest.build_the_guild.accepted</v>
      </c>
      <c r="AE264" s="2" t="str">
        <f ca="1"/>
        <v>tech.alchemists_hut.potion_berserker_rage</v>
      </c>
    </row>
    <row r="265" spans="1:31">
      <c r="A265" t="str">
        <f t="shared" ca="1" si="8"/>
        <v>quest.build_the_guild.finished</v>
      </c>
      <c r="B265" t="str">
        <f ca="1">_xlfn.XLOOKUP(tblValidation[[#This Row],[TargetID]],tblTargets[TargetID],tblTargets[TargetType],"")</f>
        <v>QUEST</v>
      </c>
      <c r="C265" s="48" t="b">
        <f ca="1">COUNTIF(tblTargets[TargetID], $A265) &gt; 0</f>
        <v>1</v>
      </c>
      <c r="D265" s="48" t="b">
        <f ca="1">IF(OR(LEFT(tblValidation[[#This Row],[TargetID]],10)="state.CHAR",RIGHT(tblValidation[[#This Row],[TargetID]],5)="maxed"),TRUE, COUNTIF(tblChecklist[TargetID], $A265) &gt; 0)</f>
        <v>1</v>
      </c>
      <c r="E2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$A265) &gt; 0)</f>
        <v>1</v>
      </c>
      <c r="F265" s="48" t="b">
        <f ca="1">COUNTIF(tblDependencies[DependencyID], $A265) &gt; 0</f>
        <v>0</v>
      </c>
      <c r="G265" s="48" t="b">
        <f ca="1">COUNTIF(tblQuestObjectives[QuestTargetID], $A265) &gt; 0</f>
        <v>1</v>
      </c>
      <c r="H265" s="48" t="b">
        <f ca="1">COUNTIF(tblQuestObjectives[ObjectiveID], $A265) &gt; 0</f>
        <v>0</v>
      </c>
      <c r="I265" s="48" t="b">
        <f ca="1">COUNTIF(tblTargetStatus[TargetID], $A265) &gt; 0</f>
        <v>1</v>
      </c>
      <c r="J265" s="48" t="b">
        <f ca="1">COUNTIF(tblCost[TargetID], $A265) &gt; 0</f>
        <v>0</v>
      </c>
      <c r="K265" s="48" t="b">
        <f ca="1">COUNTIF(tblStates[StateID], $A265) &gt; 0</f>
        <v>0</v>
      </c>
      <c r="L265" s="48" t="b">
        <f t="shared" ca="1" si="9"/>
        <v>1</v>
      </c>
      <c r="M265" s="48" t="b">
        <f ca="1">IF(tblValidation[[#This Row],[TargetID]]="","",COUNTIF(tblTargets[TargetID],A265)&gt;1)</f>
        <v>0</v>
      </c>
      <c r="N265" s="48" t="b">
        <f ca="1">IF(tblValidation[[#This Row],[TargetID]]="","",COUNTIF(tblStates[StateID],tblValidation[[#This Row],[TargetID]])&gt;1)</f>
        <v>0</v>
      </c>
      <c r="O265" s="48" t="b" cm="1">
        <f t="array" aca="1" ref="O2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5" s="48"/>
      <c r="R265" s="48"/>
      <c r="S265" s="48"/>
      <c r="T265" s="48"/>
      <c r="V265" s="2" t="str">
        <f ca="1"/>
        <v>quest.build_the_guild.finished</v>
      </c>
      <c r="X265" s="2" t="str">
        <f ca="1"/>
        <v>quest.build_the_guild.finished</v>
      </c>
      <c r="Y265" s="2" t="str">
        <f ca="1"/>
        <v>quest.magic_beans.accepted</v>
      </c>
      <c r="Z265" s="2" t="str">
        <f ca="1"/>
        <v>quest.culinary_battle.accepted</v>
      </c>
      <c r="AA265" s="2" t="str">
        <f ca="1"/>
        <v>quest.shoguns_katana_chapter_4.finished</v>
      </c>
      <c r="AD265" s="2" t="str">
        <f ca="1"/>
        <v>quest.build_the_guild.finished</v>
      </c>
      <c r="AE265" s="2" t="str">
        <f ca="1"/>
        <v>tech.alchemists_hut.potion_of_energy</v>
      </c>
    </row>
    <row r="266" spans="1:31">
      <c r="A266" t="str">
        <f t="shared" ca="1" si="8"/>
        <v>quest.build_the_pagoda.accepted</v>
      </c>
      <c r="B266" t="str">
        <f ca="1">_xlfn.XLOOKUP(tblValidation[[#This Row],[TargetID]],tblTargets[TargetID],tblTargets[TargetType],"")</f>
        <v>QUEST</v>
      </c>
      <c r="C266" s="48" t="b">
        <f ca="1">COUNTIF(tblTargets[TargetID], $A266) &gt; 0</f>
        <v>1</v>
      </c>
      <c r="D266" s="48" t="b">
        <f ca="1">IF(OR(LEFT(tblValidation[[#This Row],[TargetID]],10)="state.CHAR",RIGHT(tblValidation[[#This Row],[TargetID]],5)="maxed"),TRUE, COUNTIF(tblChecklist[TargetID], $A266) &gt; 0)</f>
        <v>1</v>
      </c>
      <c r="E2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$A266) &gt; 0)</f>
        <v>1</v>
      </c>
      <c r="F266" s="48" t="b">
        <f ca="1">COUNTIF(tblDependencies[DependencyID], $A266) &gt; 0</f>
        <v>1</v>
      </c>
      <c r="G266" s="48" t="b">
        <f ca="1">COUNTIF(tblQuestObjectives[QuestTargetID], $A266) &gt; 0</f>
        <v>0</v>
      </c>
      <c r="H266" s="48" t="b">
        <f ca="1">COUNTIF(tblQuestObjectives[ObjectiveID], $A266) &gt; 0</f>
        <v>0</v>
      </c>
      <c r="I266" s="48" t="b">
        <f ca="1">COUNTIF(tblTargetStatus[TargetID], $A266) &gt; 0</f>
        <v>1</v>
      </c>
      <c r="J266" s="48" t="b">
        <f ca="1">COUNTIF(tblCost[TargetID], $A266) &gt; 0</f>
        <v>0</v>
      </c>
      <c r="K266" s="48" t="b">
        <f ca="1">COUNTIF(tblStates[StateID], $A266) &gt; 0</f>
        <v>0</v>
      </c>
      <c r="L266" s="48" t="b">
        <f t="shared" ca="1" si="9"/>
        <v>1</v>
      </c>
      <c r="M266" s="48" t="b">
        <f ca="1">IF(tblValidation[[#This Row],[TargetID]]="","",COUNTIF(tblTargets[TargetID],A266)&gt;1)</f>
        <v>0</v>
      </c>
      <c r="N266" s="48" t="b">
        <f ca="1">IF(tblValidation[[#This Row],[TargetID]]="","",COUNTIF(tblStates[StateID],tblValidation[[#This Row],[TargetID]])&gt;1)</f>
        <v>0</v>
      </c>
      <c r="O266" s="48" t="b" cm="1">
        <f t="array" aca="1" ref="O2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6" s="48"/>
      <c r="R266" s="48"/>
      <c r="S266" s="48"/>
      <c r="T266" s="48"/>
      <c r="V266" s="2" t="str">
        <f ca="1"/>
        <v>quest.build_the_pagoda.accepted</v>
      </c>
      <c r="X266" s="2" t="str">
        <f ca="1"/>
        <v>quest.build_the_pagoda.accepted</v>
      </c>
      <c r="Y266" s="2" t="str">
        <f ca="1"/>
        <v>quest.magic_beans.finished</v>
      </c>
      <c r="Z266" s="2" t="str">
        <f ca="1"/>
        <v>quest.culinary_battle.finished</v>
      </c>
      <c r="AA266" s="2" t="str">
        <f ca="1"/>
        <v>quest.shoguns_katana_chapter_5.accepted</v>
      </c>
      <c r="AD266" s="2" t="str">
        <f ca="1"/>
        <v>quest.build_the_pagoda.accepted</v>
      </c>
      <c r="AE266" s="2" t="str">
        <f ca="1"/>
        <v>tech.alchemists_hut.potion_of_healing</v>
      </c>
    </row>
    <row r="267" spans="1:31">
      <c r="A267" t="str">
        <f t="shared" ca="1" si="8"/>
        <v>quest.build_the_pagoda.finished</v>
      </c>
      <c r="B267" t="str">
        <f ca="1">_xlfn.XLOOKUP(tblValidation[[#This Row],[TargetID]],tblTargets[TargetID],tblTargets[TargetType],"")</f>
        <v>QUEST</v>
      </c>
      <c r="C267" s="48" t="b">
        <f ca="1">COUNTIF(tblTargets[TargetID], $A267) &gt; 0</f>
        <v>1</v>
      </c>
      <c r="D267" s="48" t="b">
        <f ca="1">IF(OR(LEFT(tblValidation[[#This Row],[TargetID]],10)="state.CHAR",RIGHT(tblValidation[[#This Row],[TargetID]],5)="maxed"),TRUE, COUNTIF(tblChecklist[TargetID], $A267) &gt; 0)</f>
        <v>1</v>
      </c>
      <c r="E2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$A267) &gt; 0)</f>
        <v>1</v>
      </c>
      <c r="F267" s="48" t="b">
        <f ca="1">COUNTIF(tblDependencies[DependencyID], $A267) &gt; 0</f>
        <v>0</v>
      </c>
      <c r="G267" s="48" t="b">
        <f ca="1">COUNTIF(tblQuestObjectives[QuestTargetID], $A267) &gt; 0</f>
        <v>1</v>
      </c>
      <c r="H267" s="48" t="b">
        <f ca="1">COUNTIF(tblQuestObjectives[ObjectiveID], $A267) &gt; 0</f>
        <v>0</v>
      </c>
      <c r="I267" s="48" t="b">
        <f ca="1">COUNTIF(tblTargetStatus[TargetID], $A267) &gt; 0</f>
        <v>1</v>
      </c>
      <c r="J267" s="48" t="b">
        <f ca="1">COUNTIF(tblCost[TargetID], $A267) &gt; 0</f>
        <v>0</v>
      </c>
      <c r="K267" s="48" t="b">
        <f ca="1">COUNTIF(tblStates[StateID], $A267) &gt; 0</f>
        <v>0</v>
      </c>
      <c r="L267" s="48" t="b">
        <f t="shared" ca="1" si="9"/>
        <v>1</v>
      </c>
      <c r="M267" s="48" t="b">
        <f ca="1">IF(tblValidation[[#This Row],[TargetID]]="","",COUNTIF(tblTargets[TargetID],A267)&gt;1)</f>
        <v>0</v>
      </c>
      <c r="N267" s="48" t="b">
        <f ca="1">IF(tblValidation[[#This Row],[TargetID]]="","",COUNTIF(tblStates[StateID],tblValidation[[#This Row],[TargetID]])&gt;1)</f>
        <v>0</v>
      </c>
      <c r="O267" s="48" t="b" cm="1">
        <f t="array" aca="1" ref="O2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7" s="48"/>
      <c r="R267" s="48"/>
      <c r="S267" s="48"/>
      <c r="T267" s="48"/>
      <c r="V267" s="2" t="str">
        <f ca="1"/>
        <v>quest.build_the_pagoda.finished</v>
      </c>
      <c r="X267" s="2" t="str">
        <f ca="1"/>
        <v>quest.build_the_pagoda.finished</v>
      </c>
      <c r="Y267" s="2" t="str">
        <f ca="1"/>
        <v>quest.once_upon_a_forest_chapter_1.accepted</v>
      </c>
      <c r="Z267" s="2" t="str">
        <f ca="1"/>
        <v>quest.dragon_teeth.accepted</v>
      </c>
      <c r="AA267" s="2" t="str">
        <f ca="1"/>
        <v>quest.shoguns_katana_chapter_5.finished</v>
      </c>
      <c r="AD267" s="2" t="str">
        <f ca="1"/>
        <v>quest.build_the_pagoda.finished</v>
      </c>
      <c r="AE267" s="2" t="str">
        <f ca="1"/>
        <v>tech.alchemists_hut.potion_of_healing_lvl_2</v>
      </c>
    </row>
    <row r="268" spans="1:31">
      <c r="A268" t="str">
        <f t="shared" ca="1" si="8"/>
        <v>quest.culinary_battle.accepted</v>
      </c>
      <c r="B268" t="str">
        <f ca="1">_xlfn.XLOOKUP(tblValidation[[#This Row],[TargetID]],tblTargets[TargetID],tblTargets[TargetType],"")</f>
        <v>QUEST</v>
      </c>
      <c r="C268" s="48" t="b">
        <f ca="1">COUNTIF(tblTargets[TargetID], $A268) &gt; 0</f>
        <v>1</v>
      </c>
      <c r="D268" s="48" t="b">
        <f ca="1">IF(OR(LEFT(tblValidation[[#This Row],[TargetID]],10)="state.CHAR",RIGHT(tblValidation[[#This Row],[TargetID]],5)="maxed"),TRUE, COUNTIF(tblChecklist[TargetID], $A268) &gt; 0)</f>
        <v>1</v>
      </c>
      <c r="E2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$A268) &gt; 0)</f>
        <v>1</v>
      </c>
      <c r="F268" s="48" t="b">
        <f ca="1">COUNTIF(tblDependencies[DependencyID], $A268) &gt; 0</f>
        <v>1</v>
      </c>
      <c r="G268" s="48" t="b">
        <f ca="1">COUNTIF(tblQuestObjectives[QuestTargetID], $A268) &gt; 0</f>
        <v>0</v>
      </c>
      <c r="H268" s="48" t="b">
        <f ca="1">COUNTIF(tblQuestObjectives[ObjectiveID], $A268) &gt; 0</f>
        <v>0</v>
      </c>
      <c r="I268" s="48" t="b">
        <f ca="1">COUNTIF(tblTargetStatus[TargetID], $A268) &gt; 0</f>
        <v>1</v>
      </c>
      <c r="J268" s="48" t="b">
        <f ca="1">COUNTIF(tblCost[TargetID], $A268) &gt; 0</f>
        <v>0</v>
      </c>
      <c r="K268" s="48" t="b">
        <f ca="1">COUNTIF(tblStates[StateID], $A268) &gt; 0</f>
        <v>0</v>
      </c>
      <c r="L268" s="48" t="b">
        <f t="shared" ca="1" si="9"/>
        <v>1</v>
      </c>
      <c r="M268" s="48" t="b">
        <f ca="1">IF(tblValidation[[#This Row],[TargetID]]="","",COUNTIF(tblTargets[TargetID],A268)&gt;1)</f>
        <v>0</v>
      </c>
      <c r="N268" s="48" t="b">
        <f ca="1">IF(tblValidation[[#This Row],[TargetID]]="","",COUNTIF(tblStates[StateID],tblValidation[[#This Row],[TargetID]])&gt;1)</f>
        <v>0</v>
      </c>
      <c r="O268" s="48" t="b" cm="1">
        <f t="array" aca="1" ref="O2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8" s="48"/>
      <c r="R268" s="48"/>
      <c r="S268" s="48"/>
      <c r="T268" s="48"/>
      <c r="V268" s="2" t="str">
        <f ca="1"/>
        <v>quest.culinary_battle.accepted</v>
      </c>
      <c r="X268" s="2" t="str">
        <f ca="1"/>
        <v>quest.culinary_battle.accepted</v>
      </c>
      <c r="Y268" s="2" t="str">
        <f ca="1"/>
        <v>quest.once_upon_a_forest_chapter_1.finished</v>
      </c>
      <c r="Z268" s="2" t="str">
        <f ca="1"/>
        <v>quest.dragon_teeth.finished</v>
      </c>
      <c r="AA268" s="2" t="str">
        <f ca="1"/>
        <v>quest.shoguns_katana_chapter_6.accepted</v>
      </c>
      <c r="AD268" s="2" t="str">
        <f ca="1"/>
        <v>quest.culinary_battle.accepted</v>
      </c>
      <c r="AE268" s="2" t="str">
        <f ca="1"/>
        <v>tech.alchemists_hut.potion_of_mental_power</v>
      </c>
    </row>
    <row r="269" spans="1:31">
      <c r="A269" t="str">
        <f t="shared" ca="1" si="8"/>
        <v>quest.culinary_battle.finished</v>
      </c>
      <c r="B269" t="str">
        <f ca="1">_xlfn.XLOOKUP(tblValidation[[#This Row],[TargetID]],tblTargets[TargetID],tblTargets[TargetType],"")</f>
        <v>QUEST</v>
      </c>
      <c r="C269" s="48" t="b">
        <f ca="1">COUNTIF(tblTargets[TargetID], $A269) &gt; 0</f>
        <v>1</v>
      </c>
      <c r="D269" s="48" t="b">
        <f ca="1">IF(OR(LEFT(tblValidation[[#This Row],[TargetID]],10)="state.CHAR",RIGHT(tblValidation[[#This Row],[TargetID]],5)="maxed"),TRUE, COUNTIF(tblChecklist[TargetID], $A269) &gt; 0)</f>
        <v>1</v>
      </c>
      <c r="E2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$A269) &gt; 0)</f>
        <v>1</v>
      </c>
      <c r="F269" s="48" t="b">
        <f ca="1">COUNTIF(tblDependencies[DependencyID], $A269) &gt; 0</f>
        <v>0</v>
      </c>
      <c r="G269" s="48" t="b">
        <f ca="1">COUNTIF(tblQuestObjectives[QuestTargetID], $A269) &gt; 0</f>
        <v>1</v>
      </c>
      <c r="H269" s="48" t="b">
        <f ca="1">COUNTIF(tblQuestObjectives[ObjectiveID], $A269) &gt; 0</f>
        <v>0</v>
      </c>
      <c r="I269" s="48" t="b">
        <f ca="1">COUNTIF(tblTargetStatus[TargetID], $A269) &gt; 0</f>
        <v>1</v>
      </c>
      <c r="J269" s="48" t="b">
        <f ca="1">COUNTIF(tblCost[TargetID], $A269) &gt; 0</f>
        <v>1</v>
      </c>
      <c r="K269" s="48" t="b">
        <f ca="1">COUNTIF(tblStates[StateID], $A269) &gt; 0</f>
        <v>0</v>
      </c>
      <c r="L269" s="48" t="b">
        <f t="shared" ca="1" si="9"/>
        <v>1</v>
      </c>
      <c r="M269" s="48" t="b">
        <f ca="1">IF(tblValidation[[#This Row],[TargetID]]="","",COUNTIF(tblTargets[TargetID],A269)&gt;1)</f>
        <v>0</v>
      </c>
      <c r="N269" s="48" t="b">
        <f ca="1">IF(tblValidation[[#This Row],[TargetID]]="","",COUNTIF(tblStates[StateID],tblValidation[[#This Row],[TargetID]])&gt;1)</f>
        <v>0</v>
      </c>
      <c r="O269" s="48" t="b" cm="1">
        <f t="array" aca="1" ref="O2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9" s="48"/>
      <c r="R269" s="48"/>
      <c r="S269" s="48"/>
      <c r="T269" s="48"/>
      <c r="V269" s="2" t="str">
        <f ca="1"/>
        <v>quest.culinary_battle.finished</v>
      </c>
      <c r="X269" s="2" t="str">
        <f ca="1"/>
        <v>quest.culinary_battle.finished</v>
      </c>
      <c r="Y269" s="2" t="str">
        <f ca="1"/>
        <v>quest.once_upon_a_forest_chapter_10.accepted</v>
      </c>
      <c r="Z269" s="2" t="str">
        <f ca="1"/>
        <v>quest.festival.accepted</v>
      </c>
      <c r="AA269" s="2" t="str">
        <f ca="1"/>
        <v>quest.shoguns_katana_chapter_6.finished</v>
      </c>
      <c r="AD269" s="2" t="str">
        <f ca="1"/>
        <v>quest.culinary_battle.finished</v>
      </c>
      <c r="AE269" s="2" t="str">
        <f ca="1"/>
        <v>tech.alchemists_hut.synthetic_fertilizer</v>
      </c>
    </row>
    <row r="270" spans="1:31">
      <c r="A270" t="str">
        <f t="shared" ca="1" si="8"/>
        <v>quest.dragon_teeth.accepted</v>
      </c>
      <c r="B270" t="str">
        <f ca="1">_xlfn.XLOOKUP(tblValidation[[#This Row],[TargetID]],tblTargets[TargetID],tblTargets[TargetType],"")</f>
        <v>QUEST</v>
      </c>
      <c r="C270" s="48" t="b">
        <f ca="1">COUNTIF(tblTargets[TargetID], $A270) &gt; 0</f>
        <v>1</v>
      </c>
      <c r="D270" s="48" t="b">
        <f ca="1">IF(OR(LEFT(tblValidation[[#This Row],[TargetID]],10)="state.CHAR",RIGHT(tblValidation[[#This Row],[TargetID]],5)="maxed"),TRUE, COUNTIF(tblChecklist[TargetID], $A270) &gt; 0)</f>
        <v>1</v>
      </c>
      <c r="E2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$A270) &gt; 0)</f>
        <v>1</v>
      </c>
      <c r="F270" s="48" t="b">
        <f ca="1">COUNTIF(tblDependencies[DependencyID], $A270) &gt; 0</f>
        <v>1</v>
      </c>
      <c r="G270" s="48" t="b">
        <f ca="1">COUNTIF(tblQuestObjectives[QuestTargetID], $A270) &gt; 0</f>
        <v>0</v>
      </c>
      <c r="H270" s="48" t="b">
        <f ca="1">COUNTIF(tblQuestObjectives[ObjectiveID], $A270) &gt; 0</f>
        <v>0</v>
      </c>
      <c r="I270" s="48" t="b">
        <f ca="1">COUNTIF(tblTargetStatus[TargetID], $A270) &gt; 0</f>
        <v>1</v>
      </c>
      <c r="J270" s="48" t="b">
        <f ca="1">COUNTIF(tblCost[TargetID], $A270) &gt; 0</f>
        <v>0</v>
      </c>
      <c r="K270" s="48" t="b">
        <f ca="1">COUNTIF(tblStates[StateID], $A270) &gt; 0</f>
        <v>0</v>
      </c>
      <c r="L270" s="48" t="b">
        <f t="shared" ca="1" si="9"/>
        <v>1</v>
      </c>
      <c r="M270" s="48" t="b">
        <f ca="1">IF(tblValidation[[#This Row],[TargetID]]="","",COUNTIF(tblTargets[TargetID],A270)&gt;1)</f>
        <v>0</v>
      </c>
      <c r="N270" s="48" t="b">
        <f ca="1">IF(tblValidation[[#This Row],[TargetID]]="","",COUNTIF(tblStates[StateID],tblValidation[[#This Row],[TargetID]])&gt;1)</f>
        <v>0</v>
      </c>
      <c r="O270" s="48" t="b" cm="1">
        <f t="array" aca="1" ref="O2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0" s="48"/>
      <c r="R270" s="48"/>
      <c r="S270" s="48"/>
      <c r="T270" s="48"/>
      <c r="V270" s="2" t="str">
        <f ca="1"/>
        <v>quest.dragon_teeth.accepted</v>
      </c>
      <c r="X270" s="2" t="str">
        <f ca="1"/>
        <v>quest.dragon_teeth.accepted</v>
      </c>
      <c r="Y270" s="2" t="str">
        <f ca="1"/>
        <v>quest.once_upon_a_forest_chapter_10.finished</v>
      </c>
      <c r="Z270" s="2" t="str">
        <f ca="1"/>
        <v>quest.festival.finished</v>
      </c>
      <c r="AA270" s="2" t="str">
        <f ca="1"/>
        <v>quest.shoguns_katana_chapter_7.accepted</v>
      </c>
      <c r="AD270" s="2" t="str">
        <f ca="1"/>
        <v>quest.dragon_teeth.accepted</v>
      </c>
      <c r="AE270" s="2" t="str">
        <f ca="1"/>
        <v>tech.bridge.koi_fish</v>
      </c>
    </row>
    <row r="271" spans="1:31">
      <c r="A271" t="str">
        <f t="shared" ca="1" si="8"/>
        <v>quest.dragon_teeth.finished</v>
      </c>
      <c r="B271" t="str">
        <f ca="1">_xlfn.XLOOKUP(tblValidation[[#This Row],[TargetID]],tblTargets[TargetID],tblTargets[TargetType],"")</f>
        <v>QUEST</v>
      </c>
      <c r="C271" s="48" t="b">
        <f ca="1">COUNTIF(tblTargets[TargetID], $A271) &gt; 0</f>
        <v>1</v>
      </c>
      <c r="D271" s="48" t="b">
        <f ca="1">IF(OR(LEFT(tblValidation[[#This Row],[TargetID]],10)="state.CHAR",RIGHT(tblValidation[[#This Row],[TargetID]],5)="maxed"),TRUE, COUNTIF(tblChecklist[TargetID], $A271) &gt; 0)</f>
        <v>1</v>
      </c>
      <c r="E2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$A271) &gt; 0)</f>
        <v>1</v>
      </c>
      <c r="F271" s="48" t="b">
        <f ca="1">COUNTIF(tblDependencies[DependencyID], $A271) &gt; 0</f>
        <v>1</v>
      </c>
      <c r="G271" s="48" t="b">
        <f ca="1">COUNTIF(tblQuestObjectives[QuestTargetID], $A271) &gt; 0</f>
        <v>1</v>
      </c>
      <c r="H271" s="48" t="b">
        <f ca="1">COUNTIF(tblQuestObjectives[ObjectiveID], $A271) &gt; 0</f>
        <v>0</v>
      </c>
      <c r="I271" s="48" t="b">
        <f ca="1">COUNTIF(tblTargetStatus[TargetID], $A271) &gt; 0</f>
        <v>1</v>
      </c>
      <c r="J271" s="48" t="b">
        <f ca="1">COUNTIF(tblCost[TargetID], $A271) &gt; 0</f>
        <v>0</v>
      </c>
      <c r="K271" s="48" t="b">
        <f ca="1">COUNTIF(tblStates[StateID], $A271) &gt; 0</f>
        <v>0</v>
      </c>
      <c r="L271" s="48" t="b">
        <f t="shared" ca="1" si="9"/>
        <v>1</v>
      </c>
      <c r="M271" s="48" t="b">
        <f ca="1">IF(tblValidation[[#This Row],[TargetID]]="","",COUNTIF(tblTargets[TargetID],A271)&gt;1)</f>
        <v>0</v>
      </c>
      <c r="N271" s="48" t="b">
        <f ca="1">IF(tblValidation[[#This Row],[TargetID]]="","",COUNTIF(tblStates[StateID],tblValidation[[#This Row],[TargetID]])&gt;1)</f>
        <v>0</v>
      </c>
      <c r="O271" s="48" t="b" cm="1">
        <f t="array" aca="1" ref="O2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1" s="48"/>
      <c r="R271" s="48"/>
      <c r="S271" s="48"/>
      <c r="T271" s="48"/>
      <c r="V271" s="2" t="str">
        <f ca="1"/>
        <v>quest.dragon_teeth.finished</v>
      </c>
      <c r="X271" s="2" t="str">
        <f ca="1"/>
        <v>quest.dragon_teeth.finished</v>
      </c>
      <c r="Y271" s="2" t="str">
        <f ca="1"/>
        <v>quest.once_upon_a_forest_chapter_11.accepted</v>
      </c>
      <c r="Z271" s="2" t="str">
        <f ca="1"/>
        <v>quest.festival_of_beans.accepted</v>
      </c>
      <c r="AA271" s="2" t="str">
        <f ca="1"/>
        <v>quest.shoguns_katana_chapter_7.finished</v>
      </c>
      <c r="AD271" s="2" t="str">
        <f ca="1"/>
        <v>quest.dragon_teeth.finished</v>
      </c>
      <c r="AE271" s="2" t="str">
        <f ca="1"/>
        <v>tech.bridge.salmon_farming</v>
      </c>
    </row>
    <row r="272" spans="1:31">
      <c r="A272" t="str">
        <f t="shared" ca="1" si="8"/>
        <v>quest.festival.accepted</v>
      </c>
      <c r="B272" t="str">
        <f ca="1">_xlfn.XLOOKUP(tblValidation[[#This Row],[TargetID]],tblTargets[TargetID],tblTargets[TargetType],"")</f>
        <v>QUEST</v>
      </c>
      <c r="C272" s="48" t="b">
        <f ca="1">COUNTIF(tblTargets[TargetID], $A272) &gt; 0</f>
        <v>1</v>
      </c>
      <c r="D272" s="48" t="b">
        <f ca="1">IF(OR(LEFT(tblValidation[[#This Row],[TargetID]],10)="state.CHAR",RIGHT(tblValidation[[#This Row],[TargetID]],5)="maxed"),TRUE, COUNTIF(tblChecklist[TargetID], $A272) &gt; 0)</f>
        <v>1</v>
      </c>
      <c r="E2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$A272) &gt; 0)</f>
        <v>1</v>
      </c>
      <c r="F272" s="48" t="b">
        <f ca="1">COUNTIF(tblDependencies[DependencyID], $A272) &gt; 0</f>
        <v>1</v>
      </c>
      <c r="G272" s="48" t="b">
        <f ca="1">COUNTIF(tblQuestObjectives[QuestTargetID], $A272) &gt; 0</f>
        <v>0</v>
      </c>
      <c r="H272" s="48" t="b">
        <f ca="1">COUNTIF(tblQuestObjectives[ObjectiveID], $A272) &gt; 0</f>
        <v>0</v>
      </c>
      <c r="I272" s="48" t="b">
        <f ca="1">COUNTIF(tblTargetStatus[TargetID], $A272) &gt; 0</f>
        <v>1</v>
      </c>
      <c r="J272" s="48" t="b">
        <f ca="1">COUNTIF(tblCost[TargetID], $A272) &gt; 0</f>
        <v>0</v>
      </c>
      <c r="K272" s="48" t="b">
        <f ca="1">COUNTIF(tblStates[StateID], $A272) &gt; 0</f>
        <v>0</v>
      </c>
      <c r="L272" s="48" t="b">
        <f t="shared" ca="1" si="9"/>
        <v>1</v>
      </c>
      <c r="M272" s="48" t="b">
        <f ca="1">IF(tblValidation[[#This Row],[TargetID]]="","",COUNTIF(tblTargets[TargetID],A272)&gt;1)</f>
        <v>0</v>
      </c>
      <c r="N272" s="48" t="b">
        <f ca="1">IF(tblValidation[[#This Row],[TargetID]]="","",COUNTIF(tblStates[StateID],tblValidation[[#This Row],[TargetID]])&gt;1)</f>
        <v>0</v>
      </c>
      <c r="O272" s="48" t="b" cm="1">
        <f t="array" aca="1" ref="O2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2" s="48"/>
      <c r="R272" s="48"/>
      <c r="S272" s="48"/>
      <c r="T272" s="48"/>
      <c r="V272" s="2" t="str">
        <f ca="1"/>
        <v>quest.festival.accepted</v>
      </c>
      <c r="X272" s="2" t="str">
        <f ca="1"/>
        <v>quest.festival.accepted</v>
      </c>
      <c r="Y272" s="2" t="str">
        <f ca="1"/>
        <v>quest.once_upon_a_forest_chapter_11.finished</v>
      </c>
      <c r="Z272" s="2" t="str">
        <f ca="1"/>
        <v>quest.festival_of_beans.finished</v>
      </c>
      <c r="AA272" s="2" t="str">
        <f ca="1"/>
        <v>quest.silk_road.accepted</v>
      </c>
      <c r="AD272" s="2" t="str">
        <f ca="1"/>
        <v>quest.festival.accepted</v>
      </c>
      <c r="AE272" s="2" t="str">
        <f ca="1"/>
        <v>tech.dairy.big_data_farming</v>
      </c>
    </row>
    <row r="273" spans="1:31">
      <c r="A273" t="str">
        <f t="shared" ca="1" si="8"/>
        <v>quest.festival.finished</v>
      </c>
      <c r="B273" t="str">
        <f ca="1">_xlfn.XLOOKUP(tblValidation[[#This Row],[TargetID]],tblTargets[TargetID],tblTargets[TargetType],"")</f>
        <v>QUEST</v>
      </c>
      <c r="C273" s="48" t="b">
        <f ca="1">COUNTIF(tblTargets[TargetID], $A273) &gt; 0</f>
        <v>1</v>
      </c>
      <c r="D273" s="48" t="b">
        <f ca="1">IF(OR(LEFT(tblValidation[[#This Row],[TargetID]],10)="state.CHAR",RIGHT(tblValidation[[#This Row],[TargetID]],5)="maxed"),TRUE, COUNTIF(tblChecklist[TargetID], $A273) &gt; 0)</f>
        <v>1</v>
      </c>
      <c r="E2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$A273) &gt; 0)</f>
        <v>1</v>
      </c>
      <c r="F273" s="48" t="b">
        <f ca="1">COUNTIF(tblDependencies[DependencyID], $A273) &gt; 0</f>
        <v>1</v>
      </c>
      <c r="G273" s="48" t="b">
        <f ca="1">COUNTIF(tblQuestObjectives[QuestTargetID], $A273) &gt; 0</f>
        <v>0</v>
      </c>
      <c r="H273" s="48" t="b">
        <f ca="1">COUNTIF(tblQuestObjectives[ObjectiveID], $A273) &gt; 0</f>
        <v>0</v>
      </c>
      <c r="I273" s="48" t="b">
        <f ca="1">COUNTIF(tblTargetStatus[TargetID], $A273) &gt; 0</f>
        <v>1</v>
      </c>
      <c r="J273" s="48" t="b">
        <f ca="1">COUNTIF(tblCost[TargetID], $A273) &gt; 0</f>
        <v>1</v>
      </c>
      <c r="K273" s="48" t="b">
        <f ca="1">COUNTIF(tblStates[StateID], $A273) &gt; 0</f>
        <v>0</v>
      </c>
      <c r="L273" s="48" t="b">
        <f t="shared" ca="1" si="9"/>
        <v>1</v>
      </c>
      <c r="M273" s="48" t="b">
        <f ca="1">IF(tblValidation[[#This Row],[TargetID]]="","",COUNTIF(tblTargets[TargetID],A273)&gt;1)</f>
        <v>0</v>
      </c>
      <c r="N273" s="48" t="b">
        <f ca="1">IF(tblValidation[[#This Row],[TargetID]]="","",COUNTIF(tblStates[StateID],tblValidation[[#This Row],[TargetID]])&gt;1)</f>
        <v>0</v>
      </c>
      <c r="O273" s="48" t="b" cm="1">
        <f t="array" aca="1" ref="O2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3" s="48"/>
      <c r="R273" s="48"/>
      <c r="S273" s="48"/>
      <c r="T273" s="48"/>
      <c r="V273" s="2" t="str">
        <f ca="1"/>
        <v>quest.festival.finished</v>
      </c>
      <c r="X273" s="2" t="str">
        <f ca="1"/>
        <v>quest.festival.finished</v>
      </c>
      <c r="Y273" s="2" t="str">
        <f ca="1"/>
        <v>quest.once_upon_a_forest_chapter_12.accepted</v>
      </c>
      <c r="Z273" s="2" t="str">
        <f ca="1"/>
        <v>quest.festival_returns.accepted</v>
      </c>
      <c r="AA273" s="2" t="str">
        <f ca="1"/>
        <v>quest.spicy_odyssey.accepted</v>
      </c>
      <c r="AD273" s="2" t="str">
        <f ca="1"/>
        <v>quest.festival.finished</v>
      </c>
      <c r="AE273" s="2" t="str">
        <f ca="1"/>
        <v>tech.dairy.classical_music_for_the_farm</v>
      </c>
    </row>
    <row r="274" spans="1:31">
      <c r="A274" t="str">
        <f t="shared" ca="1" si="8"/>
        <v>quest.festival_of_beans.accepted</v>
      </c>
      <c r="B274" t="str">
        <f ca="1">_xlfn.XLOOKUP(tblValidation[[#This Row],[TargetID]],tblTargets[TargetID],tblTargets[TargetType],"")</f>
        <v>QUEST</v>
      </c>
      <c r="C274" s="48" t="b">
        <f ca="1">COUNTIF(tblTargets[TargetID], $A274) &gt; 0</f>
        <v>1</v>
      </c>
      <c r="D274" s="48" t="b">
        <f ca="1">IF(OR(LEFT(tblValidation[[#This Row],[TargetID]],10)="state.CHAR",RIGHT(tblValidation[[#This Row],[TargetID]],5)="maxed"),TRUE, COUNTIF(tblChecklist[TargetID], $A274) &gt; 0)</f>
        <v>1</v>
      </c>
      <c r="E2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$A274) &gt; 0)</f>
        <v>1</v>
      </c>
      <c r="F274" s="48" t="b">
        <f ca="1">COUNTIF(tblDependencies[DependencyID], $A274) &gt; 0</f>
        <v>1</v>
      </c>
      <c r="G274" s="48" t="b">
        <f ca="1">COUNTIF(tblQuestObjectives[QuestTargetID], $A274) &gt; 0</f>
        <v>0</v>
      </c>
      <c r="H274" s="48" t="b">
        <f ca="1">COUNTIF(tblQuestObjectives[ObjectiveID], $A274) &gt; 0</f>
        <v>0</v>
      </c>
      <c r="I274" s="48" t="b">
        <f ca="1">COUNTIF(tblTargetStatus[TargetID], $A274) &gt; 0</f>
        <v>1</v>
      </c>
      <c r="J274" s="48" t="b">
        <f ca="1">COUNTIF(tblCost[TargetID], $A274) &gt; 0</f>
        <v>0</v>
      </c>
      <c r="K274" s="48" t="b">
        <f ca="1">COUNTIF(tblStates[StateID], $A274) &gt; 0</f>
        <v>0</v>
      </c>
      <c r="L274" s="48" t="b">
        <f t="shared" ca="1" si="9"/>
        <v>1</v>
      </c>
      <c r="M274" s="48" t="b">
        <f ca="1">IF(tblValidation[[#This Row],[TargetID]]="","",COUNTIF(tblTargets[TargetID],A274)&gt;1)</f>
        <v>0</v>
      </c>
      <c r="N274" s="48" t="b">
        <f ca="1">IF(tblValidation[[#This Row],[TargetID]]="","",COUNTIF(tblStates[StateID],tblValidation[[#This Row],[TargetID]])&gt;1)</f>
        <v>0</v>
      </c>
      <c r="O274" s="48" t="b" cm="1">
        <f t="array" aca="1" ref="O2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4" s="48"/>
      <c r="R274" s="48"/>
      <c r="S274" s="48"/>
      <c r="T274" s="48"/>
      <c r="V274" s="2" t="str">
        <f ca="1"/>
        <v>quest.festival_of_beans.accepted</v>
      </c>
      <c r="X274" s="2" t="str">
        <f ca="1"/>
        <v>quest.festival_of_beans.accepted</v>
      </c>
      <c r="Y274" s="2" t="str">
        <f ca="1"/>
        <v>quest.once_upon_a_forest_chapter_12.finished</v>
      </c>
      <c r="Z274" s="2" t="str">
        <f ca="1"/>
        <v>quest.festival_returns.finished</v>
      </c>
      <c r="AA274" s="2" t="str">
        <f ca="1"/>
        <v>quest.spicy_odyssey.finished</v>
      </c>
      <c r="AD274" s="2" t="str">
        <f ca="1"/>
        <v>quest.festival_of_beans.accepted</v>
      </c>
      <c r="AE274" s="2" t="str">
        <f ca="1"/>
        <v>tech.dungeon.great_hall</v>
      </c>
    </row>
    <row r="275" spans="1:31">
      <c r="A275" t="str">
        <f t="shared" ca="1" si="8"/>
        <v>quest.festival_of_beans.finished</v>
      </c>
      <c r="B275" t="str">
        <f ca="1">_xlfn.XLOOKUP(tblValidation[[#This Row],[TargetID]],tblTargets[TargetID],tblTargets[TargetType],"")</f>
        <v>QUEST</v>
      </c>
      <c r="C275" s="48" t="b">
        <f ca="1">COUNTIF(tblTargets[TargetID], $A275) &gt; 0</f>
        <v>1</v>
      </c>
      <c r="D275" s="48" t="b">
        <f ca="1">IF(OR(LEFT(tblValidation[[#This Row],[TargetID]],10)="state.CHAR",RIGHT(tblValidation[[#This Row],[TargetID]],5)="maxed"),TRUE, COUNTIF(tblChecklist[TargetID], $A275) &gt; 0)</f>
        <v>1</v>
      </c>
      <c r="E2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$A275) &gt; 0)</f>
        <v>1</v>
      </c>
      <c r="F275" s="48" t="b">
        <f ca="1">COUNTIF(tblDependencies[DependencyID], $A275) &gt; 0</f>
        <v>0</v>
      </c>
      <c r="G275" s="48" t="b">
        <f ca="1">COUNTIF(tblQuestObjectives[QuestTargetID], $A275) &gt; 0</f>
        <v>0</v>
      </c>
      <c r="H275" s="48" t="b">
        <f ca="1">COUNTIF(tblQuestObjectives[ObjectiveID], $A275) &gt; 0</f>
        <v>0</v>
      </c>
      <c r="I275" s="48" t="b">
        <f ca="1">COUNTIF(tblTargetStatus[TargetID], $A275) &gt; 0</f>
        <v>1</v>
      </c>
      <c r="J275" s="48" t="b">
        <f ca="1">COUNTIF(tblCost[TargetID], $A275) &gt; 0</f>
        <v>1</v>
      </c>
      <c r="K275" s="48" t="b">
        <f ca="1">COUNTIF(tblStates[StateID], $A275) &gt; 0</f>
        <v>0</v>
      </c>
      <c r="L275" s="48" t="b">
        <f t="shared" ca="1" si="9"/>
        <v>1</v>
      </c>
      <c r="M275" s="48" t="b">
        <f ca="1">IF(tblValidation[[#This Row],[TargetID]]="","",COUNTIF(tblTargets[TargetID],A275)&gt;1)</f>
        <v>0</v>
      </c>
      <c r="N275" s="48" t="b">
        <f ca="1">IF(tblValidation[[#This Row],[TargetID]]="","",COUNTIF(tblStates[StateID],tblValidation[[#This Row],[TargetID]])&gt;1)</f>
        <v>0</v>
      </c>
      <c r="O275" s="48" t="b" cm="1">
        <f t="array" aca="1" ref="O2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5" s="48"/>
      <c r="R275" s="48"/>
      <c r="S275" s="48"/>
      <c r="T275" s="48"/>
      <c r="V275" s="2" t="str">
        <f ca="1"/>
        <v>quest.festival_of_beans.finished</v>
      </c>
      <c r="X275" s="2" t="str">
        <f ca="1"/>
        <v>quest.festival_of_beans.finished</v>
      </c>
      <c r="Y275" s="2" t="str">
        <f ca="1"/>
        <v>quest.once_upon_a_forest_chapter_13.accepted</v>
      </c>
      <c r="Z275" s="2" t="str">
        <f ca="1"/>
        <v>quest.green_potion.accepted</v>
      </c>
      <c r="AA275" s="2" t="str">
        <f ca="1"/>
        <v>quest.the_ordinary_days_of_an_adventurer_chapter_1.accepted</v>
      </c>
      <c r="AD275" s="2" t="str">
        <f ca="1"/>
        <v>quest.festival_of_beans.finished</v>
      </c>
      <c r="AE275" s="2" t="str">
        <f ca="1"/>
        <v>tech.fermentory.pasteurization</v>
      </c>
    </row>
    <row r="276" spans="1:31">
      <c r="A276" t="str">
        <f t="shared" ca="1" si="8"/>
        <v>quest.festival_returns.accepted</v>
      </c>
      <c r="B276" t="str">
        <f ca="1">_xlfn.XLOOKUP(tblValidation[[#This Row],[TargetID]],tblTargets[TargetID],tblTargets[TargetType],"")</f>
        <v>QUEST</v>
      </c>
      <c r="C276" s="48" t="b">
        <f ca="1">COUNTIF(tblTargets[TargetID], $A276) &gt; 0</f>
        <v>1</v>
      </c>
      <c r="D276" s="48" t="b">
        <f ca="1">IF(OR(LEFT(tblValidation[[#This Row],[TargetID]],10)="state.CHAR",RIGHT(tblValidation[[#This Row],[TargetID]],5)="maxed"),TRUE, COUNTIF(tblChecklist[TargetID], $A276) &gt; 0)</f>
        <v>1</v>
      </c>
      <c r="E2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$A276) &gt; 0)</f>
        <v>1</v>
      </c>
      <c r="F276" s="48" t="b">
        <f ca="1">COUNTIF(tblDependencies[DependencyID], $A276) &gt; 0</f>
        <v>1</v>
      </c>
      <c r="G276" s="48" t="b">
        <f ca="1">COUNTIF(tblQuestObjectives[QuestTargetID], $A276) &gt; 0</f>
        <v>0</v>
      </c>
      <c r="H276" s="48" t="b">
        <f ca="1">COUNTIF(tblQuestObjectives[ObjectiveID], $A276) &gt; 0</f>
        <v>0</v>
      </c>
      <c r="I276" s="48" t="b">
        <f ca="1">COUNTIF(tblTargetStatus[TargetID], $A276) &gt; 0</f>
        <v>1</v>
      </c>
      <c r="J276" s="48" t="b">
        <f ca="1">COUNTIF(tblCost[TargetID], $A276) &gt; 0</f>
        <v>0</v>
      </c>
      <c r="K276" s="48" t="b">
        <f ca="1">COUNTIF(tblStates[StateID], $A276) &gt; 0</f>
        <v>0</v>
      </c>
      <c r="L276" s="48" t="b">
        <f t="shared" ca="1" si="9"/>
        <v>1</v>
      </c>
      <c r="M276" s="48" t="b">
        <f ca="1">IF(tblValidation[[#This Row],[TargetID]]="","",COUNTIF(tblTargets[TargetID],A276)&gt;1)</f>
        <v>0</v>
      </c>
      <c r="N276" s="48" t="b">
        <f ca="1">IF(tblValidation[[#This Row],[TargetID]]="","",COUNTIF(tblStates[StateID],tblValidation[[#This Row],[TargetID]])&gt;1)</f>
        <v>0</v>
      </c>
      <c r="O276" s="48" t="b" cm="1">
        <f t="array" aca="1" ref="O2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6" s="48"/>
      <c r="R276" s="48"/>
      <c r="S276" s="48"/>
      <c r="T276" s="48"/>
      <c r="V276" s="2" t="str">
        <f ca="1"/>
        <v>quest.festival_returns.accepted</v>
      </c>
      <c r="X276" s="2" t="str">
        <f ca="1"/>
        <v>quest.festival_returns.accepted</v>
      </c>
      <c r="Y276" s="2" t="str">
        <f ca="1"/>
        <v>quest.once_upon_a_forest_chapter_13.finished</v>
      </c>
      <c r="Z276" s="2" t="str">
        <f ca="1"/>
        <v>quest.green_potion.finished</v>
      </c>
      <c r="AA276" s="2" t="str">
        <f ca="1"/>
        <v>quest.the_ordinary_days_of_an_adventurer_chapter_2.accepted</v>
      </c>
      <c r="AD276" s="2" t="str">
        <f ca="1"/>
        <v>quest.festival_returns.accepted</v>
      </c>
      <c r="AE276" s="2" t="str">
        <f ca="1"/>
        <v>tech.field.combine_harvester</v>
      </c>
    </row>
    <row r="277" spans="1:31">
      <c r="A277" t="str">
        <f t="shared" ca="1" si="8"/>
        <v>quest.festival_returns.finished</v>
      </c>
      <c r="B277" t="str">
        <f ca="1">_xlfn.XLOOKUP(tblValidation[[#This Row],[TargetID]],tblTargets[TargetID],tblTargets[TargetType],"")</f>
        <v>QUEST</v>
      </c>
      <c r="C277" s="48" t="b">
        <f ca="1">COUNTIF(tblTargets[TargetID], $A277) &gt; 0</f>
        <v>1</v>
      </c>
      <c r="D277" s="48" t="b">
        <f ca="1">IF(OR(LEFT(tblValidation[[#This Row],[TargetID]],10)="state.CHAR",RIGHT(tblValidation[[#This Row],[TargetID]],5)="maxed"),TRUE, COUNTIF(tblChecklist[TargetID], $A277) &gt; 0)</f>
        <v>1</v>
      </c>
      <c r="E2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$A277) &gt; 0)</f>
        <v>1</v>
      </c>
      <c r="F277" s="48" t="b">
        <f ca="1">COUNTIF(tblDependencies[DependencyID], $A277) &gt; 0</f>
        <v>1</v>
      </c>
      <c r="G277" s="48" t="b">
        <f ca="1">COUNTIF(tblQuestObjectives[QuestTargetID], $A277) &gt; 0</f>
        <v>0</v>
      </c>
      <c r="H277" s="48" t="b">
        <f ca="1">COUNTIF(tblQuestObjectives[ObjectiveID], $A277) &gt; 0</f>
        <v>0</v>
      </c>
      <c r="I277" s="48" t="b">
        <f ca="1">COUNTIF(tblTargetStatus[TargetID], $A277) &gt; 0</f>
        <v>1</v>
      </c>
      <c r="J277" s="48" t="b">
        <f ca="1">COUNTIF(tblCost[TargetID], $A277) &gt; 0</f>
        <v>1</v>
      </c>
      <c r="K277" s="48" t="b">
        <f ca="1">COUNTIF(tblStates[StateID], $A277) &gt; 0</f>
        <v>0</v>
      </c>
      <c r="L277" s="48" t="b">
        <f t="shared" ca="1" si="9"/>
        <v>1</v>
      </c>
      <c r="M277" s="48" t="b">
        <f ca="1">IF(tblValidation[[#This Row],[TargetID]]="","",COUNTIF(tblTargets[TargetID],A277)&gt;1)</f>
        <v>0</v>
      </c>
      <c r="N277" s="48" t="b">
        <f ca="1">IF(tblValidation[[#This Row],[TargetID]]="","",COUNTIF(tblStates[StateID],tblValidation[[#This Row],[TargetID]])&gt;1)</f>
        <v>0</v>
      </c>
      <c r="O277" s="48" t="b" cm="1">
        <f t="array" aca="1" ref="O2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7" s="48"/>
      <c r="R277" s="48"/>
      <c r="S277" s="48"/>
      <c r="T277" s="48"/>
      <c r="V277" s="2" t="str">
        <f ca="1"/>
        <v>quest.festival_returns.finished</v>
      </c>
      <c r="X277" s="2" t="str">
        <f ca="1"/>
        <v>quest.festival_returns.finished</v>
      </c>
      <c r="Y277" s="2" t="str">
        <f ca="1"/>
        <v>quest.once_upon_a_forest_chapter_14.accepted</v>
      </c>
      <c r="Z277" s="2" t="str">
        <f ca="1"/>
        <v>quest.honor_glory_sushi.accepted</v>
      </c>
      <c r="AA277" s="2" t="str">
        <f ca="1"/>
        <v>quest.the_ordinary_days_of_an_adventurer_chapter_2.finished</v>
      </c>
      <c r="AD277" s="2" t="str">
        <f ca="1"/>
        <v>quest.festival_returns.finished</v>
      </c>
      <c r="AE277" s="2" t="str">
        <f ca="1"/>
        <v>tech.field.seed_drill</v>
      </c>
    </row>
    <row r="278" spans="1:31">
      <c r="A278" t="str">
        <f t="shared" ca="1" si="8"/>
        <v>quest.green_potion.accepted</v>
      </c>
      <c r="B278" t="str">
        <f ca="1">_xlfn.XLOOKUP(tblValidation[[#This Row],[TargetID]],tblTargets[TargetID],tblTargets[TargetType],"")</f>
        <v>QUEST</v>
      </c>
      <c r="C278" s="48" t="b">
        <f ca="1">COUNTIF(tblTargets[TargetID], $A278) &gt; 0</f>
        <v>1</v>
      </c>
      <c r="D278" s="48" t="b">
        <f ca="1">IF(OR(LEFT(tblValidation[[#This Row],[TargetID]],10)="state.CHAR",RIGHT(tblValidation[[#This Row],[TargetID]],5)="maxed"),TRUE, COUNTIF(tblChecklist[TargetID], $A278) &gt; 0)</f>
        <v>1</v>
      </c>
      <c r="E2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$A278) &gt; 0)</f>
        <v>1</v>
      </c>
      <c r="F278" s="48" t="b">
        <f ca="1">COUNTIF(tblDependencies[DependencyID], $A278) &gt; 0</f>
        <v>1</v>
      </c>
      <c r="G278" s="48" t="b">
        <f ca="1">COUNTIF(tblQuestObjectives[QuestTargetID], $A278) &gt; 0</f>
        <v>0</v>
      </c>
      <c r="H278" s="48" t="b">
        <f ca="1">COUNTIF(tblQuestObjectives[ObjectiveID], $A278) &gt; 0</f>
        <v>0</v>
      </c>
      <c r="I278" s="48" t="b">
        <f ca="1">COUNTIF(tblTargetStatus[TargetID], $A278) &gt; 0</f>
        <v>1</v>
      </c>
      <c r="J278" s="48" t="b">
        <f ca="1">COUNTIF(tblCost[TargetID], $A278) &gt; 0</f>
        <v>0</v>
      </c>
      <c r="K278" s="48" t="b">
        <f ca="1">COUNTIF(tblStates[StateID], $A278) &gt; 0</f>
        <v>0</v>
      </c>
      <c r="L278" s="48" t="b">
        <f t="shared" ca="1" si="9"/>
        <v>1</v>
      </c>
      <c r="M278" s="48" t="b">
        <f ca="1">IF(tblValidation[[#This Row],[TargetID]]="","",COUNTIF(tblTargets[TargetID],A278)&gt;1)</f>
        <v>0</v>
      </c>
      <c r="N278" s="48" t="b">
        <f ca="1">IF(tblValidation[[#This Row],[TargetID]]="","",COUNTIF(tblStates[StateID],tblValidation[[#This Row],[TargetID]])&gt;1)</f>
        <v>0</v>
      </c>
      <c r="O278" s="48" t="b" cm="1">
        <f t="array" aca="1" ref="O2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8" s="48"/>
      <c r="R278" s="48"/>
      <c r="S278" s="48"/>
      <c r="T278" s="48"/>
      <c r="V278" s="2" t="str">
        <f ca="1"/>
        <v>quest.green_potion.accepted</v>
      </c>
      <c r="X278" s="2" t="str">
        <f ca="1"/>
        <v>quest.green_potion.accepted</v>
      </c>
      <c r="Y278" s="2" t="str">
        <f ca="1"/>
        <v>quest.once_upon_a_forest_chapter_14.finished</v>
      </c>
      <c r="Z278" s="2" t="str">
        <f ca="1"/>
        <v>quest.honor_glory_sushi.finished</v>
      </c>
      <c r="AA278" s="2" t="str">
        <f ca="1"/>
        <v>quest.the_ordinary_days_of_an_adventurer_chapter_3.accepted</v>
      </c>
      <c r="AD278" s="2" t="str">
        <f ca="1"/>
        <v>quest.green_potion.accepted</v>
      </c>
      <c r="AE278" s="2" t="str">
        <f ca="1"/>
        <v>tech.field.soybean</v>
      </c>
    </row>
    <row r="279" spans="1:31">
      <c r="A279" t="str">
        <f t="shared" ca="1" si="8"/>
        <v>quest.green_potion.finished</v>
      </c>
      <c r="B279" t="str">
        <f ca="1">_xlfn.XLOOKUP(tblValidation[[#This Row],[TargetID]],tblTargets[TargetID],tblTargets[TargetType],"")</f>
        <v>QUEST</v>
      </c>
      <c r="C279" s="48" t="b">
        <f ca="1">COUNTIF(tblTargets[TargetID], $A279) &gt; 0</f>
        <v>1</v>
      </c>
      <c r="D279" s="48" t="b">
        <f ca="1">IF(OR(LEFT(tblValidation[[#This Row],[TargetID]],10)="state.CHAR",RIGHT(tblValidation[[#This Row],[TargetID]],5)="maxed"),TRUE, COUNTIF(tblChecklist[TargetID], $A279) &gt; 0)</f>
        <v>1</v>
      </c>
      <c r="E2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$A279) &gt; 0)</f>
        <v>1</v>
      </c>
      <c r="F279" s="48" t="b">
        <f ca="1">COUNTIF(tblDependencies[DependencyID], $A279) &gt; 0</f>
        <v>0</v>
      </c>
      <c r="G279" s="48" t="b">
        <f ca="1">COUNTIF(tblQuestObjectives[QuestTargetID], $A279) &gt; 0</f>
        <v>1</v>
      </c>
      <c r="H279" s="48" t="b">
        <f ca="1">COUNTIF(tblQuestObjectives[ObjectiveID], $A279) &gt; 0</f>
        <v>0</v>
      </c>
      <c r="I279" s="48" t="b">
        <f ca="1">COUNTIF(tblTargetStatus[TargetID], $A279) &gt; 0</f>
        <v>1</v>
      </c>
      <c r="J279" s="48" t="b">
        <f ca="1">COUNTIF(tblCost[TargetID], $A279) &gt; 0</f>
        <v>1</v>
      </c>
      <c r="K279" s="48" t="b">
        <f ca="1">COUNTIF(tblStates[StateID], $A279) &gt; 0</f>
        <v>0</v>
      </c>
      <c r="L279" s="48" t="b">
        <f t="shared" ca="1" si="9"/>
        <v>1</v>
      </c>
      <c r="M279" s="48" t="b">
        <f ca="1">IF(tblValidation[[#This Row],[TargetID]]="","",COUNTIF(tblTargets[TargetID],A279)&gt;1)</f>
        <v>0</v>
      </c>
      <c r="N279" s="48" t="b">
        <f ca="1">IF(tblValidation[[#This Row],[TargetID]]="","",COUNTIF(tblStates[StateID],tblValidation[[#This Row],[TargetID]])&gt;1)</f>
        <v>0</v>
      </c>
      <c r="O279" s="48" t="b" cm="1">
        <f t="array" aca="1" ref="O2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9" s="48"/>
      <c r="R279" s="48"/>
      <c r="S279" s="48"/>
      <c r="T279" s="48"/>
      <c r="V279" s="2" t="str">
        <f ca="1"/>
        <v>quest.green_potion.finished</v>
      </c>
      <c r="X279" s="2" t="str">
        <f ca="1"/>
        <v>quest.green_potion.finished</v>
      </c>
      <c r="Y279" s="2" t="str">
        <f ca="1"/>
        <v>quest.once_upon_a_forest_chapter_15.accepted</v>
      </c>
      <c r="Z279" s="2" t="str">
        <f ca="1"/>
        <v>quest.journey_through_japan_by_train.accepted</v>
      </c>
      <c r="AA279" s="2" t="str">
        <f ca="1"/>
        <v>quest.the_ordinary_days_of_an_adventurer_chapter_3.finished</v>
      </c>
      <c r="AD279" s="2" t="str">
        <f ca="1"/>
        <v>quest.green_potion.finished</v>
      </c>
      <c r="AE279" s="2" t="str">
        <f ca="1"/>
        <v>tech.food_stall.conveyor_belt_sushi</v>
      </c>
    </row>
    <row r="280" spans="1:31">
      <c r="A280" t="str">
        <f t="shared" ca="1" si="8"/>
        <v>quest.honor_glory_sushi.accepted</v>
      </c>
      <c r="B280" t="str">
        <f ca="1">_xlfn.XLOOKUP(tblValidation[[#This Row],[TargetID]],tblTargets[TargetID],tblTargets[TargetType],"")</f>
        <v>QUEST</v>
      </c>
      <c r="C280" s="48" t="b">
        <f ca="1">COUNTIF(tblTargets[TargetID], $A280) &gt; 0</f>
        <v>1</v>
      </c>
      <c r="D280" s="48" t="b">
        <f ca="1">IF(OR(LEFT(tblValidation[[#This Row],[TargetID]],10)="state.CHAR",RIGHT(tblValidation[[#This Row],[TargetID]],5)="maxed"),TRUE, COUNTIF(tblChecklist[TargetID], $A280) &gt; 0)</f>
        <v>1</v>
      </c>
      <c r="E2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$A280) &gt; 0)</f>
        <v>1</v>
      </c>
      <c r="F280" s="48" t="b">
        <f ca="1">COUNTIF(tblDependencies[DependencyID], $A280) &gt; 0</f>
        <v>1</v>
      </c>
      <c r="G280" s="48" t="b">
        <f ca="1">COUNTIF(tblQuestObjectives[QuestTargetID], $A280) &gt; 0</f>
        <v>0</v>
      </c>
      <c r="H280" s="48" t="b">
        <f ca="1">COUNTIF(tblQuestObjectives[ObjectiveID], $A280) &gt; 0</f>
        <v>0</v>
      </c>
      <c r="I280" s="48" t="b">
        <f ca="1">COUNTIF(tblTargetStatus[TargetID], $A280) &gt; 0</f>
        <v>1</v>
      </c>
      <c r="J280" s="48" t="b">
        <f ca="1">COUNTIF(tblCost[TargetID], $A280) &gt; 0</f>
        <v>0</v>
      </c>
      <c r="K280" s="48" t="b">
        <f ca="1">COUNTIF(tblStates[StateID], $A280) &gt; 0</f>
        <v>0</v>
      </c>
      <c r="L280" s="48" t="b">
        <f t="shared" ca="1" si="9"/>
        <v>1</v>
      </c>
      <c r="M280" s="48" t="b">
        <f ca="1">IF(tblValidation[[#This Row],[TargetID]]="","",COUNTIF(tblTargets[TargetID],A280)&gt;1)</f>
        <v>0</v>
      </c>
      <c r="N280" s="48" t="b">
        <f ca="1">IF(tblValidation[[#This Row],[TargetID]]="","",COUNTIF(tblStates[StateID],tblValidation[[#This Row],[TargetID]])&gt;1)</f>
        <v>0</v>
      </c>
      <c r="O280" s="48" t="b" cm="1">
        <f t="array" aca="1" ref="O2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0" s="48"/>
      <c r="R280" s="48"/>
      <c r="S280" s="48"/>
      <c r="T280" s="48"/>
      <c r="V280" s="2" t="str">
        <f ca="1"/>
        <v>quest.honor_glory_sushi.accepted</v>
      </c>
      <c r="X280" s="2" t="str">
        <f ca="1"/>
        <v>quest.honor_glory_sushi.accepted</v>
      </c>
      <c r="Y280" s="2" t="str">
        <f ca="1"/>
        <v>quest.once_upon_a_forest_chapter_15.finished</v>
      </c>
      <c r="Z280" s="2" t="str">
        <f ca="1"/>
        <v>quest.journey_through_japan_by_train.finished</v>
      </c>
      <c r="AA280" s="2" t="str">
        <f ca="1"/>
        <v>quest.the_ordinary_days_of_an_adventurer_chapter_4.accepted</v>
      </c>
      <c r="AD280" s="2" t="str">
        <f ca="1"/>
        <v>quest.honor_glory_sushi.accepted</v>
      </c>
      <c r="AE280" s="2" t="str">
        <f ca="1"/>
        <v>tech.food_stall.inarizushi</v>
      </c>
    </row>
    <row r="281" spans="1:31">
      <c r="A281" t="str">
        <f t="shared" ca="1" si="8"/>
        <v>quest.honor_glory_sushi.finished</v>
      </c>
      <c r="B281" t="str">
        <f ca="1">_xlfn.XLOOKUP(tblValidation[[#This Row],[TargetID]],tblTargets[TargetID],tblTargets[TargetType],"")</f>
        <v>QUEST</v>
      </c>
      <c r="C281" s="48" t="b">
        <f ca="1">COUNTIF(tblTargets[TargetID], $A281) &gt; 0</f>
        <v>1</v>
      </c>
      <c r="D281" s="48" t="b">
        <f ca="1">IF(OR(LEFT(tblValidation[[#This Row],[TargetID]],10)="state.CHAR",RIGHT(tblValidation[[#This Row],[TargetID]],5)="maxed"),TRUE, COUNTIF(tblChecklist[TargetID], $A281) &gt; 0)</f>
        <v>1</v>
      </c>
      <c r="E2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$A281) &gt; 0)</f>
        <v>1</v>
      </c>
      <c r="F281" s="48" t="b">
        <f ca="1">COUNTIF(tblDependencies[DependencyID], $A281) &gt; 0</f>
        <v>0</v>
      </c>
      <c r="G281" s="48" t="b">
        <f ca="1">COUNTIF(tblQuestObjectives[QuestTargetID], $A281) &gt; 0</f>
        <v>1</v>
      </c>
      <c r="H281" s="48" t="b">
        <f ca="1">COUNTIF(tblQuestObjectives[ObjectiveID], $A281) &gt; 0</f>
        <v>0</v>
      </c>
      <c r="I281" s="48" t="b">
        <f ca="1">COUNTIF(tblTargetStatus[TargetID], $A281) &gt; 0</f>
        <v>1</v>
      </c>
      <c r="J281" s="48" t="b">
        <f ca="1">COUNTIF(tblCost[TargetID], $A281) &gt; 0</f>
        <v>0</v>
      </c>
      <c r="K281" s="48" t="b">
        <f ca="1">COUNTIF(tblStates[StateID], $A281) &gt; 0</f>
        <v>0</v>
      </c>
      <c r="L281" s="48" t="b">
        <f t="shared" ca="1" si="9"/>
        <v>1</v>
      </c>
      <c r="M281" s="48" t="b">
        <f ca="1">IF(tblValidation[[#This Row],[TargetID]]="","",COUNTIF(tblTargets[TargetID],A281)&gt;1)</f>
        <v>0</v>
      </c>
      <c r="N281" s="48" t="b">
        <f ca="1">IF(tblValidation[[#This Row],[TargetID]]="","",COUNTIF(tblStates[StateID],tblValidation[[#This Row],[TargetID]])&gt;1)</f>
        <v>0</v>
      </c>
      <c r="O281" s="48" t="b" cm="1">
        <f t="array" aca="1" ref="O2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1" s="48"/>
      <c r="R281" s="48"/>
      <c r="S281" s="48"/>
      <c r="T281" s="48"/>
      <c r="V281" s="2" t="str">
        <f ca="1"/>
        <v>quest.honor_glory_sushi.finished</v>
      </c>
      <c r="X281" s="2" t="str">
        <f ca="1"/>
        <v>quest.honor_glory_sushi.finished</v>
      </c>
      <c r="Y281" s="2" t="str">
        <f ca="1"/>
        <v>quest.once_upon_a_forest_chapter_2.accepted</v>
      </c>
      <c r="Z281" s="2" t="str">
        <f ca="1"/>
        <v>quest.letter_from_the_dark_lady.accepted</v>
      </c>
      <c r="AA281" s="2" t="str">
        <f ca="1"/>
        <v>quest.the_ordinary_days_of_an_adventurer_chapter_4.finished</v>
      </c>
      <c r="AD281" s="2" t="str">
        <f ca="1"/>
        <v>quest.honor_glory_sushi.finished</v>
      </c>
      <c r="AE281" s="2" t="str">
        <f ca="1"/>
        <v>tech.food_stall.jam</v>
      </c>
    </row>
    <row r="282" spans="1:31">
      <c r="A282" t="str">
        <f t="shared" ca="1" si="8"/>
        <v>quest.journey_through_japan_by_train.accepted</v>
      </c>
      <c r="B282" t="str">
        <f ca="1">_xlfn.XLOOKUP(tblValidation[[#This Row],[TargetID]],tblTargets[TargetID],tblTargets[TargetType],"")</f>
        <v>QUEST</v>
      </c>
      <c r="C282" s="48" t="b">
        <f ca="1">COUNTIF(tblTargets[TargetID], $A282) &gt; 0</f>
        <v>1</v>
      </c>
      <c r="D282" s="48" t="b">
        <f ca="1">IF(OR(LEFT(tblValidation[[#This Row],[TargetID]],10)="state.CHAR",RIGHT(tblValidation[[#This Row],[TargetID]],5)="maxed"),TRUE, COUNTIF(tblChecklist[TargetID], $A282) &gt; 0)</f>
        <v>1</v>
      </c>
      <c r="E2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$A282) &gt; 0)</f>
        <v>1</v>
      </c>
      <c r="F282" s="48" t="b">
        <f ca="1">COUNTIF(tblDependencies[DependencyID], $A282) &gt; 0</f>
        <v>1</v>
      </c>
      <c r="G282" s="48" t="b">
        <f ca="1">COUNTIF(tblQuestObjectives[QuestTargetID], $A282) &gt; 0</f>
        <v>0</v>
      </c>
      <c r="H282" s="48" t="b">
        <f ca="1">COUNTIF(tblQuestObjectives[ObjectiveID], $A282) &gt; 0</f>
        <v>0</v>
      </c>
      <c r="I282" s="48" t="b">
        <f ca="1">COUNTIF(tblTargetStatus[TargetID], $A282) &gt; 0</f>
        <v>1</v>
      </c>
      <c r="J282" s="48" t="b">
        <f ca="1">COUNTIF(tblCost[TargetID], $A282) &gt; 0</f>
        <v>0</v>
      </c>
      <c r="K282" s="48" t="b">
        <f ca="1">COUNTIF(tblStates[StateID], $A282) &gt; 0</f>
        <v>0</v>
      </c>
      <c r="L282" s="48" t="b">
        <f t="shared" ca="1" si="9"/>
        <v>1</v>
      </c>
      <c r="M282" s="48" t="b">
        <f ca="1">IF(tblValidation[[#This Row],[TargetID]]="","",COUNTIF(tblTargets[TargetID],A282)&gt;1)</f>
        <v>0</v>
      </c>
      <c r="N282" s="48" t="b">
        <f ca="1">IF(tblValidation[[#This Row],[TargetID]]="","",COUNTIF(tblStates[StateID],tblValidation[[#This Row],[TargetID]])&gt;1)</f>
        <v>0</v>
      </c>
      <c r="O282" s="48" t="b" cm="1">
        <f t="array" aca="1" ref="O2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2" s="48"/>
      <c r="R282" s="48"/>
      <c r="S282" s="48"/>
      <c r="T282" s="48"/>
      <c r="V282" s="2" t="str">
        <f ca="1"/>
        <v>quest.journey_through_japan_by_train.accepted</v>
      </c>
      <c r="X282" s="2" t="str">
        <f ca="1"/>
        <v>quest.journey_through_japan_by_train.accepted</v>
      </c>
      <c r="Y282" s="2" t="str">
        <f ca="1"/>
        <v>quest.once_upon_a_forest_chapter_2.finished</v>
      </c>
      <c r="Z282" s="2" t="str">
        <f ca="1"/>
        <v>quest.letter_from_the_dark_lady.finished</v>
      </c>
      <c r="AA282" s="2" t="str">
        <f ca="1"/>
        <v>quest.the_ordinary_days_of_an_adventurer_chapter_5.accepted</v>
      </c>
      <c r="AD282" s="2" t="str">
        <f ca="1"/>
        <v>quest.journey_through_japan_by_train.accepted</v>
      </c>
      <c r="AE282" s="2" t="str">
        <f ca="1"/>
        <v>tech.food_stall.mandra_cola</v>
      </c>
    </row>
    <row r="283" spans="1:31">
      <c r="A283" t="str">
        <f t="shared" ca="1" si="8"/>
        <v>quest.journey_through_japan_by_train.finished</v>
      </c>
      <c r="B283" t="str">
        <f ca="1">_xlfn.XLOOKUP(tblValidation[[#This Row],[TargetID]],tblTargets[TargetID],tblTargets[TargetType],"")</f>
        <v>QUEST</v>
      </c>
      <c r="C283" s="48" t="b">
        <f ca="1">COUNTIF(tblTargets[TargetID], $A283) &gt; 0</f>
        <v>1</v>
      </c>
      <c r="D283" s="48" t="b">
        <f ca="1">IF(OR(LEFT(tblValidation[[#This Row],[TargetID]],10)="state.CHAR",RIGHT(tblValidation[[#This Row],[TargetID]],5)="maxed"),TRUE, COUNTIF(tblChecklist[TargetID], $A283) &gt; 0)</f>
        <v>1</v>
      </c>
      <c r="E2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$A283) &gt; 0)</f>
        <v>1</v>
      </c>
      <c r="F283" s="48" t="b">
        <f ca="1">COUNTIF(tblDependencies[DependencyID], $A283) &gt; 0</f>
        <v>1</v>
      </c>
      <c r="G283" s="48" t="b">
        <f ca="1">COUNTIF(tblQuestObjectives[QuestTargetID], $A283) &gt; 0</f>
        <v>1</v>
      </c>
      <c r="H283" s="48" t="b">
        <f ca="1">COUNTIF(tblQuestObjectives[ObjectiveID], $A283) &gt; 0</f>
        <v>0</v>
      </c>
      <c r="I283" s="48" t="b">
        <f ca="1">COUNTIF(tblTargetStatus[TargetID], $A283) &gt; 0</f>
        <v>1</v>
      </c>
      <c r="J283" s="48" t="b">
        <f ca="1">COUNTIF(tblCost[TargetID], $A283) &gt; 0</f>
        <v>0</v>
      </c>
      <c r="K283" s="48" t="b">
        <f ca="1">COUNTIF(tblStates[StateID], $A283) &gt; 0</f>
        <v>0</v>
      </c>
      <c r="L283" s="48" t="b">
        <f t="shared" ca="1" si="9"/>
        <v>1</v>
      </c>
      <c r="M283" s="48" t="b">
        <f ca="1">IF(tblValidation[[#This Row],[TargetID]]="","",COUNTIF(tblTargets[TargetID],A283)&gt;1)</f>
        <v>0</v>
      </c>
      <c r="N283" s="48" t="b">
        <f ca="1">IF(tblValidation[[#This Row],[TargetID]]="","",COUNTIF(tblStates[StateID],tblValidation[[#This Row],[TargetID]])&gt;1)</f>
        <v>0</v>
      </c>
      <c r="O283" s="48" t="b" cm="1">
        <f t="array" aca="1" ref="O2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3" s="48"/>
      <c r="R283" s="48"/>
      <c r="S283" s="48"/>
      <c r="T283" s="48"/>
      <c r="V283" s="2" t="str">
        <f ca="1"/>
        <v>quest.journey_through_japan_by_train.finished</v>
      </c>
      <c r="X283" s="2" t="str">
        <f ca="1"/>
        <v>quest.journey_through_japan_by_train.finished</v>
      </c>
      <c r="Y283" s="2" t="str">
        <f ca="1"/>
        <v>quest.once_upon_a_forest_chapter_3.accepted</v>
      </c>
      <c r="Z283" s="2" t="str">
        <f ca="1"/>
        <v>quest.magic_beans.accepted</v>
      </c>
      <c r="AA283" s="2" t="str">
        <f ca="1"/>
        <v>quest.the_ordinary_days_of_an_adventurer_chapter_5.finished</v>
      </c>
      <c r="AD283" s="2" t="str">
        <f ca="1"/>
        <v>quest.journey_through_japan_by_train.finished</v>
      </c>
      <c r="AE283" s="2" t="str">
        <f ca="1"/>
        <v>tech.food_stall.mayonnaise</v>
      </c>
    </row>
    <row r="284" spans="1:31">
      <c r="A284" t="str">
        <f t="shared" ca="1" si="8"/>
        <v>quest.letter_from_the_dark_lady.accepted</v>
      </c>
      <c r="B284" t="str">
        <f ca="1">_xlfn.XLOOKUP(tblValidation[[#This Row],[TargetID]],tblTargets[TargetID],tblTargets[TargetType],"")</f>
        <v>QUEST</v>
      </c>
      <c r="C284" s="48" t="b">
        <f ca="1">COUNTIF(tblTargets[TargetID], $A284) &gt; 0</f>
        <v>1</v>
      </c>
      <c r="D284" s="48" t="b">
        <f ca="1">IF(OR(LEFT(tblValidation[[#This Row],[TargetID]],10)="state.CHAR",RIGHT(tblValidation[[#This Row],[TargetID]],5)="maxed"),TRUE, COUNTIF(tblChecklist[TargetID], $A284) &gt; 0)</f>
        <v>1</v>
      </c>
      <c r="E2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$A284) &gt; 0)</f>
        <v>1</v>
      </c>
      <c r="F284" s="48" t="b">
        <f ca="1">COUNTIF(tblDependencies[DependencyID], $A284) &gt; 0</f>
        <v>1</v>
      </c>
      <c r="G284" s="48" t="b">
        <f ca="1">COUNTIF(tblQuestObjectives[QuestTargetID], $A284) &gt; 0</f>
        <v>0</v>
      </c>
      <c r="H284" s="48" t="b">
        <f ca="1">COUNTIF(tblQuestObjectives[ObjectiveID], $A284) &gt; 0</f>
        <v>0</v>
      </c>
      <c r="I284" s="48" t="b">
        <f ca="1">COUNTIF(tblTargetStatus[TargetID], $A284) &gt; 0</f>
        <v>1</v>
      </c>
      <c r="J284" s="48" t="b">
        <f ca="1">COUNTIF(tblCost[TargetID], $A284) &gt; 0</f>
        <v>0</v>
      </c>
      <c r="K284" s="48" t="b">
        <f ca="1">COUNTIF(tblStates[StateID], $A284) &gt; 0</f>
        <v>0</v>
      </c>
      <c r="L284" s="48" t="b">
        <f t="shared" ca="1" si="9"/>
        <v>1</v>
      </c>
      <c r="M284" s="48" t="b">
        <f ca="1">IF(tblValidation[[#This Row],[TargetID]]="","",COUNTIF(tblTargets[TargetID],A284)&gt;1)</f>
        <v>0</v>
      </c>
      <c r="N284" s="48" t="b">
        <f ca="1">IF(tblValidation[[#This Row],[TargetID]]="","",COUNTIF(tblStates[StateID],tblValidation[[#This Row],[TargetID]])&gt;1)</f>
        <v>0</v>
      </c>
      <c r="O284" s="48" t="b" cm="1">
        <f t="array" aca="1" ref="O2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4" s="48"/>
      <c r="R284" s="48"/>
      <c r="S284" s="48"/>
      <c r="T284" s="48"/>
      <c r="V284" s="2" t="str">
        <f ca="1"/>
        <v>quest.letter_from_the_dark_lady.accepted</v>
      </c>
      <c r="X284" s="2" t="str">
        <f ca="1"/>
        <v>quest.letter_from_the_dark_lady.accepted</v>
      </c>
      <c r="Y284" s="2" t="str">
        <f ca="1"/>
        <v>quest.once_upon_a_forest_chapter_3.finished</v>
      </c>
      <c r="Z284" s="2" t="str">
        <f ca="1"/>
        <v>quest.magic_beans.finished</v>
      </c>
      <c r="AA284" s="2" t="str">
        <f ca="1"/>
        <v>quest.the_ordinary_days_of_an_adventurer_chapter_6.accepted</v>
      </c>
      <c r="AD284" s="2" t="str">
        <f ca="1"/>
        <v>quest.letter_from_the_dark_lady.accepted</v>
      </c>
      <c r="AE284" s="2" t="str">
        <f ca="1"/>
        <v>tech.food_stall.miso_soup</v>
      </c>
    </row>
    <row r="285" spans="1:31">
      <c r="A285" t="str">
        <f t="shared" ca="1" si="8"/>
        <v>quest.letter_from_the_dark_lady.finished</v>
      </c>
      <c r="B285" t="str">
        <f ca="1">_xlfn.XLOOKUP(tblValidation[[#This Row],[TargetID]],tblTargets[TargetID],tblTargets[TargetType],"")</f>
        <v>QUEST</v>
      </c>
      <c r="C285" s="48" t="b">
        <f ca="1">COUNTIF(tblTargets[TargetID], $A285) &gt; 0</f>
        <v>1</v>
      </c>
      <c r="D285" s="48" t="b">
        <f ca="1">IF(OR(LEFT(tblValidation[[#This Row],[TargetID]],10)="state.CHAR",RIGHT(tblValidation[[#This Row],[TargetID]],5)="maxed"),TRUE, COUNTIF(tblChecklist[TargetID], $A285) &gt; 0)</f>
        <v>1</v>
      </c>
      <c r="E2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$A285) &gt; 0)</f>
        <v>1</v>
      </c>
      <c r="F285" s="48" t="b">
        <f ca="1">COUNTIF(tblDependencies[DependencyID], $A285) &gt; 0</f>
        <v>0</v>
      </c>
      <c r="G285" s="48" t="b">
        <f ca="1">COUNTIF(tblQuestObjectives[QuestTargetID], $A285) &gt; 0</f>
        <v>1</v>
      </c>
      <c r="H285" s="48" t="b">
        <f ca="1">COUNTIF(tblQuestObjectives[ObjectiveID], $A285) &gt; 0</f>
        <v>0</v>
      </c>
      <c r="I285" s="48" t="b">
        <f ca="1">COUNTIF(tblTargetStatus[TargetID], $A285) &gt; 0</f>
        <v>1</v>
      </c>
      <c r="J285" s="48" t="b">
        <f ca="1">COUNTIF(tblCost[TargetID], $A285) &gt; 0</f>
        <v>0</v>
      </c>
      <c r="K285" s="48" t="b">
        <f ca="1">COUNTIF(tblStates[StateID], $A285) &gt; 0</f>
        <v>0</v>
      </c>
      <c r="L285" s="48" t="b">
        <f t="shared" ca="1" si="9"/>
        <v>1</v>
      </c>
      <c r="M285" s="48" t="b">
        <f ca="1">IF(tblValidation[[#This Row],[TargetID]]="","",COUNTIF(tblTargets[TargetID],A285)&gt;1)</f>
        <v>0</v>
      </c>
      <c r="N285" s="48" t="b">
        <f ca="1">IF(tblValidation[[#This Row],[TargetID]]="","",COUNTIF(tblStates[StateID],tblValidation[[#This Row],[TargetID]])&gt;1)</f>
        <v>0</v>
      </c>
      <c r="O285" s="48" t="b" cm="1">
        <f t="array" aca="1" ref="O2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5" s="48"/>
      <c r="R285" s="48"/>
      <c r="S285" s="48"/>
      <c r="T285" s="48"/>
      <c r="V285" s="2" t="str">
        <f ca="1"/>
        <v>quest.letter_from_the_dark_lady.finished</v>
      </c>
      <c r="X285" s="2" t="str">
        <f ca="1"/>
        <v>quest.letter_from_the_dark_lady.finished</v>
      </c>
      <c r="Y285" s="2" t="str">
        <f ca="1"/>
        <v>quest.once_upon_a_forest_chapter_4.accepted</v>
      </c>
      <c r="Z285" s="2" t="str">
        <f ca="1"/>
        <v>quest.once_upon_a_forest_chapter_1.accepted</v>
      </c>
      <c r="AA285" s="2" t="str">
        <f ca="1"/>
        <v>quest.the_ordinary_days_of_an_adventurer_chapter_6.finished</v>
      </c>
      <c r="AD285" s="2" t="str">
        <f ca="1"/>
        <v>quest.letter_from_the_dark_lady.finished</v>
      </c>
      <c r="AE285" s="2" t="str">
        <f ca="1"/>
        <v>tech.food_stall.quintessence_of_taste</v>
      </c>
    </row>
    <row r="286" spans="1:31">
      <c r="A286" t="str">
        <f t="shared" ca="1" si="8"/>
        <v>quest.magic_beans.accepted</v>
      </c>
      <c r="B286" t="str">
        <f ca="1">_xlfn.XLOOKUP(tblValidation[[#This Row],[TargetID]],tblTargets[TargetID],tblTargets[TargetType],"")</f>
        <v>QUEST</v>
      </c>
      <c r="C286" s="48" t="b">
        <f ca="1">COUNTIF(tblTargets[TargetID], $A286) &gt; 0</f>
        <v>1</v>
      </c>
      <c r="D286" s="48" t="b">
        <f ca="1">IF(OR(LEFT(tblValidation[[#This Row],[TargetID]],10)="state.CHAR",RIGHT(tblValidation[[#This Row],[TargetID]],5)="maxed"),TRUE, COUNTIF(tblChecklist[TargetID], $A286) &gt; 0)</f>
        <v>1</v>
      </c>
      <c r="E2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$A286) &gt; 0)</f>
        <v>1</v>
      </c>
      <c r="F286" s="48" t="b">
        <f ca="1">COUNTIF(tblDependencies[DependencyID], $A286) &gt; 0</f>
        <v>1</v>
      </c>
      <c r="G286" s="48" t="b">
        <f ca="1">COUNTIF(tblQuestObjectives[QuestTargetID], $A286) &gt; 0</f>
        <v>0</v>
      </c>
      <c r="H286" s="48" t="b">
        <f ca="1">COUNTIF(tblQuestObjectives[ObjectiveID], $A286) &gt; 0</f>
        <v>0</v>
      </c>
      <c r="I286" s="48" t="b">
        <f ca="1">COUNTIF(tblTargetStatus[TargetID], $A286) &gt; 0</f>
        <v>1</v>
      </c>
      <c r="J286" s="48" t="b">
        <f ca="1">COUNTIF(tblCost[TargetID], $A286) &gt; 0</f>
        <v>0</v>
      </c>
      <c r="K286" s="48" t="b">
        <f ca="1">COUNTIF(tblStates[StateID], $A286) &gt; 0</f>
        <v>0</v>
      </c>
      <c r="L286" s="48" t="b">
        <f t="shared" ca="1" si="9"/>
        <v>1</v>
      </c>
      <c r="M286" s="48" t="b">
        <f ca="1">IF(tblValidation[[#This Row],[TargetID]]="","",COUNTIF(tblTargets[TargetID],A286)&gt;1)</f>
        <v>0</v>
      </c>
      <c r="N286" s="48" t="b">
        <f ca="1">IF(tblValidation[[#This Row],[TargetID]]="","",COUNTIF(tblStates[StateID],tblValidation[[#This Row],[TargetID]])&gt;1)</f>
        <v>0</v>
      </c>
      <c r="O286" s="48" t="b" cm="1">
        <f t="array" aca="1" ref="O2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6" s="48"/>
      <c r="R286" s="48"/>
      <c r="S286" s="48"/>
      <c r="T286" s="48"/>
      <c r="V286" s="2" t="str">
        <f ca="1"/>
        <v>quest.magic_beans.accepted</v>
      </c>
      <c r="X286" s="2" t="str">
        <f ca="1"/>
        <v>quest.magic_beans.accepted</v>
      </c>
      <c r="Y286" s="2" t="str">
        <f ca="1"/>
        <v>quest.once_upon_a_forest_chapter_4.finished</v>
      </c>
      <c r="Z286" s="2" t="str">
        <f ca="1"/>
        <v>quest.once_upon_a_forest_chapter_1.finished</v>
      </c>
      <c r="AA286" s="2" t="str">
        <f ca="1"/>
        <v>quest.the_ordinary_days_of_an_adventurer_chapter_7.accepted</v>
      </c>
      <c r="AD286" s="2" t="str">
        <f ca="1"/>
        <v>quest.magic_beans.accepted</v>
      </c>
      <c r="AE286" s="2" t="str">
        <f ca="1"/>
        <v>tech.furnace.conveyor</v>
      </c>
    </row>
    <row r="287" spans="1:31">
      <c r="A287" t="str">
        <f t="shared" ca="1" si="8"/>
        <v>quest.magic_beans.finished</v>
      </c>
      <c r="B287" t="str">
        <f ca="1">_xlfn.XLOOKUP(tblValidation[[#This Row],[TargetID]],tblTargets[TargetID],tblTargets[TargetType],"")</f>
        <v>QUEST</v>
      </c>
      <c r="C287" s="48" t="b">
        <f ca="1">COUNTIF(tblTargets[TargetID], $A287) &gt; 0</f>
        <v>1</v>
      </c>
      <c r="D287" s="48" t="b">
        <f ca="1">IF(OR(LEFT(tblValidation[[#This Row],[TargetID]],10)="state.CHAR",RIGHT(tblValidation[[#This Row],[TargetID]],5)="maxed"),TRUE, COUNTIF(tblChecklist[TargetID], $A287) &gt; 0)</f>
        <v>1</v>
      </c>
      <c r="E2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$A287) &gt; 0)</f>
        <v>1</v>
      </c>
      <c r="F287" s="48" t="b">
        <f ca="1">COUNTIF(tblDependencies[DependencyID], $A287) &gt; 0</f>
        <v>1</v>
      </c>
      <c r="G287" s="48" t="b">
        <f ca="1">COUNTIF(tblQuestObjectives[QuestTargetID], $A287) &gt; 0</f>
        <v>1</v>
      </c>
      <c r="H287" s="48" t="b">
        <f ca="1">COUNTIF(tblQuestObjectives[ObjectiveID], $A287) &gt; 0</f>
        <v>0</v>
      </c>
      <c r="I287" s="48" t="b">
        <f ca="1">COUNTIF(tblTargetStatus[TargetID], $A287) &gt; 0</f>
        <v>1</v>
      </c>
      <c r="J287" s="48" t="b">
        <f ca="1">COUNTIF(tblCost[TargetID], $A287) &gt; 0</f>
        <v>1</v>
      </c>
      <c r="K287" s="48" t="b">
        <f ca="1">COUNTIF(tblStates[StateID], $A287) &gt; 0</f>
        <v>0</v>
      </c>
      <c r="L287" s="48" t="b">
        <f t="shared" ca="1" si="9"/>
        <v>1</v>
      </c>
      <c r="M287" s="48" t="b">
        <f ca="1">IF(tblValidation[[#This Row],[TargetID]]="","",COUNTIF(tblTargets[TargetID],A287)&gt;1)</f>
        <v>0</v>
      </c>
      <c r="N287" s="48" t="b">
        <f ca="1">IF(tblValidation[[#This Row],[TargetID]]="","",COUNTIF(tblStates[StateID],tblValidation[[#This Row],[TargetID]])&gt;1)</f>
        <v>0</v>
      </c>
      <c r="O287" s="48" t="b" cm="1">
        <f t="array" aca="1" ref="O2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7" s="48"/>
      <c r="R287" s="48"/>
      <c r="S287" s="48"/>
      <c r="T287" s="48"/>
      <c r="V287" s="2" t="str">
        <f ca="1"/>
        <v>quest.magic_beans.finished</v>
      </c>
      <c r="X287" s="2" t="str">
        <f ca="1"/>
        <v>quest.magic_beans.finished</v>
      </c>
      <c r="Y287" s="2" t="str">
        <f ca="1"/>
        <v>quest.once_upon_a_forest_chapter_5.accepted</v>
      </c>
      <c r="Z287" s="2" t="str">
        <f ca="1"/>
        <v>quest.once_upon_a_forest_chapter_10.accepted</v>
      </c>
      <c r="AA287" s="2" t="str">
        <f ca="1"/>
        <v>quest.the_ordinary_days_of_an_adventurer_chapter_7.finished</v>
      </c>
      <c r="AD287" s="2" t="str">
        <f ca="1"/>
        <v>quest.magic_beans.finished</v>
      </c>
      <c r="AE287" s="2" t="str">
        <f ca="1"/>
        <v>tech.furnace.glass</v>
      </c>
    </row>
    <row r="288" spans="1:31">
      <c r="A288" t="str">
        <f t="shared" ca="1" si="8"/>
        <v>quest.once_upon_a_forest_chapter_1.accepted</v>
      </c>
      <c r="B288" t="str">
        <f ca="1">_xlfn.XLOOKUP(tblValidation[[#This Row],[TargetID]],tblTargets[TargetID],tblTargets[TargetType],"")</f>
        <v>QUEST</v>
      </c>
      <c r="C288" s="48" t="b">
        <f ca="1">COUNTIF(tblTargets[TargetID], $A288) &gt; 0</f>
        <v>1</v>
      </c>
      <c r="D288" s="48" t="b">
        <f ca="1">IF(OR(LEFT(tblValidation[[#This Row],[TargetID]],10)="state.CHAR",RIGHT(tblValidation[[#This Row],[TargetID]],5)="maxed"),TRUE, COUNTIF(tblChecklist[TargetID], $A288) &gt; 0)</f>
        <v>1</v>
      </c>
      <c r="E2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$A288) &gt; 0)</f>
        <v>1</v>
      </c>
      <c r="F288" s="48" t="b">
        <f ca="1">COUNTIF(tblDependencies[DependencyID], $A288) &gt; 0</f>
        <v>1</v>
      </c>
      <c r="G288" s="48" t="b">
        <f ca="1">COUNTIF(tblQuestObjectives[QuestTargetID], $A288) &gt; 0</f>
        <v>0</v>
      </c>
      <c r="H288" s="48" t="b">
        <f ca="1">COUNTIF(tblQuestObjectives[ObjectiveID], $A288) &gt; 0</f>
        <v>0</v>
      </c>
      <c r="I288" s="48" t="b">
        <f ca="1">COUNTIF(tblTargetStatus[TargetID], $A288) &gt; 0</f>
        <v>1</v>
      </c>
      <c r="J288" s="48" t="b">
        <f ca="1">COUNTIF(tblCost[TargetID], $A288) &gt; 0</f>
        <v>0</v>
      </c>
      <c r="K288" s="48" t="b">
        <f ca="1">COUNTIF(tblStates[StateID], $A288) &gt; 0</f>
        <v>0</v>
      </c>
      <c r="L288" s="48" t="b">
        <f t="shared" ca="1" si="9"/>
        <v>1</v>
      </c>
      <c r="M288" s="48" t="b">
        <f ca="1">IF(tblValidation[[#This Row],[TargetID]]="","",COUNTIF(tblTargets[TargetID],A288)&gt;1)</f>
        <v>0</v>
      </c>
      <c r="N288" s="48" t="b">
        <f ca="1">IF(tblValidation[[#This Row],[TargetID]]="","",COUNTIF(tblStates[StateID],tblValidation[[#This Row],[TargetID]])&gt;1)</f>
        <v>0</v>
      </c>
      <c r="O288" s="48" t="b" cm="1">
        <f t="array" aca="1" ref="O2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8" s="48"/>
      <c r="R288" s="48"/>
      <c r="S288" s="48"/>
      <c r="T288" s="48"/>
      <c r="V288" s="2" t="str">
        <f ca="1"/>
        <v>quest.once_upon_a_forest_chapter_1.accepted</v>
      </c>
      <c r="X288" s="2" t="str">
        <f ca="1"/>
        <v>quest.once_upon_a_forest_chapter_1.accepted</v>
      </c>
      <c r="Y288" s="2" t="str">
        <f ca="1"/>
        <v>quest.once_upon_a_forest_chapter_5.finished</v>
      </c>
      <c r="Z288" s="2" t="str">
        <f ca="1"/>
        <v>quest.once_upon_a_forest_chapter_10.finished</v>
      </c>
      <c r="AA288" s="2" t="str">
        <f ca="1"/>
        <v>quest.the_ordinary_days_of_an_adventurer_chapter_8.accepted</v>
      </c>
      <c r="AD288" s="2" t="str">
        <f ca="1"/>
        <v>quest.once_upon_a_forest_chapter_1.accepted</v>
      </c>
      <c r="AE288" s="2" t="str">
        <f ca="1"/>
        <v>tech.furnace.meteoric_steel</v>
      </c>
    </row>
    <row r="289" spans="1:31">
      <c r="A289" t="str">
        <f t="shared" ca="1" si="8"/>
        <v>quest.once_upon_a_forest_chapter_1.finished</v>
      </c>
      <c r="B289" t="str">
        <f ca="1">_xlfn.XLOOKUP(tblValidation[[#This Row],[TargetID]],tblTargets[TargetID],tblTargets[TargetType],"")</f>
        <v>QUEST</v>
      </c>
      <c r="C289" s="48" t="b">
        <f ca="1">COUNTIF(tblTargets[TargetID], $A289) &gt; 0</f>
        <v>1</v>
      </c>
      <c r="D289" s="48" t="b">
        <f ca="1">IF(OR(LEFT(tblValidation[[#This Row],[TargetID]],10)="state.CHAR",RIGHT(tblValidation[[#This Row],[TargetID]],5)="maxed"),TRUE, COUNTIF(tblChecklist[TargetID], $A289) &gt; 0)</f>
        <v>1</v>
      </c>
      <c r="E2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$A289) &gt; 0)</f>
        <v>1</v>
      </c>
      <c r="F289" s="48" t="b">
        <f ca="1">COUNTIF(tblDependencies[DependencyID], $A289) &gt; 0</f>
        <v>1</v>
      </c>
      <c r="G289" s="48" t="b">
        <f ca="1">COUNTIF(tblQuestObjectives[QuestTargetID], $A289) &gt; 0</f>
        <v>1</v>
      </c>
      <c r="H289" s="48" t="b">
        <f ca="1">COUNTIF(tblQuestObjectives[ObjectiveID], $A289) &gt; 0</f>
        <v>0</v>
      </c>
      <c r="I289" s="48" t="b">
        <f ca="1">COUNTIF(tblTargetStatus[TargetID], $A289) &gt; 0</f>
        <v>1</v>
      </c>
      <c r="J289" s="48" t="b">
        <f ca="1">COUNTIF(tblCost[TargetID], $A289) &gt; 0</f>
        <v>0</v>
      </c>
      <c r="K289" s="48" t="b">
        <f ca="1">COUNTIF(tblStates[StateID], $A289) &gt; 0</f>
        <v>0</v>
      </c>
      <c r="L289" s="48" t="b">
        <f t="shared" ca="1" si="9"/>
        <v>1</v>
      </c>
      <c r="M289" s="48" t="b">
        <f ca="1">IF(tblValidation[[#This Row],[TargetID]]="","",COUNTIF(tblTargets[TargetID],A289)&gt;1)</f>
        <v>0</v>
      </c>
      <c r="N289" s="48" t="b">
        <f ca="1">IF(tblValidation[[#This Row],[TargetID]]="","",COUNTIF(tblStates[StateID],tblValidation[[#This Row],[TargetID]])&gt;1)</f>
        <v>0</v>
      </c>
      <c r="O289" s="48" t="b" cm="1">
        <f t="array" aca="1" ref="O2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9" s="48"/>
      <c r="R289" s="48"/>
      <c r="S289" s="48"/>
      <c r="T289" s="48"/>
      <c r="V289" s="2" t="str">
        <f ca="1"/>
        <v>quest.once_upon_a_forest_chapter_1.finished</v>
      </c>
      <c r="X289" s="2" t="str">
        <f ca="1"/>
        <v>quest.once_upon_a_forest_chapter_1.finished</v>
      </c>
      <c r="Y289" s="2" t="str">
        <f ca="1"/>
        <v>quest.once_upon_a_forest_chapter_6.accepted</v>
      </c>
      <c r="Z289" s="2" t="str">
        <f ca="1"/>
        <v>quest.once_upon_a_forest_chapter_11.accepted</v>
      </c>
      <c r="AA289" s="2" t="str">
        <f ca="1"/>
        <v>quest.the_ordinary_days_of_an_adventurer_chapter_8.finished</v>
      </c>
      <c r="AD289" s="2" t="str">
        <f ca="1"/>
        <v>quest.once_upon_a_forest_chapter_1.finished</v>
      </c>
      <c r="AE289" s="2" t="str">
        <f ca="1"/>
        <v>tech.furnace.titanium_parts</v>
      </c>
    </row>
    <row r="290" spans="1:31">
      <c r="A290" t="str">
        <f t="shared" ca="1" si="8"/>
        <v>quest.once_upon_a_forest_chapter_10.accepted</v>
      </c>
      <c r="B290" t="str">
        <f ca="1">_xlfn.XLOOKUP(tblValidation[[#This Row],[TargetID]],tblTargets[TargetID],tblTargets[TargetType],"")</f>
        <v>QUEST</v>
      </c>
      <c r="C290" s="48" t="b">
        <f ca="1">COUNTIF(tblTargets[TargetID], $A290) &gt; 0</f>
        <v>1</v>
      </c>
      <c r="D290" s="48" t="b">
        <f ca="1">IF(OR(LEFT(tblValidation[[#This Row],[TargetID]],10)="state.CHAR",RIGHT(tblValidation[[#This Row],[TargetID]],5)="maxed"),TRUE, COUNTIF(tblChecklist[TargetID], $A290) &gt; 0)</f>
        <v>1</v>
      </c>
      <c r="E2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$A290) &gt; 0)</f>
        <v>1</v>
      </c>
      <c r="F290" s="48" t="b">
        <f ca="1">COUNTIF(tblDependencies[DependencyID], $A290) &gt; 0</f>
        <v>1</v>
      </c>
      <c r="G290" s="48" t="b">
        <f ca="1">COUNTIF(tblQuestObjectives[QuestTargetID], $A290) &gt; 0</f>
        <v>0</v>
      </c>
      <c r="H290" s="48" t="b">
        <f ca="1">COUNTIF(tblQuestObjectives[ObjectiveID], $A290) &gt; 0</f>
        <v>0</v>
      </c>
      <c r="I290" s="48" t="b">
        <f ca="1">COUNTIF(tblTargetStatus[TargetID], $A290) &gt; 0</f>
        <v>1</v>
      </c>
      <c r="J290" s="48" t="b">
        <f ca="1">COUNTIF(tblCost[TargetID], $A290) &gt; 0</f>
        <v>0</v>
      </c>
      <c r="K290" s="48" t="b">
        <f ca="1">COUNTIF(tblStates[StateID], $A290) &gt; 0</f>
        <v>0</v>
      </c>
      <c r="L290" s="48" t="b">
        <f t="shared" ca="1" si="9"/>
        <v>1</v>
      </c>
      <c r="M290" s="48" t="b">
        <f ca="1">IF(tblValidation[[#This Row],[TargetID]]="","",COUNTIF(tblTargets[TargetID],A290)&gt;1)</f>
        <v>0</v>
      </c>
      <c r="N290" s="48" t="b">
        <f ca="1">IF(tblValidation[[#This Row],[TargetID]]="","",COUNTIF(tblStates[StateID],tblValidation[[#This Row],[TargetID]])&gt;1)</f>
        <v>0</v>
      </c>
      <c r="O290" s="48" t="b" cm="1">
        <f t="array" aca="1" ref="O2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0" s="48"/>
      <c r="R290" s="48"/>
      <c r="S290" s="48"/>
      <c r="T290" s="48"/>
      <c r="V290" s="2" t="str">
        <f ca="1"/>
        <v>quest.once_upon_a_forest_chapter_10.accepted</v>
      </c>
      <c r="X290" s="2" t="str">
        <f ca="1"/>
        <v>quest.once_upon_a_forest_chapter_10.accepted</v>
      </c>
      <c r="Y290" s="2" t="str">
        <f ca="1"/>
        <v>quest.once_upon_a_forest_chapter_6.finished</v>
      </c>
      <c r="Z290" s="2" t="str">
        <f ca="1"/>
        <v>quest.once_upon_a_forest_chapter_11.finished</v>
      </c>
      <c r="AA290" s="2" t="str">
        <f ca="1"/>
        <v>quest.the_ring_of_the_dark_lady.accepted</v>
      </c>
      <c r="AD290" s="2" t="str">
        <f ca="1"/>
        <v>quest.once_upon_a_forest_chapter_10.accepted</v>
      </c>
      <c r="AE290" s="2" t="str">
        <f ca="1"/>
        <v>tech.garden.sprinkler</v>
      </c>
    </row>
    <row r="291" spans="1:31">
      <c r="A291" t="str">
        <f t="shared" ca="1" si="8"/>
        <v>quest.once_upon_a_forest_chapter_10.finished</v>
      </c>
      <c r="B291" t="str">
        <f ca="1">_xlfn.XLOOKUP(tblValidation[[#This Row],[TargetID]],tblTargets[TargetID],tblTargets[TargetType],"")</f>
        <v>QUEST</v>
      </c>
      <c r="C291" s="48" t="b">
        <f ca="1">COUNTIF(tblTargets[TargetID], $A291) &gt; 0</f>
        <v>1</v>
      </c>
      <c r="D291" s="48" t="b">
        <f ca="1">IF(OR(LEFT(tblValidation[[#This Row],[TargetID]],10)="state.CHAR",RIGHT(tblValidation[[#This Row],[TargetID]],5)="maxed"),TRUE, COUNTIF(tblChecklist[TargetID], $A291) &gt; 0)</f>
        <v>1</v>
      </c>
      <c r="E2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$A291) &gt; 0)</f>
        <v>1</v>
      </c>
      <c r="F291" s="48" t="b">
        <f ca="1">COUNTIF(tblDependencies[DependencyID], $A291) &gt; 0</f>
        <v>1</v>
      </c>
      <c r="G291" s="48" t="b">
        <f ca="1">COUNTIF(tblQuestObjectives[QuestTargetID], $A291) &gt; 0</f>
        <v>1</v>
      </c>
      <c r="H291" s="48" t="b">
        <f ca="1">COUNTIF(tblQuestObjectives[ObjectiveID], $A291) &gt; 0</f>
        <v>0</v>
      </c>
      <c r="I291" s="48" t="b">
        <f ca="1">COUNTIF(tblTargetStatus[TargetID], $A291) &gt; 0</f>
        <v>1</v>
      </c>
      <c r="J291" s="48" t="b">
        <f ca="1">COUNTIF(tblCost[TargetID], $A291) &gt; 0</f>
        <v>0</v>
      </c>
      <c r="K291" s="48" t="b">
        <f ca="1">COUNTIF(tblStates[StateID], $A291) &gt; 0</f>
        <v>0</v>
      </c>
      <c r="L291" s="48" t="b">
        <f t="shared" ca="1" si="9"/>
        <v>1</v>
      </c>
      <c r="M291" s="48" t="b">
        <f ca="1">IF(tblValidation[[#This Row],[TargetID]]="","",COUNTIF(tblTargets[TargetID],A291)&gt;1)</f>
        <v>0</v>
      </c>
      <c r="N291" s="48" t="b">
        <f ca="1">IF(tblValidation[[#This Row],[TargetID]]="","",COUNTIF(tblStates[StateID],tblValidation[[#This Row],[TargetID]])&gt;1)</f>
        <v>0</v>
      </c>
      <c r="O291" s="48" t="b" cm="1">
        <f t="array" aca="1" ref="O2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1" s="48"/>
      <c r="R291" s="48"/>
      <c r="S291" s="48"/>
      <c r="T291" s="48"/>
      <c r="V291" s="2" t="str">
        <f ca="1"/>
        <v>quest.once_upon_a_forest_chapter_10.finished</v>
      </c>
      <c r="X291" s="2" t="str">
        <f ca="1"/>
        <v>quest.once_upon_a_forest_chapter_10.finished</v>
      </c>
      <c r="Y291" s="2" t="str">
        <f ca="1"/>
        <v>quest.once_upon_a_forest_chapter_7.accepted</v>
      </c>
      <c r="Z291" s="2" t="str">
        <f ca="1"/>
        <v>quest.once_upon_a_forest_chapter_12.accepted</v>
      </c>
      <c r="AA291" s="2" t="str">
        <f ca="1"/>
        <v>quest.the_ring_of_the_dark_lady.finished</v>
      </c>
      <c r="AD291" s="2" t="str">
        <f ca="1"/>
        <v>quest.once_upon_a_forest_chapter_10.finished</v>
      </c>
      <c r="AE291" s="2" t="str">
        <f ca="1"/>
        <v>tech.laboratory.digitization</v>
      </c>
    </row>
    <row r="292" spans="1:31">
      <c r="A292" t="str">
        <f t="shared" ca="1" si="8"/>
        <v>quest.once_upon_a_forest_chapter_11.accepted</v>
      </c>
      <c r="B292" t="str">
        <f ca="1">_xlfn.XLOOKUP(tblValidation[[#This Row],[TargetID]],tblTargets[TargetID],tblTargets[TargetType],"")</f>
        <v>QUEST</v>
      </c>
      <c r="C292" s="48" t="b">
        <f ca="1">COUNTIF(tblTargets[TargetID], $A292) &gt; 0</f>
        <v>1</v>
      </c>
      <c r="D292" s="48" t="b">
        <f ca="1">IF(OR(LEFT(tblValidation[[#This Row],[TargetID]],10)="state.CHAR",RIGHT(tblValidation[[#This Row],[TargetID]],5)="maxed"),TRUE, COUNTIF(tblChecklist[TargetID], $A292) &gt; 0)</f>
        <v>1</v>
      </c>
      <c r="E2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$A292) &gt; 0)</f>
        <v>1</v>
      </c>
      <c r="F292" s="48" t="b">
        <f ca="1">COUNTIF(tblDependencies[DependencyID], $A292) &gt; 0</f>
        <v>1</v>
      </c>
      <c r="G292" s="48" t="b">
        <f ca="1">COUNTIF(tblQuestObjectives[QuestTargetID], $A292) &gt; 0</f>
        <v>0</v>
      </c>
      <c r="H292" s="48" t="b">
        <f ca="1">COUNTIF(tblQuestObjectives[ObjectiveID], $A292) &gt; 0</f>
        <v>0</v>
      </c>
      <c r="I292" s="48" t="b">
        <f ca="1">COUNTIF(tblTargetStatus[TargetID], $A292) &gt; 0</f>
        <v>1</v>
      </c>
      <c r="J292" s="48" t="b">
        <f ca="1">COUNTIF(tblCost[TargetID], $A292) &gt; 0</f>
        <v>0</v>
      </c>
      <c r="K292" s="48" t="b">
        <f ca="1">COUNTIF(tblStates[StateID], $A292) &gt; 0</f>
        <v>0</v>
      </c>
      <c r="L292" s="48" t="b">
        <f t="shared" ca="1" si="9"/>
        <v>1</v>
      </c>
      <c r="M292" s="48" t="b">
        <f ca="1">IF(tblValidation[[#This Row],[TargetID]]="","",COUNTIF(tblTargets[TargetID],A292)&gt;1)</f>
        <v>0</v>
      </c>
      <c r="N292" s="48" t="b">
        <f ca="1">IF(tblValidation[[#This Row],[TargetID]]="","",COUNTIF(tblStates[StateID],tblValidation[[#This Row],[TargetID]])&gt;1)</f>
        <v>0</v>
      </c>
      <c r="O292" s="48" t="b" cm="1">
        <f t="array" aca="1" ref="O2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2" s="48"/>
      <c r="R292" s="48"/>
      <c r="S292" s="48"/>
      <c r="T292" s="48"/>
      <c r="V292" s="2" t="str">
        <f ca="1"/>
        <v>quest.once_upon_a_forest_chapter_11.accepted</v>
      </c>
      <c r="X292" s="2" t="str">
        <f ca="1"/>
        <v>quest.once_upon_a_forest_chapter_11.accepted</v>
      </c>
      <c r="Y292" s="2" t="str">
        <f ca="1"/>
        <v>quest.once_upon_a_forest_chapter_7.finished</v>
      </c>
      <c r="Z292" s="2" t="str">
        <f ca="1"/>
        <v>quest.once_upon_a_forest_chapter_12.finished</v>
      </c>
      <c r="AA292" s="2" t="str">
        <f ca="1"/>
        <v>quest.treasure_island.accepted</v>
      </c>
      <c r="AD292" s="2" t="str">
        <f ca="1"/>
        <v>quest.once_upon_a_forest_chapter_11.accepted</v>
      </c>
      <c r="AE292" s="2" t="str">
        <f ca="1"/>
        <v>tech.laboratory.experiments</v>
      </c>
    </row>
    <row r="293" spans="1:31">
      <c r="A293" t="str">
        <f t="shared" ca="1" si="8"/>
        <v>quest.once_upon_a_forest_chapter_11.finished</v>
      </c>
      <c r="B293" t="str">
        <f ca="1">_xlfn.XLOOKUP(tblValidation[[#This Row],[TargetID]],tblTargets[TargetID],tblTargets[TargetType],"")</f>
        <v>QUEST</v>
      </c>
      <c r="C293" s="48" t="b">
        <f ca="1">COUNTIF(tblTargets[TargetID], $A293) &gt; 0</f>
        <v>1</v>
      </c>
      <c r="D293" s="48" t="b">
        <f ca="1">IF(OR(LEFT(tblValidation[[#This Row],[TargetID]],10)="state.CHAR",RIGHT(tblValidation[[#This Row],[TargetID]],5)="maxed"),TRUE, COUNTIF(tblChecklist[TargetID], $A293) &gt; 0)</f>
        <v>1</v>
      </c>
      <c r="E2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$A293) &gt; 0)</f>
        <v>1</v>
      </c>
      <c r="F293" s="48" t="b">
        <f ca="1">COUNTIF(tblDependencies[DependencyID], $A293) &gt; 0</f>
        <v>1</v>
      </c>
      <c r="G293" s="48" t="b">
        <f ca="1">COUNTIF(tblQuestObjectives[QuestTargetID], $A293) &gt; 0</f>
        <v>1</v>
      </c>
      <c r="H293" s="48" t="b">
        <f ca="1">COUNTIF(tblQuestObjectives[ObjectiveID], $A293) &gt; 0</f>
        <v>0</v>
      </c>
      <c r="I293" s="48" t="b">
        <f ca="1">COUNTIF(tblTargetStatus[TargetID], $A293) &gt; 0</f>
        <v>1</v>
      </c>
      <c r="J293" s="48" t="b">
        <f ca="1">COUNTIF(tblCost[TargetID], $A293) &gt; 0</f>
        <v>0</v>
      </c>
      <c r="K293" s="48" t="b">
        <f ca="1">COUNTIF(tblStates[StateID], $A293) &gt; 0</f>
        <v>0</v>
      </c>
      <c r="L293" s="48" t="b">
        <f t="shared" ca="1" si="9"/>
        <v>1</v>
      </c>
      <c r="M293" s="48" t="b">
        <f ca="1">IF(tblValidation[[#This Row],[TargetID]]="","",COUNTIF(tblTargets[TargetID],A293)&gt;1)</f>
        <v>0</v>
      </c>
      <c r="N293" s="48" t="b">
        <f ca="1">IF(tblValidation[[#This Row],[TargetID]]="","",COUNTIF(tblStates[StateID],tblValidation[[#This Row],[TargetID]])&gt;1)</f>
        <v>0</v>
      </c>
      <c r="O293" s="48" t="b" cm="1">
        <f t="array" aca="1" ref="O2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3" s="48"/>
      <c r="R293" s="48"/>
      <c r="S293" s="48"/>
      <c r="T293" s="48"/>
      <c r="V293" s="2" t="str">
        <f ca="1"/>
        <v>quest.once_upon_a_forest_chapter_11.finished</v>
      </c>
      <c r="X293" s="2" t="str">
        <f ca="1"/>
        <v>quest.once_upon_a_forest_chapter_11.finished</v>
      </c>
      <c r="Y293" s="2" t="str">
        <f ca="1"/>
        <v>quest.once_upon_a_forest_chapter_8.accepted</v>
      </c>
      <c r="Z293" s="2" t="str">
        <f ca="1"/>
        <v>quest.once_upon_a_forest_chapter_13.accepted</v>
      </c>
      <c r="AA293" s="2" t="str">
        <f ca="1"/>
        <v>quest.undead_revenge.accepted</v>
      </c>
      <c r="AD293" s="2" t="str">
        <f ca="1"/>
        <v>quest.once_upon_a_forest_chapter_11.finished</v>
      </c>
      <c r="AE293" s="2" t="str">
        <f ca="1"/>
        <v>tech.laboratory.research_and_development</v>
      </c>
    </row>
    <row r="294" spans="1:31">
      <c r="A294" t="str">
        <f t="shared" ca="1" si="8"/>
        <v>quest.once_upon_a_forest_chapter_12.accepted</v>
      </c>
      <c r="B294" t="str">
        <f ca="1">_xlfn.XLOOKUP(tblValidation[[#This Row],[TargetID]],tblTargets[TargetID],tblTargets[TargetType],"")</f>
        <v>QUEST</v>
      </c>
      <c r="C294" s="48" t="b">
        <f ca="1">COUNTIF(tblTargets[TargetID], $A294) &gt; 0</f>
        <v>1</v>
      </c>
      <c r="D294" s="48" t="b">
        <f ca="1">IF(OR(LEFT(tblValidation[[#This Row],[TargetID]],10)="state.CHAR",RIGHT(tblValidation[[#This Row],[TargetID]],5)="maxed"),TRUE, COUNTIF(tblChecklist[TargetID], $A294) &gt; 0)</f>
        <v>1</v>
      </c>
      <c r="E2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$A294) &gt; 0)</f>
        <v>1</v>
      </c>
      <c r="F294" s="48" t="b">
        <f ca="1">COUNTIF(tblDependencies[DependencyID], $A294) &gt; 0</f>
        <v>1</v>
      </c>
      <c r="G294" s="48" t="b">
        <f ca="1">COUNTIF(tblQuestObjectives[QuestTargetID], $A294) &gt; 0</f>
        <v>0</v>
      </c>
      <c r="H294" s="48" t="b">
        <f ca="1">COUNTIF(tblQuestObjectives[ObjectiveID], $A294) &gt; 0</f>
        <v>0</v>
      </c>
      <c r="I294" s="48" t="b">
        <f ca="1">COUNTIF(tblTargetStatus[TargetID], $A294) &gt; 0</f>
        <v>1</v>
      </c>
      <c r="J294" s="48" t="b">
        <f ca="1">COUNTIF(tblCost[TargetID], $A294) &gt; 0</f>
        <v>0</v>
      </c>
      <c r="K294" s="48" t="b">
        <f ca="1">COUNTIF(tblStates[StateID], $A294) &gt; 0</f>
        <v>0</v>
      </c>
      <c r="L294" s="48" t="b">
        <f t="shared" ca="1" si="9"/>
        <v>1</v>
      </c>
      <c r="M294" s="48" t="b">
        <f ca="1">IF(tblValidation[[#This Row],[TargetID]]="","",COUNTIF(tblTargets[TargetID],A294)&gt;1)</f>
        <v>0</v>
      </c>
      <c r="N294" s="48" t="b">
        <f ca="1">IF(tblValidation[[#This Row],[TargetID]]="","",COUNTIF(tblStates[StateID],tblValidation[[#This Row],[TargetID]])&gt;1)</f>
        <v>0</v>
      </c>
      <c r="O294" s="48" t="b" cm="1">
        <f t="array" aca="1" ref="O2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4" s="48"/>
      <c r="R294" s="48"/>
      <c r="S294" s="48"/>
      <c r="T294" s="48"/>
      <c r="V294" s="2" t="str">
        <f ca="1"/>
        <v>quest.once_upon_a_forest_chapter_12.accepted</v>
      </c>
      <c r="X294" s="2" t="str">
        <f ca="1"/>
        <v>quest.once_upon_a_forest_chapter_12.accepted</v>
      </c>
      <c r="Y294" s="2" t="str">
        <f ca="1"/>
        <v>quest.once_upon_a_forest_chapter_8.finished</v>
      </c>
      <c r="Z294" s="2" t="str">
        <f ca="1"/>
        <v>quest.once_upon_a_forest_chapter_13.finished</v>
      </c>
      <c r="AA294" s="2" t="str">
        <f ca="1"/>
        <v>state.action_reenter_guild</v>
      </c>
      <c r="AD294" s="2" t="str">
        <f ca="1"/>
        <v>quest.once_upon_a_forest_chapter_12.accepted</v>
      </c>
      <c r="AE294" s="2" t="str">
        <f ca="1"/>
        <v>tech.outpost.arsenal_lvl_1</v>
      </c>
    </row>
    <row r="295" spans="1:31">
      <c r="A295" t="str">
        <f t="shared" ca="1" si="8"/>
        <v>quest.once_upon_a_forest_chapter_12.finished</v>
      </c>
      <c r="B295" t="str">
        <f ca="1">_xlfn.XLOOKUP(tblValidation[[#This Row],[TargetID]],tblTargets[TargetID],tblTargets[TargetType],"")</f>
        <v>QUEST</v>
      </c>
      <c r="C295" s="48" t="b">
        <f ca="1">COUNTIF(tblTargets[TargetID], $A295) &gt; 0</f>
        <v>1</v>
      </c>
      <c r="D295" s="48" t="b">
        <f ca="1">IF(OR(LEFT(tblValidation[[#This Row],[TargetID]],10)="state.CHAR",RIGHT(tblValidation[[#This Row],[TargetID]],5)="maxed"),TRUE, COUNTIF(tblChecklist[TargetID], $A295) &gt; 0)</f>
        <v>1</v>
      </c>
      <c r="E2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$A295) &gt; 0)</f>
        <v>1</v>
      </c>
      <c r="F295" s="48" t="b">
        <f ca="1">COUNTIF(tblDependencies[DependencyID], $A295) &gt; 0</f>
        <v>1</v>
      </c>
      <c r="G295" s="48" t="b">
        <f ca="1">COUNTIF(tblQuestObjectives[QuestTargetID], $A295) &gt; 0</f>
        <v>1</v>
      </c>
      <c r="H295" s="48" t="b">
        <f ca="1">COUNTIF(tblQuestObjectives[ObjectiveID], $A295) &gt; 0</f>
        <v>0</v>
      </c>
      <c r="I295" s="48" t="b">
        <f ca="1">COUNTIF(tblTargetStatus[TargetID], $A295) &gt; 0</f>
        <v>1</v>
      </c>
      <c r="J295" s="48" t="b">
        <f ca="1">COUNTIF(tblCost[TargetID], $A295) &gt; 0</f>
        <v>0</v>
      </c>
      <c r="K295" s="48" t="b">
        <f ca="1">COUNTIF(tblStates[StateID], $A295) &gt; 0</f>
        <v>0</v>
      </c>
      <c r="L295" s="48" t="b">
        <f t="shared" ca="1" si="9"/>
        <v>1</v>
      </c>
      <c r="M295" s="48" t="b">
        <f ca="1">IF(tblValidation[[#This Row],[TargetID]]="","",COUNTIF(tblTargets[TargetID],A295)&gt;1)</f>
        <v>0</v>
      </c>
      <c r="N295" s="48" t="b">
        <f ca="1">IF(tblValidation[[#This Row],[TargetID]]="","",COUNTIF(tblStates[StateID],tblValidation[[#This Row],[TargetID]])&gt;1)</f>
        <v>0</v>
      </c>
      <c r="O295" s="48" t="b" cm="1">
        <f t="array" aca="1" ref="O2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5" s="48"/>
      <c r="R295" s="48"/>
      <c r="S295" s="48"/>
      <c r="T295" s="48"/>
      <c r="V295" s="2" t="str">
        <f ca="1"/>
        <v>quest.once_upon_a_forest_chapter_12.finished</v>
      </c>
      <c r="X295" s="2" t="str">
        <f ca="1"/>
        <v>quest.once_upon_a_forest_chapter_12.finished</v>
      </c>
      <c r="Y295" s="2" t="str">
        <f ca="1"/>
        <v>quest.once_upon_a_forest_chapter_9.accepted</v>
      </c>
      <c r="Z295" s="2" t="str">
        <f ca="1"/>
        <v>quest.once_upon_a_forest_chapter_14.accepted</v>
      </c>
      <c r="AA295" s="2" t="str">
        <f ca="1"/>
        <v>state.action_send_train_to_sapporo</v>
      </c>
      <c r="AD295" s="2" t="str">
        <f ca="1"/>
        <v>quest.once_upon_a_forest_chapter_12.finished</v>
      </c>
      <c r="AE295" s="2" t="str">
        <f ca="1"/>
        <v>tech.outpost.arsenal_lvl_2</v>
      </c>
    </row>
    <row r="296" spans="1:31">
      <c r="A296" t="str">
        <f t="shared" ca="1" si="8"/>
        <v>quest.once_upon_a_forest_chapter_13.accepted</v>
      </c>
      <c r="B296" t="str">
        <f ca="1">_xlfn.XLOOKUP(tblValidation[[#This Row],[TargetID]],tblTargets[TargetID],tblTargets[TargetType],"")</f>
        <v>QUEST</v>
      </c>
      <c r="C296" s="48" t="b">
        <f ca="1">COUNTIF(tblTargets[TargetID], $A296) &gt; 0</f>
        <v>1</v>
      </c>
      <c r="D296" s="48" t="b">
        <f ca="1">IF(OR(LEFT(tblValidation[[#This Row],[TargetID]],10)="state.CHAR",RIGHT(tblValidation[[#This Row],[TargetID]],5)="maxed"),TRUE, COUNTIF(tblChecklist[TargetID], $A296) &gt; 0)</f>
        <v>1</v>
      </c>
      <c r="E2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$A296) &gt; 0)</f>
        <v>1</v>
      </c>
      <c r="F296" s="48" t="b">
        <f ca="1">COUNTIF(tblDependencies[DependencyID], $A296) &gt; 0</f>
        <v>1</v>
      </c>
      <c r="G296" s="48" t="b">
        <f ca="1">COUNTIF(tblQuestObjectives[QuestTargetID], $A296) &gt; 0</f>
        <v>0</v>
      </c>
      <c r="H296" s="48" t="b">
        <f ca="1">COUNTIF(tblQuestObjectives[ObjectiveID], $A296) &gt; 0</f>
        <v>0</v>
      </c>
      <c r="I296" s="48" t="b">
        <f ca="1">COUNTIF(tblTargetStatus[TargetID], $A296) &gt; 0</f>
        <v>1</v>
      </c>
      <c r="J296" s="48" t="b">
        <f ca="1">COUNTIF(tblCost[TargetID], $A296) &gt; 0</f>
        <v>0</v>
      </c>
      <c r="K296" s="48" t="b">
        <f ca="1">COUNTIF(tblStates[StateID], $A296) &gt; 0</f>
        <v>0</v>
      </c>
      <c r="L296" s="48" t="b">
        <f t="shared" ca="1" si="9"/>
        <v>1</v>
      </c>
      <c r="M296" s="48" t="b">
        <f ca="1">IF(tblValidation[[#This Row],[TargetID]]="","",COUNTIF(tblTargets[TargetID],A296)&gt;1)</f>
        <v>0</v>
      </c>
      <c r="N296" s="48" t="b">
        <f ca="1">IF(tblValidation[[#This Row],[TargetID]]="","",COUNTIF(tblStates[StateID],tblValidation[[#This Row],[TargetID]])&gt;1)</f>
        <v>0</v>
      </c>
      <c r="O296" s="48" t="b" cm="1">
        <f t="array" aca="1" ref="O2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6" s="48"/>
      <c r="R296" s="48"/>
      <c r="S296" s="48"/>
      <c r="T296" s="48"/>
      <c r="V296" s="2" t="str">
        <f ca="1"/>
        <v>quest.once_upon_a_forest_chapter_13.accepted</v>
      </c>
      <c r="X296" s="2" t="str">
        <f ca="1"/>
        <v>quest.once_upon_a_forest_chapter_13.accepted</v>
      </c>
      <c r="Y296" s="2" t="str">
        <f ca="1"/>
        <v>quest.once_upon_a_forest_chapter_9.finished</v>
      </c>
      <c r="Z296" s="2" t="str">
        <f ca="1"/>
        <v>quest.once_upon_a_forest_chapter_14.finished</v>
      </c>
      <c r="AA296" s="2" t="str">
        <f ca="1"/>
        <v>state.action_tame_a_critter</v>
      </c>
      <c r="AD296" s="2" t="str">
        <f ca="1"/>
        <v>quest.once_upon_a_forest_chapter_13.accepted</v>
      </c>
      <c r="AE296" s="2" t="str">
        <f ca="1"/>
        <v>tech.outpost.futures_contracts</v>
      </c>
    </row>
    <row r="297" spans="1:31">
      <c r="A297" t="str">
        <f t="shared" ca="1" si="8"/>
        <v>quest.once_upon_a_forest_chapter_13.finished</v>
      </c>
      <c r="B297" t="str">
        <f ca="1">_xlfn.XLOOKUP(tblValidation[[#This Row],[TargetID]],tblTargets[TargetID],tblTargets[TargetType],"")</f>
        <v>QUEST</v>
      </c>
      <c r="C297" s="48" t="b">
        <f ca="1">COUNTIF(tblTargets[TargetID], $A297) &gt; 0</f>
        <v>1</v>
      </c>
      <c r="D297" s="48" t="b">
        <f ca="1">IF(OR(LEFT(tblValidation[[#This Row],[TargetID]],10)="state.CHAR",RIGHT(tblValidation[[#This Row],[TargetID]],5)="maxed"),TRUE, COUNTIF(tblChecklist[TargetID], $A297) &gt; 0)</f>
        <v>1</v>
      </c>
      <c r="E2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$A297) &gt; 0)</f>
        <v>1</v>
      </c>
      <c r="F297" s="48" t="b">
        <f ca="1">COUNTIF(tblDependencies[DependencyID], $A297) &gt; 0</f>
        <v>1</v>
      </c>
      <c r="G297" s="48" t="b">
        <f ca="1">COUNTIF(tblQuestObjectives[QuestTargetID], $A297) &gt; 0</f>
        <v>1</v>
      </c>
      <c r="H297" s="48" t="b">
        <f ca="1">COUNTIF(tblQuestObjectives[ObjectiveID], $A297) &gt; 0</f>
        <v>0</v>
      </c>
      <c r="I297" s="48" t="b">
        <f ca="1">COUNTIF(tblTargetStatus[TargetID], $A297) &gt; 0</f>
        <v>1</v>
      </c>
      <c r="J297" s="48" t="b">
        <f ca="1">COUNTIF(tblCost[TargetID], $A297) &gt; 0</f>
        <v>1</v>
      </c>
      <c r="K297" s="48" t="b">
        <f ca="1">COUNTIF(tblStates[StateID], $A297) &gt; 0</f>
        <v>0</v>
      </c>
      <c r="L297" s="48" t="b">
        <f t="shared" ca="1" si="9"/>
        <v>1</v>
      </c>
      <c r="M297" s="48" t="b">
        <f ca="1">IF(tblValidation[[#This Row],[TargetID]]="","",COUNTIF(tblTargets[TargetID],A297)&gt;1)</f>
        <v>0</v>
      </c>
      <c r="N297" s="48" t="b">
        <f ca="1">IF(tblValidation[[#This Row],[TargetID]]="","",COUNTIF(tblStates[StateID],tblValidation[[#This Row],[TargetID]])&gt;1)</f>
        <v>0</v>
      </c>
      <c r="O297" s="48" t="b" cm="1">
        <f t="array" aca="1" ref="O2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7" s="48"/>
      <c r="R297" s="48"/>
      <c r="S297" s="48"/>
      <c r="T297" s="48"/>
      <c r="V297" s="2" t="str">
        <f ca="1"/>
        <v>quest.once_upon_a_forest_chapter_13.finished</v>
      </c>
      <c r="X297" s="2" t="str">
        <f ca="1"/>
        <v>quest.once_upon_a_forest_chapter_13.finished</v>
      </c>
      <c r="Y297" s="2" t="str">
        <f ca="1"/>
        <v>quest.quest_for_knowledge_chapter_1.accepted</v>
      </c>
      <c r="Z297" s="2" t="str">
        <f ca="1"/>
        <v>quest.once_upon_a_forest_chapter_15.accepted</v>
      </c>
      <c r="AA297" s="2" t="str">
        <f ca="1"/>
        <v>state.character_cooking@13</v>
      </c>
      <c r="AD297" s="2" t="str">
        <f ca="1"/>
        <v>quest.once_upon_a_forest_chapter_13.finished</v>
      </c>
      <c r="AE297" s="2" t="str">
        <f ca="1"/>
        <v>tech.outpost.optional_contracts</v>
      </c>
    </row>
    <row r="298" spans="1:31">
      <c r="A298" t="str">
        <f t="shared" ca="1" si="8"/>
        <v>quest.once_upon_a_forest_chapter_14.accepted</v>
      </c>
      <c r="B298" t="str">
        <f ca="1">_xlfn.XLOOKUP(tblValidation[[#This Row],[TargetID]],tblTargets[TargetID],tblTargets[TargetType],"")</f>
        <v>QUEST</v>
      </c>
      <c r="C298" s="48" t="b">
        <f ca="1">COUNTIF(tblTargets[TargetID], $A298) &gt; 0</f>
        <v>1</v>
      </c>
      <c r="D298" s="48" t="b">
        <f ca="1">IF(OR(LEFT(tblValidation[[#This Row],[TargetID]],10)="state.CHAR",RIGHT(tblValidation[[#This Row],[TargetID]],5)="maxed"),TRUE, COUNTIF(tblChecklist[TargetID], $A298) &gt; 0)</f>
        <v>1</v>
      </c>
      <c r="E2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$A298) &gt; 0)</f>
        <v>1</v>
      </c>
      <c r="F298" s="48" t="b">
        <f ca="1">COUNTIF(tblDependencies[DependencyID], $A298) &gt; 0</f>
        <v>1</v>
      </c>
      <c r="G298" s="48" t="b">
        <f ca="1">COUNTIF(tblQuestObjectives[QuestTargetID], $A298) &gt; 0</f>
        <v>0</v>
      </c>
      <c r="H298" s="48" t="b">
        <f ca="1">COUNTIF(tblQuestObjectives[ObjectiveID], $A298) &gt; 0</f>
        <v>0</v>
      </c>
      <c r="I298" s="48" t="b">
        <f ca="1">COUNTIF(tblTargetStatus[TargetID], $A298) &gt; 0</f>
        <v>1</v>
      </c>
      <c r="J298" s="48" t="b">
        <f ca="1">COUNTIF(tblCost[TargetID], $A298) &gt; 0</f>
        <v>0</v>
      </c>
      <c r="K298" s="48" t="b">
        <f ca="1">COUNTIF(tblStates[StateID], $A298) &gt; 0</f>
        <v>0</v>
      </c>
      <c r="L298" s="48" t="b">
        <f t="shared" ca="1" si="9"/>
        <v>1</v>
      </c>
      <c r="M298" s="48" t="b">
        <f ca="1">IF(tblValidation[[#This Row],[TargetID]]="","",COUNTIF(tblTargets[TargetID],A298)&gt;1)</f>
        <v>0</v>
      </c>
      <c r="N298" s="48" t="b">
        <f ca="1">IF(tblValidation[[#This Row],[TargetID]]="","",COUNTIF(tblStates[StateID],tblValidation[[#This Row],[TargetID]])&gt;1)</f>
        <v>0</v>
      </c>
      <c r="O298" s="48" t="b" cm="1">
        <f t="array" aca="1" ref="O2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8" s="48"/>
      <c r="R298" s="48"/>
      <c r="S298" s="48"/>
      <c r="T298" s="48"/>
      <c r="V298" s="2" t="str">
        <f ca="1"/>
        <v>quest.once_upon_a_forest_chapter_14.accepted</v>
      </c>
      <c r="X298" s="2" t="str">
        <f ca="1"/>
        <v>quest.once_upon_a_forest_chapter_14.accepted</v>
      </c>
      <c r="Y298" s="2" t="str">
        <f ca="1"/>
        <v>quest.quest_for_knowledge_chapter_1.finished</v>
      </c>
      <c r="Z298" s="2" t="str">
        <f ca="1"/>
        <v>quest.once_upon_a_forest_chapter_15.finished</v>
      </c>
      <c r="AA298" s="2" t="str">
        <f ca="1"/>
        <v>state.character_level@10</v>
      </c>
      <c r="AD298" s="2" t="str">
        <f ca="1"/>
        <v>quest.once_upon_a_forest_chapter_14.accepted</v>
      </c>
      <c r="AE298" s="2" t="str">
        <f ca="1"/>
        <v>tech.outpost.sayonara_tax</v>
      </c>
    </row>
    <row r="299" spans="1:31">
      <c r="A299" t="str">
        <f t="shared" ca="1" si="8"/>
        <v>quest.once_upon_a_forest_chapter_14.finished</v>
      </c>
      <c r="B299" t="str">
        <f ca="1">_xlfn.XLOOKUP(tblValidation[[#This Row],[TargetID]],tblTargets[TargetID],tblTargets[TargetType],"")</f>
        <v>QUEST</v>
      </c>
      <c r="C299" s="48" t="b">
        <f ca="1">COUNTIF(tblTargets[TargetID], $A299) &gt; 0</f>
        <v>1</v>
      </c>
      <c r="D299" s="48" t="b">
        <f ca="1">IF(OR(LEFT(tblValidation[[#This Row],[TargetID]],10)="state.CHAR",RIGHT(tblValidation[[#This Row],[TargetID]],5)="maxed"),TRUE, COUNTIF(tblChecklist[TargetID], $A299) &gt; 0)</f>
        <v>1</v>
      </c>
      <c r="E2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$A299) &gt; 0)</f>
        <v>1</v>
      </c>
      <c r="F299" s="48" t="b">
        <f ca="1">COUNTIF(tblDependencies[DependencyID], $A299) &gt; 0</f>
        <v>1</v>
      </c>
      <c r="G299" s="48" t="b">
        <f ca="1">COUNTIF(tblQuestObjectives[QuestTargetID], $A299) &gt; 0</f>
        <v>1</v>
      </c>
      <c r="H299" s="48" t="b">
        <f ca="1">COUNTIF(tblQuestObjectives[ObjectiveID], $A299) &gt; 0</f>
        <v>0</v>
      </c>
      <c r="I299" s="48" t="b">
        <f ca="1">COUNTIF(tblTargetStatus[TargetID], $A299) &gt; 0</f>
        <v>1</v>
      </c>
      <c r="J299" s="48" t="b">
        <f ca="1">COUNTIF(tblCost[TargetID], $A299) &gt; 0</f>
        <v>0</v>
      </c>
      <c r="K299" s="48" t="b">
        <f ca="1">COUNTIF(tblStates[StateID], $A299) &gt; 0</f>
        <v>0</v>
      </c>
      <c r="L299" s="48" t="b">
        <f t="shared" ca="1" si="9"/>
        <v>1</v>
      </c>
      <c r="M299" s="48" t="b">
        <f ca="1">IF(tblValidation[[#This Row],[TargetID]]="","",COUNTIF(tblTargets[TargetID],A299)&gt;1)</f>
        <v>0</v>
      </c>
      <c r="N299" s="48" t="b">
        <f ca="1">IF(tblValidation[[#This Row],[TargetID]]="","",COUNTIF(tblStates[StateID],tblValidation[[#This Row],[TargetID]])&gt;1)</f>
        <v>0</v>
      </c>
      <c r="O299" s="48" t="b" cm="1">
        <f t="array" aca="1" ref="O2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9" s="48"/>
      <c r="R299" s="48"/>
      <c r="S299" s="48"/>
      <c r="T299" s="48"/>
      <c r="V299" s="2" t="str">
        <f ca="1"/>
        <v>quest.once_upon_a_forest_chapter_14.finished</v>
      </c>
      <c r="X299" s="2" t="str">
        <f ca="1"/>
        <v>quest.once_upon_a_forest_chapter_14.finished</v>
      </c>
      <c r="Y299" s="2" t="str">
        <f ca="1"/>
        <v>quest.quest_for_knowledge_chapter_2.accepted</v>
      </c>
      <c r="Z299" s="2" t="str">
        <f ca="1"/>
        <v>quest.once_upon_a_forest_chapter_2.accepted</v>
      </c>
      <c r="AA299" s="2" t="str">
        <f ca="1"/>
        <v>state.character_level@11</v>
      </c>
      <c r="AD299" s="2" t="str">
        <f ca="1"/>
        <v>quest.once_upon_a_forest_chapter_14.finished</v>
      </c>
      <c r="AE299" s="2" t="str">
        <f ca="1"/>
        <v>tech.outpost.tax_return_on_floppy_disk</v>
      </c>
    </row>
    <row r="300" spans="1:31">
      <c r="A300" t="str">
        <f t="shared" ca="1" si="8"/>
        <v>quest.once_upon_a_forest_chapter_15.accepted</v>
      </c>
      <c r="B300" t="str">
        <f ca="1">_xlfn.XLOOKUP(tblValidation[[#This Row],[TargetID]],tblTargets[TargetID],tblTargets[TargetType],"")</f>
        <v>QUEST</v>
      </c>
      <c r="C300" s="48" t="b">
        <f ca="1">COUNTIF(tblTargets[TargetID], $A300) &gt; 0</f>
        <v>1</v>
      </c>
      <c r="D300" s="48" t="b">
        <f ca="1">IF(OR(LEFT(tblValidation[[#This Row],[TargetID]],10)="state.CHAR",RIGHT(tblValidation[[#This Row],[TargetID]],5)="maxed"),TRUE, COUNTIF(tblChecklist[TargetID], $A300) &gt; 0)</f>
        <v>1</v>
      </c>
      <c r="E3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$A300) &gt; 0)</f>
        <v>1</v>
      </c>
      <c r="F300" s="48" t="b">
        <f ca="1">COUNTIF(tblDependencies[DependencyID], $A300) &gt; 0</f>
        <v>1</v>
      </c>
      <c r="G300" s="48" t="b">
        <f ca="1">COUNTIF(tblQuestObjectives[QuestTargetID], $A300) &gt; 0</f>
        <v>0</v>
      </c>
      <c r="H300" s="48" t="b">
        <f ca="1">COUNTIF(tblQuestObjectives[ObjectiveID], $A300) &gt; 0</f>
        <v>0</v>
      </c>
      <c r="I300" s="48" t="b">
        <f ca="1">COUNTIF(tblTargetStatus[TargetID], $A300) &gt; 0</f>
        <v>1</v>
      </c>
      <c r="J300" s="48" t="b">
        <f ca="1">COUNTIF(tblCost[TargetID], $A300) &gt; 0</f>
        <v>0</v>
      </c>
      <c r="K300" s="48" t="b">
        <f ca="1">COUNTIF(tblStates[StateID], $A300) &gt; 0</f>
        <v>0</v>
      </c>
      <c r="L300" s="48" t="b">
        <f t="shared" ca="1" si="9"/>
        <v>1</v>
      </c>
      <c r="M300" s="48" t="b">
        <f ca="1">IF(tblValidation[[#This Row],[TargetID]]="","",COUNTIF(tblTargets[TargetID],A300)&gt;1)</f>
        <v>0</v>
      </c>
      <c r="N300" s="48" t="b">
        <f ca="1">IF(tblValidation[[#This Row],[TargetID]]="","",COUNTIF(tblStates[StateID],tblValidation[[#This Row],[TargetID]])&gt;1)</f>
        <v>0</v>
      </c>
      <c r="O300" s="48" t="b" cm="1">
        <f t="array" aca="1" ref="O3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0" s="48"/>
      <c r="R300" s="48"/>
      <c r="S300" s="48"/>
      <c r="T300" s="48"/>
      <c r="V300" s="2" t="str">
        <f ca="1"/>
        <v>quest.once_upon_a_forest_chapter_15.accepted</v>
      </c>
      <c r="X300" s="2" t="str">
        <f ca="1"/>
        <v>quest.once_upon_a_forest_chapter_15.accepted</v>
      </c>
      <c r="Y300" s="2" t="str">
        <f ca="1"/>
        <v>quest.quest_for_knowledge_chapter_2.finished</v>
      </c>
      <c r="Z300" s="2" t="str">
        <f ca="1"/>
        <v>quest.once_upon_a_forest_chapter_2.finished</v>
      </c>
      <c r="AA300" s="2" t="str">
        <f ca="1"/>
        <v>state.character_level@12</v>
      </c>
      <c r="AD300" s="2" t="str">
        <f ca="1"/>
        <v>quest.once_upon_a_forest_chapter_15.accepted</v>
      </c>
      <c r="AE300" s="2" t="str">
        <f ca="1"/>
        <v>tech.rock_garden.rake</v>
      </c>
    </row>
    <row r="301" spans="1:31">
      <c r="A301" t="str">
        <f t="shared" ca="1" si="8"/>
        <v>quest.once_upon_a_forest_chapter_15.finished</v>
      </c>
      <c r="B301" t="str">
        <f ca="1">_xlfn.XLOOKUP(tblValidation[[#This Row],[TargetID]],tblTargets[TargetID],tblTargets[TargetType],"")</f>
        <v>QUEST</v>
      </c>
      <c r="C301" s="48" t="b">
        <f ca="1">COUNTIF(tblTargets[TargetID], $A301) &gt; 0</f>
        <v>1</v>
      </c>
      <c r="D301" s="48" t="b">
        <f ca="1">IF(OR(LEFT(tblValidation[[#This Row],[TargetID]],10)="state.CHAR",RIGHT(tblValidation[[#This Row],[TargetID]],5)="maxed"),TRUE, COUNTIF(tblChecklist[TargetID], $A301) &gt; 0)</f>
        <v>1</v>
      </c>
      <c r="E3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$A301) &gt; 0)</f>
        <v>1</v>
      </c>
      <c r="F301" s="48" t="b">
        <f ca="1">COUNTIF(tblDependencies[DependencyID], $A301) &gt; 0</f>
        <v>1</v>
      </c>
      <c r="G301" s="48" t="b">
        <f ca="1">COUNTIF(tblQuestObjectives[QuestTargetID], $A301) &gt; 0</f>
        <v>1</v>
      </c>
      <c r="H301" s="48" t="b">
        <f ca="1">COUNTIF(tblQuestObjectives[ObjectiveID], $A301) &gt; 0</f>
        <v>0</v>
      </c>
      <c r="I301" s="48" t="b">
        <f ca="1">COUNTIF(tblTargetStatus[TargetID], $A301) &gt; 0</f>
        <v>1</v>
      </c>
      <c r="J301" s="48" t="b">
        <f ca="1">COUNTIF(tblCost[TargetID], $A301) &gt; 0</f>
        <v>0</v>
      </c>
      <c r="K301" s="48" t="b">
        <f ca="1">COUNTIF(tblStates[StateID], $A301) &gt; 0</f>
        <v>0</v>
      </c>
      <c r="L301" s="48" t="b">
        <f t="shared" ca="1" si="9"/>
        <v>1</v>
      </c>
      <c r="M301" s="48" t="b">
        <f ca="1">IF(tblValidation[[#This Row],[TargetID]]="","",COUNTIF(tblTargets[TargetID],A301)&gt;1)</f>
        <v>0</v>
      </c>
      <c r="N301" s="48" t="b">
        <f ca="1">IF(tblValidation[[#This Row],[TargetID]]="","",COUNTIF(tblStates[StateID],tblValidation[[#This Row],[TargetID]])&gt;1)</f>
        <v>0</v>
      </c>
      <c r="O301" s="48" t="b" cm="1">
        <f t="array" aca="1" ref="O3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1" s="48"/>
      <c r="R301" s="48"/>
      <c r="S301" s="48"/>
      <c r="T301" s="48"/>
      <c r="V301" s="2" t="str">
        <f ca="1"/>
        <v>quest.once_upon_a_forest_chapter_15.finished</v>
      </c>
      <c r="X301" s="2" t="str">
        <f ca="1"/>
        <v>quest.once_upon_a_forest_chapter_15.finished</v>
      </c>
      <c r="Y301" s="2" t="str">
        <f ca="1"/>
        <v>quest.quest_for_knowledge_chapter_3.accepted</v>
      </c>
      <c r="Z301" s="2" t="str">
        <f ca="1"/>
        <v>quest.once_upon_a_forest_chapter_3.accepted</v>
      </c>
      <c r="AA301" s="2" t="str">
        <f ca="1"/>
        <v>state.character_level@13</v>
      </c>
      <c r="AD301" s="2" t="str">
        <f ca="1"/>
        <v>quest.once_upon_a_forest_chapter_15.finished</v>
      </c>
      <c r="AE301" s="2" t="str">
        <f ca="1"/>
        <v>tech.shop.glass_recycling</v>
      </c>
    </row>
    <row r="302" spans="1:31">
      <c r="A302" t="str">
        <f t="shared" ca="1" si="8"/>
        <v>quest.once_upon_a_forest_chapter_2.accepted</v>
      </c>
      <c r="B302" t="str">
        <f ca="1">_xlfn.XLOOKUP(tblValidation[[#This Row],[TargetID]],tblTargets[TargetID],tblTargets[TargetType],"")</f>
        <v>QUEST</v>
      </c>
      <c r="C302" s="48" t="b">
        <f ca="1">COUNTIF(tblTargets[TargetID], $A302) &gt; 0</f>
        <v>1</v>
      </c>
      <c r="D302" s="48" t="b">
        <f ca="1">IF(OR(LEFT(tblValidation[[#This Row],[TargetID]],10)="state.CHAR",RIGHT(tblValidation[[#This Row],[TargetID]],5)="maxed"),TRUE, COUNTIF(tblChecklist[TargetID], $A302) &gt; 0)</f>
        <v>1</v>
      </c>
      <c r="E3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$A302) &gt; 0)</f>
        <v>1</v>
      </c>
      <c r="F302" s="48" t="b">
        <f ca="1">COUNTIF(tblDependencies[DependencyID], $A302) &gt; 0</f>
        <v>1</v>
      </c>
      <c r="G302" s="48" t="b">
        <f ca="1">COUNTIF(tblQuestObjectives[QuestTargetID], $A302) &gt; 0</f>
        <v>0</v>
      </c>
      <c r="H302" s="48" t="b">
        <f ca="1">COUNTIF(tblQuestObjectives[ObjectiveID], $A302) &gt; 0</f>
        <v>0</v>
      </c>
      <c r="I302" s="48" t="b">
        <f ca="1">COUNTIF(tblTargetStatus[TargetID], $A302) &gt; 0</f>
        <v>1</v>
      </c>
      <c r="J302" s="48" t="b">
        <f ca="1">COUNTIF(tblCost[TargetID], $A302) &gt; 0</f>
        <v>0</v>
      </c>
      <c r="K302" s="48" t="b">
        <f ca="1">COUNTIF(tblStates[StateID], $A302) &gt; 0</f>
        <v>0</v>
      </c>
      <c r="L302" s="48" t="b">
        <f t="shared" ca="1" si="9"/>
        <v>1</v>
      </c>
      <c r="M302" s="48" t="b">
        <f ca="1">IF(tblValidation[[#This Row],[TargetID]]="","",COUNTIF(tblTargets[TargetID],A302)&gt;1)</f>
        <v>0</v>
      </c>
      <c r="N302" s="48" t="b">
        <f ca="1">IF(tblValidation[[#This Row],[TargetID]]="","",COUNTIF(tblStates[StateID],tblValidation[[#This Row],[TargetID]])&gt;1)</f>
        <v>0</v>
      </c>
      <c r="O302" s="48" t="b" cm="1">
        <f t="array" aca="1" ref="O3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2" s="48"/>
      <c r="R302" s="48"/>
      <c r="S302" s="48"/>
      <c r="T302" s="48"/>
      <c r="V302" s="2" t="str">
        <f ca="1"/>
        <v>quest.once_upon_a_forest_chapter_2.accepted</v>
      </c>
      <c r="X302" s="2" t="str">
        <f ca="1"/>
        <v>quest.once_upon_a_forest_chapter_2.accepted</v>
      </c>
      <c r="Y302" s="2" t="str">
        <f ca="1"/>
        <v>quest.quest_for_knowledge_chapter_3.finished</v>
      </c>
      <c r="Z302" s="2" t="str">
        <f ca="1"/>
        <v>quest.once_upon_a_forest_chapter_3.finished</v>
      </c>
      <c r="AA302" s="2" t="str">
        <f ca="1"/>
        <v>state.character_level@14</v>
      </c>
      <c r="AD302" s="2" t="str">
        <f ca="1"/>
        <v>quest.once_upon_a_forest_chapter_2.accepted</v>
      </c>
      <c r="AE302" s="2" t="str">
        <f ca="1"/>
        <v>tech.shop.pre_orders</v>
      </c>
    </row>
    <row r="303" spans="1:31">
      <c r="A303" t="str">
        <f t="shared" ca="1" si="8"/>
        <v>quest.once_upon_a_forest_chapter_2.finished</v>
      </c>
      <c r="B303" t="str">
        <f ca="1">_xlfn.XLOOKUP(tblValidation[[#This Row],[TargetID]],tblTargets[TargetID],tblTargets[TargetType],"")</f>
        <v>QUEST</v>
      </c>
      <c r="C303" s="48" t="b">
        <f ca="1">COUNTIF(tblTargets[TargetID], $A303) &gt; 0</f>
        <v>1</v>
      </c>
      <c r="D303" s="48" t="b">
        <f ca="1">IF(OR(LEFT(tblValidation[[#This Row],[TargetID]],10)="state.CHAR",RIGHT(tblValidation[[#This Row],[TargetID]],5)="maxed"),TRUE, COUNTIF(tblChecklist[TargetID], $A303) &gt; 0)</f>
        <v>1</v>
      </c>
      <c r="E3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$A303) &gt; 0)</f>
        <v>1</v>
      </c>
      <c r="F303" s="48" t="b">
        <f ca="1">COUNTIF(tblDependencies[DependencyID], $A303) &gt; 0</f>
        <v>1</v>
      </c>
      <c r="G303" s="48" t="b">
        <f ca="1">COUNTIF(tblQuestObjectives[QuestTargetID], $A303) &gt; 0</f>
        <v>1</v>
      </c>
      <c r="H303" s="48" t="b">
        <f ca="1">COUNTIF(tblQuestObjectives[ObjectiveID], $A303) &gt; 0</f>
        <v>0</v>
      </c>
      <c r="I303" s="48" t="b">
        <f ca="1">COUNTIF(tblTargetStatus[TargetID], $A303) &gt; 0</f>
        <v>1</v>
      </c>
      <c r="J303" s="48" t="b">
        <f ca="1">COUNTIF(tblCost[TargetID], $A303) &gt; 0</f>
        <v>0</v>
      </c>
      <c r="K303" s="48" t="b">
        <f ca="1">COUNTIF(tblStates[StateID], $A303) &gt; 0</f>
        <v>0</v>
      </c>
      <c r="L303" s="48" t="b">
        <f t="shared" ca="1" si="9"/>
        <v>1</v>
      </c>
      <c r="M303" s="48" t="b">
        <f ca="1">IF(tblValidation[[#This Row],[TargetID]]="","",COUNTIF(tblTargets[TargetID],A303)&gt;1)</f>
        <v>0</v>
      </c>
      <c r="N303" s="48" t="b">
        <f ca="1">IF(tblValidation[[#This Row],[TargetID]]="","",COUNTIF(tblStates[StateID],tblValidation[[#This Row],[TargetID]])&gt;1)</f>
        <v>0</v>
      </c>
      <c r="O303" s="48" t="b" cm="1">
        <f t="array" aca="1" ref="O3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3" s="48"/>
      <c r="R303" s="48"/>
      <c r="S303" s="48"/>
      <c r="T303" s="48"/>
      <c r="V303" s="2" t="str">
        <f ca="1"/>
        <v>quest.once_upon_a_forest_chapter_2.finished</v>
      </c>
      <c r="X303" s="2" t="str">
        <f ca="1"/>
        <v>quest.once_upon_a_forest_chapter_2.finished</v>
      </c>
      <c r="Y303" s="2" t="str">
        <f ca="1"/>
        <v>quest.quest_for_knowledge_chapter_4.accepted</v>
      </c>
      <c r="Z303" s="2" t="str">
        <f ca="1"/>
        <v>quest.once_upon_a_forest_chapter_4.accepted</v>
      </c>
      <c r="AA303" s="2" t="str">
        <f ca="1"/>
        <v>state.character_level@15</v>
      </c>
      <c r="AD303" s="2" t="str">
        <f ca="1"/>
        <v>quest.once_upon_a_forest_chapter_2.finished</v>
      </c>
      <c r="AE303" s="2" t="str">
        <f ca="1"/>
        <v>tech.smithy.gears</v>
      </c>
    </row>
    <row r="304" spans="1:31">
      <c r="A304" t="str">
        <f t="shared" ca="1" si="8"/>
        <v>quest.once_upon_a_forest_chapter_3.accepted</v>
      </c>
      <c r="B304" t="str">
        <f ca="1">_xlfn.XLOOKUP(tblValidation[[#This Row],[TargetID]],tblTargets[TargetID],tblTargets[TargetType],"")</f>
        <v>QUEST</v>
      </c>
      <c r="C304" s="48" t="b">
        <f ca="1">COUNTIF(tblTargets[TargetID], $A304) &gt; 0</f>
        <v>1</v>
      </c>
      <c r="D304" s="48" t="b">
        <f ca="1">IF(OR(LEFT(tblValidation[[#This Row],[TargetID]],10)="state.CHAR",RIGHT(tblValidation[[#This Row],[TargetID]],5)="maxed"),TRUE, COUNTIF(tblChecklist[TargetID], $A304) &gt; 0)</f>
        <v>1</v>
      </c>
      <c r="E3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$A304) &gt; 0)</f>
        <v>1</v>
      </c>
      <c r="F304" s="48" t="b">
        <f ca="1">COUNTIF(tblDependencies[DependencyID], $A304) &gt; 0</f>
        <v>1</v>
      </c>
      <c r="G304" s="48" t="b">
        <f ca="1">COUNTIF(tblQuestObjectives[QuestTargetID], $A304) &gt; 0</f>
        <v>0</v>
      </c>
      <c r="H304" s="48" t="b">
        <f ca="1">COUNTIF(tblQuestObjectives[ObjectiveID], $A304) &gt; 0</f>
        <v>0</v>
      </c>
      <c r="I304" s="48" t="b">
        <f ca="1">COUNTIF(tblTargetStatus[TargetID], $A304) &gt; 0</f>
        <v>1</v>
      </c>
      <c r="J304" s="48" t="b">
        <f ca="1">COUNTIF(tblCost[TargetID], $A304) &gt; 0</f>
        <v>0</v>
      </c>
      <c r="K304" s="48" t="b">
        <f ca="1">COUNTIF(tblStates[StateID], $A304) &gt; 0</f>
        <v>0</v>
      </c>
      <c r="L304" s="48" t="b">
        <f t="shared" ca="1" si="9"/>
        <v>1</v>
      </c>
      <c r="M304" s="48" t="b">
        <f ca="1">IF(tblValidation[[#This Row],[TargetID]]="","",COUNTIF(tblTargets[TargetID],A304)&gt;1)</f>
        <v>0</v>
      </c>
      <c r="N304" s="48" t="b">
        <f ca="1">IF(tblValidation[[#This Row],[TargetID]]="","",COUNTIF(tblStates[StateID],tblValidation[[#This Row],[TargetID]])&gt;1)</f>
        <v>0</v>
      </c>
      <c r="O304" s="48" t="b" cm="1">
        <f t="array" aca="1" ref="O3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4" s="48"/>
      <c r="R304" s="48"/>
      <c r="S304" s="48"/>
      <c r="T304" s="48"/>
      <c r="V304" s="2" t="str">
        <f ca="1"/>
        <v>quest.once_upon_a_forest_chapter_3.accepted</v>
      </c>
      <c r="X304" s="2" t="str">
        <f ca="1"/>
        <v>quest.once_upon_a_forest_chapter_3.accepted</v>
      </c>
      <c r="Y304" s="2" t="str">
        <f ca="1"/>
        <v>quest.quest_for_knowledge_chapter_4.finished</v>
      </c>
      <c r="Z304" s="2" t="str">
        <f ca="1"/>
        <v>quest.once_upon_a_forest_chapter_4.finished</v>
      </c>
      <c r="AA304" s="2" t="str">
        <f ca="1"/>
        <v>state.character_level@18</v>
      </c>
      <c r="AD304" s="2" t="str">
        <f ca="1"/>
        <v>quest.once_upon_a_forest_chapter_3.accepted</v>
      </c>
      <c r="AE304" s="2" t="str">
        <f ca="1"/>
        <v>tech.smithy.sword_for_a_hero_lvl_1</v>
      </c>
    </row>
    <row r="305" spans="1:31">
      <c r="A305" t="str">
        <f t="shared" ca="1" si="8"/>
        <v>quest.once_upon_a_forest_chapter_3.finished</v>
      </c>
      <c r="B305" t="str">
        <f ca="1">_xlfn.XLOOKUP(tblValidation[[#This Row],[TargetID]],tblTargets[TargetID],tblTargets[TargetType],"")</f>
        <v>QUEST</v>
      </c>
      <c r="C305" s="48" t="b">
        <f ca="1">COUNTIF(tblTargets[TargetID], $A305) &gt; 0</f>
        <v>1</v>
      </c>
      <c r="D305" s="48" t="b">
        <f ca="1">IF(OR(LEFT(tblValidation[[#This Row],[TargetID]],10)="state.CHAR",RIGHT(tblValidation[[#This Row],[TargetID]],5)="maxed"),TRUE, COUNTIF(tblChecklist[TargetID], $A305) &gt; 0)</f>
        <v>1</v>
      </c>
      <c r="E3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$A305) &gt; 0)</f>
        <v>1</v>
      </c>
      <c r="F305" s="48" t="b">
        <f ca="1">COUNTIF(tblDependencies[DependencyID], $A305) &gt; 0</f>
        <v>1</v>
      </c>
      <c r="G305" s="48" t="b">
        <f ca="1">COUNTIF(tblQuestObjectives[QuestTargetID], $A305) &gt; 0</f>
        <v>1</v>
      </c>
      <c r="H305" s="48" t="b">
        <f ca="1">COUNTIF(tblQuestObjectives[ObjectiveID], $A305) &gt; 0</f>
        <v>0</v>
      </c>
      <c r="I305" s="48" t="b">
        <f ca="1">COUNTIF(tblTargetStatus[TargetID], $A305) &gt; 0</f>
        <v>1</v>
      </c>
      <c r="J305" s="48" t="b">
        <f ca="1">COUNTIF(tblCost[TargetID], $A305) &gt; 0</f>
        <v>0</v>
      </c>
      <c r="K305" s="48" t="b">
        <f ca="1">COUNTIF(tblStates[StateID], $A305) &gt; 0</f>
        <v>0</v>
      </c>
      <c r="L305" s="48" t="b">
        <f t="shared" ca="1" si="9"/>
        <v>1</v>
      </c>
      <c r="M305" s="48" t="b">
        <f ca="1">IF(tblValidation[[#This Row],[TargetID]]="","",COUNTIF(tblTargets[TargetID],A305)&gt;1)</f>
        <v>0</v>
      </c>
      <c r="N305" s="48" t="b">
        <f ca="1">IF(tblValidation[[#This Row],[TargetID]]="","",COUNTIF(tblStates[StateID],tblValidation[[#This Row],[TargetID]])&gt;1)</f>
        <v>0</v>
      </c>
      <c r="O305" s="48" t="b" cm="1">
        <f t="array" aca="1" ref="O3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5" s="48"/>
      <c r="R305" s="48"/>
      <c r="S305" s="48"/>
      <c r="T305" s="48"/>
      <c r="V305" s="2" t="str">
        <f ca="1"/>
        <v>quest.once_upon_a_forest_chapter_3.finished</v>
      </c>
      <c r="X305" s="2" t="str">
        <f ca="1"/>
        <v>quest.once_upon_a_forest_chapter_3.finished</v>
      </c>
      <c r="Y305" s="2" t="str">
        <f ca="1"/>
        <v>quest.quest_for_knowledge_chapter_5.accepted</v>
      </c>
      <c r="Z305" s="2" t="str">
        <f ca="1"/>
        <v>quest.once_upon_a_forest_chapter_5.accepted</v>
      </c>
      <c r="AA305" s="2" t="str">
        <f ca="1"/>
        <v>state.character_level@2</v>
      </c>
      <c r="AD305" s="2" t="str">
        <f ca="1"/>
        <v>quest.once_upon_a_forest_chapter_3.finished</v>
      </c>
      <c r="AE305" s="2" t="str">
        <f ca="1"/>
        <v>tech.smithy.sword_for_a_hero_lvl_2</v>
      </c>
    </row>
    <row r="306" spans="1:31">
      <c r="A306" t="str">
        <f t="shared" ca="1" si="8"/>
        <v>quest.once_upon_a_forest_chapter_4.accepted</v>
      </c>
      <c r="B306" t="str">
        <f ca="1">_xlfn.XLOOKUP(tblValidation[[#This Row],[TargetID]],tblTargets[TargetID],tblTargets[TargetType],"")</f>
        <v>QUEST</v>
      </c>
      <c r="C306" s="48" t="b">
        <f ca="1">COUNTIF(tblTargets[TargetID], $A306) &gt; 0</f>
        <v>1</v>
      </c>
      <c r="D306" s="48" t="b">
        <f ca="1">IF(OR(LEFT(tblValidation[[#This Row],[TargetID]],10)="state.CHAR",RIGHT(tblValidation[[#This Row],[TargetID]],5)="maxed"),TRUE, COUNTIF(tblChecklist[TargetID], $A306) &gt; 0)</f>
        <v>1</v>
      </c>
      <c r="E3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$A306) &gt; 0)</f>
        <v>1</v>
      </c>
      <c r="F306" s="48" t="b">
        <f ca="1">COUNTIF(tblDependencies[DependencyID], $A306) &gt; 0</f>
        <v>1</v>
      </c>
      <c r="G306" s="48" t="b">
        <f ca="1">COUNTIF(tblQuestObjectives[QuestTargetID], $A306) &gt; 0</f>
        <v>0</v>
      </c>
      <c r="H306" s="48" t="b">
        <f ca="1">COUNTIF(tblQuestObjectives[ObjectiveID], $A306) &gt; 0</f>
        <v>0</v>
      </c>
      <c r="I306" s="48" t="b">
        <f ca="1">COUNTIF(tblTargetStatus[TargetID], $A306) &gt; 0</f>
        <v>1</v>
      </c>
      <c r="J306" s="48" t="b">
        <f ca="1">COUNTIF(tblCost[TargetID], $A306) &gt; 0</f>
        <v>0</v>
      </c>
      <c r="K306" s="48" t="b">
        <f ca="1">COUNTIF(tblStates[StateID], $A306) &gt; 0</f>
        <v>0</v>
      </c>
      <c r="L306" s="48" t="b">
        <f t="shared" ca="1" si="9"/>
        <v>1</v>
      </c>
      <c r="M306" s="48" t="b">
        <f ca="1">IF(tblValidation[[#This Row],[TargetID]]="","",COUNTIF(tblTargets[TargetID],A306)&gt;1)</f>
        <v>0</v>
      </c>
      <c r="N306" s="48" t="b">
        <f ca="1">IF(tblValidation[[#This Row],[TargetID]]="","",COUNTIF(tblStates[StateID],tblValidation[[#This Row],[TargetID]])&gt;1)</f>
        <v>0</v>
      </c>
      <c r="O306" s="48" t="b" cm="1">
        <f t="array" aca="1" ref="O3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6" s="48"/>
      <c r="R306" s="48"/>
      <c r="S306" s="48"/>
      <c r="T306" s="48"/>
      <c r="V306" s="2" t="str">
        <f ca="1"/>
        <v>quest.once_upon_a_forest_chapter_4.accepted</v>
      </c>
      <c r="X306" s="2" t="str">
        <f ca="1"/>
        <v>quest.once_upon_a_forest_chapter_4.accepted</v>
      </c>
      <c r="Y306" s="2" t="str">
        <f ca="1"/>
        <v>quest.quest_for_knowledge_chapter_5.finished</v>
      </c>
      <c r="Z306" s="2" t="str">
        <f ca="1"/>
        <v>quest.once_upon_a_forest_chapter_5.finished</v>
      </c>
      <c r="AA306" s="2" t="str">
        <f ca="1"/>
        <v>state.character_level@20</v>
      </c>
      <c r="AD306" s="2" t="str">
        <f ca="1"/>
        <v>quest.once_upon_a_forest_chapter_4.accepted</v>
      </c>
      <c r="AE306" s="2" t="str">
        <f ca="1"/>
        <v>tech.smithy.sword_for_a_hero_lvl_3</v>
      </c>
    </row>
    <row r="307" spans="1:31">
      <c r="A307" t="str">
        <f t="shared" ca="1" si="8"/>
        <v>quest.once_upon_a_forest_chapter_4.finished</v>
      </c>
      <c r="B307" t="str">
        <f ca="1">_xlfn.XLOOKUP(tblValidation[[#This Row],[TargetID]],tblTargets[TargetID],tblTargets[TargetType],"")</f>
        <v>QUEST</v>
      </c>
      <c r="C307" s="48" t="b">
        <f ca="1">COUNTIF(tblTargets[TargetID], $A307) &gt; 0</f>
        <v>1</v>
      </c>
      <c r="D307" s="48" t="b">
        <f ca="1">IF(OR(LEFT(tblValidation[[#This Row],[TargetID]],10)="state.CHAR",RIGHT(tblValidation[[#This Row],[TargetID]],5)="maxed"),TRUE, COUNTIF(tblChecklist[TargetID], $A307) &gt; 0)</f>
        <v>1</v>
      </c>
      <c r="E3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$A307) &gt; 0)</f>
        <v>1</v>
      </c>
      <c r="F307" s="48" t="b">
        <f ca="1">COUNTIF(tblDependencies[DependencyID], $A307) &gt; 0</f>
        <v>1</v>
      </c>
      <c r="G307" s="48" t="b">
        <f ca="1">COUNTIF(tblQuestObjectives[QuestTargetID], $A307) &gt; 0</f>
        <v>1</v>
      </c>
      <c r="H307" s="48" t="b">
        <f ca="1">COUNTIF(tblQuestObjectives[ObjectiveID], $A307) &gt; 0</f>
        <v>0</v>
      </c>
      <c r="I307" s="48" t="b">
        <f ca="1">COUNTIF(tblTargetStatus[TargetID], $A307) &gt; 0</f>
        <v>1</v>
      </c>
      <c r="J307" s="48" t="b">
        <f ca="1">COUNTIF(tblCost[TargetID], $A307) &gt; 0</f>
        <v>0</v>
      </c>
      <c r="K307" s="48" t="b">
        <f ca="1">COUNTIF(tblStates[StateID], $A307) &gt; 0</f>
        <v>0</v>
      </c>
      <c r="L307" s="48" t="b">
        <f t="shared" ca="1" si="9"/>
        <v>1</v>
      </c>
      <c r="M307" s="48" t="b">
        <f ca="1">IF(tblValidation[[#This Row],[TargetID]]="","",COUNTIF(tblTargets[TargetID],A307)&gt;1)</f>
        <v>0</v>
      </c>
      <c r="N307" s="48" t="b">
        <f ca="1">IF(tblValidation[[#This Row],[TargetID]]="","",COUNTIF(tblStates[StateID],tblValidation[[#This Row],[TargetID]])&gt;1)</f>
        <v>0</v>
      </c>
      <c r="O307" s="48" t="b" cm="1">
        <f t="array" aca="1" ref="O3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7" s="48"/>
      <c r="R307" s="48"/>
      <c r="S307" s="48"/>
      <c r="T307" s="48"/>
      <c r="V307" s="2" t="str">
        <f ca="1"/>
        <v>quest.once_upon_a_forest_chapter_4.finished</v>
      </c>
      <c r="X307" s="2" t="str">
        <f ca="1"/>
        <v>quest.once_upon_a_forest_chapter_4.finished</v>
      </c>
      <c r="Y307" s="2" t="str">
        <f ca="1"/>
        <v>quest.shoguns_katana_chapter_1.accepted</v>
      </c>
      <c r="Z307" s="2" t="str">
        <f ca="1"/>
        <v>quest.once_upon_a_forest_chapter_6.accepted</v>
      </c>
      <c r="AA307" s="2" t="str">
        <f ca="1"/>
        <v>state.character_level@21</v>
      </c>
      <c r="AD307" s="2" t="str">
        <f ca="1"/>
        <v>quest.once_upon_a_forest_chapter_4.finished</v>
      </c>
      <c r="AE307" s="2" t="str">
        <f ca="1"/>
        <v>tech.smithy.sword_for_a_hero_lvl_4</v>
      </c>
    </row>
    <row r="308" spans="1:31">
      <c r="A308" t="str">
        <f t="shared" ca="1" si="8"/>
        <v>quest.once_upon_a_forest_chapter_5.accepted</v>
      </c>
      <c r="B308" t="str">
        <f ca="1">_xlfn.XLOOKUP(tblValidation[[#This Row],[TargetID]],tblTargets[TargetID],tblTargets[TargetType],"")</f>
        <v>QUEST</v>
      </c>
      <c r="C308" s="48" t="b">
        <f ca="1">COUNTIF(tblTargets[TargetID], $A308) &gt; 0</f>
        <v>1</v>
      </c>
      <c r="D308" s="48" t="b">
        <f ca="1">IF(OR(LEFT(tblValidation[[#This Row],[TargetID]],10)="state.CHAR",RIGHT(tblValidation[[#This Row],[TargetID]],5)="maxed"),TRUE, COUNTIF(tblChecklist[TargetID], $A308) &gt; 0)</f>
        <v>1</v>
      </c>
      <c r="E3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$A308) &gt; 0)</f>
        <v>1</v>
      </c>
      <c r="F308" s="48" t="b">
        <f ca="1">COUNTIF(tblDependencies[DependencyID], $A308) &gt; 0</f>
        <v>1</v>
      </c>
      <c r="G308" s="48" t="b">
        <f ca="1">COUNTIF(tblQuestObjectives[QuestTargetID], $A308) &gt; 0</f>
        <v>0</v>
      </c>
      <c r="H308" s="48" t="b">
        <f ca="1">COUNTIF(tblQuestObjectives[ObjectiveID], $A308) &gt; 0</f>
        <v>0</v>
      </c>
      <c r="I308" s="48" t="b">
        <f ca="1">COUNTIF(tblTargetStatus[TargetID], $A308) &gt; 0</f>
        <v>1</v>
      </c>
      <c r="J308" s="48" t="b">
        <f ca="1">COUNTIF(tblCost[TargetID], $A308) &gt; 0</f>
        <v>0</v>
      </c>
      <c r="K308" s="48" t="b">
        <f ca="1">COUNTIF(tblStates[StateID], $A308) &gt; 0</f>
        <v>0</v>
      </c>
      <c r="L308" s="48" t="b">
        <f t="shared" ca="1" si="9"/>
        <v>1</v>
      </c>
      <c r="M308" s="48" t="b">
        <f ca="1">IF(tblValidation[[#This Row],[TargetID]]="","",COUNTIF(tblTargets[TargetID],A308)&gt;1)</f>
        <v>0</v>
      </c>
      <c r="N308" s="48" t="b">
        <f ca="1">IF(tblValidation[[#This Row],[TargetID]]="","",COUNTIF(tblStates[StateID],tblValidation[[#This Row],[TargetID]])&gt;1)</f>
        <v>0</v>
      </c>
      <c r="O308" s="48" t="b" cm="1">
        <f t="array" aca="1" ref="O3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8" s="48"/>
      <c r="R308" s="48"/>
      <c r="S308" s="48"/>
      <c r="T308" s="48"/>
      <c r="V308" s="2" t="str">
        <f ca="1"/>
        <v>quest.once_upon_a_forest_chapter_5.accepted</v>
      </c>
      <c r="X308" s="2" t="str">
        <f ca="1"/>
        <v>quest.once_upon_a_forest_chapter_5.accepted</v>
      </c>
      <c r="Y308" s="2" t="str">
        <f ca="1"/>
        <v>quest.shoguns_katana_chapter_1.finished</v>
      </c>
      <c r="Z308" s="2" t="str">
        <f ca="1"/>
        <v>quest.once_upon_a_forest_chapter_6.finished</v>
      </c>
      <c r="AA308" s="2" t="str">
        <f ca="1"/>
        <v>state.character_level@22</v>
      </c>
      <c r="AD308" s="2" t="str">
        <f ca="1"/>
        <v>quest.once_upon_a_forest_chapter_5.accepted</v>
      </c>
      <c r="AE308" s="2" t="str">
        <f ca="1"/>
        <v>tech.smithy.sword_for_a_hero_lvl_4+</v>
      </c>
    </row>
    <row r="309" spans="1:31">
      <c r="A309" t="str">
        <f t="shared" ca="1" si="8"/>
        <v>quest.once_upon_a_forest_chapter_5.finished</v>
      </c>
      <c r="B309" t="str">
        <f ca="1">_xlfn.XLOOKUP(tblValidation[[#This Row],[TargetID]],tblTargets[TargetID],tblTargets[TargetType],"")</f>
        <v>QUEST</v>
      </c>
      <c r="C309" s="48" t="b">
        <f ca="1">COUNTIF(tblTargets[TargetID], $A309) &gt; 0</f>
        <v>1</v>
      </c>
      <c r="D309" s="48" t="b">
        <f ca="1">IF(OR(LEFT(tblValidation[[#This Row],[TargetID]],10)="state.CHAR",RIGHT(tblValidation[[#This Row],[TargetID]],5)="maxed"),TRUE, COUNTIF(tblChecklist[TargetID], $A309) &gt; 0)</f>
        <v>1</v>
      </c>
      <c r="E3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$A309) &gt; 0)</f>
        <v>1</v>
      </c>
      <c r="F309" s="48" t="b">
        <f ca="1">COUNTIF(tblDependencies[DependencyID], $A309) &gt; 0</f>
        <v>1</v>
      </c>
      <c r="G309" s="48" t="b">
        <f ca="1">COUNTIF(tblQuestObjectives[QuestTargetID], $A309) &gt; 0</f>
        <v>0</v>
      </c>
      <c r="H309" s="48" t="b">
        <f ca="1">COUNTIF(tblQuestObjectives[ObjectiveID], $A309) &gt; 0</f>
        <v>0</v>
      </c>
      <c r="I309" s="48" t="b">
        <f ca="1">COUNTIF(tblTargetStatus[TargetID], $A309) &gt; 0</f>
        <v>1</v>
      </c>
      <c r="J309" s="48" t="b">
        <f ca="1">COUNTIF(tblCost[TargetID], $A309) &gt; 0</f>
        <v>1</v>
      </c>
      <c r="K309" s="48" t="b">
        <f ca="1">COUNTIF(tblStates[StateID], $A309) &gt; 0</f>
        <v>0</v>
      </c>
      <c r="L309" s="48" t="b">
        <f t="shared" ca="1" si="9"/>
        <v>1</v>
      </c>
      <c r="M309" s="48" t="b">
        <f ca="1">IF(tblValidation[[#This Row],[TargetID]]="","",COUNTIF(tblTargets[TargetID],A309)&gt;1)</f>
        <v>0</v>
      </c>
      <c r="N309" s="48" t="b">
        <f ca="1">IF(tblValidation[[#This Row],[TargetID]]="","",COUNTIF(tblStates[StateID],tblValidation[[#This Row],[TargetID]])&gt;1)</f>
        <v>0</v>
      </c>
      <c r="O309" s="48" t="b" cm="1">
        <f t="array" aca="1" ref="O3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9" s="48"/>
      <c r="R309" s="48"/>
      <c r="S309" s="48"/>
      <c r="T309" s="48"/>
      <c r="V309" s="2" t="str">
        <f ca="1"/>
        <v>quest.once_upon_a_forest_chapter_5.finished</v>
      </c>
      <c r="X309" s="2" t="str">
        <f ca="1"/>
        <v>quest.once_upon_a_forest_chapter_5.finished</v>
      </c>
      <c r="Y309" s="2" t="str">
        <f ca="1"/>
        <v>quest.shoguns_katana_chapter_2.accepted</v>
      </c>
      <c r="Z309" s="2" t="str">
        <f ca="1"/>
        <v>quest.once_upon_a_forest_chapter_7.accepted</v>
      </c>
      <c r="AA309" s="2" t="str">
        <f ca="1"/>
        <v>state.character_level@23</v>
      </c>
      <c r="AD309" s="2" t="str">
        <f ca="1"/>
        <v>quest.once_upon_a_forest_chapter_5.finished</v>
      </c>
      <c r="AE309" s="2" t="str">
        <f ca="1"/>
        <v>tech.smithy.throwing_knife</v>
      </c>
    </row>
    <row r="310" spans="1:31">
      <c r="A310" t="str">
        <f t="shared" ca="1" si="8"/>
        <v>quest.once_upon_a_forest_chapter_6.accepted</v>
      </c>
      <c r="B310" t="str">
        <f ca="1">_xlfn.XLOOKUP(tblValidation[[#This Row],[TargetID]],tblTargets[TargetID],tblTargets[TargetType],"")</f>
        <v>QUEST</v>
      </c>
      <c r="C310" s="48" t="b">
        <f ca="1">COUNTIF(tblTargets[TargetID], $A310) &gt; 0</f>
        <v>1</v>
      </c>
      <c r="D310" s="48" t="b">
        <f ca="1">IF(OR(LEFT(tblValidation[[#This Row],[TargetID]],10)="state.CHAR",RIGHT(tblValidation[[#This Row],[TargetID]],5)="maxed"),TRUE, COUNTIF(tblChecklist[TargetID], $A310) &gt; 0)</f>
        <v>1</v>
      </c>
      <c r="E3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$A310) &gt; 0)</f>
        <v>1</v>
      </c>
      <c r="F310" s="48" t="b">
        <f ca="1">COUNTIF(tblDependencies[DependencyID], $A310) &gt; 0</f>
        <v>1</v>
      </c>
      <c r="G310" s="48" t="b">
        <f ca="1">COUNTIF(tblQuestObjectives[QuestTargetID], $A310) &gt; 0</f>
        <v>0</v>
      </c>
      <c r="H310" s="48" t="b">
        <f ca="1">COUNTIF(tblQuestObjectives[ObjectiveID], $A310) &gt; 0</f>
        <v>0</v>
      </c>
      <c r="I310" s="48" t="b">
        <f ca="1">COUNTIF(tblTargetStatus[TargetID], $A310) &gt; 0</f>
        <v>1</v>
      </c>
      <c r="J310" s="48" t="b">
        <f ca="1">COUNTIF(tblCost[TargetID], $A310) &gt; 0</f>
        <v>0</v>
      </c>
      <c r="K310" s="48" t="b">
        <f ca="1">COUNTIF(tblStates[StateID], $A310) &gt; 0</f>
        <v>0</v>
      </c>
      <c r="L310" s="48" t="b">
        <f t="shared" ca="1" si="9"/>
        <v>1</v>
      </c>
      <c r="M310" s="48" t="b">
        <f ca="1">IF(tblValidation[[#This Row],[TargetID]]="","",COUNTIF(tblTargets[TargetID],A310)&gt;1)</f>
        <v>0</v>
      </c>
      <c r="N310" s="48" t="b">
        <f ca="1">IF(tblValidation[[#This Row],[TargetID]]="","",COUNTIF(tblStates[StateID],tblValidation[[#This Row],[TargetID]])&gt;1)</f>
        <v>0</v>
      </c>
      <c r="O310" s="48" t="b" cm="1">
        <f t="array" aca="1" ref="O3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0" s="48"/>
      <c r="R310" s="48"/>
      <c r="S310" s="48"/>
      <c r="T310" s="48"/>
      <c r="V310" s="2" t="str">
        <f ca="1"/>
        <v>quest.once_upon_a_forest_chapter_6.accepted</v>
      </c>
      <c r="X310" s="2" t="str">
        <f ca="1"/>
        <v>quest.once_upon_a_forest_chapter_6.accepted</v>
      </c>
      <c r="Y310" s="2" t="str">
        <f ca="1"/>
        <v>quest.shoguns_katana_chapter_2.finished</v>
      </c>
      <c r="Z310" s="2" t="str">
        <f ca="1"/>
        <v>quest.once_upon_a_forest_chapter_7.finished</v>
      </c>
      <c r="AA310" s="2" t="str">
        <f ca="1"/>
        <v>state.character_level@24</v>
      </c>
      <c r="AD310" s="2" t="str">
        <f ca="1"/>
        <v>quest.once_upon_a_forest_chapter_6.accepted</v>
      </c>
      <c r="AE310" s="2" t="str">
        <f ca="1"/>
        <v>tech.smithy.treasure</v>
      </c>
    </row>
    <row r="311" spans="1:31">
      <c r="A311" t="str">
        <f t="shared" ca="1" si="8"/>
        <v>quest.once_upon_a_forest_chapter_6.finished</v>
      </c>
      <c r="B311" t="str">
        <f ca="1">_xlfn.XLOOKUP(tblValidation[[#This Row],[TargetID]],tblTargets[TargetID],tblTargets[TargetType],"")</f>
        <v>QUEST</v>
      </c>
      <c r="C311" s="48" t="b">
        <f ca="1">COUNTIF(tblTargets[TargetID], $A311) &gt; 0</f>
        <v>1</v>
      </c>
      <c r="D311" s="48" t="b">
        <f ca="1">IF(OR(LEFT(tblValidation[[#This Row],[TargetID]],10)="state.CHAR",RIGHT(tblValidation[[#This Row],[TargetID]],5)="maxed"),TRUE, COUNTIF(tblChecklist[TargetID], $A311) &gt; 0)</f>
        <v>1</v>
      </c>
      <c r="E3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$A311) &gt; 0)</f>
        <v>1</v>
      </c>
      <c r="F311" s="48" t="b">
        <f ca="1">COUNTIF(tblDependencies[DependencyID], $A311) &gt; 0</f>
        <v>1</v>
      </c>
      <c r="G311" s="48" t="b">
        <f ca="1">COUNTIF(tblQuestObjectives[QuestTargetID], $A311) &gt; 0</f>
        <v>1</v>
      </c>
      <c r="H311" s="48" t="b">
        <f ca="1">COUNTIF(tblQuestObjectives[ObjectiveID], $A311) &gt; 0</f>
        <v>0</v>
      </c>
      <c r="I311" s="48" t="b">
        <f ca="1">COUNTIF(tblTargetStatus[TargetID], $A311) &gt; 0</f>
        <v>1</v>
      </c>
      <c r="J311" s="48" t="b">
        <f ca="1">COUNTIF(tblCost[TargetID], $A311) &gt; 0</f>
        <v>0</v>
      </c>
      <c r="K311" s="48" t="b">
        <f ca="1">COUNTIF(tblStates[StateID], $A311) &gt; 0</f>
        <v>0</v>
      </c>
      <c r="L311" s="48" t="b">
        <f t="shared" ca="1" si="9"/>
        <v>1</v>
      </c>
      <c r="M311" s="48" t="b">
        <f ca="1">IF(tblValidation[[#This Row],[TargetID]]="","",COUNTIF(tblTargets[TargetID],A311)&gt;1)</f>
        <v>0</v>
      </c>
      <c r="N311" s="48" t="b">
        <f ca="1">IF(tblValidation[[#This Row],[TargetID]]="","",COUNTIF(tblStates[StateID],tblValidation[[#This Row],[TargetID]])&gt;1)</f>
        <v>0</v>
      </c>
      <c r="O311" s="48" t="b" cm="1">
        <f t="array" aca="1" ref="O3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1" s="48"/>
      <c r="R311" s="48"/>
      <c r="S311" s="48"/>
      <c r="T311" s="48"/>
      <c r="V311" s="2" t="str">
        <f ca="1"/>
        <v>quest.once_upon_a_forest_chapter_6.finished</v>
      </c>
      <c r="X311" s="2" t="str">
        <f ca="1"/>
        <v>quest.once_upon_a_forest_chapter_6.finished</v>
      </c>
      <c r="Y311" s="2" t="str">
        <f ca="1"/>
        <v>quest.shoguns_katana_chapter_3.accepted</v>
      </c>
      <c r="Z311" s="2" t="str">
        <f ca="1"/>
        <v>quest.once_upon_a_forest_chapter_8.accepted</v>
      </c>
      <c r="AA311" s="2" t="str">
        <f ca="1"/>
        <v>state.character_level@28</v>
      </c>
      <c r="AD311" s="2" t="str">
        <f ca="1"/>
        <v>quest.once_upon_a_forest_chapter_6.finished</v>
      </c>
      <c r="AE311" s="2" t="str">
        <f ca="1"/>
        <v>tech.smithy.weapon_grease</v>
      </c>
    </row>
    <row r="312" spans="1:31">
      <c r="A312" t="str">
        <f t="shared" ca="1" si="8"/>
        <v>quest.once_upon_a_forest_chapter_7.accepted</v>
      </c>
      <c r="B312" t="str">
        <f ca="1">_xlfn.XLOOKUP(tblValidation[[#This Row],[TargetID]],tblTargets[TargetID],tblTargets[TargetType],"")</f>
        <v>QUEST</v>
      </c>
      <c r="C312" s="48" t="b">
        <f ca="1">COUNTIF(tblTargets[TargetID], $A312) &gt; 0</f>
        <v>1</v>
      </c>
      <c r="D312" s="48" t="b">
        <f ca="1">IF(OR(LEFT(tblValidation[[#This Row],[TargetID]],10)="state.CHAR",RIGHT(tblValidation[[#This Row],[TargetID]],5)="maxed"),TRUE, COUNTIF(tblChecklist[TargetID], $A312) &gt; 0)</f>
        <v>1</v>
      </c>
      <c r="E3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$A312) &gt; 0)</f>
        <v>1</v>
      </c>
      <c r="F312" s="48" t="b">
        <f ca="1">COUNTIF(tblDependencies[DependencyID], $A312) &gt; 0</f>
        <v>1</v>
      </c>
      <c r="G312" s="48" t="b">
        <f ca="1">COUNTIF(tblQuestObjectives[QuestTargetID], $A312) &gt; 0</f>
        <v>0</v>
      </c>
      <c r="H312" s="48" t="b">
        <f ca="1">COUNTIF(tblQuestObjectives[ObjectiveID], $A312) &gt; 0</f>
        <v>0</v>
      </c>
      <c r="I312" s="48" t="b">
        <f ca="1">COUNTIF(tblTargetStatus[TargetID], $A312) &gt; 0</f>
        <v>1</v>
      </c>
      <c r="J312" s="48" t="b">
        <f ca="1">COUNTIF(tblCost[TargetID], $A312) &gt; 0</f>
        <v>0</v>
      </c>
      <c r="K312" s="48" t="b">
        <f ca="1">COUNTIF(tblStates[StateID], $A312) &gt; 0</f>
        <v>0</v>
      </c>
      <c r="L312" s="48" t="b">
        <f t="shared" ca="1" si="9"/>
        <v>1</v>
      </c>
      <c r="M312" s="48" t="b">
        <f ca="1">IF(tblValidation[[#This Row],[TargetID]]="","",COUNTIF(tblTargets[TargetID],A312)&gt;1)</f>
        <v>0</v>
      </c>
      <c r="N312" s="48" t="b">
        <f ca="1">IF(tblValidation[[#This Row],[TargetID]]="","",COUNTIF(tblStates[StateID],tblValidation[[#This Row],[TargetID]])&gt;1)</f>
        <v>0</v>
      </c>
      <c r="O312" s="48" t="b" cm="1">
        <f t="array" aca="1" ref="O3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2" s="48"/>
      <c r="R312" s="48"/>
      <c r="S312" s="48"/>
      <c r="T312" s="48"/>
      <c r="V312" s="2" t="str">
        <f ca="1"/>
        <v>quest.once_upon_a_forest_chapter_7.accepted</v>
      </c>
      <c r="X312" s="2" t="str">
        <f ca="1"/>
        <v>quest.once_upon_a_forest_chapter_7.accepted</v>
      </c>
      <c r="Y312" s="2" t="str">
        <f ca="1"/>
        <v>quest.shoguns_katana_chapter_3.finished</v>
      </c>
      <c r="Z312" s="2" t="str">
        <f ca="1"/>
        <v>quest.once_upon_a_forest_chapter_8.finished</v>
      </c>
      <c r="AA312" s="2" t="str">
        <f ca="1"/>
        <v>state.character_level@3</v>
      </c>
      <c r="AD312" s="2" t="str">
        <f ca="1"/>
        <v>quest.once_upon_a_forest_chapter_7.accepted</v>
      </c>
      <c r="AE312" s="2" t="str">
        <f ca="1"/>
        <v>tech.tailor.ariadnes_thread</v>
      </c>
    </row>
    <row r="313" spans="1:31">
      <c r="A313" t="str">
        <f t="shared" ca="1" si="8"/>
        <v>quest.once_upon_a_forest_chapter_7.finished</v>
      </c>
      <c r="B313" t="str">
        <f ca="1">_xlfn.XLOOKUP(tblValidation[[#This Row],[TargetID]],tblTargets[TargetID],tblTargets[TargetType],"")</f>
        <v>QUEST</v>
      </c>
      <c r="C313" s="48" t="b">
        <f ca="1">COUNTIF(tblTargets[TargetID], $A313) &gt; 0</f>
        <v>1</v>
      </c>
      <c r="D313" s="48" t="b">
        <f ca="1">IF(OR(LEFT(tblValidation[[#This Row],[TargetID]],10)="state.CHAR",RIGHT(tblValidation[[#This Row],[TargetID]],5)="maxed"),TRUE, COUNTIF(tblChecklist[TargetID], $A313) &gt; 0)</f>
        <v>1</v>
      </c>
      <c r="E3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$A313) &gt; 0)</f>
        <v>1</v>
      </c>
      <c r="F313" s="48" t="b">
        <f ca="1">COUNTIF(tblDependencies[DependencyID], $A313) &gt; 0</f>
        <v>1</v>
      </c>
      <c r="G313" s="48" t="b">
        <f ca="1">COUNTIF(tblQuestObjectives[QuestTargetID], $A313) &gt; 0</f>
        <v>1</v>
      </c>
      <c r="H313" s="48" t="b">
        <f ca="1">COUNTIF(tblQuestObjectives[ObjectiveID], $A313) &gt; 0</f>
        <v>0</v>
      </c>
      <c r="I313" s="48" t="b">
        <f ca="1">COUNTIF(tblTargetStatus[TargetID], $A313) &gt; 0</f>
        <v>1</v>
      </c>
      <c r="J313" s="48" t="b">
        <f ca="1">COUNTIF(tblCost[TargetID], $A313) &gt; 0</f>
        <v>0</v>
      </c>
      <c r="K313" s="48" t="b">
        <f ca="1">COUNTIF(tblStates[StateID], $A313) &gt; 0</f>
        <v>0</v>
      </c>
      <c r="L313" s="48" t="b">
        <f t="shared" ca="1" si="9"/>
        <v>1</v>
      </c>
      <c r="M313" s="48" t="b">
        <f ca="1">IF(tblValidation[[#This Row],[TargetID]]="","",COUNTIF(tblTargets[TargetID],A313)&gt;1)</f>
        <v>0</v>
      </c>
      <c r="N313" s="48" t="b">
        <f ca="1">IF(tblValidation[[#This Row],[TargetID]]="","",COUNTIF(tblStates[StateID],tblValidation[[#This Row],[TargetID]])&gt;1)</f>
        <v>0</v>
      </c>
      <c r="O313" s="48" t="b" cm="1">
        <f t="array" aca="1" ref="O3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3" s="48"/>
      <c r="R313" s="48"/>
      <c r="S313" s="48"/>
      <c r="T313" s="48"/>
      <c r="V313" s="2" t="str">
        <f ca="1"/>
        <v>quest.once_upon_a_forest_chapter_7.finished</v>
      </c>
      <c r="X313" s="2" t="str">
        <f ca="1"/>
        <v>quest.once_upon_a_forest_chapter_7.finished</v>
      </c>
      <c r="Y313" s="2" t="str">
        <f ca="1"/>
        <v>quest.shoguns_katana_chapter_4.accepted</v>
      </c>
      <c r="Z313" s="2" t="str">
        <f ca="1"/>
        <v>quest.once_upon_a_forest_chapter_9.accepted</v>
      </c>
      <c r="AA313" s="2" t="str">
        <f ca="1"/>
        <v>state.character_level@30</v>
      </c>
      <c r="AD313" s="2" t="str">
        <f ca="1"/>
        <v>quest.once_upon_a_forest_chapter_7.finished</v>
      </c>
      <c r="AE313" s="2" t="str">
        <f ca="1"/>
        <v>tech.tailor.armor_for_a_hero_lvl_1</v>
      </c>
    </row>
    <row r="314" spans="1:31">
      <c r="A314" t="str">
        <f t="shared" ca="1" si="8"/>
        <v>quest.once_upon_a_forest_chapter_8.accepted</v>
      </c>
      <c r="B314" t="str">
        <f ca="1">_xlfn.XLOOKUP(tblValidation[[#This Row],[TargetID]],tblTargets[TargetID],tblTargets[TargetType],"")</f>
        <v>QUEST</v>
      </c>
      <c r="C314" s="48" t="b">
        <f ca="1">COUNTIF(tblTargets[TargetID], $A314) &gt; 0</f>
        <v>1</v>
      </c>
      <c r="D314" s="48" t="b">
        <f ca="1">IF(OR(LEFT(tblValidation[[#This Row],[TargetID]],10)="state.CHAR",RIGHT(tblValidation[[#This Row],[TargetID]],5)="maxed"),TRUE, COUNTIF(tblChecklist[TargetID], $A314) &gt; 0)</f>
        <v>1</v>
      </c>
      <c r="E3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$A314) &gt; 0)</f>
        <v>1</v>
      </c>
      <c r="F314" s="48" t="b">
        <f ca="1">COUNTIF(tblDependencies[DependencyID], $A314) &gt; 0</f>
        <v>1</v>
      </c>
      <c r="G314" s="48" t="b">
        <f ca="1">COUNTIF(tblQuestObjectives[QuestTargetID], $A314) &gt; 0</f>
        <v>0</v>
      </c>
      <c r="H314" s="48" t="b">
        <f ca="1">COUNTIF(tblQuestObjectives[ObjectiveID], $A314) &gt; 0</f>
        <v>0</v>
      </c>
      <c r="I314" s="48" t="b">
        <f ca="1">COUNTIF(tblTargetStatus[TargetID], $A314) &gt; 0</f>
        <v>1</v>
      </c>
      <c r="J314" s="48" t="b">
        <f ca="1">COUNTIF(tblCost[TargetID], $A314) &gt; 0</f>
        <v>0</v>
      </c>
      <c r="K314" s="48" t="b">
        <f ca="1">COUNTIF(tblStates[StateID], $A314) &gt; 0</f>
        <v>0</v>
      </c>
      <c r="L314" s="48" t="b">
        <f t="shared" ca="1" si="9"/>
        <v>1</v>
      </c>
      <c r="M314" s="48" t="b">
        <f ca="1">IF(tblValidation[[#This Row],[TargetID]]="","",COUNTIF(tblTargets[TargetID],A314)&gt;1)</f>
        <v>0</v>
      </c>
      <c r="N314" s="48" t="b">
        <f ca="1">IF(tblValidation[[#This Row],[TargetID]]="","",COUNTIF(tblStates[StateID],tblValidation[[#This Row],[TargetID]])&gt;1)</f>
        <v>0</v>
      </c>
      <c r="O314" s="48" t="b" cm="1">
        <f t="array" aca="1" ref="O3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4" s="48"/>
      <c r="R314" s="48"/>
      <c r="S314" s="48"/>
      <c r="T314" s="48"/>
      <c r="V314" s="2" t="str">
        <f ca="1"/>
        <v>quest.once_upon_a_forest_chapter_8.accepted</v>
      </c>
      <c r="X314" s="2" t="str">
        <f ca="1"/>
        <v>quest.once_upon_a_forest_chapter_8.accepted</v>
      </c>
      <c r="Y314" s="2" t="str">
        <f ca="1"/>
        <v>quest.shoguns_katana_chapter_4.finished</v>
      </c>
      <c r="Z314" s="2" t="str">
        <f ca="1"/>
        <v>quest.once_upon_a_forest_chapter_9.finished</v>
      </c>
      <c r="AA314" s="2" t="str">
        <f ca="1"/>
        <v>state.character_level@31</v>
      </c>
      <c r="AD314" s="2" t="str">
        <f ca="1"/>
        <v>quest.once_upon_a_forest_chapter_8.accepted</v>
      </c>
      <c r="AE314" s="2" t="str">
        <f ca="1"/>
        <v>tech.tailor.armor_for_a_hero_lvl_2</v>
      </c>
    </row>
    <row r="315" spans="1:31">
      <c r="A315" t="str">
        <f t="shared" ca="1" si="8"/>
        <v>quest.once_upon_a_forest_chapter_8.finished</v>
      </c>
      <c r="B315" t="str">
        <f ca="1">_xlfn.XLOOKUP(tblValidation[[#This Row],[TargetID]],tblTargets[TargetID],tblTargets[TargetType],"")</f>
        <v>QUEST</v>
      </c>
      <c r="C315" s="48" t="b">
        <f ca="1">COUNTIF(tblTargets[TargetID], $A315) &gt; 0</f>
        <v>1</v>
      </c>
      <c r="D315" s="48" t="b">
        <f ca="1">IF(OR(LEFT(tblValidation[[#This Row],[TargetID]],10)="state.CHAR",RIGHT(tblValidation[[#This Row],[TargetID]],5)="maxed"),TRUE, COUNTIF(tblChecklist[TargetID], $A315) &gt; 0)</f>
        <v>1</v>
      </c>
      <c r="E3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$A315) &gt; 0)</f>
        <v>1</v>
      </c>
      <c r="F315" s="48" t="b">
        <f ca="1">COUNTIF(tblDependencies[DependencyID], $A315) &gt; 0</f>
        <v>1</v>
      </c>
      <c r="G315" s="48" t="b">
        <f ca="1">COUNTIF(tblQuestObjectives[QuestTargetID], $A315) &gt; 0</f>
        <v>0</v>
      </c>
      <c r="H315" s="48" t="b">
        <f ca="1">COUNTIF(tblQuestObjectives[ObjectiveID], $A315) &gt; 0</f>
        <v>0</v>
      </c>
      <c r="I315" s="48" t="b">
        <f ca="1">COUNTIF(tblTargetStatus[TargetID], $A315) &gt; 0</f>
        <v>1</v>
      </c>
      <c r="J315" s="48" t="b">
        <f ca="1">COUNTIF(tblCost[TargetID], $A315) &gt; 0</f>
        <v>1</v>
      </c>
      <c r="K315" s="48" t="b">
        <f ca="1">COUNTIF(tblStates[StateID], $A315) &gt; 0</f>
        <v>0</v>
      </c>
      <c r="L315" s="48" t="b">
        <f t="shared" ca="1" si="9"/>
        <v>1</v>
      </c>
      <c r="M315" s="48" t="b">
        <f ca="1">IF(tblValidation[[#This Row],[TargetID]]="","",COUNTIF(tblTargets[TargetID],A315)&gt;1)</f>
        <v>0</v>
      </c>
      <c r="N315" s="48" t="b">
        <f ca="1">IF(tblValidation[[#This Row],[TargetID]]="","",COUNTIF(tblStates[StateID],tblValidation[[#This Row],[TargetID]])&gt;1)</f>
        <v>0</v>
      </c>
      <c r="O315" s="48" t="b" cm="1">
        <f t="array" aca="1" ref="O3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5" s="48"/>
      <c r="R315" s="48"/>
      <c r="S315" s="48"/>
      <c r="T315" s="48"/>
      <c r="V315" s="2" t="str">
        <f ca="1"/>
        <v>quest.once_upon_a_forest_chapter_8.finished</v>
      </c>
      <c r="X315" s="2" t="str">
        <f ca="1"/>
        <v>quest.once_upon_a_forest_chapter_8.finished</v>
      </c>
      <c r="Y315" s="2" t="str">
        <f ca="1"/>
        <v>quest.shoguns_katana_chapter_5.accepted</v>
      </c>
      <c r="Z315" s="2" t="str">
        <f ca="1"/>
        <v>quest.quest_for_knowledge_chapter_1.accepted</v>
      </c>
      <c r="AA315" s="2" t="str">
        <f ca="1"/>
        <v>state.character_level@32</v>
      </c>
      <c r="AD315" s="2" t="str">
        <f ca="1"/>
        <v>quest.once_upon_a_forest_chapter_8.finished</v>
      </c>
      <c r="AE315" s="2" t="str">
        <f ca="1"/>
        <v>tech.tailor.armor_for_a_hero_lvl_3</v>
      </c>
    </row>
    <row r="316" spans="1:31">
      <c r="A316" t="str">
        <f t="shared" ca="1" si="8"/>
        <v>quest.once_upon_a_forest_chapter_9.accepted</v>
      </c>
      <c r="B316" t="str">
        <f ca="1">_xlfn.XLOOKUP(tblValidation[[#This Row],[TargetID]],tblTargets[TargetID],tblTargets[TargetType],"")</f>
        <v>QUEST</v>
      </c>
      <c r="C316" s="48" t="b">
        <f ca="1">COUNTIF(tblTargets[TargetID], $A316) &gt; 0</f>
        <v>1</v>
      </c>
      <c r="D316" s="48" t="b">
        <f ca="1">IF(OR(LEFT(tblValidation[[#This Row],[TargetID]],10)="state.CHAR",RIGHT(tblValidation[[#This Row],[TargetID]],5)="maxed"),TRUE, COUNTIF(tblChecklist[TargetID], $A316) &gt; 0)</f>
        <v>1</v>
      </c>
      <c r="E3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$A316) &gt; 0)</f>
        <v>1</v>
      </c>
      <c r="F316" s="48" t="b">
        <f ca="1">COUNTIF(tblDependencies[DependencyID], $A316) &gt; 0</f>
        <v>1</v>
      </c>
      <c r="G316" s="48" t="b">
        <f ca="1">COUNTIF(tblQuestObjectives[QuestTargetID], $A316) &gt; 0</f>
        <v>0</v>
      </c>
      <c r="H316" s="48" t="b">
        <f ca="1">COUNTIF(tblQuestObjectives[ObjectiveID], $A316) &gt; 0</f>
        <v>0</v>
      </c>
      <c r="I316" s="48" t="b">
        <f ca="1">COUNTIF(tblTargetStatus[TargetID], $A316) &gt; 0</f>
        <v>1</v>
      </c>
      <c r="J316" s="48" t="b">
        <f ca="1">COUNTIF(tblCost[TargetID], $A316) &gt; 0</f>
        <v>0</v>
      </c>
      <c r="K316" s="48" t="b">
        <f ca="1">COUNTIF(tblStates[StateID], $A316) &gt; 0</f>
        <v>0</v>
      </c>
      <c r="L316" s="48" t="b">
        <f t="shared" ca="1" si="9"/>
        <v>1</v>
      </c>
      <c r="M316" s="48" t="b">
        <f ca="1">IF(tblValidation[[#This Row],[TargetID]]="","",COUNTIF(tblTargets[TargetID],A316)&gt;1)</f>
        <v>0</v>
      </c>
      <c r="N316" s="48" t="b">
        <f ca="1">IF(tblValidation[[#This Row],[TargetID]]="","",COUNTIF(tblStates[StateID],tblValidation[[#This Row],[TargetID]])&gt;1)</f>
        <v>0</v>
      </c>
      <c r="O316" s="48" t="b" cm="1">
        <f t="array" aca="1" ref="O3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6" s="48"/>
      <c r="R316" s="48"/>
      <c r="S316" s="48"/>
      <c r="T316" s="48"/>
      <c r="V316" s="2" t="str">
        <f ca="1"/>
        <v>quest.once_upon_a_forest_chapter_9.accepted</v>
      </c>
      <c r="X316" s="2" t="str">
        <f ca="1"/>
        <v>quest.once_upon_a_forest_chapter_9.accepted</v>
      </c>
      <c r="Y316" s="2" t="str">
        <f ca="1"/>
        <v>quest.shoguns_katana_chapter_5.finished</v>
      </c>
      <c r="Z316" s="2" t="str">
        <f ca="1"/>
        <v>quest.quest_for_knowledge_chapter_1.finished</v>
      </c>
      <c r="AA316" s="2" t="str">
        <f ca="1"/>
        <v>state.character_level@4</v>
      </c>
      <c r="AD316" s="2" t="str">
        <f ca="1"/>
        <v>quest.once_upon_a_forest_chapter_9.accepted</v>
      </c>
      <c r="AE316" s="2" t="str">
        <f ca="1"/>
        <v>tech.tailor.armor_for_a_hero_lvl_4</v>
      </c>
    </row>
    <row r="317" spans="1:31">
      <c r="A317" t="str">
        <f t="shared" ca="1" si="8"/>
        <v>quest.once_upon_a_forest_chapter_9.finished</v>
      </c>
      <c r="B317" t="str">
        <f ca="1">_xlfn.XLOOKUP(tblValidation[[#This Row],[TargetID]],tblTargets[TargetID],tblTargets[TargetType],"")</f>
        <v>QUEST</v>
      </c>
      <c r="C317" s="48" t="b">
        <f ca="1">COUNTIF(tblTargets[TargetID], $A317) &gt; 0</f>
        <v>1</v>
      </c>
      <c r="D317" s="48" t="b">
        <f ca="1">IF(OR(LEFT(tblValidation[[#This Row],[TargetID]],10)="state.CHAR",RIGHT(tblValidation[[#This Row],[TargetID]],5)="maxed"),TRUE, COUNTIF(tblChecklist[TargetID], $A317) &gt; 0)</f>
        <v>1</v>
      </c>
      <c r="E3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$A317) &gt; 0)</f>
        <v>1</v>
      </c>
      <c r="F317" s="48" t="b">
        <f ca="1">COUNTIF(tblDependencies[DependencyID], $A317) &gt; 0</f>
        <v>1</v>
      </c>
      <c r="G317" s="48" t="b">
        <f ca="1">COUNTIF(tblQuestObjectives[QuestTargetID], $A317) &gt; 0</f>
        <v>1</v>
      </c>
      <c r="H317" s="48" t="b">
        <f ca="1">COUNTIF(tblQuestObjectives[ObjectiveID], $A317) &gt; 0</f>
        <v>0</v>
      </c>
      <c r="I317" s="48" t="b">
        <f ca="1">COUNTIF(tblTargetStatus[TargetID], $A317) &gt; 0</f>
        <v>1</v>
      </c>
      <c r="J317" s="48" t="b">
        <f ca="1">COUNTIF(tblCost[TargetID], $A317) &gt; 0</f>
        <v>0</v>
      </c>
      <c r="K317" s="48" t="b">
        <f ca="1">COUNTIF(tblStates[StateID], $A317) &gt; 0</f>
        <v>0</v>
      </c>
      <c r="L317" s="48" t="b">
        <f t="shared" ca="1" si="9"/>
        <v>1</v>
      </c>
      <c r="M317" s="48" t="b">
        <f ca="1">IF(tblValidation[[#This Row],[TargetID]]="","",COUNTIF(tblTargets[TargetID],A317)&gt;1)</f>
        <v>0</v>
      </c>
      <c r="N317" s="48" t="b">
        <f ca="1">IF(tblValidation[[#This Row],[TargetID]]="","",COUNTIF(tblStates[StateID],tblValidation[[#This Row],[TargetID]])&gt;1)</f>
        <v>0</v>
      </c>
      <c r="O317" s="48" t="b" cm="1">
        <f t="array" aca="1" ref="O3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7" s="48"/>
      <c r="R317" s="48"/>
      <c r="S317" s="48"/>
      <c r="T317" s="48"/>
      <c r="V317" s="2" t="str">
        <f ca="1"/>
        <v>quest.once_upon_a_forest_chapter_9.finished</v>
      </c>
      <c r="X317" s="2" t="str">
        <f ca="1"/>
        <v>quest.once_upon_a_forest_chapter_9.finished</v>
      </c>
      <c r="Y317" s="2" t="str">
        <f ca="1"/>
        <v>quest.shoguns_katana_chapter_6.accepted</v>
      </c>
      <c r="Z317" s="2" t="str">
        <f ca="1"/>
        <v>quest.quest_for_knowledge_chapter_2.accepted</v>
      </c>
      <c r="AA317" s="2" t="str">
        <f ca="1"/>
        <v>state.character_level@40</v>
      </c>
      <c r="AD317" s="2" t="str">
        <f ca="1"/>
        <v>quest.once_upon_a_forest_chapter_9.finished</v>
      </c>
      <c r="AE317" s="2" t="str">
        <f ca="1"/>
        <v>tech.tailor.armor_for_a_hero_lvl_4+</v>
      </c>
    </row>
    <row r="318" spans="1:31">
      <c r="A318" t="str">
        <f t="shared" ca="1" si="8"/>
        <v>quest.quest_for_knowledge_chapter_1.accepted</v>
      </c>
      <c r="B318" t="str">
        <f ca="1">_xlfn.XLOOKUP(tblValidation[[#This Row],[TargetID]],tblTargets[TargetID],tblTargets[TargetType],"")</f>
        <v>QUEST</v>
      </c>
      <c r="C318" s="48" t="b">
        <f ca="1">COUNTIF(tblTargets[TargetID], $A318) &gt; 0</f>
        <v>1</v>
      </c>
      <c r="D318" s="48" t="b">
        <f ca="1">IF(OR(LEFT(tblValidation[[#This Row],[TargetID]],10)="state.CHAR",RIGHT(tblValidation[[#This Row],[TargetID]],5)="maxed"),TRUE, COUNTIF(tblChecklist[TargetID], $A318) &gt; 0)</f>
        <v>1</v>
      </c>
      <c r="E3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$A318) &gt; 0)</f>
        <v>1</v>
      </c>
      <c r="F318" s="48" t="b">
        <f ca="1">COUNTIF(tblDependencies[DependencyID], $A318) &gt; 0</f>
        <v>1</v>
      </c>
      <c r="G318" s="48" t="b">
        <f ca="1">COUNTIF(tblQuestObjectives[QuestTargetID], $A318) &gt; 0</f>
        <v>0</v>
      </c>
      <c r="H318" s="48" t="b">
        <f ca="1">COUNTIF(tblQuestObjectives[ObjectiveID], $A318) &gt; 0</f>
        <v>0</v>
      </c>
      <c r="I318" s="48" t="b">
        <f ca="1">COUNTIF(tblTargetStatus[TargetID], $A318) &gt; 0</f>
        <v>1</v>
      </c>
      <c r="J318" s="48" t="b">
        <f ca="1">COUNTIF(tblCost[TargetID], $A318) &gt; 0</f>
        <v>0</v>
      </c>
      <c r="K318" s="48" t="b">
        <f ca="1">COUNTIF(tblStates[StateID], $A318) &gt; 0</f>
        <v>0</v>
      </c>
      <c r="L318" s="48" t="b">
        <f t="shared" ca="1" si="9"/>
        <v>1</v>
      </c>
      <c r="M318" s="48" t="b">
        <f ca="1">IF(tblValidation[[#This Row],[TargetID]]="","",COUNTIF(tblTargets[TargetID],A318)&gt;1)</f>
        <v>0</v>
      </c>
      <c r="N318" s="48" t="b">
        <f ca="1">IF(tblValidation[[#This Row],[TargetID]]="","",COUNTIF(tblStates[StateID],tblValidation[[#This Row],[TargetID]])&gt;1)</f>
        <v>0</v>
      </c>
      <c r="O318" s="48" t="b" cm="1">
        <f t="array" aca="1" ref="O3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8" s="48"/>
      <c r="R318" s="48"/>
      <c r="S318" s="48"/>
      <c r="T318" s="48"/>
      <c r="V318" s="2" t="str">
        <f ca="1"/>
        <v>quest.quest_for_knowledge_chapter_1.accepted</v>
      </c>
      <c r="X318" s="2" t="str">
        <f ca="1"/>
        <v>quest.quest_for_knowledge_chapter_1.accepted</v>
      </c>
      <c r="Y318" s="2" t="str">
        <f ca="1"/>
        <v>quest.shoguns_katana_chapter_6.finished</v>
      </c>
      <c r="Z318" s="2" t="str">
        <f ca="1"/>
        <v>quest.quest_for_knowledge_chapter_2.finished</v>
      </c>
      <c r="AA318" s="2" t="str">
        <f ca="1"/>
        <v>state.character_level@5</v>
      </c>
      <c r="AD318" s="2" t="str">
        <f ca="1"/>
        <v>quest.quest_for_knowledge_chapter_1.accepted</v>
      </c>
      <c r="AE318" s="2" t="str">
        <f ca="1"/>
        <v>tech.tailor.bedroll</v>
      </c>
    </row>
    <row r="319" spans="1:31">
      <c r="A319" t="str">
        <f t="shared" ca="1" si="8"/>
        <v>quest.quest_for_knowledge_chapter_1.finished</v>
      </c>
      <c r="B319" t="str">
        <f ca="1">_xlfn.XLOOKUP(tblValidation[[#This Row],[TargetID]],tblTargets[TargetID],tblTargets[TargetType],"")</f>
        <v>QUEST</v>
      </c>
      <c r="C319" s="48" t="b">
        <f ca="1">COUNTIF(tblTargets[TargetID], $A319) &gt; 0</f>
        <v>1</v>
      </c>
      <c r="D319" s="48" t="b">
        <f ca="1">IF(OR(LEFT(tblValidation[[#This Row],[TargetID]],10)="state.CHAR",RIGHT(tblValidation[[#This Row],[TargetID]],5)="maxed"),TRUE, COUNTIF(tblChecklist[TargetID], $A319) &gt; 0)</f>
        <v>1</v>
      </c>
      <c r="E3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$A319) &gt; 0)</f>
        <v>1</v>
      </c>
      <c r="F319" s="48" t="b">
        <f ca="1">COUNTIF(tblDependencies[DependencyID], $A319) &gt; 0</f>
        <v>1</v>
      </c>
      <c r="G319" s="48" t="b">
        <f ca="1">COUNTIF(tblQuestObjectives[QuestTargetID], $A319) &gt; 0</f>
        <v>1</v>
      </c>
      <c r="H319" s="48" t="b">
        <f ca="1">COUNTIF(tblQuestObjectives[ObjectiveID], $A319) &gt; 0</f>
        <v>0</v>
      </c>
      <c r="I319" s="48" t="b">
        <f ca="1">COUNTIF(tblTargetStatus[TargetID], $A319) &gt; 0</f>
        <v>1</v>
      </c>
      <c r="J319" s="48" t="b">
        <f ca="1">COUNTIF(tblCost[TargetID], $A319) &gt; 0</f>
        <v>0</v>
      </c>
      <c r="K319" s="48" t="b">
        <f ca="1">COUNTIF(tblStates[StateID], $A319) &gt; 0</f>
        <v>0</v>
      </c>
      <c r="L319" s="48" t="b">
        <f t="shared" ca="1" si="9"/>
        <v>1</v>
      </c>
      <c r="M319" s="48" t="b">
        <f ca="1">IF(tblValidation[[#This Row],[TargetID]]="","",COUNTIF(tblTargets[TargetID],A319)&gt;1)</f>
        <v>0</v>
      </c>
      <c r="N319" s="48" t="b">
        <f ca="1">IF(tblValidation[[#This Row],[TargetID]]="","",COUNTIF(tblStates[StateID],tblValidation[[#This Row],[TargetID]])&gt;1)</f>
        <v>0</v>
      </c>
      <c r="O319" s="48" t="b" cm="1">
        <f t="array" aca="1" ref="O3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9" s="48"/>
      <c r="R319" s="48"/>
      <c r="S319" s="48"/>
      <c r="T319" s="48"/>
      <c r="V319" s="2" t="str">
        <f ca="1"/>
        <v>quest.quest_for_knowledge_chapter_1.finished</v>
      </c>
      <c r="X319" s="2" t="str">
        <f ca="1"/>
        <v>quest.quest_for_knowledge_chapter_1.finished</v>
      </c>
      <c r="Y319" s="2" t="str">
        <f ca="1"/>
        <v>quest.shoguns_katana_chapter_7.accepted</v>
      </c>
      <c r="Z319" s="2" t="str">
        <f ca="1"/>
        <v>quest.quest_for_knowledge_chapter_3.accepted</v>
      </c>
      <c r="AA319" s="2" t="str">
        <f ca="1"/>
        <v>state.character_level@50</v>
      </c>
      <c r="AD319" s="2" t="str">
        <f ca="1"/>
        <v>quest.quest_for_knowledge_chapter_1.finished</v>
      </c>
      <c r="AE319" s="2" t="str">
        <f ca="1"/>
        <v>tech.tailor.colored_threads</v>
      </c>
    </row>
    <row r="320" spans="1:31">
      <c r="A320" t="str">
        <f t="shared" ca="1" si="8"/>
        <v>quest.quest_for_knowledge_chapter_2.accepted</v>
      </c>
      <c r="B320" t="str">
        <f ca="1">_xlfn.XLOOKUP(tblValidation[[#This Row],[TargetID]],tblTargets[TargetID],tblTargets[TargetType],"")</f>
        <v>QUEST</v>
      </c>
      <c r="C320" s="48" t="b">
        <f ca="1">COUNTIF(tblTargets[TargetID], $A320) &gt; 0</f>
        <v>1</v>
      </c>
      <c r="D320" s="48" t="b">
        <f ca="1">IF(OR(LEFT(tblValidation[[#This Row],[TargetID]],10)="state.CHAR",RIGHT(tblValidation[[#This Row],[TargetID]],5)="maxed"),TRUE, COUNTIF(tblChecklist[TargetID], $A320) &gt; 0)</f>
        <v>1</v>
      </c>
      <c r="E3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$A320) &gt; 0)</f>
        <v>1</v>
      </c>
      <c r="F320" s="48" t="b">
        <f ca="1">COUNTIF(tblDependencies[DependencyID], $A320) &gt; 0</f>
        <v>1</v>
      </c>
      <c r="G320" s="48" t="b">
        <f ca="1">COUNTIF(tblQuestObjectives[QuestTargetID], $A320) &gt; 0</f>
        <v>0</v>
      </c>
      <c r="H320" s="48" t="b">
        <f ca="1">COUNTIF(tblQuestObjectives[ObjectiveID], $A320) &gt; 0</f>
        <v>0</v>
      </c>
      <c r="I320" s="48" t="b">
        <f ca="1">COUNTIF(tblTargetStatus[TargetID], $A320) &gt; 0</f>
        <v>1</v>
      </c>
      <c r="J320" s="48" t="b">
        <f ca="1">COUNTIF(tblCost[TargetID], $A320) &gt; 0</f>
        <v>0</v>
      </c>
      <c r="K320" s="48" t="b">
        <f ca="1">COUNTIF(tblStates[StateID], $A320) &gt; 0</f>
        <v>0</v>
      </c>
      <c r="L320" s="48" t="b">
        <f t="shared" ca="1" si="9"/>
        <v>1</v>
      </c>
      <c r="M320" s="48" t="b">
        <f ca="1">IF(tblValidation[[#This Row],[TargetID]]="","",COUNTIF(tblTargets[TargetID],A320)&gt;1)</f>
        <v>0</v>
      </c>
      <c r="N320" s="48" t="b">
        <f ca="1">IF(tblValidation[[#This Row],[TargetID]]="","",COUNTIF(tblStates[StateID],tblValidation[[#This Row],[TargetID]])&gt;1)</f>
        <v>0</v>
      </c>
      <c r="O320" s="48" t="b" cm="1">
        <f t="array" aca="1" ref="O3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0" s="48"/>
      <c r="R320" s="48"/>
      <c r="S320" s="48"/>
      <c r="T320" s="48"/>
      <c r="V320" s="2" t="str">
        <f ca="1"/>
        <v>quest.quest_for_knowledge_chapter_2.accepted</v>
      </c>
      <c r="X320" s="2" t="str">
        <f ca="1"/>
        <v>quest.quest_for_knowledge_chapter_2.accepted</v>
      </c>
      <c r="Y320" s="2" t="str">
        <f ca="1"/>
        <v>quest.shoguns_katana_chapter_7.finished</v>
      </c>
      <c r="Z320" s="2" t="str">
        <f ca="1"/>
        <v>quest.quest_for_knowledge_chapter_3.finished</v>
      </c>
      <c r="AA320" s="2" t="str">
        <f ca="1"/>
        <v>state.character_level@55</v>
      </c>
      <c r="AD320" s="2" t="str">
        <f ca="1"/>
        <v>quest.quest_for_knowledge_chapter_2.accepted</v>
      </c>
      <c r="AE320" s="2" t="str">
        <f ca="1"/>
        <v>tech.tailor.salamander_velour</v>
      </c>
    </row>
    <row r="321" spans="1:31">
      <c r="A321" t="str">
        <f t="shared" ca="1" si="8"/>
        <v>quest.quest_for_knowledge_chapter_2.finished</v>
      </c>
      <c r="B321" t="str">
        <f ca="1">_xlfn.XLOOKUP(tblValidation[[#This Row],[TargetID]],tblTargets[TargetID],tblTargets[TargetType],"")</f>
        <v>QUEST</v>
      </c>
      <c r="C321" s="48" t="b">
        <f ca="1">COUNTIF(tblTargets[TargetID], $A321) &gt; 0</f>
        <v>1</v>
      </c>
      <c r="D321" s="48" t="b">
        <f ca="1">IF(OR(LEFT(tblValidation[[#This Row],[TargetID]],10)="state.CHAR",RIGHT(tblValidation[[#This Row],[TargetID]],5)="maxed"),TRUE, COUNTIF(tblChecklist[TargetID], $A321) &gt; 0)</f>
        <v>1</v>
      </c>
      <c r="E3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$A321) &gt; 0)</f>
        <v>1</v>
      </c>
      <c r="F321" s="48" t="b">
        <f ca="1">COUNTIF(tblDependencies[DependencyID], $A321) &gt; 0</f>
        <v>0</v>
      </c>
      <c r="G321" s="48" t="b">
        <f ca="1">COUNTIF(tblQuestObjectives[QuestTargetID], $A321) &gt; 0</f>
        <v>1</v>
      </c>
      <c r="H321" s="48" t="b">
        <f ca="1">COUNTIF(tblQuestObjectives[ObjectiveID], $A321) &gt; 0</f>
        <v>0</v>
      </c>
      <c r="I321" s="48" t="b">
        <f ca="1">COUNTIF(tblTargetStatus[TargetID], $A321) &gt; 0</f>
        <v>1</v>
      </c>
      <c r="J321" s="48" t="b">
        <f ca="1">COUNTIF(tblCost[TargetID], $A321) &gt; 0</f>
        <v>0</v>
      </c>
      <c r="K321" s="48" t="b">
        <f ca="1">COUNTIF(tblStates[StateID], $A321) &gt; 0</f>
        <v>0</v>
      </c>
      <c r="L321" s="48" t="b">
        <f t="shared" ca="1" si="9"/>
        <v>1</v>
      </c>
      <c r="M321" s="48" t="b">
        <f ca="1">IF(tblValidation[[#This Row],[TargetID]]="","",COUNTIF(tblTargets[TargetID],A321)&gt;1)</f>
        <v>0</v>
      </c>
      <c r="N321" s="48" t="b">
        <f ca="1">IF(tblValidation[[#This Row],[TargetID]]="","",COUNTIF(tblStates[StateID],tblValidation[[#This Row],[TargetID]])&gt;1)</f>
        <v>0</v>
      </c>
      <c r="O321" s="48" t="b" cm="1">
        <f t="array" aca="1" ref="O3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1" s="48"/>
      <c r="R321" s="48"/>
      <c r="S321" s="48"/>
      <c r="T321" s="48"/>
      <c r="V321" s="2" t="str">
        <f ca="1"/>
        <v>quest.quest_for_knowledge_chapter_2.finished</v>
      </c>
      <c r="X321" s="2" t="str">
        <f ca="1"/>
        <v>quest.quest_for_knowledge_chapter_2.finished</v>
      </c>
      <c r="Y321" s="2" t="str">
        <f ca="1"/>
        <v>quest.silk_road.accepted</v>
      </c>
      <c r="Z321" s="2" t="str">
        <f ca="1"/>
        <v>quest.quest_for_knowledge_chapter_4.accepted</v>
      </c>
      <c r="AA321" s="2" t="str">
        <f ca="1"/>
        <v>state.character_level@6</v>
      </c>
      <c r="AD321" s="2" t="str">
        <f ca="1"/>
        <v>quest.quest_for_knowledge_chapter_2.finished</v>
      </c>
      <c r="AE321" s="2" t="str">
        <f ca="1"/>
        <v>tech.tailor.strong_rivets</v>
      </c>
    </row>
    <row r="322" spans="1:31">
      <c r="A322" t="str">
        <f t="shared" ref="A322:A385" ca="1" si="10">IF(OR(V322=0,V322=""),"",V322)</f>
        <v>quest.quest_for_knowledge_chapter_3.accepted</v>
      </c>
      <c r="B322" t="str">
        <f ca="1">_xlfn.XLOOKUP(tblValidation[[#This Row],[TargetID]],tblTargets[TargetID],tblTargets[TargetType],"")</f>
        <v>QUEST</v>
      </c>
      <c r="C322" s="48" t="b">
        <f ca="1">COUNTIF(tblTargets[TargetID], $A322) &gt; 0</f>
        <v>1</v>
      </c>
      <c r="D322" s="48" t="b">
        <f ca="1">IF(OR(LEFT(tblValidation[[#This Row],[TargetID]],10)="state.CHAR",RIGHT(tblValidation[[#This Row],[TargetID]],5)="maxed"),TRUE, COUNTIF(tblChecklist[TargetID], $A322) &gt; 0)</f>
        <v>1</v>
      </c>
      <c r="E3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$A322) &gt; 0)</f>
        <v>1</v>
      </c>
      <c r="F322" s="48" t="b">
        <f ca="1">COUNTIF(tblDependencies[DependencyID], $A322) &gt; 0</f>
        <v>1</v>
      </c>
      <c r="G322" s="48" t="b">
        <f ca="1">COUNTIF(tblQuestObjectives[QuestTargetID], $A322) &gt; 0</f>
        <v>0</v>
      </c>
      <c r="H322" s="48" t="b">
        <f ca="1">COUNTIF(tblQuestObjectives[ObjectiveID], $A322) &gt; 0</f>
        <v>0</v>
      </c>
      <c r="I322" s="48" t="b">
        <f ca="1">COUNTIF(tblTargetStatus[TargetID], $A322) &gt; 0</f>
        <v>1</v>
      </c>
      <c r="J322" s="48" t="b">
        <f ca="1">COUNTIF(tblCost[TargetID], $A322) &gt; 0</f>
        <v>0</v>
      </c>
      <c r="K322" s="48" t="b">
        <f ca="1">COUNTIF(tblStates[StateID], $A322) &gt; 0</f>
        <v>0</v>
      </c>
      <c r="L322" s="48" t="b">
        <f t="shared" ref="L322:L385" ca="1" si="11">AND(
A322=LOWER(A322),
ISERROR(SEARCH(" ",A322)),
ISERROR(SEARCH("..",A322))
)</f>
        <v>1</v>
      </c>
      <c r="M322" s="48" t="b">
        <f ca="1">IF(tblValidation[[#This Row],[TargetID]]="","",COUNTIF(tblTargets[TargetID],A322)&gt;1)</f>
        <v>0</v>
      </c>
      <c r="N322" s="48" t="b">
        <f ca="1">IF(tblValidation[[#This Row],[TargetID]]="","",COUNTIF(tblStates[StateID],tblValidation[[#This Row],[TargetID]])&gt;1)</f>
        <v>0</v>
      </c>
      <c r="O322" s="48" t="b" cm="1">
        <f t="array" aca="1" ref="O3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2" s="48"/>
      <c r="R322" s="48"/>
      <c r="S322" s="48"/>
      <c r="T322" s="48"/>
      <c r="V322" s="2" t="str">
        <f ca="1"/>
        <v>quest.quest_for_knowledge_chapter_3.accepted</v>
      </c>
      <c r="X322" s="2" t="str">
        <f ca="1"/>
        <v>quest.quest_for_knowledge_chapter_3.accepted</v>
      </c>
      <c r="Y322" s="2" t="str">
        <f ca="1"/>
        <v>quest.silk_road.finished</v>
      </c>
      <c r="Z322" s="2" t="str">
        <f ca="1"/>
        <v>quest.quest_for_knowledge_chapter_4.finished</v>
      </c>
      <c r="AA322" s="2" t="str">
        <f ca="1"/>
        <v>state.character_level@7</v>
      </c>
      <c r="AD322" s="2" t="str">
        <f ca="1"/>
        <v>quest.quest_for_knowledge_chapter_3.accepted</v>
      </c>
      <c r="AE322" s="2" t="str">
        <f ca="1"/>
        <v>tech.tailor.strong_stitch</v>
      </c>
    </row>
    <row r="323" spans="1:31">
      <c r="A323" t="str">
        <f t="shared" ca="1" si="10"/>
        <v>quest.quest_for_knowledge_chapter_3.finished</v>
      </c>
      <c r="B323" t="str">
        <f ca="1">_xlfn.XLOOKUP(tblValidation[[#This Row],[TargetID]],tblTargets[TargetID],tblTargets[TargetType],"")</f>
        <v>QUEST</v>
      </c>
      <c r="C323" s="48" t="b">
        <f ca="1">COUNTIF(tblTargets[TargetID], $A323) &gt; 0</f>
        <v>1</v>
      </c>
      <c r="D323" s="48" t="b">
        <f ca="1">IF(OR(LEFT(tblValidation[[#This Row],[TargetID]],10)="state.CHAR",RIGHT(tblValidation[[#This Row],[TargetID]],5)="maxed"),TRUE, COUNTIF(tblChecklist[TargetID], $A323) &gt; 0)</f>
        <v>1</v>
      </c>
      <c r="E3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$A323) &gt; 0)</f>
        <v>1</v>
      </c>
      <c r="F323" s="48" t="b">
        <f ca="1">COUNTIF(tblDependencies[DependencyID], $A323) &gt; 0</f>
        <v>1</v>
      </c>
      <c r="G323" s="48" t="b">
        <f ca="1">COUNTIF(tblQuestObjectives[QuestTargetID], $A323) &gt; 0</f>
        <v>1</v>
      </c>
      <c r="H323" s="48" t="b">
        <f ca="1">COUNTIF(tblQuestObjectives[ObjectiveID], $A323) &gt; 0</f>
        <v>0</v>
      </c>
      <c r="I323" s="48" t="b">
        <f ca="1">COUNTIF(tblTargetStatus[TargetID], $A323) &gt; 0</f>
        <v>1</v>
      </c>
      <c r="J323" s="48" t="b">
        <f ca="1">COUNTIF(tblCost[TargetID], $A323) &gt; 0</f>
        <v>0</v>
      </c>
      <c r="K323" s="48" t="b">
        <f ca="1">COUNTIF(tblStates[StateID], $A323) &gt; 0</f>
        <v>0</v>
      </c>
      <c r="L323" s="48" t="b">
        <f t="shared" ca="1" si="11"/>
        <v>1</v>
      </c>
      <c r="M323" s="48" t="b">
        <f ca="1">IF(tblValidation[[#This Row],[TargetID]]="","",COUNTIF(tblTargets[TargetID],A323)&gt;1)</f>
        <v>0</v>
      </c>
      <c r="N323" s="48" t="b">
        <f ca="1">IF(tblValidation[[#This Row],[TargetID]]="","",COUNTIF(tblStates[StateID],tblValidation[[#This Row],[TargetID]])&gt;1)</f>
        <v>0</v>
      </c>
      <c r="O323" s="48" t="b" cm="1">
        <f t="array" aca="1" ref="O3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3" s="48"/>
      <c r="R323" s="48"/>
      <c r="S323" s="48"/>
      <c r="T323" s="48"/>
      <c r="V323" s="2" t="str">
        <f ca="1"/>
        <v>quest.quest_for_knowledge_chapter_3.finished</v>
      </c>
      <c r="X323" s="2" t="str">
        <f ca="1"/>
        <v>quest.quest_for_knowledge_chapter_3.finished</v>
      </c>
      <c r="Y323" s="2" t="str">
        <f ca="1"/>
        <v>quest.spicy_odyssey.accepted</v>
      </c>
      <c r="Z323" s="2" t="str">
        <f ca="1"/>
        <v>quest.quest_for_knowledge_chapter_5.accepted</v>
      </c>
      <c r="AA323" s="2" t="str">
        <f ca="1"/>
        <v>state.character_level@8</v>
      </c>
      <c r="AD323" s="2" t="str">
        <f ca="1"/>
        <v>quest.quest_for_knowledge_chapter_3.finished</v>
      </c>
      <c r="AE323" s="2" t="str">
        <f ca="1"/>
        <v>tech.train.automatic_lubricator</v>
      </c>
    </row>
    <row r="324" spans="1:31">
      <c r="A324" t="str">
        <f t="shared" ca="1" si="10"/>
        <v>quest.quest_for_knowledge_chapter_4.accepted</v>
      </c>
      <c r="B324" t="str">
        <f ca="1">_xlfn.XLOOKUP(tblValidation[[#This Row],[TargetID]],tblTargets[TargetID],tblTargets[TargetType],"")</f>
        <v>QUEST</v>
      </c>
      <c r="C324" s="48" t="b">
        <f ca="1">COUNTIF(tblTargets[TargetID], $A324) &gt; 0</f>
        <v>1</v>
      </c>
      <c r="D324" s="48" t="b">
        <f ca="1">IF(OR(LEFT(tblValidation[[#This Row],[TargetID]],10)="state.CHAR",RIGHT(tblValidation[[#This Row],[TargetID]],5)="maxed"),TRUE, COUNTIF(tblChecklist[TargetID], $A324) &gt; 0)</f>
        <v>1</v>
      </c>
      <c r="E3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$A324) &gt; 0)</f>
        <v>1</v>
      </c>
      <c r="F324" s="48" t="b">
        <f ca="1">COUNTIF(tblDependencies[DependencyID], $A324) &gt; 0</f>
        <v>1</v>
      </c>
      <c r="G324" s="48" t="b">
        <f ca="1">COUNTIF(tblQuestObjectives[QuestTargetID], $A324) &gt; 0</f>
        <v>0</v>
      </c>
      <c r="H324" s="48" t="b">
        <f ca="1">COUNTIF(tblQuestObjectives[ObjectiveID], $A324) &gt; 0</f>
        <v>0</v>
      </c>
      <c r="I324" s="48" t="b">
        <f ca="1">COUNTIF(tblTargetStatus[TargetID], $A324) &gt; 0</f>
        <v>1</v>
      </c>
      <c r="J324" s="48" t="b">
        <f ca="1">COUNTIF(tblCost[TargetID], $A324) &gt; 0</f>
        <v>0</v>
      </c>
      <c r="K324" s="48" t="b">
        <f ca="1">COUNTIF(tblStates[StateID], $A324) &gt; 0</f>
        <v>0</v>
      </c>
      <c r="L324" s="48" t="b">
        <f t="shared" ca="1" si="11"/>
        <v>1</v>
      </c>
      <c r="M324" s="48" t="b">
        <f ca="1">IF(tblValidation[[#This Row],[TargetID]]="","",COUNTIF(tblTargets[TargetID],A324)&gt;1)</f>
        <v>0</v>
      </c>
      <c r="N324" s="48" t="b">
        <f ca="1">IF(tblValidation[[#This Row],[TargetID]]="","",COUNTIF(tblStates[StateID],tblValidation[[#This Row],[TargetID]])&gt;1)</f>
        <v>0</v>
      </c>
      <c r="O324" s="48" t="b" cm="1">
        <f t="array" aca="1" ref="O3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4" s="48"/>
      <c r="R324" s="48"/>
      <c r="S324" s="48"/>
      <c r="T324" s="48"/>
      <c r="V324" s="2" t="str">
        <f ca="1"/>
        <v>quest.quest_for_knowledge_chapter_4.accepted</v>
      </c>
      <c r="X324" s="2" t="str">
        <f ca="1"/>
        <v>quest.quest_for_knowledge_chapter_4.accepted</v>
      </c>
      <c r="Y324" s="2" t="str">
        <f ca="1"/>
        <v>quest.spicy_odyssey.finished</v>
      </c>
      <c r="Z324" s="2" t="str">
        <f ca="1"/>
        <v>quest.quest_for_knowledge_chapter_5.finished</v>
      </c>
      <c r="AA324" s="2" t="str">
        <f ca="1"/>
        <v>state.character_level@80</v>
      </c>
      <c r="AD324" s="2" t="str">
        <f ca="1"/>
        <v>quest.quest_for_knowledge_chapter_4.accepted</v>
      </c>
      <c r="AE324" s="2" t="str">
        <f ca="1"/>
        <v>tech.train.compound_engine</v>
      </c>
    </row>
    <row r="325" spans="1:31">
      <c r="A325" t="str">
        <f t="shared" ca="1" si="10"/>
        <v>quest.quest_for_knowledge_chapter_4.finished</v>
      </c>
      <c r="B325" t="str">
        <f ca="1">_xlfn.XLOOKUP(tblValidation[[#This Row],[TargetID]],tblTargets[TargetID],tblTargets[TargetType],"")</f>
        <v>QUEST</v>
      </c>
      <c r="C325" s="48" t="b">
        <f ca="1">COUNTIF(tblTargets[TargetID], $A325) &gt; 0</f>
        <v>1</v>
      </c>
      <c r="D325" s="48" t="b">
        <f ca="1">IF(OR(LEFT(tblValidation[[#This Row],[TargetID]],10)="state.CHAR",RIGHT(tblValidation[[#This Row],[TargetID]],5)="maxed"),TRUE, COUNTIF(tblChecklist[TargetID], $A325) &gt; 0)</f>
        <v>1</v>
      </c>
      <c r="E3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$A325) &gt; 0)</f>
        <v>1</v>
      </c>
      <c r="F325" s="48" t="b">
        <f ca="1">COUNTIF(tblDependencies[DependencyID], $A325) &gt; 0</f>
        <v>0</v>
      </c>
      <c r="G325" s="48" t="b">
        <f ca="1">COUNTIF(tblQuestObjectives[QuestTargetID], $A325) &gt; 0</f>
        <v>1</v>
      </c>
      <c r="H325" s="48" t="b">
        <f ca="1">COUNTIF(tblQuestObjectives[ObjectiveID], $A325) &gt; 0</f>
        <v>0</v>
      </c>
      <c r="I325" s="48" t="b">
        <f ca="1">COUNTIF(tblTargetStatus[TargetID], $A325) &gt; 0</f>
        <v>1</v>
      </c>
      <c r="J325" s="48" t="b">
        <f ca="1">COUNTIF(tblCost[TargetID], $A325) &gt; 0</f>
        <v>0</v>
      </c>
      <c r="K325" s="48" t="b">
        <f ca="1">COUNTIF(tblStates[StateID], $A325) &gt; 0</f>
        <v>0</v>
      </c>
      <c r="L325" s="48" t="b">
        <f t="shared" ca="1" si="11"/>
        <v>1</v>
      </c>
      <c r="M325" s="48" t="b">
        <f ca="1">IF(tblValidation[[#This Row],[TargetID]]="","",COUNTIF(tblTargets[TargetID],A325)&gt;1)</f>
        <v>0</v>
      </c>
      <c r="N325" s="48" t="b">
        <f ca="1">IF(tblValidation[[#This Row],[TargetID]]="","",COUNTIF(tblStates[StateID],tblValidation[[#This Row],[TargetID]])&gt;1)</f>
        <v>0</v>
      </c>
      <c r="O325" s="48" t="b" cm="1">
        <f t="array" aca="1" ref="O3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5" s="48"/>
      <c r="R325" s="48"/>
      <c r="S325" s="48"/>
      <c r="T325" s="48"/>
      <c r="V325" s="2" t="str">
        <f ca="1"/>
        <v>quest.quest_for_knowledge_chapter_4.finished</v>
      </c>
      <c r="X325" s="2" t="str">
        <f ca="1"/>
        <v>quest.quest_for_knowledge_chapter_4.finished</v>
      </c>
      <c r="Y325" s="2" t="str">
        <f ca="1"/>
        <v>quest.the_ordinary_days_of_an_adventurer_chapter_1.accepted</v>
      </c>
      <c r="Z325" s="2" t="str">
        <f ca="1"/>
        <v>quest.shoguns_katana_chapter_1.accepted</v>
      </c>
      <c r="AA325" s="2" t="str">
        <f ca="1"/>
        <v>state.character_level@9</v>
      </c>
      <c r="AD325" s="2" t="str">
        <f ca="1"/>
        <v>quest.quest_for_knowledge_chapter_4.finished</v>
      </c>
      <c r="AE325" s="2" t="str">
        <f ca="1"/>
        <v>tech.train.onboard_computer</v>
      </c>
    </row>
    <row r="326" spans="1:31">
      <c r="A326" t="str">
        <f t="shared" ca="1" si="10"/>
        <v>quest.quest_for_knowledge_chapter_5.accepted</v>
      </c>
      <c r="B326" t="str">
        <f ca="1">_xlfn.XLOOKUP(tblValidation[[#This Row],[TargetID]],tblTargets[TargetID],tblTargets[TargetType],"")</f>
        <v>QUEST</v>
      </c>
      <c r="C326" s="48" t="b">
        <f ca="1">COUNTIF(tblTargets[TargetID], $A326) &gt; 0</f>
        <v>1</v>
      </c>
      <c r="D326" s="48" t="b">
        <f ca="1">IF(OR(LEFT(tblValidation[[#This Row],[TargetID]],10)="state.CHAR",RIGHT(tblValidation[[#This Row],[TargetID]],5)="maxed"),TRUE, COUNTIF(tblChecklist[TargetID], $A326) &gt; 0)</f>
        <v>1</v>
      </c>
      <c r="E3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$A326) &gt; 0)</f>
        <v>1</v>
      </c>
      <c r="F326" s="48" t="b">
        <f ca="1">COUNTIF(tblDependencies[DependencyID], $A326) &gt; 0</f>
        <v>1</v>
      </c>
      <c r="G326" s="48" t="b">
        <f ca="1">COUNTIF(tblQuestObjectives[QuestTargetID], $A326) &gt; 0</f>
        <v>0</v>
      </c>
      <c r="H326" s="48" t="b">
        <f ca="1">COUNTIF(tblQuestObjectives[ObjectiveID], $A326) &gt; 0</f>
        <v>0</v>
      </c>
      <c r="I326" s="48" t="b">
        <f ca="1">COUNTIF(tblTargetStatus[TargetID], $A326) &gt; 0</f>
        <v>1</v>
      </c>
      <c r="J326" s="48" t="b">
        <f ca="1">COUNTIF(tblCost[TargetID], $A326) &gt; 0</f>
        <v>0</v>
      </c>
      <c r="K326" s="48" t="b">
        <f ca="1">COUNTIF(tblStates[StateID], $A326) &gt; 0</f>
        <v>0</v>
      </c>
      <c r="L326" s="48" t="b">
        <f t="shared" ca="1" si="11"/>
        <v>1</v>
      </c>
      <c r="M326" s="48" t="b">
        <f ca="1">IF(tblValidation[[#This Row],[TargetID]]="","",COUNTIF(tblTargets[TargetID],A326)&gt;1)</f>
        <v>0</v>
      </c>
      <c r="N326" s="48" t="b">
        <f ca="1">IF(tblValidation[[#This Row],[TargetID]]="","",COUNTIF(tblStates[StateID],tblValidation[[#This Row],[TargetID]])&gt;1)</f>
        <v>0</v>
      </c>
      <c r="O326" s="48" t="b" cm="1">
        <f t="array" aca="1" ref="O3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6" s="48"/>
      <c r="R326" s="48"/>
      <c r="S326" s="48"/>
      <c r="T326" s="48"/>
      <c r="V326" s="2" t="str">
        <f ca="1"/>
        <v>quest.quest_for_knowledge_chapter_5.accepted</v>
      </c>
      <c r="X326" s="2" t="str">
        <f ca="1"/>
        <v>quest.quest_for_knowledge_chapter_5.accepted</v>
      </c>
      <c r="Y326" s="2" t="str">
        <f ca="1"/>
        <v>quest.the_ordinary_days_of_an_adventurer_chapter_1.finished</v>
      </c>
      <c r="Z326" s="2" t="str">
        <f ca="1"/>
        <v>quest.shoguns_katana_chapter_1.finished</v>
      </c>
      <c r="AA326" s="2" t="str">
        <f ca="1"/>
        <v>state.complete_dungeon_5c</v>
      </c>
      <c r="AD326" s="2" t="str">
        <f ca="1"/>
        <v>quest.quest_for_knowledge_chapter_5.accepted</v>
      </c>
      <c r="AE326" s="2" t="str">
        <f ca="1"/>
        <v>tech.train.superheater</v>
      </c>
    </row>
    <row r="327" spans="1:31">
      <c r="A327" t="str">
        <f t="shared" ca="1" si="10"/>
        <v>quest.quest_for_knowledge_chapter_5.finished</v>
      </c>
      <c r="B327" t="str">
        <f ca="1">_xlfn.XLOOKUP(tblValidation[[#This Row],[TargetID]],tblTargets[TargetID],tblTargets[TargetType],"")</f>
        <v>QUEST</v>
      </c>
      <c r="C327" s="48" t="b">
        <f ca="1">COUNTIF(tblTargets[TargetID], $A327) &gt; 0</f>
        <v>1</v>
      </c>
      <c r="D327" s="48" t="b">
        <f ca="1">IF(OR(LEFT(tblValidation[[#This Row],[TargetID]],10)="state.CHAR",RIGHT(tblValidation[[#This Row],[TargetID]],5)="maxed"),TRUE, COUNTIF(tblChecklist[TargetID], $A327) &gt; 0)</f>
        <v>1</v>
      </c>
      <c r="E3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$A327) &gt; 0)</f>
        <v>1</v>
      </c>
      <c r="F327" s="48" t="b">
        <f ca="1">COUNTIF(tblDependencies[DependencyID], $A327) &gt; 0</f>
        <v>0</v>
      </c>
      <c r="G327" s="48" t="b">
        <f ca="1">COUNTIF(tblQuestObjectives[QuestTargetID], $A327) &gt; 0</f>
        <v>1</v>
      </c>
      <c r="H327" s="48" t="b">
        <f ca="1">COUNTIF(tblQuestObjectives[ObjectiveID], $A327) &gt; 0</f>
        <v>0</v>
      </c>
      <c r="I327" s="48" t="b">
        <f ca="1">COUNTIF(tblTargetStatus[TargetID], $A327) &gt; 0</f>
        <v>1</v>
      </c>
      <c r="J327" s="48" t="b">
        <f ca="1">COUNTIF(tblCost[TargetID], $A327) &gt; 0</f>
        <v>0</v>
      </c>
      <c r="K327" s="48" t="b">
        <f ca="1">COUNTIF(tblStates[StateID], $A327) &gt; 0</f>
        <v>0</v>
      </c>
      <c r="L327" s="48" t="b">
        <f t="shared" ca="1" si="11"/>
        <v>1</v>
      </c>
      <c r="M327" s="48" t="b">
        <f ca="1">IF(tblValidation[[#This Row],[TargetID]]="","",COUNTIF(tblTargets[TargetID],A327)&gt;1)</f>
        <v>0</v>
      </c>
      <c r="N327" s="48" t="b">
        <f ca="1">IF(tblValidation[[#This Row],[TargetID]]="","",COUNTIF(tblStates[StateID],tblValidation[[#This Row],[TargetID]])&gt;1)</f>
        <v>0</v>
      </c>
      <c r="O327" s="48" t="b" cm="1">
        <f t="array" aca="1" ref="O3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7" s="48"/>
      <c r="R327" s="48"/>
      <c r="S327" s="48"/>
      <c r="T327" s="48"/>
      <c r="V327" s="2" t="str">
        <f ca="1"/>
        <v>quest.quest_for_knowledge_chapter_5.finished</v>
      </c>
      <c r="X327" s="2" t="str">
        <f ca="1"/>
        <v>quest.quest_for_knowledge_chapter_5.finished</v>
      </c>
      <c r="Y327" s="2" t="str">
        <f ca="1"/>
        <v>quest.the_ordinary_days_of_an_adventurer_chapter_2.accepted</v>
      </c>
      <c r="Z327" s="2" t="str">
        <f ca="1"/>
        <v>quest.shoguns_katana_chapter_2.accepted</v>
      </c>
      <c r="AA327" s="2" t="str">
        <f ca="1"/>
        <v>state.complete_lvl1_any_project</v>
      </c>
      <c r="AD327" s="2" t="str">
        <f ca="1"/>
        <v>quest.quest_for_knowledge_chapter_5.finished</v>
      </c>
      <c r="AE327" s="2" t="str">
        <f ca="1"/>
        <v>tech.train.titanium_components</v>
      </c>
    </row>
    <row r="328" spans="1:31">
      <c r="A328" t="str">
        <f t="shared" ca="1" si="10"/>
        <v>quest.shoguns_katana_chapter_1.accepted</v>
      </c>
      <c r="B328" t="str">
        <f ca="1">_xlfn.XLOOKUP(tblValidation[[#This Row],[TargetID]],tblTargets[TargetID],tblTargets[TargetType],"")</f>
        <v>QUEST</v>
      </c>
      <c r="C328" s="48" t="b">
        <f ca="1">COUNTIF(tblTargets[TargetID], $A328) &gt; 0</f>
        <v>1</v>
      </c>
      <c r="D328" s="48" t="b">
        <f ca="1">IF(OR(LEFT(tblValidation[[#This Row],[TargetID]],10)="state.CHAR",RIGHT(tblValidation[[#This Row],[TargetID]],5)="maxed"),TRUE, COUNTIF(tblChecklist[TargetID], $A328) &gt; 0)</f>
        <v>1</v>
      </c>
      <c r="E3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$A328) &gt; 0)</f>
        <v>1</v>
      </c>
      <c r="F328" s="48" t="b">
        <f ca="1">COUNTIF(tblDependencies[DependencyID], $A328) &gt; 0</f>
        <v>1</v>
      </c>
      <c r="G328" s="48" t="b">
        <f ca="1">COUNTIF(tblQuestObjectives[QuestTargetID], $A328) &gt; 0</f>
        <v>0</v>
      </c>
      <c r="H328" s="48" t="b">
        <f ca="1">COUNTIF(tblQuestObjectives[ObjectiveID], $A328) &gt; 0</f>
        <v>0</v>
      </c>
      <c r="I328" s="48" t="b">
        <f ca="1">COUNTIF(tblTargetStatus[TargetID], $A328) &gt; 0</f>
        <v>1</v>
      </c>
      <c r="J328" s="48" t="b">
        <f ca="1">COUNTIF(tblCost[TargetID], $A328) &gt; 0</f>
        <v>0</v>
      </c>
      <c r="K328" s="48" t="b">
        <f ca="1">COUNTIF(tblStates[StateID], $A328) &gt; 0</f>
        <v>0</v>
      </c>
      <c r="L328" s="48" t="b">
        <f t="shared" ca="1" si="11"/>
        <v>1</v>
      </c>
      <c r="M328" s="48" t="b">
        <f ca="1">IF(tblValidation[[#This Row],[TargetID]]="","",COUNTIF(tblTargets[TargetID],A328)&gt;1)</f>
        <v>0</v>
      </c>
      <c r="N328" s="48" t="b">
        <f ca="1">IF(tblValidation[[#This Row],[TargetID]]="","",COUNTIF(tblStates[StateID],tblValidation[[#This Row],[TargetID]])&gt;1)</f>
        <v>0</v>
      </c>
      <c r="O328" s="48" t="b" cm="1">
        <f t="array" aca="1" ref="O3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8" s="48"/>
      <c r="R328" s="48"/>
      <c r="S328" s="48"/>
      <c r="T328" s="48"/>
      <c r="V328" s="2" t="str">
        <f ca="1"/>
        <v>quest.shoguns_katana_chapter_1.accepted</v>
      </c>
      <c r="X328" s="2" t="str">
        <f ca="1"/>
        <v>quest.shoguns_katana_chapter_1.accepted</v>
      </c>
      <c r="Y328" s="2" t="str">
        <f ca="1"/>
        <v>quest.the_ordinary_days_of_an_adventurer_chapter_2.finished</v>
      </c>
      <c r="Z328" s="2" t="str">
        <f ca="1"/>
        <v>quest.shoguns_katana_chapter_2.finished</v>
      </c>
      <c r="AA328" s="2" t="str">
        <f ca="1"/>
        <v>state.find_jade_gate_2c</v>
      </c>
      <c r="AD328" s="2" t="str">
        <f ca="1"/>
        <v>quest.shoguns_katana_chapter_1.accepted</v>
      </c>
      <c r="AE328" s="2" t="str">
        <f ca="1"/>
        <v>tech.warehouse.stackable_racks_lvl_1</v>
      </c>
    </row>
    <row r="329" spans="1:31">
      <c r="A329" t="str">
        <f t="shared" ca="1" si="10"/>
        <v>quest.shoguns_katana_chapter_1.finished</v>
      </c>
      <c r="B329" t="str">
        <f ca="1">_xlfn.XLOOKUP(tblValidation[[#This Row],[TargetID]],tblTargets[TargetID],tblTargets[TargetType],"")</f>
        <v>QUEST</v>
      </c>
      <c r="C329" s="48" t="b">
        <f ca="1">COUNTIF(tblTargets[TargetID], $A329) &gt; 0</f>
        <v>1</v>
      </c>
      <c r="D329" s="48" t="b">
        <f ca="1">IF(OR(LEFT(tblValidation[[#This Row],[TargetID]],10)="state.CHAR",RIGHT(tblValidation[[#This Row],[TargetID]],5)="maxed"),TRUE, COUNTIF(tblChecklist[TargetID], $A329) &gt; 0)</f>
        <v>1</v>
      </c>
      <c r="E3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$A329) &gt; 0)</f>
        <v>1</v>
      </c>
      <c r="F329" s="48" t="b">
        <f ca="1">COUNTIF(tblDependencies[DependencyID], $A329) &gt; 0</f>
        <v>1</v>
      </c>
      <c r="G329" s="48" t="b">
        <f ca="1">COUNTIF(tblQuestObjectives[QuestTargetID], $A329) &gt; 0</f>
        <v>1</v>
      </c>
      <c r="H329" s="48" t="b">
        <f ca="1">COUNTIF(tblQuestObjectives[ObjectiveID], $A329) &gt; 0</f>
        <v>0</v>
      </c>
      <c r="I329" s="48" t="b">
        <f ca="1">COUNTIF(tblTargetStatus[TargetID], $A329) &gt; 0</f>
        <v>1</v>
      </c>
      <c r="J329" s="48" t="b">
        <f ca="1">COUNTIF(tblCost[TargetID], $A329) &gt; 0</f>
        <v>1</v>
      </c>
      <c r="K329" s="48" t="b">
        <f ca="1">COUNTIF(tblStates[StateID], $A329) &gt; 0</f>
        <v>0</v>
      </c>
      <c r="L329" s="48" t="b">
        <f t="shared" ca="1" si="11"/>
        <v>1</v>
      </c>
      <c r="M329" s="48" t="b">
        <f ca="1">IF(tblValidation[[#This Row],[TargetID]]="","",COUNTIF(tblTargets[TargetID],A329)&gt;1)</f>
        <v>0</v>
      </c>
      <c r="N329" s="48" t="b">
        <f ca="1">IF(tblValidation[[#This Row],[TargetID]]="","",COUNTIF(tblStates[StateID],tblValidation[[#This Row],[TargetID]])&gt;1)</f>
        <v>0</v>
      </c>
      <c r="O329" s="48" t="b" cm="1">
        <f t="array" aca="1" ref="O3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9" s="48"/>
      <c r="R329" s="48"/>
      <c r="S329" s="48"/>
      <c r="T329" s="48"/>
      <c r="V329" s="2" t="str">
        <f ca="1"/>
        <v>quest.shoguns_katana_chapter_1.finished</v>
      </c>
      <c r="X329" s="2" t="str">
        <f ca="1"/>
        <v>quest.shoguns_katana_chapter_1.finished</v>
      </c>
      <c r="Y329" s="2" t="str">
        <f ca="1"/>
        <v>quest.the_ordinary_days_of_an_adventurer_chapter_3.accepted</v>
      </c>
      <c r="Z329" s="2" t="str">
        <f ca="1"/>
        <v>quest.shoguns_katana_chapter_3.accepted</v>
      </c>
      <c r="AA329" s="2" t="str">
        <f ca="1"/>
        <v>state.meet_dark_lady@4a</v>
      </c>
      <c r="AD329" s="2" t="str">
        <f ca="1"/>
        <v>quest.shoguns_katana_chapter_1.finished</v>
      </c>
      <c r="AE329" s="2" t="str">
        <f ca="1"/>
        <v>tech.warehouse.stackable_racks_lvl_2</v>
      </c>
    </row>
    <row r="330" spans="1:31">
      <c r="A330" t="str">
        <f t="shared" ca="1" si="10"/>
        <v>quest.shoguns_katana_chapter_2.accepted</v>
      </c>
      <c r="B330" t="str">
        <f ca="1">_xlfn.XLOOKUP(tblValidation[[#This Row],[TargetID]],tblTargets[TargetID],tblTargets[TargetType],"")</f>
        <v>QUEST</v>
      </c>
      <c r="C330" s="48" t="b">
        <f ca="1">COUNTIF(tblTargets[TargetID], $A330) &gt; 0</f>
        <v>1</v>
      </c>
      <c r="D330" s="48" t="b">
        <f ca="1">IF(OR(LEFT(tblValidation[[#This Row],[TargetID]],10)="state.CHAR",RIGHT(tblValidation[[#This Row],[TargetID]],5)="maxed"),TRUE, COUNTIF(tblChecklist[TargetID], $A330) &gt; 0)</f>
        <v>1</v>
      </c>
      <c r="E3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$A330) &gt; 0)</f>
        <v>1</v>
      </c>
      <c r="F330" s="48" t="b">
        <f ca="1">COUNTIF(tblDependencies[DependencyID], $A330) &gt; 0</f>
        <v>1</v>
      </c>
      <c r="G330" s="48" t="b">
        <f ca="1">COUNTIF(tblQuestObjectives[QuestTargetID], $A330) &gt; 0</f>
        <v>0</v>
      </c>
      <c r="H330" s="48" t="b">
        <f ca="1">COUNTIF(tblQuestObjectives[ObjectiveID], $A330) &gt; 0</f>
        <v>0</v>
      </c>
      <c r="I330" s="48" t="b">
        <f ca="1">COUNTIF(tblTargetStatus[TargetID], $A330) &gt; 0</f>
        <v>1</v>
      </c>
      <c r="J330" s="48" t="b">
        <f ca="1">COUNTIF(tblCost[TargetID], $A330) &gt; 0</f>
        <v>0</v>
      </c>
      <c r="K330" s="48" t="b">
        <f ca="1">COUNTIF(tblStates[StateID], $A330) &gt; 0</f>
        <v>0</v>
      </c>
      <c r="L330" s="48" t="b">
        <f t="shared" ca="1" si="11"/>
        <v>1</v>
      </c>
      <c r="M330" s="48" t="b">
        <f ca="1">IF(tblValidation[[#This Row],[TargetID]]="","",COUNTIF(tblTargets[TargetID],A330)&gt;1)</f>
        <v>0</v>
      </c>
      <c r="N330" s="48" t="b">
        <f ca="1">IF(tblValidation[[#This Row],[TargetID]]="","",COUNTIF(tblStates[StateID],tblValidation[[#This Row],[TargetID]])&gt;1)</f>
        <v>0</v>
      </c>
      <c r="O330" s="48" t="b" cm="1">
        <f t="array" aca="1" ref="O3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0" s="48"/>
      <c r="R330" s="48"/>
      <c r="S330" s="48"/>
      <c r="T330" s="48"/>
      <c r="V330" s="2" t="str">
        <f ca="1"/>
        <v>quest.shoguns_katana_chapter_2.accepted</v>
      </c>
      <c r="X330" s="2" t="str">
        <f ca="1"/>
        <v>quest.shoguns_katana_chapter_2.accepted</v>
      </c>
      <c r="Y330" s="2" t="str">
        <f ca="1"/>
        <v>quest.the_ordinary_days_of_an_adventurer_chapter_3.finished</v>
      </c>
      <c r="Z330" s="2" t="str">
        <f ca="1"/>
        <v>quest.shoguns_katana_chapter_3.finished</v>
      </c>
      <c r="AA330" s="2" t="str">
        <f ca="1"/>
        <v>state.meet_dark_lady@6a</v>
      </c>
      <c r="AD330" s="2" t="str">
        <f ca="1"/>
        <v>quest.shoguns_katana_chapter_2.accepted</v>
      </c>
      <c r="AE330" s="2" t="str">
        <f ca="1"/>
        <v>tech.warehouse.stackable_racks_lvl_3</v>
      </c>
    </row>
    <row r="331" spans="1:31">
      <c r="A331" t="str">
        <f t="shared" ca="1" si="10"/>
        <v>quest.shoguns_katana_chapter_2.finished</v>
      </c>
      <c r="B331" t="str">
        <f ca="1">_xlfn.XLOOKUP(tblValidation[[#This Row],[TargetID]],tblTargets[TargetID],tblTargets[TargetType],"")</f>
        <v>QUEST</v>
      </c>
      <c r="C331" s="48" t="b">
        <f ca="1">COUNTIF(tblTargets[TargetID], $A331) &gt; 0</f>
        <v>1</v>
      </c>
      <c r="D331" s="48" t="b">
        <f ca="1">IF(OR(LEFT(tblValidation[[#This Row],[TargetID]],10)="state.CHAR",RIGHT(tblValidation[[#This Row],[TargetID]],5)="maxed"),TRUE, COUNTIF(tblChecklist[TargetID], $A331) &gt; 0)</f>
        <v>1</v>
      </c>
      <c r="E3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$A331) &gt; 0)</f>
        <v>1</v>
      </c>
      <c r="F331" s="48" t="b">
        <f ca="1">COUNTIF(tblDependencies[DependencyID], $A331) &gt; 0</f>
        <v>1</v>
      </c>
      <c r="G331" s="48" t="b">
        <f ca="1">COUNTIF(tblQuestObjectives[QuestTargetID], $A331) &gt; 0</f>
        <v>1</v>
      </c>
      <c r="H331" s="48" t="b">
        <f ca="1">COUNTIF(tblQuestObjectives[ObjectiveID], $A331) &gt; 0</f>
        <v>0</v>
      </c>
      <c r="I331" s="48" t="b">
        <f ca="1">COUNTIF(tblTargetStatus[TargetID], $A331) &gt; 0</f>
        <v>1</v>
      </c>
      <c r="J331" s="48" t="b">
        <f ca="1">COUNTIF(tblCost[TargetID], $A331) &gt; 0</f>
        <v>1</v>
      </c>
      <c r="K331" s="48" t="b">
        <f ca="1">COUNTIF(tblStates[StateID], $A331) &gt; 0</f>
        <v>0</v>
      </c>
      <c r="L331" s="48" t="b">
        <f t="shared" ca="1" si="11"/>
        <v>1</v>
      </c>
      <c r="M331" s="48" t="b">
        <f ca="1">IF(tblValidation[[#This Row],[TargetID]]="","",COUNTIF(tblTargets[TargetID],A331)&gt;1)</f>
        <v>0</v>
      </c>
      <c r="N331" s="48" t="b">
        <f ca="1">IF(tblValidation[[#This Row],[TargetID]]="","",COUNTIF(tblStates[StateID],tblValidation[[#This Row],[TargetID]])&gt;1)</f>
        <v>0</v>
      </c>
      <c r="O331" s="48" t="b" cm="1">
        <f t="array" aca="1" ref="O3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1" s="48"/>
      <c r="R331" s="48"/>
      <c r="S331" s="48"/>
      <c r="T331" s="48"/>
      <c r="V331" s="2" t="str">
        <f ca="1"/>
        <v>quest.shoguns_katana_chapter_2.finished</v>
      </c>
      <c r="X331" s="2" t="str">
        <f ca="1"/>
        <v>quest.shoguns_katana_chapter_2.finished</v>
      </c>
      <c r="Y331" s="2" t="str">
        <f ca="1"/>
        <v>quest.the_ordinary_days_of_an_adventurer_chapter_4.accepted</v>
      </c>
      <c r="Z331" s="2" t="str">
        <f ca="1"/>
        <v>quest.shoguns_katana_chapter_4.accepted</v>
      </c>
      <c r="AA331" s="2" t="str">
        <f ca="1"/>
        <v>state.meet_dark_lady@6b</v>
      </c>
      <c r="AD331" s="2" t="str">
        <f ca="1"/>
        <v>quest.shoguns_katana_chapter_2.finished</v>
      </c>
      <c r="AE331" s="2" t="str">
        <f ca="1"/>
        <v>tech.windmill.bone_meal</v>
      </c>
    </row>
    <row r="332" spans="1:31">
      <c r="A332" t="str">
        <f t="shared" ca="1" si="10"/>
        <v>quest.shoguns_katana_chapter_3.accepted</v>
      </c>
      <c r="B332" t="str">
        <f ca="1">_xlfn.XLOOKUP(tblValidation[[#This Row],[TargetID]],tblTargets[TargetID],tblTargets[TargetType],"")</f>
        <v>QUEST</v>
      </c>
      <c r="C332" s="48" t="b">
        <f ca="1">COUNTIF(tblTargets[TargetID], $A332) &gt; 0</f>
        <v>1</v>
      </c>
      <c r="D332" s="48" t="b">
        <f ca="1">IF(OR(LEFT(tblValidation[[#This Row],[TargetID]],10)="state.CHAR",RIGHT(tblValidation[[#This Row],[TargetID]],5)="maxed"),TRUE, COUNTIF(tblChecklist[TargetID], $A332) &gt; 0)</f>
        <v>1</v>
      </c>
      <c r="E3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$A332) &gt; 0)</f>
        <v>1</v>
      </c>
      <c r="F332" s="48" t="b">
        <f ca="1">COUNTIF(tblDependencies[DependencyID], $A332) &gt; 0</f>
        <v>1</v>
      </c>
      <c r="G332" s="48" t="b">
        <f ca="1">COUNTIF(tblQuestObjectives[QuestTargetID], $A332) &gt; 0</f>
        <v>0</v>
      </c>
      <c r="H332" s="48" t="b">
        <f ca="1">COUNTIF(tblQuestObjectives[ObjectiveID], $A332) &gt; 0</f>
        <v>0</v>
      </c>
      <c r="I332" s="48" t="b">
        <f ca="1">COUNTIF(tblTargetStatus[TargetID], $A332) &gt; 0</f>
        <v>1</v>
      </c>
      <c r="J332" s="48" t="b">
        <f ca="1">COUNTIF(tblCost[TargetID], $A332) &gt; 0</f>
        <v>0</v>
      </c>
      <c r="K332" s="48" t="b">
        <f ca="1">COUNTIF(tblStates[StateID], $A332) &gt; 0</f>
        <v>0</v>
      </c>
      <c r="L332" s="48" t="b">
        <f t="shared" ca="1" si="11"/>
        <v>1</v>
      </c>
      <c r="M332" s="48" t="b">
        <f ca="1">IF(tblValidation[[#This Row],[TargetID]]="","",COUNTIF(tblTargets[TargetID],A332)&gt;1)</f>
        <v>0</v>
      </c>
      <c r="N332" s="48" t="b">
        <f ca="1">IF(tblValidation[[#This Row],[TargetID]]="","",COUNTIF(tblStates[StateID],tblValidation[[#This Row],[TargetID]])&gt;1)</f>
        <v>0</v>
      </c>
      <c r="O332" s="48" t="b" cm="1">
        <f t="array" aca="1" ref="O3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2" s="48"/>
      <c r="R332" s="48"/>
      <c r="S332" s="48"/>
      <c r="T332" s="48"/>
      <c r="V332" s="2" t="str">
        <f ca="1"/>
        <v>quest.shoguns_katana_chapter_3.accepted</v>
      </c>
      <c r="X332" s="2" t="str">
        <f ca="1"/>
        <v>quest.shoguns_katana_chapter_3.accepted</v>
      </c>
      <c r="Y332" s="2" t="str">
        <f ca="1"/>
        <v>quest.the_ordinary_days_of_an_adventurer_chapter_4.finished</v>
      </c>
      <c r="Z332" s="2" t="str">
        <f ca="1"/>
        <v>quest.shoguns_katana_chapter_4.finished</v>
      </c>
      <c r="AA332" s="2" t="str">
        <f ca="1"/>
        <v>state.meet_dark_lady@6b_second</v>
      </c>
      <c r="AD332" s="2" t="str">
        <f ca="1"/>
        <v>quest.shoguns_katana_chapter_3.accepted</v>
      </c>
      <c r="AE332" s="2" t="str">
        <f ca="1"/>
        <v>tech.workshop.conveyor_lvl_1</v>
      </c>
    </row>
    <row r="333" spans="1:31">
      <c r="A333" t="str">
        <f t="shared" ca="1" si="10"/>
        <v>quest.shoguns_katana_chapter_3.finished</v>
      </c>
      <c r="B333" t="str">
        <f ca="1">_xlfn.XLOOKUP(tblValidation[[#This Row],[TargetID]],tblTargets[TargetID],tblTargets[TargetType],"")</f>
        <v>QUEST</v>
      </c>
      <c r="C333" s="48" t="b">
        <f ca="1">COUNTIF(tblTargets[TargetID], $A333) &gt; 0</f>
        <v>1</v>
      </c>
      <c r="D333" s="48" t="b">
        <f ca="1">IF(OR(LEFT(tblValidation[[#This Row],[TargetID]],10)="state.CHAR",RIGHT(tblValidation[[#This Row],[TargetID]],5)="maxed"),TRUE, COUNTIF(tblChecklist[TargetID], $A333) &gt; 0)</f>
        <v>1</v>
      </c>
      <c r="E3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$A333) &gt; 0)</f>
        <v>1</v>
      </c>
      <c r="F333" s="48" t="b">
        <f ca="1">COUNTIF(tblDependencies[DependencyID], $A333) &gt; 0</f>
        <v>1</v>
      </c>
      <c r="G333" s="48" t="b">
        <f ca="1">COUNTIF(tblQuestObjectives[QuestTargetID], $A333) &gt; 0</f>
        <v>1</v>
      </c>
      <c r="H333" s="48" t="b">
        <f ca="1">COUNTIF(tblQuestObjectives[ObjectiveID], $A333) &gt; 0</f>
        <v>0</v>
      </c>
      <c r="I333" s="48" t="b">
        <f ca="1">COUNTIF(tblTargetStatus[TargetID], $A333) &gt; 0</f>
        <v>1</v>
      </c>
      <c r="J333" s="48" t="b">
        <f ca="1">COUNTIF(tblCost[TargetID], $A333) &gt; 0</f>
        <v>1</v>
      </c>
      <c r="K333" s="48" t="b">
        <f ca="1">COUNTIF(tblStates[StateID], $A333) &gt; 0</f>
        <v>0</v>
      </c>
      <c r="L333" s="48" t="b">
        <f t="shared" ca="1" si="11"/>
        <v>1</v>
      </c>
      <c r="M333" s="48" t="b">
        <f ca="1">IF(tblValidation[[#This Row],[TargetID]]="","",COUNTIF(tblTargets[TargetID],A333)&gt;1)</f>
        <v>0</v>
      </c>
      <c r="N333" s="48" t="b">
        <f ca="1">IF(tblValidation[[#This Row],[TargetID]]="","",COUNTIF(tblStates[StateID],tblValidation[[#This Row],[TargetID]])&gt;1)</f>
        <v>0</v>
      </c>
      <c r="O333" s="48" t="b" cm="1">
        <f t="array" aca="1" ref="O3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3" s="48"/>
      <c r="R333" s="48"/>
      <c r="S333" s="48"/>
      <c r="T333" s="48"/>
      <c r="V333" s="2" t="str">
        <f ca="1"/>
        <v>quest.shoguns_katana_chapter_3.finished</v>
      </c>
      <c r="X333" s="2" t="str">
        <f ca="1"/>
        <v>quest.shoguns_katana_chapter_3.finished</v>
      </c>
      <c r="Y333" s="2" t="str">
        <f ca="1"/>
        <v>quest.the_ordinary_days_of_an_adventurer_chapter_5.accepted</v>
      </c>
      <c r="Z333" s="2" t="str">
        <f ca="1"/>
        <v>quest.shoguns_katana_chapter_5.accepted</v>
      </c>
      <c r="AA333" s="2" t="str">
        <f ca="1"/>
        <v>state.meet_dark_lady@f2</v>
      </c>
      <c r="AD333" s="2" t="str">
        <f ca="1"/>
        <v>quest.shoguns_katana_chapter_3.finished</v>
      </c>
      <c r="AE333" s="2" t="str">
        <f ca="1"/>
        <v>tech.workshop.conveyor_lvl_2</v>
      </c>
    </row>
    <row r="334" spans="1:31">
      <c r="A334" t="str">
        <f t="shared" ca="1" si="10"/>
        <v>quest.shoguns_katana_chapter_4.accepted</v>
      </c>
      <c r="B334" t="str">
        <f ca="1">_xlfn.XLOOKUP(tblValidation[[#This Row],[TargetID]],tblTargets[TargetID],tblTargets[TargetType],"")</f>
        <v>QUEST</v>
      </c>
      <c r="C334" s="48" t="b">
        <f ca="1">COUNTIF(tblTargets[TargetID], $A334) &gt; 0</f>
        <v>1</v>
      </c>
      <c r="D334" s="48" t="b">
        <f ca="1">IF(OR(LEFT(tblValidation[[#This Row],[TargetID]],10)="state.CHAR",RIGHT(tblValidation[[#This Row],[TargetID]],5)="maxed"),TRUE, COUNTIF(tblChecklist[TargetID], $A334) &gt; 0)</f>
        <v>1</v>
      </c>
      <c r="E3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$A334) &gt; 0)</f>
        <v>1</v>
      </c>
      <c r="F334" s="48" t="b">
        <f ca="1">COUNTIF(tblDependencies[DependencyID], $A334) &gt; 0</f>
        <v>1</v>
      </c>
      <c r="G334" s="48" t="b">
        <f ca="1">COUNTIF(tblQuestObjectives[QuestTargetID], $A334) &gt; 0</f>
        <v>0</v>
      </c>
      <c r="H334" s="48" t="b">
        <f ca="1">COUNTIF(tblQuestObjectives[ObjectiveID], $A334) &gt; 0</f>
        <v>0</v>
      </c>
      <c r="I334" s="48" t="b">
        <f ca="1">COUNTIF(tblTargetStatus[TargetID], $A334) &gt; 0</f>
        <v>1</v>
      </c>
      <c r="J334" s="48" t="b">
        <f ca="1">COUNTIF(tblCost[TargetID], $A334) &gt; 0</f>
        <v>0</v>
      </c>
      <c r="K334" s="48" t="b">
        <f ca="1">COUNTIF(tblStates[StateID], $A334) &gt; 0</f>
        <v>0</v>
      </c>
      <c r="L334" s="48" t="b">
        <f t="shared" ca="1" si="11"/>
        <v>1</v>
      </c>
      <c r="M334" s="48" t="b">
        <f ca="1">IF(tblValidation[[#This Row],[TargetID]]="","",COUNTIF(tblTargets[TargetID],A334)&gt;1)</f>
        <v>0</v>
      </c>
      <c r="N334" s="48" t="b">
        <f ca="1">IF(tblValidation[[#This Row],[TargetID]]="","",COUNTIF(tblStates[StateID],tblValidation[[#This Row],[TargetID]])&gt;1)</f>
        <v>0</v>
      </c>
      <c r="O334" s="48" t="b" cm="1">
        <f t="array" aca="1" ref="O3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4" s="48"/>
      <c r="R334" s="48"/>
      <c r="S334" s="48"/>
      <c r="T334" s="48"/>
      <c r="V334" s="2" t="str">
        <f ca="1"/>
        <v>quest.shoguns_katana_chapter_4.accepted</v>
      </c>
      <c r="X334" s="2" t="str">
        <f ca="1"/>
        <v>quest.shoguns_katana_chapter_4.accepted</v>
      </c>
      <c r="Y334" s="2" t="str">
        <f ca="1"/>
        <v>quest.the_ordinary_days_of_an_adventurer_chapter_5.finished</v>
      </c>
      <c r="Z334" s="2" t="str">
        <f ca="1"/>
        <v>quest.shoguns_katana_chapter_5.finished</v>
      </c>
      <c r="AA334" s="2" t="str">
        <f ca="1"/>
        <v>state.meet_fat_demon@4a</v>
      </c>
      <c r="AD334" s="2" t="str">
        <f ca="1"/>
        <v>quest.shoguns_katana_chapter_4.accepted</v>
      </c>
      <c r="AE334" s="2" t="str">
        <f ca="1"/>
        <v>tech.workshop.explosive_mechanical_spider</v>
      </c>
    </row>
    <row r="335" spans="1:31">
      <c r="A335" t="str">
        <f t="shared" ca="1" si="10"/>
        <v>quest.shoguns_katana_chapter_4.finished</v>
      </c>
      <c r="B335" t="str">
        <f ca="1">_xlfn.XLOOKUP(tblValidation[[#This Row],[TargetID]],tblTargets[TargetID],tblTargets[TargetType],"")</f>
        <v>QUEST</v>
      </c>
      <c r="C335" s="48" t="b">
        <f ca="1">COUNTIF(tblTargets[TargetID], $A335) &gt; 0</f>
        <v>1</v>
      </c>
      <c r="D335" s="48" t="b">
        <f ca="1">IF(OR(LEFT(tblValidation[[#This Row],[TargetID]],10)="state.CHAR",RIGHT(tblValidation[[#This Row],[TargetID]],5)="maxed"),TRUE, COUNTIF(tblChecklist[TargetID], $A335) &gt; 0)</f>
        <v>1</v>
      </c>
      <c r="E3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$A335) &gt; 0)</f>
        <v>1</v>
      </c>
      <c r="F335" s="48" t="b">
        <f ca="1">COUNTIF(tblDependencies[DependencyID], $A335) &gt; 0</f>
        <v>1</v>
      </c>
      <c r="G335" s="48" t="b">
        <f ca="1">COUNTIF(tblQuestObjectives[QuestTargetID], $A335) &gt; 0</f>
        <v>1</v>
      </c>
      <c r="H335" s="48" t="b">
        <f ca="1">COUNTIF(tblQuestObjectives[ObjectiveID], $A335) &gt; 0</f>
        <v>0</v>
      </c>
      <c r="I335" s="48" t="b">
        <f ca="1">COUNTIF(tblTargetStatus[TargetID], $A335) &gt; 0</f>
        <v>1</v>
      </c>
      <c r="J335" s="48" t="b">
        <f ca="1">COUNTIF(tblCost[TargetID], $A335) &gt; 0</f>
        <v>1</v>
      </c>
      <c r="K335" s="48" t="b">
        <f ca="1">COUNTIF(tblStates[StateID], $A335) &gt; 0</f>
        <v>0</v>
      </c>
      <c r="L335" s="48" t="b">
        <f t="shared" ca="1" si="11"/>
        <v>1</v>
      </c>
      <c r="M335" s="48" t="b">
        <f ca="1">IF(tblValidation[[#This Row],[TargetID]]="","",COUNTIF(tblTargets[TargetID],A335)&gt;1)</f>
        <v>0</v>
      </c>
      <c r="N335" s="48" t="b">
        <f ca="1">IF(tblValidation[[#This Row],[TargetID]]="","",COUNTIF(tblStates[StateID],tblValidation[[#This Row],[TargetID]])&gt;1)</f>
        <v>0</v>
      </c>
      <c r="O335" s="48" t="b" cm="1">
        <f t="array" aca="1" ref="O3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5" s="48"/>
      <c r="R335" s="48"/>
      <c r="S335" s="48"/>
      <c r="T335" s="48"/>
      <c r="V335" s="2" t="str">
        <f ca="1"/>
        <v>quest.shoguns_katana_chapter_4.finished</v>
      </c>
      <c r="X335" s="2" t="str">
        <f ca="1"/>
        <v>quest.shoguns_katana_chapter_4.finished</v>
      </c>
      <c r="Y335" s="2" t="str">
        <f ca="1"/>
        <v>quest.the_ordinary_days_of_an_adventurer_chapter_6.accepted</v>
      </c>
      <c r="Z335" s="2" t="str">
        <f ca="1"/>
        <v>quest.shoguns_katana_chapter_6.accepted</v>
      </c>
      <c r="AA335" s="2" t="str">
        <f ca="1"/>
        <v>state.meet_foodie_demon@f2</v>
      </c>
      <c r="AD335" s="2" t="str">
        <f ca="1"/>
        <v>quest.shoguns_katana_chapter_4.finished</v>
      </c>
      <c r="AE335" s="2" t="str">
        <f ca="1"/>
        <v>tech.workshop.mechanical_spider</v>
      </c>
    </row>
    <row r="336" spans="1:31">
      <c r="A336" t="str">
        <f t="shared" ca="1" si="10"/>
        <v>quest.shoguns_katana_chapter_5.accepted</v>
      </c>
      <c r="B336" t="str">
        <f ca="1">_xlfn.XLOOKUP(tblValidation[[#This Row],[TargetID]],tblTargets[TargetID],tblTargets[TargetType],"")</f>
        <v>QUEST</v>
      </c>
      <c r="C336" s="48" t="b">
        <f ca="1">COUNTIF(tblTargets[TargetID], $A336) &gt; 0</f>
        <v>1</v>
      </c>
      <c r="D336" s="48" t="b">
        <f ca="1">IF(OR(LEFT(tblValidation[[#This Row],[TargetID]],10)="state.CHAR",RIGHT(tblValidation[[#This Row],[TargetID]],5)="maxed"),TRUE, COUNTIF(tblChecklist[TargetID], $A336) &gt; 0)</f>
        <v>1</v>
      </c>
      <c r="E3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$A336) &gt; 0)</f>
        <v>1</v>
      </c>
      <c r="F336" s="48" t="b">
        <f ca="1">COUNTIF(tblDependencies[DependencyID], $A336) &gt; 0</f>
        <v>1</v>
      </c>
      <c r="G336" s="48" t="b">
        <f ca="1">COUNTIF(tblQuestObjectives[QuestTargetID], $A336) &gt; 0</f>
        <v>0</v>
      </c>
      <c r="H336" s="48" t="b">
        <f ca="1">COUNTIF(tblQuestObjectives[ObjectiveID], $A336) &gt; 0</f>
        <v>0</v>
      </c>
      <c r="I336" s="48" t="b">
        <f ca="1">COUNTIF(tblTargetStatus[TargetID], $A336) &gt; 0</f>
        <v>1</v>
      </c>
      <c r="J336" s="48" t="b">
        <f ca="1">COUNTIF(tblCost[TargetID], $A336) &gt; 0</f>
        <v>0</v>
      </c>
      <c r="K336" s="48" t="b">
        <f ca="1">COUNTIF(tblStates[StateID], $A336) &gt; 0</f>
        <v>0</v>
      </c>
      <c r="L336" s="48" t="b">
        <f t="shared" ca="1" si="11"/>
        <v>1</v>
      </c>
      <c r="M336" s="48" t="b">
        <f ca="1">IF(tblValidation[[#This Row],[TargetID]]="","",COUNTIF(tblTargets[TargetID],A336)&gt;1)</f>
        <v>0</v>
      </c>
      <c r="N336" s="48" t="b">
        <f ca="1">IF(tblValidation[[#This Row],[TargetID]]="","",COUNTIF(tblStates[StateID],tblValidation[[#This Row],[TargetID]])&gt;1)</f>
        <v>0</v>
      </c>
      <c r="O336" s="48" t="b" cm="1">
        <f t="array" aca="1" ref="O3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6" s="48"/>
      <c r="R336" s="48"/>
      <c r="S336" s="48"/>
      <c r="T336" s="48"/>
      <c r="V336" s="2" t="str">
        <f ca="1"/>
        <v>quest.shoguns_katana_chapter_5.accepted</v>
      </c>
      <c r="X336" s="2" t="str">
        <f ca="1"/>
        <v>quest.shoguns_katana_chapter_5.accepted</v>
      </c>
      <c r="Y336" s="2" t="str">
        <f ca="1"/>
        <v>quest.the_ordinary_days_of_an_adventurer_chapter_6.finished</v>
      </c>
      <c r="Z336" s="2" t="str">
        <f ca="1"/>
        <v>quest.shoguns_katana_chapter_6.finished</v>
      </c>
      <c r="AA336" s="2" t="str">
        <f ca="1"/>
        <v>state.meet_forest_fairy@f2</v>
      </c>
      <c r="AD336" s="2" t="str">
        <f ca="1"/>
        <v>quest.shoguns_katana_chapter_5.accepted</v>
      </c>
      <c r="AE336" s="2" t="str">
        <f ca="1"/>
        <v>tech.workshop.mechanism</v>
      </c>
    </row>
    <row r="337" spans="1:31">
      <c r="A337" t="str">
        <f t="shared" ca="1" si="10"/>
        <v>quest.shoguns_katana_chapter_5.finished</v>
      </c>
      <c r="B337" t="str">
        <f ca="1">_xlfn.XLOOKUP(tblValidation[[#This Row],[TargetID]],tblTargets[TargetID],tblTargets[TargetType],"")</f>
        <v>QUEST</v>
      </c>
      <c r="C337" s="48" t="b">
        <f ca="1">COUNTIF(tblTargets[TargetID], $A337) &gt; 0</f>
        <v>1</v>
      </c>
      <c r="D337" s="48" t="b">
        <f ca="1">IF(OR(LEFT(tblValidation[[#This Row],[TargetID]],10)="state.CHAR",RIGHT(tblValidation[[#This Row],[TargetID]],5)="maxed"),TRUE, COUNTIF(tblChecklist[TargetID], $A337) &gt; 0)</f>
        <v>1</v>
      </c>
      <c r="E3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$A337) &gt; 0)</f>
        <v>1</v>
      </c>
      <c r="F337" s="48" t="b">
        <f ca="1">COUNTIF(tblDependencies[DependencyID], $A337) &gt; 0</f>
        <v>1</v>
      </c>
      <c r="G337" s="48" t="b">
        <f ca="1">COUNTIF(tblQuestObjectives[QuestTargetID], $A337) &gt; 0</f>
        <v>1</v>
      </c>
      <c r="H337" s="48" t="b">
        <f ca="1">COUNTIF(tblQuestObjectives[ObjectiveID], $A337) &gt; 0</f>
        <v>0</v>
      </c>
      <c r="I337" s="48" t="b">
        <f ca="1">COUNTIF(tblTargetStatus[TargetID], $A337) &gt; 0</f>
        <v>1</v>
      </c>
      <c r="J337" s="48" t="b">
        <f ca="1">COUNTIF(tblCost[TargetID], $A337) &gt; 0</f>
        <v>1</v>
      </c>
      <c r="K337" s="48" t="b">
        <f ca="1">COUNTIF(tblStates[StateID], $A337) &gt; 0</f>
        <v>0</v>
      </c>
      <c r="L337" s="48" t="b">
        <f t="shared" ca="1" si="11"/>
        <v>1</v>
      </c>
      <c r="M337" s="48" t="b">
        <f ca="1">IF(tblValidation[[#This Row],[TargetID]]="","",COUNTIF(tblTargets[TargetID],A337)&gt;1)</f>
        <v>0</v>
      </c>
      <c r="N337" s="48" t="b">
        <f ca="1">IF(tblValidation[[#This Row],[TargetID]]="","",COUNTIF(tblStates[StateID],tblValidation[[#This Row],[TargetID]])&gt;1)</f>
        <v>0</v>
      </c>
      <c r="O337" s="48" t="b" cm="1">
        <f t="array" aca="1" ref="O3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7" s="48"/>
      <c r="R337" s="48"/>
      <c r="S337" s="48"/>
      <c r="T337" s="48"/>
      <c r="V337" s="2" t="str">
        <f ca="1"/>
        <v>quest.shoguns_katana_chapter_5.finished</v>
      </c>
      <c r="X337" s="2" t="str">
        <f ca="1"/>
        <v>quest.shoguns_katana_chapter_5.finished</v>
      </c>
      <c r="Y337" s="2" t="str">
        <f ca="1"/>
        <v>quest.the_ordinary_days_of_an_adventurer_chapter_7.accepted</v>
      </c>
      <c r="Z337" s="2" t="str">
        <f ca="1"/>
        <v>quest.shoguns_katana_chapter_7.accepted</v>
      </c>
      <c r="AA337" s="2" t="str">
        <f ca="1"/>
        <v>state.meet_hunter@f1</v>
      </c>
      <c r="AD337" s="2" t="str">
        <f ca="1"/>
        <v>quest.shoguns_katana_chapter_5.finished</v>
      </c>
      <c r="AE337" s="2" t="str">
        <f ca="1"/>
        <v>tech.workshop.shield_for_a_hero_lvl_1</v>
      </c>
    </row>
    <row r="338" spans="1:31">
      <c r="A338" t="str">
        <f t="shared" ca="1" si="10"/>
        <v>quest.shoguns_katana_chapter_6.accepted</v>
      </c>
      <c r="B338" t="str">
        <f ca="1">_xlfn.XLOOKUP(tblValidation[[#This Row],[TargetID]],tblTargets[TargetID],tblTargets[TargetType],"")</f>
        <v>QUEST</v>
      </c>
      <c r="C338" s="48" t="b">
        <f ca="1">COUNTIF(tblTargets[TargetID], $A338) &gt; 0</f>
        <v>1</v>
      </c>
      <c r="D338" s="48" t="b">
        <f ca="1">IF(OR(LEFT(tblValidation[[#This Row],[TargetID]],10)="state.CHAR",RIGHT(tblValidation[[#This Row],[TargetID]],5)="maxed"),TRUE, COUNTIF(tblChecklist[TargetID], $A338) &gt; 0)</f>
        <v>1</v>
      </c>
      <c r="E3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$A338) &gt; 0)</f>
        <v>1</v>
      </c>
      <c r="F338" s="48" t="b">
        <f ca="1">COUNTIF(tblDependencies[DependencyID], $A338) &gt; 0</f>
        <v>1</v>
      </c>
      <c r="G338" s="48" t="b">
        <f ca="1">COUNTIF(tblQuestObjectives[QuestTargetID], $A338) &gt; 0</f>
        <v>0</v>
      </c>
      <c r="H338" s="48" t="b">
        <f ca="1">COUNTIF(tblQuestObjectives[ObjectiveID], $A338) &gt; 0</f>
        <v>0</v>
      </c>
      <c r="I338" s="48" t="b">
        <f ca="1">COUNTIF(tblTargetStatus[TargetID], $A338) &gt; 0</f>
        <v>1</v>
      </c>
      <c r="J338" s="48" t="b">
        <f ca="1">COUNTIF(tblCost[TargetID], $A338) &gt; 0</f>
        <v>0</v>
      </c>
      <c r="K338" s="48" t="b">
        <f ca="1">COUNTIF(tblStates[StateID], $A338) &gt; 0</f>
        <v>0</v>
      </c>
      <c r="L338" s="48" t="b">
        <f t="shared" ca="1" si="11"/>
        <v>1</v>
      </c>
      <c r="M338" s="48" t="b">
        <f ca="1">IF(tblValidation[[#This Row],[TargetID]]="","",COUNTIF(tblTargets[TargetID],A338)&gt;1)</f>
        <v>0</v>
      </c>
      <c r="N338" s="48" t="b">
        <f ca="1">IF(tblValidation[[#This Row],[TargetID]]="","",COUNTIF(tblStates[StateID],tblValidation[[#This Row],[TargetID]])&gt;1)</f>
        <v>0</v>
      </c>
      <c r="O338" s="48" t="b" cm="1">
        <f t="array" aca="1" ref="O3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8" s="48"/>
      <c r="R338" s="48"/>
      <c r="S338" s="48"/>
      <c r="T338" s="48"/>
      <c r="V338" s="2" t="str">
        <f ca="1"/>
        <v>quest.shoguns_katana_chapter_6.accepted</v>
      </c>
      <c r="X338" s="2" t="str">
        <f ca="1"/>
        <v>quest.shoguns_katana_chapter_6.accepted</v>
      </c>
      <c r="Y338" s="2" t="str">
        <f ca="1"/>
        <v>quest.the_ordinary_days_of_an_adventurer_chapter_7.finished</v>
      </c>
      <c r="Z338" s="2" t="str">
        <f ca="1"/>
        <v>quest.shoguns_katana_chapter_7.finished</v>
      </c>
      <c r="AA338" s="2" t="str">
        <f ca="1"/>
        <v>state.meet_inventor@5b</v>
      </c>
      <c r="AD338" s="2" t="str">
        <f ca="1"/>
        <v>quest.shoguns_katana_chapter_6.accepted</v>
      </c>
      <c r="AE338" s="2" t="str">
        <f ca="1"/>
        <v>tech.workshop.shield_for_a_hero_lvl_2</v>
      </c>
    </row>
    <row r="339" spans="1:31">
      <c r="A339" t="str">
        <f t="shared" ca="1" si="10"/>
        <v>quest.shoguns_katana_chapter_6.finished</v>
      </c>
      <c r="B339" t="str">
        <f ca="1">_xlfn.XLOOKUP(tblValidation[[#This Row],[TargetID]],tblTargets[TargetID],tblTargets[TargetType],"")</f>
        <v>QUEST</v>
      </c>
      <c r="C339" s="48" t="b">
        <f ca="1">COUNTIF(tblTargets[TargetID], $A339) &gt; 0</f>
        <v>1</v>
      </c>
      <c r="D339" s="48" t="b">
        <f ca="1">IF(OR(LEFT(tblValidation[[#This Row],[TargetID]],10)="state.CHAR",RIGHT(tblValidation[[#This Row],[TargetID]],5)="maxed"),TRUE, COUNTIF(tblChecklist[TargetID], $A339) &gt; 0)</f>
        <v>1</v>
      </c>
      <c r="E3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$A339) &gt; 0)</f>
        <v>1</v>
      </c>
      <c r="F339" s="48" t="b">
        <f ca="1">COUNTIF(tblDependencies[DependencyID], $A339) &gt; 0</f>
        <v>1</v>
      </c>
      <c r="G339" s="48" t="b">
        <f ca="1">COUNTIF(tblQuestObjectives[QuestTargetID], $A339) &gt; 0</f>
        <v>1</v>
      </c>
      <c r="H339" s="48" t="b">
        <f ca="1">COUNTIF(tblQuestObjectives[ObjectiveID], $A339) &gt; 0</f>
        <v>0</v>
      </c>
      <c r="I339" s="48" t="b">
        <f ca="1">COUNTIF(tblTargetStatus[TargetID], $A339) &gt; 0</f>
        <v>1</v>
      </c>
      <c r="J339" s="48" t="b">
        <f ca="1">COUNTIF(tblCost[TargetID], $A339) &gt; 0</f>
        <v>1</v>
      </c>
      <c r="K339" s="48" t="b">
        <f ca="1">COUNTIF(tblStates[StateID], $A339) &gt; 0</f>
        <v>0</v>
      </c>
      <c r="L339" s="48" t="b">
        <f t="shared" ca="1" si="11"/>
        <v>1</v>
      </c>
      <c r="M339" s="48" t="b">
        <f ca="1">IF(tblValidation[[#This Row],[TargetID]]="","",COUNTIF(tblTargets[TargetID],A339)&gt;1)</f>
        <v>0</v>
      </c>
      <c r="N339" s="48" t="b">
        <f ca="1">IF(tblValidation[[#This Row],[TargetID]]="","",COUNTIF(tblStates[StateID],tblValidation[[#This Row],[TargetID]])&gt;1)</f>
        <v>0</v>
      </c>
      <c r="O339" s="48" t="b" cm="1">
        <f t="array" aca="1" ref="O3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9" s="48"/>
      <c r="R339" s="48"/>
      <c r="S339" s="48"/>
      <c r="T339" s="48"/>
      <c r="V339" s="2" t="str">
        <f ca="1"/>
        <v>quest.shoguns_katana_chapter_6.finished</v>
      </c>
      <c r="X339" s="2" t="str">
        <f ca="1"/>
        <v>quest.shoguns_katana_chapter_6.finished</v>
      </c>
      <c r="Y339" s="2" t="str">
        <f ca="1"/>
        <v>quest.the_ordinary_days_of_an_adventurer_chapter_8.accepted</v>
      </c>
      <c r="Z339" s="2" t="str">
        <f ca="1"/>
        <v>quest.silk_road.accepted</v>
      </c>
      <c r="AA339" s="2" t="str">
        <f ca="1"/>
        <v>state.meet_mech_adventurer@2b</v>
      </c>
      <c r="AD339" s="2" t="str">
        <f ca="1"/>
        <v>quest.shoguns_katana_chapter_6.finished</v>
      </c>
      <c r="AE339" s="2" t="str">
        <f ca="1"/>
        <v>tech.workshop.shield_for_a_hero_lvl_3</v>
      </c>
    </row>
    <row r="340" spans="1:31">
      <c r="A340" t="str">
        <f t="shared" ca="1" si="10"/>
        <v>quest.shoguns_katana_chapter_7.accepted</v>
      </c>
      <c r="B340" t="str">
        <f ca="1">_xlfn.XLOOKUP(tblValidation[[#This Row],[TargetID]],tblTargets[TargetID],tblTargets[TargetType],"")</f>
        <v>QUEST</v>
      </c>
      <c r="C340" s="48" t="b">
        <f ca="1">COUNTIF(tblTargets[TargetID], $A340) &gt; 0</f>
        <v>1</v>
      </c>
      <c r="D340" s="48" t="b">
        <f ca="1">IF(OR(LEFT(tblValidation[[#This Row],[TargetID]],10)="state.CHAR",RIGHT(tblValidation[[#This Row],[TargetID]],5)="maxed"),TRUE, COUNTIF(tblChecklist[TargetID], $A340) &gt; 0)</f>
        <v>1</v>
      </c>
      <c r="E3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$A340) &gt; 0)</f>
        <v>1</v>
      </c>
      <c r="F340" s="48" t="b">
        <f ca="1">COUNTIF(tblDependencies[DependencyID], $A340) &gt; 0</f>
        <v>1</v>
      </c>
      <c r="G340" s="48" t="b">
        <f ca="1">COUNTIF(tblQuestObjectives[QuestTargetID], $A340) &gt; 0</f>
        <v>0</v>
      </c>
      <c r="H340" s="48" t="b">
        <f ca="1">COUNTIF(tblQuestObjectives[ObjectiveID], $A340) &gt; 0</f>
        <v>0</v>
      </c>
      <c r="I340" s="48" t="b">
        <f ca="1">COUNTIF(tblTargetStatus[TargetID], $A340) &gt; 0</f>
        <v>1</v>
      </c>
      <c r="J340" s="48" t="b">
        <f ca="1">COUNTIF(tblCost[TargetID], $A340) &gt; 0</f>
        <v>0</v>
      </c>
      <c r="K340" s="48" t="b">
        <f ca="1">COUNTIF(tblStates[StateID], $A340) &gt; 0</f>
        <v>0</v>
      </c>
      <c r="L340" s="48" t="b">
        <f t="shared" ca="1" si="11"/>
        <v>1</v>
      </c>
      <c r="M340" s="48" t="b">
        <f ca="1">IF(tblValidation[[#This Row],[TargetID]]="","",COUNTIF(tblTargets[TargetID],A340)&gt;1)</f>
        <v>0</v>
      </c>
      <c r="N340" s="48" t="b">
        <f ca="1">IF(tblValidation[[#This Row],[TargetID]]="","",COUNTIF(tblStates[StateID],tblValidation[[#This Row],[TargetID]])&gt;1)</f>
        <v>0</v>
      </c>
      <c r="O340" s="48" t="b" cm="1">
        <f t="array" aca="1" ref="O3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0" s="48"/>
      <c r="R340" s="48"/>
      <c r="S340" s="48"/>
      <c r="T340" s="48"/>
      <c r="V340" s="2" t="str">
        <f ca="1"/>
        <v>quest.shoguns_katana_chapter_7.accepted</v>
      </c>
      <c r="X340" s="2" t="str">
        <f ca="1"/>
        <v>quest.shoguns_katana_chapter_7.accepted</v>
      </c>
      <c r="Y340" s="2" t="str">
        <f ca="1"/>
        <v>quest.the_ordinary_days_of_an_adventurer_chapter_8.finished</v>
      </c>
      <c r="Z340" s="2" t="str">
        <f ca="1"/>
        <v>quest.silk_road.finished</v>
      </c>
      <c r="AA340" s="2" t="str">
        <f ca="1"/>
        <v>state.meet_mech_adventurer_3a</v>
      </c>
      <c r="AD340" s="2" t="str">
        <f ca="1"/>
        <v>quest.shoguns_katana_chapter_7.accepted</v>
      </c>
      <c r="AE340" s="2" t="str">
        <f ca="1"/>
        <v>tech.workshop.shield_for_a_hero_lvl_4</v>
      </c>
    </row>
    <row r="341" spans="1:31">
      <c r="A341" t="str">
        <f t="shared" ca="1" si="10"/>
        <v>quest.shoguns_katana_chapter_7.finished</v>
      </c>
      <c r="B341" t="str">
        <f ca="1">_xlfn.XLOOKUP(tblValidation[[#This Row],[TargetID]],tblTargets[TargetID],tblTargets[TargetType],"")</f>
        <v>QUEST</v>
      </c>
      <c r="C341" s="48" t="b">
        <f ca="1">COUNTIF(tblTargets[TargetID], $A341) &gt; 0</f>
        <v>1</v>
      </c>
      <c r="D341" s="48" t="b">
        <f ca="1">IF(OR(LEFT(tblValidation[[#This Row],[TargetID]],10)="state.CHAR",RIGHT(tblValidation[[#This Row],[TargetID]],5)="maxed"),TRUE, COUNTIF(tblChecklist[TargetID], $A341) &gt; 0)</f>
        <v>1</v>
      </c>
      <c r="E3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$A341) &gt; 0)</f>
        <v>1</v>
      </c>
      <c r="F341" s="48" t="b">
        <f ca="1">COUNTIF(tblDependencies[DependencyID], $A341) &gt; 0</f>
        <v>1</v>
      </c>
      <c r="G341" s="48" t="b">
        <f ca="1">COUNTIF(tblQuestObjectives[QuestTargetID], $A341) &gt; 0</f>
        <v>1</v>
      </c>
      <c r="H341" s="48" t="b">
        <f ca="1">COUNTIF(tblQuestObjectives[ObjectiveID], $A341) &gt; 0</f>
        <v>0</v>
      </c>
      <c r="I341" s="48" t="b">
        <f ca="1">COUNTIF(tblTargetStatus[TargetID], $A341) &gt; 0</f>
        <v>1</v>
      </c>
      <c r="J341" s="48" t="b">
        <f ca="1">COUNTIF(tblCost[TargetID], $A341) &gt; 0</f>
        <v>1</v>
      </c>
      <c r="K341" s="48" t="b">
        <f ca="1">COUNTIF(tblStates[StateID], $A341) &gt; 0</f>
        <v>0</v>
      </c>
      <c r="L341" s="48" t="b">
        <f t="shared" ca="1" si="11"/>
        <v>1</v>
      </c>
      <c r="M341" s="48" t="b">
        <f ca="1">IF(tblValidation[[#This Row],[TargetID]]="","",COUNTIF(tblTargets[TargetID],A341)&gt;1)</f>
        <v>0</v>
      </c>
      <c r="N341" s="48" t="b">
        <f ca="1">IF(tblValidation[[#This Row],[TargetID]]="","",COUNTIF(tblStates[StateID],tblValidation[[#This Row],[TargetID]])&gt;1)</f>
        <v>0</v>
      </c>
      <c r="O341" s="48" t="b" cm="1">
        <f t="array" aca="1" ref="O3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1" s="48"/>
      <c r="R341" s="48"/>
      <c r="S341" s="48"/>
      <c r="T341" s="48"/>
      <c r="V341" s="2" t="str">
        <f ca="1"/>
        <v>quest.shoguns_katana_chapter_7.finished</v>
      </c>
      <c r="X341" s="2" t="str">
        <f ca="1"/>
        <v>quest.shoguns_katana_chapter_7.finished</v>
      </c>
      <c r="Y341" s="2" t="str">
        <f ca="1"/>
        <v>quest.the_ring_of_the_dark_lady.accepted</v>
      </c>
      <c r="Z341" s="2" t="str">
        <f ca="1"/>
        <v>quest.spicy_odyssey.accepted</v>
      </c>
      <c r="AA341" s="2" t="str">
        <f ca="1"/>
        <v>state.meet_mech_adventurer_f1</v>
      </c>
      <c r="AD341" s="2" t="str">
        <f ca="1"/>
        <v>quest.shoguns_katana_chapter_7.finished</v>
      </c>
      <c r="AE341" s="2" t="str">
        <f ca="1"/>
        <v>tech.workshop.shield_for_a_hero_lvl_4+</v>
      </c>
    </row>
    <row r="342" spans="1:31">
      <c r="A342" t="str">
        <f t="shared" ca="1" si="10"/>
        <v>quest.silk_road.accepted</v>
      </c>
      <c r="B342" t="str">
        <f ca="1">_xlfn.XLOOKUP(tblValidation[[#This Row],[TargetID]],tblTargets[TargetID],tblTargets[TargetType],"")</f>
        <v>QUEST</v>
      </c>
      <c r="C342" s="48" t="b">
        <f ca="1">COUNTIF(tblTargets[TargetID], $A342) &gt; 0</f>
        <v>1</v>
      </c>
      <c r="D342" s="48" t="b">
        <f ca="1">IF(OR(LEFT(tblValidation[[#This Row],[TargetID]],10)="state.CHAR",RIGHT(tblValidation[[#This Row],[TargetID]],5)="maxed"),TRUE, COUNTIF(tblChecklist[TargetID], $A342) &gt; 0)</f>
        <v>1</v>
      </c>
      <c r="E3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$A342) &gt; 0)</f>
        <v>1</v>
      </c>
      <c r="F342" s="48" t="b">
        <f ca="1">COUNTIF(tblDependencies[DependencyID], $A342) &gt; 0</f>
        <v>1</v>
      </c>
      <c r="G342" s="48" t="b">
        <f ca="1">COUNTIF(tblQuestObjectives[QuestTargetID], $A342) &gt; 0</f>
        <v>0</v>
      </c>
      <c r="H342" s="48" t="b">
        <f ca="1">COUNTIF(tblQuestObjectives[ObjectiveID], $A342) &gt; 0</f>
        <v>0</v>
      </c>
      <c r="I342" s="48" t="b">
        <f ca="1">COUNTIF(tblTargetStatus[TargetID], $A342) &gt; 0</f>
        <v>1</v>
      </c>
      <c r="J342" s="48" t="b">
        <f ca="1">COUNTIF(tblCost[TargetID], $A342) &gt; 0</f>
        <v>0</v>
      </c>
      <c r="K342" s="48" t="b">
        <f ca="1">COUNTIF(tblStates[StateID], $A342) &gt; 0</f>
        <v>0</v>
      </c>
      <c r="L342" s="48" t="b">
        <f t="shared" ca="1" si="11"/>
        <v>1</v>
      </c>
      <c r="M342" s="48" t="b">
        <f ca="1">IF(tblValidation[[#This Row],[TargetID]]="","",COUNTIF(tblTargets[TargetID],A342)&gt;1)</f>
        <v>0</v>
      </c>
      <c r="N342" s="48" t="b">
        <f ca="1">IF(tblValidation[[#This Row],[TargetID]]="","",COUNTIF(tblStates[StateID],tblValidation[[#This Row],[TargetID]])&gt;1)</f>
        <v>0</v>
      </c>
      <c r="O342" s="48" t="b" cm="1">
        <f t="array" aca="1" ref="O3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2" s="48"/>
      <c r="R342" s="48"/>
      <c r="S342" s="48"/>
      <c r="T342" s="48"/>
      <c r="V342" s="2" t="str">
        <f ca="1"/>
        <v>quest.silk_road.accepted</v>
      </c>
      <c r="X342" s="2" t="str">
        <f ca="1"/>
        <v>quest.silk_road.accepted</v>
      </c>
      <c r="Y342" s="2" t="str">
        <f ca="1"/>
        <v>quest.the_ring_of_the_dark_lady.finished</v>
      </c>
      <c r="Z342" s="2" t="str">
        <f ca="1"/>
        <v>quest.spicy_odyssey.finished</v>
      </c>
      <c r="AA342" s="2" t="str">
        <f ca="1"/>
        <v>state.meet_methusalem@f3</v>
      </c>
      <c r="AD342" s="2" t="str">
        <f ca="1"/>
        <v>quest.silk_road.accepted</v>
      </c>
      <c r="AE342" s="2" t="str">
        <f ca="1"/>
        <v>tech.workshop.steamobile</v>
      </c>
    </row>
    <row r="343" spans="1:31">
      <c r="A343" t="str">
        <f t="shared" ca="1" si="10"/>
        <v>quest.silk_road.finished</v>
      </c>
      <c r="B343" t="str">
        <f ca="1">_xlfn.XLOOKUP(tblValidation[[#This Row],[TargetID]],tblTargets[TargetID],tblTargets[TargetType],"")</f>
        <v>QUEST</v>
      </c>
      <c r="C343" s="48" t="b">
        <f ca="1">COUNTIF(tblTargets[TargetID], $A343) &gt; 0</f>
        <v>1</v>
      </c>
      <c r="D343" s="48" t="b">
        <f ca="1">IF(OR(LEFT(tblValidation[[#This Row],[TargetID]],10)="state.CHAR",RIGHT(tblValidation[[#This Row],[TargetID]],5)="maxed"),TRUE, COUNTIF(tblChecklist[TargetID], $A343) &gt; 0)</f>
        <v>1</v>
      </c>
      <c r="E3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$A343) &gt; 0)</f>
        <v>1</v>
      </c>
      <c r="F343" s="48" t="b">
        <f ca="1">COUNTIF(tblDependencies[DependencyID], $A343) &gt; 0</f>
        <v>0</v>
      </c>
      <c r="G343" s="48" t="b">
        <f ca="1">COUNTIF(tblQuestObjectives[QuestTargetID], $A343) &gt; 0</f>
        <v>1</v>
      </c>
      <c r="H343" s="48" t="b">
        <f ca="1">COUNTIF(tblQuestObjectives[ObjectiveID], $A343) &gt; 0</f>
        <v>0</v>
      </c>
      <c r="I343" s="48" t="b">
        <f ca="1">COUNTIF(tblTargetStatus[TargetID], $A343) &gt; 0</f>
        <v>1</v>
      </c>
      <c r="J343" s="48" t="b">
        <f ca="1">COUNTIF(tblCost[TargetID], $A343) &gt; 0</f>
        <v>0</v>
      </c>
      <c r="K343" s="48" t="b">
        <f ca="1">COUNTIF(tblStates[StateID], $A343) &gt; 0</f>
        <v>0</v>
      </c>
      <c r="L343" s="48" t="b">
        <f t="shared" ca="1" si="11"/>
        <v>1</v>
      </c>
      <c r="M343" s="48" t="b">
        <f ca="1">IF(tblValidation[[#This Row],[TargetID]]="","",COUNTIF(tblTargets[TargetID],A343)&gt;1)</f>
        <v>0</v>
      </c>
      <c r="N343" s="48" t="b">
        <f ca="1">IF(tblValidation[[#This Row],[TargetID]]="","",COUNTIF(tblStates[StateID],tblValidation[[#This Row],[TargetID]])&gt;1)</f>
        <v>0</v>
      </c>
      <c r="O343" s="48" t="b" cm="1">
        <f t="array" aca="1" ref="O3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3" s="48"/>
      <c r="R343" s="48"/>
      <c r="S343" s="48"/>
      <c r="T343" s="48"/>
      <c r="V343" s="2" t="str">
        <f ca="1"/>
        <v>quest.silk_road.finished</v>
      </c>
      <c r="X343" s="2" t="str">
        <f ca="1"/>
        <v>quest.silk_road.finished</v>
      </c>
      <c r="Y343" s="2" t="str">
        <f ca="1"/>
        <v>quest.treasure_island.accepted</v>
      </c>
      <c r="Z343" s="2" t="str">
        <f ca="1"/>
        <v>quest.the_ordinary_days_of_an_adventurer_chapter_1.accepted</v>
      </c>
      <c r="AA343" s="2" t="str">
        <f ca="1"/>
        <v>state.meet_mr_diligence@f1</v>
      </c>
      <c r="AD343" s="2" t="str">
        <f ca="1"/>
        <v>quest.silk_road.finished</v>
      </c>
      <c r="AE343" s="2" t="str">
        <f ca="1"/>
        <v>tech.workshop.strong_glue</v>
      </c>
    </row>
    <row r="344" spans="1:31">
      <c r="A344" t="str">
        <f t="shared" ca="1" si="10"/>
        <v>quest.spicy_odyssey.accepted</v>
      </c>
      <c r="B344" t="str">
        <f ca="1">_xlfn.XLOOKUP(tblValidation[[#This Row],[TargetID]],tblTargets[TargetID],tblTargets[TargetType],"")</f>
        <v>QUEST</v>
      </c>
      <c r="C344" s="48" t="b">
        <f ca="1">COUNTIF(tblTargets[TargetID], $A344) &gt; 0</f>
        <v>1</v>
      </c>
      <c r="D344" s="48" t="b">
        <f ca="1">IF(OR(LEFT(tblValidation[[#This Row],[TargetID]],10)="state.CHAR",RIGHT(tblValidation[[#This Row],[TargetID]],5)="maxed"),TRUE, COUNTIF(tblChecklist[TargetID], $A344) &gt; 0)</f>
        <v>1</v>
      </c>
      <c r="E3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$A344) &gt; 0)</f>
        <v>1</v>
      </c>
      <c r="F344" s="48" t="b">
        <f ca="1">COUNTIF(tblDependencies[DependencyID], $A344) &gt; 0</f>
        <v>1</v>
      </c>
      <c r="G344" s="48" t="b">
        <f ca="1">COUNTIF(tblQuestObjectives[QuestTargetID], $A344) &gt; 0</f>
        <v>0</v>
      </c>
      <c r="H344" s="48" t="b">
        <f ca="1">COUNTIF(tblQuestObjectives[ObjectiveID], $A344) &gt; 0</f>
        <v>0</v>
      </c>
      <c r="I344" s="48" t="b">
        <f ca="1">COUNTIF(tblTargetStatus[TargetID], $A344) &gt; 0</f>
        <v>1</v>
      </c>
      <c r="J344" s="48" t="b">
        <f ca="1">COUNTIF(tblCost[TargetID], $A344) &gt; 0</f>
        <v>0</v>
      </c>
      <c r="K344" s="48" t="b">
        <f ca="1">COUNTIF(tblStates[StateID], $A344) &gt; 0</f>
        <v>0</v>
      </c>
      <c r="L344" s="48" t="b">
        <f t="shared" ca="1" si="11"/>
        <v>1</v>
      </c>
      <c r="M344" s="48" t="b">
        <f ca="1">IF(tblValidation[[#This Row],[TargetID]]="","",COUNTIF(tblTargets[TargetID],A344)&gt;1)</f>
        <v>0</v>
      </c>
      <c r="N344" s="48" t="b">
        <f ca="1">IF(tblValidation[[#This Row],[TargetID]]="","",COUNTIF(tblStates[StateID],tblValidation[[#This Row],[TargetID]])&gt;1)</f>
        <v>0</v>
      </c>
      <c r="O344" s="48" t="b" cm="1">
        <f t="array" aca="1" ref="O3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4" s="48"/>
      <c r="R344" s="48"/>
      <c r="S344" s="48"/>
      <c r="T344" s="48"/>
      <c r="V344" s="2" t="str">
        <f ca="1"/>
        <v>quest.spicy_odyssey.accepted</v>
      </c>
      <c r="X344" s="2" t="str">
        <f ca="1"/>
        <v>quest.spicy_odyssey.accepted</v>
      </c>
      <c r="Y344" s="2" t="str">
        <f ca="1"/>
        <v>quest.treasure_island.finished</v>
      </c>
      <c r="Z344" s="2" t="str">
        <f ca="1"/>
        <v>quest.the_ordinary_days_of_an_adventurer_chapter_1.finished</v>
      </c>
      <c r="AA344" s="2" t="str">
        <f ca="1"/>
        <v>state.meet_mrs_diligance@f2</v>
      </c>
      <c r="AD344" s="2" t="str">
        <f ca="1"/>
        <v>quest.spicy_odyssey.accepted</v>
      </c>
      <c r="AE344" s="2" t="str">
        <f ca="1"/>
        <v>tech.workshop.throwing_net</v>
      </c>
    </row>
    <row r="345" spans="1:31">
      <c r="A345" t="str">
        <f t="shared" ca="1" si="10"/>
        <v>quest.spicy_odyssey.finished</v>
      </c>
      <c r="B345" t="str">
        <f ca="1">_xlfn.XLOOKUP(tblValidation[[#This Row],[TargetID]],tblTargets[TargetID],tblTargets[TargetType],"")</f>
        <v>QUEST</v>
      </c>
      <c r="C345" s="48" t="b">
        <f ca="1">COUNTIF(tblTargets[TargetID], $A345) &gt; 0</f>
        <v>1</v>
      </c>
      <c r="D345" s="48" t="b">
        <f ca="1">IF(OR(LEFT(tblValidation[[#This Row],[TargetID]],10)="state.CHAR",RIGHT(tblValidation[[#This Row],[TargetID]],5)="maxed"),TRUE, COUNTIF(tblChecklist[TargetID], $A345) &gt; 0)</f>
        <v>1</v>
      </c>
      <c r="E3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$A345) &gt; 0)</f>
        <v>1</v>
      </c>
      <c r="F345" s="48" t="b">
        <f ca="1">COUNTIF(tblDependencies[DependencyID], $A345) &gt; 0</f>
        <v>1</v>
      </c>
      <c r="G345" s="48" t="b">
        <f ca="1">COUNTIF(tblQuestObjectives[QuestTargetID], $A345) &gt; 0</f>
        <v>1</v>
      </c>
      <c r="H345" s="48" t="b">
        <f ca="1">COUNTIF(tblQuestObjectives[ObjectiveID], $A345) &gt; 0</f>
        <v>0</v>
      </c>
      <c r="I345" s="48" t="b">
        <f ca="1">COUNTIF(tblTargetStatus[TargetID], $A345) &gt; 0</f>
        <v>1</v>
      </c>
      <c r="J345" s="48" t="b">
        <f ca="1">COUNTIF(tblCost[TargetID], $A345) &gt; 0</f>
        <v>0</v>
      </c>
      <c r="K345" s="48" t="b">
        <f ca="1">COUNTIF(tblStates[StateID], $A345) &gt; 0</f>
        <v>0</v>
      </c>
      <c r="L345" s="48" t="b">
        <f t="shared" ca="1" si="11"/>
        <v>1</v>
      </c>
      <c r="M345" s="48" t="b">
        <f ca="1">IF(tblValidation[[#This Row],[TargetID]]="","",COUNTIF(tblTargets[TargetID],A345)&gt;1)</f>
        <v>0</v>
      </c>
      <c r="N345" s="48" t="b">
        <f ca="1">IF(tblValidation[[#This Row],[TargetID]]="","",COUNTIF(tblStates[StateID],tblValidation[[#This Row],[TargetID]])&gt;1)</f>
        <v>0</v>
      </c>
      <c r="O345" s="48" t="b" cm="1">
        <f t="array" aca="1" ref="O3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5" s="48"/>
      <c r="R345" s="48"/>
      <c r="S345" s="48"/>
      <c r="T345" s="48"/>
      <c r="V345" s="2" t="str">
        <f ca="1"/>
        <v>quest.spicy_odyssey.finished</v>
      </c>
      <c r="X345" s="2" t="str">
        <f ca="1"/>
        <v>quest.spicy_odyssey.finished</v>
      </c>
      <c r="Y345" s="2" t="str">
        <f ca="1"/>
        <v>quest.undead_revenge.accepted</v>
      </c>
      <c r="Z345" s="2" t="str">
        <f ca="1"/>
        <v>quest.the_ordinary_days_of_an_adventurer_chapter_2.accepted</v>
      </c>
      <c r="AA345" s="2" t="str">
        <f ca="1"/>
        <v>state.meet_old_man@4c</v>
      </c>
      <c r="AD345" s="2" t="str">
        <f ca="1"/>
        <v>quest.spicy_odyssey.finished</v>
      </c>
      <c r="AE345" s="2" t="str">
        <f ca="1"/>
        <v>tech.workshop.zen_fountain</v>
      </c>
    </row>
    <row r="346" spans="1:31">
      <c r="A346" t="str">
        <f t="shared" ca="1" si="10"/>
        <v>quest.the_ordinary_days_of_an_adventurer_chapter_1.accepted</v>
      </c>
      <c r="B346" t="str">
        <f ca="1">_xlfn.XLOOKUP(tblValidation[[#This Row],[TargetID]],tblTargets[TargetID],tblTargets[TargetType],"")</f>
        <v>QUEST</v>
      </c>
      <c r="C346" s="48" t="b">
        <f ca="1">COUNTIF(tblTargets[TargetID], $A346) &gt; 0</f>
        <v>1</v>
      </c>
      <c r="D346" s="48" t="b">
        <f ca="1">IF(OR(LEFT(tblValidation[[#This Row],[TargetID]],10)="state.CHAR",RIGHT(tblValidation[[#This Row],[TargetID]],5)="maxed"),TRUE, COUNTIF(tblChecklist[TargetID], $A346) &gt; 0)</f>
        <v>1</v>
      </c>
      <c r="E3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$A346) &gt; 0)</f>
        <v>1</v>
      </c>
      <c r="F346" s="48" t="b">
        <f ca="1">COUNTIF(tblDependencies[DependencyID], $A346) &gt; 0</f>
        <v>1</v>
      </c>
      <c r="G346" s="48" t="b">
        <f ca="1">COUNTIF(tblQuestObjectives[QuestTargetID], $A346) &gt; 0</f>
        <v>0</v>
      </c>
      <c r="H346" s="48" t="b">
        <f ca="1">COUNTIF(tblQuestObjectives[ObjectiveID], $A346) &gt; 0</f>
        <v>0</v>
      </c>
      <c r="I346" s="48" t="b">
        <f ca="1">COUNTIF(tblTargetStatus[TargetID], $A346) &gt; 0</f>
        <v>1</v>
      </c>
      <c r="J346" s="48" t="b">
        <f ca="1">COUNTIF(tblCost[TargetID], $A346) &gt; 0</f>
        <v>0</v>
      </c>
      <c r="K346" s="48" t="b">
        <f ca="1">COUNTIF(tblStates[StateID], $A346) &gt; 0</f>
        <v>0</v>
      </c>
      <c r="L346" s="48" t="b">
        <f t="shared" ca="1" si="11"/>
        <v>1</v>
      </c>
      <c r="M346" s="48" t="b">
        <f ca="1">IF(tblValidation[[#This Row],[TargetID]]="","",COUNTIF(tblTargets[TargetID],A346)&gt;1)</f>
        <v>0</v>
      </c>
      <c r="N346" s="48" t="b">
        <f ca="1">IF(tblValidation[[#This Row],[TargetID]]="","",COUNTIF(tblStates[StateID],tblValidation[[#This Row],[TargetID]])&gt;1)</f>
        <v>0</v>
      </c>
      <c r="O346" s="48" t="b" cm="1">
        <f t="array" aca="1" ref="O3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6" s="48"/>
      <c r="R346" s="48"/>
      <c r="S346" s="48"/>
      <c r="T346" s="48"/>
      <c r="V346" s="2" t="str">
        <f ca="1"/>
        <v>quest.the_ordinary_days_of_an_adventurer_chapter_1.accepted</v>
      </c>
      <c r="X346" s="2" t="str">
        <f ca="1"/>
        <v>quest.the_ordinary_days_of_an_adventurer_chapter_1.accepted</v>
      </c>
      <c r="Y346" s="2" t="str">
        <f ca="1"/>
        <v>quest.undead_revenge.finished</v>
      </c>
      <c r="Z346" s="2" t="str">
        <f ca="1"/>
        <v>quest.the_ordinary_days_of_an_adventurer_chapter_2.finished</v>
      </c>
      <c r="AA346" s="2" t="str">
        <f ca="1"/>
        <v>state.meet_pilot@f3</v>
      </c>
      <c r="AD346" s="2" t="str">
        <f ca="1"/>
        <v>quest.the_ordinary_days_of_an_adventurer_chapter_1.accepted</v>
      </c>
    </row>
    <row r="347" spans="1:31">
      <c r="A347" t="str">
        <f t="shared" ca="1" si="10"/>
        <v>quest.the_ordinary_days_of_an_adventurer_chapter_1.finished</v>
      </c>
      <c r="B347" t="str">
        <f ca="1">_xlfn.XLOOKUP(tblValidation[[#This Row],[TargetID]],tblTargets[TargetID],tblTargets[TargetType],"")</f>
        <v>QUEST</v>
      </c>
      <c r="C347" s="48" t="b">
        <f ca="1">COUNTIF(tblTargets[TargetID], $A347) &gt; 0</f>
        <v>1</v>
      </c>
      <c r="D347" s="48" t="b">
        <f ca="1">IF(OR(LEFT(tblValidation[[#This Row],[TargetID]],10)="state.CHAR",RIGHT(tblValidation[[#This Row],[TargetID]],5)="maxed"),TRUE, COUNTIF(tblChecklist[TargetID], $A347) &gt; 0)</f>
        <v>1</v>
      </c>
      <c r="E3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$A347) &gt; 0)</f>
        <v>1</v>
      </c>
      <c r="F347" s="48" t="b">
        <f ca="1">COUNTIF(tblDependencies[DependencyID], $A347) &gt; 0</f>
        <v>0</v>
      </c>
      <c r="G347" s="48" t="b">
        <f ca="1">COUNTIF(tblQuestObjectives[QuestTargetID], $A347) &gt; 0</f>
        <v>1</v>
      </c>
      <c r="H347" s="48" t="b">
        <f ca="1">COUNTIF(tblQuestObjectives[ObjectiveID], $A347) &gt; 0</f>
        <v>0</v>
      </c>
      <c r="I347" s="48" t="b">
        <f ca="1">COUNTIF(tblTargetStatus[TargetID], $A347) &gt; 0</f>
        <v>1</v>
      </c>
      <c r="J347" s="48" t="b">
        <f ca="1">COUNTIF(tblCost[TargetID], $A347) &gt; 0</f>
        <v>0</v>
      </c>
      <c r="K347" s="48" t="b">
        <f ca="1">COUNTIF(tblStates[StateID], $A347) &gt; 0</f>
        <v>0</v>
      </c>
      <c r="L347" s="48" t="b">
        <f t="shared" ca="1" si="11"/>
        <v>1</v>
      </c>
      <c r="M347" s="48" t="b">
        <f ca="1">IF(tblValidation[[#This Row],[TargetID]]="","",COUNTIF(tblTargets[TargetID],A347)&gt;1)</f>
        <v>0</v>
      </c>
      <c r="N347" s="48" t="b">
        <f ca="1">IF(tblValidation[[#This Row],[TargetID]]="","",COUNTIF(tblStates[StateID],tblValidation[[#This Row],[TargetID]])&gt;1)</f>
        <v>0</v>
      </c>
      <c r="O347" s="48" t="b" cm="1">
        <f t="array" aca="1" ref="O3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7" s="48"/>
      <c r="R347" s="48"/>
      <c r="S347" s="48"/>
      <c r="T347" s="48"/>
      <c r="V347" s="2" t="str">
        <f ca="1"/>
        <v>quest.the_ordinary_days_of_an_adventurer_chapter_1.finished</v>
      </c>
      <c r="X347" s="2" t="str">
        <f ca="1"/>
        <v>quest.the_ordinary_days_of_an_adventurer_chapter_1.finished</v>
      </c>
      <c r="Y347" s="2" t="str">
        <f ca="1"/>
        <v>state.action_defeat_bone_dragon_4c</v>
      </c>
      <c r="Z347" s="2" t="str">
        <f ca="1"/>
        <v>quest.the_ordinary_days_of_an_adventurer_chapter_3.accepted</v>
      </c>
      <c r="AA347" s="2" t="str">
        <f ca="1"/>
        <v>state.meet_pirate_skeleton@3a</v>
      </c>
      <c r="AD347" s="2" t="str">
        <f ca="1"/>
        <v>quest.the_ordinary_days_of_an_adventurer_chapter_1.finished</v>
      </c>
    </row>
    <row r="348" spans="1:31">
      <c r="A348" t="str">
        <f t="shared" ca="1" si="10"/>
        <v>quest.the_ordinary_days_of_an_adventurer_chapter_2.accepted</v>
      </c>
      <c r="B348" t="str">
        <f ca="1">_xlfn.XLOOKUP(tblValidation[[#This Row],[TargetID]],tblTargets[TargetID],tblTargets[TargetType],"")</f>
        <v>QUEST</v>
      </c>
      <c r="C348" s="48" t="b">
        <f ca="1">COUNTIF(tblTargets[TargetID], $A348) &gt; 0</f>
        <v>1</v>
      </c>
      <c r="D348" s="48" t="b">
        <f ca="1">IF(OR(LEFT(tblValidation[[#This Row],[TargetID]],10)="state.CHAR",RIGHT(tblValidation[[#This Row],[TargetID]],5)="maxed"),TRUE, COUNTIF(tblChecklist[TargetID], $A348) &gt; 0)</f>
        <v>1</v>
      </c>
      <c r="E3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$A348) &gt; 0)</f>
        <v>1</v>
      </c>
      <c r="F348" s="48" t="b">
        <f ca="1">COUNTIF(tblDependencies[DependencyID], $A348) &gt; 0</f>
        <v>1</v>
      </c>
      <c r="G348" s="48" t="b">
        <f ca="1">COUNTIF(tblQuestObjectives[QuestTargetID], $A348) &gt; 0</f>
        <v>0</v>
      </c>
      <c r="H348" s="48" t="b">
        <f ca="1">COUNTIF(tblQuestObjectives[ObjectiveID], $A348) &gt; 0</f>
        <v>0</v>
      </c>
      <c r="I348" s="48" t="b">
        <f ca="1">COUNTIF(tblTargetStatus[TargetID], $A348) &gt; 0</f>
        <v>1</v>
      </c>
      <c r="J348" s="48" t="b">
        <f ca="1">COUNTIF(tblCost[TargetID], $A348) &gt; 0</f>
        <v>0</v>
      </c>
      <c r="K348" s="48" t="b">
        <f ca="1">COUNTIF(tblStates[StateID], $A348) &gt; 0</f>
        <v>0</v>
      </c>
      <c r="L348" s="48" t="b">
        <f t="shared" ca="1" si="11"/>
        <v>1</v>
      </c>
      <c r="M348" s="48" t="b">
        <f ca="1">IF(tblValidation[[#This Row],[TargetID]]="","",COUNTIF(tblTargets[TargetID],A348)&gt;1)</f>
        <v>0</v>
      </c>
      <c r="N348" s="48" t="b">
        <f ca="1">IF(tblValidation[[#This Row],[TargetID]]="","",COUNTIF(tblStates[StateID],tblValidation[[#This Row],[TargetID]])&gt;1)</f>
        <v>0</v>
      </c>
      <c r="O348" s="48" t="b" cm="1">
        <f t="array" aca="1" ref="O3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8" s="48"/>
      <c r="R348" s="48"/>
      <c r="S348" s="48"/>
      <c r="T348" s="48"/>
      <c r="V348" s="2" t="str">
        <f ca="1"/>
        <v>quest.the_ordinary_days_of_an_adventurer_chapter_2.accepted</v>
      </c>
      <c r="X348" s="2" t="str">
        <f ca="1"/>
        <v>quest.the_ordinary_days_of_an_adventurer_chapter_2.accepted</v>
      </c>
      <c r="Y348" s="2" t="str">
        <f ca="1"/>
        <v>state.action_reenter_guild</v>
      </c>
      <c r="Z348" s="2" t="str">
        <f ca="1"/>
        <v>quest.the_ordinary_days_of_an_adventurer_chapter_3.finished</v>
      </c>
      <c r="AA348" s="2" t="str">
        <f ca="1"/>
        <v>state.meet_raven@f1_first_time</v>
      </c>
      <c r="AD348" s="2" t="str">
        <f ca="1"/>
        <v>quest.the_ordinary_days_of_an_adventurer_chapter_2.accepted</v>
      </c>
    </row>
    <row r="349" spans="1:31">
      <c r="A349" t="str">
        <f t="shared" ca="1" si="10"/>
        <v>quest.the_ordinary_days_of_an_adventurer_chapter_2.finished</v>
      </c>
      <c r="B349" t="str">
        <f ca="1">_xlfn.XLOOKUP(tblValidation[[#This Row],[TargetID]],tblTargets[TargetID],tblTargets[TargetType],"")</f>
        <v>QUEST</v>
      </c>
      <c r="C349" s="48" t="b">
        <f ca="1">COUNTIF(tblTargets[TargetID], $A349) &gt; 0</f>
        <v>1</v>
      </c>
      <c r="D349" s="48" t="b">
        <f ca="1">IF(OR(LEFT(tblValidation[[#This Row],[TargetID]],10)="state.CHAR",RIGHT(tblValidation[[#This Row],[TargetID]],5)="maxed"),TRUE, COUNTIF(tblChecklist[TargetID], $A349) &gt; 0)</f>
        <v>1</v>
      </c>
      <c r="E3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$A349) &gt; 0)</f>
        <v>1</v>
      </c>
      <c r="F349" s="48" t="b">
        <f ca="1">COUNTIF(tblDependencies[DependencyID], $A349) &gt; 0</f>
        <v>1</v>
      </c>
      <c r="G349" s="48" t="b">
        <f ca="1">COUNTIF(tblQuestObjectives[QuestTargetID], $A349) &gt; 0</f>
        <v>0</v>
      </c>
      <c r="H349" s="48" t="b">
        <f ca="1">COUNTIF(tblQuestObjectives[ObjectiveID], $A349) &gt; 0</f>
        <v>0</v>
      </c>
      <c r="I349" s="48" t="b">
        <f ca="1">COUNTIF(tblTargetStatus[TargetID], $A349) &gt; 0</f>
        <v>1</v>
      </c>
      <c r="J349" s="48" t="b">
        <f ca="1">COUNTIF(tblCost[TargetID], $A349) &gt; 0</f>
        <v>1</v>
      </c>
      <c r="K349" s="48" t="b">
        <f ca="1">COUNTIF(tblStates[StateID], $A349) &gt; 0</f>
        <v>0</v>
      </c>
      <c r="L349" s="48" t="b">
        <f t="shared" ca="1" si="11"/>
        <v>1</v>
      </c>
      <c r="M349" s="48" t="b">
        <f ca="1">IF(tblValidation[[#This Row],[TargetID]]="","",COUNTIF(tblTargets[TargetID],A349)&gt;1)</f>
        <v>0</v>
      </c>
      <c r="N349" s="48" t="b">
        <f ca="1">IF(tblValidation[[#This Row],[TargetID]]="","",COUNTIF(tblStates[StateID],tblValidation[[#This Row],[TargetID]])&gt;1)</f>
        <v>0</v>
      </c>
      <c r="O349" s="48" t="b" cm="1">
        <f t="array" aca="1" ref="O3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9" s="48"/>
      <c r="R349" s="48"/>
      <c r="S349" s="48"/>
      <c r="T349" s="48"/>
      <c r="V349" s="2" t="str">
        <f ca="1"/>
        <v>quest.the_ordinary_days_of_an_adventurer_chapter_2.finished</v>
      </c>
      <c r="X349" s="2" t="str">
        <f ca="1"/>
        <v>quest.the_ordinary_days_of_an_adventurer_chapter_2.finished</v>
      </c>
      <c r="Y349" s="2" t="str">
        <f ca="1"/>
        <v>state.action_send_train_to_sapporo</v>
      </c>
      <c r="Z349" s="2" t="str">
        <f ca="1"/>
        <v>quest.the_ordinary_days_of_an_adventurer_chapter_4.accepted</v>
      </c>
      <c r="AA349" s="2" t="str">
        <f ca="1"/>
        <v>state.meet_raven@f1_second_time</v>
      </c>
      <c r="AD349" s="2" t="str">
        <f ca="1"/>
        <v>quest.the_ordinary_days_of_an_adventurer_chapter_2.finished</v>
      </c>
    </row>
    <row r="350" spans="1:31">
      <c r="A350" t="str">
        <f t="shared" ca="1" si="10"/>
        <v>quest.the_ordinary_days_of_an_adventurer_chapter_3.accepted</v>
      </c>
      <c r="B350" t="str">
        <f ca="1">_xlfn.XLOOKUP(tblValidation[[#This Row],[TargetID]],tblTargets[TargetID],tblTargets[TargetType],"")</f>
        <v>QUEST</v>
      </c>
      <c r="C350" s="48" t="b">
        <f ca="1">COUNTIF(tblTargets[TargetID], $A350) &gt; 0</f>
        <v>1</v>
      </c>
      <c r="D350" s="48" t="b">
        <f ca="1">IF(OR(LEFT(tblValidation[[#This Row],[TargetID]],10)="state.CHAR",RIGHT(tblValidation[[#This Row],[TargetID]],5)="maxed"),TRUE, COUNTIF(tblChecklist[TargetID], $A350) &gt; 0)</f>
        <v>1</v>
      </c>
      <c r="E3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$A350) &gt; 0)</f>
        <v>1</v>
      </c>
      <c r="F350" s="48" t="b">
        <f ca="1">COUNTIF(tblDependencies[DependencyID], $A350) &gt; 0</f>
        <v>1</v>
      </c>
      <c r="G350" s="48" t="b">
        <f ca="1">COUNTIF(tblQuestObjectives[QuestTargetID], $A350) &gt; 0</f>
        <v>0</v>
      </c>
      <c r="H350" s="48" t="b">
        <f ca="1">COUNTIF(tblQuestObjectives[ObjectiveID], $A350) &gt; 0</f>
        <v>0</v>
      </c>
      <c r="I350" s="48" t="b">
        <f ca="1">COUNTIF(tblTargetStatus[TargetID], $A350) &gt; 0</f>
        <v>1</v>
      </c>
      <c r="J350" s="48" t="b">
        <f ca="1">COUNTIF(tblCost[TargetID], $A350) &gt; 0</f>
        <v>0</v>
      </c>
      <c r="K350" s="48" t="b">
        <f ca="1">COUNTIF(tblStates[StateID], $A350) &gt; 0</f>
        <v>0</v>
      </c>
      <c r="L350" s="48" t="b">
        <f t="shared" ca="1" si="11"/>
        <v>1</v>
      </c>
      <c r="M350" s="48" t="b">
        <f ca="1">IF(tblValidation[[#This Row],[TargetID]]="","",COUNTIF(tblTargets[TargetID],A350)&gt;1)</f>
        <v>0</v>
      </c>
      <c r="N350" s="48" t="b">
        <f ca="1">IF(tblValidation[[#This Row],[TargetID]]="","",COUNTIF(tblStates[StateID],tblValidation[[#This Row],[TargetID]])&gt;1)</f>
        <v>0</v>
      </c>
      <c r="O350" s="48" t="b" cm="1">
        <f t="array" aca="1" ref="O3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0" s="48"/>
      <c r="R350" s="48"/>
      <c r="S350" s="48"/>
      <c r="T350" s="48"/>
      <c r="V350" s="2" t="str">
        <f ca="1"/>
        <v>quest.the_ordinary_days_of_an_adventurer_chapter_3.accepted</v>
      </c>
      <c r="X350" s="2" t="str">
        <f ca="1"/>
        <v>quest.the_ordinary_days_of_an_adventurer_chapter_3.accepted</v>
      </c>
      <c r="Y350" s="2" t="str">
        <f ca="1"/>
        <v>state.action_tame_a_critter</v>
      </c>
      <c r="Z350" s="2" t="str">
        <f ca="1"/>
        <v>quest.the_ordinary_days_of_an_adventurer_chapter_4.finished</v>
      </c>
      <c r="AA350" s="2" t="str">
        <f ca="1"/>
        <v>state.meet_raven@f1_third_time</v>
      </c>
      <c r="AD350" s="2" t="str">
        <f ca="1"/>
        <v>quest.the_ordinary_days_of_an_adventurer_chapter_3.accepted</v>
      </c>
    </row>
    <row r="351" spans="1:31">
      <c r="A351" t="str">
        <f t="shared" ca="1" si="10"/>
        <v>quest.the_ordinary_days_of_an_adventurer_chapter_3.finished</v>
      </c>
      <c r="B351" t="str">
        <f ca="1">_xlfn.XLOOKUP(tblValidation[[#This Row],[TargetID]],tblTargets[TargetID],tblTargets[TargetType],"")</f>
        <v>QUEST</v>
      </c>
      <c r="C351" s="48" t="b">
        <f ca="1">COUNTIF(tblTargets[TargetID], $A351) &gt; 0</f>
        <v>1</v>
      </c>
      <c r="D351" s="48" t="b">
        <f ca="1">IF(OR(LEFT(tblValidation[[#This Row],[TargetID]],10)="state.CHAR",RIGHT(tblValidation[[#This Row],[TargetID]],5)="maxed"),TRUE, COUNTIF(tblChecklist[TargetID], $A351) &gt; 0)</f>
        <v>1</v>
      </c>
      <c r="E3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$A351) &gt; 0)</f>
        <v>1</v>
      </c>
      <c r="F351" s="48" t="b">
        <f ca="1">COUNTIF(tblDependencies[DependencyID], $A351) &gt; 0</f>
        <v>1</v>
      </c>
      <c r="G351" s="48" t="b">
        <f ca="1">COUNTIF(tblQuestObjectives[QuestTargetID], $A351) &gt; 0</f>
        <v>1</v>
      </c>
      <c r="H351" s="48" t="b">
        <f ca="1">COUNTIF(tblQuestObjectives[ObjectiveID], $A351) &gt; 0</f>
        <v>0</v>
      </c>
      <c r="I351" s="48" t="b">
        <f ca="1">COUNTIF(tblTargetStatus[TargetID], $A351) &gt; 0</f>
        <v>1</v>
      </c>
      <c r="J351" s="48" t="b">
        <f ca="1">COUNTIF(tblCost[TargetID], $A351) &gt; 0</f>
        <v>0</v>
      </c>
      <c r="K351" s="48" t="b">
        <f ca="1">COUNTIF(tblStates[StateID], $A351) &gt; 0</f>
        <v>0</v>
      </c>
      <c r="L351" s="48" t="b">
        <f t="shared" ca="1" si="11"/>
        <v>1</v>
      </c>
      <c r="M351" s="48" t="b">
        <f ca="1">IF(tblValidation[[#This Row],[TargetID]]="","",COUNTIF(tblTargets[TargetID],A351)&gt;1)</f>
        <v>0</v>
      </c>
      <c r="N351" s="48" t="b">
        <f ca="1">IF(tblValidation[[#This Row],[TargetID]]="","",COUNTIF(tblStates[StateID],tblValidation[[#This Row],[TargetID]])&gt;1)</f>
        <v>0</v>
      </c>
      <c r="O351" s="48" t="b" cm="1">
        <f t="array" aca="1" ref="O3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1" s="48"/>
      <c r="R351" s="48"/>
      <c r="S351" s="48"/>
      <c r="T351" s="48"/>
      <c r="V351" s="2" t="str">
        <f ca="1"/>
        <v>quest.the_ordinary_days_of_an_adventurer_chapter_3.finished</v>
      </c>
      <c r="X351" s="2" t="str">
        <f ca="1"/>
        <v>quest.the_ordinary_days_of_an_adventurer_chapter_3.finished</v>
      </c>
      <c r="Y351" s="2" t="str">
        <f ca="1"/>
        <v>state.complete_dungeon@1a</v>
      </c>
      <c r="Z351" s="2" t="str">
        <f ca="1"/>
        <v>quest.the_ordinary_days_of_an_adventurer_chapter_5.accepted</v>
      </c>
      <c r="AA351" s="2" t="str">
        <f ca="1"/>
        <v>state.meet_raven@f3</v>
      </c>
      <c r="AD351" s="2" t="str">
        <f ca="1"/>
        <v>quest.the_ordinary_days_of_an_adventurer_chapter_3.finished</v>
      </c>
    </row>
    <row r="352" spans="1:31">
      <c r="A352" t="str">
        <f t="shared" ca="1" si="10"/>
        <v>quest.the_ordinary_days_of_an_adventurer_chapter_4.accepted</v>
      </c>
      <c r="B352" t="str">
        <f ca="1">_xlfn.XLOOKUP(tblValidation[[#This Row],[TargetID]],tblTargets[TargetID],tblTargets[TargetType],"")</f>
        <v>QUEST</v>
      </c>
      <c r="C352" s="48" t="b">
        <f ca="1">COUNTIF(tblTargets[TargetID], $A352) &gt; 0</f>
        <v>1</v>
      </c>
      <c r="D352" s="48" t="b">
        <f ca="1">IF(OR(LEFT(tblValidation[[#This Row],[TargetID]],10)="state.CHAR",RIGHT(tblValidation[[#This Row],[TargetID]],5)="maxed"),TRUE, COUNTIF(tblChecklist[TargetID], $A352) &gt; 0)</f>
        <v>1</v>
      </c>
      <c r="E3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$A352) &gt; 0)</f>
        <v>1</v>
      </c>
      <c r="F352" s="48" t="b">
        <f ca="1">COUNTIF(tblDependencies[DependencyID], $A352) &gt; 0</f>
        <v>1</v>
      </c>
      <c r="G352" s="48" t="b">
        <f ca="1">COUNTIF(tblQuestObjectives[QuestTargetID], $A352) &gt; 0</f>
        <v>0</v>
      </c>
      <c r="H352" s="48" t="b">
        <f ca="1">COUNTIF(tblQuestObjectives[ObjectiveID], $A352) &gt; 0</f>
        <v>0</v>
      </c>
      <c r="I352" s="48" t="b">
        <f ca="1">COUNTIF(tblTargetStatus[TargetID], $A352) &gt; 0</f>
        <v>1</v>
      </c>
      <c r="J352" s="48" t="b">
        <f ca="1">COUNTIF(tblCost[TargetID], $A352) &gt; 0</f>
        <v>0</v>
      </c>
      <c r="K352" s="48" t="b">
        <f ca="1">COUNTIF(tblStates[StateID], $A352) &gt; 0</f>
        <v>0</v>
      </c>
      <c r="L352" s="48" t="b">
        <f t="shared" ca="1" si="11"/>
        <v>1</v>
      </c>
      <c r="M352" s="48" t="b">
        <f ca="1">IF(tblValidation[[#This Row],[TargetID]]="","",COUNTIF(tblTargets[TargetID],A352)&gt;1)</f>
        <v>0</v>
      </c>
      <c r="N352" s="48" t="b">
        <f ca="1">IF(tblValidation[[#This Row],[TargetID]]="","",COUNTIF(tblStates[StateID],tblValidation[[#This Row],[TargetID]])&gt;1)</f>
        <v>0</v>
      </c>
      <c r="O352" s="48" t="b" cm="1">
        <f t="array" aca="1" ref="O3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2" s="48"/>
      <c r="R352" s="48"/>
      <c r="S352" s="48"/>
      <c r="T352" s="48"/>
      <c r="V352" s="2" t="str">
        <f ca="1"/>
        <v>quest.the_ordinary_days_of_an_adventurer_chapter_4.accepted</v>
      </c>
      <c r="X352" s="2" t="str">
        <f ca="1"/>
        <v>quest.the_ordinary_days_of_an_adventurer_chapter_4.accepted</v>
      </c>
      <c r="Y352" s="2" t="str">
        <f ca="1"/>
        <v>state.complete_dungeon@6D</v>
      </c>
      <c r="Z352" s="2" t="str">
        <f ca="1"/>
        <v>quest.the_ordinary_days_of_an_adventurer_chapter_5.finished</v>
      </c>
      <c r="AA352" s="2" t="str">
        <f ca="1"/>
        <v>state.meet_royal_rat@6b</v>
      </c>
      <c r="AD352" s="2" t="str">
        <f ca="1"/>
        <v>quest.the_ordinary_days_of_an_adventurer_chapter_4.accepted</v>
      </c>
    </row>
    <row r="353" spans="1:30">
      <c r="A353" t="str">
        <f t="shared" ca="1" si="10"/>
        <v>quest.the_ordinary_days_of_an_adventurer_chapter_4.finished</v>
      </c>
      <c r="B353" t="str">
        <f ca="1">_xlfn.XLOOKUP(tblValidation[[#This Row],[TargetID]],tblTargets[TargetID],tblTargets[TargetType],"")</f>
        <v>QUEST</v>
      </c>
      <c r="C353" s="48" t="b">
        <f ca="1">COUNTIF(tblTargets[TargetID], $A353) &gt; 0</f>
        <v>1</v>
      </c>
      <c r="D353" s="48" t="b">
        <f ca="1">IF(OR(LEFT(tblValidation[[#This Row],[TargetID]],10)="state.CHAR",RIGHT(tblValidation[[#This Row],[TargetID]],5)="maxed"),TRUE, COUNTIF(tblChecklist[TargetID], $A353) &gt; 0)</f>
        <v>1</v>
      </c>
      <c r="E3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$A353) &gt; 0)</f>
        <v>1</v>
      </c>
      <c r="F353" s="48" t="b">
        <f ca="1">COUNTIF(tblDependencies[DependencyID], $A353) &gt; 0</f>
        <v>1</v>
      </c>
      <c r="G353" s="48" t="b">
        <f ca="1">COUNTIF(tblQuestObjectives[QuestTargetID], $A353) &gt; 0</f>
        <v>1</v>
      </c>
      <c r="H353" s="48" t="b">
        <f ca="1">COUNTIF(tblQuestObjectives[ObjectiveID], $A353) &gt; 0</f>
        <v>0</v>
      </c>
      <c r="I353" s="48" t="b">
        <f ca="1">COUNTIF(tblTargetStatus[TargetID], $A353) &gt; 0</f>
        <v>1</v>
      </c>
      <c r="J353" s="48" t="b">
        <f ca="1">COUNTIF(tblCost[TargetID], $A353) &gt; 0</f>
        <v>0</v>
      </c>
      <c r="K353" s="48" t="b">
        <f ca="1">COUNTIF(tblStates[StateID], $A353) &gt; 0</f>
        <v>0</v>
      </c>
      <c r="L353" s="48" t="b">
        <f t="shared" ca="1" si="11"/>
        <v>1</v>
      </c>
      <c r="M353" s="48" t="b">
        <f ca="1">IF(tblValidation[[#This Row],[TargetID]]="","",COUNTIF(tblTargets[TargetID],A353)&gt;1)</f>
        <v>0</v>
      </c>
      <c r="N353" s="48" t="b">
        <f ca="1">IF(tblValidation[[#This Row],[TargetID]]="","",COUNTIF(tblStates[StateID],tblValidation[[#This Row],[TargetID]])&gt;1)</f>
        <v>0</v>
      </c>
      <c r="O353" s="48" t="b" cm="1">
        <f t="array" aca="1" ref="O3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3" s="48"/>
      <c r="R353" s="48"/>
      <c r="S353" s="48"/>
      <c r="T353" s="48"/>
      <c r="V353" s="2" t="str">
        <f ca="1"/>
        <v>quest.the_ordinary_days_of_an_adventurer_chapter_4.finished</v>
      </c>
      <c r="X353" s="2" t="str">
        <f ca="1"/>
        <v>quest.the_ordinary_days_of_an_adventurer_chapter_4.finished</v>
      </c>
      <c r="Y353" s="2" t="str">
        <f ca="1"/>
        <v>state.complete_dungeon_5c</v>
      </c>
      <c r="Z353" s="2" t="str">
        <f ca="1"/>
        <v>quest.the_ordinary_days_of_an_adventurer_chapter_6.accepted</v>
      </c>
      <c r="AA353" s="2" t="str">
        <f ca="1"/>
        <v>state.meet_samurai_panda@6a</v>
      </c>
      <c r="AD353" s="2" t="str">
        <f ca="1"/>
        <v>quest.the_ordinary_days_of_an_adventurer_chapter_4.finished</v>
      </c>
    </row>
    <row r="354" spans="1:30">
      <c r="A354" t="str">
        <f t="shared" ca="1" si="10"/>
        <v>quest.the_ordinary_days_of_an_adventurer_chapter_5.accepted</v>
      </c>
      <c r="B354" t="str">
        <f ca="1">_xlfn.XLOOKUP(tblValidation[[#This Row],[TargetID]],tblTargets[TargetID],tblTargets[TargetType],"")</f>
        <v>QUEST</v>
      </c>
      <c r="C354" s="48" t="b">
        <f ca="1">COUNTIF(tblTargets[TargetID], $A354) &gt; 0</f>
        <v>1</v>
      </c>
      <c r="D354" s="48" t="b">
        <f ca="1">IF(OR(LEFT(tblValidation[[#This Row],[TargetID]],10)="state.CHAR",RIGHT(tblValidation[[#This Row],[TargetID]],5)="maxed"),TRUE, COUNTIF(tblChecklist[TargetID], $A354) &gt; 0)</f>
        <v>1</v>
      </c>
      <c r="E3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$A354) &gt; 0)</f>
        <v>1</v>
      </c>
      <c r="F354" s="48" t="b">
        <f ca="1">COUNTIF(tblDependencies[DependencyID], $A354) &gt; 0</f>
        <v>1</v>
      </c>
      <c r="G354" s="48" t="b">
        <f ca="1">COUNTIF(tblQuestObjectives[QuestTargetID], $A354) &gt; 0</f>
        <v>0</v>
      </c>
      <c r="H354" s="48" t="b">
        <f ca="1">COUNTIF(tblQuestObjectives[ObjectiveID], $A354) &gt; 0</f>
        <v>0</v>
      </c>
      <c r="I354" s="48" t="b">
        <f ca="1">COUNTIF(tblTargetStatus[TargetID], $A354) &gt; 0</f>
        <v>1</v>
      </c>
      <c r="J354" s="48" t="b">
        <f ca="1">COUNTIF(tblCost[TargetID], $A354) &gt; 0</f>
        <v>0</v>
      </c>
      <c r="K354" s="48" t="b">
        <f ca="1">COUNTIF(tblStates[StateID], $A354) &gt; 0</f>
        <v>0</v>
      </c>
      <c r="L354" s="48" t="b">
        <f t="shared" ca="1" si="11"/>
        <v>1</v>
      </c>
      <c r="M354" s="48" t="b">
        <f ca="1">IF(tblValidation[[#This Row],[TargetID]]="","",COUNTIF(tblTargets[TargetID],A354)&gt;1)</f>
        <v>0</v>
      </c>
      <c r="N354" s="48" t="b">
        <f ca="1">IF(tblValidation[[#This Row],[TargetID]]="","",COUNTIF(tblStates[StateID],tblValidation[[#This Row],[TargetID]])&gt;1)</f>
        <v>0</v>
      </c>
      <c r="O354" s="48" t="b" cm="1">
        <f t="array" aca="1" ref="O3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4" s="48"/>
      <c r="R354" s="48"/>
      <c r="S354" s="48"/>
      <c r="T354" s="48"/>
      <c r="V354" s="2" t="str">
        <f ca="1"/>
        <v>quest.the_ordinary_days_of_an_adventurer_chapter_5.accepted</v>
      </c>
      <c r="X354" s="2" t="str">
        <f ca="1"/>
        <v>quest.the_ordinary_days_of_an_adventurer_chapter_5.accepted</v>
      </c>
      <c r="Y354" s="2" t="str">
        <f ca="1"/>
        <v>state.complete_dungeon_5c_second</v>
      </c>
      <c r="Z354" s="2" t="str">
        <f ca="1"/>
        <v>quest.the_ordinary_days_of_an_adventurer_chapter_6.finished</v>
      </c>
      <c r="AA354" s="2" t="str">
        <f ca="1"/>
        <v>state.meet_traveling_merchant@1b</v>
      </c>
      <c r="AD354" s="2" t="str">
        <f ca="1"/>
        <v>quest.the_ordinary_days_of_an_adventurer_chapter_5.accepted</v>
      </c>
    </row>
    <row r="355" spans="1:30">
      <c r="A355" t="str">
        <f t="shared" ca="1" si="10"/>
        <v>quest.the_ordinary_days_of_an_adventurer_chapter_5.finished</v>
      </c>
      <c r="B355" t="str">
        <f ca="1">_xlfn.XLOOKUP(tblValidation[[#This Row],[TargetID]],tblTargets[TargetID],tblTargets[TargetType],"")</f>
        <v>QUEST</v>
      </c>
      <c r="C355" s="48" t="b">
        <f ca="1">COUNTIF(tblTargets[TargetID], $A355) &gt; 0</f>
        <v>1</v>
      </c>
      <c r="D355" s="48" t="b">
        <f ca="1">IF(OR(LEFT(tblValidation[[#This Row],[TargetID]],10)="state.CHAR",RIGHT(tblValidation[[#This Row],[TargetID]],5)="maxed"),TRUE, COUNTIF(tblChecklist[TargetID], $A355) &gt; 0)</f>
        <v>1</v>
      </c>
      <c r="E3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$A355) &gt; 0)</f>
        <v>1</v>
      </c>
      <c r="F355" s="48" t="b">
        <f ca="1">COUNTIF(tblDependencies[DependencyID], $A355) &gt; 0</f>
        <v>1</v>
      </c>
      <c r="G355" s="48" t="b">
        <f ca="1">COUNTIF(tblQuestObjectives[QuestTargetID], $A355) &gt; 0</f>
        <v>0</v>
      </c>
      <c r="H355" s="48" t="b">
        <f ca="1">COUNTIF(tblQuestObjectives[ObjectiveID], $A355) &gt; 0</f>
        <v>0</v>
      </c>
      <c r="I355" s="48" t="b">
        <f ca="1">COUNTIF(tblTargetStatus[TargetID], $A355) &gt; 0</f>
        <v>1</v>
      </c>
      <c r="J355" s="48" t="b">
        <f ca="1">COUNTIF(tblCost[TargetID], $A355) &gt; 0</f>
        <v>1</v>
      </c>
      <c r="K355" s="48" t="b">
        <f ca="1">COUNTIF(tblStates[StateID], $A355) &gt; 0</f>
        <v>0</v>
      </c>
      <c r="L355" s="48" t="b">
        <f t="shared" ca="1" si="11"/>
        <v>1</v>
      </c>
      <c r="M355" s="48" t="b">
        <f ca="1">IF(tblValidation[[#This Row],[TargetID]]="","",COUNTIF(tblTargets[TargetID],A355)&gt;1)</f>
        <v>0</v>
      </c>
      <c r="N355" s="48" t="b">
        <f ca="1">IF(tblValidation[[#This Row],[TargetID]]="","",COUNTIF(tblStates[StateID],tblValidation[[#This Row],[TargetID]])&gt;1)</f>
        <v>0</v>
      </c>
      <c r="O355" s="48" t="b" cm="1">
        <f t="array" aca="1" ref="O3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5" s="48"/>
      <c r="R355" s="48"/>
      <c r="S355" s="48"/>
      <c r="T355" s="48"/>
      <c r="V355" s="2" t="str">
        <f ca="1"/>
        <v>quest.the_ordinary_days_of_an_adventurer_chapter_5.finished</v>
      </c>
      <c r="X355" s="2" t="str">
        <f ca="1"/>
        <v>quest.the_ordinary_days_of_an_adventurer_chapter_5.finished</v>
      </c>
      <c r="Y355" s="2" t="str">
        <f ca="1"/>
        <v>state.complete_dungeon_6c</v>
      </c>
      <c r="Z355" s="2" t="str">
        <f ca="1"/>
        <v>quest.the_ordinary_days_of_an_adventurer_chapter_7.accepted</v>
      </c>
      <c r="AA355" s="2" t="str">
        <f ca="1"/>
        <v>state.obtain_any_artifact</v>
      </c>
      <c r="AD355" s="2" t="str">
        <f ca="1"/>
        <v>quest.the_ordinary_days_of_an_adventurer_chapter_5.finished</v>
      </c>
    </row>
    <row r="356" spans="1:30">
      <c r="A356" t="str">
        <f t="shared" ca="1" si="10"/>
        <v>quest.the_ordinary_days_of_an_adventurer_chapter_6.accepted</v>
      </c>
      <c r="B356" t="str">
        <f ca="1">_xlfn.XLOOKUP(tblValidation[[#This Row],[TargetID]],tblTargets[TargetID],tblTargets[TargetType],"")</f>
        <v>QUEST</v>
      </c>
      <c r="C356" s="48" t="b">
        <f ca="1">COUNTIF(tblTargets[TargetID], $A356) &gt; 0</f>
        <v>1</v>
      </c>
      <c r="D356" s="48" t="b">
        <f ca="1">IF(OR(LEFT(tblValidation[[#This Row],[TargetID]],10)="state.CHAR",RIGHT(tblValidation[[#This Row],[TargetID]],5)="maxed"),TRUE, COUNTIF(tblChecklist[TargetID], $A356) &gt; 0)</f>
        <v>1</v>
      </c>
      <c r="E3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$A356) &gt; 0)</f>
        <v>1</v>
      </c>
      <c r="F356" s="48" t="b">
        <f ca="1">COUNTIF(tblDependencies[DependencyID], $A356) &gt; 0</f>
        <v>1</v>
      </c>
      <c r="G356" s="48" t="b">
        <f ca="1">COUNTIF(tblQuestObjectives[QuestTargetID], $A356) &gt; 0</f>
        <v>0</v>
      </c>
      <c r="H356" s="48" t="b">
        <f ca="1">COUNTIF(tblQuestObjectives[ObjectiveID], $A356) &gt; 0</f>
        <v>0</v>
      </c>
      <c r="I356" s="48" t="b">
        <f ca="1">COUNTIF(tblTargetStatus[TargetID], $A356) &gt; 0</f>
        <v>1</v>
      </c>
      <c r="J356" s="48" t="b">
        <f ca="1">COUNTIF(tblCost[TargetID], $A356) &gt; 0</f>
        <v>0</v>
      </c>
      <c r="K356" s="48" t="b">
        <f ca="1">COUNTIF(tblStates[StateID], $A356) &gt; 0</f>
        <v>0</v>
      </c>
      <c r="L356" s="48" t="b">
        <f t="shared" ca="1" si="11"/>
        <v>1</v>
      </c>
      <c r="M356" s="48" t="b">
        <f ca="1">IF(tblValidation[[#This Row],[TargetID]]="","",COUNTIF(tblTargets[TargetID],A356)&gt;1)</f>
        <v>0</v>
      </c>
      <c r="N356" s="48" t="b">
        <f ca="1">IF(tblValidation[[#This Row],[TargetID]]="","",COUNTIF(tblStates[StateID],tblValidation[[#This Row],[TargetID]])&gt;1)</f>
        <v>0</v>
      </c>
      <c r="O356" s="48" t="b" cm="1">
        <f t="array" aca="1" ref="O3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6" s="48"/>
      <c r="R356" s="48"/>
      <c r="S356" s="48"/>
      <c r="T356" s="48"/>
      <c r="V356" s="2" t="str">
        <f ca="1"/>
        <v>quest.the_ordinary_days_of_an_adventurer_chapter_6.accepted</v>
      </c>
      <c r="X356" s="2" t="str">
        <f ca="1"/>
        <v>quest.the_ordinary_days_of_an_adventurer_chapter_6.accepted</v>
      </c>
      <c r="Y356" s="2" t="str">
        <f ca="1"/>
        <v>state.complete_f1_first_time</v>
      </c>
      <c r="Z356" s="2" t="str">
        <f ca="1"/>
        <v>quest.the_ordinary_days_of_an_adventurer_chapter_7.finished</v>
      </c>
      <c r="AA356" s="2" t="str">
        <f ca="1"/>
        <v>state.obtain_map_catacombs</v>
      </c>
      <c r="AD356" s="2" t="str">
        <f ca="1"/>
        <v>quest.the_ordinary_days_of_an_adventurer_chapter_6.accepted</v>
      </c>
    </row>
    <row r="357" spans="1:30">
      <c r="A357" t="str">
        <f t="shared" ca="1" si="10"/>
        <v>quest.the_ordinary_days_of_an_adventurer_chapter_6.finished</v>
      </c>
      <c r="B357" t="str">
        <f ca="1">_xlfn.XLOOKUP(tblValidation[[#This Row],[TargetID]],tblTargets[TargetID],tblTargets[TargetType],"")</f>
        <v>QUEST</v>
      </c>
      <c r="C357" s="48" t="b">
        <f ca="1">COUNTIF(tblTargets[TargetID], $A357) &gt; 0</f>
        <v>1</v>
      </c>
      <c r="D357" s="48" t="b">
        <f ca="1">IF(OR(LEFT(tblValidation[[#This Row],[TargetID]],10)="state.CHAR",RIGHT(tblValidation[[#This Row],[TargetID]],5)="maxed"),TRUE, COUNTIF(tblChecklist[TargetID], $A357) &gt; 0)</f>
        <v>1</v>
      </c>
      <c r="E3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$A357) &gt; 0)</f>
        <v>1</v>
      </c>
      <c r="F357" s="48" t="b">
        <f ca="1">COUNTIF(tblDependencies[DependencyID], $A357) &gt; 0</f>
        <v>1</v>
      </c>
      <c r="G357" s="48" t="b">
        <f ca="1">COUNTIF(tblQuestObjectives[QuestTargetID], $A357) &gt; 0</f>
        <v>1</v>
      </c>
      <c r="H357" s="48" t="b">
        <f ca="1">COUNTIF(tblQuestObjectives[ObjectiveID], $A357) &gt; 0</f>
        <v>0</v>
      </c>
      <c r="I357" s="48" t="b">
        <f ca="1">COUNTIF(tblTargetStatus[TargetID], $A357) &gt; 0</f>
        <v>1</v>
      </c>
      <c r="J357" s="48" t="b">
        <f ca="1">COUNTIF(tblCost[TargetID], $A357) &gt; 0</f>
        <v>1</v>
      </c>
      <c r="K357" s="48" t="b">
        <f ca="1">COUNTIF(tblStates[StateID], $A357) &gt; 0</f>
        <v>0</v>
      </c>
      <c r="L357" s="48" t="b">
        <f t="shared" ca="1" si="11"/>
        <v>1</v>
      </c>
      <c r="M357" s="48" t="b">
        <f ca="1">IF(tblValidation[[#This Row],[TargetID]]="","",COUNTIF(tblTargets[TargetID],A357)&gt;1)</f>
        <v>0</v>
      </c>
      <c r="N357" s="48" t="b">
        <f ca="1">IF(tblValidation[[#This Row],[TargetID]]="","",COUNTIF(tblStates[StateID],tblValidation[[#This Row],[TargetID]])&gt;1)</f>
        <v>0</v>
      </c>
      <c r="O357" s="48" t="b" cm="1">
        <f t="array" aca="1" ref="O3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7" s="48"/>
      <c r="R357" s="48"/>
      <c r="S357" s="48"/>
      <c r="T357" s="48"/>
      <c r="V357" s="2" t="str">
        <f ca="1"/>
        <v>quest.the_ordinary_days_of_an_adventurer_chapter_6.finished</v>
      </c>
      <c r="X357" s="2" t="str">
        <f ca="1"/>
        <v>quest.the_ordinary_days_of_an_adventurer_chapter_6.finished</v>
      </c>
      <c r="Y357" s="2" t="str">
        <f ca="1"/>
        <v>state.complete_f1_with_diligence</v>
      </c>
      <c r="Z357" s="2" t="str">
        <f ca="1"/>
        <v>quest.the_ordinary_days_of_an_adventurer_chapter_8.accepted</v>
      </c>
      <c r="AA357" s="2" t="str">
        <f ca="1"/>
        <v>state.obtain_map4</v>
      </c>
      <c r="AD357" s="2" t="str">
        <f ca="1"/>
        <v>quest.the_ordinary_days_of_an_adventurer_chapter_6.finished</v>
      </c>
    </row>
    <row r="358" spans="1:30">
      <c r="A358" t="str">
        <f t="shared" ca="1" si="10"/>
        <v>quest.the_ordinary_days_of_an_adventurer_chapter_7.accepted</v>
      </c>
      <c r="B358" t="str">
        <f ca="1">_xlfn.XLOOKUP(tblValidation[[#This Row],[TargetID]],tblTargets[TargetID],tblTargets[TargetType],"")</f>
        <v>QUEST</v>
      </c>
      <c r="C358" s="48" t="b">
        <f ca="1">COUNTIF(tblTargets[TargetID], $A358) &gt; 0</f>
        <v>1</v>
      </c>
      <c r="D358" s="48" t="b">
        <f ca="1">IF(OR(LEFT(tblValidation[[#This Row],[TargetID]],10)="state.CHAR",RIGHT(tblValidation[[#This Row],[TargetID]],5)="maxed"),TRUE, COUNTIF(tblChecklist[TargetID], $A358) &gt; 0)</f>
        <v>1</v>
      </c>
      <c r="E3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$A358) &gt; 0)</f>
        <v>1</v>
      </c>
      <c r="F358" s="48" t="b">
        <f ca="1">COUNTIF(tblDependencies[DependencyID], $A358) &gt; 0</f>
        <v>1</v>
      </c>
      <c r="G358" s="48" t="b">
        <f ca="1">COUNTIF(tblQuestObjectives[QuestTargetID], $A358) &gt; 0</f>
        <v>0</v>
      </c>
      <c r="H358" s="48" t="b">
        <f ca="1">COUNTIF(tblQuestObjectives[ObjectiveID], $A358) &gt; 0</f>
        <v>0</v>
      </c>
      <c r="I358" s="48" t="b">
        <f ca="1">COUNTIF(tblTargetStatus[TargetID], $A358) &gt; 0</f>
        <v>1</v>
      </c>
      <c r="J358" s="48" t="b">
        <f ca="1">COUNTIF(tblCost[TargetID], $A358) &gt; 0</f>
        <v>0</v>
      </c>
      <c r="K358" s="48" t="b">
        <f ca="1">COUNTIF(tblStates[StateID], $A358) &gt; 0</f>
        <v>0</v>
      </c>
      <c r="L358" s="48" t="b">
        <f t="shared" ca="1" si="11"/>
        <v>1</v>
      </c>
      <c r="M358" s="48" t="b">
        <f ca="1">IF(tblValidation[[#This Row],[TargetID]]="","",COUNTIF(tblTargets[TargetID],A358)&gt;1)</f>
        <v>0</v>
      </c>
      <c r="N358" s="48" t="b">
        <f ca="1">IF(tblValidation[[#This Row],[TargetID]]="","",COUNTIF(tblStates[StateID],tblValidation[[#This Row],[TargetID]])&gt;1)</f>
        <v>0</v>
      </c>
      <c r="O358" s="48" t="b" cm="1">
        <f t="array" aca="1" ref="O3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8" s="48"/>
      <c r="R358" s="48"/>
      <c r="S358" s="48"/>
      <c r="T358" s="48"/>
      <c r="V358" s="2" t="str">
        <f ca="1"/>
        <v>quest.the_ordinary_days_of_an_adventurer_chapter_7.accepted</v>
      </c>
      <c r="X358" s="2" t="str">
        <f ca="1"/>
        <v>quest.the_ordinary_days_of_an_adventurer_chapter_7.accepted</v>
      </c>
      <c r="Y358" s="2" t="str">
        <f ca="1"/>
        <v>state.complete_f2_with_diligence</v>
      </c>
      <c r="Z358" s="2" t="str">
        <f ca="1"/>
        <v>quest.the_ordinary_days_of_an_adventurer_chapter_8.finished</v>
      </c>
      <c r="AA358" s="2" t="str">
        <f ca="1"/>
        <v>state.obtain_smugglers_map_100_beans</v>
      </c>
      <c r="AD358" s="2" t="str">
        <f ca="1"/>
        <v>quest.the_ordinary_days_of_an_adventurer_chapter_7.accepted</v>
      </c>
    </row>
    <row r="359" spans="1:30">
      <c r="A359" t="str">
        <f t="shared" ca="1" si="10"/>
        <v>quest.the_ordinary_days_of_an_adventurer_chapter_7.finished</v>
      </c>
      <c r="B359" t="str">
        <f ca="1">_xlfn.XLOOKUP(tblValidation[[#This Row],[TargetID]],tblTargets[TargetID],tblTargets[TargetType],"")</f>
        <v>QUEST</v>
      </c>
      <c r="C359" s="48" t="b">
        <f ca="1">COUNTIF(tblTargets[TargetID], $A359) &gt; 0</f>
        <v>1</v>
      </c>
      <c r="D359" s="48" t="b">
        <f ca="1">IF(OR(LEFT(tblValidation[[#This Row],[TargetID]],10)="state.CHAR",RIGHT(tblValidation[[#This Row],[TargetID]],5)="maxed"),TRUE, COUNTIF(tblChecklist[TargetID], $A359) &gt; 0)</f>
        <v>1</v>
      </c>
      <c r="E3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$A359) &gt; 0)</f>
        <v>1</v>
      </c>
      <c r="F359" s="48" t="b">
        <f ca="1">COUNTIF(tblDependencies[DependencyID], $A359) &gt; 0</f>
        <v>1</v>
      </c>
      <c r="G359" s="48" t="b">
        <f ca="1">COUNTIF(tblQuestObjectives[QuestTargetID], $A359) &gt; 0</f>
        <v>1</v>
      </c>
      <c r="H359" s="48" t="b">
        <f ca="1">COUNTIF(tblQuestObjectives[ObjectiveID], $A359) &gt; 0</f>
        <v>0</v>
      </c>
      <c r="I359" s="48" t="b">
        <f ca="1">COUNTIF(tblTargetStatus[TargetID], $A359) &gt; 0</f>
        <v>1</v>
      </c>
      <c r="J359" s="48" t="b">
        <f ca="1">COUNTIF(tblCost[TargetID], $A359) &gt; 0</f>
        <v>0</v>
      </c>
      <c r="K359" s="48" t="b">
        <f ca="1">COUNTIF(tblStates[StateID], $A359) &gt; 0</f>
        <v>0</v>
      </c>
      <c r="L359" s="48" t="b">
        <f t="shared" ca="1" si="11"/>
        <v>1</v>
      </c>
      <c r="M359" s="48" t="b">
        <f ca="1">IF(tblValidation[[#This Row],[TargetID]]="","",COUNTIF(tblTargets[TargetID],A359)&gt;1)</f>
        <v>0</v>
      </c>
      <c r="N359" s="48" t="b">
        <f ca="1">IF(tblValidation[[#This Row],[TargetID]]="","",COUNTIF(tblStates[StateID],tblValidation[[#This Row],[TargetID]])&gt;1)</f>
        <v>0</v>
      </c>
      <c r="O359" s="48" t="b" cm="1">
        <f t="array" aca="1" ref="O3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9" s="48"/>
      <c r="R359" s="48"/>
      <c r="S359" s="48"/>
      <c r="T359" s="48"/>
      <c r="V359" s="2" t="str">
        <f ca="1"/>
        <v>quest.the_ordinary_days_of_an_adventurer_chapter_7.finished</v>
      </c>
      <c r="X359" s="2" t="str">
        <f ca="1"/>
        <v>quest.the_ordinary_days_of_an_adventurer_chapter_7.finished</v>
      </c>
      <c r="Y359" s="2" t="str">
        <f ca="1"/>
        <v>state.complete_f3_with_diligence</v>
      </c>
      <c r="Z359" s="2" t="str">
        <f ca="1"/>
        <v>quest.the_ring_of_the_dark_lady.accepted</v>
      </c>
      <c r="AA359" s="2" t="str">
        <f ca="1"/>
        <v>state.obtain_smugglers_map_15_pearl</v>
      </c>
      <c r="AD359" s="2" t="str">
        <f ca="1"/>
        <v>quest.the_ordinary_days_of_an_adventurer_chapter_7.finished</v>
      </c>
    </row>
    <row r="360" spans="1:30">
      <c r="A360" t="str">
        <f t="shared" ca="1" si="10"/>
        <v>quest.the_ordinary_days_of_an_adventurer_chapter_8.accepted</v>
      </c>
      <c r="B360" t="str">
        <f ca="1">_xlfn.XLOOKUP(tblValidation[[#This Row],[TargetID]],tblTargets[TargetID],tblTargets[TargetType],"")</f>
        <v>QUEST</v>
      </c>
      <c r="C360" s="48" t="b">
        <f ca="1">COUNTIF(tblTargets[TargetID], $A360) &gt; 0</f>
        <v>1</v>
      </c>
      <c r="D360" s="48" t="b">
        <f ca="1">IF(OR(LEFT(tblValidation[[#This Row],[TargetID]],10)="state.CHAR",RIGHT(tblValidation[[#This Row],[TargetID]],5)="maxed"),TRUE, COUNTIF(tblChecklist[TargetID], $A360) &gt; 0)</f>
        <v>1</v>
      </c>
      <c r="E3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$A360) &gt; 0)</f>
        <v>1</v>
      </c>
      <c r="F360" s="48" t="b">
        <f ca="1">COUNTIF(tblDependencies[DependencyID], $A360) &gt; 0</f>
        <v>1</v>
      </c>
      <c r="G360" s="48" t="b">
        <f ca="1">COUNTIF(tblQuestObjectives[QuestTargetID], $A360) &gt; 0</f>
        <v>0</v>
      </c>
      <c r="H360" s="48" t="b">
        <f ca="1">COUNTIF(tblQuestObjectives[ObjectiveID], $A360) &gt; 0</f>
        <v>0</v>
      </c>
      <c r="I360" s="48" t="b">
        <f ca="1">COUNTIF(tblTargetStatus[TargetID], $A360) &gt; 0</f>
        <v>1</v>
      </c>
      <c r="J360" s="48" t="b">
        <f ca="1">COUNTIF(tblCost[TargetID], $A360) &gt; 0</f>
        <v>0</v>
      </c>
      <c r="K360" s="48" t="b">
        <f ca="1">COUNTIF(tblStates[StateID], $A360) &gt; 0</f>
        <v>0</v>
      </c>
      <c r="L360" s="48" t="b">
        <f t="shared" ca="1" si="11"/>
        <v>1</v>
      </c>
      <c r="M360" s="48" t="b">
        <f ca="1">IF(tblValidation[[#This Row],[TargetID]]="","",COUNTIF(tblTargets[TargetID],A360)&gt;1)</f>
        <v>0</v>
      </c>
      <c r="N360" s="48" t="b">
        <f ca="1">IF(tblValidation[[#This Row],[TargetID]]="","",COUNTIF(tblStates[StateID],tblValidation[[#This Row],[TargetID]])&gt;1)</f>
        <v>0</v>
      </c>
      <c r="O360" s="48" t="b" cm="1">
        <f t="array" aca="1" ref="O3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0" s="48"/>
      <c r="R360" s="48"/>
      <c r="S360" s="48"/>
      <c r="T360" s="48"/>
      <c r="V360" s="2" t="str">
        <f ca="1"/>
        <v>quest.the_ordinary_days_of_an_adventurer_chapter_8.accepted</v>
      </c>
      <c r="X360" s="2" t="str">
        <f ca="1"/>
        <v>quest.the_ordinary_days_of_an_adventurer_chapter_8.accepted</v>
      </c>
      <c r="Y360" s="2" t="str">
        <f ca="1"/>
        <v>state.complete_f4_with_diligence</v>
      </c>
      <c r="Z360" s="2" t="str">
        <f ca="1"/>
        <v>quest.the_ring_of_the_dark_lady.finished</v>
      </c>
      <c r="AA360" s="2" t="str">
        <f ca="1"/>
        <v>state.obtain_strawberry@f1</v>
      </c>
      <c r="AD360" s="2" t="str">
        <f ca="1"/>
        <v>quest.the_ordinary_days_of_an_adventurer_chapter_8.accepted</v>
      </c>
    </row>
    <row r="361" spans="1:30">
      <c r="A361" t="str">
        <f t="shared" ca="1" si="10"/>
        <v>quest.the_ordinary_days_of_an_adventurer_chapter_8.finished</v>
      </c>
      <c r="B361" t="str">
        <f ca="1">_xlfn.XLOOKUP(tblValidation[[#This Row],[TargetID]],tblTargets[TargetID],tblTargets[TargetType],"")</f>
        <v>QUEST</v>
      </c>
      <c r="C361" s="48" t="b">
        <f ca="1">COUNTIF(tblTargets[TargetID], $A361) &gt; 0</f>
        <v>1</v>
      </c>
      <c r="D361" s="48" t="b">
        <f ca="1">IF(OR(LEFT(tblValidation[[#This Row],[TargetID]],10)="state.CHAR",RIGHT(tblValidation[[#This Row],[TargetID]],5)="maxed"),TRUE, COUNTIF(tblChecklist[TargetID], $A361) &gt; 0)</f>
        <v>1</v>
      </c>
      <c r="E3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$A361) &gt; 0)</f>
        <v>1</v>
      </c>
      <c r="F361" s="48" t="b">
        <f ca="1">COUNTIF(tblDependencies[DependencyID], $A361) &gt; 0</f>
        <v>1</v>
      </c>
      <c r="G361" s="48" t="b">
        <f ca="1">COUNTIF(tblQuestObjectives[QuestTargetID], $A361) &gt; 0</f>
        <v>1</v>
      </c>
      <c r="H361" s="48" t="b">
        <f ca="1">COUNTIF(tblQuestObjectives[ObjectiveID], $A361) &gt; 0</f>
        <v>0</v>
      </c>
      <c r="I361" s="48" t="b">
        <f ca="1">COUNTIF(tblTargetStatus[TargetID], $A361) &gt; 0</f>
        <v>1</v>
      </c>
      <c r="J361" s="48" t="b">
        <f ca="1">COUNTIF(tblCost[TargetID], $A361) &gt; 0</f>
        <v>0</v>
      </c>
      <c r="K361" s="48" t="b">
        <f ca="1">COUNTIF(tblStates[StateID], $A361) &gt; 0</f>
        <v>0</v>
      </c>
      <c r="L361" s="48" t="b">
        <f t="shared" ca="1" si="11"/>
        <v>1</v>
      </c>
      <c r="M361" s="48" t="b">
        <f ca="1">IF(tblValidation[[#This Row],[TargetID]]="","",COUNTIF(tblTargets[TargetID],A361)&gt;1)</f>
        <v>0</v>
      </c>
      <c r="N361" s="48" t="b">
        <f ca="1">IF(tblValidation[[#This Row],[TargetID]]="","",COUNTIF(tblStates[StateID],tblValidation[[#This Row],[TargetID]])&gt;1)</f>
        <v>0</v>
      </c>
      <c r="O361" s="48" t="b" cm="1">
        <f t="array" aca="1" ref="O3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1" s="48"/>
      <c r="R361" s="48"/>
      <c r="S361" s="48"/>
      <c r="T361" s="48"/>
      <c r="V361" s="2" t="str">
        <f ca="1"/>
        <v>quest.the_ordinary_days_of_an_adventurer_chapter_8.finished</v>
      </c>
      <c r="X361" s="2" t="str">
        <f ca="1"/>
        <v>quest.the_ordinary_days_of_an_adventurer_chapter_8.finished</v>
      </c>
      <c r="Y361" s="2" t="str">
        <f ca="1"/>
        <v>state.complete_lvl1_any_project</v>
      </c>
      <c r="Z361" s="2" t="str">
        <f ca="1"/>
        <v>quest.treasure_island.accepted</v>
      </c>
      <c r="AA361" s="2" t="str">
        <f ca="1"/>
        <v>state.visit_dungeon@4a</v>
      </c>
      <c r="AD361" s="2" t="str">
        <f ca="1"/>
        <v>quest.the_ordinary_days_of_an_adventurer_chapter_8.finished</v>
      </c>
    </row>
    <row r="362" spans="1:30">
      <c r="A362" t="str">
        <f t="shared" ca="1" si="10"/>
        <v>quest.the_ring_of_the_dark_lady.accepted</v>
      </c>
      <c r="B362" t="str">
        <f ca="1">_xlfn.XLOOKUP(tblValidation[[#This Row],[TargetID]],tblTargets[TargetID],tblTargets[TargetType],"")</f>
        <v>QUEST</v>
      </c>
      <c r="C362" s="48" t="b">
        <f ca="1">COUNTIF(tblTargets[TargetID], $A362) &gt; 0</f>
        <v>1</v>
      </c>
      <c r="D362" s="48" t="b">
        <f ca="1">IF(OR(LEFT(tblValidation[[#This Row],[TargetID]],10)="state.CHAR",RIGHT(tblValidation[[#This Row],[TargetID]],5)="maxed"),TRUE, COUNTIF(tblChecklist[TargetID], $A362) &gt; 0)</f>
        <v>1</v>
      </c>
      <c r="E3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$A362) &gt; 0)</f>
        <v>1</v>
      </c>
      <c r="F362" s="48" t="b">
        <f ca="1">COUNTIF(tblDependencies[DependencyID], $A362) &gt; 0</f>
        <v>1</v>
      </c>
      <c r="G362" s="48" t="b">
        <f ca="1">COUNTIF(tblQuestObjectives[QuestTargetID], $A362) &gt; 0</f>
        <v>0</v>
      </c>
      <c r="H362" s="48" t="b">
        <f ca="1">COUNTIF(tblQuestObjectives[ObjectiveID], $A362) &gt; 0</f>
        <v>0</v>
      </c>
      <c r="I362" s="48" t="b">
        <f ca="1">COUNTIF(tblTargetStatus[TargetID], $A362) &gt; 0</f>
        <v>1</v>
      </c>
      <c r="J362" s="48" t="b">
        <f ca="1">COUNTIF(tblCost[TargetID], $A362) &gt; 0</f>
        <v>0</v>
      </c>
      <c r="K362" s="48" t="b">
        <f ca="1">COUNTIF(tblStates[StateID], $A362) &gt; 0</f>
        <v>0</v>
      </c>
      <c r="L362" s="48" t="b">
        <f t="shared" ca="1" si="11"/>
        <v>1</v>
      </c>
      <c r="M362" s="48" t="b">
        <f ca="1">IF(tblValidation[[#This Row],[TargetID]]="","",COUNTIF(tblTargets[TargetID],A362)&gt;1)</f>
        <v>0</v>
      </c>
      <c r="N362" s="48" t="b">
        <f ca="1">IF(tblValidation[[#This Row],[TargetID]]="","",COUNTIF(tblStates[StateID],tblValidation[[#This Row],[TargetID]])&gt;1)</f>
        <v>0</v>
      </c>
      <c r="O362" s="48" t="b" cm="1">
        <f t="array" aca="1" ref="O3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2" s="48"/>
      <c r="R362" s="48"/>
      <c r="S362" s="48"/>
      <c r="T362" s="48"/>
      <c r="V362" s="2" t="str">
        <f ca="1"/>
        <v>quest.the_ring_of_the_dark_lady.accepted</v>
      </c>
      <c r="X362" s="2" t="str">
        <f ca="1"/>
        <v>quest.the_ring_of_the_dark_lady.accepted</v>
      </c>
      <c r="Y362" s="2" t="str">
        <f ca="1"/>
        <v>state.deliver_ambrosia@f3</v>
      </c>
      <c r="Z362" s="2" t="str">
        <f ca="1"/>
        <v>quest.treasure_island.finished</v>
      </c>
      <c r="AA362" s="2" t="str">
        <f ca="1"/>
        <v>state.visit_dungeon@5a</v>
      </c>
      <c r="AD362" s="2" t="str">
        <f ca="1"/>
        <v>quest.the_ring_of_the_dark_lady.accepted</v>
      </c>
    </row>
    <row r="363" spans="1:30">
      <c r="A363" t="str">
        <f t="shared" ca="1" si="10"/>
        <v>quest.the_ring_of_the_dark_lady.finished</v>
      </c>
      <c r="B363" t="str">
        <f ca="1">_xlfn.XLOOKUP(tblValidation[[#This Row],[TargetID]],tblTargets[TargetID],tblTargets[TargetType],"")</f>
        <v>QUEST</v>
      </c>
      <c r="C363" s="48" t="b">
        <f ca="1">COUNTIF(tblTargets[TargetID], $A363) &gt; 0</f>
        <v>1</v>
      </c>
      <c r="D363" s="48" t="b">
        <f ca="1">IF(OR(LEFT(tblValidation[[#This Row],[TargetID]],10)="state.CHAR",RIGHT(tblValidation[[#This Row],[TargetID]],5)="maxed"),TRUE, COUNTIF(tblChecklist[TargetID], $A363) &gt; 0)</f>
        <v>1</v>
      </c>
      <c r="E3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$A363) &gt; 0)</f>
        <v>1</v>
      </c>
      <c r="F363" s="48" t="b">
        <f ca="1">COUNTIF(tblDependencies[DependencyID], $A363) &gt; 0</f>
        <v>1</v>
      </c>
      <c r="G363" s="48" t="b">
        <f ca="1">COUNTIF(tblQuestObjectives[QuestTargetID], $A363) &gt; 0</f>
        <v>1</v>
      </c>
      <c r="H363" s="48" t="b">
        <f ca="1">COUNTIF(tblQuestObjectives[ObjectiveID], $A363) &gt; 0</f>
        <v>0</v>
      </c>
      <c r="I363" s="48" t="b">
        <f ca="1">COUNTIF(tblTargetStatus[TargetID], $A363) &gt; 0</f>
        <v>1</v>
      </c>
      <c r="J363" s="48" t="b">
        <f ca="1">COUNTIF(tblCost[TargetID], $A363) &gt; 0</f>
        <v>0</v>
      </c>
      <c r="K363" s="48" t="b">
        <f ca="1">COUNTIF(tblStates[StateID], $A363) &gt; 0</f>
        <v>0</v>
      </c>
      <c r="L363" s="48" t="b">
        <f t="shared" ca="1" si="11"/>
        <v>1</v>
      </c>
      <c r="M363" s="48" t="b">
        <f ca="1">IF(tblValidation[[#This Row],[TargetID]]="","",COUNTIF(tblTargets[TargetID],A363)&gt;1)</f>
        <v>0</v>
      </c>
      <c r="N363" s="48" t="b">
        <f ca="1">IF(tblValidation[[#This Row],[TargetID]]="","",COUNTIF(tblStates[StateID],tblValidation[[#This Row],[TargetID]])&gt;1)</f>
        <v>0</v>
      </c>
      <c r="O363" s="48" t="b" cm="1">
        <f t="array" aca="1" ref="O3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3" s="48"/>
      <c r="R363" s="48"/>
      <c r="S363" s="48"/>
      <c r="T363" s="48"/>
      <c r="V363" s="2" t="str">
        <f ca="1"/>
        <v>quest.the_ring_of_the_dark_lady.finished</v>
      </c>
      <c r="X363" s="2" t="str">
        <f ca="1"/>
        <v>quest.the_ring_of_the_dark_lady.finished</v>
      </c>
      <c r="Y363" s="2" t="str">
        <f ca="1"/>
        <v>state.deliver_balm_to_hunter@f2</v>
      </c>
      <c r="Z363" s="2" t="str">
        <f ca="1"/>
        <v>quest.undead_revenge.accepted</v>
      </c>
      <c r="AA363" s="2" t="str">
        <f ca="1"/>
        <v>state.visit_dungeon@6a</v>
      </c>
      <c r="AD363" s="2" t="str">
        <f ca="1"/>
        <v>quest.the_ring_of_the_dark_lady.finished</v>
      </c>
    </row>
    <row r="364" spans="1:30">
      <c r="A364" t="str">
        <f t="shared" ca="1" si="10"/>
        <v>quest.treasure_island.accepted</v>
      </c>
      <c r="B364" t="str">
        <f ca="1">_xlfn.XLOOKUP(tblValidation[[#This Row],[TargetID]],tblTargets[TargetID],tblTargets[TargetType],"")</f>
        <v>QUEST</v>
      </c>
      <c r="C364" s="48" t="b">
        <f ca="1">COUNTIF(tblTargets[TargetID], $A364) &gt; 0</f>
        <v>1</v>
      </c>
      <c r="D364" s="48" t="b">
        <f ca="1">IF(OR(LEFT(tblValidation[[#This Row],[TargetID]],10)="state.CHAR",RIGHT(tblValidation[[#This Row],[TargetID]],5)="maxed"),TRUE, COUNTIF(tblChecklist[TargetID], $A364) &gt; 0)</f>
        <v>1</v>
      </c>
      <c r="E3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$A364) &gt; 0)</f>
        <v>1</v>
      </c>
      <c r="F364" s="48" t="b">
        <f ca="1">COUNTIF(tblDependencies[DependencyID], $A364) &gt; 0</f>
        <v>1</v>
      </c>
      <c r="G364" s="48" t="b">
        <f ca="1">COUNTIF(tblQuestObjectives[QuestTargetID], $A364) &gt; 0</f>
        <v>0</v>
      </c>
      <c r="H364" s="48" t="b">
        <f ca="1">COUNTIF(tblQuestObjectives[ObjectiveID], $A364) &gt; 0</f>
        <v>0</v>
      </c>
      <c r="I364" s="48" t="b">
        <f ca="1">COUNTIF(tblTargetStatus[TargetID], $A364) &gt; 0</f>
        <v>1</v>
      </c>
      <c r="J364" s="48" t="b">
        <f ca="1">COUNTIF(tblCost[TargetID], $A364) &gt; 0</f>
        <v>0</v>
      </c>
      <c r="K364" s="48" t="b">
        <f ca="1">COUNTIF(tblStates[StateID], $A364) &gt; 0</f>
        <v>0</v>
      </c>
      <c r="L364" s="48" t="b">
        <f t="shared" ca="1" si="11"/>
        <v>1</v>
      </c>
      <c r="M364" s="48" t="b">
        <f ca="1">IF(tblValidation[[#This Row],[TargetID]]="","",COUNTIF(tblTargets[TargetID],A364)&gt;1)</f>
        <v>0</v>
      </c>
      <c r="N364" s="48" t="b">
        <f ca="1">IF(tblValidation[[#This Row],[TargetID]]="","",COUNTIF(tblStates[StateID],tblValidation[[#This Row],[TargetID]])&gt;1)</f>
        <v>0</v>
      </c>
      <c r="O364" s="48" t="b" cm="1">
        <f t="array" aca="1" ref="O3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4" s="48"/>
      <c r="R364" s="48"/>
      <c r="S364" s="48"/>
      <c r="T364" s="48"/>
      <c r="V364" s="2" t="str">
        <f ca="1"/>
        <v>quest.treasure_island.accepted</v>
      </c>
      <c r="X364" s="2" t="str">
        <f ca="1"/>
        <v>quest.treasure_island.accepted</v>
      </c>
      <c r="Y364" s="2" t="str">
        <f ca="1"/>
        <v>state.deliver_bedroll_4b</v>
      </c>
      <c r="Z364" s="2" t="str">
        <f ca="1"/>
        <v>quest.undead_revenge.finished</v>
      </c>
      <c r="AA364" s="2" t="str">
        <f ca="1"/>
        <v>tech.alchemists_hut.conveyor_lvl_1</v>
      </c>
      <c r="AD364" s="2" t="str">
        <f ca="1"/>
        <v>quest.treasure_island.accepted</v>
      </c>
    </row>
    <row r="365" spans="1:30">
      <c r="A365" t="str">
        <f t="shared" ca="1" si="10"/>
        <v>quest.treasure_island.finished</v>
      </c>
      <c r="B365" t="str">
        <f ca="1">_xlfn.XLOOKUP(tblValidation[[#This Row],[TargetID]],tblTargets[TargetID],tblTargets[TargetType],"")</f>
        <v>QUEST</v>
      </c>
      <c r="C365" s="48" t="b">
        <f ca="1">COUNTIF(tblTargets[TargetID], $A365) &gt; 0</f>
        <v>1</v>
      </c>
      <c r="D365" s="48" t="b">
        <f ca="1">IF(OR(LEFT(tblValidation[[#This Row],[TargetID]],10)="state.CHAR",RIGHT(tblValidation[[#This Row],[TargetID]],5)="maxed"),TRUE, COUNTIF(tblChecklist[TargetID], $A365) &gt; 0)</f>
        <v>1</v>
      </c>
      <c r="E3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$A365) &gt; 0)</f>
        <v>1</v>
      </c>
      <c r="F365" s="48" t="b">
        <f ca="1">COUNTIF(tblDependencies[DependencyID], $A365) &gt; 0</f>
        <v>0</v>
      </c>
      <c r="G365" s="48" t="b">
        <f ca="1">COUNTIF(tblQuestObjectives[QuestTargetID], $A365) &gt; 0</f>
        <v>1</v>
      </c>
      <c r="H365" s="48" t="b">
        <f ca="1">COUNTIF(tblQuestObjectives[ObjectiveID], $A365) &gt; 0</f>
        <v>0</v>
      </c>
      <c r="I365" s="48" t="b">
        <f ca="1">COUNTIF(tblTargetStatus[TargetID], $A365) &gt; 0</f>
        <v>1</v>
      </c>
      <c r="J365" s="48" t="b">
        <f ca="1">COUNTIF(tblCost[TargetID], $A365) &gt; 0</f>
        <v>0</v>
      </c>
      <c r="K365" s="48" t="b">
        <f ca="1">COUNTIF(tblStates[StateID], $A365) &gt; 0</f>
        <v>0</v>
      </c>
      <c r="L365" s="48" t="b">
        <f t="shared" ca="1" si="11"/>
        <v>1</v>
      </c>
      <c r="M365" s="48" t="b">
        <f ca="1">IF(tblValidation[[#This Row],[TargetID]]="","",COUNTIF(tblTargets[TargetID],A365)&gt;1)</f>
        <v>0</v>
      </c>
      <c r="N365" s="48" t="b">
        <f ca="1">IF(tblValidation[[#This Row],[TargetID]]="","",COUNTIF(tblStates[StateID],tblValidation[[#This Row],[TargetID]])&gt;1)</f>
        <v>0</v>
      </c>
      <c r="O365" s="48" t="b" cm="1">
        <f t="array" aca="1" ref="O3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5" s="48"/>
      <c r="R365" s="48"/>
      <c r="S365" s="48"/>
      <c r="T365" s="48"/>
      <c r="V365" s="2" t="str">
        <f ca="1"/>
        <v>quest.treasure_island.finished</v>
      </c>
      <c r="X365" s="2" t="str">
        <f ca="1"/>
        <v>quest.treasure_island.finished</v>
      </c>
      <c r="Y365" s="2" t="str">
        <f ca="1"/>
        <v>state.deliver_cheese_6b</v>
      </c>
      <c r="Z365" s="2" t="str">
        <f ca="1"/>
        <v>state.action_defeat_bone_dragon_4c</v>
      </c>
      <c r="AA365" s="2" t="str">
        <f ca="1"/>
        <v>tech.alchemists_hut.mercury</v>
      </c>
      <c r="AD365" s="2" t="str">
        <f ca="1"/>
        <v>quest.treasure_island.finished</v>
      </c>
    </row>
    <row r="366" spans="1:30">
      <c r="A366" t="str">
        <f t="shared" ca="1" si="10"/>
        <v>quest.undead_revenge.accepted</v>
      </c>
      <c r="B366" t="str">
        <f ca="1">_xlfn.XLOOKUP(tblValidation[[#This Row],[TargetID]],tblTargets[TargetID],tblTargets[TargetType],"")</f>
        <v>QUEST</v>
      </c>
      <c r="C366" s="48" t="b">
        <f ca="1">COUNTIF(tblTargets[TargetID], $A366) &gt; 0</f>
        <v>1</v>
      </c>
      <c r="D366" s="48" t="b">
        <f ca="1">IF(OR(LEFT(tblValidation[[#This Row],[TargetID]],10)="state.CHAR",RIGHT(tblValidation[[#This Row],[TargetID]],5)="maxed"),TRUE, COUNTIF(tblChecklist[TargetID], $A366) &gt; 0)</f>
        <v>1</v>
      </c>
      <c r="E3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$A366) &gt; 0)</f>
        <v>1</v>
      </c>
      <c r="F366" s="48" t="b">
        <f ca="1">COUNTIF(tblDependencies[DependencyID], $A366) &gt; 0</f>
        <v>1</v>
      </c>
      <c r="G366" s="48" t="b">
        <f ca="1">COUNTIF(tblQuestObjectives[QuestTargetID], $A366) &gt; 0</f>
        <v>0</v>
      </c>
      <c r="H366" s="48" t="b">
        <f ca="1">COUNTIF(tblQuestObjectives[ObjectiveID], $A366) &gt; 0</f>
        <v>0</v>
      </c>
      <c r="I366" s="48" t="b">
        <f ca="1">COUNTIF(tblTargetStatus[TargetID], $A366) &gt; 0</f>
        <v>1</v>
      </c>
      <c r="J366" s="48" t="b">
        <f ca="1">COUNTIF(tblCost[TargetID], $A366) &gt; 0</f>
        <v>0</v>
      </c>
      <c r="K366" s="48" t="b">
        <f ca="1">COUNTIF(tblStates[StateID], $A366) &gt; 0</f>
        <v>0</v>
      </c>
      <c r="L366" s="48" t="b">
        <f t="shared" ca="1" si="11"/>
        <v>1</v>
      </c>
      <c r="M366" s="48" t="b">
        <f ca="1">IF(tblValidation[[#This Row],[TargetID]]="","",COUNTIF(tblTargets[TargetID],A366)&gt;1)</f>
        <v>0</v>
      </c>
      <c r="N366" s="48" t="b">
        <f ca="1">IF(tblValidation[[#This Row],[TargetID]]="","",COUNTIF(tblStates[StateID],tblValidation[[#This Row],[TargetID]])&gt;1)</f>
        <v>0</v>
      </c>
      <c r="O366" s="48" t="b" cm="1">
        <f t="array" aca="1" ref="O3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6" s="48"/>
      <c r="R366" s="48"/>
      <c r="S366" s="48"/>
      <c r="T366" s="48"/>
      <c r="V366" s="2" t="str">
        <f ca="1"/>
        <v>quest.undead_revenge.accepted</v>
      </c>
      <c r="X366" s="2" t="str">
        <f ca="1"/>
        <v>quest.undead_revenge.accepted</v>
      </c>
      <c r="Y366" s="2" t="str">
        <f ca="1"/>
        <v>state.deliver_horn_ 2c</v>
      </c>
      <c r="Z366" s="2" t="str">
        <f ca="1"/>
        <v>state.action_reenter_guild</v>
      </c>
      <c r="AA366" s="2" t="str">
        <f ca="1"/>
        <v>tech.alchemists_hut.potion_berserker_rage</v>
      </c>
      <c r="AD366" s="2" t="str">
        <f ca="1"/>
        <v>quest.undead_revenge.accepted</v>
      </c>
    </row>
    <row r="367" spans="1:30">
      <c r="A367" t="str">
        <f t="shared" ca="1" si="10"/>
        <v>quest.undead_revenge.finished</v>
      </c>
      <c r="B367" t="str">
        <f ca="1">_xlfn.XLOOKUP(tblValidation[[#This Row],[TargetID]],tblTargets[TargetID],tblTargets[TargetType],"")</f>
        <v>QUEST</v>
      </c>
      <c r="C367" s="48" t="b">
        <f ca="1">COUNTIF(tblTargets[TargetID], $A367) &gt; 0</f>
        <v>1</v>
      </c>
      <c r="D367" s="48" t="b">
        <f ca="1">IF(OR(LEFT(tblValidation[[#This Row],[TargetID]],10)="state.CHAR",RIGHT(tblValidation[[#This Row],[TargetID]],5)="maxed"),TRUE, COUNTIF(tblChecklist[TargetID], $A367) &gt; 0)</f>
        <v>1</v>
      </c>
      <c r="E3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$A367) &gt; 0)</f>
        <v>1</v>
      </c>
      <c r="F367" s="48" t="b">
        <f ca="1">COUNTIF(tblDependencies[DependencyID], $A367) &gt; 0</f>
        <v>0</v>
      </c>
      <c r="G367" s="48" t="b">
        <f ca="1">COUNTIF(tblQuestObjectives[QuestTargetID], $A367) &gt; 0</f>
        <v>1</v>
      </c>
      <c r="H367" s="48" t="b">
        <f ca="1">COUNTIF(tblQuestObjectives[ObjectiveID], $A367) &gt; 0</f>
        <v>0</v>
      </c>
      <c r="I367" s="48" t="b">
        <f ca="1">COUNTIF(tblTargetStatus[TargetID], $A367) &gt; 0</f>
        <v>1</v>
      </c>
      <c r="J367" s="48" t="b">
        <f ca="1">COUNTIF(tblCost[TargetID], $A367) &gt; 0</f>
        <v>0</v>
      </c>
      <c r="K367" s="48" t="b">
        <f ca="1">COUNTIF(tblStates[StateID], $A367) &gt; 0</f>
        <v>0</v>
      </c>
      <c r="L367" s="48" t="b">
        <f t="shared" ca="1" si="11"/>
        <v>1</v>
      </c>
      <c r="M367" s="48" t="b">
        <f ca="1">IF(tblValidation[[#This Row],[TargetID]]="","",COUNTIF(tblTargets[TargetID],A367)&gt;1)</f>
        <v>0</v>
      </c>
      <c r="N367" s="48" t="b">
        <f ca="1">IF(tblValidation[[#This Row],[TargetID]]="","",COUNTIF(tblStates[StateID],tblValidation[[#This Row],[TargetID]])&gt;1)</f>
        <v>0</v>
      </c>
      <c r="O367" s="48" t="b" cm="1">
        <f t="array" aca="1" ref="O3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7" s="48"/>
      <c r="R367" s="48"/>
      <c r="S367" s="48"/>
      <c r="T367" s="48"/>
      <c r="V367" s="2" t="str">
        <f ca="1"/>
        <v>quest.undead_revenge.finished</v>
      </c>
      <c r="X367" s="2" t="str">
        <f ca="1"/>
        <v>quest.undead_revenge.finished</v>
      </c>
      <c r="Y367" s="2" t="str">
        <f ca="1"/>
        <v>state.deliver_inarizushi_4b</v>
      </c>
      <c r="Z367" s="2" t="str">
        <f ca="1"/>
        <v>state.action_send_train_to_sapporo</v>
      </c>
      <c r="AA367" s="2" t="str">
        <f ca="1"/>
        <v>tech.alchemists_hut.potion_of_healing</v>
      </c>
      <c r="AD367" s="2" t="str">
        <f ca="1"/>
        <v>quest.undead_revenge.finished</v>
      </c>
    </row>
    <row r="368" spans="1:30">
      <c r="A368" t="str">
        <f t="shared" ca="1" si="10"/>
        <v>state.action_defeat_bone_dragon_4c</v>
      </c>
      <c r="B368" t="str">
        <f ca="1">_xlfn.XLOOKUP(tblValidation[[#This Row],[TargetID]],tblTargets[TargetID],tblTargets[TargetType],"")</f>
        <v>STATE</v>
      </c>
      <c r="C368" s="48" t="b">
        <f ca="1">COUNTIF(tblTargets[TargetID], $A368) &gt; 0</f>
        <v>1</v>
      </c>
      <c r="D368" s="48" t="b">
        <f ca="1">IF(OR(LEFT(tblValidation[[#This Row],[TargetID]],10)="state.CHAR",RIGHT(tblValidation[[#This Row],[TargetID]],5)="maxed"),TRUE, COUNTIF(tblChecklist[TargetID], $A368) &gt; 0)</f>
        <v>1</v>
      </c>
      <c r="E3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$A368) &gt; 0)</f>
        <v>1</v>
      </c>
      <c r="F368" s="48" t="b">
        <f ca="1">COUNTIF(tblDependencies[DependencyID], $A368) &gt; 0</f>
        <v>0</v>
      </c>
      <c r="G368" s="48" t="b">
        <f ca="1">COUNTIF(tblQuestObjectives[QuestTargetID], $A368) &gt; 0</f>
        <v>0</v>
      </c>
      <c r="H368" s="48" t="b">
        <f ca="1">COUNTIF(tblQuestObjectives[ObjectiveID], $A368) &gt; 0</f>
        <v>1</v>
      </c>
      <c r="I368" s="48" t="b">
        <f ca="1">COUNTIF(tblTargetStatus[TargetID], $A368) &gt; 0</f>
        <v>1</v>
      </c>
      <c r="J368" s="48" t="b">
        <f ca="1">COUNTIF(tblCost[TargetID], $A368) &gt; 0</f>
        <v>0</v>
      </c>
      <c r="K368" s="48" t="b">
        <f ca="1">COUNTIF(tblStates[StateID], $A368) &gt; 0</f>
        <v>1</v>
      </c>
      <c r="L368" s="48" t="b">
        <f t="shared" ca="1" si="11"/>
        <v>1</v>
      </c>
      <c r="M368" s="48" t="b">
        <f ca="1">IF(tblValidation[[#This Row],[TargetID]]="","",COUNTIF(tblTargets[TargetID],A368)&gt;1)</f>
        <v>0</v>
      </c>
      <c r="N368" s="48" t="b">
        <f ca="1">IF(tblValidation[[#This Row],[TargetID]]="","",COUNTIF(tblStates[StateID],tblValidation[[#This Row],[TargetID]])&gt;1)</f>
        <v>0</v>
      </c>
      <c r="O368" s="48" t="b" cm="1">
        <f t="array" aca="1" ref="O3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8" s="48"/>
      <c r="R368" s="48"/>
      <c r="S368" s="48"/>
      <c r="T368" s="48"/>
      <c r="V368" s="2" t="str">
        <f ca="1"/>
        <v>state.action_defeat_bone_dragon_4c</v>
      </c>
      <c r="X368" s="2" t="str">
        <f ca="1"/>
        <v>state.action_defeat_bone_dragon_4c</v>
      </c>
      <c r="Y368" s="2" t="str">
        <f ca="1"/>
        <v>state.deliver_pizza_diavola_ 5b</v>
      </c>
      <c r="Z368" s="2" t="str">
        <f ca="1"/>
        <v>state.action_tame_a_critter</v>
      </c>
      <c r="AA368" s="2" t="str">
        <f ca="1"/>
        <v>tech.alchemists_hut.potion_of_healing_lvl_2</v>
      </c>
      <c r="AD368" s="2" t="str">
        <f ca="1"/>
        <v>state.action_defeat_bone_dragon_4c</v>
      </c>
    </row>
    <row r="369" spans="1:30">
      <c r="A369" t="str">
        <f t="shared" ca="1" si="10"/>
        <v>state.action_reenter_guild</v>
      </c>
      <c r="B369" t="str">
        <f ca="1">_xlfn.XLOOKUP(tblValidation[[#This Row],[TargetID]],tblTargets[TargetID],tblTargets[TargetType],"")</f>
        <v>STATE</v>
      </c>
      <c r="C369" s="48" t="b">
        <f ca="1">COUNTIF(tblTargets[TargetID], $A369) &gt; 0</f>
        <v>1</v>
      </c>
      <c r="D369" s="48" t="b">
        <f ca="1">IF(OR(LEFT(tblValidation[[#This Row],[TargetID]],10)="state.CHAR",RIGHT(tblValidation[[#This Row],[TargetID]],5)="maxed"),TRUE, COUNTIF(tblChecklist[TargetID], $A369) &gt; 0)</f>
        <v>1</v>
      </c>
      <c r="E3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$A369) &gt; 0)</f>
        <v>1</v>
      </c>
      <c r="F369" s="48" t="b">
        <f ca="1">COUNTIF(tblDependencies[DependencyID], $A369) &gt; 0</f>
        <v>1</v>
      </c>
      <c r="G369" s="48" t="b">
        <f ca="1">COUNTIF(tblQuestObjectives[QuestTargetID], $A369) &gt; 0</f>
        <v>0</v>
      </c>
      <c r="H369" s="48" t="b">
        <f ca="1">COUNTIF(tblQuestObjectives[ObjectiveID], $A369) &gt; 0</f>
        <v>0</v>
      </c>
      <c r="I369" s="48" t="b">
        <f ca="1">COUNTIF(tblTargetStatus[TargetID], $A369) &gt; 0</f>
        <v>1</v>
      </c>
      <c r="J369" s="48" t="b">
        <f ca="1">COUNTIF(tblCost[TargetID], $A369) &gt; 0</f>
        <v>0</v>
      </c>
      <c r="K369" s="48" t="b">
        <f ca="1">COUNTIF(tblStates[StateID], $A369) &gt; 0</f>
        <v>1</v>
      </c>
      <c r="L369" s="48" t="b">
        <f t="shared" ca="1" si="11"/>
        <v>1</v>
      </c>
      <c r="M369" s="48" t="b">
        <f ca="1">IF(tblValidation[[#This Row],[TargetID]]="","",COUNTIF(tblTargets[TargetID],A369)&gt;1)</f>
        <v>0</v>
      </c>
      <c r="N369" s="48" t="b">
        <f ca="1">IF(tblValidation[[#This Row],[TargetID]]="","",COUNTIF(tblStates[StateID],tblValidation[[#This Row],[TargetID]])&gt;1)</f>
        <v>0</v>
      </c>
      <c r="O369" s="48" t="b" cm="1">
        <f t="array" aca="1" ref="O3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9" s="48"/>
      <c r="R369" s="48"/>
      <c r="S369" s="48"/>
      <c r="T369" s="48"/>
      <c r="V369" s="2" t="str">
        <f ca="1"/>
        <v>state.action_reenter_guild</v>
      </c>
      <c r="X369" s="2" t="str">
        <f ca="1"/>
        <v>state.action_reenter_guild</v>
      </c>
      <c r="Y369" s="2" t="str">
        <f ca="1"/>
        <v>state.deliver_pizza_diavola_ 5c</v>
      </c>
      <c r="Z369" s="2" t="str">
        <f ca="1"/>
        <v>state.complete_dungeon@1a</v>
      </c>
      <c r="AA369" s="2" t="str">
        <f ca="1"/>
        <v>tech.alchemists_hut.potion_of_mental_power</v>
      </c>
      <c r="AD369" s="2" t="str">
        <f ca="1"/>
        <v>state.action_reenter_guild</v>
      </c>
    </row>
    <row r="370" spans="1:30">
      <c r="A370" t="str">
        <f t="shared" ca="1" si="10"/>
        <v>state.action_send_train_to_sapporo</v>
      </c>
      <c r="B370" t="str">
        <f ca="1">_xlfn.XLOOKUP(tblValidation[[#This Row],[TargetID]],tblTargets[TargetID],tblTargets[TargetType],"")</f>
        <v>STATE</v>
      </c>
      <c r="C370" s="48" t="b">
        <f ca="1">COUNTIF(tblTargets[TargetID], $A370) &gt; 0</f>
        <v>1</v>
      </c>
      <c r="D370" s="48" t="b">
        <f ca="1">IF(OR(LEFT(tblValidation[[#This Row],[TargetID]],10)="state.CHAR",RIGHT(tblValidation[[#This Row],[TargetID]],5)="maxed"),TRUE, COUNTIF(tblChecklist[TargetID], $A370) &gt; 0)</f>
        <v>1</v>
      </c>
      <c r="E3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$A370) &gt; 0)</f>
        <v>1</v>
      </c>
      <c r="F370" s="48" t="b">
        <f ca="1">COUNTIF(tblDependencies[DependencyID], $A370) &gt; 0</f>
        <v>1</v>
      </c>
      <c r="G370" s="48" t="b">
        <f ca="1">COUNTIF(tblQuestObjectives[QuestTargetID], $A370) &gt; 0</f>
        <v>0</v>
      </c>
      <c r="H370" s="48" t="b">
        <f ca="1">COUNTIF(tblQuestObjectives[ObjectiveID], $A370) &gt; 0</f>
        <v>1</v>
      </c>
      <c r="I370" s="48" t="b">
        <f ca="1">COUNTIF(tblTargetStatus[TargetID], $A370) &gt; 0</f>
        <v>1</v>
      </c>
      <c r="J370" s="48" t="b">
        <f ca="1">COUNTIF(tblCost[TargetID], $A370) &gt; 0</f>
        <v>0</v>
      </c>
      <c r="K370" s="48" t="b">
        <f ca="1">COUNTIF(tblStates[StateID], $A370) &gt; 0</f>
        <v>1</v>
      </c>
      <c r="L370" s="48" t="b">
        <f t="shared" ca="1" si="11"/>
        <v>1</v>
      </c>
      <c r="M370" s="48" t="b">
        <f ca="1">IF(tblValidation[[#This Row],[TargetID]]="","",COUNTIF(tblTargets[TargetID],A370)&gt;1)</f>
        <v>0</v>
      </c>
      <c r="N370" s="48" t="b">
        <f ca="1">IF(tblValidation[[#This Row],[TargetID]]="","",COUNTIF(tblStates[StateID],tblValidation[[#This Row],[TargetID]])&gt;1)</f>
        <v>0</v>
      </c>
      <c r="O370" s="48" t="b" cm="1">
        <f t="array" aca="1" ref="O3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0" s="48"/>
      <c r="R370" s="48"/>
      <c r="S370" s="48"/>
      <c r="T370" s="48"/>
      <c r="V370" s="2" t="str">
        <f ca="1"/>
        <v>state.action_send_train_to_sapporo</v>
      </c>
      <c r="X370" s="2" t="str">
        <f ca="1"/>
        <v>state.action_send_train_to_sapporo</v>
      </c>
      <c r="Y370" s="2" t="str">
        <f ca="1"/>
        <v>state.deliver_porcini_pasta_ 3c</v>
      </c>
      <c r="Z370" s="2" t="str">
        <f ca="1"/>
        <v>state.complete_dungeon@6D</v>
      </c>
      <c r="AA370" s="2" t="str">
        <f ca="1"/>
        <v>tech.alchemists_hut.synthetic_fertilizer</v>
      </c>
      <c r="AD370" s="2" t="str">
        <f ca="1"/>
        <v>state.action_send_train_to_sapporo</v>
      </c>
    </row>
    <row r="371" spans="1:30">
      <c r="A371" t="str">
        <f t="shared" ca="1" si="10"/>
        <v>state.action_tame_a_critter</v>
      </c>
      <c r="B371" t="str">
        <f ca="1">_xlfn.XLOOKUP(tblValidation[[#This Row],[TargetID]],tblTargets[TargetID],tblTargets[TargetType],"")</f>
        <v>STATE</v>
      </c>
      <c r="C371" s="48" t="b">
        <f ca="1">COUNTIF(tblTargets[TargetID], $A371) &gt; 0</f>
        <v>1</v>
      </c>
      <c r="D371" s="48" t="b">
        <f ca="1">IF(OR(LEFT(tblValidation[[#This Row],[TargetID]],10)="state.CHAR",RIGHT(tblValidation[[#This Row],[TargetID]],5)="maxed"),TRUE, COUNTIF(tblChecklist[TargetID], $A371) &gt; 0)</f>
        <v>1</v>
      </c>
      <c r="E3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$A371) &gt; 0)</f>
        <v>1</v>
      </c>
      <c r="F371" s="48" t="b">
        <f ca="1">COUNTIF(tblDependencies[DependencyID], $A371) &gt; 0</f>
        <v>1</v>
      </c>
      <c r="G371" s="48" t="b">
        <f ca="1">COUNTIF(tblQuestObjectives[QuestTargetID], $A371) &gt; 0</f>
        <v>0</v>
      </c>
      <c r="H371" s="48" t="b">
        <f ca="1">COUNTIF(tblQuestObjectives[ObjectiveID], $A371) &gt; 0</f>
        <v>0</v>
      </c>
      <c r="I371" s="48" t="b">
        <f ca="1">COUNTIF(tblTargetStatus[TargetID], $A371) &gt; 0</f>
        <v>1</v>
      </c>
      <c r="J371" s="48" t="b">
        <f ca="1">COUNTIF(tblCost[TargetID], $A371) &gt; 0</f>
        <v>0</v>
      </c>
      <c r="K371" s="48" t="b">
        <f ca="1">COUNTIF(tblStates[StateID], $A371) &gt; 0</f>
        <v>1</v>
      </c>
      <c r="L371" s="48" t="b">
        <f t="shared" ca="1" si="11"/>
        <v>1</v>
      </c>
      <c r="M371" s="48" t="b">
        <f ca="1">IF(tblValidation[[#This Row],[TargetID]]="","",COUNTIF(tblTargets[TargetID],A371)&gt;1)</f>
        <v>0</v>
      </c>
      <c r="N371" s="48" t="b">
        <f ca="1">IF(tblValidation[[#This Row],[TargetID]]="","",COUNTIF(tblStates[StateID],tblValidation[[#This Row],[TargetID]])&gt;1)</f>
        <v>0</v>
      </c>
      <c r="O371" s="48" t="b" cm="1">
        <f t="array" aca="1" ref="O3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1" s="48"/>
      <c r="R371" s="48"/>
      <c r="S371" s="48"/>
      <c r="T371" s="48"/>
      <c r="V371" s="2" t="str">
        <f ca="1"/>
        <v>state.action_tame_a_critter</v>
      </c>
      <c r="X371" s="2" t="str">
        <f ca="1"/>
        <v>state.action_tame_a_critter</v>
      </c>
      <c r="Y371" s="2" t="str">
        <f ca="1"/>
        <v>state.deliver_potion_ambrosia_ 3b</v>
      </c>
      <c r="Z371" s="2" t="str">
        <f ca="1"/>
        <v>state.complete_dungeon_5c</v>
      </c>
      <c r="AA371" s="2" t="str">
        <f ca="1"/>
        <v>tech.dairy.classical_music_for_the_farm</v>
      </c>
      <c r="AD371" s="2" t="str">
        <f ca="1"/>
        <v>state.action_tame_a_critter</v>
      </c>
    </row>
    <row r="372" spans="1:30">
      <c r="A372" t="str">
        <f t="shared" ca="1" si="10"/>
        <v>state.character_cartographer@1</v>
      </c>
      <c r="B372" t="str">
        <f ca="1">_xlfn.XLOOKUP(tblValidation[[#This Row],[TargetID]],tblTargets[TargetID],tblTargets[TargetType],"")</f>
        <v>STATE</v>
      </c>
      <c r="C372" s="48" t="b">
        <f ca="1">COUNTIF(tblTargets[TargetID], $A372) &gt; 0</f>
        <v>1</v>
      </c>
      <c r="D372" s="48" t="b">
        <f ca="1">IF(OR(LEFT(tblValidation[[#This Row],[TargetID]],10)="state.CHAR",RIGHT(tblValidation[[#This Row],[TargetID]],5)="maxed"),TRUE, COUNTIF(tblChecklist[TargetID], $A372) &gt; 0)</f>
        <v>1</v>
      </c>
      <c r="E3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$A372) &gt; 0)</f>
        <v>1</v>
      </c>
      <c r="F372" s="48" t="b">
        <f ca="1">COUNTIF(tblDependencies[DependencyID], $A372) &gt; 0</f>
        <v>0</v>
      </c>
      <c r="G372" s="48" t="b">
        <f ca="1">COUNTIF(tblQuestObjectives[QuestTargetID], $A372) &gt; 0</f>
        <v>0</v>
      </c>
      <c r="H372" s="48" t="b">
        <f ca="1">COUNTIF(tblQuestObjectives[ObjectiveID], $A372) &gt; 0</f>
        <v>0</v>
      </c>
      <c r="I372" s="48" t="b">
        <f ca="1">COUNTIF(tblTargetStatus[TargetID], $A372) &gt; 0</f>
        <v>1</v>
      </c>
      <c r="J372" s="48" t="b">
        <f ca="1">COUNTIF(tblCost[TargetID], $A372) &gt; 0</f>
        <v>0</v>
      </c>
      <c r="K372" s="48" t="b">
        <f ca="1">COUNTIF(tblStates[StateID], $A372) &gt; 0</f>
        <v>0</v>
      </c>
      <c r="L372" s="48" t="b">
        <f t="shared" ca="1" si="11"/>
        <v>1</v>
      </c>
      <c r="M372" s="48" t="b">
        <f ca="1">IF(tblValidation[[#This Row],[TargetID]]="","",COUNTIF(tblTargets[TargetID],A372)&gt;1)</f>
        <v>0</v>
      </c>
      <c r="N372" s="48" t="b">
        <f ca="1">IF(tblValidation[[#This Row],[TargetID]]="","",COUNTIF(tblStates[StateID],tblValidation[[#This Row],[TargetID]])&gt;1)</f>
        <v>0</v>
      </c>
      <c r="O372" s="48" t="b" cm="1">
        <f t="array" aca="1" ref="O3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2" s="48"/>
      <c r="R372" s="48"/>
      <c r="S372" s="48"/>
      <c r="T372" s="48"/>
      <c r="V372" s="2" t="str">
        <f ca="1"/>
        <v>state.character_cartographer@1</v>
      </c>
      <c r="X372" s="2" t="str">
        <f ca="1"/>
        <v>state.character_cartographer@1</v>
      </c>
      <c r="Y372" s="2" t="str">
        <f ca="1"/>
        <v>state.deliver_potion_berserker_rage_ 1c</v>
      </c>
      <c r="Z372" s="2" t="str">
        <f ca="1"/>
        <v>state.complete_dungeon_5c_second</v>
      </c>
      <c r="AA372" s="2" t="str">
        <f ca="1"/>
        <v>tech.dungeon.great_hall</v>
      </c>
      <c r="AD372" s="2" t="str">
        <f ca="1"/>
        <v>state.character_cartographer@1</v>
      </c>
    </row>
    <row r="373" spans="1:30">
      <c r="A373" t="str">
        <f t="shared" ca="1" si="10"/>
        <v>state.character_cartographer@2</v>
      </c>
      <c r="B373" t="str">
        <f ca="1">_xlfn.XLOOKUP(tblValidation[[#This Row],[TargetID]],tblTargets[TargetID],tblTargets[TargetType],"")</f>
        <v>STATE</v>
      </c>
      <c r="C373" s="48" t="b">
        <f ca="1">COUNTIF(tblTargets[TargetID], $A373) &gt; 0</f>
        <v>1</v>
      </c>
      <c r="D373" s="48" t="b">
        <f ca="1">IF(OR(LEFT(tblValidation[[#This Row],[TargetID]],10)="state.CHAR",RIGHT(tblValidation[[#This Row],[TargetID]],5)="maxed"),TRUE, COUNTIF(tblChecklist[TargetID], $A373) &gt; 0)</f>
        <v>1</v>
      </c>
      <c r="E3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$A373) &gt; 0)</f>
        <v>1</v>
      </c>
      <c r="F373" s="48" t="b">
        <f ca="1">COUNTIF(tblDependencies[DependencyID], $A373) &gt; 0</f>
        <v>0</v>
      </c>
      <c r="G373" s="48" t="b">
        <f ca="1">COUNTIF(tblQuestObjectives[QuestTargetID], $A373) &gt; 0</f>
        <v>0</v>
      </c>
      <c r="H373" s="48" t="b">
        <f ca="1">COUNTIF(tblQuestObjectives[ObjectiveID], $A373) &gt; 0</f>
        <v>1</v>
      </c>
      <c r="I373" s="48" t="b">
        <f ca="1">COUNTIF(tblTargetStatus[TargetID], $A373) &gt; 0</f>
        <v>1</v>
      </c>
      <c r="J373" s="48" t="b">
        <f ca="1">COUNTIF(tblCost[TargetID], $A373) &gt; 0</f>
        <v>0</v>
      </c>
      <c r="K373" s="48" t="b">
        <f ca="1">COUNTIF(tblStates[StateID], $A373) &gt; 0</f>
        <v>1</v>
      </c>
      <c r="L373" s="48" t="b">
        <f t="shared" ca="1" si="11"/>
        <v>1</v>
      </c>
      <c r="M373" s="48" t="b">
        <f ca="1">IF(tblValidation[[#This Row],[TargetID]]="","",COUNTIF(tblTargets[TargetID],A373)&gt;1)</f>
        <v>0</v>
      </c>
      <c r="N373" s="48" t="b">
        <f ca="1">IF(tblValidation[[#This Row],[TargetID]]="","",COUNTIF(tblStates[StateID],tblValidation[[#This Row],[TargetID]])&gt;1)</f>
        <v>0</v>
      </c>
      <c r="O373" s="48" t="b" cm="1">
        <f t="array" aca="1" ref="O3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3" s="48"/>
      <c r="R373" s="48"/>
      <c r="S373" s="48"/>
      <c r="T373" s="48"/>
      <c r="V373" s="2" t="str">
        <f ca="1"/>
        <v>state.character_cartographer@2</v>
      </c>
      <c r="X373" s="2" t="str">
        <f ca="1"/>
        <v>state.character_cartographer@2</v>
      </c>
      <c r="Y373" s="2" t="str">
        <f ca="1"/>
        <v>state.deliver_potion_mental_power@f2</v>
      </c>
      <c r="Z373" s="2" t="str">
        <f ca="1"/>
        <v>state.complete_dungeon_6c</v>
      </c>
      <c r="AA373" s="2" t="str">
        <f ca="1"/>
        <v>tech.field.seed_drill</v>
      </c>
      <c r="AD373" s="2" t="str">
        <f ca="1"/>
        <v>state.character_cartographer@2</v>
      </c>
    </row>
    <row r="374" spans="1:30">
      <c r="A374" t="str">
        <f t="shared" ca="1" si="10"/>
        <v>state.character_cartographer@3</v>
      </c>
      <c r="B374" t="str">
        <f ca="1">_xlfn.XLOOKUP(tblValidation[[#This Row],[TargetID]],tblTargets[TargetID],tblTargets[TargetType],"")</f>
        <v>STATE</v>
      </c>
      <c r="C374" s="48" t="b">
        <f ca="1">COUNTIF(tblTargets[TargetID], $A374) &gt; 0</f>
        <v>1</v>
      </c>
      <c r="D374" s="48" t="b">
        <f ca="1">IF(OR(LEFT(tblValidation[[#This Row],[TargetID]],10)="state.CHAR",RIGHT(tblValidation[[#This Row],[TargetID]],5)="maxed"),TRUE, COUNTIF(tblChecklist[TargetID], $A374) &gt; 0)</f>
        <v>1</v>
      </c>
      <c r="E3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$A374) &gt; 0)</f>
        <v>1</v>
      </c>
      <c r="F374" s="48" t="b">
        <f ca="1">COUNTIF(tblDependencies[DependencyID], $A374) &gt; 0</f>
        <v>0</v>
      </c>
      <c r="G374" s="48" t="b">
        <f ca="1">COUNTIF(tblQuestObjectives[QuestTargetID], $A374) &gt; 0</f>
        <v>0</v>
      </c>
      <c r="H374" s="48" t="b">
        <f ca="1">COUNTIF(tblQuestObjectives[ObjectiveID], $A374) &gt; 0</f>
        <v>0</v>
      </c>
      <c r="I374" s="48" t="b">
        <f ca="1">COUNTIF(tblTargetStatus[TargetID], $A374) &gt; 0</f>
        <v>1</v>
      </c>
      <c r="J374" s="48" t="b">
        <f ca="1">COUNTIF(tblCost[TargetID], $A374) &gt; 0</f>
        <v>0</v>
      </c>
      <c r="K374" s="48" t="b">
        <f ca="1">COUNTIF(tblStates[StateID], $A374) &gt; 0</f>
        <v>0</v>
      </c>
      <c r="L374" s="48" t="b">
        <f t="shared" ca="1" si="11"/>
        <v>1</v>
      </c>
      <c r="M374" s="48" t="b">
        <f ca="1">IF(tblValidation[[#This Row],[TargetID]]="","",COUNTIF(tblTargets[TargetID],A374)&gt;1)</f>
        <v>0</v>
      </c>
      <c r="N374" s="48" t="b">
        <f ca="1">IF(tblValidation[[#This Row],[TargetID]]="","",COUNTIF(tblStates[StateID],tblValidation[[#This Row],[TargetID]])&gt;1)</f>
        <v>0</v>
      </c>
      <c r="O374" s="48" t="b" cm="1">
        <f t="array" aca="1" ref="O3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4" s="48"/>
      <c r="R374" s="48"/>
      <c r="S374" s="48"/>
      <c r="T374" s="48"/>
      <c r="V374" s="2" t="str">
        <f ca="1"/>
        <v>state.character_cartographer@3</v>
      </c>
      <c r="X374" s="2" t="str">
        <f ca="1"/>
        <v>state.character_cartographer@3</v>
      </c>
      <c r="Y374" s="2" t="str">
        <f ca="1"/>
        <v>state.deliver_ring</v>
      </c>
      <c r="Z374" s="2" t="str">
        <f ca="1"/>
        <v>state.complete_f1_first_time</v>
      </c>
      <c r="AA374" s="2" t="str">
        <f ca="1"/>
        <v>tech.furnace.titanium_parts</v>
      </c>
      <c r="AD374" s="2" t="str">
        <f ca="1"/>
        <v>state.character_cartographer@3</v>
      </c>
    </row>
    <row r="375" spans="1:30">
      <c r="A375" t="str">
        <f t="shared" ca="1" si="10"/>
        <v>state.character_cartographer@4</v>
      </c>
      <c r="B375" t="str">
        <f ca="1">_xlfn.XLOOKUP(tblValidation[[#This Row],[TargetID]],tblTargets[TargetID],tblTargets[TargetType],"")</f>
        <v>STATE</v>
      </c>
      <c r="C375" s="48" t="b">
        <f ca="1">COUNTIF(tblTargets[TargetID], $A375) &gt; 0</f>
        <v>1</v>
      </c>
      <c r="D375" s="48" t="b">
        <f ca="1">IF(OR(LEFT(tblValidation[[#This Row],[TargetID]],10)="state.CHAR",RIGHT(tblValidation[[#This Row],[TargetID]],5)="maxed"),TRUE, COUNTIF(tblChecklist[TargetID], $A375) &gt; 0)</f>
        <v>1</v>
      </c>
      <c r="E3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$A375) &gt; 0)</f>
        <v>1</v>
      </c>
      <c r="F375" s="48" t="b">
        <f ca="1">COUNTIF(tblDependencies[DependencyID], $A375) &gt; 0</f>
        <v>0</v>
      </c>
      <c r="G375" s="48" t="b">
        <f ca="1">COUNTIF(tblQuestObjectives[QuestTargetID], $A375) &gt; 0</f>
        <v>0</v>
      </c>
      <c r="H375" s="48" t="b">
        <f ca="1">COUNTIF(tblQuestObjectives[ObjectiveID], $A375) &gt; 0</f>
        <v>1</v>
      </c>
      <c r="I375" s="48" t="b">
        <f ca="1">COUNTIF(tblTargetStatus[TargetID], $A375) &gt; 0</f>
        <v>1</v>
      </c>
      <c r="J375" s="48" t="b">
        <f ca="1">COUNTIF(tblCost[TargetID], $A375) &gt; 0</f>
        <v>0</v>
      </c>
      <c r="K375" s="48" t="b">
        <f ca="1">COUNTIF(tblStates[StateID], $A375) &gt; 0</f>
        <v>1</v>
      </c>
      <c r="L375" s="48" t="b">
        <f t="shared" ca="1" si="11"/>
        <v>1</v>
      </c>
      <c r="M375" s="48" t="b">
        <f ca="1">IF(tblValidation[[#This Row],[TargetID]]="","",COUNTIF(tblTargets[TargetID],A375)&gt;1)</f>
        <v>0</v>
      </c>
      <c r="N375" s="48" t="b">
        <f ca="1">IF(tblValidation[[#This Row],[TargetID]]="","",COUNTIF(tblStates[StateID],tblValidation[[#This Row],[TargetID]])&gt;1)</f>
        <v>0</v>
      </c>
      <c r="O375" s="48" t="b" cm="1">
        <f t="array" aca="1" ref="O3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5" s="48"/>
      <c r="R375" s="48"/>
      <c r="S375" s="48"/>
      <c r="T375" s="48"/>
      <c r="V375" s="2" t="str">
        <f ca="1"/>
        <v>state.character_cartographer@4</v>
      </c>
      <c r="X375" s="2" t="str">
        <f ca="1"/>
        <v>state.character_cartographer@4</v>
      </c>
      <c r="Y375" s="2" t="str">
        <f ca="1"/>
        <v>state.deliver_teriyaki_salmon_4c</v>
      </c>
      <c r="Z375" s="2" t="str">
        <f ca="1"/>
        <v>state.complete_f1_with_diligence</v>
      </c>
      <c r="AA375" s="2" t="str">
        <f ca="1"/>
        <v>tech.laboratory.research_and_development</v>
      </c>
      <c r="AD375" s="2" t="str">
        <f ca="1"/>
        <v>state.character_cartographer@4</v>
      </c>
    </row>
    <row r="376" spans="1:30">
      <c r="A376" t="str">
        <f t="shared" ca="1" si="10"/>
        <v>state.character_cooking@1</v>
      </c>
      <c r="B376" t="str">
        <f ca="1">_xlfn.XLOOKUP(tblValidation[[#This Row],[TargetID]],tblTargets[TargetID],tblTargets[TargetType],"")</f>
        <v>STATE</v>
      </c>
      <c r="C376" s="48" t="b">
        <f ca="1">COUNTIF(tblTargets[TargetID], $A376) &gt; 0</f>
        <v>1</v>
      </c>
      <c r="D376" s="48" t="b">
        <f ca="1">IF(OR(LEFT(tblValidation[[#This Row],[TargetID]],10)="state.CHAR",RIGHT(tblValidation[[#This Row],[TargetID]],5)="maxed"),TRUE, COUNTIF(tblChecklist[TargetID], $A376) &gt; 0)</f>
        <v>1</v>
      </c>
      <c r="E3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$A376) &gt; 0)</f>
        <v>1</v>
      </c>
      <c r="F376" s="48" t="b">
        <f ca="1">COUNTIF(tblDependencies[DependencyID], $A376) &gt; 0</f>
        <v>0</v>
      </c>
      <c r="G376" s="48" t="b">
        <f ca="1">COUNTIF(tblQuestObjectives[QuestTargetID], $A376) &gt; 0</f>
        <v>0</v>
      </c>
      <c r="H376" s="48" t="b">
        <f ca="1">COUNTIF(tblQuestObjectives[ObjectiveID], $A376) &gt; 0</f>
        <v>0</v>
      </c>
      <c r="I376" s="48" t="b">
        <f ca="1">COUNTIF(tblTargetStatus[TargetID], $A376) &gt; 0</f>
        <v>1</v>
      </c>
      <c r="J376" s="48" t="b">
        <f ca="1">COUNTIF(tblCost[TargetID], $A376) &gt; 0</f>
        <v>0</v>
      </c>
      <c r="K376" s="48" t="b">
        <f ca="1">COUNTIF(tblStates[StateID], $A376) &gt; 0</f>
        <v>0</v>
      </c>
      <c r="L376" s="48" t="b">
        <f t="shared" ca="1" si="11"/>
        <v>1</v>
      </c>
      <c r="M376" s="48" t="b">
        <f ca="1">IF(tblValidation[[#This Row],[TargetID]]="","",COUNTIF(tblTargets[TargetID],A376)&gt;1)</f>
        <v>0</v>
      </c>
      <c r="N376" s="48" t="b">
        <f ca="1">IF(tblValidation[[#This Row],[TargetID]]="","",COUNTIF(tblStates[StateID],tblValidation[[#This Row],[TargetID]])&gt;1)</f>
        <v>0</v>
      </c>
      <c r="O376" s="48" t="b" cm="1">
        <f t="array" aca="1" ref="O3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6" s="48"/>
      <c r="R376" s="48"/>
      <c r="S376" s="48"/>
      <c r="T376" s="48"/>
      <c r="V376" s="2" t="str">
        <f ca="1"/>
        <v>state.character_cooking@1</v>
      </c>
      <c r="X376" s="2" t="str">
        <f ca="1"/>
        <v>state.character_cooking@1</v>
      </c>
      <c r="Y376" s="2" t="str">
        <f ca="1"/>
        <v>state.deliver_tofu_4a</v>
      </c>
      <c r="Z376" s="2" t="str">
        <f ca="1"/>
        <v>state.complete_f2_with_diligence</v>
      </c>
      <c r="AA376" s="2" t="str">
        <f ca="1"/>
        <v>tech.outpost.arsenal_lvl_1</v>
      </c>
      <c r="AD376" s="2" t="str">
        <f ca="1"/>
        <v>state.character_cooking@1</v>
      </c>
    </row>
    <row r="377" spans="1:30">
      <c r="A377" t="str">
        <f t="shared" ca="1" si="10"/>
        <v>state.character_cooking@12</v>
      </c>
      <c r="B377" t="str">
        <f ca="1">_xlfn.XLOOKUP(tblValidation[[#This Row],[TargetID]],tblTargets[TargetID],tblTargets[TargetType],"")</f>
        <v>STATE</v>
      </c>
      <c r="C377" s="48" t="b">
        <f ca="1">COUNTIF(tblTargets[TargetID], $A377) &gt; 0</f>
        <v>1</v>
      </c>
      <c r="D377" s="48" t="b">
        <f ca="1">IF(OR(LEFT(tblValidation[[#This Row],[TargetID]],10)="state.CHAR",RIGHT(tblValidation[[#This Row],[TargetID]],5)="maxed"),TRUE, COUNTIF(tblChecklist[TargetID], $A377) &gt; 0)</f>
        <v>1</v>
      </c>
      <c r="E3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$A377) &gt; 0)</f>
        <v>1</v>
      </c>
      <c r="F377" s="48" t="b">
        <f ca="1">COUNTIF(tblDependencies[DependencyID], $A377) &gt; 0</f>
        <v>0</v>
      </c>
      <c r="G377" s="48" t="b">
        <f ca="1">COUNTIF(tblQuestObjectives[QuestTargetID], $A377) &gt; 0</f>
        <v>0</v>
      </c>
      <c r="H377" s="48" t="b">
        <f ca="1">COUNTIF(tblQuestObjectives[ObjectiveID], $A377) &gt; 0</f>
        <v>0</v>
      </c>
      <c r="I377" s="48" t="b">
        <f ca="1">COUNTIF(tblTargetStatus[TargetID], $A377) &gt; 0</f>
        <v>1</v>
      </c>
      <c r="J377" s="48" t="b">
        <f ca="1">COUNTIF(tblCost[TargetID], $A377) &gt; 0</f>
        <v>0</v>
      </c>
      <c r="K377" s="48" t="b">
        <f ca="1">COUNTIF(tblStates[StateID], $A377) &gt; 0</f>
        <v>0</v>
      </c>
      <c r="L377" s="48" t="b">
        <f t="shared" ca="1" si="11"/>
        <v>1</v>
      </c>
      <c r="M377" s="48" t="b">
        <f ca="1">IF(tblValidation[[#This Row],[TargetID]]="","",COUNTIF(tblTargets[TargetID],A377)&gt;1)</f>
        <v>0</v>
      </c>
      <c r="N377" s="48" t="b">
        <f ca="1">IF(tblValidation[[#This Row],[TargetID]]="","",COUNTIF(tblStates[StateID],tblValidation[[#This Row],[TargetID]])&gt;1)</f>
        <v>0</v>
      </c>
      <c r="O377" s="48" t="b" cm="1">
        <f t="array" aca="1" ref="O3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7" s="48"/>
      <c r="R377" s="48"/>
      <c r="S377" s="48"/>
      <c r="T377" s="48"/>
      <c r="V377" s="2" t="str">
        <f ca="1"/>
        <v>state.character_cooking@12</v>
      </c>
      <c r="X377" s="2" t="str">
        <f ca="1"/>
        <v>state.character_cooking@12</v>
      </c>
      <c r="Y377" s="2" t="str">
        <f ca="1"/>
        <v>state.deliver_yuba_4c</v>
      </c>
      <c r="Z377" s="2" t="str">
        <f ca="1"/>
        <v>state.complete_f3_with_diligence</v>
      </c>
      <c r="AA377" s="2" t="str">
        <f ca="1"/>
        <v>tech.outpost.optional_contracts</v>
      </c>
      <c r="AD377" s="2" t="str">
        <f ca="1"/>
        <v>state.character_cooking@12</v>
      </c>
    </row>
    <row r="378" spans="1:30">
      <c r="A378" t="str">
        <f t="shared" ca="1" si="10"/>
        <v>state.character_cooking@13</v>
      </c>
      <c r="B378" t="str">
        <f ca="1">_xlfn.XLOOKUP(tblValidation[[#This Row],[TargetID]],tblTargets[TargetID],tblTargets[TargetType],"")</f>
        <v>STATE</v>
      </c>
      <c r="C378" s="48" t="b">
        <f ca="1">COUNTIF(tblTargets[TargetID], $A378) &gt; 0</f>
        <v>1</v>
      </c>
      <c r="D378" s="48" t="b">
        <f ca="1">IF(OR(LEFT(tblValidation[[#This Row],[TargetID]],10)="state.CHAR",RIGHT(tblValidation[[#This Row],[TargetID]],5)="maxed"),TRUE, COUNTIF(tblChecklist[TargetID], $A378) &gt; 0)</f>
        <v>1</v>
      </c>
      <c r="E3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$A378) &gt; 0)</f>
        <v>1</v>
      </c>
      <c r="F378" s="48" t="b">
        <f ca="1">COUNTIF(tblDependencies[DependencyID], $A378) &gt; 0</f>
        <v>1</v>
      </c>
      <c r="G378" s="48" t="b">
        <f ca="1">COUNTIF(tblQuestObjectives[QuestTargetID], $A378) &gt; 0</f>
        <v>0</v>
      </c>
      <c r="H378" s="48" t="b">
        <f ca="1">COUNTIF(tblQuestObjectives[ObjectiveID], $A378) &gt; 0</f>
        <v>1</v>
      </c>
      <c r="I378" s="48" t="b">
        <f ca="1">COUNTIF(tblTargetStatus[TargetID], $A378) &gt; 0</f>
        <v>1</v>
      </c>
      <c r="J378" s="48" t="b">
        <f ca="1">COUNTIF(tblCost[TargetID], $A378) &gt; 0</f>
        <v>0</v>
      </c>
      <c r="K378" s="48" t="b">
        <f ca="1">COUNTIF(tblStates[StateID], $A378) &gt; 0</f>
        <v>1</v>
      </c>
      <c r="L378" s="48" t="b">
        <f t="shared" ca="1" si="11"/>
        <v>1</v>
      </c>
      <c r="M378" s="48" t="b">
        <f ca="1">IF(tblValidation[[#This Row],[TargetID]]="","",COUNTIF(tblTargets[TargetID],A378)&gt;1)</f>
        <v>0</v>
      </c>
      <c r="N378" s="48" t="b">
        <f ca="1">IF(tblValidation[[#This Row],[TargetID]]="","",COUNTIF(tblStates[StateID],tblValidation[[#This Row],[TargetID]])&gt;1)</f>
        <v>0</v>
      </c>
      <c r="O378" s="48" t="b" cm="1">
        <f t="array" aca="1" ref="O3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8" s="48"/>
      <c r="R378" s="48"/>
      <c r="S378" s="48"/>
      <c r="T378" s="48"/>
      <c r="V378" s="2" t="str">
        <f ca="1"/>
        <v>state.character_cooking@13</v>
      </c>
      <c r="X378" s="2" t="str">
        <f ca="1"/>
        <v>state.character_cooking@13</v>
      </c>
      <c r="Y378" s="2" t="str">
        <f ca="1"/>
        <v>state.find_gate_3c</v>
      </c>
      <c r="Z378" s="2" t="str">
        <f ca="1"/>
        <v>state.complete_f4_with_diligence</v>
      </c>
      <c r="AA378" s="2" t="str">
        <f ca="1"/>
        <v>tech.smithy.sword_for_a_hero_lvl_1</v>
      </c>
      <c r="AD378" s="2" t="str">
        <f ca="1"/>
        <v>state.character_cooking@13</v>
      </c>
    </row>
    <row r="379" spans="1:30">
      <c r="A379" t="str">
        <f t="shared" ca="1" si="10"/>
        <v>state.character_cooking@2</v>
      </c>
      <c r="B379" t="str">
        <f ca="1">_xlfn.XLOOKUP(tblValidation[[#This Row],[TargetID]],tblTargets[TargetID],tblTargets[TargetType],"")</f>
        <v>STATE</v>
      </c>
      <c r="C379" s="48" t="b">
        <f ca="1">COUNTIF(tblTargets[TargetID], $A379) &gt; 0</f>
        <v>1</v>
      </c>
      <c r="D379" s="48" t="b">
        <f ca="1">IF(OR(LEFT(tblValidation[[#This Row],[TargetID]],10)="state.CHAR",RIGHT(tblValidation[[#This Row],[TargetID]],5)="maxed"),TRUE, COUNTIF(tblChecklist[TargetID], $A379) &gt; 0)</f>
        <v>1</v>
      </c>
      <c r="E3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$A379) &gt; 0)</f>
        <v>1</v>
      </c>
      <c r="F379" s="48" t="b">
        <f ca="1">COUNTIF(tblDependencies[DependencyID], $A379) &gt; 0</f>
        <v>0</v>
      </c>
      <c r="G379" s="48" t="b">
        <f ca="1">COUNTIF(tblQuestObjectives[QuestTargetID], $A379) &gt; 0</f>
        <v>0</v>
      </c>
      <c r="H379" s="48" t="b">
        <f ca="1">COUNTIF(tblQuestObjectives[ObjectiveID], $A379) &gt; 0</f>
        <v>1</v>
      </c>
      <c r="I379" s="48" t="b">
        <f ca="1">COUNTIF(tblTargetStatus[TargetID], $A379) &gt; 0</f>
        <v>1</v>
      </c>
      <c r="J379" s="48" t="b">
        <f ca="1">COUNTIF(tblCost[TargetID], $A379) &gt; 0</f>
        <v>0</v>
      </c>
      <c r="K379" s="48" t="b">
        <f ca="1">COUNTIF(tblStates[StateID], $A379) &gt; 0</f>
        <v>1</v>
      </c>
      <c r="L379" s="48" t="b">
        <f t="shared" ca="1" si="11"/>
        <v>1</v>
      </c>
      <c r="M379" s="48" t="b">
        <f ca="1">IF(tblValidation[[#This Row],[TargetID]]="","",COUNTIF(tblTargets[TargetID],A379)&gt;1)</f>
        <v>0</v>
      </c>
      <c r="N379" s="48" t="b">
        <f ca="1">IF(tblValidation[[#This Row],[TargetID]]="","",COUNTIF(tblStates[StateID],tblValidation[[#This Row],[TargetID]])&gt;1)</f>
        <v>0</v>
      </c>
      <c r="O379" s="48" t="b" cm="1">
        <f t="array" aca="1" ref="O3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9" s="48"/>
      <c r="R379" s="48"/>
      <c r="S379" s="48"/>
      <c r="T379" s="48"/>
      <c r="V379" s="2" t="str">
        <f ca="1"/>
        <v>state.character_cooking@2</v>
      </c>
      <c r="X379" s="2" t="str">
        <f ca="1"/>
        <v>state.character_cooking@2</v>
      </c>
      <c r="Y379" s="2" t="str">
        <f ca="1"/>
        <v>state.find_gate_4c</v>
      </c>
      <c r="Z379" s="2" t="str">
        <f ca="1"/>
        <v>state.complete_lvl1_any_project</v>
      </c>
      <c r="AA379" s="2" t="str">
        <f ca="1"/>
        <v>tech.smithy.sword_for_a_hero_lvl_2</v>
      </c>
      <c r="AD379" s="2" t="str">
        <f ca="1"/>
        <v>state.character_cooking@2</v>
      </c>
    </row>
    <row r="380" spans="1:30">
      <c r="A380" t="str">
        <f t="shared" ca="1" si="10"/>
        <v>state.character_cooking@3</v>
      </c>
      <c r="B380" t="str">
        <f ca="1">_xlfn.XLOOKUP(tblValidation[[#This Row],[TargetID]],tblTargets[TargetID],tblTargets[TargetType],"")</f>
        <v>STATE</v>
      </c>
      <c r="C380" s="48" t="b">
        <f ca="1">COUNTIF(tblTargets[TargetID], $A380) &gt; 0</f>
        <v>1</v>
      </c>
      <c r="D380" s="48" t="b">
        <f ca="1">IF(OR(LEFT(tblValidation[[#This Row],[TargetID]],10)="state.CHAR",RIGHT(tblValidation[[#This Row],[TargetID]],5)="maxed"),TRUE, COUNTIF(tblChecklist[TargetID], $A380) &gt; 0)</f>
        <v>1</v>
      </c>
      <c r="E3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$A380) &gt; 0)</f>
        <v>1</v>
      </c>
      <c r="F380" s="48" t="b">
        <f ca="1">COUNTIF(tblDependencies[DependencyID], $A380) &gt; 0</f>
        <v>0</v>
      </c>
      <c r="G380" s="48" t="b">
        <f ca="1">COUNTIF(tblQuestObjectives[QuestTargetID], $A380) &gt; 0</f>
        <v>0</v>
      </c>
      <c r="H380" s="48" t="b">
        <f ca="1">COUNTIF(tblQuestObjectives[ObjectiveID], $A380) &gt; 0</f>
        <v>1</v>
      </c>
      <c r="I380" s="48" t="b">
        <f ca="1">COUNTIF(tblTargetStatus[TargetID], $A380) &gt; 0</f>
        <v>1</v>
      </c>
      <c r="J380" s="48" t="b">
        <f ca="1">COUNTIF(tblCost[TargetID], $A380) &gt; 0</f>
        <v>0</v>
      </c>
      <c r="K380" s="48" t="b">
        <f ca="1">COUNTIF(tblStates[StateID], $A380) &gt; 0</f>
        <v>1</v>
      </c>
      <c r="L380" s="48" t="b">
        <f t="shared" ca="1" si="11"/>
        <v>1</v>
      </c>
      <c r="M380" s="48" t="b">
        <f ca="1">IF(tblValidation[[#This Row],[TargetID]]="","",COUNTIF(tblTargets[TargetID],A380)&gt;1)</f>
        <v>0</v>
      </c>
      <c r="N380" s="48" t="b">
        <f ca="1">IF(tblValidation[[#This Row],[TargetID]]="","",COUNTIF(tblStates[StateID],tblValidation[[#This Row],[TargetID]])&gt;1)</f>
        <v>0</v>
      </c>
      <c r="O380" s="48" t="b" cm="1">
        <f t="array" aca="1" ref="O3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0" s="48"/>
      <c r="R380" s="48"/>
      <c r="S380" s="48"/>
      <c r="T380" s="48"/>
      <c r="V380" s="2" t="str">
        <f ca="1"/>
        <v>state.character_cooking@3</v>
      </c>
      <c r="X380" s="2" t="str">
        <f ca="1"/>
        <v>state.character_cooking@3</v>
      </c>
      <c r="Y380" s="2" t="str">
        <f ca="1"/>
        <v>state.find_gate_5c</v>
      </c>
      <c r="Z380" s="2" t="str">
        <f ca="1"/>
        <v>state.deliver_ambrosia@f3</v>
      </c>
      <c r="AA380" s="2" t="str">
        <f ca="1"/>
        <v>tech.smithy.sword_for_a_hero_lvl_3</v>
      </c>
      <c r="AD380" s="2" t="str">
        <f ca="1"/>
        <v>state.character_cooking@3</v>
      </c>
    </row>
    <row r="381" spans="1:30">
      <c r="A381" t="str">
        <f t="shared" ca="1" si="10"/>
        <v>state.character_level@10</v>
      </c>
      <c r="B381" t="str">
        <f ca="1">_xlfn.XLOOKUP(tblValidation[[#This Row],[TargetID]],tblTargets[TargetID],tblTargets[TargetType],"")</f>
        <v>STATE</v>
      </c>
      <c r="C381" s="48" t="b">
        <f ca="1">COUNTIF(tblTargets[TargetID], $A381) &gt; 0</f>
        <v>1</v>
      </c>
      <c r="D381" s="48" t="b">
        <f ca="1">IF(OR(LEFT(tblValidation[[#This Row],[TargetID]],10)="state.CHAR",RIGHT(tblValidation[[#This Row],[TargetID]],5)="maxed"),TRUE, COUNTIF(tblChecklist[TargetID], $A381) &gt; 0)</f>
        <v>1</v>
      </c>
      <c r="E3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$A381) &gt; 0)</f>
        <v>1</v>
      </c>
      <c r="F381" s="48" t="b">
        <f ca="1">COUNTIF(tblDependencies[DependencyID], $A381) &gt; 0</f>
        <v>1</v>
      </c>
      <c r="G381" s="48" t="b">
        <f ca="1">COUNTIF(tblQuestObjectives[QuestTargetID], $A381) &gt; 0</f>
        <v>0</v>
      </c>
      <c r="H381" s="48" t="b">
        <f ca="1">COUNTIF(tblQuestObjectives[ObjectiveID], $A381) &gt; 0</f>
        <v>0</v>
      </c>
      <c r="I381" s="48" t="b">
        <f ca="1">COUNTIF(tblTargetStatus[TargetID], $A381) &gt; 0</f>
        <v>1</v>
      </c>
      <c r="J381" s="48" t="b">
        <f ca="1">COUNTIF(tblCost[TargetID], $A381) &gt; 0</f>
        <v>0</v>
      </c>
      <c r="K381" s="48" t="b">
        <f ca="1">COUNTIF(tblStates[StateID], $A381) &gt; 0</f>
        <v>1</v>
      </c>
      <c r="L381" s="48" t="b">
        <f t="shared" ca="1" si="11"/>
        <v>1</v>
      </c>
      <c r="M381" s="48" t="b">
        <f ca="1">IF(tblValidation[[#This Row],[TargetID]]="","",COUNTIF(tblTargets[TargetID],A381)&gt;1)</f>
        <v>0</v>
      </c>
      <c r="N381" s="48" t="b">
        <f ca="1">IF(tblValidation[[#This Row],[TargetID]]="","",COUNTIF(tblStates[StateID],tblValidation[[#This Row],[TargetID]])&gt;1)</f>
        <v>0</v>
      </c>
      <c r="O381" s="48" t="b" cm="1">
        <f t="array" aca="1" ref="O3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1" s="48"/>
      <c r="R381" s="48"/>
      <c r="S381" s="48"/>
      <c r="T381" s="48"/>
      <c r="V381" s="2" t="str">
        <f ca="1"/>
        <v>state.character_level@10</v>
      </c>
      <c r="X381" s="2" t="str">
        <f ca="1"/>
        <v>state.character_level@10</v>
      </c>
      <c r="Y381" s="2" t="str">
        <f ca="1"/>
        <v>state.find_goat_6b</v>
      </c>
      <c r="Z381" s="2" t="str">
        <f ca="1"/>
        <v>state.deliver_balm_to_hunter@f2</v>
      </c>
      <c r="AA381" s="2" t="str">
        <f ca="1"/>
        <v>tech.smithy.sword_for_a_hero_lvl_4</v>
      </c>
      <c r="AD381" s="2" t="str">
        <f ca="1"/>
        <v>state.character_level@10</v>
      </c>
    </row>
    <row r="382" spans="1:30">
      <c r="A382" t="str">
        <f t="shared" ca="1" si="10"/>
        <v>state.character_level@11</v>
      </c>
      <c r="B382" t="str">
        <f ca="1">_xlfn.XLOOKUP(tblValidation[[#This Row],[TargetID]],tblTargets[TargetID],tblTargets[TargetType],"")</f>
        <v>STATE</v>
      </c>
      <c r="C382" s="48" t="b">
        <f ca="1">COUNTIF(tblTargets[TargetID], $A382) &gt; 0</f>
        <v>1</v>
      </c>
      <c r="D382" s="48" t="b">
        <f ca="1">IF(OR(LEFT(tblValidation[[#This Row],[TargetID]],10)="state.CHAR",RIGHT(tblValidation[[#This Row],[TargetID]],5)="maxed"),TRUE, COUNTIF(tblChecklist[TargetID], $A382) &gt; 0)</f>
        <v>1</v>
      </c>
      <c r="E3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$A382) &gt; 0)</f>
        <v>1</v>
      </c>
      <c r="F382" s="48" t="b">
        <f ca="1">COUNTIF(tblDependencies[DependencyID], $A382) &gt; 0</f>
        <v>1</v>
      </c>
      <c r="G382" s="48" t="b">
        <f ca="1">COUNTIF(tblQuestObjectives[QuestTargetID], $A382) &gt; 0</f>
        <v>0</v>
      </c>
      <c r="H382" s="48" t="b">
        <f ca="1">COUNTIF(tblQuestObjectives[ObjectiveID], $A382) &gt; 0</f>
        <v>0</v>
      </c>
      <c r="I382" s="48" t="b">
        <f ca="1">COUNTIF(tblTargetStatus[TargetID], $A382) &gt; 0</f>
        <v>1</v>
      </c>
      <c r="J382" s="48" t="b">
        <f ca="1">COUNTIF(tblCost[TargetID], $A382) &gt; 0</f>
        <v>0</v>
      </c>
      <c r="K382" s="48" t="b">
        <f ca="1">COUNTIF(tblStates[StateID], $A382) &gt; 0</f>
        <v>1</v>
      </c>
      <c r="L382" s="48" t="b">
        <f t="shared" ca="1" si="11"/>
        <v>1</v>
      </c>
      <c r="M382" s="48" t="b">
        <f ca="1">IF(tblValidation[[#This Row],[TargetID]]="","",COUNTIF(tblTargets[TargetID],A382)&gt;1)</f>
        <v>0</v>
      </c>
      <c r="N382" s="48" t="b">
        <f ca="1">IF(tblValidation[[#This Row],[TargetID]]="","",COUNTIF(tblStates[StateID],tblValidation[[#This Row],[TargetID]])&gt;1)</f>
        <v>0</v>
      </c>
      <c r="O382" s="48" t="b" cm="1">
        <f t="array" aca="1" ref="O3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2" s="48"/>
      <c r="R382" s="48"/>
      <c r="S382" s="48"/>
      <c r="T382" s="48"/>
      <c r="V382" s="2" t="str">
        <f ca="1"/>
        <v>state.character_level@11</v>
      </c>
      <c r="X382" s="2" t="str">
        <f ca="1"/>
        <v>state.character_level@11</v>
      </c>
      <c r="Y382" s="2" t="str">
        <f ca="1"/>
        <v>state.find_jade_gate_2c</v>
      </c>
      <c r="Z382" s="2" t="str">
        <f ca="1"/>
        <v>state.deliver_bedroll_4b</v>
      </c>
      <c r="AA382" s="2" t="str">
        <f ca="1"/>
        <v>tech.smithy.sword_for_a_hero_lvl_4+</v>
      </c>
      <c r="AD382" s="2" t="str">
        <f ca="1"/>
        <v>state.character_level@11</v>
      </c>
    </row>
    <row r="383" spans="1:30">
      <c r="A383" t="str">
        <f t="shared" ca="1" si="10"/>
        <v>state.character_level@12</v>
      </c>
      <c r="B383" t="str">
        <f ca="1">_xlfn.XLOOKUP(tblValidation[[#This Row],[TargetID]],tblTargets[TargetID],tblTargets[TargetType],"")</f>
        <v>STATE</v>
      </c>
      <c r="C383" s="48" t="b">
        <f ca="1">COUNTIF(tblTargets[TargetID], $A383) &gt; 0</f>
        <v>1</v>
      </c>
      <c r="D383" s="48" t="b">
        <f ca="1">IF(OR(LEFT(tblValidation[[#This Row],[TargetID]],10)="state.CHAR",RIGHT(tblValidation[[#This Row],[TargetID]],5)="maxed"),TRUE, COUNTIF(tblChecklist[TargetID], $A383) &gt; 0)</f>
        <v>1</v>
      </c>
      <c r="E3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$A383) &gt; 0)</f>
        <v>1</v>
      </c>
      <c r="F383" s="48" t="b">
        <f ca="1">COUNTIF(tblDependencies[DependencyID], $A383) &gt; 0</f>
        <v>1</v>
      </c>
      <c r="G383" s="48" t="b">
        <f ca="1">COUNTIF(tblQuestObjectives[QuestTargetID], $A383) &gt; 0</f>
        <v>0</v>
      </c>
      <c r="H383" s="48" t="b">
        <f ca="1">COUNTIF(tblQuestObjectives[ObjectiveID], $A383) &gt; 0</f>
        <v>0</v>
      </c>
      <c r="I383" s="48" t="b">
        <f ca="1">COUNTIF(tblTargetStatus[TargetID], $A383) &gt; 0</f>
        <v>1</v>
      </c>
      <c r="J383" s="48" t="b">
        <f ca="1">COUNTIF(tblCost[TargetID], $A383) &gt; 0</f>
        <v>0</v>
      </c>
      <c r="K383" s="48" t="b">
        <f ca="1">COUNTIF(tblStates[StateID], $A383) &gt; 0</f>
        <v>1</v>
      </c>
      <c r="L383" s="48" t="b">
        <f t="shared" ca="1" si="11"/>
        <v>1</v>
      </c>
      <c r="M383" s="48" t="b">
        <f ca="1">IF(tblValidation[[#This Row],[TargetID]]="","",COUNTIF(tblTargets[TargetID],A383)&gt;1)</f>
        <v>0</v>
      </c>
      <c r="N383" s="48" t="b">
        <f ca="1">IF(tblValidation[[#This Row],[TargetID]]="","",COUNTIF(tblStates[StateID],tblValidation[[#This Row],[TargetID]])&gt;1)</f>
        <v>0</v>
      </c>
      <c r="O383" s="48" t="b" cm="1">
        <f t="array" aca="1" ref="O3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3" s="48"/>
      <c r="R383" s="48"/>
      <c r="S383" s="48"/>
      <c r="T383" s="48"/>
      <c r="V383" s="2" t="str">
        <f ca="1"/>
        <v>state.character_level@12</v>
      </c>
      <c r="X383" s="2" t="str">
        <f ca="1"/>
        <v>state.character_level@12</v>
      </c>
      <c r="Y383" s="2" t="str">
        <f ca="1"/>
        <v>state.meet_alchemist_6d</v>
      </c>
      <c r="Z383" s="2" t="str">
        <f ca="1"/>
        <v>state.deliver_cheese_6b</v>
      </c>
      <c r="AA383" s="2" t="str">
        <f ca="1"/>
        <v>tech.tailor.armor_for_a_hero_lvl_1</v>
      </c>
      <c r="AD383" s="2" t="str">
        <f ca="1"/>
        <v>state.character_level@12</v>
      </c>
    </row>
    <row r="384" spans="1:30">
      <c r="A384" t="str">
        <f t="shared" ca="1" si="10"/>
        <v>state.character_level@13</v>
      </c>
      <c r="B384" t="str">
        <f ca="1">_xlfn.XLOOKUP(tblValidation[[#This Row],[TargetID]],tblTargets[TargetID],tblTargets[TargetType],"")</f>
        <v>STATE</v>
      </c>
      <c r="C384" s="48" t="b">
        <f ca="1">COUNTIF(tblTargets[TargetID], $A384) &gt; 0</f>
        <v>1</v>
      </c>
      <c r="D384" s="48" t="b">
        <f ca="1">IF(OR(LEFT(tblValidation[[#This Row],[TargetID]],10)="state.CHAR",RIGHT(tblValidation[[#This Row],[TargetID]],5)="maxed"),TRUE, COUNTIF(tblChecklist[TargetID], $A384) &gt; 0)</f>
        <v>1</v>
      </c>
      <c r="E3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$A384) &gt; 0)</f>
        <v>1</v>
      </c>
      <c r="F384" s="48" t="b">
        <f ca="1">COUNTIF(tblDependencies[DependencyID], $A384) &gt; 0</f>
        <v>1</v>
      </c>
      <c r="G384" s="48" t="b">
        <f ca="1">COUNTIF(tblQuestObjectives[QuestTargetID], $A384) &gt; 0</f>
        <v>0</v>
      </c>
      <c r="H384" s="48" t="b">
        <f ca="1">COUNTIF(tblQuestObjectives[ObjectiveID], $A384) &gt; 0</f>
        <v>0</v>
      </c>
      <c r="I384" s="48" t="b">
        <f ca="1">COUNTIF(tblTargetStatus[TargetID], $A384) &gt; 0</f>
        <v>1</v>
      </c>
      <c r="J384" s="48" t="b">
        <f ca="1">COUNTIF(tblCost[TargetID], $A384) &gt; 0</f>
        <v>0</v>
      </c>
      <c r="K384" s="48" t="b">
        <f ca="1">COUNTIF(tblStates[StateID], $A384) &gt; 0</f>
        <v>1</v>
      </c>
      <c r="L384" s="48" t="b">
        <f t="shared" ca="1" si="11"/>
        <v>1</v>
      </c>
      <c r="M384" s="48" t="b">
        <f ca="1">IF(tblValidation[[#This Row],[TargetID]]="","",COUNTIF(tblTargets[TargetID],A384)&gt;1)</f>
        <v>0</v>
      </c>
      <c r="N384" s="48" t="b">
        <f ca="1">IF(tblValidation[[#This Row],[TargetID]]="","",COUNTIF(tblStates[StateID],tblValidation[[#This Row],[TargetID]])&gt;1)</f>
        <v>0</v>
      </c>
      <c r="O384" s="48" t="b" cm="1">
        <f t="array" aca="1" ref="O3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4" s="48"/>
      <c r="R384" s="48"/>
      <c r="S384" s="48"/>
      <c r="T384" s="48"/>
      <c r="V384" s="2" t="str">
        <f ca="1"/>
        <v>state.character_level@13</v>
      </c>
      <c r="X384" s="2" t="str">
        <f ca="1"/>
        <v>state.character_level@13</v>
      </c>
      <c r="Y384" s="2" t="str">
        <f ca="1"/>
        <v>state.meet_dark_lady@4a</v>
      </c>
      <c r="Z384" s="2" t="str">
        <f ca="1"/>
        <v>state.deliver_horn_ 2c</v>
      </c>
      <c r="AA384" s="2" t="str">
        <f ca="1"/>
        <v>tech.tailor.armor_for_a_hero_lvl_2</v>
      </c>
      <c r="AD384" s="2" t="str">
        <f ca="1"/>
        <v>state.character_level@13</v>
      </c>
    </row>
    <row r="385" spans="1:30">
      <c r="A385" t="str">
        <f t="shared" ca="1" si="10"/>
        <v>state.character_level@14</v>
      </c>
      <c r="B385" t="str">
        <f ca="1">_xlfn.XLOOKUP(tblValidation[[#This Row],[TargetID]],tblTargets[TargetID],tblTargets[TargetType],"")</f>
        <v>STATE</v>
      </c>
      <c r="C385" s="48" t="b">
        <f ca="1">COUNTIF(tblTargets[TargetID], $A385) &gt; 0</f>
        <v>1</v>
      </c>
      <c r="D385" s="48" t="b">
        <f ca="1">IF(OR(LEFT(tblValidation[[#This Row],[TargetID]],10)="state.CHAR",RIGHT(tblValidation[[#This Row],[TargetID]],5)="maxed"),TRUE, COUNTIF(tblChecklist[TargetID], $A385) &gt; 0)</f>
        <v>1</v>
      </c>
      <c r="E3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$A385) &gt; 0)</f>
        <v>1</v>
      </c>
      <c r="F385" s="48" t="b">
        <f ca="1">COUNTIF(tblDependencies[DependencyID], $A385) &gt; 0</f>
        <v>1</v>
      </c>
      <c r="G385" s="48" t="b">
        <f ca="1">COUNTIF(tblQuestObjectives[QuestTargetID], $A385) &gt; 0</f>
        <v>0</v>
      </c>
      <c r="H385" s="48" t="b">
        <f ca="1">COUNTIF(tblQuestObjectives[ObjectiveID], $A385) &gt; 0</f>
        <v>0</v>
      </c>
      <c r="I385" s="48" t="b">
        <f ca="1">COUNTIF(tblTargetStatus[TargetID], $A385) &gt; 0</f>
        <v>1</v>
      </c>
      <c r="J385" s="48" t="b">
        <f ca="1">COUNTIF(tblCost[TargetID], $A385) &gt; 0</f>
        <v>0</v>
      </c>
      <c r="K385" s="48" t="b">
        <f ca="1">COUNTIF(tblStates[StateID], $A385) &gt; 0</f>
        <v>1</v>
      </c>
      <c r="L385" s="48" t="b">
        <f t="shared" ca="1" si="11"/>
        <v>1</v>
      </c>
      <c r="M385" s="48" t="b">
        <f ca="1">IF(tblValidation[[#This Row],[TargetID]]="","",COUNTIF(tblTargets[TargetID],A385)&gt;1)</f>
        <v>0</v>
      </c>
      <c r="N385" s="48" t="b">
        <f ca="1">IF(tblValidation[[#This Row],[TargetID]]="","",COUNTIF(tblStates[StateID],tblValidation[[#This Row],[TargetID]])&gt;1)</f>
        <v>0</v>
      </c>
      <c r="O385" s="48" t="b" cm="1">
        <f t="array" aca="1" ref="O3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5" s="48"/>
      <c r="R385" s="48"/>
      <c r="S385" s="48"/>
      <c r="T385" s="48"/>
      <c r="V385" s="2" t="str">
        <f ca="1"/>
        <v>state.character_level@14</v>
      </c>
      <c r="X385" s="2" t="str">
        <f ca="1"/>
        <v>state.character_level@14</v>
      </c>
      <c r="Y385" s="2" t="str">
        <f ca="1"/>
        <v>state.meet_dark_lady@6a</v>
      </c>
      <c r="Z385" s="2" t="str">
        <f ca="1"/>
        <v>state.deliver_inarizushi_4b</v>
      </c>
      <c r="AA385" s="2" t="str">
        <f ca="1"/>
        <v>tech.tailor.armor_for_a_hero_lvl_4</v>
      </c>
      <c r="AD385" s="2" t="str">
        <f ca="1"/>
        <v>state.character_level@14</v>
      </c>
    </row>
    <row r="386" spans="1:30">
      <c r="A386" t="str">
        <f t="shared" ref="A386:A449" ca="1" si="12">IF(OR(V386=0,V386=""),"",V386)</f>
        <v>state.character_level@15</v>
      </c>
      <c r="B386" t="str">
        <f ca="1">_xlfn.XLOOKUP(tblValidation[[#This Row],[TargetID]],tblTargets[TargetID],tblTargets[TargetType],"")</f>
        <v>STATE</v>
      </c>
      <c r="C386" s="48" t="b">
        <f ca="1">COUNTIF(tblTargets[TargetID], $A386) &gt; 0</f>
        <v>1</v>
      </c>
      <c r="D386" s="48" t="b">
        <f ca="1">IF(OR(LEFT(tblValidation[[#This Row],[TargetID]],10)="state.CHAR",RIGHT(tblValidation[[#This Row],[TargetID]],5)="maxed"),TRUE, COUNTIF(tblChecklist[TargetID], $A386) &gt; 0)</f>
        <v>1</v>
      </c>
      <c r="E3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$A386) &gt; 0)</f>
        <v>1</v>
      </c>
      <c r="F386" s="48" t="b">
        <f ca="1">COUNTIF(tblDependencies[DependencyID], $A386) &gt; 0</f>
        <v>1</v>
      </c>
      <c r="G386" s="48" t="b">
        <f ca="1">COUNTIF(tblQuestObjectives[QuestTargetID], $A386) &gt; 0</f>
        <v>0</v>
      </c>
      <c r="H386" s="48" t="b">
        <f ca="1">COUNTIF(tblQuestObjectives[ObjectiveID], $A386) &gt; 0</f>
        <v>0</v>
      </c>
      <c r="I386" s="48" t="b">
        <f ca="1">COUNTIF(tblTargetStatus[TargetID], $A386) &gt; 0</f>
        <v>1</v>
      </c>
      <c r="J386" s="48" t="b">
        <f ca="1">COUNTIF(tblCost[TargetID], $A386) &gt; 0</f>
        <v>0</v>
      </c>
      <c r="K386" s="48" t="b">
        <f ca="1">COUNTIF(tblStates[StateID], $A386) &gt; 0</f>
        <v>1</v>
      </c>
      <c r="L386" s="48" t="b">
        <f t="shared" ref="L386:L449" ca="1" si="13">AND(
A386=LOWER(A386),
ISERROR(SEARCH(" ",A386)),
ISERROR(SEARCH("..",A386))
)</f>
        <v>1</v>
      </c>
      <c r="M386" s="48" t="b">
        <f ca="1">IF(tblValidation[[#This Row],[TargetID]]="","",COUNTIF(tblTargets[TargetID],A386)&gt;1)</f>
        <v>0</v>
      </c>
      <c r="N386" s="48" t="b">
        <f ca="1">IF(tblValidation[[#This Row],[TargetID]]="","",COUNTIF(tblStates[StateID],tblValidation[[#This Row],[TargetID]])&gt;1)</f>
        <v>0</v>
      </c>
      <c r="O386" s="48" t="b" cm="1">
        <f t="array" aca="1" ref="O3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6" s="48"/>
      <c r="R386" s="48"/>
      <c r="S386" s="48"/>
      <c r="T386" s="48"/>
      <c r="V386" s="2" t="str">
        <f ca="1"/>
        <v>state.character_level@15</v>
      </c>
      <c r="X386" s="2" t="str">
        <f ca="1"/>
        <v>state.character_level@15</v>
      </c>
      <c r="Y386" s="2" t="str">
        <f ca="1"/>
        <v>state.meet_dark_lady@6b</v>
      </c>
      <c r="Z386" s="2" t="str">
        <f ca="1"/>
        <v>state.deliver_pizza_diavola_ 5b</v>
      </c>
      <c r="AA386" s="2" t="str">
        <f ca="1"/>
        <v>tech.tailor.armor_for_a_hero_lvl_4+</v>
      </c>
      <c r="AD386" s="2" t="str">
        <f ca="1"/>
        <v>state.character_level@15</v>
      </c>
    </row>
    <row r="387" spans="1:30">
      <c r="A387" t="str">
        <f t="shared" ca="1" si="12"/>
        <v>state.character_level@18</v>
      </c>
      <c r="B387" t="str">
        <f ca="1">_xlfn.XLOOKUP(tblValidation[[#This Row],[TargetID]],tblTargets[TargetID],tblTargets[TargetType],"")</f>
        <v>STATE</v>
      </c>
      <c r="C387" s="48" t="b">
        <f ca="1">COUNTIF(tblTargets[TargetID], $A387) &gt; 0</f>
        <v>1</v>
      </c>
      <c r="D387" s="48" t="b">
        <f ca="1">IF(OR(LEFT(tblValidation[[#This Row],[TargetID]],10)="state.CHAR",RIGHT(tblValidation[[#This Row],[TargetID]],5)="maxed"),TRUE, COUNTIF(tblChecklist[TargetID], $A387) &gt; 0)</f>
        <v>1</v>
      </c>
      <c r="E3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$A387) &gt; 0)</f>
        <v>1</v>
      </c>
      <c r="F387" s="48" t="b">
        <f ca="1">COUNTIF(tblDependencies[DependencyID], $A387) &gt; 0</f>
        <v>1</v>
      </c>
      <c r="G387" s="48" t="b">
        <f ca="1">COUNTIF(tblQuestObjectives[QuestTargetID], $A387) &gt; 0</f>
        <v>0</v>
      </c>
      <c r="H387" s="48" t="b">
        <f ca="1">COUNTIF(tblQuestObjectives[ObjectiveID], $A387) &gt; 0</f>
        <v>0</v>
      </c>
      <c r="I387" s="48" t="b">
        <f ca="1">COUNTIF(tblTargetStatus[TargetID], $A387) &gt; 0</f>
        <v>1</v>
      </c>
      <c r="J387" s="48" t="b">
        <f ca="1">COUNTIF(tblCost[TargetID], $A387) &gt; 0</f>
        <v>0</v>
      </c>
      <c r="K387" s="48" t="b">
        <f ca="1">COUNTIF(tblStates[StateID], $A387) &gt; 0</f>
        <v>1</v>
      </c>
      <c r="L387" s="48" t="b">
        <f t="shared" ca="1" si="13"/>
        <v>1</v>
      </c>
      <c r="M387" s="48" t="b">
        <f ca="1">IF(tblValidation[[#This Row],[TargetID]]="","",COUNTIF(tblTargets[TargetID],A387)&gt;1)</f>
        <v>0</v>
      </c>
      <c r="N387" s="48" t="b">
        <f ca="1">IF(tblValidation[[#This Row],[TargetID]]="","",COUNTIF(tblStates[StateID],tblValidation[[#This Row],[TargetID]])&gt;1)</f>
        <v>0</v>
      </c>
      <c r="O387" s="48" t="b" cm="1">
        <f t="array" aca="1" ref="O3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7" s="48"/>
      <c r="R387" s="48"/>
      <c r="S387" s="48"/>
      <c r="T387" s="48"/>
      <c r="V387" s="2" t="str">
        <f ca="1"/>
        <v>state.character_level@18</v>
      </c>
      <c r="X387" s="2" t="str">
        <f ca="1"/>
        <v>state.character_level@18</v>
      </c>
      <c r="Y387" s="2" t="str">
        <f ca="1"/>
        <v>state.meet_dark_lady@6b_second</v>
      </c>
      <c r="Z387" s="2" t="str">
        <f ca="1"/>
        <v>state.deliver_pizza_diavola_ 5c</v>
      </c>
      <c r="AA387" s="2" t="str">
        <f ca="1"/>
        <v>tech.tailor.salamander_velour</v>
      </c>
      <c r="AD387" s="2" t="str">
        <f ca="1"/>
        <v>state.character_level@18</v>
      </c>
    </row>
    <row r="388" spans="1:30">
      <c r="A388" t="str">
        <f t="shared" ca="1" si="12"/>
        <v>state.character_level@2</v>
      </c>
      <c r="B388" t="str">
        <f ca="1">_xlfn.XLOOKUP(tblValidation[[#This Row],[TargetID]],tblTargets[TargetID],tblTargets[TargetType],"")</f>
        <v>STATE</v>
      </c>
      <c r="C388" s="48" t="b">
        <f ca="1">COUNTIF(tblTargets[TargetID], $A388) &gt; 0</f>
        <v>1</v>
      </c>
      <c r="D388" s="48" t="b">
        <f ca="1">IF(OR(LEFT(tblValidation[[#This Row],[TargetID]],10)="state.CHAR",RIGHT(tblValidation[[#This Row],[TargetID]],5)="maxed"),TRUE, COUNTIF(tblChecklist[TargetID], $A388) &gt; 0)</f>
        <v>1</v>
      </c>
      <c r="E3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$A388) &gt; 0)</f>
        <v>1</v>
      </c>
      <c r="F388" s="48" t="b">
        <f ca="1">COUNTIF(tblDependencies[DependencyID], $A388) &gt; 0</f>
        <v>1</v>
      </c>
      <c r="G388" s="48" t="b">
        <f ca="1">COUNTIF(tblQuestObjectives[QuestTargetID], $A388) &gt; 0</f>
        <v>0</v>
      </c>
      <c r="H388" s="48" t="b">
        <f ca="1">COUNTIF(tblQuestObjectives[ObjectiveID], $A388) &gt; 0</f>
        <v>0</v>
      </c>
      <c r="I388" s="48" t="b">
        <f ca="1">COUNTIF(tblTargetStatus[TargetID], $A388) &gt; 0</f>
        <v>1</v>
      </c>
      <c r="J388" s="48" t="b">
        <f ca="1">COUNTIF(tblCost[TargetID], $A388) &gt; 0</f>
        <v>0</v>
      </c>
      <c r="K388" s="48" t="b">
        <f ca="1">COUNTIF(tblStates[StateID], $A388) &gt; 0</f>
        <v>1</v>
      </c>
      <c r="L388" s="48" t="b">
        <f t="shared" ca="1" si="13"/>
        <v>1</v>
      </c>
      <c r="M388" s="48" t="b">
        <f ca="1">IF(tblValidation[[#This Row],[TargetID]]="","",COUNTIF(tblTargets[TargetID],A388)&gt;1)</f>
        <v>0</v>
      </c>
      <c r="N388" s="48" t="b">
        <f ca="1">IF(tblValidation[[#This Row],[TargetID]]="","",COUNTIF(tblStates[StateID],tblValidation[[#This Row],[TargetID]])&gt;1)</f>
        <v>0</v>
      </c>
      <c r="O388" s="48" t="b" cm="1">
        <f t="array" aca="1" ref="O3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8" s="48"/>
      <c r="R388" s="48"/>
      <c r="S388" s="48"/>
      <c r="T388" s="48"/>
      <c r="V388" s="2" t="str">
        <f ca="1"/>
        <v>state.character_level@2</v>
      </c>
      <c r="X388" s="2" t="str">
        <f ca="1"/>
        <v>state.character_level@2</v>
      </c>
      <c r="Y388" s="2" t="str">
        <f ca="1"/>
        <v>state.meet_dark_lady@f2</v>
      </c>
      <c r="Z388" s="2" t="str">
        <f ca="1"/>
        <v>state.deliver_porcini_pasta_ 3c</v>
      </c>
      <c r="AA388" s="2" t="str">
        <f ca="1"/>
        <v>tech.warehouse.stackable_racks_lvl_1</v>
      </c>
      <c r="AD388" s="2" t="str">
        <f ca="1"/>
        <v>state.character_level@2</v>
      </c>
    </row>
    <row r="389" spans="1:30">
      <c r="A389" t="str">
        <f t="shared" ca="1" si="12"/>
        <v>state.character_level@20</v>
      </c>
      <c r="B389" t="str">
        <f ca="1">_xlfn.XLOOKUP(tblValidation[[#This Row],[TargetID]],tblTargets[TargetID],tblTargets[TargetType],"")</f>
        <v>STATE</v>
      </c>
      <c r="C389" s="48" t="b">
        <f ca="1">COUNTIF(tblTargets[TargetID], $A389) &gt; 0</f>
        <v>1</v>
      </c>
      <c r="D389" s="48" t="b">
        <f ca="1">IF(OR(LEFT(tblValidation[[#This Row],[TargetID]],10)="state.CHAR",RIGHT(tblValidation[[#This Row],[TargetID]],5)="maxed"),TRUE, COUNTIF(tblChecklist[TargetID], $A389) &gt; 0)</f>
        <v>1</v>
      </c>
      <c r="E3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$A389) &gt; 0)</f>
        <v>1</v>
      </c>
      <c r="F389" s="48" t="b">
        <f ca="1">COUNTIF(tblDependencies[DependencyID], $A389) &gt; 0</f>
        <v>1</v>
      </c>
      <c r="G389" s="48" t="b">
        <f ca="1">COUNTIF(tblQuestObjectives[QuestTargetID], $A389) &gt; 0</f>
        <v>0</v>
      </c>
      <c r="H389" s="48" t="b">
        <f ca="1">COUNTIF(tblQuestObjectives[ObjectiveID], $A389) &gt; 0</f>
        <v>0</v>
      </c>
      <c r="I389" s="48" t="b">
        <f ca="1">COUNTIF(tblTargetStatus[TargetID], $A389) &gt; 0</f>
        <v>1</v>
      </c>
      <c r="J389" s="48" t="b">
        <f ca="1">COUNTIF(tblCost[TargetID], $A389) &gt; 0</f>
        <v>0</v>
      </c>
      <c r="K389" s="48" t="b">
        <f ca="1">COUNTIF(tblStates[StateID], $A389) &gt; 0</f>
        <v>1</v>
      </c>
      <c r="L389" s="48" t="b">
        <f t="shared" ca="1" si="13"/>
        <v>1</v>
      </c>
      <c r="M389" s="48" t="b">
        <f ca="1">IF(tblValidation[[#This Row],[TargetID]]="","",COUNTIF(tblTargets[TargetID],A389)&gt;1)</f>
        <v>0</v>
      </c>
      <c r="N389" s="48" t="b">
        <f ca="1">IF(tblValidation[[#This Row],[TargetID]]="","",COUNTIF(tblStates[StateID],tblValidation[[#This Row],[TargetID]])&gt;1)</f>
        <v>0</v>
      </c>
      <c r="O389" s="48" t="b" cm="1">
        <f t="array" aca="1" ref="O3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9" s="48"/>
      <c r="R389" s="48"/>
      <c r="S389" s="48"/>
      <c r="T389" s="48"/>
      <c r="V389" s="2" t="str">
        <f ca="1"/>
        <v>state.character_level@20</v>
      </c>
      <c r="X389" s="2" t="str">
        <f ca="1"/>
        <v>state.character_level@20</v>
      </c>
      <c r="Y389" s="2" t="str">
        <f ca="1"/>
        <v>state.meet_dark_lady_6d</v>
      </c>
      <c r="Z389" s="2" t="str">
        <f ca="1"/>
        <v>state.deliver_potion_ambrosia_ 3b</v>
      </c>
      <c r="AA389" s="2" t="str">
        <f ca="1"/>
        <v>tech.warehouse.stackable_racks_lvl_2</v>
      </c>
      <c r="AD389" s="2" t="str">
        <f ca="1"/>
        <v>state.character_level@20</v>
      </c>
    </row>
    <row r="390" spans="1:30">
      <c r="A390" t="str">
        <f t="shared" ca="1" si="12"/>
        <v>state.character_level@21</v>
      </c>
      <c r="B390" t="str">
        <f ca="1">_xlfn.XLOOKUP(tblValidation[[#This Row],[TargetID]],tblTargets[TargetID],tblTargets[TargetType],"")</f>
        <v>STATE</v>
      </c>
      <c r="C390" s="48" t="b">
        <f ca="1">COUNTIF(tblTargets[TargetID], $A390) &gt; 0</f>
        <v>1</v>
      </c>
      <c r="D390" s="48" t="b">
        <f ca="1">IF(OR(LEFT(tblValidation[[#This Row],[TargetID]],10)="state.CHAR",RIGHT(tblValidation[[#This Row],[TargetID]],5)="maxed"),TRUE, COUNTIF(tblChecklist[TargetID], $A390) &gt; 0)</f>
        <v>1</v>
      </c>
      <c r="E3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$A390) &gt; 0)</f>
        <v>1</v>
      </c>
      <c r="F390" s="48" t="b">
        <f ca="1">COUNTIF(tblDependencies[DependencyID], $A390) &gt; 0</f>
        <v>1</v>
      </c>
      <c r="G390" s="48" t="b">
        <f ca="1">COUNTIF(tblQuestObjectives[QuestTargetID], $A390) &gt; 0</f>
        <v>0</v>
      </c>
      <c r="H390" s="48" t="b">
        <f ca="1">COUNTIF(tblQuestObjectives[ObjectiveID], $A390) &gt; 0</f>
        <v>0</v>
      </c>
      <c r="I390" s="48" t="b">
        <f ca="1">COUNTIF(tblTargetStatus[TargetID], $A390) &gt; 0</f>
        <v>1</v>
      </c>
      <c r="J390" s="48" t="b">
        <f ca="1">COUNTIF(tblCost[TargetID], $A390) &gt; 0</f>
        <v>0</v>
      </c>
      <c r="K390" s="48" t="b">
        <f ca="1">COUNTIF(tblStates[StateID], $A390) &gt; 0</f>
        <v>1</v>
      </c>
      <c r="L390" s="48" t="b">
        <f t="shared" ca="1" si="13"/>
        <v>1</v>
      </c>
      <c r="M390" s="48" t="b">
        <f ca="1">IF(tblValidation[[#This Row],[TargetID]]="","",COUNTIF(tblTargets[TargetID],A390)&gt;1)</f>
        <v>0</v>
      </c>
      <c r="N390" s="48" t="b">
        <f ca="1">IF(tblValidation[[#This Row],[TargetID]]="","",COUNTIF(tblStates[StateID],tblValidation[[#This Row],[TargetID]])&gt;1)</f>
        <v>0</v>
      </c>
      <c r="O390" s="48" t="b" cm="1">
        <f t="array" aca="1" ref="O3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0" s="48"/>
      <c r="R390" s="48"/>
      <c r="S390" s="48"/>
      <c r="T390" s="48"/>
      <c r="V390" s="2" t="str">
        <f ca="1"/>
        <v>state.character_level@21</v>
      </c>
      <c r="X390" s="2" t="str">
        <f ca="1"/>
        <v>state.character_level@21</v>
      </c>
      <c r="Y390" s="2" t="str">
        <f ca="1"/>
        <v>state.meet_fat_demon@4a</v>
      </c>
      <c r="Z390" s="2" t="str">
        <f ca="1"/>
        <v>state.deliver_potion_berserker_rage_ 1c</v>
      </c>
      <c r="AA390" s="2" t="str">
        <f ca="1"/>
        <v>tech.workshop.conveyor_lvl_1</v>
      </c>
      <c r="AD390" s="2" t="str">
        <f ca="1"/>
        <v>state.character_level@21</v>
      </c>
    </row>
    <row r="391" spans="1:30">
      <c r="A391" t="str">
        <f t="shared" ca="1" si="12"/>
        <v>state.character_level@22</v>
      </c>
      <c r="B391" t="str">
        <f ca="1">_xlfn.XLOOKUP(tblValidation[[#This Row],[TargetID]],tblTargets[TargetID],tblTargets[TargetType],"")</f>
        <v>STATE</v>
      </c>
      <c r="C391" s="48" t="b">
        <f ca="1">COUNTIF(tblTargets[TargetID], $A391) &gt; 0</f>
        <v>1</v>
      </c>
      <c r="D391" s="48" t="b">
        <f ca="1">IF(OR(LEFT(tblValidation[[#This Row],[TargetID]],10)="state.CHAR",RIGHT(tblValidation[[#This Row],[TargetID]],5)="maxed"),TRUE, COUNTIF(tblChecklist[TargetID], $A391) &gt; 0)</f>
        <v>1</v>
      </c>
      <c r="E3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$A391) &gt; 0)</f>
        <v>1</v>
      </c>
      <c r="F391" s="48" t="b">
        <f ca="1">COUNTIF(tblDependencies[DependencyID], $A391) &gt; 0</f>
        <v>1</v>
      </c>
      <c r="G391" s="48" t="b">
        <f ca="1">COUNTIF(tblQuestObjectives[QuestTargetID], $A391) &gt; 0</f>
        <v>0</v>
      </c>
      <c r="H391" s="48" t="b">
        <f ca="1">COUNTIF(tblQuestObjectives[ObjectiveID], $A391) &gt; 0</f>
        <v>1</v>
      </c>
      <c r="I391" s="48" t="b">
        <f ca="1">COUNTIF(tblTargetStatus[TargetID], $A391) &gt; 0</f>
        <v>1</v>
      </c>
      <c r="J391" s="48" t="b">
        <f ca="1">COUNTIF(tblCost[TargetID], $A391) &gt; 0</f>
        <v>0</v>
      </c>
      <c r="K391" s="48" t="b">
        <f ca="1">COUNTIF(tblStates[StateID], $A391) &gt; 0</f>
        <v>1</v>
      </c>
      <c r="L391" s="48" t="b">
        <f t="shared" ca="1" si="13"/>
        <v>1</v>
      </c>
      <c r="M391" s="48" t="b">
        <f ca="1">IF(tblValidation[[#This Row],[TargetID]]="","",COUNTIF(tblTargets[TargetID],A391)&gt;1)</f>
        <v>0</v>
      </c>
      <c r="N391" s="48" t="b">
        <f ca="1">IF(tblValidation[[#This Row],[TargetID]]="","",COUNTIF(tblStates[StateID],tblValidation[[#This Row],[TargetID]])&gt;1)</f>
        <v>0</v>
      </c>
      <c r="O391" s="48" t="b" cm="1">
        <f t="array" aca="1" ref="O3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1" s="48"/>
      <c r="R391" s="48"/>
      <c r="S391" s="48"/>
      <c r="T391" s="48"/>
      <c r="V391" s="2" t="str">
        <f ca="1"/>
        <v>state.character_level@22</v>
      </c>
      <c r="X391" s="2" t="str">
        <f ca="1"/>
        <v>state.character_level@22</v>
      </c>
      <c r="Y391" s="2" t="str">
        <f ca="1"/>
        <v>state.meet_foodie_demon@f2</v>
      </c>
      <c r="Z391" s="2" t="str">
        <f ca="1"/>
        <v>state.deliver_potion_mental_power@f2</v>
      </c>
      <c r="AA391" s="2" t="str">
        <f ca="1"/>
        <v>tech.workshop.mechanical_spider</v>
      </c>
      <c r="AD391" s="2" t="str">
        <f ca="1"/>
        <v>state.character_level@22</v>
      </c>
    </row>
    <row r="392" spans="1:30">
      <c r="A392" t="str">
        <f t="shared" ca="1" si="12"/>
        <v>state.character_level@23</v>
      </c>
      <c r="B392" t="str">
        <f ca="1">_xlfn.XLOOKUP(tblValidation[[#This Row],[TargetID]],tblTargets[TargetID],tblTargets[TargetType],"")</f>
        <v>STATE</v>
      </c>
      <c r="C392" s="48" t="b">
        <f ca="1">COUNTIF(tblTargets[TargetID], $A392) &gt; 0</f>
        <v>1</v>
      </c>
      <c r="D392" s="48" t="b">
        <f ca="1">IF(OR(LEFT(tblValidation[[#This Row],[TargetID]],10)="state.CHAR",RIGHT(tblValidation[[#This Row],[TargetID]],5)="maxed"),TRUE, COUNTIF(tblChecklist[TargetID], $A392) &gt; 0)</f>
        <v>1</v>
      </c>
      <c r="E3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$A392) &gt; 0)</f>
        <v>1</v>
      </c>
      <c r="F392" s="48" t="b">
        <f ca="1">COUNTIF(tblDependencies[DependencyID], $A392) &gt; 0</f>
        <v>1</v>
      </c>
      <c r="G392" s="48" t="b">
        <f ca="1">COUNTIF(tblQuestObjectives[QuestTargetID], $A392) &gt; 0</f>
        <v>0</v>
      </c>
      <c r="H392" s="48" t="b">
        <f ca="1">COUNTIF(tblQuestObjectives[ObjectiveID], $A392) &gt; 0</f>
        <v>0</v>
      </c>
      <c r="I392" s="48" t="b">
        <f ca="1">COUNTIF(tblTargetStatus[TargetID], $A392) &gt; 0</f>
        <v>1</v>
      </c>
      <c r="J392" s="48" t="b">
        <f ca="1">COUNTIF(tblCost[TargetID], $A392) &gt; 0</f>
        <v>0</v>
      </c>
      <c r="K392" s="48" t="b">
        <f ca="1">COUNTIF(tblStates[StateID], $A392) &gt; 0</f>
        <v>1</v>
      </c>
      <c r="L392" s="48" t="b">
        <f t="shared" ca="1" si="13"/>
        <v>1</v>
      </c>
      <c r="M392" s="48" t="b">
        <f ca="1">IF(tblValidation[[#This Row],[TargetID]]="","",COUNTIF(tblTargets[TargetID],A392)&gt;1)</f>
        <v>0</v>
      </c>
      <c r="N392" s="48" t="b">
        <f ca="1">IF(tblValidation[[#This Row],[TargetID]]="","",COUNTIF(tblStates[StateID],tblValidation[[#This Row],[TargetID]])&gt;1)</f>
        <v>0</v>
      </c>
      <c r="O392" s="48" t="b" cm="1">
        <f t="array" aca="1" ref="O3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2" s="48"/>
      <c r="R392" s="48"/>
      <c r="S392" s="48"/>
      <c r="T392" s="48"/>
      <c r="V392" s="2" t="str">
        <f ca="1"/>
        <v>state.character_level@23</v>
      </c>
      <c r="X392" s="2" t="str">
        <f ca="1"/>
        <v>state.character_level@23</v>
      </c>
      <c r="Y392" s="2" t="str">
        <f ca="1"/>
        <v>state.meet_forest_fairy@f2</v>
      </c>
      <c r="Z392" s="2" t="str">
        <f ca="1"/>
        <v>state.deliver_ring</v>
      </c>
      <c r="AA392" s="2" t="str">
        <f ca="1"/>
        <v>tech.workshop.mechanism</v>
      </c>
      <c r="AD392" s="2" t="str">
        <f ca="1"/>
        <v>state.character_level@23</v>
      </c>
    </row>
    <row r="393" spans="1:30">
      <c r="A393" t="str">
        <f t="shared" ca="1" si="12"/>
        <v>state.character_level@24</v>
      </c>
      <c r="B393" t="str">
        <f ca="1">_xlfn.XLOOKUP(tblValidation[[#This Row],[TargetID]],tblTargets[TargetID],tblTargets[TargetType],"")</f>
        <v>STATE</v>
      </c>
      <c r="C393" s="48" t="b">
        <f ca="1">COUNTIF(tblTargets[TargetID], $A393) &gt; 0</f>
        <v>1</v>
      </c>
      <c r="D393" s="48" t="b">
        <f ca="1">IF(OR(LEFT(tblValidation[[#This Row],[TargetID]],10)="state.CHAR",RIGHT(tblValidation[[#This Row],[TargetID]],5)="maxed"),TRUE, COUNTIF(tblChecklist[TargetID], $A393) &gt; 0)</f>
        <v>1</v>
      </c>
      <c r="E3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$A393) &gt; 0)</f>
        <v>1</v>
      </c>
      <c r="F393" s="48" t="b">
        <f ca="1">COUNTIF(tblDependencies[DependencyID], $A393) &gt; 0</f>
        <v>1</v>
      </c>
      <c r="G393" s="48" t="b">
        <f ca="1">COUNTIF(tblQuestObjectives[QuestTargetID], $A393) &gt; 0</f>
        <v>0</v>
      </c>
      <c r="H393" s="48" t="b">
        <f ca="1">COUNTIF(tblQuestObjectives[ObjectiveID], $A393) &gt; 0</f>
        <v>1</v>
      </c>
      <c r="I393" s="48" t="b">
        <f ca="1">COUNTIF(tblTargetStatus[TargetID], $A393) &gt; 0</f>
        <v>1</v>
      </c>
      <c r="J393" s="48" t="b">
        <f ca="1">COUNTIF(tblCost[TargetID], $A393) &gt; 0</f>
        <v>0</v>
      </c>
      <c r="K393" s="48" t="b">
        <f ca="1">COUNTIF(tblStates[StateID], $A393) &gt; 0</f>
        <v>1</v>
      </c>
      <c r="L393" s="48" t="b">
        <f t="shared" ca="1" si="13"/>
        <v>1</v>
      </c>
      <c r="M393" s="48" t="b">
        <f ca="1">IF(tblValidation[[#This Row],[TargetID]]="","",COUNTIF(tblTargets[TargetID],A393)&gt;1)</f>
        <v>0</v>
      </c>
      <c r="N393" s="48" t="b">
        <f ca="1">IF(tblValidation[[#This Row],[TargetID]]="","",COUNTIF(tblStates[StateID],tblValidation[[#This Row],[TargetID]])&gt;1)</f>
        <v>0</v>
      </c>
      <c r="O393" s="48" t="b" cm="1">
        <f t="array" aca="1" ref="O3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3" s="48"/>
      <c r="R393" s="48"/>
      <c r="S393" s="48"/>
      <c r="T393" s="48"/>
      <c r="V393" s="2" t="str">
        <f ca="1"/>
        <v>state.character_level@24</v>
      </c>
      <c r="X393" s="2" t="str">
        <f ca="1"/>
        <v>state.character_level@24</v>
      </c>
      <c r="Y393" s="2" t="str">
        <f ca="1"/>
        <v>state.meet_hunter@f1</v>
      </c>
      <c r="Z393" s="2" t="str">
        <f ca="1"/>
        <v>state.deliver_teriyaki_salmon_4c</v>
      </c>
      <c r="AA393" s="2" t="str">
        <f ca="1"/>
        <v>tech.workshop.shield_for_a_hero_lvl_1</v>
      </c>
      <c r="AD393" s="2" t="str">
        <f ca="1"/>
        <v>state.character_level@24</v>
      </c>
    </row>
    <row r="394" spans="1:30">
      <c r="A394" t="str">
        <f t="shared" ca="1" si="12"/>
        <v>state.character_level@28</v>
      </c>
      <c r="B394" t="str">
        <f ca="1">_xlfn.XLOOKUP(tblValidation[[#This Row],[TargetID]],tblTargets[TargetID],tblTargets[TargetType],"")</f>
        <v>STATE</v>
      </c>
      <c r="C394" s="48" t="b">
        <f ca="1">COUNTIF(tblTargets[TargetID], $A394) &gt; 0</f>
        <v>1</v>
      </c>
      <c r="D394" s="48" t="b">
        <f ca="1">IF(OR(LEFT(tblValidation[[#This Row],[TargetID]],10)="state.CHAR",RIGHT(tblValidation[[#This Row],[TargetID]],5)="maxed"),TRUE, COUNTIF(tblChecklist[TargetID], $A394) &gt; 0)</f>
        <v>1</v>
      </c>
      <c r="E3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$A394) &gt; 0)</f>
        <v>1</v>
      </c>
      <c r="F394" s="48" t="b">
        <f ca="1">COUNTIF(tblDependencies[DependencyID], $A394) &gt; 0</f>
        <v>1</v>
      </c>
      <c r="G394" s="48" t="b">
        <f ca="1">COUNTIF(tblQuestObjectives[QuestTargetID], $A394) &gt; 0</f>
        <v>0</v>
      </c>
      <c r="H394" s="48" t="b">
        <f ca="1">COUNTIF(tblQuestObjectives[ObjectiveID], $A394) &gt; 0</f>
        <v>0</v>
      </c>
      <c r="I394" s="48" t="b">
        <f ca="1">COUNTIF(tblTargetStatus[TargetID], $A394) &gt; 0</f>
        <v>1</v>
      </c>
      <c r="J394" s="48" t="b">
        <f ca="1">COUNTIF(tblCost[TargetID], $A394) &gt; 0</f>
        <v>0</v>
      </c>
      <c r="K394" s="48" t="b">
        <f ca="1">COUNTIF(tblStates[StateID], $A394) &gt; 0</f>
        <v>1</v>
      </c>
      <c r="L394" s="48" t="b">
        <f t="shared" ca="1" si="13"/>
        <v>1</v>
      </c>
      <c r="M394" s="48" t="b">
        <f ca="1">IF(tblValidation[[#This Row],[TargetID]]="","",COUNTIF(tblTargets[TargetID],A394)&gt;1)</f>
        <v>0</v>
      </c>
      <c r="N394" s="48" t="b">
        <f ca="1">IF(tblValidation[[#This Row],[TargetID]]="","",COUNTIF(tblStates[StateID],tblValidation[[#This Row],[TargetID]])&gt;1)</f>
        <v>0</v>
      </c>
      <c r="O394" s="48" t="b" cm="1">
        <f t="array" aca="1" ref="O3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4" s="48"/>
      <c r="R394" s="48"/>
      <c r="S394" s="48"/>
      <c r="T394" s="48"/>
      <c r="V394" s="2" t="str">
        <f ca="1"/>
        <v>state.character_level@28</v>
      </c>
      <c r="X394" s="2" t="str">
        <f ca="1"/>
        <v>state.character_level@28</v>
      </c>
      <c r="Y394" s="2" t="str">
        <f ca="1"/>
        <v>state.meet_inventor@5b</v>
      </c>
      <c r="Z394" s="2" t="str">
        <f ca="1"/>
        <v>state.deliver_tofu_4a</v>
      </c>
      <c r="AA394" s="2" t="str">
        <f ca="1"/>
        <v>tech.workshop.shield_for_a_hero_lvl_2</v>
      </c>
      <c r="AD394" s="2" t="str">
        <f ca="1"/>
        <v>state.character_level@28</v>
      </c>
    </row>
    <row r="395" spans="1:30">
      <c r="A395" t="str">
        <f t="shared" ca="1" si="12"/>
        <v>state.character_level@3</v>
      </c>
      <c r="B395" t="str">
        <f ca="1">_xlfn.XLOOKUP(tblValidation[[#This Row],[TargetID]],tblTargets[TargetID],tblTargets[TargetType],"")</f>
        <v>STATE</v>
      </c>
      <c r="C395" s="48" t="b">
        <f ca="1">COUNTIF(tblTargets[TargetID], $A395) &gt; 0</f>
        <v>1</v>
      </c>
      <c r="D395" s="48" t="b">
        <f ca="1">IF(OR(LEFT(tblValidation[[#This Row],[TargetID]],10)="state.CHAR",RIGHT(tblValidation[[#This Row],[TargetID]],5)="maxed"),TRUE, COUNTIF(tblChecklist[TargetID], $A395) &gt; 0)</f>
        <v>1</v>
      </c>
      <c r="E3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$A395) &gt; 0)</f>
        <v>1</v>
      </c>
      <c r="F395" s="48" t="b">
        <f ca="1">COUNTIF(tblDependencies[DependencyID], $A395) &gt; 0</f>
        <v>1</v>
      </c>
      <c r="G395" s="48" t="b">
        <f ca="1">COUNTIF(tblQuestObjectives[QuestTargetID], $A395) &gt; 0</f>
        <v>0</v>
      </c>
      <c r="H395" s="48" t="b">
        <f ca="1">COUNTIF(tblQuestObjectives[ObjectiveID], $A395) &gt; 0</f>
        <v>0</v>
      </c>
      <c r="I395" s="48" t="b">
        <f ca="1">COUNTIF(tblTargetStatus[TargetID], $A395) &gt; 0</f>
        <v>1</v>
      </c>
      <c r="J395" s="48" t="b">
        <f ca="1">COUNTIF(tblCost[TargetID], $A395) &gt; 0</f>
        <v>0</v>
      </c>
      <c r="K395" s="48" t="b">
        <f ca="1">COUNTIF(tblStates[StateID], $A395) &gt; 0</f>
        <v>1</v>
      </c>
      <c r="L395" s="48" t="b">
        <f t="shared" ca="1" si="13"/>
        <v>1</v>
      </c>
      <c r="M395" s="48" t="b">
        <f ca="1">IF(tblValidation[[#This Row],[TargetID]]="","",COUNTIF(tblTargets[TargetID],A395)&gt;1)</f>
        <v>0</v>
      </c>
      <c r="N395" s="48" t="b">
        <f ca="1">IF(tblValidation[[#This Row],[TargetID]]="","",COUNTIF(tblStates[StateID],tblValidation[[#This Row],[TargetID]])&gt;1)</f>
        <v>0</v>
      </c>
      <c r="O395" s="48" t="b" cm="1">
        <f t="array" aca="1" ref="O3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5" s="48"/>
      <c r="R395" s="48"/>
      <c r="S395" s="48"/>
      <c r="T395" s="48"/>
      <c r="V395" s="2" t="str">
        <f ca="1"/>
        <v>state.character_level@3</v>
      </c>
      <c r="X395" s="2" t="str">
        <f ca="1"/>
        <v>state.character_level@3</v>
      </c>
      <c r="Y395" s="2" t="str">
        <f ca="1"/>
        <v>state.meet_mech_adventurer@2b</v>
      </c>
      <c r="Z395" s="2" t="str">
        <f ca="1"/>
        <v>state.deliver_yuba_4c</v>
      </c>
      <c r="AA395" s="2" t="str">
        <f ca="1"/>
        <v>tech.workshop.shield_for_a_hero_lvl_3</v>
      </c>
      <c r="AD395" s="2" t="str">
        <f ca="1"/>
        <v>state.character_level@3</v>
      </c>
    </row>
    <row r="396" spans="1:30">
      <c r="A396" t="str">
        <f t="shared" ca="1" si="12"/>
        <v>state.character_level@30</v>
      </c>
      <c r="B396" t="str">
        <f ca="1">_xlfn.XLOOKUP(tblValidation[[#This Row],[TargetID]],tblTargets[TargetID],tblTargets[TargetType],"")</f>
        <v>STATE</v>
      </c>
      <c r="C396" s="48" t="b">
        <f ca="1">COUNTIF(tblTargets[TargetID], $A396) &gt; 0</f>
        <v>1</v>
      </c>
      <c r="D396" s="48" t="b">
        <f ca="1">IF(OR(LEFT(tblValidation[[#This Row],[TargetID]],10)="state.CHAR",RIGHT(tblValidation[[#This Row],[TargetID]],5)="maxed"),TRUE, COUNTIF(tblChecklist[TargetID], $A396) &gt; 0)</f>
        <v>1</v>
      </c>
      <c r="E3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$A396) &gt; 0)</f>
        <v>1</v>
      </c>
      <c r="F396" s="48" t="b">
        <f ca="1">COUNTIF(tblDependencies[DependencyID], $A396) &gt; 0</f>
        <v>1</v>
      </c>
      <c r="G396" s="48" t="b">
        <f ca="1">COUNTIF(tblQuestObjectives[QuestTargetID], $A396) &gt; 0</f>
        <v>0</v>
      </c>
      <c r="H396" s="48" t="b">
        <f ca="1">COUNTIF(tblQuestObjectives[ObjectiveID], $A396) &gt; 0</f>
        <v>0</v>
      </c>
      <c r="I396" s="48" t="b">
        <f ca="1">COUNTIF(tblTargetStatus[TargetID], $A396) &gt; 0</f>
        <v>1</v>
      </c>
      <c r="J396" s="48" t="b">
        <f ca="1">COUNTIF(tblCost[TargetID], $A396) &gt; 0</f>
        <v>0</v>
      </c>
      <c r="K396" s="48" t="b">
        <f ca="1">COUNTIF(tblStates[StateID], $A396) &gt; 0</f>
        <v>1</v>
      </c>
      <c r="L396" s="48" t="b">
        <f t="shared" ca="1" si="13"/>
        <v>1</v>
      </c>
      <c r="M396" s="48" t="b">
        <f ca="1">IF(tblValidation[[#This Row],[TargetID]]="","",COUNTIF(tblTargets[TargetID],A396)&gt;1)</f>
        <v>0</v>
      </c>
      <c r="N396" s="48" t="b">
        <f ca="1">IF(tblValidation[[#This Row],[TargetID]]="","",COUNTIF(tblStates[StateID],tblValidation[[#This Row],[TargetID]])&gt;1)</f>
        <v>0</v>
      </c>
      <c r="O396" s="48" t="b" cm="1">
        <f t="array" aca="1" ref="O3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6" s="48"/>
      <c r="R396" s="48"/>
      <c r="S396" s="48"/>
      <c r="T396" s="48"/>
      <c r="V396" s="2" t="str">
        <f ca="1"/>
        <v>state.character_level@30</v>
      </c>
      <c r="X396" s="2" t="str">
        <f ca="1"/>
        <v>state.character_level@30</v>
      </c>
      <c r="Y396" s="2" t="str">
        <f ca="1"/>
        <v>state.meet_mech_adventurer_3a</v>
      </c>
      <c r="Z396" s="2" t="str">
        <f ca="1"/>
        <v>state.find_gate_3c</v>
      </c>
      <c r="AA396" s="2" t="str">
        <f ca="1"/>
        <v>tech.workshop.shield_for_a_hero_lvl_4</v>
      </c>
      <c r="AD396" s="2" t="str">
        <f ca="1"/>
        <v>state.character_level@30</v>
      </c>
    </row>
    <row r="397" spans="1:30">
      <c r="A397" t="str">
        <f t="shared" ca="1" si="12"/>
        <v>state.character_level@31</v>
      </c>
      <c r="B397" t="str">
        <f ca="1">_xlfn.XLOOKUP(tblValidation[[#This Row],[TargetID]],tblTargets[TargetID],tblTargets[TargetType],"")</f>
        <v>STATE</v>
      </c>
      <c r="C397" s="48" t="b">
        <f ca="1">COUNTIF(tblTargets[TargetID], $A397) &gt; 0</f>
        <v>1</v>
      </c>
      <c r="D397" s="48" t="b">
        <f ca="1">IF(OR(LEFT(tblValidation[[#This Row],[TargetID]],10)="state.CHAR",RIGHT(tblValidation[[#This Row],[TargetID]],5)="maxed"),TRUE, COUNTIF(tblChecklist[TargetID], $A397) &gt; 0)</f>
        <v>1</v>
      </c>
      <c r="E3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$A397) &gt; 0)</f>
        <v>1</v>
      </c>
      <c r="F397" s="48" t="b">
        <f ca="1">COUNTIF(tblDependencies[DependencyID], $A397) &gt; 0</f>
        <v>1</v>
      </c>
      <c r="G397" s="48" t="b">
        <f ca="1">COUNTIF(tblQuestObjectives[QuestTargetID], $A397) &gt; 0</f>
        <v>0</v>
      </c>
      <c r="H397" s="48" t="b">
        <f ca="1">COUNTIF(tblQuestObjectives[ObjectiveID], $A397) &gt; 0</f>
        <v>0</v>
      </c>
      <c r="I397" s="48" t="b">
        <f ca="1">COUNTIF(tblTargetStatus[TargetID], $A397) &gt; 0</f>
        <v>1</v>
      </c>
      <c r="J397" s="48" t="b">
        <f ca="1">COUNTIF(tblCost[TargetID], $A397) &gt; 0</f>
        <v>0</v>
      </c>
      <c r="K397" s="48" t="b">
        <f ca="1">COUNTIF(tblStates[StateID], $A397) &gt; 0</f>
        <v>1</v>
      </c>
      <c r="L397" s="48" t="b">
        <f t="shared" ca="1" si="13"/>
        <v>1</v>
      </c>
      <c r="M397" s="48" t="b">
        <f ca="1">IF(tblValidation[[#This Row],[TargetID]]="","",COUNTIF(tblTargets[TargetID],A397)&gt;1)</f>
        <v>0</v>
      </c>
      <c r="N397" s="48" t="b">
        <f ca="1">IF(tblValidation[[#This Row],[TargetID]]="","",COUNTIF(tblStates[StateID],tblValidation[[#This Row],[TargetID]])&gt;1)</f>
        <v>0</v>
      </c>
      <c r="O397" s="48" t="b" cm="1">
        <f t="array" aca="1" ref="O3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7" s="48"/>
      <c r="R397" s="48"/>
      <c r="S397" s="48"/>
      <c r="T397" s="48"/>
      <c r="V397" s="2" t="str">
        <f ca="1"/>
        <v>state.character_level@31</v>
      </c>
      <c r="X397" s="2" t="str">
        <f ca="1"/>
        <v>state.character_level@31</v>
      </c>
      <c r="Y397" s="2" t="str">
        <f ca="1"/>
        <v>state.meet_mech_adventurer_f1</v>
      </c>
      <c r="Z397" s="2" t="str">
        <f ca="1"/>
        <v>state.find_gate_4c</v>
      </c>
      <c r="AA397" s="2" t="str">
        <f ca="1"/>
        <v>tech.workshop.shield_for_a_hero_lvl_4+</v>
      </c>
      <c r="AD397" s="2" t="str">
        <f ca="1"/>
        <v>state.character_level@31</v>
      </c>
    </row>
    <row r="398" spans="1:30">
      <c r="A398" t="str">
        <f t="shared" ca="1" si="12"/>
        <v>state.character_level@32</v>
      </c>
      <c r="B398" t="str">
        <f ca="1">_xlfn.XLOOKUP(tblValidation[[#This Row],[TargetID]],tblTargets[TargetID],tblTargets[TargetType],"")</f>
        <v>STATE</v>
      </c>
      <c r="C398" s="48" t="b">
        <f ca="1">COUNTIF(tblTargets[TargetID], $A398) &gt; 0</f>
        <v>1</v>
      </c>
      <c r="D398" s="48" t="b">
        <f ca="1">IF(OR(LEFT(tblValidation[[#This Row],[TargetID]],10)="state.CHAR",RIGHT(tblValidation[[#This Row],[TargetID]],5)="maxed"),TRUE, COUNTIF(tblChecklist[TargetID], $A398) &gt; 0)</f>
        <v>1</v>
      </c>
      <c r="E3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$A398) &gt; 0)</f>
        <v>1</v>
      </c>
      <c r="F398" s="48" t="b">
        <f ca="1">COUNTIF(tblDependencies[DependencyID], $A398) &gt; 0</f>
        <v>1</v>
      </c>
      <c r="G398" s="48" t="b">
        <f ca="1">COUNTIF(tblQuestObjectives[QuestTargetID], $A398) &gt; 0</f>
        <v>0</v>
      </c>
      <c r="H398" s="48" t="b">
        <f ca="1">COUNTIF(tblQuestObjectives[ObjectiveID], $A398) &gt; 0</f>
        <v>0</v>
      </c>
      <c r="I398" s="48" t="b">
        <f ca="1">COUNTIF(tblTargetStatus[TargetID], $A398) &gt; 0</f>
        <v>1</v>
      </c>
      <c r="J398" s="48" t="b">
        <f ca="1">COUNTIF(tblCost[TargetID], $A398) &gt; 0</f>
        <v>0</v>
      </c>
      <c r="K398" s="48" t="b">
        <f ca="1">COUNTIF(tblStates[StateID], $A398) &gt; 0</f>
        <v>1</v>
      </c>
      <c r="L398" s="48" t="b">
        <f t="shared" ca="1" si="13"/>
        <v>1</v>
      </c>
      <c r="M398" s="48" t="b">
        <f ca="1">IF(tblValidation[[#This Row],[TargetID]]="","",COUNTIF(tblTargets[TargetID],A398)&gt;1)</f>
        <v>0</v>
      </c>
      <c r="N398" s="48" t="b">
        <f ca="1">IF(tblValidation[[#This Row],[TargetID]]="","",COUNTIF(tblStates[StateID],tblValidation[[#This Row],[TargetID]])&gt;1)</f>
        <v>0</v>
      </c>
      <c r="O398" s="48" t="b" cm="1">
        <f t="array" aca="1" ref="O3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8" s="48"/>
      <c r="R398" s="48"/>
      <c r="S398" s="48"/>
      <c r="T398" s="48"/>
      <c r="V398" s="2" t="str">
        <f ca="1"/>
        <v>state.character_level@32</v>
      </c>
      <c r="X398" s="2" t="str">
        <f ca="1"/>
        <v>state.character_level@32</v>
      </c>
      <c r="Y398" s="2" t="str">
        <f ca="1"/>
        <v>state.meet_methusalem@f3</v>
      </c>
      <c r="Z398" s="2" t="str">
        <f ca="1"/>
        <v>state.find_gate_5c</v>
      </c>
      <c r="AA398" s="2" t="str">
        <f ca="1"/>
        <v>tech.workshop.steamobile</v>
      </c>
      <c r="AD398" s="2" t="str">
        <f ca="1"/>
        <v>state.character_level@32</v>
      </c>
    </row>
    <row r="399" spans="1:30">
      <c r="A399" t="str">
        <f t="shared" ca="1" si="12"/>
        <v>state.character_level@4</v>
      </c>
      <c r="B399" t="str">
        <f ca="1">_xlfn.XLOOKUP(tblValidation[[#This Row],[TargetID]],tblTargets[TargetID],tblTargets[TargetType],"")</f>
        <v>STATE</v>
      </c>
      <c r="C399" s="48" t="b">
        <f ca="1">COUNTIF(tblTargets[TargetID], $A399) &gt; 0</f>
        <v>1</v>
      </c>
      <c r="D399" s="48" t="b">
        <f ca="1">IF(OR(LEFT(tblValidation[[#This Row],[TargetID]],10)="state.CHAR",RIGHT(tblValidation[[#This Row],[TargetID]],5)="maxed"),TRUE, COUNTIF(tblChecklist[TargetID], $A399) &gt; 0)</f>
        <v>1</v>
      </c>
      <c r="E3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$A399) &gt; 0)</f>
        <v>1</v>
      </c>
      <c r="F399" s="48" t="b">
        <f ca="1">COUNTIF(tblDependencies[DependencyID], $A399) &gt; 0</f>
        <v>1</v>
      </c>
      <c r="G399" s="48" t="b">
        <f ca="1">COUNTIF(tblQuestObjectives[QuestTargetID], $A399) &gt; 0</f>
        <v>0</v>
      </c>
      <c r="H399" s="48" t="b">
        <f ca="1">COUNTIF(tblQuestObjectives[ObjectiveID], $A399) &gt; 0</f>
        <v>0</v>
      </c>
      <c r="I399" s="48" t="b">
        <f ca="1">COUNTIF(tblTargetStatus[TargetID], $A399) &gt; 0</f>
        <v>1</v>
      </c>
      <c r="J399" s="48" t="b">
        <f ca="1">COUNTIF(tblCost[TargetID], $A399) &gt; 0</f>
        <v>0</v>
      </c>
      <c r="K399" s="48" t="b">
        <f ca="1">COUNTIF(tblStates[StateID], $A399) &gt; 0</f>
        <v>1</v>
      </c>
      <c r="L399" s="48" t="b">
        <f t="shared" ca="1" si="13"/>
        <v>1</v>
      </c>
      <c r="M399" s="48" t="b">
        <f ca="1">IF(tblValidation[[#This Row],[TargetID]]="","",COUNTIF(tblTargets[TargetID],A399)&gt;1)</f>
        <v>0</v>
      </c>
      <c r="N399" s="48" t="b">
        <f ca="1">IF(tblValidation[[#This Row],[TargetID]]="","",COUNTIF(tblStates[StateID],tblValidation[[#This Row],[TargetID]])&gt;1)</f>
        <v>0</v>
      </c>
      <c r="O399" s="48" t="b" cm="1">
        <f t="array" aca="1" ref="O3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9" s="48"/>
      <c r="R399" s="48"/>
      <c r="S399" s="48"/>
      <c r="T399" s="48"/>
      <c r="V399" s="2" t="str">
        <f ca="1"/>
        <v>state.character_level@4</v>
      </c>
      <c r="X399" s="2" t="str">
        <f ca="1"/>
        <v>state.character_level@4</v>
      </c>
      <c r="Y399" s="2" t="str">
        <f ca="1"/>
        <v>state.meet_mr_diligence@f1</v>
      </c>
      <c r="Z399" s="2" t="str">
        <f ca="1"/>
        <v>state.find_goat_6b</v>
      </c>
      <c r="AA399" s="2">
        <f ca="1"/>
        <v>0</v>
      </c>
      <c r="AD399" s="2" t="str">
        <f ca="1"/>
        <v>state.character_level@4</v>
      </c>
    </row>
    <row r="400" spans="1:30">
      <c r="A400" t="str">
        <f t="shared" ca="1" si="12"/>
        <v>state.character_level@40</v>
      </c>
      <c r="B400" t="str">
        <f ca="1">_xlfn.XLOOKUP(tblValidation[[#This Row],[TargetID]],tblTargets[TargetID],tblTargets[TargetType],"")</f>
        <v>STATE</v>
      </c>
      <c r="C400" s="48" t="b">
        <f ca="1">COUNTIF(tblTargets[TargetID], $A400) &gt; 0</f>
        <v>1</v>
      </c>
      <c r="D400" s="48" t="b">
        <f ca="1">IF(OR(LEFT(tblValidation[[#This Row],[TargetID]],10)="state.CHAR",RIGHT(tblValidation[[#This Row],[TargetID]],5)="maxed"),TRUE, COUNTIF(tblChecklist[TargetID], $A400) &gt; 0)</f>
        <v>1</v>
      </c>
      <c r="E4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$A400) &gt; 0)</f>
        <v>1</v>
      </c>
      <c r="F400" s="48" t="b">
        <f ca="1">COUNTIF(tblDependencies[DependencyID], $A400) &gt; 0</f>
        <v>1</v>
      </c>
      <c r="G400" s="48" t="b">
        <f ca="1">COUNTIF(tblQuestObjectives[QuestTargetID], $A400) &gt; 0</f>
        <v>0</v>
      </c>
      <c r="H400" s="48" t="b">
        <f ca="1">COUNTIF(tblQuestObjectives[ObjectiveID], $A400) &gt; 0</f>
        <v>0</v>
      </c>
      <c r="I400" s="48" t="b">
        <f ca="1">COUNTIF(tblTargetStatus[TargetID], $A400) &gt; 0</f>
        <v>1</v>
      </c>
      <c r="J400" s="48" t="b">
        <f ca="1">COUNTIF(tblCost[TargetID], $A400) &gt; 0</f>
        <v>0</v>
      </c>
      <c r="K400" s="48" t="b">
        <f ca="1">COUNTIF(tblStates[StateID], $A400) &gt; 0</f>
        <v>1</v>
      </c>
      <c r="L400" s="48" t="b">
        <f t="shared" ca="1" si="13"/>
        <v>1</v>
      </c>
      <c r="M400" s="48" t="b">
        <f ca="1">IF(tblValidation[[#This Row],[TargetID]]="","",COUNTIF(tblTargets[TargetID],A400)&gt;1)</f>
        <v>0</v>
      </c>
      <c r="N400" s="48" t="b">
        <f ca="1">IF(tblValidation[[#This Row],[TargetID]]="","",COUNTIF(tblStates[StateID],tblValidation[[#This Row],[TargetID]])&gt;1)</f>
        <v>0</v>
      </c>
      <c r="O400" s="48" t="b" cm="1">
        <f t="array" aca="1" ref="O4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0" s="48"/>
      <c r="R400" s="48"/>
      <c r="S400" s="48"/>
      <c r="T400" s="48"/>
      <c r="V400" s="2" t="str">
        <f ca="1"/>
        <v>state.character_level@40</v>
      </c>
      <c r="X400" s="2" t="str">
        <f ca="1"/>
        <v>state.character_level@40</v>
      </c>
      <c r="Y400" s="2" t="str">
        <f ca="1"/>
        <v>state.meet_mrs_diligance@f2</v>
      </c>
      <c r="Z400" s="2" t="str">
        <f ca="1"/>
        <v>state.find_jade_gate_2c</v>
      </c>
      <c r="AD400" s="2" t="str">
        <f ca="1"/>
        <v>state.character_level@40</v>
      </c>
    </row>
    <row r="401" spans="1:30">
      <c r="A401" t="str">
        <f t="shared" ca="1" si="12"/>
        <v>state.character_level@5</v>
      </c>
      <c r="B401" t="str">
        <f ca="1">_xlfn.XLOOKUP(tblValidation[[#This Row],[TargetID]],tblTargets[TargetID],tblTargets[TargetType],"")</f>
        <v>STATE</v>
      </c>
      <c r="C401" s="48" t="b">
        <f ca="1">COUNTIF(tblTargets[TargetID], $A401) &gt; 0</f>
        <v>1</v>
      </c>
      <c r="D401" s="48" t="b">
        <f ca="1">IF(OR(LEFT(tblValidation[[#This Row],[TargetID]],10)="state.CHAR",RIGHT(tblValidation[[#This Row],[TargetID]],5)="maxed"),TRUE, COUNTIF(tblChecklist[TargetID], $A401) &gt; 0)</f>
        <v>1</v>
      </c>
      <c r="E4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$A401) &gt; 0)</f>
        <v>1</v>
      </c>
      <c r="F401" s="48" t="b">
        <f ca="1">COUNTIF(tblDependencies[DependencyID], $A401) &gt; 0</f>
        <v>1</v>
      </c>
      <c r="G401" s="48" t="b">
        <f ca="1">COUNTIF(tblQuestObjectives[QuestTargetID], $A401) &gt; 0</f>
        <v>0</v>
      </c>
      <c r="H401" s="48" t="b">
        <f ca="1">COUNTIF(tblQuestObjectives[ObjectiveID], $A401) &gt; 0</f>
        <v>0</v>
      </c>
      <c r="I401" s="48" t="b">
        <f ca="1">COUNTIF(tblTargetStatus[TargetID], $A401) &gt; 0</f>
        <v>1</v>
      </c>
      <c r="J401" s="48" t="b">
        <f ca="1">COUNTIF(tblCost[TargetID], $A401) &gt; 0</f>
        <v>0</v>
      </c>
      <c r="K401" s="48" t="b">
        <f ca="1">COUNTIF(tblStates[StateID], $A401) &gt; 0</f>
        <v>1</v>
      </c>
      <c r="L401" s="48" t="b">
        <f t="shared" ca="1" si="13"/>
        <v>1</v>
      </c>
      <c r="M401" s="48" t="b">
        <f ca="1">IF(tblValidation[[#This Row],[TargetID]]="","",COUNTIF(tblTargets[TargetID],A401)&gt;1)</f>
        <v>0</v>
      </c>
      <c r="N401" s="48" t="b">
        <f ca="1">IF(tblValidation[[#This Row],[TargetID]]="","",COUNTIF(tblStates[StateID],tblValidation[[#This Row],[TargetID]])&gt;1)</f>
        <v>0</v>
      </c>
      <c r="O401" s="48" t="b" cm="1">
        <f t="array" aca="1" ref="O4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1" s="48"/>
      <c r="R401" s="48"/>
      <c r="S401" s="48"/>
      <c r="T401" s="48"/>
      <c r="V401" s="2" t="str">
        <f ca="1"/>
        <v>state.character_level@5</v>
      </c>
      <c r="X401" s="2" t="str">
        <f ca="1"/>
        <v>state.character_level@5</v>
      </c>
      <c r="Y401" s="2" t="str">
        <f ca="1"/>
        <v>state.meet_old_man@4c</v>
      </c>
      <c r="Z401" s="2" t="str">
        <f ca="1"/>
        <v>state.meet_alchemist_6d</v>
      </c>
      <c r="AD401" s="2" t="str">
        <f ca="1"/>
        <v>state.character_level@5</v>
      </c>
    </row>
    <row r="402" spans="1:30">
      <c r="A402" t="str">
        <f t="shared" ca="1" si="12"/>
        <v>state.character_level@50</v>
      </c>
      <c r="B402" t="str">
        <f ca="1">_xlfn.XLOOKUP(tblValidation[[#This Row],[TargetID]],tblTargets[TargetID],tblTargets[TargetType],"")</f>
        <v>STATE</v>
      </c>
      <c r="C402" s="48" t="b">
        <f ca="1">COUNTIF(tblTargets[TargetID], $A402) &gt; 0</f>
        <v>1</v>
      </c>
      <c r="D402" s="48" t="b">
        <f ca="1">IF(OR(LEFT(tblValidation[[#This Row],[TargetID]],10)="state.CHAR",RIGHT(tblValidation[[#This Row],[TargetID]],5)="maxed"),TRUE, COUNTIF(tblChecklist[TargetID], $A402) &gt; 0)</f>
        <v>1</v>
      </c>
      <c r="E4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$A402) &gt; 0)</f>
        <v>1</v>
      </c>
      <c r="F402" s="48" t="b">
        <f ca="1">COUNTIF(tblDependencies[DependencyID], $A402) &gt; 0</f>
        <v>1</v>
      </c>
      <c r="G402" s="48" t="b">
        <f ca="1">COUNTIF(tblQuestObjectives[QuestTargetID], $A402) &gt; 0</f>
        <v>0</v>
      </c>
      <c r="H402" s="48" t="b">
        <f ca="1">COUNTIF(tblQuestObjectives[ObjectiveID], $A402) &gt; 0</f>
        <v>0</v>
      </c>
      <c r="I402" s="48" t="b">
        <f ca="1">COUNTIF(tblTargetStatus[TargetID], $A402) &gt; 0</f>
        <v>1</v>
      </c>
      <c r="J402" s="48" t="b">
        <f ca="1">COUNTIF(tblCost[TargetID], $A402) &gt; 0</f>
        <v>0</v>
      </c>
      <c r="K402" s="48" t="b">
        <f ca="1">COUNTIF(tblStates[StateID], $A402) &gt; 0</f>
        <v>1</v>
      </c>
      <c r="L402" s="48" t="b">
        <f t="shared" ca="1" si="13"/>
        <v>1</v>
      </c>
      <c r="M402" s="48" t="b">
        <f ca="1">IF(tblValidation[[#This Row],[TargetID]]="","",COUNTIF(tblTargets[TargetID],A402)&gt;1)</f>
        <v>0</v>
      </c>
      <c r="N402" s="48" t="b">
        <f ca="1">IF(tblValidation[[#This Row],[TargetID]]="","",COUNTIF(tblStates[StateID],tblValidation[[#This Row],[TargetID]])&gt;1)</f>
        <v>0</v>
      </c>
      <c r="O402" s="48" t="b" cm="1">
        <f t="array" aca="1" ref="O4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2" s="48"/>
      <c r="R402" s="48"/>
      <c r="S402" s="48"/>
      <c r="T402" s="48"/>
      <c r="V402" s="2" t="str">
        <f ca="1"/>
        <v>state.character_level@50</v>
      </c>
      <c r="X402" s="2" t="str">
        <f ca="1"/>
        <v>state.character_level@50</v>
      </c>
      <c r="Y402" s="2" t="str">
        <f ca="1"/>
        <v>state.meet_pilot@f3</v>
      </c>
      <c r="Z402" s="2" t="str">
        <f ca="1"/>
        <v>state.meet_dark_lady@4a</v>
      </c>
      <c r="AD402" s="2" t="str">
        <f ca="1"/>
        <v>state.character_level@50</v>
      </c>
    </row>
    <row r="403" spans="1:30">
      <c r="A403" t="str">
        <f t="shared" ca="1" si="12"/>
        <v>state.character_level@55</v>
      </c>
      <c r="B403" t="str">
        <f ca="1">_xlfn.XLOOKUP(tblValidation[[#This Row],[TargetID]],tblTargets[TargetID],tblTargets[TargetType],"")</f>
        <v>STATE</v>
      </c>
      <c r="C403" s="48" t="b">
        <f ca="1">COUNTIF(tblTargets[TargetID], $A403) &gt; 0</f>
        <v>1</v>
      </c>
      <c r="D403" s="48" t="b">
        <f ca="1">IF(OR(LEFT(tblValidation[[#This Row],[TargetID]],10)="state.CHAR",RIGHT(tblValidation[[#This Row],[TargetID]],5)="maxed"),TRUE, COUNTIF(tblChecklist[TargetID], $A403) &gt; 0)</f>
        <v>1</v>
      </c>
      <c r="E4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$A403) &gt; 0)</f>
        <v>1</v>
      </c>
      <c r="F403" s="48" t="b">
        <f ca="1">COUNTIF(tblDependencies[DependencyID], $A403) &gt; 0</f>
        <v>1</v>
      </c>
      <c r="G403" s="48" t="b">
        <f ca="1">COUNTIF(tblQuestObjectives[QuestTargetID], $A403) &gt; 0</f>
        <v>0</v>
      </c>
      <c r="H403" s="48" t="b">
        <f ca="1">COUNTIF(tblQuestObjectives[ObjectiveID], $A403) &gt; 0</f>
        <v>0</v>
      </c>
      <c r="I403" s="48" t="b">
        <f ca="1">COUNTIF(tblTargetStatus[TargetID], $A403) &gt; 0</f>
        <v>1</v>
      </c>
      <c r="J403" s="48" t="b">
        <f ca="1">COUNTIF(tblCost[TargetID], $A403) &gt; 0</f>
        <v>0</v>
      </c>
      <c r="K403" s="48" t="b">
        <f ca="1">COUNTIF(tblStates[StateID], $A403) &gt; 0</f>
        <v>1</v>
      </c>
      <c r="L403" s="48" t="b">
        <f t="shared" ca="1" si="13"/>
        <v>1</v>
      </c>
      <c r="M403" s="48" t="b">
        <f ca="1">IF(tblValidation[[#This Row],[TargetID]]="","",COUNTIF(tblTargets[TargetID],A403)&gt;1)</f>
        <v>0</v>
      </c>
      <c r="N403" s="48" t="b">
        <f ca="1">IF(tblValidation[[#This Row],[TargetID]]="","",COUNTIF(tblStates[StateID],tblValidation[[#This Row],[TargetID]])&gt;1)</f>
        <v>0</v>
      </c>
      <c r="O403" s="48" t="b" cm="1">
        <f t="array" aca="1" ref="O4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3" s="48"/>
      <c r="R403" s="48"/>
      <c r="S403" s="48"/>
      <c r="T403" s="48"/>
      <c r="V403" s="2" t="str">
        <f ca="1"/>
        <v>state.character_level@55</v>
      </c>
      <c r="X403" s="2" t="str">
        <f ca="1"/>
        <v>state.character_level@55</v>
      </c>
      <c r="Y403" s="2" t="str">
        <f ca="1"/>
        <v>state.meet_pirate_skeleton@3a</v>
      </c>
      <c r="Z403" s="2" t="str">
        <f ca="1"/>
        <v>state.meet_dark_lady@6a</v>
      </c>
      <c r="AD403" s="2" t="str">
        <f ca="1"/>
        <v>state.character_level@55</v>
      </c>
    </row>
    <row r="404" spans="1:30">
      <c r="A404" t="str">
        <f t="shared" ca="1" si="12"/>
        <v>state.character_level@6</v>
      </c>
      <c r="B404" t="str">
        <f ca="1">_xlfn.XLOOKUP(tblValidation[[#This Row],[TargetID]],tblTargets[TargetID],tblTargets[TargetType],"")</f>
        <v>STATE</v>
      </c>
      <c r="C404" s="48" t="b">
        <f ca="1">COUNTIF(tblTargets[TargetID], $A404) &gt; 0</f>
        <v>1</v>
      </c>
      <c r="D404" s="48" t="b">
        <f ca="1">IF(OR(LEFT(tblValidation[[#This Row],[TargetID]],10)="state.CHAR",RIGHT(tblValidation[[#This Row],[TargetID]],5)="maxed"),TRUE, COUNTIF(tblChecklist[TargetID], $A404) &gt; 0)</f>
        <v>1</v>
      </c>
      <c r="E4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$A404) &gt; 0)</f>
        <v>1</v>
      </c>
      <c r="F404" s="48" t="b">
        <f ca="1">COUNTIF(tblDependencies[DependencyID], $A404) &gt; 0</f>
        <v>1</v>
      </c>
      <c r="G404" s="48" t="b">
        <f ca="1">COUNTIF(tblQuestObjectives[QuestTargetID], $A404) &gt; 0</f>
        <v>0</v>
      </c>
      <c r="H404" s="48" t="b">
        <f ca="1">COUNTIF(tblQuestObjectives[ObjectiveID], $A404) &gt; 0</f>
        <v>0</v>
      </c>
      <c r="I404" s="48" t="b">
        <f ca="1">COUNTIF(tblTargetStatus[TargetID], $A404) &gt; 0</f>
        <v>1</v>
      </c>
      <c r="J404" s="48" t="b">
        <f ca="1">COUNTIF(tblCost[TargetID], $A404) &gt; 0</f>
        <v>0</v>
      </c>
      <c r="K404" s="48" t="b">
        <f ca="1">COUNTIF(tblStates[StateID], $A404) &gt; 0</f>
        <v>1</v>
      </c>
      <c r="L404" s="48" t="b">
        <f t="shared" ca="1" si="13"/>
        <v>1</v>
      </c>
      <c r="M404" s="48" t="b">
        <f ca="1">IF(tblValidation[[#This Row],[TargetID]]="","",COUNTIF(tblTargets[TargetID],A404)&gt;1)</f>
        <v>0</v>
      </c>
      <c r="N404" s="48" t="b">
        <f ca="1">IF(tblValidation[[#This Row],[TargetID]]="","",COUNTIF(tblStates[StateID],tblValidation[[#This Row],[TargetID]])&gt;1)</f>
        <v>0</v>
      </c>
      <c r="O404" s="48" t="b" cm="1">
        <f t="array" aca="1" ref="O4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4" s="48"/>
      <c r="R404" s="48"/>
      <c r="S404" s="48"/>
      <c r="T404" s="48"/>
      <c r="V404" s="2" t="str">
        <f ca="1"/>
        <v>state.character_level@6</v>
      </c>
      <c r="X404" s="2" t="str">
        <f ca="1"/>
        <v>state.character_level@6</v>
      </c>
      <c r="Y404" s="2" t="str">
        <f ca="1"/>
        <v>state.meet_raven@f1_first_time</v>
      </c>
      <c r="Z404" s="2" t="str">
        <f ca="1"/>
        <v>state.meet_dark_lady@6b</v>
      </c>
      <c r="AD404" s="2" t="str">
        <f ca="1"/>
        <v>state.character_level@6</v>
      </c>
    </row>
    <row r="405" spans="1:30">
      <c r="A405" t="str">
        <f t="shared" ca="1" si="12"/>
        <v>state.character_level@7</v>
      </c>
      <c r="B405" t="str">
        <f ca="1">_xlfn.XLOOKUP(tblValidation[[#This Row],[TargetID]],tblTargets[TargetID],tblTargets[TargetType],"")</f>
        <v>STATE</v>
      </c>
      <c r="C405" s="48" t="b">
        <f ca="1">COUNTIF(tblTargets[TargetID], $A405) &gt; 0</f>
        <v>1</v>
      </c>
      <c r="D405" s="48" t="b">
        <f ca="1">IF(OR(LEFT(tblValidation[[#This Row],[TargetID]],10)="state.CHAR",RIGHT(tblValidation[[#This Row],[TargetID]],5)="maxed"),TRUE, COUNTIF(tblChecklist[TargetID], $A405) &gt; 0)</f>
        <v>1</v>
      </c>
      <c r="E4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$A405) &gt; 0)</f>
        <v>1</v>
      </c>
      <c r="F405" s="48" t="b">
        <f ca="1">COUNTIF(tblDependencies[DependencyID], $A405) &gt; 0</f>
        <v>1</v>
      </c>
      <c r="G405" s="48" t="b">
        <f ca="1">COUNTIF(tblQuestObjectives[QuestTargetID], $A405) &gt; 0</f>
        <v>0</v>
      </c>
      <c r="H405" s="48" t="b">
        <f ca="1">COUNTIF(tblQuestObjectives[ObjectiveID], $A405) &gt; 0</f>
        <v>0</v>
      </c>
      <c r="I405" s="48" t="b">
        <f ca="1">COUNTIF(tblTargetStatus[TargetID], $A405) &gt; 0</f>
        <v>1</v>
      </c>
      <c r="J405" s="48" t="b">
        <f ca="1">COUNTIF(tblCost[TargetID], $A405) &gt; 0</f>
        <v>0</v>
      </c>
      <c r="K405" s="48" t="b">
        <f ca="1">COUNTIF(tblStates[StateID], $A405) &gt; 0</f>
        <v>1</v>
      </c>
      <c r="L405" s="48" t="b">
        <f t="shared" ca="1" si="13"/>
        <v>1</v>
      </c>
      <c r="M405" s="48" t="b">
        <f ca="1">IF(tblValidation[[#This Row],[TargetID]]="","",COUNTIF(tblTargets[TargetID],A405)&gt;1)</f>
        <v>0</v>
      </c>
      <c r="N405" s="48" t="b">
        <f ca="1">IF(tblValidation[[#This Row],[TargetID]]="","",COUNTIF(tblStates[StateID],tblValidation[[#This Row],[TargetID]])&gt;1)</f>
        <v>0</v>
      </c>
      <c r="O405" s="48" t="b" cm="1">
        <f t="array" aca="1" ref="O4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5" s="48"/>
      <c r="R405" s="48"/>
      <c r="S405" s="48"/>
      <c r="T405" s="48"/>
      <c r="V405" s="2" t="str">
        <f ca="1"/>
        <v>state.character_level@7</v>
      </c>
      <c r="X405" s="2" t="str">
        <f ca="1"/>
        <v>state.character_level@7</v>
      </c>
      <c r="Y405" s="2" t="str">
        <f ca="1"/>
        <v>state.meet_raven@f1_second_time</v>
      </c>
      <c r="Z405" s="2" t="str">
        <f ca="1"/>
        <v>state.meet_dark_lady@6b_second</v>
      </c>
      <c r="AD405" s="2" t="str">
        <f ca="1"/>
        <v>state.character_level@7</v>
      </c>
    </row>
    <row r="406" spans="1:30">
      <c r="A406" t="str">
        <f t="shared" ca="1" si="12"/>
        <v>state.character_level@8</v>
      </c>
      <c r="B406" t="str">
        <f ca="1">_xlfn.XLOOKUP(tblValidation[[#This Row],[TargetID]],tblTargets[TargetID],tblTargets[TargetType],"")</f>
        <v>STATE</v>
      </c>
      <c r="C406" s="48" t="b">
        <f ca="1">COUNTIF(tblTargets[TargetID], $A406) &gt; 0</f>
        <v>1</v>
      </c>
      <c r="D406" s="48" t="b">
        <f ca="1">IF(OR(LEFT(tblValidation[[#This Row],[TargetID]],10)="state.CHAR",RIGHT(tblValidation[[#This Row],[TargetID]],5)="maxed"),TRUE, COUNTIF(tblChecklist[TargetID], $A406) &gt; 0)</f>
        <v>1</v>
      </c>
      <c r="E4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$A406) &gt; 0)</f>
        <v>1</v>
      </c>
      <c r="F406" s="48" t="b">
        <f ca="1">COUNTIF(tblDependencies[DependencyID], $A406) &gt; 0</f>
        <v>1</v>
      </c>
      <c r="G406" s="48" t="b">
        <f ca="1">COUNTIF(tblQuestObjectives[QuestTargetID], $A406) &gt; 0</f>
        <v>0</v>
      </c>
      <c r="H406" s="48" t="b">
        <f ca="1">COUNTIF(tblQuestObjectives[ObjectiveID], $A406) &gt; 0</f>
        <v>0</v>
      </c>
      <c r="I406" s="48" t="b">
        <f ca="1">COUNTIF(tblTargetStatus[TargetID], $A406) &gt; 0</f>
        <v>1</v>
      </c>
      <c r="J406" s="48" t="b">
        <f ca="1">COUNTIF(tblCost[TargetID], $A406) &gt; 0</f>
        <v>0</v>
      </c>
      <c r="K406" s="48" t="b">
        <f ca="1">COUNTIF(tblStates[StateID], $A406) &gt; 0</f>
        <v>1</v>
      </c>
      <c r="L406" s="48" t="b">
        <f t="shared" ca="1" si="13"/>
        <v>1</v>
      </c>
      <c r="M406" s="48" t="b">
        <f ca="1">IF(tblValidation[[#This Row],[TargetID]]="","",COUNTIF(tblTargets[TargetID],A406)&gt;1)</f>
        <v>0</v>
      </c>
      <c r="N406" s="48" t="b">
        <f ca="1">IF(tblValidation[[#This Row],[TargetID]]="","",COUNTIF(tblStates[StateID],tblValidation[[#This Row],[TargetID]])&gt;1)</f>
        <v>0</v>
      </c>
      <c r="O406" s="48" t="b" cm="1">
        <f t="array" aca="1" ref="O4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6" s="48"/>
      <c r="R406" s="48"/>
      <c r="S406" s="48"/>
      <c r="T406" s="48"/>
      <c r="V406" s="2" t="str">
        <f ca="1"/>
        <v>state.character_level@8</v>
      </c>
      <c r="X406" s="2" t="str">
        <f ca="1"/>
        <v>state.character_level@8</v>
      </c>
      <c r="Y406" s="2" t="str">
        <f ca="1"/>
        <v>state.meet_raven@f1_third_time</v>
      </c>
      <c r="Z406" s="2" t="str">
        <f ca="1"/>
        <v>state.meet_dark_lady@f2</v>
      </c>
      <c r="AD406" s="2" t="str">
        <f ca="1"/>
        <v>state.character_level@8</v>
      </c>
    </row>
    <row r="407" spans="1:30">
      <c r="A407" t="str">
        <f t="shared" ca="1" si="12"/>
        <v>state.character_level@80</v>
      </c>
      <c r="B407" t="str">
        <f ca="1">_xlfn.XLOOKUP(tblValidation[[#This Row],[TargetID]],tblTargets[TargetID],tblTargets[TargetType],"")</f>
        <v>STATE</v>
      </c>
      <c r="C407" s="48" t="b">
        <f ca="1">COUNTIF(tblTargets[TargetID], $A407) &gt; 0</f>
        <v>1</v>
      </c>
      <c r="D407" s="48" t="b">
        <f ca="1">IF(OR(LEFT(tblValidation[[#This Row],[TargetID]],10)="state.CHAR",RIGHT(tblValidation[[#This Row],[TargetID]],5)="maxed"),TRUE, COUNTIF(tblChecklist[TargetID], $A407) &gt; 0)</f>
        <v>1</v>
      </c>
      <c r="E4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$A407) &gt; 0)</f>
        <v>1</v>
      </c>
      <c r="F407" s="48" t="b">
        <f ca="1">COUNTIF(tblDependencies[DependencyID], $A407) &gt; 0</f>
        <v>1</v>
      </c>
      <c r="G407" s="48" t="b">
        <f ca="1">COUNTIF(tblQuestObjectives[QuestTargetID], $A407) &gt; 0</f>
        <v>0</v>
      </c>
      <c r="H407" s="48" t="b">
        <f ca="1">COUNTIF(tblQuestObjectives[ObjectiveID], $A407) &gt; 0</f>
        <v>0</v>
      </c>
      <c r="I407" s="48" t="b">
        <f ca="1">COUNTIF(tblTargetStatus[TargetID], $A407) &gt; 0</f>
        <v>1</v>
      </c>
      <c r="J407" s="48" t="b">
        <f ca="1">COUNTIF(tblCost[TargetID], $A407) &gt; 0</f>
        <v>0</v>
      </c>
      <c r="K407" s="48" t="b">
        <f ca="1">COUNTIF(tblStates[StateID], $A407) &gt; 0</f>
        <v>1</v>
      </c>
      <c r="L407" s="48" t="b">
        <f t="shared" ca="1" si="13"/>
        <v>1</v>
      </c>
      <c r="M407" s="48" t="b">
        <f ca="1">IF(tblValidation[[#This Row],[TargetID]]="","",COUNTIF(tblTargets[TargetID],A407)&gt;1)</f>
        <v>0</v>
      </c>
      <c r="N407" s="48" t="b">
        <f ca="1">IF(tblValidation[[#This Row],[TargetID]]="","",COUNTIF(tblStates[StateID],tblValidation[[#This Row],[TargetID]])&gt;1)</f>
        <v>0</v>
      </c>
      <c r="O407" s="48" t="b" cm="1">
        <f t="array" aca="1" ref="O4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7" s="48"/>
      <c r="R407" s="48"/>
      <c r="S407" s="48"/>
      <c r="T407" s="48"/>
      <c r="V407" s="2" t="str">
        <f ca="1"/>
        <v>state.character_level@80</v>
      </c>
      <c r="X407" s="2" t="str">
        <f ca="1"/>
        <v>state.character_level@80</v>
      </c>
      <c r="Y407" s="2" t="str">
        <f ca="1"/>
        <v>state.meet_raven@f2</v>
      </c>
      <c r="Z407" s="2" t="str">
        <f ca="1"/>
        <v>state.meet_dark_lady_6d</v>
      </c>
      <c r="AD407" s="2" t="str">
        <f ca="1"/>
        <v>state.character_level@80</v>
      </c>
    </row>
    <row r="408" spans="1:30">
      <c r="A408" t="str">
        <f t="shared" ca="1" si="12"/>
        <v>state.character_level@9</v>
      </c>
      <c r="B408" t="str">
        <f ca="1">_xlfn.XLOOKUP(tblValidation[[#This Row],[TargetID]],tblTargets[TargetID],tblTargets[TargetType],"")</f>
        <v>STATE</v>
      </c>
      <c r="C408" s="48" t="b">
        <f ca="1">COUNTIF(tblTargets[TargetID], $A408) &gt; 0</f>
        <v>1</v>
      </c>
      <c r="D408" s="48" t="b">
        <f ca="1">IF(OR(LEFT(tblValidation[[#This Row],[TargetID]],10)="state.CHAR",RIGHT(tblValidation[[#This Row],[TargetID]],5)="maxed"),TRUE, COUNTIF(tblChecklist[TargetID], $A408) &gt; 0)</f>
        <v>1</v>
      </c>
      <c r="E4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$A408) &gt; 0)</f>
        <v>1</v>
      </c>
      <c r="F408" s="48" t="b">
        <f ca="1">COUNTIF(tblDependencies[DependencyID], $A408) &gt; 0</f>
        <v>1</v>
      </c>
      <c r="G408" s="48" t="b">
        <f ca="1">COUNTIF(tblQuestObjectives[QuestTargetID], $A408) &gt; 0</f>
        <v>0</v>
      </c>
      <c r="H408" s="48" t="b">
        <f ca="1">COUNTIF(tblQuestObjectives[ObjectiveID], $A408) &gt; 0</f>
        <v>0</v>
      </c>
      <c r="I408" s="48" t="b">
        <f ca="1">COUNTIF(tblTargetStatus[TargetID], $A408) &gt; 0</f>
        <v>1</v>
      </c>
      <c r="J408" s="48" t="b">
        <f ca="1">COUNTIF(tblCost[TargetID], $A408) &gt; 0</f>
        <v>0</v>
      </c>
      <c r="K408" s="48" t="b">
        <f ca="1">COUNTIF(tblStates[StateID], $A408) &gt; 0</f>
        <v>1</v>
      </c>
      <c r="L408" s="48" t="b">
        <f t="shared" ca="1" si="13"/>
        <v>1</v>
      </c>
      <c r="M408" s="48" t="b">
        <f ca="1">IF(tblValidation[[#This Row],[TargetID]]="","",COUNTIF(tblTargets[TargetID],A408)&gt;1)</f>
        <v>0</v>
      </c>
      <c r="N408" s="48" t="b">
        <f ca="1">IF(tblValidation[[#This Row],[TargetID]]="","",COUNTIF(tblStates[StateID],tblValidation[[#This Row],[TargetID]])&gt;1)</f>
        <v>0</v>
      </c>
      <c r="O408" s="48" t="b" cm="1">
        <f t="array" aca="1" ref="O4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8" s="48"/>
      <c r="R408" s="48"/>
      <c r="S408" s="48"/>
      <c r="T408" s="48"/>
      <c r="V408" s="2" t="str">
        <f ca="1"/>
        <v>state.character_level@9</v>
      </c>
      <c r="X408" s="2" t="str">
        <f ca="1"/>
        <v>state.character_level@9</v>
      </c>
      <c r="Y408" s="2" t="str">
        <f ca="1"/>
        <v>state.meet_raven@f3</v>
      </c>
      <c r="Z408" s="2" t="str">
        <f ca="1"/>
        <v>state.meet_fat_demon@4a</v>
      </c>
      <c r="AD408" s="2" t="str">
        <f ca="1"/>
        <v>state.character_level@9</v>
      </c>
    </row>
    <row r="409" spans="1:30">
      <c r="A409" t="str">
        <f t="shared" ca="1" si="12"/>
        <v>state.complete_dungeon@1a</v>
      </c>
      <c r="B409" t="str">
        <f ca="1">_xlfn.XLOOKUP(tblValidation[[#This Row],[TargetID]],tblTargets[TargetID],tblTargets[TargetType],"")</f>
        <v>STATE</v>
      </c>
      <c r="C409" s="48" t="b">
        <f ca="1">COUNTIF(tblTargets[TargetID], $A409) &gt; 0</f>
        <v>1</v>
      </c>
      <c r="D409" s="48" t="b">
        <f ca="1">IF(OR(LEFT(tblValidation[[#This Row],[TargetID]],10)="state.CHAR",RIGHT(tblValidation[[#This Row],[TargetID]],5)="maxed"),TRUE, COUNTIF(tblChecklist[TargetID], $A409) &gt; 0)</f>
        <v>1</v>
      </c>
      <c r="E4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$A409) &gt; 0)</f>
        <v>1</v>
      </c>
      <c r="F409" s="48" t="b">
        <f ca="1">COUNTIF(tblDependencies[DependencyID], $A409) &gt; 0</f>
        <v>0</v>
      </c>
      <c r="G409" s="48" t="b">
        <f ca="1">COUNTIF(tblQuestObjectives[QuestTargetID], $A409) &gt; 0</f>
        <v>0</v>
      </c>
      <c r="H409" s="48" t="b">
        <f ca="1">COUNTIF(tblQuestObjectives[ObjectiveID], $A409) &gt; 0</f>
        <v>1</v>
      </c>
      <c r="I409" s="48" t="b">
        <f ca="1">COUNTIF(tblTargetStatus[TargetID], $A409) &gt; 0</f>
        <v>1</v>
      </c>
      <c r="J409" s="48" t="b">
        <f ca="1">COUNTIF(tblCost[TargetID], $A409) &gt; 0</f>
        <v>0</v>
      </c>
      <c r="K409" s="48" t="b">
        <f ca="1">COUNTIF(tblStates[StateID], $A409) &gt; 0</f>
        <v>0</v>
      </c>
      <c r="L409" s="48" t="b">
        <f t="shared" ca="1" si="13"/>
        <v>1</v>
      </c>
      <c r="M409" s="48" t="b">
        <f ca="1">IF(tblValidation[[#This Row],[TargetID]]="","",COUNTIF(tblTargets[TargetID],A409)&gt;1)</f>
        <v>0</v>
      </c>
      <c r="N409" s="48" t="b">
        <f ca="1">IF(tblValidation[[#This Row],[TargetID]]="","",COUNTIF(tblStates[StateID],tblValidation[[#This Row],[TargetID]])&gt;1)</f>
        <v>0</v>
      </c>
      <c r="O409" s="48" t="b" cm="1">
        <f t="array" aca="1" ref="O4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9" s="48"/>
      <c r="R409" s="48"/>
      <c r="S409" s="48"/>
      <c r="T409" s="48"/>
      <c r="V409" s="2" t="str">
        <f ca="1"/>
        <v>state.complete_dungeon@1a</v>
      </c>
      <c r="X409" s="2" t="str">
        <f ca="1"/>
        <v>state.complete_dungeon@1a</v>
      </c>
      <c r="Y409" s="2" t="str">
        <f ca="1"/>
        <v>state.meet_royal_rat@6b</v>
      </c>
      <c r="Z409" s="2" t="str">
        <f ca="1"/>
        <v>state.meet_foodie_demon@f2</v>
      </c>
      <c r="AD409" s="2" t="str">
        <f ca="1"/>
        <v>state.complete_dungeon@1a</v>
      </c>
    </row>
    <row r="410" spans="1:30">
      <c r="A410" t="str">
        <f t="shared" ca="1" si="12"/>
        <v>state.complete_dungeon@6D</v>
      </c>
      <c r="B410" t="str">
        <f ca="1">_xlfn.XLOOKUP(tblValidation[[#This Row],[TargetID]],tblTargets[TargetID],tblTargets[TargetType],"")</f>
        <v>STATE</v>
      </c>
      <c r="C410" s="48" t="b">
        <f ca="1">COUNTIF(tblTargets[TargetID], $A410) &gt; 0</f>
        <v>1</v>
      </c>
      <c r="D410" s="48" t="b">
        <f ca="1">IF(OR(LEFT(tblValidation[[#This Row],[TargetID]],10)="state.CHAR",RIGHT(tblValidation[[#This Row],[TargetID]],5)="maxed"),TRUE, COUNTIF(tblChecklist[TargetID], $A410) &gt; 0)</f>
        <v>1</v>
      </c>
      <c r="E4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$A410) &gt; 0)</f>
        <v>1</v>
      </c>
      <c r="F410" s="48" t="b">
        <f ca="1">COUNTIF(tblDependencies[DependencyID], $A410) &gt; 0</f>
        <v>0</v>
      </c>
      <c r="G410" s="48" t="b">
        <f ca="1">COUNTIF(tblQuestObjectives[QuestTargetID], $A410) &gt; 0</f>
        <v>0</v>
      </c>
      <c r="H410" s="48" t="b">
        <f ca="1">COUNTIF(tblQuestObjectives[ObjectiveID], $A410) &gt; 0</f>
        <v>1</v>
      </c>
      <c r="I410" s="48" t="b">
        <f ca="1">COUNTIF(tblTargetStatus[TargetID], $A410) &gt; 0</f>
        <v>1</v>
      </c>
      <c r="J410" s="48" t="b">
        <f ca="1">COUNTIF(tblCost[TargetID], $A410) &gt; 0</f>
        <v>0</v>
      </c>
      <c r="K410" s="48" t="b">
        <f ca="1">COUNTIF(tblStates[StateID], $A410) &gt; 0</f>
        <v>0</v>
      </c>
      <c r="L410" s="48" t="b">
        <f t="shared" ca="1" si="13"/>
        <v>1</v>
      </c>
      <c r="M410" s="48" t="b">
        <f ca="1">IF(tblValidation[[#This Row],[TargetID]]="","",COUNTIF(tblTargets[TargetID],A410)&gt;1)</f>
        <v>0</v>
      </c>
      <c r="N410" s="48" t="b">
        <f ca="1">IF(tblValidation[[#This Row],[TargetID]]="","",COUNTIF(tblStates[StateID],tblValidation[[#This Row],[TargetID]])&gt;1)</f>
        <v>0</v>
      </c>
      <c r="O410" s="48" t="b" cm="1">
        <f t="array" aca="1" ref="O4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0" s="48"/>
      <c r="R410" s="48"/>
      <c r="S410" s="48"/>
      <c r="T410" s="48"/>
      <c r="V410" s="2" t="str">
        <f ca="1"/>
        <v>state.complete_dungeon@6D</v>
      </c>
      <c r="X410" s="2" t="str">
        <f ca="1"/>
        <v>state.complete_dungeon@6D</v>
      </c>
      <c r="Y410" s="2" t="str">
        <f ca="1"/>
        <v>state.meet_samurai_panda@6a</v>
      </c>
      <c r="Z410" s="2" t="str">
        <f ca="1"/>
        <v>state.meet_forest_fairy@f2</v>
      </c>
      <c r="AD410" s="2" t="str">
        <f ca="1"/>
        <v>state.complete_dungeon@6D</v>
      </c>
    </row>
    <row r="411" spans="1:30">
      <c r="A411" t="str">
        <f t="shared" ca="1" si="12"/>
        <v>state.complete_dungeon_5c</v>
      </c>
      <c r="B411" t="str">
        <f ca="1">_xlfn.XLOOKUP(tblValidation[[#This Row],[TargetID]],tblTargets[TargetID],tblTargets[TargetType],"")</f>
        <v>STATE</v>
      </c>
      <c r="C411" s="48" t="b">
        <f ca="1">COUNTIF(tblTargets[TargetID], $A411) &gt; 0</f>
        <v>1</v>
      </c>
      <c r="D411" s="48" t="b">
        <f ca="1">IF(OR(LEFT(tblValidation[[#This Row],[TargetID]],10)="state.CHAR",RIGHT(tblValidation[[#This Row],[TargetID]],5)="maxed"),TRUE, COUNTIF(tblChecklist[TargetID], $A411) &gt; 0)</f>
        <v>1</v>
      </c>
      <c r="E4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$A411) &gt; 0)</f>
        <v>1</v>
      </c>
      <c r="F411" s="48" t="b">
        <f ca="1">COUNTIF(tblDependencies[DependencyID], $A411) &gt; 0</f>
        <v>1</v>
      </c>
      <c r="G411" s="48" t="b">
        <f ca="1">COUNTIF(tblQuestObjectives[QuestTargetID], $A411) &gt; 0</f>
        <v>0</v>
      </c>
      <c r="H411" s="48" t="b">
        <f ca="1">COUNTIF(tblQuestObjectives[ObjectiveID], $A411) &gt; 0</f>
        <v>1</v>
      </c>
      <c r="I411" s="48" t="b">
        <f ca="1">COUNTIF(tblTargetStatus[TargetID], $A411) &gt; 0</f>
        <v>1</v>
      </c>
      <c r="J411" s="48" t="b">
        <f ca="1">COUNTIF(tblCost[TargetID], $A411) &gt; 0</f>
        <v>0</v>
      </c>
      <c r="K411" s="48" t="b">
        <f ca="1">COUNTIF(tblStates[StateID], $A411) &gt; 0</f>
        <v>1</v>
      </c>
      <c r="L411" s="48" t="b">
        <f t="shared" ca="1" si="13"/>
        <v>1</v>
      </c>
      <c r="M411" s="48" t="b">
        <f ca="1">IF(tblValidation[[#This Row],[TargetID]]="","",COUNTIF(tblTargets[TargetID],A411)&gt;1)</f>
        <v>0</v>
      </c>
      <c r="N411" s="48" t="b">
        <f ca="1">IF(tblValidation[[#This Row],[TargetID]]="","",COUNTIF(tblStates[StateID],tblValidation[[#This Row],[TargetID]])&gt;1)</f>
        <v>0</v>
      </c>
      <c r="O411" s="48" t="b" cm="1">
        <f t="array" aca="1" ref="O4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1" s="48"/>
      <c r="R411" s="48"/>
      <c r="S411" s="48"/>
      <c r="T411" s="48"/>
      <c r="V411" s="2" t="str">
        <f ca="1"/>
        <v>state.complete_dungeon_5c</v>
      </c>
      <c r="X411" s="2" t="str">
        <f ca="1"/>
        <v>state.complete_dungeon_5c</v>
      </c>
      <c r="Y411" s="2" t="str">
        <f ca="1"/>
        <v>state.meet_traveling_merchant@1b</v>
      </c>
      <c r="Z411" s="2" t="str">
        <f ca="1"/>
        <v>state.meet_hunter@f1</v>
      </c>
      <c r="AD411" s="2" t="str">
        <f ca="1"/>
        <v>state.complete_dungeon_5c</v>
      </c>
    </row>
    <row r="412" spans="1:30">
      <c r="A412" t="str">
        <f t="shared" ca="1" si="12"/>
        <v>state.complete_dungeon_5c_second</v>
      </c>
      <c r="B412" t="str">
        <f ca="1">_xlfn.XLOOKUP(tblValidation[[#This Row],[TargetID]],tblTargets[TargetID],tblTargets[TargetType],"")</f>
        <v>STATE</v>
      </c>
      <c r="C412" s="48" t="b">
        <f ca="1">COUNTIF(tblTargets[TargetID], $A412) &gt; 0</f>
        <v>1</v>
      </c>
      <c r="D412" s="48" t="b">
        <f ca="1">IF(OR(LEFT(tblValidation[[#This Row],[TargetID]],10)="state.CHAR",RIGHT(tblValidation[[#This Row],[TargetID]],5)="maxed"),TRUE, COUNTIF(tblChecklist[TargetID], $A412) &gt; 0)</f>
        <v>1</v>
      </c>
      <c r="E4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$A412) &gt; 0)</f>
        <v>1</v>
      </c>
      <c r="F412" s="48" t="b">
        <f ca="1">COUNTIF(tblDependencies[DependencyID], $A412) &gt; 0</f>
        <v>0</v>
      </c>
      <c r="G412" s="48" t="b">
        <f ca="1">COUNTIF(tblQuestObjectives[QuestTargetID], $A412) &gt; 0</f>
        <v>0</v>
      </c>
      <c r="H412" s="48" t="b">
        <f ca="1">COUNTIF(tblQuestObjectives[ObjectiveID], $A412) &gt; 0</f>
        <v>1</v>
      </c>
      <c r="I412" s="48" t="b">
        <f ca="1">COUNTIF(tblTargetStatus[TargetID], $A412) &gt; 0</f>
        <v>1</v>
      </c>
      <c r="J412" s="48" t="b">
        <f ca="1">COUNTIF(tblCost[TargetID], $A412) &gt; 0</f>
        <v>0</v>
      </c>
      <c r="K412" s="48" t="b">
        <f ca="1">COUNTIF(tblStates[StateID], $A412) &gt; 0</f>
        <v>0</v>
      </c>
      <c r="L412" s="48" t="b">
        <f t="shared" ca="1" si="13"/>
        <v>1</v>
      </c>
      <c r="M412" s="48" t="b">
        <f ca="1">IF(tblValidation[[#This Row],[TargetID]]="","",COUNTIF(tblTargets[TargetID],A412)&gt;1)</f>
        <v>0</v>
      </c>
      <c r="N412" s="48" t="b">
        <f ca="1">IF(tblValidation[[#This Row],[TargetID]]="","",COUNTIF(tblStates[StateID],tblValidation[[#This Row],[TargetID]])&gt;1)</f>
        <v>0</v>
      </c>
      <c r="O412" s="48" t="b" cm="1">
        <f t="array" aca="1" ref="O4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2" s="48"/>
      <c r="R412" s="48"/>
      <c r="S412" s="48"/>
      <c r="T412" s="48"/>
      <c r="V412" s="2" t="str">
        <f ca="1"/>
        <v>state.complete_dungeon_5c_second</v>
      </c>
      <c r="X412" s="2" t="str">
        <f ca="1"/>
        <v>state.complete_dungeon_5c_second</v>
      </c>
      <c r="Y412" s="2" t="str">
        <f ca="1"/>
        <v>state.obtain_8_malu</v>
      </c>
      <c r="Z412" s="2" t="str">
        <f ca="1"/>
        <v>state.meet_inventor@5b</v>
      </c>
      <c r="AD412" s="2" t="str">
        <f ca="1"/>
        <v>state.complete_dungeon_5c_second</v>
      </c>
    </row>
    <row r="413" spans="1:30">
      <c r="A413" t="str">
        <f t="shared" ca="1" si="12"/>
        <v>state.complete_dungeon_6c</v>
      </c>
      <c r="B413" t="str">
        <f ca="1">_xlfn.XLOOKUP(tblValidation[[#This Row],[TargetID]],tblTargets[TargetID],tblTargets[TargetType],"")</f>
        <v>STATE</v>
      </c>
      <c r="C413" s="48" t="b">
        <f ca="1">COUNTIF(tblTargets[TargetID], $A413) &gt; 0</f>
        <v>1</v>
      </c>
      <c r="D413" s="48" t="b">
        <f ca="1">IF(OR(LEFT(tblValidation[[#This Row],[TargetID]],10)="state.CHAR",RIGHT(tblValidation[[#This Row],[TargetID]],5)="maxed"),TRUE, COUNTIF(tblChecklist[TargetID], $A413) &gt; 0)</f>
        <v>1</v>
      </c>
      <c r="E4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$A413) &gt; 0)</f>
        <v>1</v>
      </c>
      <c r="F413" s="48" t="b">
        <f ca="1">COUNTIF(tblDependencies[DependencyID], $A413) &gt; 0</f>
        <v>0</v>
      </c>
      <c r="G413" s="48" t="b">
        <f ca="1">COUNTIF(tblQuestObjectives[QuestTargetID], $A413) &gt; 0</f>
        <v>0</v>
      </c>
      <c r="H413" s="48" t="b">
        <f ca="1">COUNTIF(tblQuestObjectives[ObjectiveID], $A413) &gt; 0</f>
        <v>1</v>
      </c>
      <c r="I413" s="48" t="b">
        <f ca="1">COUNTIF(tblTargetStatus[TargetID], $A413) &gt; 0</f>
        <v>1</v>
      </c>
      <c r="J413" s="48" t="b">
        <f ca="1">COUNTIF(tblCost[TargetID], $A413) &gt; 0</f>
        <v>0</v>
      </c>
      <c r="K413" s="48" t="b">
        <f ca="1">COUNTIF(tblStates[StateID], $A413) &gt; 0</f>
        <v>1</v>
      </c>
      <c r="L413" s="48" t="b">
        <f t="shared" ca="1" si="13"/>
        <v>1</v>
      </c>
      <c r="M413" s="48" t="b">
        <f ca="1">IF(tblValidation[[#This Row],[TargetID]]="","",COUNTIF(tblTargets[TargetID],A413)&gt;1)</f>
        <v>0</v>
      </c>
      <c r="N413" s="48" t="b">
        <f ca="1">IF(tblValidation[[#This Row],[TargetID]]="","",COUNTIF(tblStates[StateID],tblValidation[[#This Row],[TargetID]])&gt;1)</f>
        <v>0</v>
      </c>
      <c r="O413" s="48" t="b" cm="1">
        <f t="array" aca="1" ref="O4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3" s="48"/>
      <c r="R413" s="48"/>
      <c r="S413" s="48"/>
      <c r="T413" s="48"/>
      <c r="V413" s="2" t="str">
        <f ca="1"/>
        <v>state.complete_dungeon_6c</v>
      </c>
      <c r="X413" s="2" t="str">
        <f ca="1"/>
        <v>state.complete_dungeon_6c</v>
      </c>
      <c r="Y413" s="2" t="str">
        <f ca="1"/>
        <v>state.obtain_all_emerald_shards</v>
      </c>
      <c r="Z413" s="2" t="str">
        <f ca="1"/>
        <v>state.meet_mech_adventurer@2b</v>
      </c>
      <c r="AD413" s="2" t="str">
        <f ca="1"/>
        <v>state.complete_dungeon_6c</v>
      </c>
    </row>
    <row r="414" spans="1:30">
      <c r="A414" t="str">
        <f t="shared" ca="1" si="12"/>
        <v>state.complete_f1_first_time</v>
      </c>
      <c r="B414" t="str">
        <f ca="1">_xlfn.XLOOKUP(tblValidation[[#This Row],[TargetID]],tblTargets[TargetID],tblTargets[TargetType],"")</f>
        <v>STATE</v>
      </c>
      <c r="C414" s="48" t="b">
        <f ca="1">COUNTIF(tblTargets[TargetID], $A414) &gt; 0</f>
        <v>1</v>
      </c>
      <c r="D414" s="48" t="b">
        <f ca="1">IF(OR(LEFT(tblValidation[[#This Row],[TargetID]],10)="state.CHAR",RIGHT(tblValidation[[#This Row],[TargetID]],5)="maxed"),TRUE, COUNTIF(tblChecklist[TargetID], $A414) &gt; 0)</f>
        <v>1</v>
      </c>
      <c r="E4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$A414) &gt; 0)</f>
        <v>1</v>
      </c>
      <c r="F414" s="48" t="b">
        <f ca="1">COUNTIF(tblDependencies[DependencyID], $A414) &gt; 0</f>
        <v>0</v>
      </c>
      <c r="G414" s="48" t="b">
        <f ca="1">COUNTIF(tblQuestObjectives[QuestTargetID], $A414) &gt; 0</f>
        <v>0</v>
      </c>
      <c r="H414" s="48" t="b">
        <f ca="1">COUNTIF(tblQuestObjectives[ObjectiveID], $A414) &gt; 0</f>
        <v>1</v>
      </c>
      <c r="I414" s="48" t="b">
        <f ca="1">COUNTIF(tblTargetStatus[TargetID], $A414) &gt; 0</f>
        <v>1</v>
      </c>
      <c r="J414" s="48" t="b">
        <f ca="1">COUNTIF(tblCost[TargetID], $A414) &gt; 0</f>
        <v>0</v>
      </c>
      <c r="K414" s="48" t="b">
        <f ca="1">COUNTIF(tblStates[StateID], $A414) &gt; 0</f>
        <v>1</v>
      </c>
      <c r="L414" s="48" t="b">
        <f t="shared" ca="1" si="13"/>
        <v>1</v>
      </c>
      <c r="M414" s="48" t="b">
        <f ca="1">IF(tblValidation[[#This Row],[TargetID]]="","",COUNTIF(tblTargets[TargetID],A414)&gt;1)</f>
        <v>0</v>
      </c>
      <c r="N414" s="48" t="b">
        <f ca="1">IF(tblValidation[[#This Row],[TargetID]]="","",COUNTIF(tblStates[StateID],tblValidation[[#This Row],[TargetID]])&gt;1)</f>
        <v>0</v>
      </c>
      <c r="O414" s="48" t="b" cm="1">
        <f t="array" aca="1" ref="O4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4" s="48"/>
      <c r="R414" s="48"/>
      <c r="S414" s="48"/>
      <c r="T414" s="48"/>
      <c r="V414" s="2" t="str">
        <f ca="1"/>
        <v>state.complete_f1_first_time</v>
      </c>
      <c r="X414" s="2" t="str">
        <f ca="1"/>
        <v>state.complete_f1_first_time</v>
      </c>
      <c r="Y414" s="2" t="str">
        <f ca="1"/>
        <v>state.obtain_any_artifact</v>
      </c>
      <c r="Z414" s="2" t="str">
        <f ca="1"/>
        <v>state.meet_mech_adventurer_3a</v>
      </c>
      <c r="AD414" s="2" t="str">
        <f ca="1"/>
        <v>state.complete_f1_first_time</v>
      </c>
    </row>
    <row r="415" spans="1:30">
      <c r="A415" t="str">
        <f t="shared" ca="1" si="12"/>
        <v>state.complete_f1_with_diligence</v>
      </c>
      <c r="B415" t="str">
        <f ca="1">_xlfn.XLOOKUP(tblValidation[[#This Row],[TargetID]],tblTargets[TargetID],tblTargets[TargetType],"")</f>
        <v>STATE</v>
      </c>
      <c r="C415" s="48" t="b">
        <f ca="1">COUNTIF(tblTargets[TargetID], $A415) &gt; 0</f>
        <v>1</v>
      </c>
      <c r="D415" s="48" t="b">
        <f ca="1">IF(OR(LEFT(tblValidation[[#This Row],[TargetID]],10)="state.CHAR",RIGHT(tblValidation[[#This Row],[TargetID]],5)="maxed"),TRUE, COUNTIF(tblChecklist[TargetID], $A415) &gt; 0)</f>
        <v>1</v>
      </c>
      <c r="E4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$A415) &gt; 0)</f>
        <v>1</v>
      </c>
      <c r="F415" s="48" t="b">
        <f ca="1">COUNTIF(tblDependencies[DependencyID], $A415) &gt; 0</f>
        <v>0</v>
      </c>
      <c r="G415" s="48" t="b">
        <f ca="1">COUNTIF(tblQuestObjectives[QuestTargetID], $A415) &gt; 0</f>
        <v>0</v>
      </c>
      <c r="H415" s="48" t="b">
        <f ca="1">COUNTIF(tblQuestObjectives[ObjectiveID], $A415) &gt; 0</f>
        <v>1</v>
      </c>
      <c r="I415" s="48" t="b">
        <f ca="1">COUNTIF(tblTargetStatus[TargetID], $A415) &gt; 0</f>
        <v>1</v>
      </c>
      <c r="J415" s="48" t="b">
        <f ca="1">COUNTIF(tblCost[TargetID], $A415) &gt; 0</f>
        <v>0</v>
      </c>
      <c r="K415" s="48" t="b">
        <f ca="1">COUNTIF(tblStates[StateID], $A415) &gt; 0</f>
        <v>1</v>
      </c>
      <c r="L415" s="48" t="b">
        <f t="shared" ca="1" si="13"/>
        <v>1</v>
      </c>
      <c r="M415" s="48" t="b">
        <f ca="1">IF(tblValidation[[#This Row],[TargetID]]="","",COUNTIF(tblTargets[TargetID],A415)&gt;1)</f>
        <v>0</v>
      </c>
      <c r="N415" s="48" t="b">
        <f ca="1">IF(tblValidation[[#This Row],[TargetID]]="","",COUNTIF(tblStates[StateID],tblValidation[[#This Row],[TargetID]])&gt;1)</f>
        <v>0</v>
      </c>
      <c r="O415" s="48" t="b" cm="1">
        <f t="array" aca="1" ref="O4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5" s="48"/>
      <c r="R415" s="48"/>
      <c r="S415" s="48"/>
      <c r="T415" s="48"/>
      <c r="V415" s="2" t="str">
        <f ca="1"/>
        <v>state.complete_f1_with_diligence</v>
      </c>
      <c r="X415" s="2" t="str">
        <f ca="1"/>
        <v>state.complete_f1_with_diligence</v>
      </c>
      <c r="Y415" s="2" t="str">
        <f ca="1"/>
        <v>state.obtain_armor4</v>
      </c>
      <c r="Z415" s="2" t="str">
        <f ca="1"/>
        <v>state.meet_mech_adventurer_f1</v>
      </c>
      <c r="AD415" s="2" t="str">
        <f ca="1"/>
        <v>state.complete_f1_with_diligence</v>
      </c>
    </row>
    <row r="416" spans="1:30">
      <c r="A416" t="str">
        <f t="shared" ca="1" si="12"/>
        <v>state.complete_f2_with_diligence</v>
      </c>
      <c r="B416" t="str">
        <f ca="1">_xlfn.XLOOKUP(tblValidation[[#This Row],[TargetID]],tblTargets[TargetID],tblTargets[TargetType],"")</f>
        <v>STATE</v>
      </c>
      <c r="C416" s="48" t="b">
        <f ca="1">COUNTIF(tblTargets[TargetID], $A416) &gt; 0</f>
        <v>1</v>
      </c>
      <c r="D416" s="48" t="b">
        <f ca="1">IF(OR(LEFT(tblValidation[[#This Row],[TargetID]],10)="state.CHAR",RIGHT(tblValidation[[#This Row],[TargetID]],5)="maxed"),TRUE, COUNTIF(tblChecklist[TargetID], $A416) &gt; 0)</f>
        <v>1</v>
      </c>
      <c r="E4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$A416) &gt; 0)</f>
        <v>1</v>
      </c>
      <c r="F416" s="48" t="b">
        <f ca="1">COUNTIF(tblDependencies[DependencyID], $A416) &gt; 0</f>
        <v>0</v>
      </c>
      <c r="G416" s="48" t="b">
        <f ca="1">COUNTIF(tblQuestObjectives[QuestTargetID], $A416) &gt; 0</f>
        <v>0</v>
      </c>
      <c r="H416" s="48" t="b">
        <f ca="1">COUNTIF(tblQuestObjectives[ObjectiveID], $A416) &gt; 0</f>
        <v>1</v>
      </c>
      <c r="I416" s="48" t="b">
        <f ca="1">COUNTIF(tblTargetStatus[TargetID], $A416) &gt; 0</f>
        <v>1</v>
      </c>
      <c r="J416" s="48" t="b">
        <f ca="1">COUNTIF(tblCost[TargetID], $A416) &gt; 0</f>
        <v>0</v>
      </c>
      <c r="K416" s="48" t="b">
        <f ca="1">COUNTIF(tblStates[StateID], $A416) &gt; 0</f>
        <v>1</v>
      </c>
      <c r="L416" s="48" t="b">
        <f t="shared" ca="1" si="13"/>
        <v>1</v>
      </c>
      <c r="M416" s="48" t="b">
        <f ca="1">IF(tblValidation[[#This Row],[TargetID]]="","",COUNTIF(tblTargets[TargetID],A416)&gt;1)</f>
        <v>0</v>
      </c>
      <c r="N416" s="48" t="b">
        <f ca="1">IF(tblValidation[[#This Row],[TargetID]]="","",COUNTIF(tblStates[StateID],tblValidation[[#This Row],[TargetID]])&gt;1)</f>
        <v>0</v>
      </c>
      <c r="O416" s="48" t="b" cm="1">
        <f t="array" aca="1" ref="O4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6" s="48"/>
      <c r="R416" s="48"/>
      <c r="S416" s="48"/>
      <c r="T416" s="48"/>
      <c r="V416" s="2" t="str">
        <f ca="1"/>
        <v>state.complete_f2_with_diligence</v>
      </c>
      <c r="X416" s="2" t="str">
        <f ca="1"/>
        <v>state.complete_f2_with_diligence</v>
      </c>
      <c r="Y416" s="2" t="str">
        <f ca="1"/>
        <v>state.obtain_armor4+</v>
      </c>
      <c r="Z416" s="2" t="str">
        <f ca="1"/>
        <v>state.meet_methusalem@f3</v>
      </c>
      <c r="AD416" s="2" t="str">
        <f ca="1"/>
        <v>state.complete_f2_with_diligence</v>
      </c>
    </row>
    <row r="417" spans="1:30">
      <c r="A417" t="str">
        <f t="shared" ca="1" si="12"/>
        <v>state.complete_f3_with_diligence</v>
      </c>
      <c r="B417" t="str">
        <f ca="1">_xlfn.XLOOKUP(tblValidation[[#This Row],[TargetID]],tblTargets[TargetID],tblTargets[TargetType],"")</f>
        <v>STATE</v>
      </c>
      <c r="C417" s="48" t="b">
        <f ca="1">COUNTIF(tblTargets[TargetID], $A417) &gt; 0</f>
        <v>1</v>
      </c>
      <c r="D417" s="48" t="b">
        <f ca="1">IF(OR(LEFT(tblValidation[[#This Row],[TargetID]],10)="state.CHAR",RIGHT(tblValidation[[#This Row],[TargetID]],5)="maxed"),TRUE, COUNTIF(tblChecklist[TargetID], $A417) &gt; 0)</f>
        <v>1</v>
      </c>
      <c r="E4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$A417) &gt; 0)</f>
        <v>1</v>
      </c>
      <c r="F417" s="48" t="b">
        <f ca="1">COUNTIF(tblDependencies[DependencyID], $A417) &gt; 0</f>
        <v>0</v>
      </c>
      <c r="G417" s="48" t="b">
        <f ca="1">COUNTIF(tblQuestObjectives[QuestTargetID], $A417) &gt; 0</f>
        <v>0</v>
      </c>
      <c r="H417" s="48" t="b">
        <f ca="1">COUNTIF(tblQuestObjectives[ObjectiveID], $A417) &gt; 0</f>
        <v>1</v>
      </c>
      <c r="I417" s="48" t="b">
        <f ca="1">COUNTIF(tblTargetStatus[TargetID], $A417) &gt; 0</f>
        <v>1</v>
      </c>
      <c r="J417" s="48" t="b">
        <f ca="1">COUNTIF(tblCost[TargetID], $A417) &gt; 0</f>
        <v>0</v>
      </c>
      <c r="K417" s="48" t="b">
        <f ca="1">COUNTIF(tblStates[StateID], $A417) &gt; 0</f>
        <v>1</v>
      </c>
      <c r="L417" s="48" t="b">
        <f t="shared" ca="1" si="13"/>
        <v>1</v>
      </c>
      <c r="M417" s="48" t="b">
        <f ca="1">IF(tblValidation[[#This Row],[TargetID]]="","",COUNTIF(tblTargets[TargetID],A417)&gt;1)</f>
        <v>0</v>
      </c>
      <c r="N417" s="48" t="b">
        <f ca="1">IF(tblValidation[[#This Row],[TargetID]]="","",COUNTIF(tblStates[StateID],tblValidation[[#This Row],[TargetID]])&gt;1)</f>
        <v>0</v>
      </c>
      <c r="O417" s="48" t="b" cm="1">
        <f t="array" aca="1" ref="O4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7" s="48"/>
      <c r="R417" s="48"/>
      <c r="S417" s="48"/>
      <c r="T417" s="48"/>
      <c r="V417" s="2" t="str">
        <f ca="1"/>
        <v>state.complete_f3_with_diligence</v>
      </c>
      <c r="X417" s="2" t="str">
        <f ca="1"/>
        <v>state.complete_f3_with_diligence</v>
      </c>
      <c r="Y417" s="2" t="str">
        <f ca="1"/>
        <v>state.obtain_Black_Pearl</v>
      </c>
      <c r="Z417" s="2" t="str">
        <f ca="1"/>
        <v>state.meet_mr_diligence@f1</v>
      </c>
      <c r="AD417" s="2" t="str">
        <f ca="1"/>
        <v>state.complete_f3_with_diligence</v>
      </c>
    </row>
    <row r="418" spans="1:30">
      <c r="A418" t="str">
        <f t="shared" ca="1" si="12"/>
        <v>state.complete_f4_with_diligence</v>
      </c>
      <c r="B418" t="str">
        <f ca="1">_xlfn.XLOOKUP(tblValidation[[#This Row],[TargetID]],tblTargets[TargetID],tblTargets[TargetType],"")</f>
        <v>STATE</v>
      </c>
      <c r="C418" s="48" t="b">
        <f ca="1">COUNTIF(tblTargets[TargetID], $A418) &gt; 0</f>
        <v>1</v>
      </c>
      <c r="D418" s="48" t="b">
        <f ca="1">IF(OR(LEFT(tblValidation[[#This Row],[TargetID]],10)="state.CHAR",RIGHT(tblValidation[[#This Row],[TargetID]],5)="maxed"),TRUE, COUNTIF(tblChecklist[TargetID], $A418) &gt; 0)</f>
        <v>1</v>
      </c>
      <c r="E4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$A418) &gt; 0)</f>
        <v>1</v>
      </c>
      <c r="F418" s="48" t="b">
        <f ca="1">COUNTIF(tblDependencies[DependencyID], $A418) &gt; 0</f>
        <v>0</v>
      </c>
      <c r="G418" s="48" t="b">
        <f ca="1">COUNTIF(tblQuestObjectives[QuestTargetID], $A418) &gt; 0</f>
        <v>0</v>
      </c>
      <c r="H418" s="48" t="b">
        <f ca="1">COUNTIF(tblQuestObjectives[ObjectiveID], $A418) &gt; 0</f>
        <v>1</v>
      </c>
      <c r="I418" s="48" t="b">
        <f ca="1">COUNTIF(tblTargetStatus[TargetID], $A418) &gt; 0</f>
        <v>1</v>
      </c>
      <c r="J418" s="48" t="b">
        <f ca="1">COUNTIF(tblCost[TargetID], $A418) &gt; 0</f>
        <v>0</v>
      </c>
      <c r="K418" s="48" t="b">
        <f ca="1">COUNTIF(tblStates[StateID], $A418) &gt; 0</f>
        <v>1</v>
      </c>
      <c r="L418" s="48" t="b">
        <f t="shared" ca="1" si="13"/>
        <v>1</v>
      </c>
      <c r="M418" s="48" t="b">
        <f ca="1">IF(tblValidation[[#This Row],[TargetID]]="","",COUNTIF(tblTargets[TargetID],A418)&gt;1)</f>
        <v>0</v>
      </c>
      <c r="N418" s="48" t="b">
        <f ca="1">IF(tblValidation[[#This Row],[TargetID]]="","",COUNTIF(tblStates[StateID],tblValidation[[#This Row],[TargetID]])&gt;1)</f>
        <v>0</v>
      </c>
      <c r="O418" s="48" t="b" cm="1">
        <f t="array" aca="1" ref="O4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8" s="48"/>
      <c r="R418" s="48"/>
      <c r="S418" s="48"/>
      <c r="T418" s="48"/>
      <c r="V418" s="2" t="str">
        <f ca="1"/>
        <v>state.complete_f4_with_diligence</v>
      </c>
      <c r="X418" s="2" t="str">
        <f ca="1"/>
        <v>state.complete_f4_with_diligence</v>
      </c>
      <c r="Y418" s="2" t="str">
        <f ca="1"/>
        <v>state.obtain_blueprint</v>
      </c>
      <c r="Z418" s="2" t="str">
        <f ca="1"/>
        <v>state.meet_mrs_diligance@f2</v>
      </c>
      <c r="AD418" s="2" t="str">
        <f ca="1"/>
        <v>state.complete_f4_with_diligence</v>
      </c>
    </row>
    <row r="419" spans="1:30">
      <c r="A419" t="str">
        <f t="shared" ca="1" si="12"/>
        <v>state.complete_lvl1_any_project</v>
      </c>
      <c r="B419" t="str">
        <f ca="1">_xlfn.XLOOKUP(tblValidation[[#This Row],[TargetID]],tblTargets[TargetID],tblTargets[TargetType],"")</f>
        <v>STATE</v>
      </c>
      <c r="C419" s="48" t="b">
        <f ca="1">COUNTIF(tblTargets[TargetID], $A419) &gt; 0</f>
        <v>1</v>
      </c>
      <c r="D419" s="48" t="b">
        <f ca="1">IF(OR(LEFT(tblValidation[[#This Row],[TargetID]],10)="state.CHAR",RIGHT(tblValidation[[#This Row],[TargetID]],5)="maxed"),TRUE, COUNTIF(tblChecklist[TargetID], $A419) &gt; 0)</f>
        <v>1</v>
      </c>
      <c r="E4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$A419) &gt; 0)</f>
        <v>1</v>
      </c>
      <c r="F419" s="48" t="b">
        <f ca="1">COUNTIF(tblDependencies[DependencyID], $A419) &gt; 0</f>
        <v>1</v>
      </c>
      <c r="G419" s="48" t="b">
        <f ca="1">COUNTIF(tblQuestObjectives[QuestTargetID], $A419) &gt; 0</f>
        <v>0</v>
      </c>
      <c r="H419" s="48" t="b">
        <f ca="1">COUNTIF(tblQuestObjectives[ObjectiveID], $A419) &gt; 0</f>
        <v>0</v>
      </c>
      <c r="I419" s="48" t="b">
        <f ca="1">COUNTIF(tblTargetStatus[TargetID], $A419) &gt; 0</f>
        <v>1</v>
      </c>
      <c r="J419" s="48" t="b">
        <f ca="1">COUNTIF(tblCost[TargetID], $A419) &gt; 0</f>
        <v>0</v>
      </c>
      <c r="K419" s="48" t="b">
        <f ca="1">COUNTIF(tblStates[StateID], $A419) &gt; 0</f>
        <v>1</v>
      </c>
      <c r="L419" s="48" t="b">
        <f t="shared" ca="1" si="13"/>
        <v>1</v>
      </c>
      <c r="M419" s="48" t="b">
        <f ca="1">IF(tblValidation[[#This Row],[TargetID]]="","",COUNTIF(tblTargets[TargetID],A419)&gt;1)</f>
        <v>0</v>
      </c>
      <c r="N419" s="48" t="b">
        <f ca="1">IF(tblValidation[[#This Row],[TargetID]]="","",COUNTIF(tblStates[StateID],tblValidation[[#This Row],[TargetID]])&gt;1)</f>
        <v>0</v>
      </c>
      <c r="O419" s="48" t="b" cm="1">
        <f t="array" aca="1" ref="O4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9" s="48"/>
      <c r="R419" s="48"/>
      <c r="S419" s="48"/>
      <c r="T419" s="48"/>
      <c r="V419" s="2" t="str">
        <f ca="1"/>
        <v>state.complete_lvl1_any_project</v>
      </c>
      <c r="X419" s="2" t="str">
        <f ca="1"/>
        <v>state.complete_lvl1_any_project</v>
      </c>
      <c r="Y419" s="2" t="str">
        <f ca="1"/>
        <v>state.obtain_hide</v>
      </c>
      <c r="Z419" s="2" t="str">
        <f ca="1"/>
        <v>state.meet_old_man@4c</v>
      </c>
      <c r="AD419" s="2" t="str">
        <f ca="1"/>
        <v>state.complete_lvl1_any_project</v>
      </c>
    </row>
    <row r="420" spans="1:30">
      <c r="A420" t="str">
        <f t="shared" ca="1" si="12"/>
        <v>state.deliver_ambrosia@f3</v>
      </c>
      <c r="B420" t="str">
        <f ca="1">_xlfn.XLOOKUP(tblValidation[[#This Row],[TargetID]],tblTargets[TargetID],tblTargets[TargetType],"")</f>
        <v>STATE</v>
      </c>
      <c r="C420" s="48" t="b">
        <f ca="1">COUNTIF(tblTargets[TargetID], $A420) &gt; 0</f>
        <v>1</v>
      </c>
      <c r="D420" s="48" t="b">
        <f ca="1">IF(OR(LEFT(tblValidation[[#This Row],[TargetID]],10)="state.CHAR",RIGHT(tblValidation[[#This Row],[TargetID]],5)="maxed"),TRUE, COUNTIF(tblChecklist[TargetID], $A420) &gt; 0)</f>
        <v>1</v>
      </c>
      <c r="E4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$A420) &gt; 0)</f>
        <v>1</v>
      </c>
      <c r="F420" s="48" t="b">
        <f ca="1">COUNTIF(tblDependencies[DependencyID], $A420) &gt; 0</f>
        <v>0</v>
      </c>
      <c r="G420" s="48" t="b">
        <f ca="1">COUNTIF(tblQuestObjectives[QuestTargetID], $A420) &gt; 0</f>
        <v>0</v>
      </c>
      <c r="H420" s="48" t="b">
        <f ca="1">COUNTIF(tblQuestObjectives[ObjectiveID], $A420) &gt; 0</f>
        <v>1</v>
      </c>
      <c r="I420" s="48" t="b">
        <f ca="1">COUNTIF(tblTargetStatus[TargetID], $A420) &gt; 0</f>
        <v>1</v>
      </c>
      <c r="J420" s="48" t="b">
        <f ca="1">COUNTIF(tblCost[TargetID], $A420) &gt; 0</f>
        <v>0</v>
      </c>
      <c r="K420" s="48" t="b">
        <f ca="1">COUNTIF(tblStates[StateID], $A420) &gt; 0</f>
        <v>1</v>
      </c>
      <c r="L420" s="48" t="b">
        <f t="shared" ca="1" si="13"/>
        <v>1</v>
      </c>
      <c r="M420" s="48" t="b">
        <f ca="1">IF(tblValidation[[#This Row],[TargetID]]="","",COUNTIF(tblTargets[TargetID],A420)&gt;1)</f>
        <v>0</v>
      </c>
      <c r="N420" s="48" t="b">
        <f ca="1">IF(tblValidation[[#This Row],[TargetID]]="","",COUNTIF(tblStates[StateID],tblValidation[[#This Row],[TargetID]])&gt;1)</f>
        <v>0</v>
      </c>
      <c r="O420" s="48" t="b" cm="1">
        <f t="array" aca="1" ref="O4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0" s="48"/>
      <c r="R420" s="48"/>
      <c r="S420" s="48"/>
      <c r="T420" s="48"/>
      <c r="V420" s="2" t="str">
        <f ca="1"/>
        <v>state.deliver_ambrosia@f3</v>
      </c>
      <c r="X420" s="2" t="str">
        <f ca="1"/>
        <v>state.deliver_ambrosia@f3</v>
      </c>
      <c r="Y420" s="2" t="str">
        <f ca="1"/>
        <v>state.obtain_level_2_artifact</v>
      </c>
      <c r="Z420" s="2" t="str">
        <f ca="1"/>
        <v>state.meet_pilot@f3</v>
      </c>
      <c r="AD420" s="2" t="str">
        <f ca="1"/>
        <v>state.deliver_ambrosia@f3</v>
      </c>
    </row>
    <row r="421" spans="1:30">
      <c r="A421" t="str">
        <f t="shared" ca="1" si="12"/>
        <v>state.deliver_balm_to_hunter@f2</v>
      </c>
      <c r="B421" t="str">
        <f ca="1">_xlfn.XLOOKUP(tblValidation[[#This Row],[TargetID]],tblTargets[TargetID],tblTargets[TargetType],"")</f>
        <v>STATE</v>
      </c>
      <c r="C421" s="48" t="b">
        <f ca="1">COUNTIF(tblTargets[TargetID], $A421) &gt; 0</f>
        <v>1</v>
      </c>
      <c r="D421" s="48" t="b">
        <f ca="1">IF(OR(LEFT(tblValidation[[#This Row],[TargetID]],10)="state.CHAR",RIGHT(tblValidation[[#This Row],[TargetID]],5)="maxed"),TRUE, COUNTIF(tblChecklist[TargetID], $A421) &gt; 0)</f>
        <v>1</v>
      </c>
      <c r="E4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$A421) &gt; 0)</f>
        <v>1</v>
      </c>
      <c r="F421" s="48" t="b">
        <f ca="1">COUNTIF(tblDependencies[DependencyID], $A421) &gt; 0</f>
        <v>0</v>
      </c>
      <c r="G421" s="48" t="b">
        <f ca="1">COUNTIF(tblQuestObjectives[QuestTargetID], $A421) &gt; 0</f>
        <v>0</v>
      </c>
      <c r="H421" s="48" t="b">
        <f ca="1">COUNTIF(tblQuestObjectives[ObjectiveID], $A421) &gt; 0</f>
        <v>1</v>
      </c>
      <c r="I421" s="48" t="b">
        <f ca="1">COUNTIF(tblTargetStatus[TargetID], $A421) &gt; 0</f>
        <v>1</v>
      </c>
      <c r="J421" s="48" t="b">
        <f ca="1">COUNTIF(tblCost[TargetID], $A421) &gt; 0</f>
        <v>0</v>
      </c>
      <c r="K421" s="48" t="b">
        <f ca="1">COUNTIF(tblStates[StateID], $A421) &gt; 0</f>
        <v>1</v>
      </c>
      <c r="L421" s="48" t="b">
        <f t="shared" ca="1" si="13"/>
        <v>1</v>
      </c>
      <c r="M421" s="48" t="b">
        <f ca="1">IF(tblValidation[[#This Row],[TargetID]]="","",COUNTIF(tblTargets[TargetID],A421)&gt;1)</f>
        <v>0</v>
      </c>
      <c r="N421" s="48" t="b">
        <f ca="1">IF(tblValidation[[#This Row],[TargetID]]="","",COUNTIF(tblStates[StateID],tblValidation[[#This Row],[TargetID]])&gt;1)</f>
        <v>0</v>
      </c>
      <c r="O421" s="48" t="b" cm="1">
        <f t="array" aca="1" ref="O4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1" s="48"/>
      <c r="R421" s="48"/>
      <c r="S421" s="48"/>
      <c r="T421" s="48"/>
      <c r="V421" s="2" t="str">
        <f ca="1"/>
        <v>state.deliver_balm_to_hunter@f2</v>
      </c>
      <c r="X421" s="2" t="str">
        <f ca="1"/>
        <v>state.deliver_balm_to_hunter@f2</v>
      </c>
      <c r="Y421" s="2" t="str">
        <f ca="1"/>
        <v>state.obtain_level_2_map</v>
      </c>
      <c r="Z421" s="2" t="str">
        <f ca="1"/>
        <v>state.meet_pirate_skeleton@3a</v>
      </c>
      <c r="AD421" s="2" t="str">
        <f ca="1"/>
        <v>state.deliver_balm_to_hunter@f2</v>
      </c>
    </row>
    <row r="422" spans="1:30">
      <c r="A422" t="str">
        <f t="shared" ca="1" si="12"/>
        <v>state.deliver_bedroll_4b</v>
      </c>
      <c r="B422" t="str">
        <f ca="1">_xlfn.XLOOKUP(tblValidation[[#This Row],[TargetID]],tblTargets[TargetID],tblTargets[TargetType],"")</f>
        <v>STATE</v>
      </c>
      <c r="C422" s="48" t="b">
        <f ca="1">COUNTIF(tblTargets[TargetID], $A422) &gt; 0</f>
        <v>1</v>
      </c>
      <c r="D422" s="48" t="b">
        <f ca="1">IF(OR(LEFT(tblValidation[[#This Row],[TargetID]],10)="state.CHAR",RIGHT(tblValidation[[#This Row],[TargetID]],5)="maxed"),TRUE, COUNTIF(tblChecklist[TargetID], $A422) &gt; 0)</f>
        <v>1</v>
      </c>
      <c r="E4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$A422) &gt; 0)</f>
        <v>1</v>
      </c>
      <c r="F422" s="48" t="b">
        <f ca="1">COUNTIF(tblDependencies[DependencyID], $A422) &gt; 0</f>
        <v>0</v>
      </c>
      <c r="G422" s="48" t="b">
        <f ca="1">COUNTIF(tblQuestObjectives[QuestTargetID], $A422) &gt; 0</f>
        <v>0</v>
      </c>
      <c r="H422" s="48" t="b">
        <f ca="1">COUNTIF(tblQuestObjectives[ObjectiveID], $A422) &gt; 0</f>
        <v>1</v>
      </c>
      <c r="I422" s="48" t="b">
        <f ca="1">COUNTIF(tblTargetStatus[TargetID], $A422) &gt; 0</f>
        <v>1</v>
      </c>
      <c r="J422" s="48" t="b">
        <f ca="1">COUNTIF(tblCost[TargetID], $A422) &gt; 0</f>
        <v>0</v>
      </c>
      <c r="K422" s="48" t="b">
        <f ca="1">COUNTIF(tblStates[StateID], $A422) &gt; 0</f>
        <v>1</v>
      </c>
      <c r="L422" s="48" t="b">
        <f t="shared" ca="1" si="13"/>
        <v>1</v>
      </c>
      <c r="M422" s="48" t="b">
        <f ca="1">IF(tblValidation[[#This Row],[TargetID]]="","",COUNTIF(tblTargets[TargetID],A422)&gt;1)</f>
        <v>0</v>
      </c>
      <c r="N422" s="48" t="b">
        <f ca="1">IF(tblValidation[[#This Row],[TargetID]]="","",COUNTIF(tblStates[StateID],tblValidation[[#This Row],[TargetID]])&gt;1)</f>
        <v>0</v>
      </c>
      <c r="O422" s="48" t="b" cm="1">
        <f t="array" aca="1" ref="O4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2" s="48"/>
      <c r="R422" s="48"/>
      <c r="S422" s="48"/>
      <c r="T422" s="48"/>
      <c r="V422" s="2" t="str">
        <f ca="1"/>
        <v>state.deliver_bedroll_4b</v>
      </c>
      <c r="X422" s="2" t="str">
        <f ca="1"/>
        <v>state.deliver_bedroll_4b</v>
      </c>
      <c r="Y422" s="2" t="str">
        <f ca="1"/>
        <v>state.obtain_level_3_artifact</v>
      </c>
      <c r="Z422" s="2" t="str">
        <f ca="1"/>
        <v>state.meet_raven@f1_first_time</v>
      </c>
      <c r="AD422" s="2" t="str">
        <f ca="1"/>
        <v>state.deliver_bedroll_4b</v>
      </c>
    </row>
    <row r="423" spans="1:30">
      <c r="A423" t="str">
        <f t="shared" ca="1" si="12"/>
        <v>state.deliver_cheese_6b</v>
      </c>
      <c r="B423" t="str">
        <f ca="1">_xlfn.XLOOKUP(tblValidation[[#This Row],[TargetID]],tblTargets[TargetID],tblTargets[TargetType],"")</f>
        <v>STATE</v>
      </c>
      <c r="C423" s="48" t="b">
        <f ca="1">COUNTIF(tblTargets[TargetID], $A423) &gt; 0</f>
        <v>1</v>
      </c>
      <c r="D423" s="48" t="b">
        <f ca="1">IF(OR(LEFT(tblValidation[[#This Row],[TargetID]],10)="state.CHAR",RIGHT(tblValidation[[#This Row],[TargetID]],5)="maxed"),TRUE, COUNTIF(tblChecklist[TargetID], $A423) &gt; 0)</f>
        <v>1</v>
      </c>
      <c r="E4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$A423) &gt; 0)</f>
        <v>1</v>
      </c>
      <c r="F423" s="48" t="b">
        <f ca="1">COUNTIF(tblDependencies[DependencyID], $A423) &gt; 0</f>
        <v>0</v>
      </c>
      <c r="G423" s="48" t="b">
        <f ca="1">COUNTIF(tblQuestObjectives[QuestTargetID], $A423) &gt; 0</f>
        <v>0</v>
      </c>
      <c r="H423" s="48" t="b">
        <f ca="1">COUNTIF(tblQuestObjectives[ObjectiveID], $A423) &gt; 0</f>
        <v>1</v>
      </c>
      <c r="I423" s="48" t="b">
        <f ca="1">COUNTIF(tblTargetStatus[TargetID], $A423) &gt; 0</f>
        <v>1</v>
      </c>
      <c r="J423" s="48" t="b">
        <f ca="1">COUNTIF(tblCost[TargetID], $A423) &gt; 0</f>
        <v>0</v>
      </c>
      <c r="K423" s="48" t="b">
        <f ca="1">COUNTIF(tblStates[StateID], $A423) &gt; 0</f>
        <v>1</v>
      </c>
      <c r="L423" s="48" t="b">
        <f t="shared" ca="1" si="13"/>
        <v>1</v>
      </c>
      <c r="M423" s="48" t="b">
        <f ca="1">IF(tblValidation[[#This Row],[TargetID]]="","",COUNTIF(tblTargets[TargetID],A423)&gt;1)</f>
        <v>0</v>
      </c>
      <c r="N423" s="48" t="b">
        <f ca="1">IF(tblValidation[[#This Row],[TargetID]]="","",COUNTIF(tblStates[StateID],tblValidation[[#This Row],[TargetID]])&gt;1)</f>
        <v>0</v>
      </c>
      <c r="O423" s="48" t="b" cm="1">
        <f t="array" aca="1" ref="O4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3" s="48"/>
      <c r="R423" s="48"/>
      <c r="S423" s="48"/>
      <c r="T423" s="48"/>
      <c r="V423" s="2" t="str">
        <f ca="1"/>
        <v>state.deliver_cheese_6b</v>
      </c>
      <c r="X423" s="2" t="str">
        <f ca="1"/>
        <v>state.deliver_cheese_6b</v>
      </c>
      <c r="Y423" s="2" t="str">
        <f ca="1"/>
        <v>state.obtain_map_catacombs</v>
      </c>
      <c r="Z423" s="2" t="str">
        <f ca="1"/>
        <v>state.meet_raven@f1_second_time</v>
      </c>
      <c r="AD423" s="2" t="str">
        <f ca="1"/>
        <v>state.deliver_cheese_6b</v>
      </c>
    </row>
    <row r="424" spans="1:30">
      <c r="A424" t="str">
        <f t="shared" ca="1" si="12"/>
        <v>state.deliver_horn_ 2c</v>
      </c>
      <c r="B424" t="str">
        <f ca="1">_xlfn.XLOOKUP(tblValidation[[#This Row],[TargetID]],tblTargets[TargetID],tblTargets[TargetType],"")</f>
        <v>STATE</v>
      </c>
      <c r="C424" s="48" t="b">
        <f ca="1">COUNTIF(tblTargets[TargetID], $A424) &gt; 0</f>
        <v>1</v>
      </c>
      <c r="D424" s="48" t="b">
        <f ca="1">IF(OR(LEFT(tblValidation[[#This Row],[TargetID]],10)="state.CHAR",RIGHT(tblValidation[[#This Row],[TargetID]],5)="maxed"),TRUE, COUNTIF(tblChecklist[TargetID], $A424) &gt; 0)</f>
        <v>1</v>
      </c>
      <c r="E4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$A424) &gt; 0)</f>
        <v>1</v>
      </c>
      <c r="F424" s="48" t="b">
        <f ca="1">COUNTIF(tblDependencies[DependencyID], $A424) &gt; 0</f>
        <v>0</v>
      </c>
      <c r="G424" s="48" t="b">
        <f ca="1">COUNTIF(tblQuestObjectives[QuestTargetID], $A424) &gt; 0</f>
        <v>0</v>
      </c>
      <c r="H424" s="48" t="b">
        <f ca="1">COUNTIF(tblQuestObjectives[ObjectiveID], $A424) &gt; 0</f>
        <v>1</v>
      </c>
      <c r="I424" s="48" t="b">
        <f ca="1">COUNTIF(tblTargetStatus[TargetID], $A424) &gt; 0</f>
        <v>1</v>
      </c>
      <c r="J424" s="48" t="b">
        <f ca="1">COUNTIF(tblCost[TargetID], $A424) &gt; 0</f>
        <v>0</v>
      </c>
      <c r="K424" s="48" t="b">
        <f ca="1">COUNTIF(tblStates[StateID], $A424) &gt; 0</f>
        <v>1</v>
      </c>
      <c r="L424" s="48" t="b">
        <f t="shared" ca="1" si="13"/>
        <v>1</v>
      </c>
      <c r="M424" s="48" t="b">
        <f ca="1">IF(tblValidation[[#This Row],[TargetID]]="","",COUNTIF(tblTargets[TargetID],A424)&gt;1)</f>
        <v>0</v>
      </c>
      <c r="N424" s="48" t="b">
        <f ca="1">IF(tblValidation[[#This Row],[TargetID]]="","",COUNTIF(tblStates[StateID],tblValidation[[#This Row],[TargetID]])&gt;1)</f>
        <v>0</v>
      </c>
      <c r="O424" s="48" t="b" cm="1">
        <f t="array" aca="1" ref="O4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4" s="48"/>
      <c r="R424" s="48"/>
      <c r="S424" s="48"/>
      <c r="T424" s="48"/>
      <c r="V424" s="2" t="str">
        <f ca="1"/>
        <v>state.deliver_horn_ 2c</v>
      </c>
      <c r="X424" s="2" t="str">
        <f ca="1"/>
        <v>state.deliver_horn_ 2c</v>
      </c>
      <c r="Y424" s="2" t="str">
        <f ca="1"/>
        <v>state.obtain_map4</v>
      </c>
      <c r="Z424" s="2" t="str">
        <f ca="1"/>
        <v>state.meet_raven@f1_third_time</v>
      </c>
      <c r="AD424" s="2" t="str">
        <f ca="1"/>
        <v>state.deliver_horn_ 2c</v>
      </c>
    </row>
    <row r="425" spans="1:30">
      <c r="A425" t="str">
        <f t="shared" ca="1" si="12"/>
        <v>state.deliver_inarizushi_4b</v>
      </c>
      <c r="B425" t="str">
        <f ca="1">_xlfn.XLOOKUP(tblValidation[[#This Row],[TargetID]],tblTargets[TargetID],tblTargets[TargetType],"")</f>
        <v>STATE</v>
      </c>
      <c r="C425" s="48" t="b">
        <f ca="1">COUNTIF(tblTargets[TargetID], $A425) &gt; 0</f>
        <v>1</v>
      </c>
      <c r="D425" s="48" t="b">
        <f ca="1">IF(OR(LEFT(tblValidation[[#This Row],[TargetID]],10)="state.CHAR",RIGHT(tblValidation[[#This Row],[TargetID]],5)="maxed"),TRUE, COUNTIF(tblChecklist[TargetID], $A425) &gt; 0)</f>
        <v>1</v>
      </c>
      <c r="E4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$A425) &gt; 0)</f>
        <v>1</v>
      </c>
      <c r="F425" s="48" t="b">
        <f ca="1">COUNTIF(tblDependencies[DependencyID], $A425) &gt; 0</f>
        <v>0</v>
      </c>
      <c r="G425" s="48" t="b">
        <f ca="1">COUNTIF(tblQuestObjectives[QuestTargetID], $A425) &gt; 0</f>
        <v>0</v>
      </c>
      <c r="H425" s="48" t="b">
        <f ca="1">COUNTIF(tblQuestObjectives[ObjectiveID], $A425) &gt; 0</f>
        <v>1</v>
      </c>
      <c r="I425" s="48" t="b">
        <f ca="1">COUNTIF(tblTargetStatus[TargetID], $A425) &gt; 0</f>
        <v>1</v>
      </c>
      <c r="J425" s="48" t="b">
        <f ca="1">COUNTIF(tblCost[TargetID], $A425) &gt; 0</f>
        <v>0</v>
      </c>
      <c r="K425" s="48" t="b">
        <f ca="1">COUNTIF(tblStates[StateID], $A425) &gt; 0</f>
        <v>1</v>
      </c>
      <c r="L425" s="48" t="b">
        <f t="shared" ca="1" si="13"/>
        <v>1</v>
      </c>
      <c r="M425" s="48" t="b">
        <f ca="1">IF(tblValidation[[#This Row],[TargetID]]="","",COUNTIF(tblTargets[TargetID],A425)&gt;1)</f>
        <v>0</v>
      </c>
      <c r="N425" s="48" t="b">
        <f ca="1">IF(tblValidation[[#This Row],[TargetID]]="","",COUNTIF(tblStates[StateID],tblValidation[[#This Row],[TargetID]])&gt;1)</f>
        <v>0</v>
      </c>
      <c r="O425" s="48" t="b" cm="1">
        <f t="array" aca="1" ref="O4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5" s="48"/>
      <c r="R425" s="48"/>
      <c r="S425" s="48"/>
      <c r="T425" s="48"/>
      <c r="V425" s="2" t="str">
        <f ca="1"/>
        <v>state.deliver_inarizushi_4b</v>
      </c>
      <c r="X425" s="2" t="str">
        <f ca="1"/>
        <v>state.deliver_inarizushi_4b</v>
      </c>
      <c r="Y425" s="2" t="str">
        <f ca="1"/>
        <v>state.obtain_map4_x2</v>
      </c>
      <c r="Z425" s="2" t="str">
        <f ca="1"/>
        <v>state.meet_raven@f2</v>
      </c>
      <c r="AD425" s="2" t="str">
        <f ca="1"/>
        <v>state.deliver_inarizushi_4b</v>
      </c>
    </row>
    <row r="426" spans="1:30">
      <c r="A426" t="str">
        <f t="shared" ca="1" si="12"/>
        <v>state.deliver_pizza_diavola_ 5b</v>
      </c>
      <c r="B426" t="str">
        <f ca="1">_xlfn.XLOOKUP(tblValidation[[#This Row],[TargetID]],tblTargets[TargetID],tblTargets[TargetType],"")</f>
        <v>STATE</v>
      </c>
      <c r="C426" s="48" t="b">
        <f ca="1">COUNTIF(tblTargets[TargetID], $A426) &gt; 0</f>
        <v>1</v>
      </c>
      <c r="D426" s="48" t="b">
        <f ca="1">IF(OR(LEFT(tblValidation[[#This Row],[TargetID]],10)="state.CHAR",RIGHT(tblValidation[[#This Row],[TargetID]],5)="maxed"),TRUE, COUNTIF(tblChecklist[TargetID], $A426) &gt; 0)</f>
        <v>1</v>
      </c>
      <c r="E4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$A426) &gt; 0)</f>
        <v>1</v>
      </c>
      <c r="F426" s="48" t="b">
        <f ca="1">COUNTIF(tblDependencies[DependencyID], $A426) &gt; 0</f>
        <v>0</v>
      </c>
      <c r="G426" s="48" t="b">
        <f ca="1">COUNTIF(tblQuestObjectives[QuestTargetID], $A426) &gt; 0</f>
        <v>0</v>
      </c>
      <c r="H426" s="48" t="b">
        <f ca="1">COUNTIF(tblQuestObjectives[ObjectiveID], $A426) &gt; 0</f>
        <v>1</v>
      </c>
      <c r="I426" s="48" t="b">
        <f ca="1">COUNTIF(tblTargetStatus[TargetID], $A426) &gt; 0</f>
        <v>1</v>
      </c>
      <c r="J426" s="48" t="b">
        <f ca="1">COUNTIF(tblCost[TargetID], $A426) &gt; 0</f>
        <v>0</v>
      </c>
      <c r="K426" s="48" t="b">
        <f ca="1">COUNTIF(tblStates[StateID], $A426) &gt; 0</f>
        <v>1</v>
      </c>
      <c r="L426" s="48" t="b">
        <f t="shared" ca="1" si="13"/>
        <v>1</v>
      </c>
      <c r="M426" s="48" t="b">
        <f ca="1">IF(tblValidation[[#This Row],[TargetID]]="","",COUNTIF(tblTargets[TargetID],A426)&gt;1)</f>
        <v>0</v>
      </c>
      <c r="N426" s="48" t="b">
        <f ca="1">IF(tblValidation[[#This Row],[TargetID]]="","",COUNTIF(tblStates[StateID],tblValidation[[#This Row],[TargetID]])&gt;1)</f>
        <v>0</v>
      </c>
      <c r="O426" s="48" t="b" cm="1">
        <f t="array" aca="1" ref="O4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6" s="48"/>
      <c r="R426" s="48"/>
      <c r="S426" s="48"/>
      <c r="T426" s="48"/>
      <c r="V426" s="2" t="str">
        <f ca="1"/>
        <v>state.deliver_pizza_diavola_ 5b</v>
      </c>
      <c r="X426" s="2" t="str">
        <f ca="1"/>
        <v>state.deliver_pizza_diavola_ 5b</v>
      </c>
      <c r="Y426" s="2" t="str">
        <f ca="1"/>
        <v>state.obtain_mechanism</v>
      </c>
      <c r="Z426" s="2" t="str">
        <f ca="1"/>
        <v>state.meet_raven@f3</v>
      </c>
      <c r="AD426" s="2" t="str">
        <f ca="1"/>
        <v>state.deliver_pizza_diavola_ 5b</v>
      </c>
    </row>
    <row r="427" spans="1:30">
      <c r="A427" t="str">
        <f t="shared" ca="1" si="12"/>
        <v>state.deliver_pizza_diavola_ 5c</v>
      </c>
      <c r="B427" t="str">
        <f ca="1">_xlfn.XLOOKUP(tblValidation[[#This Row],[TargetID]],tblTargets[TargetID],tblTargets[TargetType],"")</f>
        <v>STATE</v>
      </c>
      <c r="C427" s="48" t="b">
        <f ca="1">COUNTIF(tblTargets[TargetID], $A427) &gt; 0</f>
        <v>1</v>
      </c>
      <c r="D427" s="48" t="b">
        <f ca="1">IF(OR(LEFT(tblValidation[[#This Row],[TargetID]],10)="state.CHAR",RIGHT(tblValidation[[#This Row],[TargetID]],5)="maxed"),TRUE, COUNTIF(tblChecklist[TargetID], $A427) &gt; 0)</f>
        <v>1</v>
      </c>
      <c r="E4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$A427) &gt; 0)</f>
        <v>1</v>
      </c>
      <c r="F427" s="48" t="b">
        <f ca="1">COUNTIF(tblDependencies[DependencyID], $A427) &gt; 0</f>
        <v>0</v>
      </c>
      <c r="G427" s="48" t="b">
        <f ca="1">COUNTIF(tblQuestObjectives[QuestTargetID], $A427) &gt; 0</f>
        <v>0</v>
      </c>
      <c r="H427" s="48" t="b">
        <f ca="1">COUNTIF(tblQuestObjectives[ObjectiveID], $A427) &gt; 0</f>
        <v>1</v>
      </c>
      <c r="I427" s="48" t="b">
        <f ca="1">COUNTIF(tblTargetStatus[TargetID], $A427) &gt; 0</f>
        <v>1</v>
      </c>
      <c r="J427" s="48" t="b">
        <f ca="1">COUNTIF(tblCost[TargetID], $A427) &gt; 0</f>
        <v>0</v>
      </c>
      <c r="K427" s="48" t="b">
        <f ca="1">COUNTIF(tblStates[StateID], $A427) &gt; 0</f>
        <v>1</v>
      </c>
      <c r="L427" s="48" t="b">
        <f t="shared" ca="1" si="13"/>
        <v>1</v>
      </c>
      <c r="M427" s="48" t="b">
        <f ca="1">IF(tblValidation[[#This Row],[TargetID]]="","",COUNTIF(tblTargets[TargetID],A427)&gt;1)</f>
        <v>0</v>
      </c>
      <c r="N427" s="48" t="b">
        <f ca="1">IF(tblValidation[[#This Row],[TargetID]]="","",COUNTIF(tblStates[StateID],tblValidation[[#This Row],[TargetID]])&gt;1)</f>
        <v>0</v>
      </c>
      <c r="O427" s="48" t="b" cm="1">
        <f t="array" aca="1" ref="O4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7" s="48"/>
      <c r="R427" s="48"/>
      <c r="S427" s="48"/>
      <c r="T427" s="48"/>
      <c r="V427" s="2" t="str">
        <f ca="1"/>
        <v>state.deliver_pizza_diavola_ 5c</v>
      </c>
      <c r="X427" s="2" t="str">
        <f ca="1"/>
        <v>state.deliver_pizza_diavola_ 5c</v>
      </c>
      <c r="Y427" s="2" t="str">
        <f ca="1"/>
        <v>state.obtain_Pirate_hat</v>
      </c>
      <c r="Z427" s="2" t="str">
        <f ca="1"/>
        <v>state.meet_royal_rat@6b</v>
      </c>
      <c r="AD427" s="2" t="str">
        <f ca="1"/>
        <v>state.deliver_pizza_diavola_ 5c</v>
      </c>
    </row>
    <row r="428" spans="1:30">
      <c r="A428" t="str">
        <f t="shared" ca="1" si="12"/>
        <v>state.deliver_porcini_pasta_ 3c</v>
      </c>
      <c r="B428" t="str">
        <f ca="1">_xlfn.XLOOKUP(tblValidation[[#This Row],[TargetID]],tblTargets[TargetID],tblTargets[TargetType],"")</f>
        <v>STATE</v>
      </c>
      <c r="C428" s="48" t="b">
        <f ca="1">COUNTIF(tblTargets[TargetID], $A428) &gt; 0</f>
        <v>1</v>
      </c>
      <c r="D428" s="48" t="b">
        <f ca="1">IF(OR(LEFT(tblValidation[[#This Row],[TargetID]],10)="state.CHAR",RIGHT(tblValidation[[#This Row],[TargetID]],5)="maxed"),TRUE, COUNTIF(tblChecklist[TargetID], $A428) &gt; 0)</f>
        <v>1</v>
      </c>
      <c r="E4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$A428) &gt; 0)</f>
        <v>1</v>
      </c>
      <c r="F428" s="48" t="b">
        <f ca="1">COUNTIF(tblDependencies[DependencyID], $A428) &gt; 0</f>
        <v>0</v>
      </c>
      <c r="G428" s="48" t="b">
        <f ca="1">COUNTIF(tblQuestObjectives[QuestTargetID], $A428) &gt; 0</f>
        <v>0</v>
      </c>
      <c r="H428" s="48" t="b">
        <f ca="1">COUNTIF(tblQuestObjectives[ObjectiveID], $A428) &gt; 0</f>
        <v>1</v>
      </c>
      <c r="I428" s="48" t="b">
        <f ca="1">COUNTIF(tblTargetStatus[TargetID], $A428) &gt; 0</f>
        <v>1</v>
      </c>
      <c r="J428" s="48" t="b">
        <f ca="1">COUNTIF(tblCost[TargetID], $A428) &gt; 0</f>
        <v>0</v>
      </c>
      <c r="K428" s="48" t="b">
        <f ca="1">COUNTIF(tblStates[StateID], $A428) &gt; 0</f>
        <v>1</v>
      </c>
      <c r="L428" s="48" t="b">
        <f t="shared" ca="1" si="13"/>
        <v>1</v>
      </c>
      <c r="M428" s="48" t="b">
        <f ca="1">IF(tblValidation[[#This Row],[TargetID]]="","",COUNTIF(tblTargets[TargetID],A428)&gt;1)</f>
        <v>0</v>
      </c>
      <c r="N428" s="48" t="b">
        <f ca="1">IF(tblValidation[[#This Row],[TargetID]]="","",COUNTIF(tblStates[StateID],tblValidation[[#This Row],[TargetID]])&gt;1)</f>
        <v>0</v>
      </c>
      <c r="O428" s="48" t="b" cm="1">
        <f t="array" aca="1" ref="O4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8" s="48"/>
      <c r="R428" s="48"/>
      <c r="S428" s="48"/>
      <c r="T428" s="48"/>
      <c r="V428" s="2" t="str">
        <f ca="1"/>
        <v>state.deliver_porcini_pasta_ 3c</v>
      </c>
      <c r="X428" s="2" t="str">
        <f ca="1"/>
        <v>state.deliver_porcini_pasta_ 3c</v>
      </c>
      <c r="Y428" s="2" t="str">
        <f ca="1"/>
        <v>state.obtain_potion_of_mental_power</v>
      </c>
      <c r="Z428" s="2" t="str">
        <f ca="1"/>
        <v>state.meet_samurai_panda@6a</v>
      </c>
      <c r="AD428" s="2" t="str">
        <f ca="1"/>
        <v>state.deliver_porcini_pasta_ 3c</v>
      </c>
    </row>
    <row r="429" spans="1:30">
      <c r="A429" t="str">
        <f t="shared" ca="1" si="12"/>
        <v>state.deliver_potion_ambrosia_ 3b</v>
      </c>
      <c r="B429" t="str">
        <f ca="1">_xlfn.XLOOKUP(tblValidation[[#This Row],[TargetID]],tblTargets[TargetID],tblTargets[TargetType],"")</f>
        <v>STATE</v>
      </c>
      <c r="C429" s="48" t="b">
        <f ca="1">COUNTIF(tblTargets[TargetID], $A429) &gt; 0</f>
        <v>1</v>
      </c>
      <c r="D429" s="48" t="b">
        <f ca="1">IF(OR(LEFT(tblValidation[[#This Row],[TargetID]],10)="state.CHAR",RIGHT(tblValidation[[#This Row],[TargetID]],5)="maxed"),TRUE, COUNTIF(tblChecklist[TargetID], $A429) &gt; 0)</f>
        <v>1</v>
      </c>
      <c r="E4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$A429) &gt; 0)</f>
        <v>1</v>
      </c>
      <c r="F429" s="48" t="b">
        <f ca="1">COUNTIF(tblDependencies[DependencyID], $A429) &gt; 0</f>
        <v>0</v>
      </c>
      <c r="G429" s="48" t="b">
        <f ca="1">COUNTIF(tblQuestObjectives[QuestTargetID], $A429) &gt; 0</f>
        <v>0</v>
      </c>
      <c r="H429" s="48" t="b">
        <f ca="1">COUNTIF(tblQuestObjectives[ObjectiveID], $A429) &gt; 0</f>
        <v>1</v>
      </c>
      <c r="I429" s="48" t="b">
        <f ca="1">COUNTIF(tblTargetStatus[TargetID], $A429) &gt; 0</f>
        <v>1</v>
      </c>
      <c r="J429" s="48" t="b">
        <f ca="1">COUNTIF(tblCost[TargetID], $A429) &gt; 0</f>
        <v>0</v>
      </c>
      <c r="K429" s="48" t="b">
        <f ca="1">COUNTIF(tblStates[StateID], $A429) &gt; 0</f>
        <v>1</v>
      </c>
      <c r="L429" s="48" t="b">
        <f t="shared" ca="1" si="13"/>
        <v>1</v>
      </c>
      <c r="M429" s="48" t="b">
        <f ca="1">IF(tblValidation[[#This Row],[TargetID]]="","",COUNTIF(tblTargets[TargetID],A429)&gt;1)</f>
        <v>0</v>
      </c>
      <c r="N429" s="48" t="b">
        <f ca="1">IF(tblValidation[[#This Row],[TargetID]]="","",COUNTIF(tblStates[StateID],tblValidation[[#This Row],[TargetID]])&gt;1)</f>
        <v>0</v>
      </c>
      <c r="O429" s="48" t="b" cm="1">
        <f t="array" aca="1" ref="O4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9" s="48"/>
      <c r="R429" s="48"/>
      <c r="S429" s="48"/>
      <c r="T429" s="48"/>
      <c r="V429" s="2" t="str">
        <f ca="1"/>
        <v>state.deliver_potion_ambrosia_ 3b</v>
      </c>
      <c r="X429" s="2" t="str">
        <f ca="1"/>
        <v>state.deliver_potion_ambrosia_ 3b</v>
      </c>
      <c r="Y429" s="2" t="str">
        <f ca="1"/>
        <v>state.obtain_reagent</v>
      </c>
      <c r="Z429" s="2" t="str">
        <f ca="1"/>
        <v>state.meet_traveling_merchant@1b</v>
      </c>
      <c r="AD429" s="2" t="str">
        <f ca="1"/>
        <v>state.deliver_potion_ambrosia_ 3b</v>
      </c>
    </row>
    <row r="430" spans="1:30">
      <c r="A430" t="str">
        <f t="shared" ca="1" si="12"/>
        <v>state.deliver_potion_berserker_rage_ 1c</v>
      </c>
      <c r="B430" t="str">
        <f ca="1">_xlfn.XLOOKUP(tblValidation[[#This Row],[TargetID]],tblTargets[TargetID],tblTargets[TargetType],"")</f>
        <v>STATE</v>
      </c>
      <c r="C430" s="48" t="b">
        <f ca="1">COUNTIF(tblTargets[TargetID], $A430) &gt; 0</f>
        <v>1</v>
      </c>
      <c r="D430" s="48" t="b">
        <f ca="1">IF(OR(LEFT(tblValidation[[#This Row],[TargetID]],10)="state.CHAR",RIGHT(tblValidation[[#This Row],[TargetID]],5)="maxed"),TRUE, COUNTIF(tblChecklist[TargetID], $A430) &gt; 0)</f>
        <v>1</v>
      </c>
      <c r="E4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$A430) &gt; 0)</f>
        <v>1</v>
      </c>
      <c r="F430" s="48" t="b">
        <f ca="1">COUNTIF(tblDependencies[DependencyID], $A430) &gt; 0</f>
        <v>0</v>
      </c>
      <c r="G430" s="48" t="b">
        <f ca="1">COUNTIF(tblQuestObjectives[QuestTargetID], $A430) &gt; 0</f>
        <v>0</v>
      </c>
      <c r="H430" s="48" t="b">
        <f ca="1">COUNTIF(tblQuestObjectives[ObjectiveID], $A430) &gt; 0</f>
        <v>1</v>
      </c>
      <c r="I430" s="48" t="b">
        <f ca="1">COUNTIF(tblTargetStatus[TargetID], $A430) &gt; 0</f>
        <v>1</v>
      </c>
      <c r="J430" s="48" t="b">
        <f ca="1">COUNTIF(tblCost[TargetID], $A430) &gt; 0</f>
        <v>0</v>
      </c>
      <c r="K430" s="48" t="b">
        <f ca="1">COUNTIF(tblStates[StateID], $A430) &gt; 0</f>
        <v>1</v>
      </c>
      <c r="L430" s="48" t="b">
        <f t="shared" ca="1" si="13"/>
        <v>1</v>
      </c>
      <c r="M430" s="48" t="b">
        <f ca="1">IF(tblValidation[[#This Row],[TargetID]]="","",COUNTIF(tblTargets[TargetID],A430)&gt;1)</f>
        <v>0</v>
      </c>
      <c r="N430" s="48" t="b">
        <f ca="1">IF(tblValidation[[#This Row],[TargetID]]="","",COUNTIF(tblStates[StateID],tblValidation[[#This Row],[TargetID]])&gt;1)</f>
        <v>0</v>
      </c>
      <c r="O430" s="48" t="b" cm="1">
        <f t="array" aca="1" ref="O4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0" s="48"/>
      <c r="R430" s="48"/>
      <c r="S430" s="48"/>
      <c r="T430" s="48"/>
      <c r="V430" s="2" t="str">
        <f ca="1"/>
        <v>state.deliver_potion_berserker_rage_ 1c</v>
      </c>
      <c r="X430" s="2" t="str">
        <f ca="1"/>
        <v>state.deliver_potion_berserker_rage_ 1c</v>
      </c>
      <c r="Y430" s="2" t="str">
        <f ca="1"/>
        <v>state.obtain_red_diamond_6a</v>
      </c>
      <c r="Z430" s="2" t="str">
        <f ca="1"/>
        <v>state.obtain_8_malu</v>
      </c>
      <c r="AD430" s="2" t="str">
        <f ca="1"/>
        <v>state.deliver_potion_berserker_rage_ 1c</v>
      </c>
    </row>
    <row r="431" spans="1:30">
      <c r="A431" t="str">
        <f t="shared" ca="1" si="12"/>
        <v>state.deliver_potion_mental_power@f2</v>
      </c>
      <c r="B431" t="str">
        <f ca="1">_xlfn.XLOOKUP(tblValidation[[#This Row],[TargetID]],tblTargets[TargetID],tblTargets[TargetType],"")</f>
        <v>STATE</v>
      </c>
      <c r="C431" s="48" t="b">
        <f ca="1">COUNTIF(tblTargets[TargetID], $A431) &gt; 0</f>
        <v>1</v>
      </c>
      <c r="D431" s="48" t="b">
        <f ca="1">IF(OR(LEFT(tblValidation[[#This Row],[TargetID]],10)="state.CHAR",RIGHT(tblValidation[[#This Row],[TargetID]],5)="maxed"),TRUE, COUNTIF(tblChecklist[TargetID], $A431) &gt; 0)</f>
        <v>1</v>
      </c>
      <c r="E4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$A431) &gt; 0)</f>
        <v>1</v>
      </c>
      <c r="F431" s="48" t="b">
        <f ca="1">COUNTIF(tblDependencies[DependencyID], $A431) &gt; 0</f>
        <v>0</v>
      </c>
      <c r="G431" s="48" t="b">
        <f ca="1">COUNTIF(tblQuestObjectives[QuestTargetID], $A431) &gt; 0</f>
        <v>0</v>
      </c>
      <c r="H431" s="48" t="b">
        <f ca="1">COUNTIF(tblQuestObjectives[ObjectiveID], $A431) &gt; 0</f>
        <v>1</v>
      </c>
      <c r="I431" s="48" t="b">
        <f ca="1">COUNTIF(tblTargetStatus[TargetID], $A431) &gt; 0</f>
        <v>1</v>
      </c>
      <c r="J431" s="48" t="b">
        <f ca="1">COUNTIF(tblCost[TargetID], $A431) &gt; 0</f>
        <v>0</v>
      </c>
      <c r="K431" s="48" t="b">
        <f ca="1">COUNTIF(tblStates[StateID], $A431) &gt; 0</f>
        <v>1</v>
      </c>
      <c r="L431" s="48" t="b">
        <f t="shared" ca="1" si="13"/>
        <v>1</v>
      </c>
      <c r="M431" s="48" t="b">
        <f ca="1">IF(tblValidation[[#This Row],[TargetID]]="","",COUNTIF(tblTargets[TargetID],A431)&gt;1)</f>
        <v>0</v>
      </c>
      <c r="N431" s="48" t="b">
        <f ca="1">IF(tblValidation[[#This Row],[TargetID]]="","",COUNTIF(tblStates[StateID],tblValidation[[#This Row],[TargetID]])&gt;1)</f>
        <v>0</v>
      </c>
      <c r="O431" s="48" t="b" cm="1">
        <f t="array" aca="1" ref="O4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1" s="48"/>
      <c r="R431" s="48"/>
      <c r="S431" s="48"/>
      <c r="T431" s="48"/>
      <c r="V431" s="2" t="str">
        <f ca="1"/>
        <v>state.deliver_potion_mental_power@f2</v>
      </c>
      <c r="X431" s="2" t="str">
        <f ca="1"/>
        <v>state.deliver_potion_mental_power@f2</v>
      </c>
      <c r="Y431" s="2" t="str">
        <f ca="1"/>
        <v>state.obtain_red_diamond_6b</v>
      </c>
      <c r="Z431" s="2" t="str">
        <f ca="1"/>
        <v>state.obtain_all_emerald_shards</v>
      </c>
      <c r="AD431" s="2" t="str">
        <f ca="1"/>
        <v>state.deliver_potion_mental_power@f2</v>
      </c>
    </row>
    <row r="432" spans="1:30">
      <c r="A432" t="str">
        <f t="shared" ca="1" si="12"/>
        <v>state.deliver_ring</v>
      </c>
      <c r="B432" t="str">
        <f ca="1">_xlfn.XLOOKUP(tblValidation[[#This Row],[TargetID]],tblTargets[TargetID],tblTargets[TargetType],"")</f>
        <v>STATE</v>
      </c>
      <c r="C432" s="48" t="b">
        <f ca="1">COUNTIF(tblTargets[TargetID], $A432) &gt; 0</f>
        <v>1</v>
      </c>
      <c r="D432" s="48" t="b">
        <f ca="1">IF(OR(LEFT(tblValidation[[#This Row],[TargetID]],10)="state.CHAR",RIGHT(tblValidation[[#This Row],[TargetID]],5)="maxed"),TRUE, COUNTIF(tblChecklist[TargetID], $A432) &gt; 0)</f>
        <v>1</v>
      </c>
      <c r="E4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$A432) &gt; 0)</f>
        <v>1</v>
      </c>
      <c r="F432" s="48" t="b">
        <f ca="1">COUNTIF(tblDependencies[DependencyID], $A432) &gt; 0</f>
        <v>0</v>
      </c>
      <c r="G432" s="48" t="b">
        <f ca="1">COUNTIF(tblQuestObjectives[QuestTargetID], $A432) &gt; 0</f>
        <v>0</v>
      </c>
      <c r="H432" s="48" t="b">
        <f ca="1">COUNTIF(tblQuestObjectives[ObjectiveID], $A432) &gt; 0</f>
        <v>1</v>
      </c>
      <c r="I432" s="48" t="b">
        <f ca="1">COUNTIF(tblTargetStatus[TargetID], $A432) &gt; 0</f>
        <v>1</v>
      </c>
      <c r="J432" s="48" t="b">
        <f ca="1">COUNTIF(tblCost[TargetID], $A432) &gt; 0</f>
        <v>0</v>
      </c>
      <c r="K432" s="48" t="b">
        <f ca="1">COUNTIF(tblStates[StateID], $A432) &gt; 0</f>
        <v>1</v>
      </c>
      <c r="L432" s="48" t="b">
        <f t="shared" ca="1" si="13"/>
        <v>1</v>
      </c>
      <c r="M432" s="48" t="b">
        <f ca="1">IF(tblValidation[[#This Row],[TargetID]]="","",COUNTIF(tblTargets[TargetID],A432)&gt;1)</f>
        <v>0</v>
      </c>
      <c r="N432" s="48" t="b">
        <f ca="1">IF(tblValidation[[#This Row],[TargetID]]="","",COUNTIF(tblStates[StateID],tblValidation[[#This Row],[TargetID]])&gt;1)</f>
        <v>0</v>
      </c>
      <c r="O432" s="48" t="b" cm="1">
        <f t="array" aca="1" ref="O4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2" s="48"/>
      <c r="R432" s="48"/>
      <c r="S432" s="48"/>
      <c r="T432" s="48"/>
      <c r="V432" s="2" t="str">
        <f ca="1"/>
        <v>state.deliver_ring</v>
      </c>
      <c r="X432" s="2" t="str">
        <f ca="1"/>
        <v>state.deliver_ring</v>
      </c>
      <c r="Y432" s="2" t="str">
        <f ca="1"/>
        <v>state.obtain_red_diamond_6c</v>
      </c>
      <c r="Z432" s="2" t="str">
        <f ca="1"/>
        <v>state.obtain_any_artifact</v>
      </c>
      <c r="AD432" s="2" t="str">
        <f ca="1"/>
        <v>state.deliver_ring</v>
      </c>
    </row>
    <row r="433" spans="1:30">
      <c r="A433" t="str">
        <f t="shared" ca="1" si="12"/>
        <v>state.deliver_teriyaki_salmon_4c</v>
      </c>
      <c r="B433" t="str">
        <f ca="1">_xlfn.XLOOKUP(tblValidation[[#This Row],[TargetID]],tblTargets[TargetID],tblTargets[TargetType],"")</f>
        <v>STATE</v>
      </c>
      <c r="C433" s="48" t="b">
        <f ca="1">COUNTIF(tblTargets[TargetID], $A433) &gt; 0</f>
        <v>1</v>
      </c>
      <c r="D433" s="48" t="b">
        <f ca="1">IF(OR(LEFT(tblValidation[[#This Row],[TargetID]],10)="state.CHAR",RIGHT(tblValidation[[#This Row],[TargetID]],5)="maxed"),TRUE, COUNTIF(tblChecklist[TargetID], $A433) &gt; 0)</f>
        <v>1</v>
      </c>
      <c r="E4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$A433) &gt; 0)</f>
        <v>1</v>
      </c>
      <c r="F433" s="48" t="b">
        <f ca="1">COUNTIF(tblDependencies[DependencyID], $A433) &gt; 0</f>
        <v>0</v>
      </c>
      <c r="G433" s="48" t="b">
        <f ca="1">COUNTIF(tblQuestObjectives[QuestTargetID], $A433) &gt; 0</f>
        <v>0</v>
      </c>
      <c r="H433" s="48" t="b">
        <f ca="1">COUNTIF(tblQuestObjectives[ObjectiveID], $A433) &gt; 0</f>
        <v>1</v>
      </c>
      <c r="I433" s="48" t="b">
        <f ca="1">COUNTIF(tblTargetStatus[TargetID], $A433) &gt; 0</f>
        <v>1</v>
      </c>
      <c r="J433" s="48" t="b">
        <f ca="1">COUNTIF(tblCost[TargetID], $A433) &gt; 0</f>
        <v>0</v>
      </c>
      <c r="K433" s="48" t="b">
        <f ca="1">COUNTIF(tblStates[StateID], $A433) &gt; 0</f>
        <v>1</v>
      </c>
      <c r="L433" s="48" t="b">
        <f t="shared" ca="1" si="13"/>
        <v>1</v>
      </c>
      <c r="M433" s="48" t="b">
        <f ca="1">IF(tblValidation[[#This Row],[TargetID]]="","",COUNTIF(tblTargets[TargetID],A433)&gt;1)</f>
        <v>0</v>
      </c>
      <c r="N433" s="48" t="b">
        <f ca="1">IF(tblValidation[[#This Row],[TargetID]]="","",COUNTIF(tblStates[StateID],tblValidation[[#This Row],[TargetID]])&gt;1)</f>
        <v>0</v>
      </c>
      <c r="O433" s="48" t="b" cm="1">
        <f t="array" aca="1" ref="O4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3" s="48"/>
      <c r="R433" s="48"/>
      <c r="S433" s="48"/>
      <c r="T433" s="48"/>
      <c r="V433" s="2" t="str">
        <f ca="1"/>
        <v>state.deliver_teriyaki_salmon_4c</v>
      </c>
      <c r="X433" s="2" t="str">
        <f ca="1"/>
        <v>state.deliver_teriyaki_salmon_4c</v>
      </c>
      <c r="Y433" s="2" t="str">
        <f ca="1"/>
        <v>state.obtain_shield4+</v>
      </c>
      <c r="Z433" s="2" t="str">
        <f ca="1"/>
        <v>state.obtain_armor4</v>
      </c>
      <c r="AD433" s="2" t="str">
        <f ca="1"/>
        <v>state.deliver_teriyaki_salmon_4c</v>
      </c>
    </row>
    <row r="434" spans="1:30">
      <c r="A434" t="str">
        <f t="shared" ca="1" si="12"/>
        <v>state.deliver_tofu_4a</v>
      </c>
      <c r="B434" t="str">
        <f ca="1">_xlfn.XLOOKUP(tblValidation[[#This Row],[TargetID]],tblTargets[TargetID],tblTargets[TargetType],"")</f>
        <v>STATE</v>
      </c>
      <c r="C434" s="48" t="b">
        <f ca="1">COUNTIF(tblTargets[TargetID], $A434) &gt; 0</f>
        <v>1</v>
      </c>
      <c r="D434" s="48" t="b">
        <f ca="1">IF(OR(LEFT(tblValidation[[#This Row],[TargetID]],10)="state.CHAR",RIGHT(tblValidation[[#This Row],[TargetID]],5)="maxed"),TRUE, COUNTIF(tblChecklist[TargetID], $A434) &gt; 0)</f>
        <v>1</v>
      </c>
      <c r="E4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$A434) &gt; 0)</f>
        <v>1</v>
      </c>
      <c r="F434" s="48" t="b">
        <f ca="1">COUNTIF(tblDependencies[DependencyID], $A434) &gt; 0</f>
        <v>0</v>
      </c>
      <c r="G434" s="48" t="b">
        <f ca="1">COUNTIF(tblQuestObjectives[QuestTargetID], $A434) &gt; 0</f>
        <v>0</v>
      </c>
      <c r="H434" s="48" t="b">
        <f ca="1">COUNTIF(tblQuestObjectives[ObjectiveID], $A434) &gt; 0</f>
        <v>1</v>
      </c>
      <c r="I434" s="48" t="b">
        <f ca="1">COUNTIF(tblTargetStatus[TargetID], $A434) &gt; 0</f>
        <v>1</v>
      </c>
      <c r="J434" s="48" t="b">
        <f ca="1">COUNTIF(tblCost[TargetID], $A434) &gt; 0</f>
        <v>0</v>
      </c>
      <c r="K434" s="48" t="b">
        <f ca="1">COUNTIF(tblStates[StateID], $A434) &gt; 0</f>
        <v>1</v>
      </c>
      <c r="L434" s="48" t="b">
        <f t="shared" ca="1" si="13"/>
        <v>1</v>
      </c>
      <c r="M434" s="48" t="b">
        <f ca="1">IF(tblValidation[[#This Row],[TargetID]]="","",COUNTIF(tblTargets[TargetID],A434)&gt;1)</f>
        <v>0</v>
      </c>
      <c r="N434" s="48" t="b">
        <f ca="1">IF(tblValidation[[#This Row],[TargetID]]="","",COUNTIF(tblStates[StateID],tblValidation[[#This Row],[TargetID]])&gt;1)</f>
        <v>0</v>
      </c>
      <c r="O434" s="48" t="b" cm="1">
        <f t="array" aca="1" ref="O4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4" s="48"/>
      <c r="R434" s="48"/>
      <c r="S434" s="48"/>
      <c r="T434" s="48"/>
      <c r="V434" s="2" t="str">
        <f ca="1"/>
        <v>state.deliver_tofu_4a</v>
      </c>
      <c r="X434" s="2" t="str">
        <f ca="1"/>
        <v>state.deliver_tofu_4a</v>
      </c>
      <c r="Y434" s="2" t="str">
        <f ca="1"/>
        <v>state.obtain_ship_in_a_bottle</v>
      </c>
      <c r="Z434" s="2" t="str">
        <f ca="1"/>
        <v>state.obtain_armor4+</v>
      </c>
      <c r="AD434" s="2" t="str">
        <f ca="1"/>
        <v>state.deliver_tofu_4a</v>
      </c>
    </row>
    <row r="435" spans="1:30">
      <c r="A435" t="str">
        <f t="shared" ca="1" si="12"/>
        <v>state.deliver_yuba_4c</v>
      </c>
      <c r="B435" t="str">
        <f ca="1">_xlfn.XLOOKUP(tblValidation[[#This Row],[TargetID]],tblTargets[TargetID],tblTargets[TargetType],"")</f>
        <v>STATE</v>
      </c>
      <c r="C435" s="48" t="b">
        <f ca="1">COUNTIF(tblTargets[TargetID], $A435) &gt; 0</f>
        <v>1</v>
      </c>
      <c r="D435" s="48" t="b">
        <f ca="1">IF(OR(LEFT(tblValidation[[#This Row],[TargetID]],10)="state.CHAR",RIGHT(tblValidation[[#This Row],[TargetID]],5)="maxed"),TRUE, COUNTIF(tblChecklist[TargetID], $A435) &gt; 0)</f>
        <v>1</v>
      </c>
      <c r="E4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$A435) &gt; 0)</f>
        <v>1</v>
      </c>
      <c r="F435" s="48" t="b">
        <f ca="1">COUNTIF(tblDependencies[DependencyID], $A435) &gt; 0</f>
        <v>0</v>
      </c>
      <c r="G435" s="48" t="b">
        <f ca="1">COUNTIF(tblQuestObjectives[QuestTargetID], $A435) &gt; 0</f>
        <v>0</v>
      </c>
      <c r="H435" s="48" t="b">
        <f ca="1">COUNTIF(tblQuestObjectives[ObjectiveID], $A435) &gt; 0</f>
        <v>1</v>
      </c>
      <c r="I435" s="48" t="b">
        <f ca="1">COUNTIF(tblTargetStatus[TargetID], $A435) &gt; 0</f>
        <v>1</v>
      </c>
      <c r="J435" s="48" t="b">
        <f ca="1">COUNTIF(tblCost[TargetID], $A435) &gt; 0</f>
        <v>0</v>
      </c>
      <c r="K435" s="48" t="b">
        <f ca="1">COUNTIF(tblStates[StateID], $A435) &gt; 0</f>
        <v>1</v>
      </c>
      <c r="L435" s="48" t="b">
        <f t="shared" ca="1" si="13"/>
        <v>1</v>
      </c>
      <c r="M435" s="48" t="b">
        <f ca="1">IF(tblValidation[[#This Row],[TargetID]]="","",COUNTIF(tblTargets[TargetID],A435)&gt;1)</f>
        <v>0</v>
      </c>
      <c r="N435" s="48" t="b">
        <f ca="1">IF(tblValidation[[#This Row],[TargetID]]="","",COUNTIF(tblStates[StateID],tblValidation[[#This Row],[TargetID]])&gt;1)</f>
        <v>0</v>
      </c>
      <c r="O435" s="48" t="b" cm="1">
        <f t="array" aca="1" ref="O4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5" s="48"/>
      <c r="R435" s="48"/>
      <c r="S435" s="48"/>
      <c r="T435" s="48"/>
      <c r="V435" s="2" t="str">
        <f ca="1"/>
        <v>state.deliver_yuba_4c</v>
      </c>
      <c r="X435" s="2" t="str">
        <f ca="1"/>
        <v>state.deliver_yuba_4c</v>
      </c>
      <c r="Y435" s="2" t="str">
        <f ca="1"/>
        <v>state.obtain_shoguns_katana</v>
      </c>
      <c r="Z435" s="2" t="str">
        <f ca="1"/>
        <v>state.obtain_black_pearl</v>
      </c>
      <c r="AD435" s="2" t="str">
        <f ca="1"/>
        <v>state.deliver_yuba_4c</v>
      </c>
    </row>
    <row r="436" spans="1:30">
      <c r="A436" t="str">
        <f t="shared" ca="1" si="12"/>
        <v>state.find_gate_3c</v>
      </c>
      <c r="B436" t="str">
        <f ca="1">_xlfn.XLOOKUP(tblValidation[[#This Row],[TargetID]],tblTargets[TargetID],tblTargets[TargetType],"")</f>
        <v>STATE</v>
      </c>
      <c r="C436" s="48" t="b">
        <f ca="1">COUNTIF(tblTargets[TargetID], $A436) &gt; 0</f>
        <v>1</v>
      </c>
      <c r="D436" s="48" t="b">
        <f ca="1">IF(OR(LEFT(tblValidation[[#This Row],[TargetID]],10)="state.CHAR",RIGHT(tblValidation[[#This Row],[TargetID]],5)="maxed"),TRUE, COUNTIF(tblChecklist[TargetID], $A436) &gt; 0)</f>
        <v>1</v>
      </c>
      <c r="E4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$A436) &gt; 0)</f>
        <v>1</v>
      </c>
      <c r="F436" s="48" t="b">
        <f ca="1">COUNTIF(tblDependencies[DependencyID], $A436) &gt; 0</f>
        <v>0</v>
      </c>
      <c r="G436" s="48" t="b">
        <f ca="1">COUNTIF(tblQuestObjectives[QuestTargetID], $A436) &gt; 0</f>
        <v>0</v>
      </c>
      <c r="H436" s="48" t="b">
        <f ca="1">COUNTIF(tblQuestObjectives[ObjectiveID], $A436) &gt; 0</f>
        <v>1</v>
      </c>
      <c r="I436" s="48" t="b">
        <f ca="1">COUNTIF(tblTargetStatus[TargetID], $A436) &gt; 0</f>
        <v>1</v>
      </c>
      <c r="J436" s="48" t="b">
        <f ca="1">COUNTIF(tblCost[TargetID], $A436) &gt; 0</f>
        <v>0</v>
      </c>
      <c r="K436" s="48" t="b">
        <f ca="1">COUNTIF(tblStates[StateID], $A436) &gt; 0</f>
        <v>1</v>
      </c>
      <c r="L436" s="48" t="b">
        <f t="shared" ca="1" si="13"/>
        <v>1</v>
      </c>
      <c r="M436" s="48" t="b">
        <f ca="1">IF(tblValidation[[#This Row],[TargetID]]="","",COUNTIF(tblTargets[TargetID],A436)&gt;1)</f>
        <v>0</v>
      </c>
      <c r="N436" s="48" t="b">
        <f ca="1">IF(tblValidation[[#This Row],[TargetID]]="","",COUNTIF(tblStates[StateID],tblValidation[[#This Row],[TargetID]])&gt;1)</f>
        <v>0</v>
      </c>
      <c r="O436" s="48" t="b" cm="1">
        <f t="array" aca="1" ref="O4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6" s="48"/>
      <c r="R436" s="48"/>
      <c r="S436" s="48"/>
      <c r="T436" s="48"/>
      <c r="V436" s="2" t="str">
        <f ca="1"/>
        <v>state.find_gate_3c</v>
      </c>
      <c r="X436" s="2" t="str">
        <f ca="1"/>
        <v>state.find_gate_3c</v>
      </c>
      <c r="Y436" s="2" t="str">
        <f ca="1"/>
        <v>state.obtain_Shoguns_Mortar</v>
      </c>
      <c r="Z436" s="2" t="str">
        <f ca="1"/>
        <v>state.obtain_blueprint</v>
      </c>
      <c r="AD436" s="2" t="str">
        <f ca="1"/>
        <v>state.find_gate_3c</v>
      </c>
    </row>
    <row r="437" spans="1:30">
      <c r="A437" t="str">
        <f t="shared" ca="1" si="12"/>
        <v>state.find_gate_4c</v>
      </c>
      <c r="B437" t="str">
        <f ca="1">_xlfn.XLOOKUP(tblValidation[[#This Row],[TargetID]],tblTargets[TargetID],tblTargets[TargetType],"")</f>
        <v>STATE</v>
      </c>
      <c r="C437" s="48" t="b">
        <f ca="1">COUNTIF(tblTargets[TargetID], $A437) &gt; 0</f>
        <v>1</v>
      </c>
      <c r="D437" s="48" t="b">
        <f ca="1">IF(OR(LEFT(tblValidation[[#This Row],[TargetID]],10)="state.CHAR",RIGHT(tblValidation[[#This Row],[TargetID]],5)="maxed"),TRUE, COUNTIF(tblChecklist[TargetID], $A437) &gt; 0)</f>
        <v>1</v>
      </c>
      <c r="E4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$A437) &gt; 0)</f>
        <v>1</v>
      </c>
      <c r="F437" s="48" t="b">
        <f ca="1">COUNTIF(tblDependencies[DependencyID], $A437) &gt; 0</f>
        <v>0</v>
      </c>
      <c r="G437" s="48" t="b">
        <f ca="1">COUNTIF(tblQuestObjectives[QuestTargetID], $A437) &gt; 0</f>
        <v>0</v>
      </c>
      <c r="H437" s="48" t="b">
        <f ca="1">COUNTIF(tblQuestObjectives[ObjectiveID], $A437) &gt; 0</f>
        <v>1</v>
      </c>
      <c r="I437" s="48" t="b">
        <f ca="1">COUNTIF(tblTargetStatus[TargetID], $A437) &gt; 0</f>
        <v>1</v>
      </c>
      <c r="J437" s="48" t="b">
        <f ca="1">COUNTIF(tblCost[TargetID], $A437) &gt; 0</f>
        <v>0</v>
      </c>
      <c r="K437" s="48" t="b">
        <f ca="1">COUNTIF(tblStates[StateID], $A437) &gt; 0</f>
        <v>1</v>
      </c>
      <c r="L437" s="48" t="b">
        <f t="shared" ca="1" si="13"/>
        <v>1</v>
      </c>
      <c r="M437" s="48" t="b">
        <f ca="1">IF(tblValidation[[#This Row],[TargetID]]="","",COUNTIF(tblTargets[TargetID],A437)&gt;1)</f>
        <v>0</v>
      </c>
      <c r="N437" s="48" t="b">
        <f ca="1">IF(tblValidation[[#This Row],[TargetID]]="","",COUNTIF(tblStates[StateID],tblValidation[[#This Row],[TargetID]])&gt;1)</f>
        <v>0</v>
      </c>
      <c r="O437" s="48" t="b" cm="1">
        <f t="array" aca="1" ref="O4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7" s="48"/>
      <c r="R437" s="48"/>
      <c r="S437" s="48"/>
      <c r="T437" s="48"/>
      <c r="V437" s="2" t="str">
        <f ca="1"/>
        <v>state.find_gate_4c</v>
      </c>
      <c r="X437" s="2" t="str">
        <f ca="1"/>
        <v>state.find_gate_4c</v>
      </c>
      <c r="Y437" s="2" t="str">
        <f ca="1"/>
        <v>state.obtain_smugglers_map_10_spices</v>
      </c>
      <c r="Z437" s="2" t="str">
        <f ca="1"/>
        <v>state.obtain_hide</v>
      </c>
      <c r="AD437" s="2" t="str">
        <f ca="1"/>
        <v>state.find_gate_4c</v>
      </c>
    </row>
    <row r="438" spans="1:30">
      <c r="A438" t="str">
        <f t="shared" ca="1" si="12"/>
        <v>state.find_gate_5c</v>
      </c>
      <c r="B438" t="str">
        <f ca="1">_xlfn.XLOOKUP(tblValidation[[#This Row],[TargetID]],tblTargets[TargetID],tblTargets[TargetType],"")</f>
        <v>STATE</v>
      </c>
      <c r="C438" s="48" t="b">
        <f ca="1">COUNTIF(tblTargets[TargetID], $A438) &gt; 0</f>
        <v>1</v>
      </c>
      <c r="D438" s="48" t="b">
        <f ca="1">IF(OR(LEFT(tblValidation[[#This Row],[TargetID]],10)="state.CHAR",RIGHT(tblValidation[[#This Row],[TargetID]],5)="maxed"),TRUE, COUNTIF(tblChecklist[TargetID], $A438) &gt; 0)</f>
        <v>1</v>
      </c>
      <c r="E4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$A438) &gt; 0)</f>
        <v>1</v>
      </c>
      <c r="F438" s="48" t="b">
        <f ca="1">COUNTIF(tblDependencies[DependencyID], $A438) &gt; 0</f>
        <v>0</v>
      </c>
      <c r="G438" s="48" t="b">
        <f ca="1">COUNTIF(tblQuestObjectives[QuestTargetID], $A438) &gt; 0</f>
        <v>0</v>
      </c>
      <c r="H438" s="48" t="b">
        <f ca="1">COUNTIF(tblQuestObjectives[ObjectiveID], $A438) &gt; 0</f>
        <v>1</v>
      </c>
      <c r="I438" s="48" t="b">
        <f ca="1">COUNTIF(tblTargetStatus[TargetID], $A438) &gt; 0</f>
        <v>1</v>
      </c>
      <c r="J438" s="48" t="b">
        <f ca="1">COUNTIF(tblCost[TargetID], $A438) &gt; 0</f>
        <v>0</v>
      </c>
      <c r="K438" s="48" t="b">
        <f ca="1">COUNTIF(tblStates[StateID], $A438) &gt; 0</f>
        <v>1</v>
      </c>
      <c r="L438" s="48" t="b">
        <f t="shared" ca="1" si="13"/>
        <v>1</v>
      </c>
      <c r="M438" s="48" t="b">
        <f ca="1">IF(tblValidation[[#This Row],[TargetID]]="","",COUNTIF(tblTargets[TargetID],A438)&gt;1)</f>
        <v>0</v>
      </c>
      <c r="N438" s="48" t="b">
        <f ca="1">IF(tblValidation[[#This Row],[TargetID]]="","",COUNTIF(tblStates[StateID],tblValidation[[#This Row],[TargetID]])&gt;1)</f>
        <v>0</v>
      </c>
      <c r="O438" s="48" t="b" cm="1">
        <f t="array" aca="1" ref="O4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8" s="48"/>
      <c r="R438" s="48"/>
      <c r="S438" s="48"/>
      <c r="T438" s="48"/>
      <c r="V438" s="2" t="str">
        <f ca="1"/>
        <v>state.find_gate_5c</v>
      </c>
      <c r="X438" s="2" t="str">
        <f ca="1"/>
        <v>state.find_gate_5c</v>
      </c>
      <c r="Y438" s="2" t="str">
        <f ca="1"/>
        <v>state.obtain_smugglers_map_100_beans</v>
      </c>
      <c r="Z438" s="2" t="str">
        <f ca="1"/>
        <v>state.obtain_level_2_artifact</v>
      </c>
      <c r="AD438" s="2" t="str">
        <f ca="1"/>
        <v>state.find_gate_5c</v>
      </c>
    </row>
    <row r="439" spans="1:30">
      <c r="A439" t="str">
        <f t="shared" ca="1" si="12"/>
        <v>state.find_goat_6b</v>
      </c>
      <c r="B439" t="str">
        <f ca="1">_xlfn.XLOOKUP(tblValidation[[#This Row],[TargetID]],tblTargets[TargetID],tblTargets[TargetType],"")</f>
        <v>STATE</v>
      </c>
      <c r="C439" s="48" t="b">
        <f ca="1">COUNTIF(tblTargets[TargetID], $A439) &gt; 0</f>
        <v>1</v>
      </c>
      <c r="D439" s="48" t="b">
        <f ca="1">IF(OR(LEFT(tblValidation[[#This Row],[TargetID]],10)="state.CHAR",RIGHT(tblValidation[[#This Row],[TargetID]],5)="maxed"),TRUE, COUNTIF(tblChecklist[TargetID], $A439) &gt; 0)</f>
        <v>1</v>
      </c>
      <c r="E4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$A439) &gt; 0)</f>
        <v>1</v>
      </c>
      <c r="F439" s="48" t="b">
        <f ca="1">COUNTIF(tblDependencies[DependencyID], $A439) &gt; 0</f>
        <v>0</v>
      </c>
      <c r="G439" s="48" t="b">
        <f ca="1">COUNTIF(tblQuestObjectives[QuestTargetID], $A439) &gt; 0</f>
        <v>0</v>
      </c>
      <c r="H439" s="48" t="b">
        <f ca="1">COUNTIF(tblQuestObjectives[ObjectiveID], $A439) &gt; 0</f>
        <v>1</v>
      </c>
      <c r="I439" s="48" t="b">
        <f ca="1">COUNTIF(tblTargetStatus[TargetID], $A439) &gt; 0</f>
        <v>1</v>
      </c>
      <c r="J439" s="48" t="b">
        <f ca="1">COUNTIF(tblCost[TargetID], $A439) &gt; 0</f>
        <v>0</v>
      </c>
      <c r="K439" s="48" t="b">
        <f ca="1">COUNTIF(tblStates[StateID], $A439) &gt; 0</f>
        <v>1</v>
      </c>
      <c r="L439" s="48" t="b">
        <f t="shared" ca="1" si="13"/>
        <v>1</v>
      </c>
      <c r="M439" s="48" t="b">
        <f ca="1">IF(tblValidation[[#This Row],[TargetID]]="","",COUNTIF(tblTargets[TargetID],A439)&gt;1)</f>
        <v>0</v>
      </c>
      <c r="N439" s="48" t="b">
        <f ca="1">IF(tblValidation[[#This Row],[TargetID]]="","",COUNTIF(tblStates[StateID],tblValidation[[#This Row],[TargetID]])&gt;1)</f>
        <v>0</v>
      </c>
      <c r="O439" s="48" t="b" cm="1">
        <f t="array" aca="1" ref="O4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9" s="48"/>
      <c r="R439" s="48"/>
      <c r="S439" s="48"/>
      <c r="T439" s="48"/>
      <c r="V439" s="2" t="str">
        <f ca="1"/>
        <v>state.find_goat_6b</v>
      </c>
      <c r="X439" s="2" t="str">
        <f ca="1"/>
        <v>state.find_goat_6b</v>
      </c>
      <c r="Y439" s="2" t="str">
        <f ca="1"/>
        <v>state.obtain_smugglers_map_15_pearl</v>
      </c>
      <c r="Z439" s="2" t="str">
        <f ca="1"/>
        <v>state.obtain_level_2_map</v>
      </c>
      <c r="AD439" s="2" t="str">
        <f ca="1"/>
        <v>state.find_goat_6b</v>
      </c>
    </row>
    <row r="440" spans="1:30">
      <c r="A440" t="str">
        <f t="shared" ca="1" si="12"/>
        <v>state.find_jade_gate_2c</v>
      </c>
      <c r="B440" t="str">
        <f ca="1">_xlfn.XLOOKUP(tblValidation[[#This Row],[TargetID]],tblTargets[TargetID],tblTargets[TargetType],"")</f>
        <v>STATE</v>
      </c>
      <c r="C440" s="48" t="b">
        <f ca="1">COUNTIF(tblTargets[TargetID], $A440) &gt; 0</f>
        <v>1</v>
      </c>
      <c r="D440" s="48" t="b">
        <f ca="1">IF(OR(LEFT(tblValidation[[#This Row],[TargetID]],10)="state.CHAR",RIGHT(tblValidation[[#This Row],[TargetID]],5)="maxed"),TRUE, COUNTIF(tblChecklist[TargetID], $A440) &gt; 0)</f>
        <v>1</v>
      </c>
      <c r="E4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$A440) &gt; 0)</f>
        <v>1</v>
      </c>
      <c r="F440" s="48" t="b">
        <f ca="1">COUNTIF(tblDependencies[DependencyID], $A440) &gt; 0</f>
        <v>1</v>
      </c>
      <c r="G440" s="48" t="b">
        <f ca="1">COUNTIF(tblQuestObjectives[QuestTargetID], $A440) &gt; 0</f>
        <v>0</v>
      </c>
      <c r="H440" s="48" t="b">
        <f ca="1">COUNTIF(tblQuestObjectives[ObjectiveID], $A440) &gt; 0</f>
        <v>1</v>
      </c>
      <c r="I440" s="48" t="b">
        <f ca="1">COUNTIF(tblTargetStatus[TargetID], $A440) &gt; 0</f>
        <v>1</v>
      </c>
      <c r="J440" s="48" t="b">
        <f ca="1">COUNTIF(tblCost[TargetID], $A440) &gt; 0</f>
        <v>0</v>
      </c>
      <c r="K440" s="48" t="b">
        <f ca="1">COUNTIF(tblStates[StateID], $A440) &gt; 0</f>
        <v>1</v>
      </c>
      <c r="L440" s="48" t="b">
        <f t="shared" ca="1" si="13"/>
        <v>1</v>
      </c>
      <c r="M440" s="48" t="b">
        <f ca="1">IF(tblValidation[[#This Row],[TargetID]]="","",COUNTIF(tblTargets[TargetID],A440)&gt;1)</f>
        <v>0</v>
      </c>
      <c r="N440" s="48" t="b">
        <f ca="1">IF(tblValidation[[#This Row],[TargetID]]="","",COUNTIF(tblStates[StateID],tblValidation[[#This Row],[TargetID]])&gt;1)</f>
        <v>0</v>
      </c>
      <c r="O440" s="48" t="b" cm="1">
        <f t="array" aca="1" ref="O4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0" s="48"/>
      <c r="R440" s="48"/>
      <c r="S440" s="48"/>
      <c r="T440" s="48"/>
      <c r="V440" s="2" t="str">
        <f ca="1"/>
        <v>state.find_jade_gate_2c</v>
      </c>
      <c r="X440" s="2" t="str">
        <f ca="1"/>
        <v>state.find_jade_gate_2c</v>
      </c>
      <c r="Y440" s="2" t="str">
        <f ca="1"/>
        <v>state.obtain_spices</v>
      </c>
      <c r="Z440" s="2" t="str">
        <f ca="1"/>
        <v>state.obtain_level_3_artifact</v>
      </c>
      <c r="AD440" s="2" t="str">
        <f ca="1"/>
        <v>state.find_jade_gate_2c</v>
      </c>
    </row>
    <row r="441" spans="1:30">
      <c r="A441" t="str">
        <f t="shared" ca="1" si="12"/>
        <v>state.meet_alchemist_6d</v>
      </c>
      <c r="B441" t="str">
        <f ca="1">_xlfn.XLOOKUP(tblValidation[[#This Row],[TargetID]],tblTargets[TargetID],tblTargets[TargetType],"")</f>
        <v>STATE</v>
      </c>
      <c r="C441" s="48" t="b">
        <f ca="1">COUNTIF(tblTargets[TargetID], $A441) &gt; 0</f>
        <v>1</v>
      </c>
      <c r="D441" s="48" t="b">
        <f ca="1">IF(OR(LEFT(tblValidation[[#This Row],[TargetID]],10)="state.CHAR",RIGHT(tblValidation[[#This Row],[TargetID]],5)="maxed"),TRUE, COUNTIF(tblChecklist[TargetID], $A441) &gt; 0)</f>
        <v>1</v>
      </c>
      <c r="E4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$A441) &gt; 0)</f>
        <v>1</v>
      </c>
      <c r="F441" s="48" t="b">
        <f ca="1">COUNTIF(tblDependencies[DependencyID], $A441) &gt; 0</f>
        <v>0</v>
      </c>
      <c r="G441" s="48" t="b">
        <f ca="1">COUNTIF(tblQuestObjectives[QuestTargetID], $A441) &gt; 0</f>
        <v>0</v>
      </c>
      <c r="H441" s="48" t="b">
        <f ca="1">COUNTIF(tblQuestObjectives[ObjectiveID], $A441) &gt; 0</f>
        <v>1</v>
      </c>
      <c r="I441" s="48" t="b">
        <f ca="1">COUNTIF(tblTargetStatus[TargetID], $A441) &gt; 0</f>
        <v>1</v>
      </c>
      <c r="J441" s="48" t="b">
        <f ca="1">COUNTIF(tblCost[TargetID], $A441) &gt; 0</f>
        <v>0</v>
      </c>
      <c r="K441" s="48" t="b">
        <f ca="1">COUNTIF(tblStates[StateID], $A441) &gt; 0</f>
        <v>1</v>
      </c>
      <c r="L441" s="48" t="b">
        <f t="shared" ca="1" si="13"/>
        <v>1</v>
      </c>
      <c r="M441" s="48" t="b">
        <f ca="1">IF(tblValidation[[#This Row],[TargetID]]="","",COUNTIF(tblTargets[TargetID],A441)&gt;1)</f>
        <v>0</v>
      </c>
      <c r="N441" s="48" t="b">
        <f ca="1">IF(tblValidation[[#This Row],[TargetID]]="","",COUNTIF(tblStates[StateID],tblValidation[[#This Row],[TargetID]])&gt;1)</f>
        <v>0</v>
      </c>
      <c r="O441" s="48" t="b" cm="1">
        <f t="array" aca="1" ref="O4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1" s="48"/>
      <c r="R441" s="48"/>
      <c r="S441" s="48"/>
      <c r="T441" s="48"/>
      <c r="V441" s="2" t="str">
        <f ca="1"/>
        <v>state.meet_alchemist_6d</v>
      </c>
      <c r="X441" s="2" t="str">
        <f ca="1"/>
        <v>state.meet_alchemist_6d</v>
      </c>
      <c r="Y441" s="2" t="str">
        <f ca="1"/>
        <v>state.obtain_steamobile</v>
      </c>
      <c r="Z441" s="2" t="str">
        <f ca="1"/>
        <v>state.obtain_map_catacombs</v>
      </c>
      <c r="AD441" s="2" t="str">
        <f ca="1"/>
        <v>state.meet_alchemist_6d</v>
      </c>
    </row>
    <row r="442" spans="1:30">
      <c r="A442" t="str">
        <f t="shared" ca="1" si="12"/>
        <v>state.meet_dark_lady@4a</v>
      </c>
      <c r="B442" t="str">
        <f ca="1">_xlfn.XLOOKUP(tblValidation[[#This Row],[TargetID]],tblTargets[TargetID],tblTargets[TargetType],"")</f>
        <v>STATE</v>
      </c>
      <c r="C442" s="48" t="b">
        <f ca="1">COUNTIF(tblTargets[TargetID], $A442) &gt; 0</f>
        <v>1</v>
      </c>
      <c r="D442" s="48" t="b">
        <f ca="1">IF(OR(LEFT(tblValidation[[#This Row],[TargetID]],10)="state.CHAR",RIGHT(tblValidation[[#This Row],[TargetID]],5)="maxed"),TRUE, COUNTIF(tblChecklist[TargetID], $A442) &gt; 0)</f>
        <v>1</v>
      </c>
      <c r="E4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$A442) &gt; 0)</f>
        <v>1</v>
      </c>
      <c r="F442" s="48" t="b">
        <f ca="1">COUNTIF(tblDependencies[DependencyID], $A442) &gt; 0</f>
        <v>1</v>
      </c>
      <c r="G442" s="48" t="b">
        <f ca="1">COUNTIF(tblQuestObjectives[QuestTargetID], $A442) &gt; 0</f>
        <v>0</v>
      </c>
      <c r="H442" s="48" t="b">
        <f ca="1">COUNTIF(tblQuestObjectives[ObjectiveID], $A442) &gt; 0</f>
        <v>0</v>
      </c>
      <c r="I442" s="48" t="b">
        <f ca="1">COUNTIF(tblTargetStatus[TargetID], $A442) &gt; 0</f>
        <v>1</v>
      </c>
      <c r="J442" s="48" t="b">
        <f ca="1">COUNTIF(tblCost[TargetID], $A442) &gt; 0</f>
        <v>0</v>
      </c>
      <c r="K442" s="48" t="b">
        <f ca="1">COUNTIF(tblStates[StateID], $A442) &gt; 0</f>
        <v>1</v>
      </c>
      <c r="L442" s="48" t="b">
        <f t="shared" ca="1" si="13"/>
        <v>1</v>
      </c>
      <c r="M442" s="48" t="b">
        <f ca="1">IF(tblValidation[[#This Row],[TargetID]]="","",COUNTIF(tblTargets[TargetID],A442)&gt;1)</f>
        <v>0</v>
      </c>
      <c r="N442" s="48" t="b">
        <f ca="1">IF(tblValidation[[#This Row],[TargetID]]="","",COUNTIF(tblStates[StateID],tblValidation[[#This Row],[TargetID]])&gt;1)</f>
        <v>0</v>
      </c>
      <c r="O442" s="48" t="b" cm="1">
        <f t="array" aca="1" ref="O4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2" s="48"/>
      <c r="R442" s="48"/>
      <c r="S442" s="48"/>
      <c r="T442" s="48"/>
      <c r="V442" s="2" t="str">
        <f ca="1"/>
        <v>state.meet_dark_lady@4a</v>
      </c>
      <c r="X442" s="2" t="str">
        <f ca="1"/>
        <v>state.meet_dark_lady@4a</v>
      </c>
      <c r="Y442" s="2" t="str">
        <f ca="1"/>
        <v>state.obtain_strawberry@f1</v>
      </c>
      <c r="Z442" s="2" t="str">
        <f ca="1"/>
        <v>state.obtain_map4</v>
      </c>
      <c r="AD442" s="2" t="str">
        <f ca="1"/>
        <v>state.meet_dark_lady@4a</v>
      </c>
    </row>
    <row r="443" spans="1:30">
      <c r="A443" t="str">
        <f t="shared" ca="1" si="12"/>
        <v>state.meet_dark_lady@6a</v>
      </c>
      <c r="B443" t="str">
        <f ca="1">_xlfn.XLOOKUP(tblValidation[[#This Row],[TargetID]],tblTargets[TargetID],tblTargets[TargetType],"")</f>
        <v>STATE</v>
      </c>
      <c r="C443" s="48" t="b">
        <f ca="1">COUNTIF(tblTargets[TargetID], $A443) &gt; 0</f>
        <v>1</v>
      </c>
      <c r="D443" s="48" t="b">
        <f ca="1">IF(OR(LEFT(tblValidation[[#This Row],[TargetID]],10)="state.CHAR",RIGHT(tblValidation[[#This Row],[TargetID]],5)="maxed"),TRUE, COUNTIF(tblChecklist[TargetID], $A443) &gt; 0)</f>
        <v>1</v>
      </c>
      <c r="E4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$A443) &gt; 0)</f>
        <v>1</v>
      </c>
      <c r="F443" s="48" t="b">
        <f ca="1">COUNTIF(tblDependencies[DependencyID], $A443) &gt; 0</f>
        <v>1</v>
      </c>
      <c r="G443" s="48" t="b">
        <f ca="1">COUNTIF(tblQuestObjectives[QuestTargetID], $A443) &gt; 0</f>
        <v>0</v>
      </c>
      <c r="H443" s="48" t="b">
        <f ca="1">COUNTIF(tblQuestObjectives[ObjectiveID], $A443) &gt; 0</f>
        <v>0</v>
      </c>
      <c r="I443" s="48" t="b">
        <f ca="1">COUNTIF(tblTargetStatus[TargetID], $A443) &gt; 0</f>
        <v>1</v>
      </c>
      <c r="J443" s="48" t="b">
        <f ca="1">COUNTIF(tblCost[TargetID], $A443) &gt; 0</f>
        <v>0</v>
      </c>
      <c r="K443" s="48" t="b">
        <f ca="1">COUNTIF(tblStates[StateID], $A443) &gt; 0</f>
        <v>1</v>
      </c>
      <c r="L443" s="48" t="b">
        <f t="shared" ca="1" si="13"/>
        <v>1</v>
      </c>
      <c r="M443" s="48" t="b">
        <f ca="1">IF(tblValidation[[#This Row],[TargetID]]="","",COUNTIF(tblTargets[TargetID],A443)&gt;1)</f>
        <v>0</v>
      </c>
      <c r="N443" s="48" t="b">
        <f ca="1">IF(tblValidation[[#This Row],[TargetID]]="","",COUNTIF(tblStates[StateID],tblValidation[[#This Row],[TargetID]])&gt;1)</f>
        <v>0</v>
      </c>
      <c r="O443" s="48" t="b" cm="1">
        <f t="array" aca="1" ref="O4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3" s="48"/>
      <c r="R443" s="48"/>
      <c r="S443" s="48"/>
      <c r="T443" s="48"/>
      <c r="V443" s="2" t="str">
        <f ca="1"/>
        <v>state.meet_dark_lady@6a</v>
      </c>
      <c r="X443" s="2" t="str">
        <f ca="1"/>
        <v>state.meet_dark_lady@6a</v>
      </c>
      <c r="Y443" s="2" t="str">
        <f ca="1"/>
        <v>state.obtain_sword4</v>
      </c>
      <c r="Z443" s="2" t="str">
        <f ca="1"/>
        <v>state.obtain_map4_x2</v>
      </c>
      <c r="AD443" s="2" t="str">
        <f ca="1"/>
        <v>state.meet_dark_lady@6a</v>
      </c>
    </row>
    <row r="444" spans="1:30">
      <c r="A444" t="str">
        <f t="shared" ca="1" si="12"/>
        <v>state.meet_dark_lady@6b</v>
      </c>
      <c r="B444" t="str">
        <f ca="1">_xlfn.XLOOKUP(tblValidation[[#This Row],[TargetID]],tblTargets[TargetID],tblTargets[TargetType],"")</f>
        <v>STATE</v>
      </c>
      <c r="C444" s="48" t="b">
        <f ca="1">COUNTIF(tblTargets[TargetID], $A444) &gt; 0</f>
        <v>1</v>
      </c>
      <c r="D444" s="48" t="b">
        <f ca="1">IF(OR(LEFT(tblValidation[[#This Row],[TargetID]],10)="state.CHAR",RIGHT(tblValidation[[#This Row],[TargetID]],5)="maxed"),TRUE, COUNTIF(tblChecklist[TargetID], $A444) &gt; 0)</f>
        <v>1</v>
      </c>
      <c r="E4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$A444) &gt; 0)</f>
        <v>1</v>
      </c>
      <c r="F444" s="48" t="b">
        <f ca="1">COUNTIF(tblDependencies[DependencyID], $A444) &gt; 0</f>
        <v>1</v>
      </c>
      <c r="G444" s="48" t="b">
        <f ca="1">COUNTIF(tblQuestObjectives[QuestTargetID], $A444) &gt; 0</f>
        <v>0</v>
      </c>
      <c r="H444" s="48" t="b">
        <f ca="1">COUNTIF(tblQuestObjectives[ObjectiveID], $A444) &gt; 0</f>
        <v>0</v>
      </c>
      <c r="I444" s="48" t="b">
        <f ca="1">COUNTIF(tblTargetStatus[TargetID], $A444) &gt; 0</f>
        <v>1</v>
      </c>
      <c r="J444" s="48" t="b">
        <f ca="1">COUNTIF(tblCost[TargetID], $A444) &gt; 0</f>
        <v>0</v>
      </c>
      <c r="K444" s="48" t="b">
        <f ca="1">COUNTIF(tblStates[StateID], $A444) &gt; 0</f>
        <v>1</v>
      </c>
      <c r="L444" s="48" t="b">
        <f t="shared" ca="1" si="13"/>
        <v>1</v>
      </c>
      <c r="M444" s="48" t="b">
        <f ca="1">IF(tblValidation[[#This Row],[TargetID]]="","",COUNTIF(tblTargets[TargetID],A444)&gt;1)</f>
        <v>0</v>
      </c>
      <c r="N444" s="48" t="b">
        <f ca="1">IF(tblValidation[[#This Row],[TargetID]]="","",COUNTIF(tblStates[StateID],tblValidation[[#This Row],[TargetID]])&gt;1)</f>
        <v>0</v>
      </c>
      <c r="O444" s="48" t="b" cm="1">
        <f t="array" aca="1" ref="O4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4" s="48"/>
      <c r="R444" s="48"/>
      <c r="S444" s="48"/>
      <c r="T444" s="48"/>
      <c r="V444" s="2" t="str">
        <f ca="1"/>
        <v>state.meet_dark_lady@6b</v>
      </c>
      <c r="X444" s="2" t="str">
        <f ca="1"/>
        <v>state.meet_dark_lady@6b</v>
      </c>
      <c r="Y444" s="2" t="str">
        <f ca="1"/>
        <v>state.obtain_sword4+</v>
      </c>
      <c r="Z444" s="2" t="str">
        <f ca="1"/>
        <v>state.obtain_mechanism</v>
      </c>
      <c r="AD444" s="2" t="str">
        <f ca="1"/>
        <v>state.meet_dark_lady@6b</v>
      </c>
    </row>
    <row r="445" spans="1:30">
      <c r="A445" t="str">
        <f t="shared" ca="1" si="12"/>
        <v>state.meet_dark_lady@6b_second</v>
      </c>
      <c r="B445" t="str">
        <f ca="1">_xlfn.XLOOKUP(tblValidation[[#This Row],[TargetID]],tblTargets[TargetID],tblTargets[TargetType],"")</f>
        <v>STATE</v>
      </c>
      <c r="C445" s="48" t="b">
        <f ca="1">COUNTIF(tblTargets[TargetID], $A445) &gt; 0</f>
        <v>1</v>
      </c>
      <c r="D445" s="48" t="b">
        <f ca="1">IF(OR(LEFT(tblValidation[[#This Row],[TargetID]],10)="state.CHAR",RIGHT(tblValidation[[#This Row],[TargetID]],5)="maxed"),TRUE, COUNTIF(tblChecklist[TargetID], $A445) &gt; 0)</f>
        <v>1</v>
      </c>
      <c r="E4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$A445) &gt; 0)</f>
        <v>1</v>
      </c>
      <c r="F445" s="48" t="b">
        <f ca="1">COUNTIF(tblDependencies[DependencyID], $A445) &gt; 0</f>
        <v>1</v>
      </c>
      <c r="G445" s="48" t="b">
        <f ca="1">COUNTIF(tblQuestObjectives[QuestTargetID], $A445) &gt; 0</f>
        <v>0</v>
      </c>
      <c r="H445" s="48" t="b">
        <f ca="1">COUNTIF(tblQuestObjectives[ObjectiveID], $A445) &gt; 0</f>
        <v>0</v>
      </c>
      <c r="I445" s="48" t="b">
        <f ca="1">COUNTIF(tblTargetStatus[TargetID], $A445) &gt; 0</f>
        <v>1</v>
      </c>
      <c r="J445" s="48" t="b">
        <f ca="1">COUNTIF(tblCost[TargetID], $A445) &gt; 0</f>
        <v>0</v>
      </c>
      <c r="K445" s="48" t="b">
        <f ca="1">COUNTIF(tblStates[StateID], $A445) &gt; 0</f>
        <v>0</v>
      </c>
      <c r="L445" s="48" t="b">
        <f t="shared" ca="1" si="13"/>
        <v>1</v>
      </c>
      <c r="M445" s="48" t="b">
        <f ca="1">IF(tblValidation[[#This Row],[TargetID]]="","",COUNTIF(tblTargets[TargetID],A445)&gt;1)</f>
        <v>0</v>
      </c>
      <c r="N445" s="48" t="b">
        <f ca="1">IF(tblValidation[[#This Row],[TargetID]]="","",COUNTIF(tblStates[StateID],tblValidation[[#This Row],[TargetID]])&gt;1)</f>
        <v>0</v>
      </c>
      <c r="O445" s="48" t="b" cm="1">
        <f t="array" aca="1" ref="O4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5" s="48"/>
      <c r="R445" s="48"/>
      <c r="S445" s="48"/>
      <c r="T445" s="48"/>
      <c r="V445" s="2" t="str">
        <f ca="1"/>
        <v>state.meet_dark_lady@6b_second</v>
      </c>
      <c r="X445" s="2" t="str">
        <f ca="1"/>
        <v>state.meet_dark_lady@6b_second</v>
      </c>
      <c r="Y445" s="2" t="str">
        <f ca="1"/>
        <v>state.obtain_titanium</v>
      </c>
      <c r="Z445" s="2" t="str">
        <f ca="1"/>
        <v>state.obtain_pirate_hat</v>
      </c>
      <c r="AD445" s="2" t="str">
        <f ca="1"/>
        <v>state.meet_dark_lady@6b_second</v>
      </c>
    </row>
    <row r="446" spans="1:30">
      <c r="A446" t="str">
        <f t="shared" ca="1" si="12"/>
        <v>state.meet_dark_lady@f2</v>
      </c>
      <c r="B446" t="str">
        <f ca="1">_xlfn.XLOOKUP(tblValidation[[#This Row],[TargetID]],tblTargets[TargetID],tblTargets[TargetType],"")</f>
        <v>STATE</v>
      </c>
      <c r="C446" s="48" t="b">
        <f ca="1">COUNTIF(tblTargets[TargetID], $A446) &gt; 0</f>
        <v>1</v>
      </c>
      <c r="D446" s="48" t="b">
        <f ca="1">IF(OR(LEFT(tblValidation[[#This Row],[TargetID]],10)="state.CHAR",RIGHT(tblValidation[[#This Row],[TargetID]],5)="maxed"),TRUE, COUNTIF(tblChecklist[TargetID], $A446) &gt; 0)</f>
        <v>1</v>
      </c>
      <c r="E4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$A446) &gt; 0)</f>
        <v>1</v>
      </c>
      <c r="F446" s="48" t="b">
        <f ca="1">COUNTIF(tblDependencies[DependencyID], $A446) &gt; 0</f>
        <v>1</v>
      </c>
      <c r="G446" s="48" t="b">
        <f ca="1">COUNTIF(tblQuestObjectives[QuestTargetID], $A446) &gt; 0</f>
        <v>0</v>
      </c>
      <c r="H446" s="48" t="b">
        <f ca="1">COUNTIF(tblQuestObjectives[ObjectiveID], $A446) &gt; 0</f>
        <v>0</v>
      </c>
      <c r="I446" s="48" t="b">
        <f ca="1">COUNTIF(tblTargetStatus[TargetID], $A446) &gt; 0</f>
        <v>1</v>
      </c>
      <c r="J446" s="48" t="b">
        <f ca="1">COUNTIF(tblCost[TargetID], $A446) &gt; 0</f>
        <v>0</v>
      </c>
      <c r="K446" s="48" t="b">
        <f ca="1">COUNTIF(tblStates[StateID], $A446) &gt; 0</f>
        <v>1</v>
      </c>
      <c r="L446" s="48" t="b">
        <f t="shared" ca="1" si="13"/>
        <v>1</v>
      </c>
      <c r="M446" s="48" t="b">
        <f ca="1">IF(tblValidation[[#This Row],[TargetID]]="","",COUNTIF(tblTargets[TargetID],A446)&gt;1)</f>
        <v>0</v>
      </c>
      <c r="N446" s="48" t="b">
        <f ca="1">IF(tblValidation[[#This Row],[TargetID]]="","",COUNTIF(tblStates[StateID],tblValidation[[#This Row],[TargetID]])&gt;1)</f>
        <v>0</v>
      </c>
      <c r="O446" s="48" t="b" cm="1">
        <f t="array" aca="1" ref="O4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6" s="48"/>
      <c r="R446" s="48"/>
      <c r="S446" s="48"/>
      <c r="T446" s="48"/>
      <c r="V446" s="2" t="str">
        <f ca="1"/>
        <v>state.meet_dark_lady@f2</v>
      </c>
      <c r="X446" s="2" t="str">
        <f ca="1"/>
        <v>state.meet_dark_lady@f2</v>
      </c>
      <c r="Y446" s="2" t="str">
        <f ca="1"/>
        <v>state.obtain_treasure</v>
      </c>
      <c r="Z446" s="2" t="str">
        <f ca="1"/>
        <v>state.obtain_potion_of_mental_power</v>
      </c>
      <c r="AD446" s="2" t="str">
        <f ca="1"/>
        <v>state.meet_dark_lady@f2</v>
      </c>
    </row>
    <row r="447" spans="1:30">
      <c r="A447" t="str">
        <f t="shared" ca="1" si="12"/>
        <v>state.meet_dark_lady_6d</v>
      </c>
      <c r="B447" t="str">
        <f ca="1">_xlfn.XLOOKUP(tblValidation[[#This Row],[TargetID]],tblTargets[TargetID],tblTargets[TargetType],"")</f>
        <v>STATE</v>
      </c>
      <c r="C447" s="48" t="b">
        <f ca="1">COUNTIF(tblTargets[TargetID], $A447) &gt; 0</f>
        <v>1</v>
      </c>
      <c r="D447" s="48" t="b">
        <f ca="1">IF(OR(LEFT(tblValidation[[#This Row],[TargetID]],10)="state.CHAR",RIGHT(tblValidation[[#This Row],[TargetID]],5)="maxed"),TRUE, COUNTIF(tblChecklist[TargetID], $A447) &gt; 0)</f>
        <v>1</v>
      </c>
      <c r="E4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$A447) &gt; 0)</f>
        <v>1</v>
      </c>
      <c r="F447" s="48" t="b">
        <f ca="1">COUNTIF(tblDependencies[DependencyID], $A447) &gt; 0</f>
        <v>0</v>
      </c>
      <c r="G447" s="48" t="b">
        <f ca="1">COUNTIF(tblQuestObjectives[QuestTargetID], $A447) &gt; 0</f>
        <v>0</v>
      </c>
      <c r="H447" s="48" t="b">
        <f ca="1">COUNTIF(tblQuestObjectives[ObjectiveID], $A447) &gt; 0</f>
        <v>1</v>
      </c>
      <c r="I447" s="48" t="b">
        <f ca="1">COUNTIF(tblTargetStatus[TargetID], $A447) &gt; 0</f>
        <v>1</v>
      </c>
      <c r="J447" s="48" t="b">
        <f ca="1">COUNTIF(tblCost[TargetID], $A447) &gt; 0</f>
        <v>0</v>
      </c>
      <c r="K447" s="48" t="b">
        <f ca="1">COUNTIF(tblStates[StateID], $A447) &gt; 0</f>
        <v>1</v>
      </c>
      <c r="L447" s="48" t="b">
        <f t="shared" ca="1" si="13"/>
        <v>1</v>
      </c>
      <c r="M447" s="48" t="b">
        <f ca="1">IF(tblValidation[[#This Row],[TargetID]]="","",COUNTIF(tblTargets[TargetID],A447)&gt;1)</f>
        <v>0</v>
      </c>
      <c r="N447" s="48" t="b">
        <f ca="1">IF(tblValidation[[#This Row],[TargetID]]="","",COUNTIF(tblStates[StateID],tblValidation[[#This Row],[TargetID]])&gt;1)</f>
        <v>0</v>
      </c>
      <c r="O447" s="48" t="b" cm="1">
        <f t="array" aca="1" ref="O4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7" s="48"/>
      <c r="R447" s="48"/>
      <c r="S447" s="48"/>
      <c r="T447" s="48"/>
      <c r="V447" s="2" t="str">
        <f ca="1"/>
        <v>state.meet_dark_lady_6d</v>
      </c>
      <c r="X447" s="2" t="str">
        <f ca="1"/>
        <v>state.meet_dark_lady_6d</v>
      </c>
      <c r="Y447" s="2" t="str">
        <f ca="1"/>
        <v>state.visit_aomori</v>
      </c>
      <c r="Z447" s="2" t="str">
        <f ca="1"/>
        <v>state.obtain_reagent</v>
      </c>
      <c r="AD447" s="2" t="str">
        <f ca="1"/>
        <v>state.meet_dark_lady_6d</v>
      </c>
    </row>
    <row r="448" spans="1:30">
      <c r="A448" t="str">
        <f t="shared" ca="1" si="12"/>
        <v>state.meet_fat_demon@4a</v>
      </c>
      <c r="B448" t="str">
        <f ca="1">_xlfn.XLOOKUP(tblValidation[[#This Row],[TargetID]],tblTargets[TargetID],tblTargets[TargetType],"")</f>
        <v>STATE</v>
      </c>
      <c r="C448" s="48" t="b">
        <f ca="1">COUNTIF(tblTargets[TargetID], $A448) &gt; 0</f>
        <v>1</v>
      </c>
      <c r="D448" s="48" t="b">
        <f ca="1">IF(OR(LEFT(tblValidation[[#This Row],[TargetID]],10)="state.CHAR",RIGHT(tblValidation[[#This Row],[TargetID]],5)="maxed"),TRUE, COUNTIF(tblChecklist[TargetID], $A448) &gt; 0)</f>
        <v>1</v>
      </c>
      <c r="E4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$A448) &gt; 0)</f>
        <v>1</v>
      </c>
      <c r="F448" s="48" t="b">
        <f ca="1">COUNTIF(tblDependencies[DependencyID], $A448) &gt; 0</f>
        <v>1</v>
      </c>
      <c r="G448" s="48" t="b">
        <f ca="1">COUNTIF(tblQuestObjectives[QuestTargetID], $A448) &gt; 0</f>
        <v>0</v>
      </c>
      <c r="H448" s="48" t="b">
        <f ca="1">COUNTIF(tblQuestObjectives[ObjectiveID], $A448) &gt; 0</f>
        <v>0</v>
      </c>
      <c r="I448" s="48" t="b">
        <f ca="1">COUNTIF(tblTargetStatus[TargetID], $A448) &gt; 0</f>
        <v>1</v>
      </c>
      <c r="J448" s="48" t="b">
        <f ca="1">COUNTIF(tblCost[TargetID], $A448) &gt; 0</f>
        <v>0</v>
      </c>
      <c r="K448" s="48" t="b">
        <f ca="1">COUNTIF(tblStates[StateID], $A448) &gt; 0</f>
        <v>1</v>
      </c>
      <c r="L448" s="48" t="b">
        <f t="shared" ca="1" si="13"/>
        <v>1</v>
      </c>
      <c r="M448" s="48" t="b">
        <f ca="1">IF(tblValidation[[#This Row],[TargetID]]="","",COUNTIF(tblTargets[TargetID],A448)&gt;1)</f>
        <v>0</v>
      </c>
      <c r="N448" s="48" t="b">
        <f ca="1">IF(tblValidation[[#This Row],[TargetID]]="","",COUNTIF(tblStates[StateID],tblValidation[[#This Row],[TargetID]])&gt;1)</f>
        <v>0</v>
      </c>
      <c r="O448" s="48" t="b" cm="1">
        <f t="array" aca="1" ref="O4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8" s="48"/>
      <c r="R448" s="48"/>
      <c r="S448" s="48"/>
      <c r="T448" s="48"/>
      <c r="V448" s="2" t="str">
        <f ca="1"/>
        <v>state.meet_fat_demon@4a</v>
      </c>
      <c r="X448" s="2" t="str">
        <f ca="1"/>
        <v>state.meet_fat_demon@4a</v>
      </c>
      <c r="Y448" s="2" t="str">
        <f ca="1"/>
        <v>state.visit_athens</v>
      </c>
      <c r="Z448" s="2" t="str">
        <f ca="1"/>
        <v>state.obtain_red_diamond_6a</v>
      </c>
      <c r="AD448" s="2" t="str">
        <f ca="1"/>
        <v>state.meet_fat_demon@4a</v>
      </c>
    </row>
    <row r="449" spans="1:30">
      <c r="A449" t="str">
        <f t="shared" ca="1" si="12"/>
        <v>state.meet_foodie_demon@f2</v>
      </c>
      <c r="B449" t="str">
        <f ca="1">_xlfn.XLOOKUP(tblValidation[[#This Row],[TargetID]],tblTargets[TargetID],tblTargets[TargetType],"")</f>
        <v>STATE</v>
      </c>
      <c r="C449" s="48" t="b">
        <f ca="1">COUNTIF(tblTargets[TargetID], $A449) &gt; 0</f>
        <v>1</v>
      </c>
      <c r="D449" s="48" t="b">
        <f ca="1">IF(OR(LEFT(tblValidation[[#This Row],[TargetID]],10)="state.CHAR",RIGHT(tblValidation[[#This Row],[TargetID]],5)="maxed"),TRUE, COUNTIF(tblChecklist[TargetID], $A449) &gt; 0)</f>
        <v>1</v>
      </c>
      <c r="E4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$A449) &gt; 0)</f>
        <v>1</v>
      </c>
      <c r="F449" s="48" t="b">
        <f ca="1">COUNTIF(tblDependencies[DependencyID], $A449) &gt; 0</f>
        <v>1</v>
      </c>
      <c r="G449" s="48" t="b">
        <f ca="1">COUNTIF(tblQuestObjectives[QuestTargetID], $A449) &gt; 0</f>
        <v>0</v>
      </c>
      <c r="H449" s="48" t="b">
        <f ca="1">COUNTIF(tblQuestObjectives[ObjectiveID], $A449) &gt; 0</f>
        <v>1</v>
      </c>
      <c r="I449" s="48" t="b">
        <f ca="1">COUNTIF(tblTargetStatus[TargetID], $A449) &gt; 0</f>
        <v>1</v>
      </c>
      <c r="J449" s="48" t="b">
        <f ca="1">COUNTIF(tblCost[TargetID], $A449) &gt; 0</f>
        <v>0</v>
      </c>
      <c r="K449" s="48" t="b">
        <f ca="1">COUNTIF(tblStates[StateID], $A449) &gt; 0</f>
        <v>1</v>
      </c>
      <c r="L449" s="48" t="b">
        <f t="shared" ca="1" si="13"/>
        <v>1</v>
      </c>
      <c r="M449" s="48" t="b">
        <f ca="1">IF(tblValidation[[#This Row],[TargetID]]="","",COUNTIF(tblTargets[TargetID],A449)&gt;1)</f>
        <v>0</v>
      </c>
      <c r="N449" s="48" t="b">
        <f ca="1">IF(tblValidation[[#This Row],[TargetID]]="","",COUNTIF(tblStates[StateID],tblValidation[[#This Row],[TargetID]])&gt;1)</f>
        <v>0</v>
      </c>
      <c r="O449" s="48" t="b" cm="1">
        <f t="array" aca="1" ref="O4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9" s="48"/>
      <c r="R449" s="48"/>
      <c r="S449" s="48"/>
      <c r="T449" s="48"/>
      <c r="V449" s="2" t="str">
        <f ca="1"/>
        <v>state.meet_foodie_demon@f2</v>
      </c>
      <c r="X449" s="2" t="str">
        <f ca="1"/>
        <v>state.meet_foodie_demon@f2</v>
      </c>
      <c r="Y449" s="2" t="str">
        <f ca="1"/>
        <v>state.visit_baghdad</v>
      </c>
      <c r="Z449" s="2" t="str">
        <f ca="1"/>
        <v>state.obtain_red_diamond_6b</v>
      </c>
      <c r="AD449" s="2" t="str">
        <f ca="1"/>
        <v>state.meet_foodie_demon@f2</v>
      </c>
    </row>
    <row r="450" spans="1:30">
      <c r="A450" t="str">
        <f t="shared" ref="A450:A513" ca="1" si="14">IF(OR(V450=0,V450=""),"",V450)</f>
        <v>state.meet_forest_fairy@f2</v>
      </c>
      <c r="B450" t="str">
        <f ca="1">_xlfn.XLOOKUP(tblValidation[[#This Row],[TargetID]],tblTargets[TargetID],tblTargets[TargetType],"")</f>
        <v>STATE</v>
      </c>
      <c r="C450" s="48" t="b">
        <f ca="1">COUNTIF(tblTargets[TargetID], $A450) &gt; 0</f>
        <v>1</v>
      </c>
      <c r="D450" s="48" t="b">
        <f ca="1">IF(OR(LEFT(tblValidation[[#This Row],[TargetID]],10)="state.CHAR",RIGHT(tblValidation[[#This Row],[TargetID]],5)="maxed"),TRUE, COUNTIF(tblChecklist[TargetID], $A450) &gt; 0)</f>
        <v>1</v>
      </c>
      <c r="E4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$A450) &gt; 0)</f>
        <v>1</v>
      </c>
      <c r="F450" s="48" t="b">
        <f ca="1">COUNTIF(tblDependencies[DependencyID], $A450) &gt; 0</f>
        <v>1</v>
      </c>
      <c r="G450" s="48" t="b">
        <f ca="1">COUNTIF(tblQuestObjectives[QuestTargetID], $A450) &gt; 0</f>
        <v>0</v>
      </c>
      <c r="H450" s="48" t="b">
        <f ca="1">COUNTIF(tblQuestObjectives[ObjectiveID], $A450) &gt; 0</f>
        <v>0</v>
      </c>
      <c r="I450" s="48" t="b">
        <f ca="1">COUNTIF(tblTargetStatus[TargetID], $A450) &gt; 0</f>
        <v>1</v>
      </c>
      <c r="J450" s="48" t="b">
        <f ca="1">COUNTIF(tblCost[TargetID], $A450) &gt; 0</f>
        <v>0</v>
      </c>
      <c r="K450" s="48" t="b">
        <f ca="1">COUNTIF(tblStates[StateID], $A450) &gt; 0</f>
        <v>1</v>
      </c>
      <c r="L450" s="48" t="b">
        <f t="shared" ref="L450:L513" ca="1" si="15">AND(
A450=LOWER(A450),
ISERROR(SEARCH(" ",A450)),
ISERROR(SEARCH("..",A450))
)</f>
        <v>1</v>
      </c>
      <c r="M450" s="48" t="b">
        <f ca="1">IF(tblValidation[[#This Row],[TargetID]]="","",COUNTIF(tblTargets[TargetID],A450)&gt;1)</f>
        <v>0</v>
      </c>
      <c r="N450" s="48" t="b">
        <f ca="1">IF(tblValidation[[#This Row],[TargetID]]="","",COUNTIF(tblStates[StateID],tblValidation[[#This Row],[TargetID]])&gt;1)</f>
        <v>0</v>
      </c>
      <c r="O450" s="48" t="b" cm="1">
        <f t="array" aca="1" ref="O4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0" s="48"/>
      <c r="R450" s="48"/>
      <c r="S450" s="48"/>
      <c r="T450" s="48"/>
      <c r="V450" s="2" t="str">
        <f ca="1"/>
        <v>state.meet_forest_fairy@f2</v>
      </c>
      <c r="X450" s="2" t="str">
        <f ca="1"/>
        <v>state.meet_forest_fairy@f2</v>
      </c>
      <c r="Y450" s="2" t="str">
        <f ca="1"/>
        <v>state.visit_beijing</v>
      </c>
      <c r="Z450" s="2" t="str">
        <f ca="1"/>
        <v>state.obtain_red_diamond_6c</v>
      </c>
      <c r="AD450" s="2" t="str">
        <f ca="1"/>
        <v>state.meet_forest_fairy@f2</v>
      </c>
    </row>
    <row r="451" spans="1:30">
      <c r="A451" t="str">
        <f t="shared" ca="1" si="14"/>
        <v>state.meet_hunter@f1</v>
      </c>
      <c r="B451" t="str">
        <f ca="1">_xlfn.XLOOKUP(tblValidation[[#This Row],[TargetID]],tblTargets[TargetID],tblTargets[TargetType],"")</f>
        <v>STATE</v>
      </c>
      <c r="C451" s="48" t="b">
        <f ca="1">COUNTIF(tblTargets[TargetID], $A451) &gt; 0</f>
        <v>1</v>
      </c>
      <c r="D451" s="48" t="b">
        <f ca="1">IF(OR(LEFT(tblValidation[[#This Row],[TargetID]],10)="state.CHAR",RIGHT(tblValidation[[#This Row],[TargetID]],5)="maxed"),TRUE, COUNTIF(tblChecklist[TargetID], $A451) &gt; 0)</f>
        <v>1</v>
      </c>
      <c r="E4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$A451) &gt; 0)</f>
        <v>1</v>
      </c>
      <c r="F451" s="48" t="b">
        <f ca="1">COUNTIF(tblDependencies[DependencyID], $A451) &gt; 0</f>
        <v>1</v>
      </c>
      <c r="G451" s="48" t="b">
        <f ca="1">COUNTIF(tblQuestObjectives[QuestTargetID], $A451) &gt; 0</f>
        <v>0</v>
      </c>
      <c r="H451" s="48" t="b">
        <f ca="1">COUNTIF(tblQuestObjectives[ObjectiveID], $A451) &gt; 0</f>
        <v>0</v>
      </c>
      <c r="I451" s="48" t="b">
        <f ca="1">COUNTIF(tblTargetStatus[TargetID], $A451) &gt; 0</f>
        <v>1</v>
      </c>
      <c r="J451" s="48" t="b">
        <f ca="1">COUNTIF(tblCost[TargetID], $A451) &gt; 0</f>
        <v>0</v>
      </c>
      <c r="K451" s="48" t="b">
        <f ca="1">COUNTIF(tblStates[StateID], $A451) &gt; 0</f>
        <v>1</v>
      </c>
      <c r="L451" s="48" t="b">
        <f t="shared" ca="1" si="15"/>
        <v>1</v>
      </c>
      <c r="M451" s="48" t="b">
        <f ca="1">IF(tblValidation[[#This Row],[TargetID]]="","",COUNTIF(tblTargets[TargetID],A451)&gt;1)</f>
        <v>0</v>
      </c>
      <c r="N451" s="48" t="b">
        <f ca="1">IF(tblValidation[[#This Row],[TargetID]]="","",COUNTIF(tblStates[StateID],tblValidation[[#This Row],[TargetID]])&gt;1)</f>
        <v>0</v>
      </c>
      <c r="O451" s="48" t="b" cm="1">
        <f t="array" aca="1" ref="O4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1" s="48"/>
      <c r="R451" s="48"/>
      <c r="S451" s="48"/>
      <c r="T451" s="48"/>
      <c r="V451" s="2" t="str">
        <f ca="1"/>
        <v>state.meet_hunter@f1</v>
      </c>
      <c r="X451" s="2" t="str">
        <f ca="1"/>
        <v>state.meet_hunter@f1</v>
      </c>
      <c r="Y451" s="2" t="str">
        <f ca="1"/>
        <v>state.visit_cairo</v>
      </c>
      <c r="Z451" s="2" t="str">
        <f ca="1"/>
        <v>state.obtain_shield4+</v>
      </c>
      <c r="AD451" s="2" t="str">
        <f ca="1"/>
        <v>state.meet_hunter@f1</v>
      </c>
    </row>
    <row r="452" spans="1:30">
      <c r="A452" t="str">
        <f t="shared" ca="1" si="14"/>
        <v>state.meet_inventor@5b</v>
      </c>
      <c r="B452" t="str">
        <f ca="1">_xlfn.XLOOKUP(tblValidation[[#This Row],[TargetID]],tblTargets[TargetID],tblTargets[TargetType],"")</f>
        <v>STATE</v>
      </c>
      <c r="C452" s="48" t="b">
        <f ca="1">COUNTIF(tblTargets[TargetID], $A452) &gt; 0</f>
        <v>1</v>
      </c>
      <c r="D452" s="48" t="b">
        <f ca="1">IF(OR(LEFT(tblValidation[[#This Row],[TargetID]],10)="state.CHAR",RIGHT(tblValidation[[#This Row],[TargetID]],5)="maxed"),TRUE, COUNTIF(tblChecklist[TargetID], $A452) &gt; 0)</f>
        <v>1</v>
      </c>
      <c r="E4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$A452) &gt; 0)</f>
        <v>1</v>
      </c>
      <c r="F452" s="48" t="b">
        <f ca="1">COUNTIF(tblDependencies[DependencyID], $A452) &gt; 0</f>
        <v>1</v>
      </c>
      <c r="G452" s="48" t="b">
        <f ca="1">COUNTIF(tblQuestObjectives[QuestTargetID], $A452) &gt; 0</f>
        <v>0</v>
      </c>
      <c r="H452" s="48" t="b">
        <f ca="1">COUNTIF(tblQuestObjectives[ObjectiveID], $A452) &gt; 0</f>
        <v>0</v>
      </c>
      <c r="I452" s="48" t="b">
        <f ca="1">COUNTIF(tblTargetStatus[TargetID], $A452) &gt; 0</f>
        <v>1</v>
      </c>
      <c r="J452" s="48" t="b">
        <f ca="1">COUNTIF(tblCost[TargetID], $A452) &gt; 0</f>
        <v>0</v>
      </c>
      <c r="K452" s="48" t="b">
        <f ca="1">COUNTIF(tblStates[StateID], $A452) &gt; 0</f>
        <v>1</v>
      </c>
      <c r="L452" s="48" t="b">
        <f t="shared" ca="1" si="15"/>
        <v>1</v>
      </c>
      <c r="M452" s="48" t="b">
        <f ca="1">IF(tblValidation[[#This Row],[TargetID]]="","",COUNTIF(tblTargets[TargetID],A452)&gt;1)</f>
        <v>0</v>
      </c>
      <c r="N452" s="48" t="b">
        <f ca="1">IF(tblValidation[[#This Row],[TargetID]]="","",COUNTIF(tblStates[StateID],tblValidation[[#This Row],[TargetID]])&gt;1)</f>
        <v>0</v>
      </c>
      <c r="O452" s="48" t="b" cm="1">
        <f t="array" aca="1" ref="O4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2" s="48"/>
      <c r="R452" s="48"/>
      <c r="S452" s="48"/>
      <c r="T452" s="48"/>
      <c r="V452" s="2" t="str">
        <f ca="1"/>
        <v>state.meet_inventor@5b</v>
      </c>
      <c r="X452" s="2" t="str">
        <f ca="1"/>
        <v>state.meet_inventor@5b</v>
      </c>
      <c r="Y452" s="2" t="str">
        <f ca="1"/>
        <v>state.visit_delhi</v>
      </c>
      <c r="Z452" s="2" t="str">
        <f ca="1"/>
        <v>state.obtain_ship_in_a_bottle</v>
      </c>
      <c r="AD452" s="2" t="str">
        <f ca="1"/>
        <v>state.meet_inventor@5b</v>
      </c>
    </row>
    <row r="453" spans="1:30">
      <c r="A453" t="str">
        <f t="shared" ca="1" si="14"/>
        <v>state.meet_mech_adventurer@2b</v>
      </c>
      <c r="B453" t="str">
        <f ca="1">_xlfn.XLOOKUP(tblValidation[[#This Row],[TargetID]],tblTargets[TargetID],tblTargets[TargetType],"")</f>
        <v>STATE</v>
      </c>
      <c r="C453" s="48" t="b">
        <f ca="1">COUNTIF(tblTargets[TargetID], $A453) &gt; 0</f>
        <v>1</v>
      </c>
      <c r="D453" s="48" t="b">
        <f ca="1">IF(OR(LEFT(tblValidation[[#This Row],[TargetID]],10)="state.CHAR",RIGHT(tblValidation[[#This Row],[TargetID]],5)="maxed"),TRUE, COUNTIF(tblChecklist[TargetID], $A453) &gt; 0)</f>
        <v>1</v>
      </c>
      <c r="E4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$A453) &gt; 0)</f>
        <v>1</v>
      </c>
      <c r="F453" s="48" t="b">
        <f ca="1">COUNTIF(tblDependencies[DependencyID], $A453) &gt; 0</f>
        <v>1</v>
      </c>
      <c r="G453" s="48" t="b">
        <f ca="1">COUNTIF(tblQuestObjectives[QuestTargetID], $A453) &gt; 0</f>
        <v>0</v>
      </c>
      <c r="H453" s="48" t="b">
        <f ca="1">COUNTIF(tblQuestObjectives[ObjectiveID], $A453) &gt; 0</f>
        <v>0</v>
      </c>
      <c r="I453" s="48" t="b">
        <f ca="1">COUNTIF(tblTargetStatus[TargetID], $A453) &gt; 0</f>
        <v>1</v>
      </c>
      <c r="J453" s="48" t="b">
        <f ca="1">COUNTIF(tblCost[TargetID], $A453) &gt; 0</f>
        <v>0</v>
      </c>
      <c r="K453" s="48" t="b">
        <f ca="1">COUNTIF(tblStates[StateID], $A453) &gt; 0</f>
        <v>1</v>
      </c>
      <c r="L453" s="48" t="b">
        <f t="shared" ca="1" si="15"/>
        <v>1</v>
      </c>
      <c r="M453" s="48" t="b">
        <f ca="1">IF(tblValidation[[#This Row],[TargetID]]="","",COUNTIF(tblTargets[TargetID],A453)&gt;1)</f>
        <v>0</v>
      </c>
      <c r="N453" s="48" t="b">
        <f ca="1">IF(tblValidation[[#This Row],[TargetID]]="","",COUNTIF(tblStates[StateID],tblValidation[[#This Row],[TargetID]])&gt;1)</f>
        <v>0</v>
      </c>
      <c r="O453" s="48" t="b" cm="1">
        <f t="array" aca="1" ref="O4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3" s="48"/>
      <c r="R453" s="48"/>
      <c r="S453" s="48"/>
      <c r="T453" s="48"/>
      <c r="V453" s="2" t="str">
        <f ca="1"/>
        <v>state.meet_mech_adventurer@2b</v>
      </c>
      <c r="X453" s="2" t="str">
        <f ca="1"/>
        <v>state.meet_mech_adventurer@2b</v>
      </c>
      <c r="Y453" s="2" t="str">
        <f ca="1"/>
        <v>state.visit_dungeon@4a</v>
      </c>
      <c r="Z453" s="2" t="str">
        <f ca="1"/>
        <v>state.obtain_shoguns_katana</v>
      </c>
      <c r="AD453" s="2" t="str">
        <f ca="1"/>
        <v>state.meet_mech_adventurer@2b</v>
      </c>
    </row>
    <row r="454" spans="1:30">
      <c r="A454" t="str">
        <f t="shared" ca="1" si="14"/>
        <v>state.meet_mech_adventurer_3a</v>
      </c>
      <c r="B454" t="str">
        <f ca="1">_xlfn.XLOOKUP(tblValidation[[#This Row],[TargetID]],tblTargets[TargetID],tblTargets[TargetType],"")</f>
        <v>STATE</v>
      </c>
      <c r="C454" s="48" t="b">
        <f ca="1">COUNTIF(tblTargets[TargetID], $A454) &gt; 0</f>
        <v>1</v>
      </c>
      <c r="D454" s="48" t="b">
        <f ca="1">IF(OR(LEFT(tblValidation[[#This Row],[TargetID]],10)="state.CHAR",RIGHT(tblValidation[[#This Row],[TargetID]],5)="maxed"),TRUE, COUNTIF(tblChecklist[TargetID], $A454) &gt; 0)</f>
        <v>1</v>
      </c>
      <c r="E4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$A454) &gt; 0)</f>
        <v>1</v>
      </c>
      <c r="F454" s="48" t="b">
        <f ca="1">COUNTIF(tblDependencies[DependencyID], $A454) &gt; 0</f>
        <v>1</v>
      </c>
      <c r="G454" s="48" t="b">
        <f ca="1">COUNTIF(tblQuestObjectives[QuestTargetID], $A454) &gt; 0</f>
        <v>0</v>
      </c>
      <c r="H454" s="48" t="b">
        <f ca="1">COUNTIF(tblQuestObjectives[ObjectiveID], $A454) &gt; 0</f>
        <v>0</v>
      </c>
      <c r="I454" s="48" t="b">
        <f ca="1">COUNTIF(tblTargetStatus[TargetID], $A454) &gt; 0</f>
        <v>1</v>
      </c>
      <c r="J454" s="48" t="b">
        <f ca="1">COUNTIF(tblCost[TargetID], $A454) &gt; 0</f>
        <v>0</v>
      </c>
      <c r="K454" s="48" t="b">
        <f ca="1">COUNTIF(tblStates[StateID], $A454) &gt; 0</f>
        <v>1</v>
      </c>
      <c r="L454" s="48" t="b">
        <f t="shared" ca="1" si="15"/>
        <v>1</v>
      </c>
      <c r="M454" s="48" t="b">
        <f ca="1">IF(tblValidation[[#This Row],[TargetID]]="","",COUNTIF(tblTargets[TargetID],A454)&gt;1)</f>
        <v>0</v>
      </c>
      <c r="N454" s="48" t="b">
        <f ca="1">IF(tblValidation[[#This Row],[TargetID]]="","",COUNTIF(tblStates[StateID],tblValidation[[#This Row],[TargetID]])&gt;1)</f>
        <v>0</v>
      </c>
      <c r="O454" s="48" t="b" cm="1">
        <f t="array" aca="1" ref="O4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4" s="48"/>
      <c r="R454" s="48"/>
      <c r="S454" s="48"/>
      <c r="T454" s="48"/>
      <c r="V454" s="2" t="str">
        <f ca="1"/>
        <v>state.meet_mech_adventurer_3a</v>
      </c>
      <c r="X454" s="2" t="str">
        <f ca="1"/>
        <v>state.meet_mech_adventurer_3a</v>
      </c>
      <c r="Y454" s="2" t="str">
        <f ca="1"/>
        <v>state.visit_dungeon@5a</v>
      </c>
      <c r="Z454" s="2" t="str">
        <f ca="1"/>
        <v>state.obtain_shoguns_mortar</v>
      </c>
      <c r="AD454" s="2" t="str">
        <f ca="1"/>
        <v>state.meet_mech_adventurer_3a</v>
      </c>
    </row>
    <row r="455" spans="1:30">
      <c r="A455" t="str">
        <f t="shared" ca="1" si="14"/>
        <v>state.meet_mech_adventurer_f1</v>
      </c>
      <c r="B455" t="str">
        <f ca="1">_xlfn.XLOOKUP(tblValidation[[#This Row],[TargetID]],tblTargets[TargetID],tblTargets[TargetType],"")</f>
        <v>STATE</v>
      </c>
      <c r="C455" s="48" t="b">
        <f ca="1">COUNTIF(tblTargets[TargetID], $A455) &gt; 0</f>
        <v>1</v>
      </c>
      <c r="D455" s="48" t="b">
        <f ca="1">IF(OR(LEFT(tblValidation[[#This Row],[TargetID]],10)="state.CHAR",RIGHT(tblValidation[[#This Row],[TargetID]],5)="maxed"),TRUE, COUNTIF(tblChecklist[TargetID], $A455) &gt; 0)</f>
        <v>1</v>
      </c>
      <c r="E4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$A455) &gt; 0)</f>
        <v>1</v>
      </c>
      <c r="F455" s="48" t="b">
        <f ca="1">COUNTIF(tblDependencies[DependencyID], $A455) &gt; 0</f>
        <v>1</v>
      </c>
      <c r="G455" s="48" t="b">
        <f ca="1">COUNTIF(tblQuestObjectives[QuestTargetID], $A455) &gt; 0</f>
        <v>0</v>
      </c>
      <c r="H455" s="48" t="b">
        <f ca="1">COUNTIF(tblQuestObjectives[ObjectiveID], $A455) &gt; 0</f>
        <v>0</v>
      </c>
      <c r="I455" s="48" t="b">
        <f ca="1">COUNTIF(tblTargetStatus[TargetID], $A455) &gt; 0</f>
        <v>1</v>
      </c>
      <c r="J455" s="48" t="b">
        <f ca="1">COUNTIF(tblCost[TargetID], $A455) &gt; 0</f>
        <v>0</v>
      </c>
      <c r="K455" s="48" t="b">
        <f ca="1">COUNTIF(tblStates[StateID], $A455) &gt; 0</f>
        <v>1</v>
      </c>
      <c r="L455" s="48" t="b">
        <f t="shared" ca="1" si="15"/>
        <v>1</v>
      </c>
      <c r="M455" s="48" t="b">
        <f ca="1">IF(tblValidation[[#This Row],[TargetID]]="","",COUNTIF(tblTargets[TargetID],A455)&gt;1)</f>
        <v>0</v>
      </c>
      <c r="N455" s="48" t="b">
        <f ca="1">IF(tblValidation[[#This Row],[TargetID]]="","",COUNTIF(tblStates[StateID],tblValidation[[#This Row],[TargetID]])&gt;1)</f>
        <v>0</v>
      </c>
      <c r="O455" s="48" t="b" cm="1">
        <f t="array" aca="1" ref="O4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5" s="48"/>
      <c r="R455" s="48"/>
      <c r="S455" s="48"/>
      <c r="T455" s="48"/>
      <c r="V455" s="2" t="str">
        <f ca="1"/>
        <v>state.meet_mech_adventurer_f1</v>
      </c>
      <c r="X455" s="2" t="str">
        <f ca="1"/>
        <v>state.meet_mech_adventurer_f1</v>
      </c>
      <c r="Y455" s="2" t="str">
        <f ca="1"/>
        <v>state.visit_dungeon@6a</v>
      </c>
      <c r="Z455" s="2" t="str">
        <f ca="1"/>
        <v>state.obtain_smugglers_map_10_spices</v>
      </c>
      <c r="AD455" s="2" t="str">
        <f ca="1"/>
        <v>state.meet_mech_adventurer_f1</v>
      </c>
    </row>
    <row r="456" spans="1:30">
      <c r="A456" t="str">
        <f t="shared" ca="1" si="14"/>
        <v>state.meet_methusalem@f3</v>
      </c>
      <c r="B456" t="str">
        <f ca="1">_xlfn.XLOOKUP(tblValidation[[#This Row],[TargetID]],tblTargets[TargetID],tblTargets[TargetType],"")</f>
        <v>STATE</v>
      </c>
      <c r="C456" s="48" t="b">
        <f ca="1">COUNTIF(tblTargets[TargetID], $A456) &gt; 0</f>
        <v>1</v>
      </c>
      <c r="D456" s="48" t="b">
        <f ca="1">IF(OR(LEFT(tblValidation[[#This Row],[TargetID]],10)="state.CHAR",RIGHT(tblValidation[[#This Row],[TargetID]],5)="maxed"),TRUE, COUNTIF(tblChecklist[TargetID], $A456) &gt; 0)</f>
        <v>1</v>
      </c>
      <c r="E4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$A456) &gt; 0)</f>
        <v>1</v>
      </c>
      <c r="F456" s="48" t="b">
        <f ca="1">COUNTIF(tblDependencies[DependencyID], $A456) &gt; 0</f>
        <v>1</v>
      </c>
      <c r="G456" s="48" t="b">
        <f ca="1">COUNTIF(tblQuestObjectives[QuestTargetID], $A456) &gt; 0</f>
        <v>0</v>
      </c>
      <c r="H456" s="48" t="b">
        <f ca="1">COUNTIF(tblQuestObjectives[ObjectiveID], $A456) &gt; 0</f>
        <v>0</v>
      </c>
      <c r="I456" s="48" t="b">
        <f ca="1">COUNTIF(tblTargetStatus[TargetID], $A456) &gt; 0</f>
        <v>1</v>
      </c>
      <c r="J456" s="48" t="b">
        <f ca="1">COUNTIF(tblCost[TargetID], $A456) &gt; 0</f>
        <v>0</v>
      </c>
      <c r="K456" s="48" t="b">
        <f ca="1">COUNTIF(tblStates[StateID], $A456) &gt; 0</f>
        <v>1</v>
      </c>
      <c r="L456" s="48" t="b">
        <f t="shared" ca="1" si="15"/>
        <v>1</v>
      </c>
      <c r="M456" s="48" t="b">
        <f ca="1">IF(tblValidation[[#This Row],[TargetID]]="","",COUNTIF(tblTargets[TargetID],A456)&gt;1)</f>
        <v>0</v>
      </c>
      <c r="N456" s="48" t="b">
        <f ca="1">IF(tblValidation[[#This Row],[TargetID]]="","",COUNTIF(tblStates[StateID],tblValidation[[#This Row],[TargetID]])&gt;1)</f>
        <v>0</v>
      </c>
      <c r="O456" s="48" t="b" cm="1">
        <f t="array" aca="1" ref="O4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6" s="48"/>
      <c r="R456" s="48"/>
      <c r="S456" s="48"/>
      <c r="T456" s="48"/>
      <c r="V456" s="2" t="str">
        <f ca="1"/>
        <v>state.meet_methusalem@f3</v>
      </c>
      <c r="X456" s="2" t="str">
        <f ca="1"/>
        <v>state.meet_methusalem@f3</v>
      </c>
      <c r="Y456" s="2" t="str">
        <f ca="1"/>
        <v>state.visit_fukushima</v>
      </c>
      <c r="Z456" s="2" t="str">
        <f ca="1"/>
        <v>state.obtain_smugglers_map_100_beans</v>
      </c>
      <c r="AD456" s="2" t="str">
        <f ca="1"/>
        <v>state.meet_methusalem@f3</v>
      </c>
    </row>
    <row r="457" spans="1:30">
      <c r="A457" t="str">
        <f t="shared" ca="1" si="14"/>
        <v>state.meet_mr_diligence@f1</v>
      </c>
      <c r="B457" t="str">
        <f ca="1">_xlfn.XLOOKUP(tblValidation[[#This Row],[TargetID]],tblTargets[TargetID],tblTargets[TargetType],"")</f>
        <v>STATE</v>
      </c>
      <c r="C457" s="48" t="b">
        <f ca="1">COUNTIF(tblTargets[TargetID], $A457) &gt; 0</f>
        <v>1</v>
      </c>
      <c r="D457" s="48" t="b">
        <f ca="1">IF(OR(LEFT(tblValidation[[#This Row],[TargetID]],10)="state.CHAR",RIGHT(tblValidation[[#This Row],[TargetID]],5)="maxed"),TRUE, COUNTIF(tblChecklist[TargetID], $A457) &gt; 0)</f>
        <v>1</v>
      </c>
      <c r="E4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$A457) &gt; 0)</f>
        <v>1</v>
      </c>
      <c r="F457" s="48" t="b">
        <f ca="1">COUNTIF(tblDependencies[DependencyID], $A457) &gt; 0</f>
        <v>1</v>
      </c>
      <c r="G457" s="48" t="b">
        <f ca="1">COUNTIF(tblQuestObjectives[QuestTargetID], $A457) &gt; 0</f>
        <v>0</v>
      </c>
      <c r="H457" s="48" t="b">
        <f ca="1">COUNTIF(tblQuestObjectives[ObjectiveID], $A457) &gt; 0</f>
        <v>0</v>
      </c>
      <c r="I457" s="48" t="b">
        <f ca="1">COUNTIF(tblTargetStatus[TargetID], $A457) &gt; 0</f>
        <v>1</v>
      </c>
      <c r="J457" s="48" t="b">
        <f ca="1">COUNTIF(tblCost[TargetID], $A457) &gt; 0</f>
        <v>0</v>
      </c>
      <c r="K457" s="48" t="b">
        <f ca="1">COUNTIF(tblStates[StateID], $A457) &gt; 0</f>
        <v>1</v>
      </c>
      <c r="L457" s="48" t="b">
        <f t="shared" ca="1" si="15"/>
        <v>1</v>
      </c>
      <c r="M457" s="48" t="b">
        <f ca="1">IF(tblValidation[[#This Row],[TargetID]]="","",COUNTIF(tblTargets[TargetID],A457)&gt;1)</f>
        <v>0</v>
      </c>
      <c r="N457" s="48" t="b">
        <f ca="1">IF(tblValidation[[#This Row],[TargetID]]="","",COUNTIF(tblStates[StateID],tblValidation[[#This Row],[TargetID]])&gt;1)</f>
        <v>0</v>
      </c>
      <c r="O457" s="48" t="b" cm="1">
        <f t="array" aca="1" ref="O4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7" s="48"/>
      <c r="R457" s="48"/>
      <c r="S457" s="48"/>
      <c r="T457" s="48"/>
      <c r="V457" s="2" t="str">
        <f ca="1"/>
        <v>state.meet_mr_diligence@f1</v>
      </c>
      <c r="X457" s="2" t="str">
        <f ca="1"/>
        <v>state.meet_mr_diligence@f1</v>
      </c>
      <c r="Y457" s="2" t="str">
        <f ca="1"/>
        <v>state.visit_kyiv</v>
      </c>
      <c r="Z457" s="2" t="str">
        <f ca="1"/>
        <v>state.obtain_smugglers_map_15_pearl</v>
      </c>
      <c r="AD457" s="2" t="str">
        <f ca="1"/>
        <v>state.meet_mr_diligence@f1</v>
      </c>
    </row>
    <row r="458" spans="1:30">
      <c r="A458" t="str">
        <f t="shared" ca="1" si="14"/>
        <v>state.meet_mrs_diligance@f2</v>
      </c>
      <c r="B458" t="str">
        <f ca="1">_xlfn.XLOOKUP(tblValidation[[#This Row],[TargetID]],tblTargets[TargetID],tblTargets[TargetType],"")</f>
        <v>STATE</v>
      </c>
      <c r="C458" s="48" t="b">
        <f ca="1">COUNTIF(tblTargets[TargetID], $A458) &gt; 0</f>
        <v>1</v>
      </c>
      <c r="D458" s="48" t="b">
        <f ca="1">IF(OR(LEFT(tblValidation[[#This Row],[TargetID]],10)="state.CHAR",RIGHT(tblValidation[[#This Row],[TargetID]],5)="maxed"),TRUE, COUNTIF(tblChecklist[TargetID], $A458) &gt; 0)</f>
        <v>1</v>
      </c>
      <c r="E4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$A458) &gt; 0)</f>
        <v>1</v>
      </c>
      <c r="F458" s="48" t="b">
        <f ca="1">COUNTIF(tblDependencies[DependencyID], $A458) &gt; 0</f>
        <v>1</v>
      </c>
      <c r="G458" s="48" t="b">
        <f ca="1">COUNTIF(tblQuestObjectives[QuestTargetID], $A458) &gt; 0</f>
        <v>0</v>
      </c>
      <c r="H458" s="48" t="b">
        <f ca="1">COUNTIF(tblQuestObjectives[ObjectiveID], $A458) &gt; 0</f>
        <v>0</v>
      </c>
      <c r="I458" s="48" t="b">
        <f ca="1">COUNTIF(tblTargetStatus[TargetID], $A458) &gt; 0</f>
        <v>1</v>
      </c>
      <c r="J458" s="48" t="b">
        <f ca="1">COUNTIF(tblCost[TargetID], $A458) &gt; 0</f>
        <v>0</v>
      </c>
      <c r="K458" s="48" t="b">
        <f ca="1">COUNTIF(tblStates[StateID], $A458) &gt; 0</f>
        <v>1</v>
      </c>
      <c r="L458" s="48" t="b">
        <f t="shared" ca="1" si="15"/>
        <v>1</v>
      </c>
      <c r="M458" s="48" t="b">
        <f ca="1">IF(tblValidation[[#This Row],[TargetID]]="","",COUNTIF(tblTargets[TargetID],A458)&gt;1)</f>
        <v>0</v>
      </c>
      <c r="N458" s="48" t="b">
        <f ca="1">IF(tblValidation[[#This Row],[TargetID]]="","",COUNTIF(tblStates[StateID],tblValidation[[#This Row],[TargetID]])&gt;1)</f>
        <v>0</v>
      </c>
      <c r="O458" s="48" t="b" cm="1">
        <f t="array" aca="1" ref="O4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8" s="48"/>
      <c r="R458" s="48"/>
      <c r="S458" s="48"/>
      <c r="T458" s="48"/>
      <c r="V458" s="2" t="str">
        <f ca="1"/>
        <v>state.meet_mrs_diligance@f2</v>
      </c>
      <c r="X458" s="2" t="str">
        <f ca="1"/>
        <v>state.meet_mrs_diligance@f2</v>
      </c>
      <c r="Y458" s="2" t="str">
        <f ca="1"/>
        <v>state.visit_kyoto</v>
      </c>
      <c r="Z458" s="2" t="str">
        <f ca="1"/>
        <v>state.obtain_spices</v>
      </c>
      <c r="AD458" s="2" t="str">
        <f ca="1"/>
        <v>state.meet_mrs_diligance@f2</v>
      </c>
    </row>
    <row r="459" spans="1:30">
      <c r="A459" t="str">
        <f t="shared" ca="1" si="14"/>
        <v>state.meet_old_man@4c</v>
      </c>
      <c r="B459" t="str">
        <f ca="1">_xlfn.XLOOKUP(tblValidation[[#This Row],[TargetID]],tblTargets[TargetID],tblTargets[TargetType],"")</f>
        <v>STATE</v>
      </c>
      <c r="C459" s="48" t="b">
        <f ca="1">COUNTIF(tblTargets[TargetID], $A459) &gt; 0</f>
        <v>1</v>
      </c>
      <c r="D459" s="48" t="b">
        <f ca="1">IF(OR(LEFT(tblValidation[[#This Row],[TargetID]],10)="state.CHAR",RIGHT(tblValidation[[#This Row],[TargetID]],5)="maxed"),TRUE, COUNTIF(tblChecklist[TargetID], $A459) &gt; 0)</f>
        <v>1</v>
      </c>
      <c r="E4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$A459) &gt; 0)</f>
        <v>1</v>
      </c>
      <c r="F459" s="48" t="b">
        <f ca="1">COUNTIF(tblDependencies[DependencyID], $A459) &gt; 0</f>
        <v>1</v>
      </c>
      <c r="G459" s="48" t="b">
        <f ca="1">COUNTIF(tblQuestObjectives[QuestTargetID], $A459) &gt; 0</f>
        <v>0</v>
      </c>
      <c r="H459" s="48" t="b">
        <f ca="1">COUNTIF(tblQuestObjectives[ObjectiveID], $A459) &gt; 0</f>
        <v>0</v>
      </c>
      <c r="I459" s="48" t="b">
        <f ca="1">COUNTIF(tblTargetStatus[TargetID], $A459) &gt; 0</f>
        <v>1</v>
      </c>
      <c r="J459" s="48" t="b">
        <f ca="1">COUNTIF(tblCost[TargetID], $A459) &gt; 0</f>
        <v>0</v>
      </c>
      <c r="K459" s="48" t="b">
        <f ca="1">COUNTIF(tblStates[StateID], $A459) &gt; 0</f>
        <v>1</v>
      </c>
      <c r="L459" s="48" t="b">
        <f t="shared" ca="1" si="15"/>
        <v>1</v>
      </c>
      <c r="M459" s="48" t="b">
        <f ca="1">IF(tblValidation[[#This Row],[TargetID]]="","",COUNTIF(tblTargets[TargetID],A459)&gt;1)</f>
        <v>0</v>
      </c>
      <c r="N459" s="48" t="b">
        <f ca="1">IF(tblValidation[[#This Row],[TargetID]]="","",COUNTIF(tblStates[StateID],tblValidation[[#This Row],[TargetID]])&gt;1)</f>
        <v>0</v>
      </c>
      <c r="O459" s="48" t="b" cm="1">
        <f t="array" aca="1" ref="O4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9" s="48"/>
      <c r="R459" s="48"/>
      <c r="S459" s="48"/>
      <c r="T459" s="48"/>
      <c r="V459" s="2" t="str">
        <f ca="1"/>
        <v>state.meet_old_man@4c</v>
      </c>
      <c r="X459" s="2" t="str">
        <f ca="1"/>
        <v>state.meet_old_man@4c</v>
      </c>
      <c r="Y459" s="2" t="str">
        <f ca="1"/>
        <v>state.visit_melbourne</v>
      </c>
      <c r="Z459" s="2" t="str">
        <f ca="1"/>
        <v>state.obtain_steamobile</v>
      </c>
      <c r="AD459" s="2" t="str">
        <f ca="1"/>
        <v>state.meet_old_man@4c</v>
      </c>
    </row>
    <row r="460" spans="1:30">
      <c r="A460" t="str">
        <f t="shared" ca="1" si="14"/>
        <v>state.meet_pilot@f3</v>
      </c>
      <c r="B460" t="str">
        <f ca="1">_xlfn.XLOOKUP(tblValidation[[#This Row],[TargetID]],tblTargets[TargetID],tblTargets[TargetType],"")</f>
        <v>STATE</v>
      </c>
      <c r="C460" s="48" t="b">
        <f ca="1">COUNTIF(tblTargets[TargetID], $A460) &gt; 0</f>
        <v>1</v>
      </c>
      <c r="D460" s="48" t="b">
        <f ca="1">IF(OR(LEFT(tblValidation[[#This Row],[TargetID]],10)="state.CHAR",RIGHT(tblValidation[[#This Row],[TargetID]],5)="maxed"),TRUE, COUNTIF(tblChecklist[TargetID], $A460) &gt; 0)</f>
        <v>1</v>
      </c>
      <c r="E4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$A460) &gt; 0)</f>
        <v>1</v>
      </c>
      <c r="F460" s="48" t="b">
        <f ca="1">COUNTIF(tblDependencies[DependencyID], $A460) &gt; 0</f>
        <v>1</v>
      </c>
      <c r="G460" s="48" t="b">
        <f ca="1">COUNTIF(tblQuestObjectives[QuestTargetID], $A460) &gt; 0</f>
        <v>0</v>
      </c>
      <c r="H460" s="48" t="b">
        <f ca="1">COUNTIF(tblQuestObjectives[ObjectiveID], $A460) &gt; 0</f>
        <v>0</v>
      </c>
      <c r="I460" s="48" t="b">
        <f ca="1">COUNTIF(tblTargetStatus[TargetID], $A460) &gt; 0</f>
        <v>1</v>
      </c>
      <c r="J460" s="48" t="b">
        <f ca="1">COUNTIF(tblCost[TargetID], $A460) &gt; 0</f>
        <v>0</v>
      </c>
      <c r="K460" s="48" t="b">
        <f ca="1">COUNTIF(tblStates[StateID], $A460) &gt; 0</f>
        <v>1</v>
      </c>
      <c r="L460" s="48" t="b">
        <f t="shared" ca="1" si="15"/>
        <v>1</v>
      </c>
      <c r="M460" s="48" t="b">
        <f ca="1">IF(tblValidation[[#This Row],[TargetID]]="","",COUNTIF(tblTargets[TargetID],A460)&gt;1)</f>
        <v>0</v>
      </c>
      <c r="N460" s="48" t="b">
        <f ca="1">IF(tblValidation[[#This Row],[TargetID]]="","",COUNTIF(tblStates[StateID],tblValidation[[#This Row],[TargetID]])&gt;1)</f>
        <v>0</v>
      </c>
      <c r="O460" s="48" t="b" cm="1">
        <f t="array" aca="1" ref="O4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0" s="48"/>
      <c r="R460" s="48"/>
      <c r="S460" s="48"/>
      <c r="T460" s="48"/>
      <c r="V460" s="2" t="str">
        <f ca="1"/>
        <v>state.meet_pilot@f3</v>
      </c>
      <c r="X460" s="2" t="str">
        <f ca="1"/>
        <v>state.meet_pilot@f3</v>
      </c>
      <c r="Y460" s="2" t="str">
        <f ca="1"/>
        <v>state.visit_nagasaki</v>
      </c>
      <c r="Z460" s="2" t="str">
        <f ca="1"/>
        <v>state.obtain_strawberry@f1</v>
      </c>
      <c r="AD460" s="2" t="str">
        <f ca="1"/>
        <v>state.meet_pilot@f3</v>
      </c>
    </row>
    <row r="461" spans="1:30">
      <c r="A461" t="str">
        <f t="shared" ca="1" si="14"/>
        <v>state.meet_pirate_skeleton@3a</v>
      </c>
      <c r="B461" t="str">
        <f ca="1">_xlfn.XLOOKUP(tblValidation[[#This Row],[TargetID]],tblTargets[TargetID],tblTargets[TargetType],"")</f>
        <v>STATE</v>
      </c>
      <c r="C461" s="48" t="b">
        <f ca="1">COUNTIF(tblTargets[TargetID], $A461) &gt; 0</f>
        <v>1</v>
      </c>
      <c r="D461" s="48" t="b">
        <f ca="1">IF(OR(LEFT(tblValidation[[#This Row],[TargetID]],10)="state.CHAR",RIGHT(tblValidation[[#This Row],[TargetID]],5)="maxed"),TRUE, COUNTIF(tblChecklist[TargetID], $A461) &gt; 0)</f>
        <v>1</v>
      </c>
      <c r="E4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$A461) &gt; 0)</f>
        <v>1</v>
      </c>
      <c r="F461" s="48" t="b">
        <f ca="1">COUNTIF(tblDependencies[DependencyID], $A461) &gt; 0</f>
        <v>1</v>
      </c>
      <c r="G461" s="48" t="b">
        <f ca="1">COUNTIF(tblQuestObjectives[QuestTargetID], $A461) &gt; 0</f>
        <v>0</v>
      </c>
      <c r="H461" s="48" t="b">
        <f ca="1">COUNTIF(tblQuestObjectives[ObjectiveID], $A461) &gt; 0</f>
        <v>0</v>
      </c>
      <c r="I461" s="48" t="b">
        <f ca="1">COUNTIF(tblTargetStatus[TargetID], $A461) &gt; 0</f>
        <v>1</v>
      </c>
      <c r="J461" s="48" t="b">
        <f ca="1">COUNTIF(tblCost[TargetID], $A461) &gt; 0</f>
        <v>0</v>
      </c>
      <c r="K461" s="48" t="b">
        <f ca="1">COUNTIF(tblStates[StateID], $A461) &gt; 0</f>
        <v>1</v>
      </c>
      <c r="L461" s="48" t="b">
        <f t="shared" ca="1" si="15"/>
        <v>1</v>
      </c>
      <c r="M461" s="48" t="b">
        <f ca="1">IF(tblValidation[[#This Row],[TargetID]]="","",COUNTIF(tblTargets[TargetID],A461)&gt;1)</f>
        <v>0</v>
      </c>
      <c r="N461" s="48" t="b">
        <f ca="1">IF(tblValidation[[#This Row],[TargetID]]="","",COUNTIF(tblStates[StateID],tblValidation[[#This Row],[TargetID]])&gt;1)</f>
        <v>0</v>
      </c>
      <c r="O461" s="48" t="b" cm="1">
        <f t="array" aca="1" ref="O4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1" s="48"/>
      <c r="R461" s="48"/>
      <c r="S461" s="48"/>
      <c r="T461" s="48"/>
      <c r="V461" s="2" t="str">
        <f ca="1"/>
        <v>state.meet_pirate_skeleton@3a</v>
      </c>
      <c r="X461" s="2" t="str">
        <f ca="1"/>
        <v>state.meet_pirate_skeleton@3a</v>
      </c>
      <c r="Y461" s="2" t="str">
        <f ca="1"/>
        <v>state.visit_osaka</v>
      </c>
      <c r="Z461" s="2" t="str">
        <f ca="1"/>
        <v>state.obtain_sword4</v>
      </c>
      <c r="AD461" s="2" t="str">
        <f ca="1"/>
        <v>state.meet_pirate_skeleton@3a</v>
      </c>
    </row>
    <row r="462" spans="1:30">
      <c r="A462" t="str">
        <f t="shared" ca="1" si="14"/>
        <v>state.meet_raven@f1_first_time</v>
      </c>
      <c r="B462" t="str">
        <f ca="1">_xlfn.XLOOKUP(tblValidation[[#This Row],[TargetID]],tblTargets[TargetID],tblTargets[TargetType],"")</f>
        <v>STATE</v>
      </c>
      <c r="C462" s="48" t="b">
        <f ca="1">COUNTIF(tblTargets[TargetID], $A462) &gt; 0</f>
        <v>1</v>
      </c>
      <c r="D462" s="48" t="b">
        <f ca="1">IF(OR(LEFT(tblValidation[[#This Row],[TargetID]],10)="state.CHAR",RIGHT(tblValidation[[#This Row],[TargetID]],5)="maxed"),TRUE, COUNTIF(tblChecklist[TargetID], $A462) &gt; 0)</f>
        <v>1</v>
      </c>
      <c r="E4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$A462) &gt; 0)</f>
        <v>1</v>
      </c>
      <c r="F462" s="48" t="b">
        <f ca="1">COUNTIF(tblDependencies[DependencyID], $A462) &gt; 0</f>
        <v>1</v>
      </c>
      <c r="G462" s="48" t="b">
        <f ca="1">COUNTIF(tblQuestObjectives[QuestTargetID], $A462) &gt; 0</f>
        <v>0</v>
      </c>
      <c r="H462" s="48" t="b">
        <f ca="1">COUNTIF(tblQuestObjectives[ObjectiveID], $A462) &gt; 0</f>
        <v>0</v>
      </c>
      <c r="I462" s="48" t="b">
        <f ca="1">COUNTIF(tblTargetStatus[TargetID], $A462) &gt; 0</f>
        <v>1</v>
      </c>
      <c r="J462" s="48" t="b">
        <f ca="1">COUNTIF(tblCost[TargetID], $A462) &gt; 0</f>
        <v>0</v>
      </c>
      <c r="K462" s="48" t="b">
        <f ca="1">COUNTIF(tblStates[StateID], $A462) &gt; 0</f>
        <v>1</v>
      </c>
      <c r="L462" s="48" t="b">
        <f t="shared" ca="1" si="15"/>
        <v>1</v>
      </c>
      <c r="M462" s="48" t="b">
        <f ca="1">IF(tblValidation[[#This Row],[TargetID]]="","",COUNTIF(tblTargets[TargetID],A462)&gt;1)</f>
        <v>0</v>
      </c>
      <c r="N462" s="48" t="b">
        <f ca="1">IF(tblValidation[[#This Row],[TargetID]]="","",COUNTIF(tblStates[StateID],tblValidation[[#This Row],[TargetID]])&gt;1)</f>
        <v>0</v>
      </c>
      <c r="O462" s="48" t="b" cm="1">
        <f t="array" aca="1" ref="O4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2" s="48"/>
      <c r="R462" s="48"/>
      <c r="S462" s="48"/>
      <c r="T462" s="48"/>
      <c r="V462" s="2" t="str">
        <f ca="1"/>
        <v>state.meet_raven@f1_first_time</v>
      </c>
      <c r="X462" s="2" t="str">
        <f ca="1"/>
        <v>state.meet_raven@f1_first_time</v>
      </c>
      <c r="Y462" s="2" t="str">
        <f ca="1"/>
        <v>state.visit_paris</v>
      </c>
      <c r="Z462" s="2" t="str">
        <f ca="1"/>
        <v>state.obtain_sword4+</v>
      </c>
      <c r="AD462" s="2" t="str">
        <f ca="1"/>
        <v>state.meet_raven@f1_first_time</v>
      </c>
    </row>
    <row r="463" spans="1:30">
      <c r="A463" t="str">
        <f t="shared" ca="1" si="14"/>
        <v>state.meet_raven@f1_second_time</v>
      </c>
      <c r="B463" t="str">
        <f ca="1">_xlfn.XLOOKUP(tblValidation[[#This Row],[TargetID]],tblTargets[TargetID],tblTargets[TargetType],"")</f>
        <v>STATE</v>
      </c>
      <c r="C463" s="48" t="b">
        <f ca="1">COUNTIF(tblTargets[TargetID], $A463) &gt; 0</f>
        <v>1</v>
      </c>
      <c r="D463" s="48" t="b">
        <f ca="1">IF(OR(LEFT(tblValidation[[#This Row],[TargetID]],10)="state.CHAR",RIGHT(tblValidation[[#This Row],[TargetID]],5)="maxed"),TRUE, COUNTIF(tblChecklist[TargetID], $A463) &gt; 0)</f>
        <v>1</v>
      </c>
      <c r="E4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$A463) &gt; 0)</f>
        <v>1</v>
      </c>
      <c r="F463" s="48" t="b">
        <f ca="1">COUNTIF(tblDependencies[DependencyID], $A463) &gt; 0</f>
        <v>1</v>
      </c>
      <c r="G463" s="48" t="b">
        <f ca="1">COUNTIF(tblQuestObjectives[QuestTargetID], $A463) &gt; 0</f>
        <v>0</v>
      </c>
      <c r="H463" s="48" t="b">
        <f ca="1">COUNTIF(tblQuestObjectives[ObjectiveID], $A463) &gt; 0</f>
        <v>0</v>
      </c>
      <c r="I463" s="48" t="b">
        <f ca="1">COUNTIF(tblTargetStatus[TargetID], $A463) &gt; 0</f>
        <v>1</v>
      </c>
      <c r="J463" s="48" t="b">
        <f ca="1">COUNTIF(tblCost[TargetID], $A463) &gt; 0</f>
        <v>0</v>
      </c>
      <c r="K463" s="48" t="b">
        <f ca="1">COUNTIF(tblStates[StateID], $A463) &gt; 0</f>
        <v>1</v>
      </c>
      <c r="L463" s="48" t="b">
        <f t="shared" ca="1" si="15"/>
        <v>1</v>
      </c>
      <c r="M463" s="48" t="b">
        <f ca="1">IF(tblValidation[[#This Row],[TargetID]]="","",COUNTIF(tblTargets[TargetID],A463)&gt;1)</f>
        <v>0</v>
      </c>
      <c r="N463" s="48" t="b">
        <f ca="1">IF(tblValidation[[#This Row],[TargetID]]="","",COUNTIF(tblStates[StateID],tblValidation[[#This Row],[TargetID]])&gt;1)</f>
        <v>0</v>
      </c>
      <c r="O463" s="48" t="b" cm="1">
        <f t="array" aca="1" ref="O4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3" s="48"/>
      <c r="R463" s="48"/>
      <c r="S463" s="48"/>
      <c r="T463" s="48"/>
      <c r="V463" s="2" t="str">
        <f ca="1"/>
        <v>state.meet_raven@f1_second_time</v>
      </c>
      <c r="X463" s="2" t="str">
        <f ca="1"/>
        <v>state.meet_raven@f1_second_time</v>
      </c>
      <c r="Y463" s="2" t="str">
        <f ca="1"/>
        <v>state.visit_rome</v>
      </c>
      <c r="Z463" s="2" t="str">
        <f ca="1"/>
        <v>state.obtain_titanium</v>
      </c>
      <c r="AD463" s="2" t="str">
        <f ca="1"/>
        <v>state.meet_raven@f1_second_time</v>
      </c>
    </row>
    <row r="464" spans="1:30">
      <c r="A464" t="str">
        <f t="shared" ca="1" si="14"/>
        <v>state.meet_raven@f1_third_time</v>
      </c>
      <c r="B464" t="str">
        <f ca="1">_xlfn.XLOOKUP(tblValidation[[#This Row],[TargetID]],tblTargets[TargetID],tblTargets[TargetType],"")</f>
        <v>STATE</v>
      </c>
      <c r="C464" s="48" t="b">
        <f ca="1">COUNTIF(tblTargets[TargetID], $A464) &gt; 0</f>
        <v>1</v>
      </c>
      <c r="D464" s="48" t="b">
        <f ca="1">IF(OR(LEFT(tblValidation[[#This Row],[TargetID]],10)="state.CHAR",RIGHT(tblValidation[[#This Row],[TargetID]],5)="maxed"),TRUE, COUNTIF(tblChecklist[TargetID], $A464) &gt; 0)</f>
        <v>1</v>
      </c>
      <c r="E4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$A464) &gt; 0)</f>
        <v>1</v>
      </c>
      <c r="F464" s="48" t="b">
        <f ca="1">COUNTIF(tblDependencies[DependencyID], $A464) &gt; 0</f>
        <v>1</v>
      </c>
      <c r="G464" s="48" t="b">
        <f ca="1">COUNTIF(tblQuestObjectives[QuestTargetID], $A464) &gt; 0</f>
        <v>0</v>
      </c>
      <c r="H464" s="48" t="b">
        <f ca="1">COUNTIF(tblQuestObjectives[ObjectiveID], $A464) &gt; 0</f>
        <v>0</v>
      </c>
      <c r="I464" s="48" t="b">
        <f ca="1">COUNTIF(tblTargetStatus[TargetID], $A464) &gt; 0</f>
        <v>1</v>
      </c>
      <c r="J464" s="48" t="b">
        <f ca="1">COUNTIF(tblCost[TargetID], $A464) &gt; 0</f>
        <v>0</v>
      </c>
      <c r="K464" s="48" t="b">
        <f ca="1">COUNTIF(tblStates[StateID], $A464) &gt; 0</f>
        <v>1</v>
      </c>
      <c r="L464" s="48" t="b">
        <f t="shared" ca="1" si="15"/>
        <v>1</v>
      </c>
      <c r="M464" s="48" t="b">
        <f ca="1">IF(tblValidation[[#This Row],[TargetID]]="","",COUNTIF(tblTargets[TargetID],A464)&gt;1)</f>
        <v>0</v>
      </c>
      <c r="N464" s="48" t="b">
        <f ca="1">IF(tblValidation[[#This Row],[TargetID]]="","",COUNTIF(tblStates[StateID],tblValidation[[#This Row],[TargetID]])&gt;1)</f>
        <v>0</v>
      </c>
      <c r="O464" s="48" t="b" cm="1">
        <f t="array" aca="1" ref="O4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4" s="48"/>
      <c r="R464" s="48"/>
      <c r="S464" s="48"/>
      <c r="T464" s="48"/>
      <c r="V464" s="2" t="str">
        <f ca="1"/>
        <v>state.meet_raven@f1_third_time</v>
      </c>
      <c r="X464" s="2" t="str">
        <f ca="1"/>
        <v>state.meet_raven@f1_third_time</v>
      </c>
      <c r="Y464" s="2" t="str">
        <f ca="1"/>
        <v>state.visit_tokyo</v>
      </c>
      <c r="Z464" s="2" t="str">
        <f ca="1"/>
        <v>state.obtain_treasure</v>
      </c>
      <c r="AD464" s="2" t="str">
        <f ca="1"/>
        <v>state.meet_raven@f1_third_time</v>
      </c>
    </row>
    <row r="465" spans="1:30">
      <c r="A465" t="str">
        <f t="shared" ca="1" si="14"/>
        <v>state.meet_raven@f2</v>
      </c>
      <c r="B465" t="str">
        <f ca="1">_xlfn.XLOOKUP(tblValidation[[#This Row],[TargetID]],tblTargets[TargetID],tblTargets[TargetType],"")</f>
        <v>STATE</v>
      </c>
      <c r="C465" s="48" t="b">
        <f ca="1">COUNTIF(tblTargets[TargetID], $A465) &gt; 0</f>
        <v>1</v>
      </c>
      <c r="D465" s="48" t="b">
        <f ca="1">IF(OR(LEFT(tblValidation[[#This Row],[TargetID]],10)="state.CHAR",RIGHT(tblValidation[[#This Row],[TargetID]],5)="maxed"),TRUE, COUNTIF(tblChecklist[TargetID], $A465) &gt; 0)</f>
        <v>1</v>
      </c>
      <c r="E4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$A465) &gt; 0)</f>
        <v>1</v>
      </c>
      <c r="F465" s="48" t="b">
        <f ca="1">COUNTIF(tblDependencies[DependencyID], $A465) &gt; 0</f>
        <v>0</v>
      </c>
      <c r="G465" s="48" t="b">
        <f ca="1">COUNTIF(tblQuestObjectives[QuestTargetID], $A465) &gt; 0</f>
        <v>0</v>
      </c>
      <c r="H465" s="48" t="b">
        <f ca="1">COUNTIF(tblQuestObjectives[ObjectiveID], $A465) &gt; 0</f>
        <v>1</v>
      </c>
      <c r="I465" s="48" t="b">
        <f ca="1">COUNTIF(tblTargetStatus[TargetID], $A465) &gt; 0</f>
        <v>1</v>
      </c>
      <c r="J465" s="48" t="b">
        <f ca="1">COUNTIF(tblCost[TargetID], $A465) &gt; 0</f>
        <v>0</v>
      </c>
      <c r="K465" s="48" t="b">
        <f ca="1">COUNTIF(tblStates[StateID], $A465) &gt; 0</f>
        <v>1</v>
      </c>
      <c r="L465" s="48" t="b">
        <f t="shared" ca="1" si="15"/>
        <v>1</v>
      </c>
      <c r="M465" s="48" t="b">
        <f ca="1">IF(tblValidation[[#This Row],[TargetID]]="","",COUNTIF(tblTargets[TargetID],A465)&gt;1)</f>
        <v>0</v>
      </c>
      <c r="N465" s="48" t="b">
        <f ca="1">IF(tblValidation[[#This Row],[TargetID]]="","",COUNTIF(tblStates[StateID],tblValidation[[#This Row],[TargetID]])&gt;1)</f>
        <v>0</v>
      </c>
      <c r="O465" s="48" t="b" cm="1">
        <f t="array" aca="1" ref="O4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5" s="48"/>
      <c r="R465" s="48"/>
      <c r="S465" s="48"/>
      <c r="T465" s="48"/>
      <c r="V465" s="2" t="str">
        <f ca="1"/>
        <v>state.meet_raven@f2</v>
      </c>
      <c r="X465" s="2" t="str">
        <f ca="1"/>
        <v>state.meet_raven@f2</v>
      </c>
      <c r="Y465" s="2" t="str">
        <f ca="1"/>
        <v>state.visit_wakayama</v>
      </c>
      <c r="Z465" s="2" t="str">
        <f ca="1"/>
        <v>state.visit_aomori</v>
      </c>
      <c r="AD465" s="2" t="str">
        <f ca="1"/>
        <v>state.meet_raven@f2</v>
      </c>
    </row>
    <row r="466" spans="1:30">
      <c r="A466" t="str">
        <f t="shared" ca="1" si="14"/>
        <v>state.meet_raven@f3</v>
      </c>
      <c r="B466" t="str">
        <f ca="1">_xlfn.XLOOKUP(tblValidation[[#This Row],[TargetID]],tblTargets[TargetID],tblTargets[TargetType],"")</f>
        <v>STATE</v>
      </c>
      <c r="C466" s="48" t="b">
        <f ca="1">COUNTIF(tblTargets[TargetID], $A466) &gt; 0</f>
        <v>1</v>
      </c>
      <c r="D466" s="48" t="b">
        <f ca="1">IF(OR(LEFT(tblValidation[[#This Row],[TargetID]],10)="state.CHAR",RIGHT(tblValidation[[#This Row],[TargetID]],5)="maxed"),TRUE, COUNTIF(tblChecklist[TargetID], $A466) &gt; 0)</f>
        <v>1</v>
      </c>
      <c r="E4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$A466) &gt; 0)</f>
        <v>1</v>
      </c>
      <c r="F466" s="48" t="b">
        <f ca="1">COUNTIF(tblDependencies[DependencyID], $A466) &gt; 0</f>
        <v>1</v>
      </c>
      <c r="G466" s="48" t="b">
        <f ca="1">COUNTIF(tblQuestObjectives[QuestTargetID], $A466) &gt; 0</f>
        <v>0</v>
      </c>
      <c r="H466" s="48" t="b">
        <f ca="1">COUNTIF(tblQuestObjectives[ObjectiveID], $A466) &gt; 0</f>
        <v>0</v>
      </c>
      <c r="I466" s="48" t="b">
        <f ca="1">COUNTIF(tblTargetStatus[TargetID], $A466) &gt; 0</f>
        <v>1</v>
      </c>
      <c r="J466" s="48" t="b">
        <f ca="1">COUNTIF(tblCost[TargetID], $A466) &gt; 0</f>
        <v>0</v>
      </c>
      <c r="K466" s="48" t="b">
        <f ca="1">COUNTIF(tblStates[StateID], $A466) &gt; 0</f>
        <v>1</v>
      </c>
      <c r="L466" s="48" t="b">
        <f t="shared" ca="1" si="15"/>
        <v>1</v>
      </c>
      <c r="M466" s="48" t="b">
        <f ca="1">IF(tblValidation[[#This Row],[TargetID]]="","",COUNTIF(tblTargets[TargetID],A466)&gt;1)</f>
        <v>0</v>
      </c>
      <c r="N466" s="48" t="b">
        <f ca="1">IF(tblValidation[[#This Row],[TargetID]]="","",COUNTIF(tblStates[StateID],tblValidation[[#This Row],[TargetID]])&gt;1)</f>
        <v>0</v>
      </c>
      <c r="O466" s="48" t="b" cm="1">
        <f t="array" aca="1" ref="O4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6" s="48"/>
      <c r="R466" s="48"/>
      <c r="S466" s="48"/>
      <c r="T466" s="48"/>
      <c r="V466" s="2" t="str">
        <f ca="1"/>
        <v>state.meet_raven@f3</v>
      </c>
      <c r="X466" s="2" t="str">
        <f ca="1"/>
        <v>state.meet_raven@f3</v>
      </c>
      <c r="Y466" s="2" t="str">
        <f ca="1"/>
        <v>state.visit_xian</v>
      </c>
      <c r="Z466" s="2" t="str">
        <f ca="1"/>
        <v>state.visit_athens</v>
      </c>
      <c r="AD466" s="2" t="str">
        <f ca="1"/>
        <v>state.meet_raven@f3</v>
      </c>
    </row>
    <row r="467" spans="1:30">
      <c r="A467" t="str">
        <f t="shared" ca="1" si="14"/>
        <v>state.meet_royal_rat@6b</v>
      </c>
      <c r="B467" t="str">
        <f ca="1">_xlfn.XLOOKUP(tblValidation[[#This Row],[TargetID]],tblTargets[TargetID],tblTargets[TargetType],"")</f>
        <v>STATE</v>
      </c>
      <c r="C467" s="48" t="b">
        <f ca="1">COUNTIF(tblTargets[TargetID], $A467) &gt; 0</f>
        <v>1</v>
      </c>
      <c r="D467" s="48" t="b">
        <f ca="1">IF(OR(LEFT(tblValidation[[#This Row],[TargetID]],10)="state.CHAR",RIGHT(tblValidation[[#This Row],[TargetID]],5)="maxed"),TRUE, COUNTIF(tblChecklist[TargetID], $A467) &gt; 0)</f>
        <v>1</v>
      </c>
      <c r="E4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$A467) &gt; 0)</f>
        <v>1</v>
      </c>
      <c r="F467" s="48" t="b">
        <f ca="1">COUNTIF(tblDependencies[DependencyID], $A467) &gt; 0</f>
        <v>1</v>
      </c>
      <c r="G467" s="48" t="b">
        <f ca="1">COUNTIF(tblQuestObjectives[QuestTargetID], $A467) &gt; 0</f>
        <v>0</v>
      </c>
      <c r="H467" s="48" t="b">
        <f ca="1">COUNTIF(tblQuestObjectives[ObjectiveID], $A467) &gt; 0</f>
        <v>0</v>
      </c>
      <c r="I467" s="48" t="b">
        <f ca="1">COUNTIF(tblTargetStatus[TargetID], $A467) &gt; 0</f>
        <v>1</v>
      </c>
      <c r="J467" s="48" t="b">
        <f ca="1">COUNTIF(tblCost[TargetID], $A467) &gt; 0</f>
        <v>0</v>
      </c>
      <c r="K467" s="48" t="b">
        <f ca="1">COUNTIF(tblStates[StateID], $A467) &gt; 0</f>
        <v>1</v>
      </c>
      <c r="L467" s="48" t="b">
        <f t="shared" ca="1" si="15"/>
        <v>1</v>
      </c>
      <c r="M467" s="48" t="b">
        <f ca="1">IF(tblValidation[[#This Row],[TargetID]]="","",COUNTIF(tblTargets[TargetID],A467)&gt;1)</f>
        <v>0</v>
      </c>
      <c r="N467" s="48" t="b">
        <f ca="1">IF(tblValidation[[#This Row],[TargetID]]="","",COUNTIF(tblStates[StateID],tblValidation[[#This Row],[TargetID]])&gt;1)</f>
        <v>0</v>
      </c>
      <c r="O467" s="48" t="b" cm="1">
        <f t="array" aca="1" ref="O4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7" s="48"/>
      <c r="R467" s="48"/>
      <c r="S467" s="48"/>
      <c r="T467" s="48"/>
      <c r="V467" s="2" t="str">
        <f ca="1"/>
        <v>state.meet_royal_rat@6b</v>
      </c>
      <c r="X467" s="2" t="str">
        <f ca="1"/>
        <v>state.meet_royal_rat@6b</v>
      </c>
      <c r="Y467" s="2" t="str">
        <f ca="1"/>
        <v>tech.airship.titanium_longerons</v>
      </c>
      <c r="Z467" s="2" t="str">
        <f ca="1"/>
        <v>state.visit_baghdad</v>
      </c>
      <c r="AD467" s="2" t="str">
        <f ca="1"/>
        <v>state.meet_royal_rat@6b</v>
      </c>
    </row>
    <row r="468" spans="1:30">
      <c r="A468" t="str">
        <f t="shared" ca="1" si="14"/>
        <v>state.meet_samurai_panda@6a</v>
      </c>
      <c r="B468" t="str">
        <f ca="1">_xlfn.XLOOKUP(tblValidation[[#This Row],[TargetID]],tblTargets[TargetID],tblTargets[TargetType],"")</f>
        <v>STATE</v>
      </c>
      <c r="C468" s="48" t="b">
        <f ca="1">COUNTIF(tblTargets[TargetID], $A468) &gt; 0</f>
        <v>1</v>
      </c>
      <c r="D468" s="48" t="b">
        <f ca="1">IF(OR(LEFT(tblValidation[[#This Row],[TargetID]],10)="state.CHAR",RIGHT(tblValidation[[#This Row],[TargetID]],5)="maxed"),TRUE, COUNTIF(tblChecklist[TargetID], $A468) &gt; 0)</f>
        <v>1</v>
      </c>
      <c r="E4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$A468) &gt; 0)</f>
        <v>1</v>
      </c>
      <c r="F468" s="48" t="b">
        <f ca="1">COUNTIF(tblDependencies[DependencyID], $A468) &gt; 0</f>
        <v>1</v>
      </c>
      <c r="G468" s="48" t="b">
        <f ca="1">COUNTIF(tblQuestObjectives[QuestTargetID], $A468) &gt; 0</f>
        <v>0</v>
      </c>
      <c r="H468" s="48" t="b">
        <f ca="1">COUNTIF(tblQuestObjectives[ObjectiveID], $A468) &gt; 0</f>
        <v>0</v>
      </c>
      <c r="I468" s="48" t="b">
        <f ca="1">COUNTIF(tblTargetStatus[TargetID], $A468) &gt; 0</f>
        <v>1</v>
      </c>
      <c r="J468" s="48" t="b">
        <f ca="1">COUNTIF(tblCost[TargetID], $A468) &gt; 0</f>
        <v>0</v>
      </c>
      <c r="K468" s="48" t="b">
        <f ca="1">COUNTIF(tblStates[StateID], $A468) &gt; 0</f>
        <v>1</v>
      </c>
      <c r="L468" s="48" t="b">
        <f t="shared" ca="1" si="15"/>
        <v>1</v>
      </c>
      <c r="M468" s="48" t="b">
        <f ca="1">IF(tblValidation[[#This Row],[TargetID]]="","",COUNTIF(tblTargets[TargetID],A468)&gt;1)</f>
        <v>0</v>
      </c>
      <c r="N468" s="48" t="b">
        <f ca="1">IF(tblValidation[[#This Row],[TargetID]]="","",COUNTIF(tblStates[StateID],tblValidation[[#This Row],[TargetID]])&gt;1)</f>
        <v>0</v>
      </c>
      <c r="O468" s="48" t="b" cm="1">
        <f t="array" aca="1" ref="O4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8" s="48"/>
      <c r="R468" s="48"/>
      <c r="S468" s="48"/>
      <c r="T468" s="48"/>
      <c r="V468" s="2" t="str">
        <f ca="1"/>
        <v>state.meet_samurai_panda@6a</v>
      </c>
      <c r="X468" s="2" t="str">
        <f ca="1"/>
        <v>state.meet_samurai_panda@6a</v>
      </c>
      <c r="Y468" s="2" t="str">
        <f ca="1"/>
        <v>tech.alchemists_hut.advanced_fertilizer</v>
      </c>
      <c r="Z468" s="2" t="str">
        <f ca="1"/>
        <v>state.visit_beijing</v>
      </c>
      <c r="AD468" s="2" t="str">
        <f ca="1"/>
        <v>state.meet_samurai_panda@6a</v>
      </c>
    </row>
    <row r="469" spans="1:30">
      <c r="A469" t="str">
        <f t="shared" ca="1" si="14"/>
        <v>state.meet_traveling_merchant@1b</v>
      </c>
      <c r="B469" t="str">
        <f ca="1">_xlfn.XLOOKUP(tblValidation[[#This Row],[TargetID]],tblTargets[TargetID],tblTargets[TargetType],"")</f>
        <v>STATE</v>
      </c>
      <c r="C469" s="48" t="b">
        <f ca="1">COUNTIF(tblTargets[TargetID], $A469) &gt; 0</f>
        <v>1</v>
      </c>
      <c r="D469" s="48" t="b">
        <f ca="1">IF(OR(LEFT(tblValidation[[#This Row],[TargetID]],10)="state.CHAR",RIGHT(tblValidation[[#This Row],[TargetID]],5)="maxed"),TRUE, COUNTIF(tblChecklist[TargetID], $A469) &gt; 0)</f>
        <v>1</v>
      </c>
      <c r="E4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$A469) &gt; 0)</f>
        <v>1</v>
      </c>
      <c r="F469" s="48" t="b">
        <f ca="1">COUNTIF(tblDependencies[DependencyID], $A469) &gt; 0</f>
        <v>1</v>
      </c>
      <c r="G469" s="48" t="b">
        <f ca="1">COUNTIF(tblQuestObjectives[QuestTargetID], $A469) &gt; 0</f>
        <v>0</v>
      </c>
      <c r="H469" s="48" t="b">
        <f ca="1">COUNTIF(tblQuestObjectives[ObjectiveID], $A469) &gt; 0</f>
        <v>0</v>
      </c>
      <c r="I469" s="48" t="b">
        <f ca="1">COUNTIF(tblTargetStatus[TargetID], $A469) &gt; 0</f>
        <v>1</v>
      </c>
      <c r="J469" s="48" t="b">
        <f ca="1">COUNTIF(tblCost[TargetID], $A469) &gt; 0</f>
        <v>0</v>
      </c>
      <c r="K469" s="48" t="b">
        <f ca="1">COUNTIF(tblStates[StateID], $A469) &gt; 0</f>
        <v>1</v>
      </c>
      <c r="L469" s="48" t="b">
        <f t="shared" ca="1" si="15"/>
        <v>1</v>
      </c>
      <c r="M469" s="48" t="b">
        <f ca="1">IF(tblValidation[[#This Row],[TargetID]]="","",COUNTIF(tblTargets[TargetID],A469)&gt;1)</f>
        <v>0</v>
      </c>
      <c r="N469" s="48" t="b">
        <f ca="1">IF(tblValidation[[#This Row],[TargetID]]="","",COUNTIF(tblStates[StateID],tblValidation[[#This Row],[TargetID]])&gt;1)</f>
        <v>0</v>
      </c>
      <c r="O469" s="48" t="b" cm="1">
        <f t="array" aca="1" ref="O4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9" s="48"/>
      <c r="R469" s="48"/>
      <c r="S469" s="48"/>
      <c r="T469" s="48"/>
      <c r="V469" s="2" t="str">
        <f ca="1"/>
        <v>state.meet_traveling_merchant@1b</v>
      </c>
      <c r="X469" s="2" t="str">
        <f ca="1"/>
        <v>state.meet_traveling_merchant@1b</v>
      </c>
      <c r="Y469" s="2" t="str">
        <f ca="1"/>
        <v>tech.alchemists_hut.balm</v>
      </c>
      <c r="Z469" s="2" t="str">
        <f ca="1"/>
        <v>state.visit_cairo</v>
      </c>
      <c r="AD469" s="2" t="str">
        <f ca="1"/>
        <v>state.meet_traveling_merchant@1b</v>
      </c>
    </row>
    <row r="470" spans="1:30">
      <c r="A470" t="str">
        <f t="shared" ca="1" si="14"/>
        <v>state.obtain_8_malu</v>
      </c>
      <c r="B470" t="str">
        <f ca="1">_xlfn.XLOOKUP(tblValidation[[#This Row],[TargetID]],tblTargets[TargetID],tblTargets[TargetType],"")</f>
        <v>STATE</v>
      </c>
      <c r="C470" s="48" t="b">
        <f ca="1">COUNTIF(tblTargets[TargetID], $A470) &gt; 0</f>
        <v>1</v>
      </c>
      <c r="D470" s="48" t="b">
        <f ca="1">IF(OR(LEFT(tblValidation[[#This Row],[TargetID]],10)="state.CHAR",RIGHT(tblValidation[[#This Row],[TargetID]],5)="maxed"),TRUE, COUNTIF(tblChecklist[TargetID], $A470) &gt; 0)</f>
        <v>1</v>
      </c>
      <c r="E4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$A470) &gt; 0)</f>
        <v>1</v>
      </c>
      <c r="F470" s="48" t="b">
        <f ca="1">COUNTIF(tblDependencies[DependencyID], $A470) &gt; 0</f>
        <v>0</v>
      </c>
      <c r="G470" s="48" t="b">
        <f ca="1">COUNTIF(tblQuestObjectives[QuestTargetID], $A470) &gt; 0</f>
        <v>0</v>
      </c>
      <c r="H470" s="48" t="b">
        <f ca="1">COUNTIF(tblQuestObjectives[ObjectiveID], $A470) &gt; 0</f>
        <v>1</v>
      </c>
      <c r="I470" s="48" t="b">
        <f ca="1">COUNTIF(tblTargetStatus[TargetID], $A470) &gt; 0</f>
        <v>1</v>
      </c>
      <c r="J470" s="48" t="b">
        <f ca="1">COUNTIF(tblCost[TargetID], $A470) &gt; 0</f>
        <v>0</v>
      </c>
      <c r="K470" s="48" t="b">
        <f ca="1">COUNTIF(tblStates[StateID], $A470) &gt; 0</f>
        <v>1</v>
      </c>
      <c r="L470" s="48" t="b">
        <f t="shared" ca="1" si="15"/>
        <v>1</v>
      </c>
      <c r="M470" s="48" t="b">
        <f ca="1">IF(tblValidation[[#This Row],[TargetID]]="","",COUNTIF(tblTargets[TargetID],A470)&gt;1)</f>
        <v>0</v>
      </c>
      <c r="N470" s="48" t="b">
        <f ca="1">IF(tblValidation[[#This Row],[TargetID]]="","",COUNTIF(tblStates[StateID],tblValidation[[#This Row],[TargetID]])&gt;1)</f>
        <v>0</v>
      </c>
      <c r="O470" s="48" t="b" cm="1">
        <f t="array" aca="1" ref="O4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0" s="48"/>
      <c r="R470" s="48"/>
      <c r="S470" s="48"/>
      <c r="T470" s="48"/>
      <c r="V470" s="2" t="str">
        <f ca="1"/>
        <v>state.obtain_8_malu</v>
      </c>
      <c r="X470" s="2" t="str">
        <f ca="1"/>
        <v>state.obtain_8_malu</v>
      </c>
      <c r="Y470" s="2" t="str">
        <f ca="1"/>
        <v>tech.alchemists_hut.conveyor_lvl_1</v>
      </c>
      <c r="Z470" s="2" t="str">
        <f ca="1"/>
        <v>state.visit_delhi</v>
      </c>
      <c r="AD470" s="2" t="str">
        <f ca="1"/>
        <v>state.obtain_8_malu</v>
      </c>
    </row>
    <row r="471" spans="1:30">
      <c r="A471" t="str">
        <f t="shared" ca="1" si="14"/>
        <v>state.obtain_all_emerald_shards</v>
      </c>
      <c r="B471" t="str">
        <f ca="1">_xlfn.XLOOKUP(tblValidation[[#This Row],[TargetID]],tblTargets[TargetID],tblTargets[TargetType],"")</f>
        <v>STATE</v>
      </c>
      <c r="C471" s="48" t="b">
        <f ca="1">COUNTIF(tblTargets[TargetID], $A471) &gt; 0</f>
        <v>1</v>
      </c>
      <c r="D471" s="48" t="b">
        <f ca="1">IF(OR(LEFT(tblValidation[[#This Row],[TargetID]],10)="state.CHAR",RIGHT(tblValidation[[#This Row],[TargetID]],5)="maxed"),TRUE, COUNTIF(tblChecklist[TargetID], $A471) &gt; 0)</f>
        <v>1</v>
      </c>
      <c r="E4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$A471) &gt; 0)</f>
        <v>1</v>
      </c>
      <c r="F471" s="48" t="b">
        <f ca="1">COUNTIF(tblDependencies[DependencyID], $A471) &gt; 0</f>
        <v>0</v>
      </c>
      <c r="G471" s="48" t="b">
        <f ca="1">COUNTIF(tblQuestObjectives[QuestTargetID], $A471) &gt; 0</f>
        <v>0</v>
      </c>
      <c r="H471" s="48" t="b">
        <f ca="1">COUNTIF(tblQuestObjectives[ObjectiveID], $A471) &gt; 0</f>
        <v>1</v>
      </c>
      <c r="I471" s="48" t="b">
        <f ca="1">COUNTIF(tblTargetStatus[TargetID], $A471) &gt; 0</f>
        <v>1</v>
      </c>
      <c r="J471" s="48" t="b">
        <f ca="1">COUNTIF(tblCost[TargetID], $A471) &gt; 0</f>
        <v>0</v>
      </c>
      <c r="K471" s="48" t="b">
        <f ca="1">COUNTIF(tblStates[StateID], $A471) &gt; 0</f>
        <v>1</v>
      </c>
      <c r="L471" s="48" t="b">
        <f t="shared" ca="1" si="15"/>
        <v>1</v>
      </c>
      <c r="M471" s="48" t="b">
        <f ca="1">IF(tblValidation[[#This Row],[TargetID]]="","",COUNTIF(tblTargets[TargetID],A471)&gt;1)</f>
        <v>0</v>
      </c>
      <c r="N471" s="48" t="b">
        <f ca="1">IF(tblValidation[[#This Row],[TargetID]]="","",COUNTIF(tblStates[StateID],tblValidation[[#This Row],[TargetID]])&gt;1)</f>
        <v>0</v>
      </c>
      <c r="O471" s="48" t="b" cm="1">
        <f t="array" aca="1" ref="O4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1" s="48"/>
      <c r="R471" s="48"/>
      <c r="S471" s="48"/>
      <c r="T471" s="48"/>
      <c r="V471" s="2" t="str">
        <f ca="1"/>
        <v>state.obtain_all_emerald_shards</v>
      </c>
      <c r="X471" s="2" t="str">
        <f ca="1"/>
        <v>state.obtain_all_emerald_shards</v>
      </c>
      <c r="Y471" s="2" t="str">
        <f ca="1"/>
        <v>tech.alchemists_hut.conveyor_lvl_2</v>
      </c>
      <c r="Z471" s="2" t="str">
        <f ca="1"/>
        <v>state.visit_dungeon@4a</v>
      </c>
      <c r="AD471" s="2" t="str">
        <f ca="1"/>
        <v>state.obtain_all_emerald_shards</v>
      </c>
    </row>
    <row r="472" spans="1:30">
      <c r="A472" t="str">
        <f t="shared" ca="1" si="14"/>
        <v>state.obtain_any_artifact</v>
      </c>
      <c r="B472" t="str">
        <f ca="1">_xlfn.XLOOKUP(tblValidation[[#This Row],[TargetID]],tblTargets[TargetID],tblTargets[TargetType],"")</f>
        <v>STATE</v>
      </c>
      <c r="C472" s="48" t="b">
        <f ca="1">COUNTIF(tblTargets[TargetID], $A472) &gt; 0</f>
        <v>1</v>
      </c>
      <c r="D472" s="48" t="b">
        <f ca="1">IF(OR(LEFT(tblValidation[[#This Row],[TargetID]],10)="state.CHAR",RIGHT(tblValidation[[#This Row],[TargetID]],5)="maxed"),TRUE, COUNTIF(tblChecklist[TargetID], $A472) &gt; 0)</f>
        <v>1</v>
      </c>
      <c r="E4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$A472) &gt; 0)</f>
        <v>1</v>
      </c>
      <c r="F472" s="48" t="b">
        <f ca="1">COUNTIF(tblDependencies[DependencyID], $A472) &gt; 0</f>
        <v>1</v>
      </c>
      <c r="G472" s="48" t="b">
        <f ca="1">COUNTIF(tblQuestObjectives[QuestTargetID], $A472) &gt; 0</f>
        <v>0</v>
      </c>
      <c r="H472" s="48" t="b">
        <f ca="1">COUNTIF(tblQuestObjectives[ObjectiveID], $A472) &gt; 0</f>
        <v>0</v>
      </c>
      <c r="I472" s="48" t="b">
        <f ca="1">COUNTIF(tblTargetStatus[TargetID], $A472) &gt; 0</f>
        <v>1</v>
      </c>
      <c r="J472" s="48" t="b">
        <f ca="1">COUNTIF(tblCost[TargetID], $A472) &gt; 0</f>
        <v>0</v>
      </c>
      <c r="K472" s="48" t="b">
        <f ca="1">COUNTIF(tblStates[StateID], $A472) &gt; 0</f>
        <v>1</v>
      </c>
      <c r="L472" s="48" t="b">
        <f t="shared" ca="1" si="15"/>
        <v>1</v>
      </c>
      <c r="M472" s="48" t="b">
        <f ca="1">IF(tblValidation[[#This Row],[TargetID]]="","",COUNTIF(tblTargets[TargetID],A472)&gt;1)</f>
        <v>0</v>
      </c>
      <c r="N472" s="48" t="b">
        <f ca="1">IF(tblValidation[[#This Row],[TargetID]]="","",COUNTIF(tblStates[StateID],tblValidation[[#This Row],[TargetID]])&gt;1)</f>
        <v>0</v>
      </c>
      <c r="O472" s="48" t="b" cm="1">
        <f t="array" aca="1" ref="O4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2" s="48"/>
      <c r="R472" s="48"/>
      <c r="S472" s="48"/>
      <c r="T472" s="48"/>
      <c r="V472" s="2" t="str">
        <f ca="1"/>
        <v>state.obtain_any_artifact</v>
      </c>
      <c r="X472" s="2" t="str">
        <f ca="1"/>
        <v>state.obtain_any_artifact</v>
      </c>
      <c r="Y472" s="2" t="str">
        <f ca="1"/>
        <v>tech.alchemists_hut.galvanization</v>
      </c>
      <c r="Z472" s="2" t="str">
        <f ca="1"/>
        <v>state.visit_dungeon@5a</v>
      </c>
      <c r="AD472" s="2" t="str">
        <f ca="1"/>
        <v>state.obtain_any_artifact</v>
      </c>
    </row>
    <row r="473" spans="1:30">
      <c r="A473" t="str">
        <f t="shared" ca="1" si="14"/>
        <v>state.obtain_armor4</v>
      </c>
      <c r="B473" t="str">
        <f ca="1">_xlfn.XLOOKUP(tblValidation[[#This Row],[TargetID]],tblTargets[TargetID],tblTargets[TargetType],"")</f>
        <v>STATE</v>
      </c>
      <c r="C473" s="48" t="b">
        <f ca="1">COUNTIF(tblTargets[TargetID], $A473) &gt; 0</f>
        <v>1</v>
      </c>
      <c r="D473" s="48" t="b">
        <f ca="1">IF(OR(LEFT(tblValidation[[#This Row],[TargetID]],10)="state.CHAR",RIGHT(tblValidation[[#This Row],[TargetID]],5)="maxed"),TRUE, COUNTIF(tblChecklist[TargetID], $A473) &gt; 0)</f>
        <v>1</v>
      </c>
      <c r="E4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$A473) &gt; 0)</f>
        <v>1</v>
      </c>
      <c r="F473" s="48" t="b">
        <f ca="1">COUNTIF(tblDependencies[DependencyID], $A473) &gt; 0</f>
        <v>0</v>
      </c>
      <c r="G473" s="48" t="b">
        <f ca="1">COUNTIF(tblQuestObjectives[QuestTargetID], $A473) &gt; 0</f>
        <v>0</v>
      </c>
      <c r="H473" s="48" t="b">
        <f ca="1">COUNTIF(tblQuestObjectives[ObjectiveID], $A473) &gt; 0</f>
        <v>1</v>
      </c>
      <c r="I473" s="48" t="b">
        <f ca="1">COUNTIF(tblTargetStatus[TargetID], $A473) &gt; 0</f>
        <v>1</v>
      </c>
      <c r="J473" s="48" t="b">
        <f ca="1">COUNTIF(tblCost[TargetID], $A473) &gt; 0</f>
        <v>0</v>
      </c>
      <c r="K473" s="48" t="b">
        <f ca="1">COUNTIF(tblStates[StateID], $A473) &gt; 0</f>
        <v>1</v>
      </c>
      <c r="L473" s="48" t="b">
        <f t="shared" ca="1" si="15"/>
        <v>1</v>
      </c>
      <c r="M473" s="48" t="b">
        <f ca="1">IF(tblValidation[[#This Row],[TargetID]]="","",COUNTIF(tblTargets[TargetID],A473)&gt;1)</f>
        <v>0</v>
      </c>
      <c r="N473" s="48" t="b">
        <f ca="1">IF(tblValidation[[#This Row],[TargetID]]="","",COUNTIF(tblStates[StateID],tblValidation[[#This Row],[TargetID]])&gt;1)</f>
        <v>0</v>
      </c>
      <c r="O473" s="48" t="b" cm="1">
        <f t="array" aca="1" ref="O4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3" s="48"/>
      <c r="R473" s="48"/>
      <c r="S473" s="48"/>
      <c r="T473" s="48"/>
      <c r="V473" s="2" t="str">
        <f ca="1"/>
        <v>state.obtain_armor4</v>
      </c>
      <c r="X473" s="2" t="str">
        <f ca="1"/>
        <v>state.obtain_armor4</v>
      </c>
      <c r="Y473" s="2" t="str">
        <f ca="1"/>
        <v>tech.alchemists_hut.gold_ingot</v>
      </c>
      <c r="Z473" s="2" t="str">
        <f ca="1"/>
        <v>state.visit_dungeon@6a</v>
      </c>
      <c r="AD473" s="2" t="str">
        <f ca="1"/>
        <v>state.obtain_armor4</v>
      </c>
    </row>
    <row r="474" spans="1:30">
      <c r="A474" t="str">
        <f t="shared" ca="1" si="14"/>
        <v>state.obtain_armor4+</v>
      </c>
      <c r="B474" t="str">
        <f ca="1">_xlfn.XLOOKUP(tblValidation[[#This Row],[TargetID]],tblTargets[TargetID],tblTargets[TargetType],"")</f>
        <v>STATE</v>
      </c>
      <c r="C474" s="48" t="b">
        <f ca="1">COUNTIF(tblTargets[TargetID], $A474) &gt; 0</f>
        <v>1</v>
      </c>
      <c r="D474" s="48" t="b">
        <f ca="1">IF(OR(LEFT(tblValidation[[#This Row],[TargetID]],10)="state.CHAR",RIGHT(tblValidation[[#This Row],[TargetID]],5)="maxed"),TRUE, COUNTIF(tblChecklist[TargetID], $A474) &gt; 0)</f>
        <v>1</v>
      </c>
      <c r="E4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$A474) &gt; 0)</f>
        <v>1</v>
      </c>
      <c r="F474" s="48" t="b">
        <f ca="1">COUNTIF(tblDependencies[DependencyID], $A474) &gt; 0</f>
        <v>0</v>
      </c>
      <c r="G474" s="48" t="b">
        <f ca="1">COUNTIF(tblQuestObjectives[QuestTargetID], $A474) &gt; 0</f>
        <v>0</v>
      </c>
      <c r="H474" s="48" t="b">
        <f ca="1">COUNTIF(tblQuestObjectives[ObjectiveID], $A474) &gt; 0</f>
        <v>1</v>
      </c>
      <c r="I474" s="48" t="b">
        <f ca="1">COUNTIF(tblTargetStatus[TargetID], $A474) &gt; 0</f>
        <v>1</v>
      </c>
      <c r="J474" s="48" t="b">
        <f ca="1">COUNTIF(tblCost[TargetID], $A474) &gt; 0</f>
        <v>0</v>
      </c>
      <c r="K474" s="48" t="b">
        <f ca="1">COUNTIF(tblStates[StateID], $A474) &gt; 0</f>
        <v>1</v>
      </c>
      <c r="L474" s="48" t="b">
        <f t="shared" ca="1" si="15"/>
        <v>1</v>
      </c>
      <c r="M474" s="48" t="b">
        <f ca="1">IF(tblValidation[[#This Row],[TargetID]]="","",COUNTIF(tblTargets[TargetID],A474)&gt;1)</f>
        <v>0</v>
      </c>
      <c r="N474" s="48" t="b">
        <f ca="1">IF(tblValidation[[#This Row],[TargetID]]="","",COUNTIF(tblStates[StateID],tblValidation[[#This Row],[TargetID]])&gt;1)</f>
        <v>0</v>
      </c>
      <c r="O474" s="48" t="b" cm="1">
        <f t="array" aca="1" ref="O4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4" s="48"/>
      <c r="R474" s="48"/>
      <c r="S474" s="48"/>
      <c r="T474" s="48"/>
      <c r="V474" s="2" t="str">
        <f ca="1"/>
        <v>state.obtain_armor4+</v>
      </c>
      <c r="X474" s="2" t="str">
        <f ca="1"/>
        <v>state.obtain_armor4+</v>
      </c>
      <c r="Y474" s="2" t="str">
        <f ca="1"/>
        <v>tech.alchemists_hut.greek_grenade</v>
      </c>
      <c r="Z474" s="2" t="str">
        <f ca="1"/>
        <v>state.visit_fukushima</v>
      </c>
      <c r="AD474" s="2" t="str">
        <f ca="1"/>
        <v>state.obtain_armor4+</v>
      </c>
    </row>
    <row r="475" spans="1:30">
      <c r="A475" t="str">
        <f t="shared" ca="1" si="14"/>
        <v>state.obtain_black_pearl</v>
      </c>
      <c r="B475" t="str">
        <f ca="1">_xlfn.XLOOKUP(tblValidation[[#This Row],[TargetID]],tblTargets[TargetID],tblTargets[TargetType],"")</f>
        <v>STATE</v>
      </c>
      <c r="C475" s="48" t="b">
        <f ca="1">COUNTIF(tblTargets[TargetID], $A475) &gt; 0</f>
        <v>1</v>
      </c>
      <c r="D475" s="48" t="b">
        <f ca="1">IF(OR(LEFT(tblValidation[[#This Row],[TargetID]],10)="state.CHAR",RIGHT(tblValidation[[#This Row],[TargetID]],5)="maxed"),TRUE, COUNTIF(tblChecklist[TargetID], $A475) &gt; 0)</f>
        <v>1</v>
      </c>
      <c r="E4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$A475) &gt; 0)</f>
        <v>1</v>
      </c>
      <c r="F475" s="48" t="b">
        <f ca="1">COUNTIF(tblDependencies[DependencyID], $A475) &gt; 0</f>
        <v>0</v>
      </c>
      <c r="G475" s="48" t="b">
        <f ca="1">COUNTIF(tblQuestObjectives[QuestTargetID], $A475) &gt; 0</f>
        <v>0</v>
      </c>
      <c r="H475" s="48" t="b">
        <f ca="1">COUNTIF(tblQuestObjectives[ObjectiveID], $A475) &gt; 0</f>
        <v>1</v>
      </c>
      <c r="I475" s="48" t="b">
        <f ca="1">COUNTIF(tblTargetStatus[TargetID], $A475) &gt; 0</f>
        <v>1</v>
      </c>
      <c r="J475" s="48" t="b">
        <f ca="1">COUNTIF(tblCost[TargetID], $A475) &gt; 0</f>
        <v>0</v>
      </c>
      <c r="K475" s="48" t="b">
        <f ca="1">COUNTIF(tblStates[StateID], $A475) &gt; 0</f>
        <v>0</v>
      </c>
      <c r="L475" s="48" t="b">
        <f t="shared" ca="1" si="15"/>
        <v>1</v>
      </c>
      <c r="M475" s="48" t="b">
        <f ca="1">IF(tblValidation[[#This Row],[TargetID]]="","",COUNTIF(tblTargets[TargetID],A475)&gt;1)</f>
        <v>0</v>
      </c>
      <c r="N475" s="48" t="b">
        <f ca="1">IF(tblValidation[[#This Row],[TargetID]]="","",COUNTIF(tblStates[StateID],tblValidation[[#This Row],[TargetID]])&gt;1)</f>
        <v>0</v>
      </c>
      <c r="O475" s="48" t="b" cm="1">
        <f t="array" aca="1" ref="O4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5" s="48"/>
      <c r="R475" s="48"/>
      <c r="S475" s="48"/>
      <c r="T475" s="48"/>
      <c r="V475" s="2" t="str">
        <f ca="1"/>
        <v>state.obtain_black_pearl</v>
      </c>
      <c r="X475" s="2" t="str">
        <f ca="1"/>
        <v>state.obtain_black_pearl</v>
      </c>
      <c r="Y475" s="2" t="str">
        <f ca="1"/>
        <v>tech.alchemists_hut.madness_grenade</v>
      </c>
      <c r="Z475" s="2" t="str">
        <f ca="1"/>
        <v>state.visit_kyiv</v>
      </c>
      <c r="AD475" s="2" t="str">
        <f ca="1"/>
        <v>state.obtain_Black_Pearl</v>
      </c>
    </row>
    <row r="476" spans="1:30">
      <c r="A476" t="str">
        <f t="shared" ca="1" si="14"/>
        <v>state.obtain_blueprint</v>
      </c>
      <c r="B476" t="str">
        <f ca="1">_xlfn.XLOOKUP(tblValidation[[#This Row],[TargetID]],tblTargets[TargetID],tblTargets[TargetType],"")</f>
        <v>STATE</v>
      </c>
      <c r="C476" s="48" t="b">
        <f ca="1">COUNTIF(tblTargets[TargetID], $A476) &gt; 0</f>
        <v>1</v>
      </c>
      <c r="D476" s="48" t="b">
        <f ca="1">IF(OR(LEFT(tblValidation[[#This Row],[TargetID]],10)="state.CHAR",RIGHT(tblValidation[[#This Row],[TargetID]],5)="maxed"),TRUE, COUNTIF(tblChecklist[TargetID], $A476) &gt; 0)</f>
        <v>1</v>
      </c>
      <c r="E4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$A476) &gt; 0)</f>
        <v>1</v>
      </c>
      <c r="F476" s="48" t="b">
        <f ca="1">COUNTIF(tblDependencies[DependencyID], $A476) &gt; 0</f>
        <v>0</v>
      </c>
      <c r="G476" s="48" t="b">
        <f ca="1">COUNTIF(tblQuestObjectives[QuestTargetID], $A476) &gt; 0</f>
        <v>0</v>
      </c>
      <c r="H476" s="48" t="b">
        <f ca="1">COUNTIF(tblQuestObjectives[ObjectiveID], $A476) &gt; 0</f>
        <v>1</v>
      </c>
      <c r="I476" s="48" t="b">
        <f ca="1">COUNTIF(tblTargetStatus[TargetID], $A476) &gt; 0</f>
        <v>1</v>
      </c>
      <c r="J476" s="48" t="b">
        <f ca="1">COUNTIF(tblCost[TargetID], $A476) &gt; 0</f>
        <v>0</v>
      </c>
      <c r="K476" s="48" t="b">
        <f ca="1">COUNTIF(tblStates[StateID], $A476) &gt; 0</f>
        <v>1</v>
      </c>
      <c r="L476" s="48" t="b">
        <f t="shared" ca="1" si="15"/>
        <v>1</v>
      </c>
      <c r="M476" s="48" t="b">
        <f ca="1">IF(tblValidation[[#This Row],[TargetID]]="","",COUNTIF(tblTargets[TargetID],A476)&gt;1)</f>
        <v>0</v>
      </c>
      <c r="N476" s="48" t="b">
        <f ca="1">IF(tblValidation[[#This Row],[TargetID]]="","",COUNTIF(tblStates[StateID],tblValidation[[#This Row],[TargetID]])&gt;1)</f>
        <v>0</v>
      </c>
      <c r="O476" s="48" t="b" cm="1">
        <f t="array" aca="1" ref="O4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6" s="48"/>
      <c r="R476" s="48"/>
      <c r="S476" s="48"/>
      <c r="T476" s="48"/>
      <c r="V476" s="2" t="str">
        <f ca="1"/>
        <v>state.obtain_blueprint</v>
      </c>
      <c r="X476" s="2" t="str">
        <f ca="1"/>
        <v>state.obtain_blueprint</v>
      </c>
      <c r="Y476" s="2" t="str">
        <f ca="1"/>
        <v>tech.alchemists_hut.mercury</v>
      </c>
      <c r="Z476" s="2" t="str">
        <f ca="1"/>
        <v>state.visit_kyoto</v>
      </c>
      <c r="AD476" s="2" t="str">
        <f ca="1"/>
        <v>state.obtain_blueprint</v>
      </c>
    </row>
    <row r="477" spans="1:30">
      <c r="A477" t="str">
        <f t="shared" ca="1" si="14"/>
        <v>state.obtain_hide</v>
      </c>
      <c r="B477" t="str">
        <f ca="1">_xlfn.XLOOKUP(tblValidation[[#This Row],[TargetID]],tblTargets[TargetID],tblTargets[TargetType],"")</f>
        <v>STATE</v>
      </c>
      <c r="C477" s="48" t="b">
        <f ca="1">COUNTIF(tblTargets[TargetID], $A477) &gt; 0</f>
        <v>1</v>
      </c>
      <c r="D477" s="48" t="b">
        <f ca="1">IF(OR(LEFT(tblValidation[[#This Row],[TargetID]],10)="state.CHAR",RIGHT(tblValidation[[#This Row],[TargetID]],5)="maxed"),TRUE, COUNTIF(tblChecklist[TargetID], $A477) &gt; 0)</f>
        <v>1</v>
      </c>
      <c r="E4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$A477) &gt; 0)</f>
        <v>1</v>
      </c>
      <c r="F477" s="48" t="b">
        <f ca="1">COUNTIF(tblDependencies[DependencyID], $A477) &gt; 0</f>
        <v>0</v>
      </c>
      <c r="G477" s="48" t="b">
        <f ca="1">COUNTIF(tblQuestObjectives[QuestTargetID], $A477) &gt; 0</f>
        <v>0</v>
      </c>
      <c r="H477" s="48" t="b">
        <f ca="1">COUNTIF(tblQuestObjectives[ObjectiveID], $A477) &gt; 0</f>
        <v>1</v>
      </c>
      <c r="I477" s="48" t="b">
        <f ca="1">COUNTIF(tblTargetStatus[TargetID], $A477) &gt; 0</f>
        <v>1</v>
      </c>
      <c r="J477" s="48" t="b">
        <f ca="1">COUNTIF(tblCost[TargetID], $A477) &gt; 0</f>
        <v>0</v>
      </c>
      <c r="K477" s="48" t="b">
        <f ca="1">COUNTIF(tblStates[StateID], $A477) &gt; 0</f>
        <v>1</v>
      </c>
      <c r="L477" s="48" t="b">
        <f t="shared" ca="1" si="15"/>
        <v>1</v>
      </c>
      <c r="M477" s="48" t="b">
        <f ca="1">IF(tblValidation[[#This Row],[TargetID]]="","",COUNTIF(tblTargets[TargetID],A477)&gt;1)</f>
        <v>0</v>
      </c>
      <c r="N477" s="48" t="b">
        <f ca="1">IF(tblValidation[[#This Row],[TargetID]]="","",COUNTIF(tblStates[StateID],tblValidation[[#This Row],[TargetID]])&gt;1)</f>
        <v>0</v>
      </c>
      <c r="O477" s="48" t="b" cm="1">
        <f t="array" aca="1" ref="O4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7" s="48"/>
      <c r="R477" s="48"/>
      <c r="S477" s="48"/>
      <c r="T477" s="48"/>
      <c r="V477" s="2" t="str">
        <f ca="1"/>
        <v>state.obtain_hide</v>
      </c>
      <c r="X477" s="2" t="str">
        <f ca="1"/>
        <v>state.obtain_hide</v>
      </c>
      <c r="Y477" s="2" t="str">
        <f ca="1"/>
        <v>tech.alchemists_hut.metamorphosis</v>
      </c>
      <c r="Z477" s="2" t="str">
        <f ca="1"/>
        <v>state.visit_melbourne</v>
      </c>
      <c r="AD477" s="2" t="str">
        <f ca="1"/>
        <v>state.obtain_hide</v>
      </c>
    </row>
    <row r="478" spans="1:30">
      <c r="A478" t="str">
        <f t="shared" ca="1" si="14"/>
        <v>state.obtain_level_2_artifact</v>
      </c>
      <c r="B478" t="str">
        <f ca="1">_xlfn.XLOOKUP(tblValidation[[#This Row],[TargetID]],tblTargets[TargetID],tblTargets[TargetType],"")</f>
        <v>STATE</v>
      </c>
      <c r="C478" s="48" t="b">
        <f ca="1">COUNTIF(tblTargets[TargetID], $A478) &gt; 0</f>
        <v>1</v>
      </c>
      <c r="D478" s="48" t="b">
        <f ca="1">IF(OR(LEFT(tblValidation[[#This Row],[TargetID]],10)="state.CHAR",RIGHT(tblValidation[[#This Row],[TargetID]],5)="maxed"),TRUE, COUNTIF(tblChecklist[TargetID], $A478) &gt; 0)</f>
        <v>1</v>
      </c>
      <c r="E4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$A478) &gt; 0)</f>
        <v>1</v>
      </c>
      <c r="F478" s="48" t="b">
        <f ca="1">COUNTIF(tblDependencies[DependencyID], $A478) &gt; 0</f>
        <v>0</v>
      </c>
      <c r="G478" s="48" t="b">
        <f ca="1">COUNTIF(tblQuestObjectives[QuestTargetID], $A478) &gt; 0</f>
        <v>0</v>
      </c>
      <c r="H478" s="48" t="b">
        <f ca="1">COUNTIF(tblQuestObjectives[ObjectiveID], $A478) &gt; 0</f>
        <v>1</v>
      </c>
      <c r="I478" s="48" t="b">
        <f ca="1">COUNTIF(tblTargetStatus[TargetID], $A478) &gt; 0</f>
        <v>1</v>
      </c>
      <c r="J478" s="48" t="b">
        <f ca="1">COUNTIF(tblCost[TargetID], $A478) &gt; 0</f>
        <v>0</v>
      </c>
      <c r="K478" s="48" t="b">
        <f ca="1">COUNTIF(tblStates[StateID], $A478) &gt; 0</f>
        <v>1</v>
      </c>
      <c r="L478" s="48" t="b">
        <f t="shared" ca="1" si="15"/>
        <v>1</v>
      </c>
      <c r="M478" s="48" t="b">
        <f ca="1">IF(tblValidation[[#This Row],[TargetID]]="","",COUNTIF(tblTargets[TargetID],A478)&gt;1)</f>
        <v>0</v>
      </c>
      <c r="N478" s="48" t="b">
        <f ca="1">IF(tblValidation[[#This Row],[TargetID]]="","",COUNTIF(tblStates[StateID],tblValidation[[#This Row],[TargetID]])&gt;1)</f>
        <v>0</v>
      </c>
      <c r="O478" s="48" t="b" cm="1">
        <f t="array" aca="1" ref="O4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8" s="48"/>
      <c r="R478" s="48"/>
      <c r="S478" s="48"/>
      <c r="T478" s="48"/>
      <c r="V478" s="2" t="str">
        <f ca="1"/>
        <v>state.obtain_level_2_artifact</v>
      </c>
      <c r="X478" s="2" t="str">
        <f ca="1"/>
        <v>state.obtain_level_2_artifact</v>
      </c>
      <c r="Y478" s="2" t="str">
        <f ca="1"/>
        <v>tech.alchemists_hut.perfect_fertilizer</v>
      </c>
      <c r="Z478" s="2" t="str">
        <f ca="1"/>
        <v>state.visit_nagasaki</v>
      </c>
      <c r="AD478" s="2" t="str">
        <f ca="1"/>
        <v>state.obtain_level_2_artifact</v>
      </c>
    </row>
    <row r="479" spans="1:30">
      <c r="A479" t="str">
        <f t="shared" ca="1" si="14"/>
        <v>state.obtain_level_2_map</v>
      </c>
      <c r="B479" t="str">
        <f ca="1">_xlfn.XLOOKUP(tblValidation[[#This Row],[TargetID]],tblTargets[TargetID],tblTargets[TargetType],"")</f>
        <v>STATE</v>
      </c>
      <c r="C479" s="48" t="b">
        <f ca="1">COUNTIF(tblTargets[TargetID], $A479) &gt; 0</f>
        <v>1</v>
      </c>
      <c r="D479" s="48" t="b">
        <f ca="1">IF(OR(LEFT(tblValidation[[#This Row],[TargetID]],10)="state.CHAR",RIGHT(tblValidation[[#This Row],[TargetID]],5)="maxed"),TRUE, COUNTIF(tblChecklist[TargetID], $A479) &gt; 0)</f>
        <v>1</v>
      </c>
      <c r="E4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$A479) &gt; 0)</f>
        <v>1</v>
      </c>
      <c r="F479" s="48" t="b">
        <f ca="1">COUNTIF(tblDependencies[DependencyID], $A479) &gt; 0</f>
        <v>0</v>
      </c>
      <c r="G479" s="48" t="b">
        <f ca="1">COUNTIF(tblQuestObjectives[QuestTargetID], $A479) &gt; 0</f>
        <v>0</v>
      </c>
      <c r="H479" s="48" t="b">
        <f ca="1">COUNTIF(tblQuestObjectives[ObjectiveID], $A479) &gt; 0</f>
        <v>1</v>
      </c>
      <c r="I479" s="48" t="b">
        <f ca="1">COUNTIF(tblTargetStatus[TargetID], $A479) &gt; 0</f>
        <v>1</v>
      </c>
      <c r="J479" s="48" t="b">
        <f ca="1">COUNTIF(tblCost[TargetID], $A479) &gt; 0</f>
        <v>0</v>
      </c>
      <c r="K479" s="48" t="b">
        <f ca="1">COUNTIF(tblStates[StateID], $A479) &gt; 0</f>
        <v>1</v>
      </c>
      <c r="L479" s="48" t="b">
        <f t="shared" ca="1" si="15"/>
        <v>1</v>
      </c>
      <c r="M479" s="48" t="b">
        <f ca="1">IF(tblValidation[[#This Row],[TargetID]]="","",COUNTIF(tblTargets[TargetID],A479)&gt;1)</f>
        <v>0</v>
      </c>
      <c r="N479" s="48" t="b">
        <f ca="1">IF(tblValidation[[#This Row],[TargetID]]="","",COUNTIF(tblStates[StateID],tblValidation[[#This Row],[TargetID]])&gt;1)</f>
        <v>0</v>
      </c>
      <c r="O479" s="48" t="b" cm="1">
        <f t="array" aca="1" ref="O4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9" s="48"/>
      <c r="R479" s="48"/>
      <c r="S479" s="48"/>
      <c r="T479" s="48"/>
      <c r="V479" s="2" t="str">
        <f ca="1"/>
        <v>state.obtain_level_2_map</v>
      </c>
      <c r="X479" s="2" t="str">
        <f ca="1"/>
        <v>state.obtain_level_2_map</v>
      </c>
      <c r="Y479" s="2" t="str">
        <f ca="1"/>
        <v>tech.alchemists_hut.potion_ambrosia</v>
      </c>
      <c r="Z479" s="2" t="str">
        <f ca="1"/>
        <v>state.visit_osaka</v>
      </c>
      <c r="AD479" s="2" t="str">
        <f ca="1"/>
        <v>state.obtain_level_2_map</v>
      </c>
    </row>
    <row r="480" spans="1:30">
      <c r="A480" t="str">
        <f t="shared" ca="1" si="14"/>
        <v>state.obtain_level_3_artifact</v>
      </c>
      <c r="B480" t="str">
        <f ca="1">_xlfn.XLOOKUP(tblValidation[[#This Row],[TargetID]],tblTargets[TargetID],tblTargets[TargetType],"")</f>
        <v>STATE</v>
      </c>
      <c r="C480" s="48" t="b">
        <f ca="1">COUNTIF(tblTargets[TargetID], $A480) &gt; 0</f>
        <v>1</v>
      </c>
      <c r="D480" s="48" t="b">
        <f ca="1">IF(OR(LEFT(tblValidation[[#This Row],[TargetID]],10)="state.CHAR",RIGHT(tblValidation[[#This Row],[TargetID]],5)="maxed"),TRUE, COUNTIF(tblChecklist[TargetID], $A480) &gt; 0)</f>
        <v>1</v>
      </c>
      <c r="E4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$A480) &gt; 0)</f>
        <v>1</v>
      </c>
      <c r="F480" s="48" t="b">
        <f ca="1">COUNTIF(tblDependencies[DependencyID], $A480) &gt; 0</f>
        <v>0</v>
      </c>
      <c r="G480" s="48" t="b">
        <f ca="1">COUNTIF(tblQuestObjectives[QuestTargetID], $A480) &gt; 0</f>
        <v>0</v>
      </c>
      <c r="H480" s="48" t="b">
        <f ca="1">COUNTIF(tblQuestObjectives[ObjectiveID], $A480) &gt; 0</f>
        <v>1</v>
      </c>
      <c r="I480" s="48" t="b">
        <f ca="1">COUNTIF(tblTargetStatus[TargetID], $A480) &gt; 0</f>
        <v>1</v>
      </c>
      <c r="J480" s="48" t="b">
        <f ca="1">COUNTIF(tblCost[TargetID], $A480) &gt; 0</f>
        <v>0</v>
      </c>
      <c r="K480" s="48" t="b">
        <f ca="1">COUNTIF(tblStates[StateID], $A480) &gt; 0</f>
        <v>1</v>
      </c>
      <c r="L480" s="48" t="b">
        <f t="shared" ca="1" si="15"/>
        <v>1</v>
      </c>
      <c r="M480" s="48" t="b">
        <f ca="1">IF(tblValidation[[#This Row],[TargetID]]="","",COUNTIF(tblTargets[TargetID],A480)&gt;1)</f>
        <v>0</v>
      </c>
      <c r="N480" s="48" t="b">
        <f ca="1">IF(tblValidation[[#This Row],[TargetID]]="","",COUNTIF(tblStates[StateID],tblValidation[[#This Row],[TargetID]])&gt;1)</f>
        <v>0</v>
      </c>
      <c r="O480" s="48" t="b" cm="1">
        <f t="array" aca="1" ref="O4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0" s="48"/>
      <c r="R480" s="48"/>
      <c r="S480" s="48"/>
      <c r="T480" s="48"/>
      <c r="V480" s="2" t="str">
        <f ca="1"/>
        <v>state.obtain_level_3_artifact</v>
      </c>
      <c r="X480" s="2" t="str">
        <f ca="1"/>
        <v>state.obtain_level_3_artifact</v>
      </c>
      <c r="Y480" s="2" t="str">
        <f ca="1"/>
        <v>tech.alchemists_hut.potion_berserker_rage</v>
      </c>
      <c r="Z480" s="2" t="str">
        <f ca="1"/>
        <v>state.visit_paris</v>
      </c>
      <c r="AD480" s="2" t="str">
        <f ca="1"/>
        <v>state.obtain_level_3_artifact</v>
      </c>
    </row>
    <row r="481" spans="1:30">
      <c r="A481" t="str">
        <f t="shared" ca="1" si="14"/>
        <v>state.obtain_map_catacombs</v>
      </c>
      <c r="B481" t="str">
        <f ca="1">_xlfn.XLOOKUP(tblValidation[[#This Row],[TargetID]],tblTargets[TargetID],tblTargets[TargetType],"")</f>
        <v>STATE</v>
      </c>
      <c r="C481" s="48" t="b">
        <f ca="1">COUNTIF(tblTargets[TargetID], $A481) &gt; 0</f>
        <v>1</v>
      </c>
      <c r="D481" s="48" t="b">
        <f ca="1">IF(OR(LEFT(tblValidation[[#This Row],[TargetID]],10)="state.CHAR",RIGHT(tblValidation[[#This Row],[TargetID]],5)="maxed"),TRUE, COUNTIF(tblChecklist[TargetID], $A481) &gt; 0)</f>
        <v>1</v>
      </c>
      <c r="E4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$A481) &gt; 0)</f>
        <v>1</v>
      </c>
      <c r="F481" s="48" t="b">
        <f ca="1">COUNTIF(tblDependencies[DependencyID], $A481) &gt; 0</f>
        <v>1</v>
      </c>
      <c r="G481" s="48" t="b">
        <f ca="1">COUNTIF(tblQuestObjectives[QuestTargetID], $A481) &gt; 0</f>
        <v>0</v>
      </c>
      <c r="H481" s="48" t="b">
        <f ca="1">COUNTIF(tblQuestObjectives[ObjectiveID], $A481) &gt; 0</f>
        <v>0</v>
      </c>
      <c r="I481" s="48" t="b">
        <f ca="1">COUNTIF(tblTargetStatus[TargetID], $A481) &gt; 0</f>
        <v>1</v>
      </c>
      <c r="J481" s="48" t="b">
        <f ca="1">COUNTIF(tblCost[TargetID], $A481) &gt; 0</f>
        <v>0</v>
      </c>
      <c r="K481" s="48" t="b">
        <f ca="1">COUNTIF(tblStates[StateID], $A481) &gt; 0</f>
        <v>1</v>
      </c>
      <c r="L481" s="48" t="b">
        <f t="shared" ca="1" si="15"/>
        <v>1</v>
      </c>
      <c r="M481" s="48" t="b">
        <f ca="1">IF(tblValidation[[#This Row],[TargetID]]="","",COUNTIF(tblTargets[TargetID],A481)&gt;1)</f>
        <v>0</v>
      </c>
      <c r="N481" s="48" t="b">
        <f ca="1">IF(tblValidation[[#This Row],[TargetID]]="","",COUNTIF(tblStates[StateID],tblValidation[[#This Row],[TargetID]])&gt;1)</f>
        <v>0</v>
      </c>
      <c r="O481" s="48" t="b" cm="1">
        <f t="array" aca="1" ref="O4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1" s="48"/>
      <c r="R481" s="48"/>
      <c r="S481" s="48"/>
      <c r="T481" s="48"/>
      <c r="V481" s="2" t="str">
        <f ca="1"/>
        <v>state.obtain_map_catacombs</v>
      </c>
      <c r="X481" s="2" t="str">
        <f ca="1"/>
        <v>state.obtain_map_catacombs</v>
      </c>
      <c r="Y481" s="2" t="str">
        <f ca="1"/>
        <v>tech.alchemists_hut.potion_of_energy</v>
      </c>
      <c r="Z481" s="2" t="str">
        <f ca="1"/>
        <v>state.visit_rome</v>
      </c>
      <c r="AD481" s="2" t="str">
        <f ca="1"/>
        <v>state.obtain_map_catacombs</v>
      </c>
    </row>
    <row r="482" spans="1:30">
      <c r="A482" t="str">
        <f t="shared" ca="1" si="14"/>
        <v>state.obtain_map4</v>
      </c>
      <c r="B482" t="str">
        <f ca="1">_xlfn.XLOOKUP(tblValidation[[#This Row],[TargetID]],tblTargets[TargetID],tblTargets[TargetType],"")</f>
        <v>STATE</v>
      </c>
      <c r="C482" s="48" t="b">
        <f ca="1">COUNTIF(tblTargets[TargetID], $A482) &gt; 0</f>
        <v>1</v>
      </c>
      <c r="D482" s="48" t="b">
        <f ca="1">IF(OR(LEFT(tblValidation[[#This Row],[TargetID]],10)="state.CHAR",RIGHT(tblValidation[[#This Row],[TargetID]],5)="maxed"),TRUE, COUNTIF(tblChecklist[TargetID], $A482) &gt; 0)</f>
        <v>1</v>
      </c>
      <c r="E4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$A482) &gt; 0)</f>
        <v>1</v>
      </c>
      <c r="F482" s="48" t="b">
        <f ca="1">COUNTIF(tblDependencies[DependencyID], $A482) &gt; 0</f>
        <v>1</v>
      </c>
      <c r="G482" s="48" t="b">
        <f ca="1">COUNTIF(tblQuestObjectives[QuestTargetID], $A482) &gt; 0</f>
        <v>0</v>
      </c>
      <c r="H482" s="48" t="b">
        <f ca="1">COUNTIF(tblQuestObjectives[ObjectiveID], $A482) &gt; 0</f>
        <v>1</v>
      </c>
      <c r="I482" s="48" t="b">
        <f ca="1">COUNTIF(tblTargetStatus[TargetID], $A482) &gt; 0</f>
        <v>1</v>
      </c>
      <c r="J482" s="48" t="b">
        <f ca="1">COUNTIF(tblCost[TargetID], $A482) &gt; 0</f>
        <v>0</v>
      </c>
      <c r="K482" s="48" t="b">
        <f ca="1">COUNTIF(tblStates[StateID], $A482) &gt; 0</f>
        <v>1</v>
      </c>
      <c r="L482" s="48" t="b">
        <f t="shared" ca="1" si="15"/>
        <v>1</v>
      </c>
      <c r="M482" s="48" t="b">
        <f ca="1">IF(tblValidation[[#This Row],[TargetID]]="","",COUNTIF(tblTargets[TargetID],A482)&gt;1)</f>
        <v>0</v>
      </c>
      <c r="N482" s="48" t="b">
        <f ca="1">IF(tblValidation[[#This Row],[TargetID]]="","",COUNTIF(tblStates[StateID],tblValidation[[#This Row],[TargetID]])&gt;1)</f>
        <v>0</v>
      </c>
      <c r="O482" s="48" t="b" cm="1">
        <f t="array" aca="1" ref="O4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2" s="48"/>
      <c r="R482" s="48"/>
      <c r="S482" s="48"/>
      <c r="T482" s="48"/>
      <c r="V482" s="2" t="str">
        <f ca="1"/>
        <v>state.obtain_map4</v>
      </c>
      <c r="X482" s="2" t="str">
        <f ca="1"/>
        <v>state.obtain_map4</v>
      </c>
      <c r="Y482" s="2" t="str">
        <f ca="1"/>
        <v>tech.alchemists_hut.potion_of_healing</v>
      </c>
      <c r="Z482" s="2" t="str">
        <f ca="1"/>
        <v>state.visit_tokyo</v>
      </c>
      <c r="AD482" s="2" t="str">
        <f ca="1"/>
        <v>state.obtain_map4</v>
      </c>
    </row>
    <row r="483" spans="1:30">
      <c r="A483" t="str">
        <f t="shared" ca="1" si="14"/>
        <v>state.obtain_map4_x2</v>
      </c>
      <c r="B483" t="str">
        <f ca="1">_xlfn.XLOOKUP(tblValidation[[#This Row],[TargetID]],tblTargets[TargetID],tblTargets[TargetType],"")</f>
        <v>STATE</v>
      </c>
      <c r="C483" s="48" t="b">
        <f ca="1">COUNTIF(tblTargets[TargetID], $A483) &gt; 0</f>
        <v>1</v>
      </c>
      <c r="D483" s="48" t="b">
        <f ca="1">IF(OR(LEFT(tblValidation[[#This Row],[TargetID]],10)="state.CHAR",RIGHT(tblValidation[[#This Row],[TargetID]],5)="maxed"),TRUE, COUNTIF(tblChecklist[TargetID], $A483) &gt; 0)</f>
        <v>1</v>
      </c>
      <c r="E4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$A483) &gt; 0)</f>
        <v>1</v>
      </c>
      <c r="F483" s="48" t="b">
        <f ca="1">COUNTIF(tblDependencies[DependencyID], $A483) &gt; 0</f>
        <v>0</v>
      </c>
      <c r="G483" s="48" t="b">
        <f ca="1">COUNTIF(tblQuestObjectives[QuestTargetID], $A483) &gt; 0</f>
        <v>0</v>
      </c>
      <c r="H483" s="48" t="b">
        <f ca="1">COUNTIF(tblQuestObjectives[ObjectiveID], $A483) &gt; 0</f>
        <v>1</v>
      </c>
      <c r="I483" s="48" t="b">
        <f ca="1">COUNTIF(tblTargetStatus[TargetID], $A483) &gt; 0</f>
        <v>1</v>
      </c>
      <c r="J483" s="48" t="b">
        <f ca="1">COUNTIF(tblCost[TargetID], $A483) &gt; 0</f>
        <v>0</v>
      </c>
      <c r="K483" s="48" t="b">
        <f ca="1">COUNTIF(tblStates[StateID], $A483) &gt; 0</f>
        <v>1</v>
      </c>
      <c r="L483" s="48" t="b">
        <f t="shared" ca="1" si="15"/>
        <v>1</v>
      </c>
      <c r="M483" s="48" t="b">
        <f ca="1">IF(tblValidation[[#This Row],[TargetID]]="","",COUNTIF(tblTargets[TargetID],A483)&gt;1)</f>
        <v>0</v>
      </c>
      <c r="N483" s="48" t="b">
        <f ca="1">IF(tblValidation[[#This Row],[TargetID]]="","",COUNTIF(tblStates[StateID],tblValidation[[#This Row],[TargetID]])&gt;1)</f>
        <v>0</v>
      </c>
      <c r="O483" s="48" t="b" cm="1">
        <f t="array" aca="1" ref="O4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3" s="48"/>
      <c r="R483" s="48"/>
      <c r="S483" s="48"/>
      <c r="T483" s="48"/>
      <c r="V483" s="2" t="str">
        <f ca="1"/>
        <v>state.obtain_map4_x2</v>
      </c>
      <c r="X483" s="2" t="str">
        <f ca="1"/>
        <v>state.obtain_map4_x2</v>
      </c>
      <c r="Y483" s="2" t="str">
        <f ca="1"/>
        <v>tech.alchemists_hut.potion_of_healing_lvl_2</v>
      </c>
      <c r="Z483" s="2" t="str">
        <f ca="1"/>
        <v>state.visit_wakayama</v>
      </c>
      <c r="AD483" s="2" t="str">
        <f ca="1"/>
        <v>state.obtain_map4_x2</v>
      </c>
    </row>
    <row r="484" spans="1:30">
      <c r="A484" t="str">
        <f t="shared" ca="1" si="14"/>
        <v>state.obtain_mechanism</v>
      </c>
      <c r="B484" t="str">
        <f ca="1">_xlfn.XLOOKUP(tblValidation[[#This Row],[TargetID]],tblTargets[TargetID],tblTargets[TargetType],"")</f>
        <v>STATE</v>
      </c>
      <c r="C484" s="48" t="b">
        <f ca="1">COUNTIF(tblTargets[TargetID], $A484) &gt; 0</f>
        <v>1</v>
      </c>
      <c r="D484" s="48" t="b">
        <f ca="1">IF(OR(LEFT(tblValidation[[#This Row],[TargetID]],10)="state.CHAR",RIGHT(tblValidation[[#This Row],[TargetID]],5)="maxed"),TRUE, COUNTIF(tblChecklist[TargetID], $A484) &gt; 0)</f>
        <v>1</v>
      </c>
      <c r="E4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$A484) &gt; 0)</f>
        <v>1</v>
      </c>
      <c r="F484" s="48" t="b">
        <f ca="1">COUNTIF(tblDependencies[DependencyID], $A484) &gt; 0</f>
        <v>0</v>
      </c>
      <c r="G484" s="48" t="b">
        <f ca="1">COUNTIF(tblQuestObjectives[QuestTargetID], $A484) &gt; 0</f>
        <v>0</v>
      </c>
      <c r="H484" s="48" t="b">
        <f ca="1">COUNTIF(tblQuestObjectives[ObjectiveID], $A484) &gt; 0</f>
        <v>1</v>
      </c>
      <c r="I484" s="48" t="b">
        <f ca="1">COUNTIF(tblTargetStatus[TargetID], $A484) &gt; 0</f>
        <v>1</v>
      </c>
      <c r="J484" s="48" t="b">
        <f ca="1">COUNTIF(tblCost[TargetID], $A484) &gt; 0</f>
        <v>0</v>
      </c>
      <c r="K484" s="48" t="b">
        <f ca="1">COUNTIF(tblStates[StateID], $A484) &gt; 0</f>
        <v>1</v>
      </c>
      <c r="L484" s="48" t="b">
        <f t="shared" ca="1" si="15"/>
        <v>1</v>
      </c>
      <c r="M484" s="48" t="b">
        <f ca="1">IF(tblValidation[[#This Row],[TargetID]]="","",COUNTIF(tblTargets[TargetID],A484)&gt;1)</f>
        <v>0</v>
      </c>
      <c r="N484" s="48" t="b">
        <f ca="1">IF(tblValidation[[#This Row],[TargetID]]="","",COUNTIF(tblStates[StateID],tblValidation[[#This Row],[TargetID]])&gt;1)</f>
        <v>0</v>
      </c>
      <c r="O484" s="48" t="b" cm="1">
        <f t="array" aca="1" ref="O4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4" s="48"/>
      <c r="R484" s="48"/>
      <c r="S484" s="48"/>
      <c r="T484" s="48"/>
      <c r="V484" s="2" t="str">
        <f ca="1"/>
        <v>state.obtain_mechanism</v>
      </c>
      <c r="X484" s="2" t="str">
        <f ca="1"/>
        <v>state.obtain_mechanism</v>
      </c>
      <c r="Y484" s="2" t="str">
        <f ca="1"/>
        <v>tech.alchemists_hut.potion_of_mental_power</v>
      </c>
      <c r="Z484" s="2" t="str">
        <f ca="1"/>
        <v>state.visit_xian</v>
      </c>
      <c r="AD484" s="2" t="str">
        <f ca="1"/>
        <v>state.obtain_mechanism</v>
      </c>
    </row>
    <row r="485" spans="1:30">
      <c r="A485" t="str">
        <f t="shared" ca="1" si="14"/>
        <v>state.obtain_pirate_hat</v>
      </c>
      <c r="B485" t="str">
        <f ca="1">_xlfn.XLOOKUP(tblValidation[[#This Row],[TargetID]],tblTargets[TargetID],tblTargets[TargetType],"")</f>
        <v>STATE</v>
      </c>
      <c r="C485" s="48" t="b">
        <f ca="1">COUNTIF(tblTargets[TargetID], $A485) &gt; 0</f>
        <v>1</v>
      </c>
      <c r="D485" s="48" t="b">
        <f ca="1">IF(OR(LEFT(tblValidation[[#This Row],[TargetID]],10)="state.CHAR",RIGHT(tblValidation[[#This Row],[TargetID]],5)="maxed"),TRUE, COUNTIF(tblChecklist[TargetID], $A485) &gt; 0)</f>
        <v>1</v>
      </c>
      <c r="E4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$A485) &gt; 0)</f>
        <v>1</v>
      </c>
      <c r="F485" s="48" t="b">
        <f ca="1">COUNTIF(tblDependencies[DependencyID], $A485) &gt; 0</f>
        <v>0</v>
      </c>
      <c r="G485" s="48" t="b">
        <f ca="1">COUNTIF(tblQuestObjectives[QuestTargetID], $A485) &gt; 0</f>
        <v>0</v>
      </c>
      <c r="H485" s="48" t="b">
        <f ca="1">COUNTIF(tblQuestObjectives[ObjectiveID], $A485) &gt; 0</f>
        <v>1</v>
      </c>
      <c r="I485" s="48" t="b">
        <f ca="1">COUNTIF(tblTargetStatus[TargetID], $A485) &gt; 0</f>
        <v>1</v>
      </c>
      <c r="J485" s="48" t="b">
        <f ca="1">COUNTIF(tblCost[TargetID], $A485) &gt; 0</f>
        <v>0</v>
      </c>
      <c r="K485" s="48" t="b">
        <f ca="1">COUNTIF(tblStates[StateID], $A485) &gt; 0</f>
        <v>0</v>
      </c>
      <c r="L485" s="48" t="b">
        <f t="shared" ca="1" si="15"/>
        <v>1</v>
      </c>
      <c r="M485" s="48" t="b">
        <f ca="1">IF(tblValidation[[#This Row],[TargetID]]="","",COUNTIF(tblTargets[TargetID],A485)&gt;1)</f>
        <v>0</v>
      </c>
      <c r="N485" s="48" t="b">
        <f ca="1">IF(tblValidation[[#This Row],[TargetID]]="","",COUNTIF(tblStates[StateID],tblValidation[[#This Row],[TargetID]])&gt;1)</f>
        <v>0</v>
      </c>
      <c r="O485" s="48" t="b" cm="1">
        <f t="array" aca="1" ref="O4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5" s="48"/>
      <c r="R485" s="48"/>
      <c r="S485" s="48"/>
      <c r="T485" s="48"/>
      <c r="V485" s="2" t="str">
        <f ca="1"/>
        <v>state.obtain_pirate_hat</v>
      </c>
      <c r="X485" s="2" t="str">
        <f ca="1"/>
        <v>state.obtain_pirate_hat</v>
      </c>
      <c r="Y485" s="2" t="str">
        <f ca="1"/>
        <v>tech.alchemists_hut.synthetic_fertilizer</v>
      </c>
      <c r="Z485" s="2" t="str">
        <f ca="1"/>
        <v>tech.airship.titanium_longerons</v>
      </c>
      <c r="AD485" s="2" t="str">
        <f ca="1"/>
        <v>state.obtain_Pirate_hat</v>
      </c>
    </row>
    <row r="486" spans="1:30">
      <c r="A486" t="str">
        <f t="shared" ca="1" si="14"/>
        <v>state.obtain_potion_of_mental_power</v>
      </c>
      <c r="B486" t="str">
        <f ca="1">_xlfn.XLOOKUP(tblValidation[[#This Row],[TargetID]],tblTargets[TargetID],tblTargets[TargetType],"")</f>
        <v>STATE</v>
      </c>
      <c r="C486" s="48" t="b">
        <f ca="1">COUNTIF(tblTargets[TargetID], $A486) &gt; 0</f>
        <v>1</v>
      </c>
      <c r="D486" s="48" t="b">
        <f ca="1">IF(OR(LEFT(tblValidation[[#This Row],[TargetID]],10)="state.CHAR",RIGHT(tblValidation[[#This Row],[TargetID]],5)="maxed"),TRUE, COUNTIF(tblChecklist[TargetID], $A486) &gt; 0)</f>
        <v>1</v>
      </c>
      <c r="E4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$A486) &gt; 0)</f>
        <v>1</v>
      </c>
      <c r="F486" s="48" t="b">
        <f ca="1">COUNTIF(tblDependencies[DependencyID], $A486) &gt; 0</f>
        <v>0</v>
      </c>
      <c r="G486" s="48" t="b">
        <f ca="1">COUNTIF(tblQuestObjectives[QuestTargetID], $A486) &gt; 0</f>
        <v>0</v>
      </c>
      <c r="H486" s="48" t="b">
        <f ca="1">COUNTIF(tblQuestObjectives[ObjectiveID], $A486) &gt; 0</f>
        <v>1</v>
      </c>
      <c r="I486" s="48" t="b">
        <f ca="1">COUNTIF(tblTargetStatus[TargetID], $A486) &gt; 0</f>
        <v>1</v>
      </c>
      <c r="J486" s="48" t="b">
        <f ca="1">COUNTIF(tblCost[TargetID], $A486) &gt; 0</f>
        <v>0</v>
      </c>
      <c r="K486" s="48" t="b">
        <f ca="1">COUNTIF(tblStates[StateID], $A486) &gt; 0</f>
        <v>1</v>
      </c>
      <c r="L486" s="48" t="b">
        <f t="shared" ca="1" si="15"/>
        <v>1</v>
      </c>
      <c r="M486" s="48" t="b">
        <f ca="1">IF(tblValidation[[#This Row],[TargetID]]="","",COUNTIF(tblTargets[TargetID],A486)&gt;1)</f>
        <v>0</v>
      </c>
      <c r="N486" s="48" t="b">
        <f ca="1">IF(tblValidation[[#This Row],[TargetID]]="","",COUNTIF(tblStates[StateID],tblValidation[[#This Row],[TargetID]])&gt;1)</f>
        <v>0</v>
      </c>
      <c r="O486" s="48" t="b" cm="1">
        <f t="array" aca="1" ref="O4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6" s="48"/>
      <c r="R486" s="48"/>
      <c r="S486" s="48"/>
      <c r="T486" s="48"/>
      <c r="V486" s="2" t="str">
        <f ca="1"/>
        <v>state.obtain_potion_of_mental_power</v>
      </c>
      <c r="X486" s="2" t="str">
        <f ca="1"/>
        <v>state.obtain_potion_of_mental_power</v>
      </c>
      <c r="Y486" s="2" t="str">
        <f ca="1"/>
        <v>tech.bridge.koi_fish</v>
      </c>
      <c r="Z486" s="2" t="str">
        <f ca="1"/>
        <v>tech.alchemists_hut.advanced_fertilizer</v>
      </c>
      <c r="AD486" s="2" t="str">
        <f ca="1"/>
        <v>state.obtain_potion_of_mental_power</v>
      </c>
    </row>
    <row r="487" spans="1:30">
      <c r="A487" t="str">
        <f t="shared" ca="1" si="14"/>
        <v>state.obtain_reagent</v>
      </c>
      <c r="B487" t="str">
        <f ca="1">_xlfn.XLOOKUP(tblValidation[[#This Row],[TargetID]],tblTargets[TargetID],tblTargets[TargetType],"")</f>
        <v>STATE</v>
      </c>
      <c r="C487" s="48" t="b">
        <f ca="1">COUNTIF(tblTargets[TargetID], $A487) &gt; 0</f>
        <v>1</v>
      </c>
      <c r="D487" s="48" t="b">
        <f ca="1">IF(OR(LEFT(tblValidation[[#This Row],[TargetID]],10)="state.CHAR",RIGHT(tblValidation[[#This Row],[TargetID]],5)="maxed"),TRUE, COUNTIF(tblChecklist[TargetID], $A487) &gt; 0)</f>
        <v>1</v>
      </c>
      <c r="E4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$A487) &gt; 0)</f>
        <v>1</v>
      </c>
      <c r="F487" s="48" t="b">
        <f ca="1">COUNTIF(tblDependencies[DependencyID], $A487) &gt; 0</f>
        <v>0</v>
      </c>
      <c r="G487" s="48" t="b">
        <f ca="1">COUNTIF(tblQuestObjectives[QuestTargetID], $A487) &gt; 0</f>
        <v>0</v>
      </c>
      <c r="H487" s="48" t="b">
        <f ca="1">COUNTIF(tblQuestObjectives[ObjectiveID], $A487) &gt; 0</f>
        <v>1</v>
      </c>
      <c r="I487" s="48" t="b">
        <f ca="1">COUNTIF(tblTargetStatus[TargetID], $A487) &gt; 0</f>
        <v>1</v>
      </c>
      <c r="J487" s="48" t="b">
        <f ca="1">COUNTIF(tblCost[TargetID], $A487) &gt; 0</f>
        <v>0</v>
      </c>
      <c r="K487" s="48" t="b">
        <f ca="1">COUNTIF(tblStates[StateID], $A487) &gt; 0</f>
        <v>1</v>
      </c>
      <c r="L487" s="48" t="b">
        <f t="shared" ca="1" si="15"/>
        <v>1</v>
      </c>
      <c r="M487" s="48" t="b">
        <f ca="1">IF(tblValidation[[#This Row],[TargetID]]="","",COUNTIF(tblTargets[TargetID],A487)&gt;1)</f>
        <v>0</v>
      </c>
      <c r="N487" s="48" t="b">
        <f ca="1">IF(tblValidation[[#This Row],[TargetID]]="","",COUNTIF(tblStates[StateID],tblValidation[[#This Row],[TargetID]])&gt;1)</f>
        <v>0</v>
      </c>
      <c r="O487" s="48" t="b" cm="1">
        <f t="array" aca="1" ref="O4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7" s="48"/>
      <c r="R487" s="48"/>
      <c r="S487" s="48"/>
      <c r="T487" s="48"/>
      <c r="V487" s="2" t="str">
        <f ca="1"/>
        <v>state.obtain_reagent</v>
      </c>
      <c r="X487" s="2" t="str">
        <f ca="1"/>
        <v>state.obtain_reagent</v>
      </c>
      <c r="Y487" s="2" t="str">
        <f ca="1"/>
        <v>tech.bridge.salmon_farming</v>
      </c>
      <c r="Z487" s="2" t="str">
        <f ca="1"/>
        <v>tech.alchemists_hut.balm</v>
      </c>
      <c r="AD487" s="2" t="str">
        <f ca="1"/>
        <v>state.obtain_reagent</v>
      </c>
    </row>
    <row r="488" spans="1:30">
      <c r="A488" t="str">
        <f t="shared" ca="1" si="14"/>
        <v>state.obtain_red_diamond_6a</v>
      </c>
      <c r="B488" t="str">
        <f ca="1">_xlfn.XLOOKUP(tblValidation[[#This Row],[TargetID]],tblTargets[TargetID],tblTargets[TargetType],"")</f>
        <v>STATE</v>
      </c>
      <c r="C488" s="48" t="b">
        <f ca="1">COUNTIF(tblTargets[TargetID], $A488) &gt; 0</f>
        <v>1</v>
      </c>
      <c r="D488" s="48" t="b">
        <f ca="1">IF(OR(LEFT(tblValidation[[#This Row],[TargetID]],10)="state.CHAR",RIGHT(tblValidation[[#This Row],[TargetID]],5)="maxed"),TRUE, COUNTIF(tblChecklist[TargetID], $A488) &gt; 0)</f>
        <v>1</v>
      </c>
      <c r="E4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$A488) &gt; 0)</f>
        <v>1</v>
      </c>
      <c r="F488" s="48" t="b">
        <f ca="1">COUNTIF(tblDependencies[DependencyID], $A488) &gt; 0</f>
        <v>0</v>
      </c>
      <c r="G488" s="48" t="b">
        <f ca="1">COUNTIF(tblQuestObjectives[QuestTargetID], $A488) &gt; 0</f>
        <v>0</v>
      </c>
      <c r="H488" s="48" t="b">
        <f ca="1">COUNTIF(tblQuestObjectives[ObjectiveID], $A488) &gt; 0</f>
        <v>1</v>
      </c>
      <c r="I488" s="48" t="b">
        <f ca="1">COUNTIF(tblTargetStatus[TargetID], $A488) &gt; 0</f>
        <v>1</v>
      </c>
      <c r="J488" s="48" t="b">
        <f ca="1">COUNTIF(tblCost[TargetID], $A488) &gt; 0</f>
        <v>0</v>
      </c>
      <c r="K488" s="48" t="b">
        <f ca="1">COUNTIF(tblStates[StateID], $A488) &gt; 0</f>
        <v>1</v>
      </c>
      <c r="L488" s="48" t="b">
        <f t="shared" ca="1" si="15"/>
        <v>1</v>
      </c>
      <c r="M488" s="48" t="b">
        <f ca="1">IF(tblValidation[[#This Row],[TargetID]]="","",COUNTIF(tblTargets[TargetID],A488)&gt;1)</f>
        <v>0</v>
      </c>
      <c r="N488" s="48" t="b">
        <f ca="1">IF(tblValidation[[#This Row],[TargetID]]="","",COUNTIF(tblStates[StateID],tblValidation[[#This Row],[TargetID]])&gt;1)</f>
        <v>0</v>
      </c>
      <c r="O488" s="48" t="b" cm="1">
        <f t="array" aca="1" ref="O4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8" s="48"/>
      <c r="R488" s="48"/>
      <c r="S488" s="48"/>
      <c r="T488" s="48"/>
      <c r="V488" s="2" t="str">
        <f ca="1"/>
        <v>state.obtain_red_diamond_6a</v>
      </c>
      <c r="X488" s="2" t="str">
        <f ca="1"/>
        <v>state.obtain_red_diamond_6a</v>
      </c>
      <c r="Y488" s="2" t="str">
        <f ca="1"/>
        <v>tech.dairy.big_data_farming</v>
      </c>
      <c r="Z488" s="2" t="str">
        <f ca="1"/>
        <v>tech.alchemists_hut.conveyor_lvl_1</v>
      </c>
      <c r="AD488" s="2" t="str">
        <f ca="1"/>
        <v>state.obtain_red_diamond_6a</v>
      </c>
    </row>
    <row r="489" spans="1:30">
      <c r="A489" t="str">
        <f t="shared" ca="1" si="14"/>
        <v>state.obtain_red_diamond_6b</v>
      </c>
      <c r="B489" t="str">
        <f ca="1">_xlfn.XLOOKUP(tblValidation[[#This Row],[TargetID]],tblTargets[TargetID],tblTargets[TargetType],"")</f>
        <v>STATE</v>
      </c>
      <c r="C489" s="48" t="b">
        <f ca="1">COUNTIF(tblTargets[TargetID], $A489) &gt; 0</f>
        <v>1</v>
      </c>
      <c r="D489" s="48" t="b">
        <f ca="1">IF(OR(LEFT(tblValidation[[#This Row],[TargetID]],10)="state.CHAR",RIGHT(tblValidation[[#This Row],[TargetID]],5)="maxed"),TRUE, COUNTIF(tblChecklist[TargetID], $A489) &gt; 0)</f>
        <v>1</v>
      </c>
      <c r="E4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$A489) &gt; 0)</f>
        <v>1</v>
      </c>
      <c r="F489" s="48" t="b">
        <f ca="1">COUNTIF(tblDependencies[DependencyID], $A489) &gt; 0</f>
        <v>0</v>
      </c>
      <c r="G489" s="48" t="b">
        <f ca="1">COUNTIF(tblQuestObjectives[QuestTargetID], $A489) &gt; 0</f>
        <v>0</v>
      </c>
      <c r="H489" s="48" t="b">
        <f ca="1">COUNTIF(tblQuestObjectives[ObjectiveID], $A489) &gt; 0</f>
        <v>1</v>
      </c>
      <c r="I489" s="48" t="b">
        <f ca="1">COUNTIF(tblTargetStatus[TargetID], $A489) &gt; 0</f>
        <v>1</v>
      </c>
      <c r="J489" s="48" t="b">
        <f ca="1">COUNTIF(tblCost[TargetID], $A489) &gt; 0</f>
        <v>0</v>
      </c>
      <c r="K489" s="48" t="b">
        <f ca="1">COUNTIF(tblStates[StateID], $A489) &gt; 0</f>
        <v>1</v>
      </c>
      <c r="L489" s="48" t="b">
        <f t="shared" ca="1" si="15"/>
        <v>1</v>
      </c>
      <c r="M489" s="48" t="b">
        <f ca="1">IF(tblValidation[[#This Row],[TargetID]]="","",COUNTIF(tblTargets[TargetID],A489)&gt;1)</f>
        <v>0</v>
      </c>
      <c r="N489" s="48" t="b">
        <f ca="1">IF(tblValidation[[#This Row],[TargetID]]="","",COUNTIF(tblStates[StateID],tblValidation[[#This Row],[TargetID]])&gt;1)</f>
        <v>0</v>
      </c>
      <c r="O489" s="48" t="b" cm="1">
        <f t="array" aca="1" ref="O4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9" s="48"/>
      <c r="R489" s="48"/>
      <c r="S489" s="48"/>
      <c r="T489" s="48"/>
      <c r="V489" s="2" t="str">
        <f ca="1"/>
        <v>state.obtain_red_diamond_6b</v>
      </c>
      <c r="X489" s="2" t="str">
        <f ca="1"/>
        <v>state.obtain_red_diamond_6b</v>
      </c>
      <c r="Y489" s="2" t="str">
        <f ca="1"/>
        <v>tech.dairy.classical_music_for_the_farm</v>
      </c>
      <c r="Z489" s="2" t="str">
        <f ca="1"/>
        <v>tech.alchemists_hut.conveyor_lvl_2</v>
      </c>
      <c r="AD489" s="2" t="str">
        <f ca="1"/>
        <v>state.obtain_red_diamond_6b</v>
      </c>
    </row>
    <row r="490" spans="1:30">
      <c r="A490" t="str">
        <f t="shared" ca="1" si="14"/>
        <v>state.obtain_red_diamond_6c</v>
      </c>
      <c r="B490" t="str">
        <f ca="1">_xlfn.XLOOKUP(tblValidation[[#This Row],[TargetID]],tblTargets[TargetID],tblTargets[TargetType],"")</f>
        <v>STATE</v>
      </c>
      <c r="C490" s="48" t="b">
        <f ca="1">COUNTIF(tblTargets[TargetID], $A490) &gt; 0</f>
        <v>1</v>
      </c>
      <c r="D490" s="48" t="b">
        <f ca="1">IF(OR(LEFT(tblValidation[[#This Row],[TargetID]],10)="state.CHAR",RIGHT(tblValidation[[#This Row],[TargetID]],5)="maxed"),TRUE, COUNTIF(tblChecklist[TargetID], $A490) &gt; 0)</f>
        <v>1</v>
      </c>
      <c r="E4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$A490) &gt; 0)</f>
        <v>1</v>
      </c>
      <c r="F490" s="48" t="b">
        <f ca="1">COUNTIF(tblDependencies[DependencyID], $A490) &gt; 0</f>
        <v>0</v>
      </c>
      <c r="G490" s="48" t="b">
        <f ca="1">COUNTIF(tblQuestObjectives[QuestTargetID], $A490) &gt; 0</f>
        <v>0</v>
      </c>
      <c r="H490" s="48" t="b">
        <f ca="1">COUNTIF(tblQuestObjectives[ObjectiveID], $A490) &gt; 0</f>
        <v>1</v>
      </c>
      <c r="I490" s="48" t="b">
        <f ca="1">COUNTIF(tblTargetStatus[TargetID], $A490) &gt; 0</f>
        <v>1</v>
      </c>
      <c r="J490" s="48" t="b">
        <f ca="1">COUNTIF(tblCost[TargetID], $A490) &gt; 0</f>
        <v>0</v>
      </c>
      <c r="K490" s="48" t="b">
        <f ca="1">COUNTIF(tblStates[StateID], $A490) &gt; 0</f>
        <v>1</v>
      </c>
      <c r="L490" s="48" t="b">
        <f t="shared" ca="1" si="15"/>
        <v>1</v>
      </c>
      <c r="M490" s="48" t="b">
        <f ca="1">IF(tblValidation[[#This Row],[TargetID]]="","",COUNTIF(tblTargets[TargetID],A490)&gt;1)</f>
        <v>0</v>
      </c>
      <c r="N490" s="48" t="b">
        <f ca="1">IF(tblValidation[[#This Row],[TargetID]]="","",COUNTIF(tblStates[StateID],tblValidation[[#This Row],[TargetID]])&gt;1)</f>
        <v>0</v>
      </c>
      <c r="O490" s="48" t="b" cm="1">
        <f t="array" aca="1" ref="O4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0" s="48"/>
      <c r="R490" s="48"/>
      <c r="S490" s="48"/>
      <c r="T490" s="48"/>
      <c r="V490" s="2" t="str">
        <f ca="1"/>
        <v>state.obtain_red_diamond_6c</v>
      </c>
      <c r="X490" s="2" t="str">
        <f ca="1"/>
        <v>state.obtain_red_diamond_6c</v>
      </c>
      <c r="Y490" s="2" t="str">
        <f ca="1"/>
        <v>tech.dungeon.great_hall</v>
      </c>
      <c r="Z490" s="2" t="str">
        <f ca="1"/>
        <v>tech.alchemists_hut.galvanization</v>
      </c>
      <c r="AD490" s="2" t="str">
        <f ca="1"/>
        <v>state.obtain_red_diamond_6c</v>
      </c>
    </row>
    <row r="491" spans="1:30">
      <c r="A491" t="str">
        <f t="shared" ca="1" si="14"/>
        <v>state.obtain_shield4+</v>
      </c>
      <c r="B491" t="str">
        <f ca="1">_xlfn.XLOOKUP(tblValidation[[#This Row],[TargetID]],tblTargets[TargetID],tblTargets[TargetType],"")</f>
        <v>STATE</v>
      </c>
      <c r="C491" s="48" t="b">
        <f ca="1">COUNTIF(tblTargets[TargetID], $A491) &gt; 0</f>
        <v>1</v>
      </c>
      <c r="D491" s="48" t="b">
        <f ca="1">IF(OR(LEFT(tblValidation[[#This Row],[TargetID]],10)="state.CHAR",RIGHT(tblValidation[[#This Row],[TargetID]],5)="maxed"),TRUE, COUNTIF(tblChecklist[TargetID], $A491) &gt; 0)</f>
        <v>1</v>
      </c>
      <c r="E4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$A491) &gt; 0)</f>
        <v>1</v>
      </c>
      <c r="F491" s="48" t="b">
        <f ca="1">COUNTIF(tblDependencies[DependencyID], $A491) &gt; 0</f>
        <v>0</v>
      </c>
      <c r="G491" s="48" t="b">
        <f ca="1">COUNTIF(tblQuestObjectives[QuestTargetID], $A491) &gt; 0</f>
        <v>0</v>
      </c>
      <c r="H491" s="48" t="b">
        <f ca="1">COUNTIF(tblQuestObjectives[ObjectiveID], $A491) &gt; 0</f>
        <v>1</v>
      </c>
      <c r="I491" s="48" t="b">
        <f ca="1">COUNTIF(tblTargetStatus[TargetID], $A491) &gt; 0</f>
        <v>1</v>
      </c>
      <c r="J491" s="48" t="b">
        <f ca="1">COUNTIF(tblCost[TargetID], $A491) &gt; 0</f>
        <v>0</v>
      </c>
      <c r="K491" s="48" t="b">
        <f ca="1">COUNTIF(tblStates[StateID], $A491) &gt; 0</f>
        <v>1</v>
      </c>
      <c r="L491" s="48" t="b">
        <f t="shared" ca="1" si="15"/>
        <v>1</v>
      </c>
      <c r="M491" s="48" t="b">
        <f ca="1">IF(tblValidation[[#This Row],[TargetID]]="","",COUNTIF(tblTargets[TargetID],A491)&gt;1)</f>
        <v>0</v>
      </c>
      <c r="N491" s="48" t="b">
        <f ca="1">IF(tblValidation[[#This Row],[TargetID]]="","",COUNTIF(tblStates[StateID],tblValidation[[#This Row],[TargetID]])&gt;1)</f>
        <v>0</v>
      </c>
      <c r="O491" s="48" t="b" cm="1">
        <f t="array" aca="1" ref="O4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1" s="48"/>
      <c r="R491" s="48"/>
      <c r="S491" s="48"/>
      <c r="T491" s="48"/>
      <c r="V491" s="2" t="str">
        <f ca="1"/>
        <v>state.obtain_shield4+</v>
      </c>
      <c r="X491" s="2" t="str">
        <f ca="1"/>
        <v>state.obtain_shield4+</v>
      </c>
      <c r="Y491" s="2" t="str">
        <f ca="1"/>
        <v>tech.fermentory.pasteurization</v>
      </c>
      <c r="Z491" s="2" t="str">
        <f ca="1"/>
        <v>tech.alchemists_hut.gold_ingot</v>
      </c>
      <c r="AD491" s="2" t="str">
        <f ca="1"/>
        <v>state.obtain_shield4+</v>
      </c>
    </row>
    <row r="492" spans="1:30">
      <c r="A492" t="str">
        <f t="shared" ca="1" si="14"/>
        <v>state.obtain_ship_in_a_bottle</v>
      </c>
      <c r="B492" t="str">
        <f ca="1">_xlfn.XLOOKUP(tblValidation[[#This Row],[TargetID]],tblTargets[TargetID],tblTargets[TargetType],"")</f>
        <v>STATE</v>
      </c>
      <c r="C492" s="48" t="b">
        <f ca="1">COUNTIF(tblTargets[TargetID], $A492) &gt; 0</f>
        <v>1</v>
      </c>
      <c r="D492" s="48" t="b">
        <f ca="1">IF(OR(LEFT(tblValidation[[#This Row],[TargetID]],10)="state.CHAR",RIGHT(tblValidation[[#This Row],[TargetID]],5)="maxed"),TRUE, COUNTIF(tblChecklist[TargetID], $A492) &gt; 0)</f>
        <v>1</v>
      </c>
      <c r="E4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$A492) &gt; 0)</f>
        <v>1</v>
      </c>
      <c r="F492" s="48" t="b">
        <f ca="1">COUNTIF(tblDependencies[DependencyID], $A492) &gt; 0</f>
        <v>0</v>
      </c>
      <c r="G492" s="48" t="b">
        <f ca="1">COUNTIF(tblQuestObjectives[QuestTargetID], $A492) &gt; 0</f>
        <v>0</v>
      </c>
      <c r="H492" s="48" t="b">
        <f ca="1">COUNTIF(tblQuestObjectives[ObjectiveID], $A492) &gt; 0</f>
        <v>1</v>
      </c>
      <c r="I492" s="48" t="b">
        <f ca="1">COUNTIF(tblTargetStatus[TargetID], $A492) &gt; 0</f>
        <v>1</v>
      </c>
      <c r="J492" s="48" t="b">
        <f ca="1">COUNTIF(tblCost[TargetID], $A492) &gt; 0</f>
        <v>0</v>
      </c>
      <c r="K492" s="48" t="b">
        <f ca="1">COUNTIF(tblStates[StateID], $A492) &gt; 0</f>
        <v>1</v>
      </c>
      <c r="L492" s="48" t="b">
        <f t="shared" ca="1" si="15"/>
        <v>1</v>
      </c>
      <c r="M492" s="48" t="b">
        <f ca="1">IF(tblValidation[[#This Row],[TargetID]]="","",COUNTIF(tblTargets[TargetID],A492)&gt;1)</f>
        <v>0</v>
      </c>
      <c r="N492" s="48" t="b">
        <f ca="1">IF(tblValidation[[#This Row],[TargetID]]="","",COUNTIF(tblStates[StateID],tblValidation[[#This Row],[TargetID]])&gt;1)</f>
        <v>0</v>
      </c>
      <c r="O492" s="48" t="b" cm="1">
        <f t="array" aca="1" ref="O4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2" s="48"/>
      <c r="R492" s="48"/>
      <c r="S492" s="48"/>
      <c r="T492" s="48"/>
      <c r="V492" s="2" t="str">
        <f ca="1"/>
        <v>state.obtain_ship_in_a_bottle</v>
      </c>
      <c r="X492" s="2" t="str">
        <f ca="1"/>
        <v>state.obtain_ship_in_a_bottle</v>
      </c>
      <c r="Y492" s="2" t="str">
        <f ca="1"/>
        <v>tech.field.combine_harvester</v>
      </c>
      <c r="Z492" s="2" t="str">
        <f ca="1"/>
        <v>tech.alchemists_hut.greek_grenade</v>
      </c>
      <c r="AD492" s="2" t="str">
        <f ca="1"/>
        <v>state.obtain_ship_in_a_bottle</v>
      </c>
    </row>
    <row r="493" spans="1:30">
      <c r="A493" t="str">
        <f t="shared" ca="1" si="14"/>
        <v>state.obtain_shoguns_katana</v>
      </c>
      <c r="B493" t="str">
        <f ca="1">_xlfn.XLOOKUP(tblValidation[[#This Row],[TargetID]],tblTargets[TargetID],tblTargets[TargetType],"")</f>
        <v>STATE</v>
      </c>
      <c r="C493" s="48" t="b">
        <f ca="1">COUNTIF(tblTargets[TargetID], $A493) &gt; 0</f>
        <v>1</v>
      </c>
      <c r="D493" s="48" t="b">
        <f ca="1">IF(OR(LEFT(tblValidation[[#This Row],[TargetID]],10)="state.CHAR",RIGHT(tblValidation[[#This Row],[TargetID]],5)="maxed"),TRUE, COUNTIF(tblChecklist[TargetID], $A493) &gt; 0)</f>
        <v>1</v>
      </c>
      <c r="E4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$A493) &gt; 0)</f>
        <v>1</v>
      </c>
      <c r="F493" s="48" t="b">
        <f ca="1">COUNTIF(tblDependencies[DependencyID], $A493) &gt; 0</f>
        <v>0</v>
      </c>
      <c r="G493" s="48" t="b">
        <f ca="1">COUNTIF(tblQuestObjectives[QuestTargetID], $A493) &gt; 0</f>
        <v>0</v>
      </c>
      <c r="H493" s="48" t="b">
        <f ca="1">COUNTIF(tblQuestObjectives[ObjectiveID], $A493) &gt; 0</f>
        <v>1</v>
      </c>
      <c r="I493" s="48" t="b">
        <f ca="1">COUNTIF(tblTargetStatus[TargetID], $A493) &gt; 0</f>
        <v>1</v>
      </c>
      <c r="J493" s="48" t="b">
        <f ca="1">COUNTIF(tblCost[TargetID], $A493) &gt; 0</f>
        <v>0</v>
      </c>
      <c r="K493" s="48" t="b">
        <f ca="1">COUNTIF(tblStates[StateID], $A493) &gt; 0</f>
        <v>1</v>
      </c>
      <c r="L493" s="48" t="b">
        <f t="shared" ca="1" si="15"/>
        <v>1</v>
      </c>
      <c r="M493" s="48" t="b">
        <f ca="1">IF(tblValidation[[#This Row],[TargetID]]="","",COUNTIF(tblTargets[TargetID],A493)&gt;1)</f>
        <v>0</v>
      </c>
      <c r="N493" s="48" t="b">
        <f ca="1">IF(tblValidation[[#This Row],[TargetID]]="","",COUNTIF(tblStates[StateID],tblValidation[[#This Row],[TargetID]])&gt;1)</f>
        <v>0</v>
      </c>
      <c r="O493" s="48" t="b" cm="1">
        <f t="array" aca="1" ref="O4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3" s="48"/>
      <c r="R493" s="48"/>
      <c r="S493" s="48"/>
      <c r="T493" s="48"/>
      <c r="V493" s="2" t="str">
        <f ca="1"/>
        <v>state.obtain_shoguns_katana</v>
      </c>
      <c r="X493" s="2" t="str">
        <f ca="1"/>
        <v>state.obtain_shoguns_katana</v>
      </c>
      <c r="Y493" s="2" t="str">
        <f ca="1"/>
        <v>tech.field.seed_drill</v>
      </c>
      <c r="Z493" s="2" t="str">
        <f ca="1"/>
        <v>tech.alchemists_hut.madness_grenade</v>
      </c>
      <c r="AD493" s="2" t="str">
        <f ca="1"/>
        <v>state.obtain_shoguns_katana</v>
      </c>
    </row>
    <row r="494" spans="1:30">
      <c r="A494" t="str">
        <f t="shared" ca="1" si="14"/>
        <v>state.obtain_shoguns_mortar</v>
      </c>
      <c r="B494" t="str">
        <f ca="1">_xlfn.XLOOKUP(tblValidation[[#This Row],[TargetID]],tblTargets[TargetID],tblTargets[TargetType],"")</f>
        <v>STATE</v>
      </c>
      <c r="C494" s="48" t="b">
        <f ca="1">COUNTIF(tblTargets[TargetID], $A494) &gt; 0</f>
        <v>1</v>
      </c>
      <c r="D494" s="48" t="b">
        <f ca="1">IF(OR(LEFT(tblValidation[[#This Row],[TargetID]],10)="state.CHAR",RIGHT(tblValidation[[#This Row],[TargetID]],5)="maxed"),TRUE, COUNTIF(tblChecklist[TargetID], $A494) &gt; 0)</f>
        <v>1</v>
      </c>
      <c r="E4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$A494) &gt; 0)</f>
        <v>1</v>
      </c>
      <c r="F494" s="48" t="b">
        <f ca="1">COUNTIF(tblDependencies[DependencyID], $A494) &gt; 0</f>
        <v>0</v>
      </c>
      <c r="G494" s="48" t="b">
        <f ca="1">COUNTIF(tblQuestObjectives[QuestTargetID], $A494) &gt; 0</f>
        <v>0</v>
      </c>
      <c r="H494" s="48" t="b">
        <f ca="1">COUNTIF(tblQuestObjectives[ObjectiveID], $A494) &gt; 0</f>
        <v>1</v>
      </c>
      <c r="I494" s="48" t="b">
        <f ca="1">COUNTIF(tblTargetStatus[TargetID], $A494) &gt; 0</f>
        <v>1</v>
      </c>
      <c r="J494" s="48" t="b">
        <f ca="1">COUNTIF(tblCost[TargetID], $A494) &gt; 0</f>
        <v>0</v>
      </c>
      <c r="K494" s="48" t="b">
        <f ca="1">COUNTIF(tblStates[StateID], $A494) &gt; 0</f>
        <v>0</v>
      </c>
      <c r="L494" s="48" t="b">
        <f t="shared" ca="1" si="15"/>
        <v>1</v>
      </c>
      <c r="M494" s="48" t="b">
        <f ca="1">IF(tblValidation[[#This Row],[TargetID]]="","",COUNTIF(tblTargets[TargetID],A494)&gt;1)</f>
        <v>0</v>
      </c>
      <c r="N494" s="48" t="b">
        <f ca="1">IF(tblValidation[[#This Row],[TargetID]]="","",COUNTIF(tblStates[StateID],tblValidation[[#This Row],[TargetID]])&gt;1)</f>
        <v>0</v>
      </c>
      <c r="O494" s="48" t="b" cm="1">
        <f t="array" aca="1" ref="O4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4" s="48"/>
      <c r="R494" s="48"/>
      <c r="S494" s="48"/>
      <c r="T494" s="48"/>
      <c r="V494" s="2" t="str">
        <f ca="1"/>
        <v>state.obtain_shoguns_mortar</v>
      </c>
      <c r="X494" s="2" t="str">
        <f ca="1"/>
        <v>state.obtain_shoguns_mortar</v>
      </c>
      <c r="Y494" s="2" t="str">
        <f ca="1"/>
        <v>tech.field.soybean</v>
      </c>
      <c r="Z494" s="2" t="str">
        <f ca="1"/>
        <v>tech.alchemists_hut.mercury</v>
      </c>
      <c r="AD494" s="2" t="str">
        <f ca="1"/>
        <v>state.obtain_Shoguns_Mortar</v>
      </c>
    </row>
    <row r="495" spans="1:30">
      <c r="A495" t="str">
        <f t="shared" ca="1" si="14"/>
        <v>state.obtain_smugglers_map_10_spices</v>
      </c>
      <c r="B495" t="str">
        <f ca="1">_xlfn.XLOOKUP(tblValidation[[#This Row],[TargetID]],tblTargets[TargetID],tblTargets[TargetType],"")</f>
        <v>STATE</v>
      </c>
      <c r="C495" s="48" t="b">
        <f ca="1">COUNTIF(tblTargets[TargetID], $A495) &gt; 0</f>
        <v>1</v>
      </c>
      <c r="D495" s="48" t="b">
        <f ca="1">IF(OR(LEFT(tblValidation[[#This Row],[TargetID]],10)="state.CHAR",RIGHT(tblValidation[[#This Row],[TargetID]],5)="maxed"),TRUE, COUNTIF(tblChecklist[TargetID], $A495) &gt; 0)</f>
        <v>1</v>
      </c>
      <c r="E4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$A495) &gt; 0)</f>
        <v>1</v>
      </c>
      <c r="F495" s="48" t="b">
        <f ca="1">COUNTIF(tblDependencies[DependencyID], $A495) &gt; 0</f>
        <v>0</v>
      </c>
      <c r="G495" s="48" t="b">
        <f ca="1">COUNTIF(tblQuestObjectives[QuestTargetID], $A495) &gt; 0</f>
        <v>0</v>
      </c>
      <c r="H495" s="48" t="b">
        <f ca="1">COUNTIF(tblQuestObjectives[ObjectiveID], $A495) &gt; 0</f>
        <v>1</v>
      </c>
      <c r="I495" s="48" t="b">
        <f ca="1">COUNTIF(tblTargetStatus[TargetID], $A495) &gt; 0</f>
        <v>1</v>
      </c>
      <c r="J495" s="48" t="b">
        <f ca="1">COUNTIF(tblCost[TargetID], $A495) &gt; 0</f>
        <v>0</v>
      </c>
      <c r="K495" s="48" t="b">
        <f ca="1">COUNTIF(tblStates[StateID], $A495) &gt; 0</f>
        <v>1</v>
      </c>
      <c r="L495" s="48" t="b">
        <f t="shared" ca="1" si="15"/>
        <v>1</v>
      </c>
      <c r="M495" s="48" t="b">
        <f ca="1">IF(tblValidation[[#This Row],[TargetID]]="","",COUNTIF(tblTargets[TargetID],A495)&gt;1)</f>
        <v>0</v>
      </c>
      <c r="N495" s="48" t="b">
        <f ca="1">IF(tblValidation[[#This Row],[TargetID]]="","",COUNTIF(tblStates[StateID],tblValidation[[#This Row],[TargetID]])&gt;1)</f>
        <v>0</v>
      </c>
      <c r="O495" s="48" t="b" cm="1">
        <f t="array" aca="1" ref="O4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5" s="48"/>
      <c r="R495" s="48"/>
      <c r="S495" s="48"/>
      <c r="T495" s="48"/>
      <c r="V495" s="2" t="str">
        <f ca="1"/>
        <v>state.obtain_smugglers_map_10_spices</v>
      </c>
      <c r="X495" s="2" t="str">
        <f ca="1"/>
        <v>state.obtain_smugglers_map_10_spices</v>
      </c>
      <c r="Y495" s="2" t="str">
        <f ca="1"/>
        <v>tech.food_stall.conveyor_belt_sushi</v>
      </c>
      <c r="Z495" s="2" t="str">
        <f ca="1"/>
        <v>tech.alchemists_hut.metamorphosis</v>
      </c>
      <c r="AD495" s="2" t="str">
        <f ca="1"/>
        <v>state.obtain_smugglers_map_10_spices</v>
      </c>
    </row>
    <row r="496" spans="1:30">
      <c r="A496" t="str">
        <f t="shared" ca="1" si="14"/>
        <v>state.obtain_smugglers_map_100_beans</v>
      </c>
      <c r="B496" t="str">
        <f ca="1">_xlfn.XLOOKUP(tblValidation[[#This Row],[TargetID]],tblTargets[TargetID],tblTargets[TargetType],"")</f>
        <v>STATE</v>
      </c>
      <c r="C496" s="48" t="b">
        <f ca="1">COUNTIF(tblTargets[TargetID], $A496) &gt; 0</f>
        <v>1</v>
      </c>
      <c r="D496" s="48" t="b">
        <f ca="1">IF(OR(LEFT(tblValidation[[#This Row],[TargetID]],10)="state.CHAR",RIGHT(tblValidation[[#This Row],[TargetID]],5)="maxed"),TRUE, COUNTIF(tblChecklist[TargetID], $A496) &gt; 0)</f>
        <v>1</v>
      </c>
      <c r="E4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$A496) &gt; 0)</f>
        <v>1</v>
      </c>
      <c r="F496" s="48" t="b">
        <f ca="1">COUNTIF(tblDependencies[DependencyID], $A496) &gt; 0</f>
        <v>1</v>
      </c>
      <c r="G496" s="48" t="b">
        <f ca="1">COUNTIF(tblQuestObjectives[QuestTargetID], $A496) &gt; 0</f>
        <v>0</v>
      </c>
      <c r="H496" s="48" t="b">
        <f ca="1">COUNTIF(tblQuestObjectives[ObjectiveID], $A496) &gt; 0</f>
        <v>1</v>
      </c>
      <c r="I496" s="48" t="b">
        <f ca="1">COUNTIF(tblTargetStatus[TargetID], $A496) &gt; 0</f>
        <v>1</v>
      </c>
      <c r="J496" s="48" t="b">
        <f ca="1">COUNTIF(tblCost[TargetID], $A496) &gt; 0</f>
        <v>0</v>
      </c>
      <c r="K496" s="48" t="b">
        <f ca="1">COUNTIF(tblStates[StateID], $A496) &gt; 0</f>
        <v>1</v>
      </c>
      <c r="L496" s="48" t="b">
        <f t="shared" ca="1" si="15"/>
        <v>1</v>
      </c>
      <c r="M496" s="48" t="b">
        <f ca="1">IF(tblValidation[[#This Row],[TargetID]]="","",COUNTIF(tblTargets[TargetID],A496)&gt;1)</f>
        <v>0</v>
      </c>
      <c r="N496" s="48" t="b">
        <f ca="1">IF(tblValidation[[#This Row],[TargetID]]="","",COUNTIF(tblStates[StateID],tblValidation[[#This Row],[TargetID]])&gt;1)</f>
        <v>0</v>
      </c>
      <c r="O496" s="48" t="b" cm="1">
        <f t="array" aca="1" ref="O4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6" s="48"/>
      <c r="R496" s="48"/>
      <c r="S496" s="48"/>
      <c r="T496" s="48"/>
      <c r="V496" s="2" t="str">
        <f ca="1"/>
        <v>state.obtain_smugglers_map_100_beans</v>
      </c>
      <c r="X496" s="2" t="str">
        <f ca="1"/>
        <v>state.obtain_smugglers_map_100_beans</v>
      </c>
      <c r="Y496" s="2" t="str">
        <f ca="1"/>
        <v>tech.food_stall.inarizushi</v>
      </c>
      <c r="Z496" s="2" t="str">
        <f ca="1"/>
        <v>tech.alchemists_hut.perfect_fertilizer</v>
      </c>
      <c r="AD496" s="2" t="str">
        <f ca="1"/>
        <v>state.obtain_smugglers_map_100_beans</v>
      </c>
    </row>
    <row r="497" spans="1:30">
      <c r="A497" t="str">
        <f t="shared" ca="1" si="14"/>
        <v>state.obtain_smugglers_map_15_pearl</v>
      </c>
      <c r="B497" t="str">
        <f ca="1">_xlfn.XLOOKUP(tblValidation[[#This Row],[TargetID]],tblTargets[TargetID],tblTargets[TargetType],"")</f>
        <v>STATE</v>
      </c>
      <c r="C497" s="48" t="b">
        <f ca="1">COUNTIF(tblTargets[TargetID], $A497) &gt; 0</f>
        <v>1</v>
      </c>
      <c r="D497" s="48" t="b">
        <f ca="1">IF(OR(LEFT(tblValidation[[#This Row],[TargetID]],10)="state.CHAR",RIGHT(tblValidation[[#This Row],[TargetID]],5)="maxed"),TRUE, COUNTIF(tblChecklist[TargetID], $A497) &gt; 0)</f>
        <v>1</v>
      </c>
      <c r="E4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$A497) &gt; 0)</f>
        <v>1</v>
      </c>
      <c r="F497" s="48" t="b">
        <f ca="1">COUNTIF(tblDependencies[DependencyID], $A497) &gt; 0</f>
        <v>1</v>
      </c>
      <c r="G497" s="48" t="b">
        <f ca="1">COUNTIF(tblQuestObjectives[QuestTargetID], $A497) &gt; 0</f>
        <v>0</v>
      </c>
      <c r="H497" s="48" t="b">
        <f ca="1">COUNTIF(tblQuestObjectives[ObjectiveID], $A497) &gt; 0</f>
        <v>1</v>
      </c>
      <c r="I497" s="48" t="b">
        <f ca="1">COUNTIF(tblTargetStatus[TargetID], $A497) &gt; 0</f>
        <v>1</v>
      </c>
      <c r="J497" s="48" t="b">
        <f ca="1">COUNTIF(tblCost[TargetID], $A497) &gt; 0</f>
        <v>0</v>
      </c>
      <c r="K497" s="48" t="b">
        <f ca="1">COUNTIF(tblStates[StateID], $A497) &gt; 0</f>
        <v>1</v>
      </c>
      <c r="L497" s="48" t="b">
        <f t="shared" ca="1" si="15"/>
        <v>1</v>
      </c>
      <c r="M497" s="48" t="b">
        <f ca="1">IF(tblValidation[[#This Row],[TargetID]]="","",COUNTIF(tblTargets[TargetID],A497)&gt;1)</f>
        <v>0</v>
      </c>
      <c r="N497" s="48" t="b">
        <f ca="1">IF(tblValidation[[#This Row],[TargetID]]="","",COUNTIF(tblStates[StateID],tblValidation[[#This Row],[TargetID]])&gt;1)</f>
        <v>0</v>
      </c>
      <c r="O497" s="48" t="b" cm="1">
        <f t="array" aca="1" ref="O4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7" s="48"/>
      <c r="R497" s="48"/>
      <c r="S497" s="48"/>
      <c r="T497" s="48"/>
      <c r="V497" s="2" t="str">
        <f ca="1"/>
        <v>state.obtain_smugglers_map_15_pearl</v>
      </c>
      <c r="X497" s="2" t="str">
        <f ca="1"/>
        <v>state.obtain_smugglers_map_15_pearl</v>
      </c>
      <c r="Y497" s="2" t="str">
        <f ca="1"/>
        <v>tech.food_stall.jam</v>
      </c>
      <c r="Z497" s="2" t="str">
        <f ca="1"/>
        <v>tech.alchemists_hut.potion_ambrosia</v>
      </c>
      <c r="AD497" s="2" t="str">
        <f ca="1"/>
        <v>state.obtain_smugglers_map_15_pearl</v>
      </c>
    </row>
    <row r="498" spans="1:30">
      <c r="A498" t="str">
        <f t="shared" ca="1" si="14"/>
        <v>state.obtain_spices</v>
      </c>
      <c r="B498" t="str">
        <f ca="1">_xlfn.XLOOKUP(tblValidation[[#This Row],[TargetID]],tblTargets[TargetID],tblTargets[TargetType],"")</f>
        <v>STATE</v>
      </c>
      <c r="C498" s="48" t="b">
        <f ca="1">COUNTIF(tblTargets[TargetID], $A498) &gt; 0</f>
        <v>1</v>
      </c>
      <c r="D498" s="48" t="b">
        <f ca="1">IF(OR(LEFT(tblValidation[[#This Row],[TargetID]],10)="state.CHAR",RIGHT(tblValidation[[#This Row],[TargetID]],5)="maxed"),TRUE, COUNTIF(tblChecklist[TargetID], $A498) &gt; 0)</f>
        <v>1</v>
      </c>
      <c r="E4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$A498) &gt; 0)</f>
        <v>1</v>
      </c>
      <c r="F498" s="48" t="b">
        <f ca="1">COUNTIF(tblDependencies[DependencyID], $A498) &gt; 0</f>
        <v>0</v>
      </c>
      <c r="G498" s="48" t="b">
        <f ca="1">COUNTIF(tblQuestObjectives[QuestTargetID], $A498) &gt; 0</f>
        <v>0</v>
      </c>
      <c r="H498" s="48" t="b">
        <f ca="1">COUNTIF(tblQuestObjectives[ObjectiveID], $A498) &gt; 0</f>
        <v>1</v>
      </c>
      <c r="I498" s="48" t="b">
        <f ca="1">COUNTIF(tblTargetStatus[TargetID], $A498) &gt; 0</f>
        <v>1</v>
      </c>
      <c r="J498" s="48" t="b">
        <f ca="1">COUNTIF(tblCost[TargetID], $A498) &gt; 0</f>
        <v>0</v>
      </c>
      <c r="K498" s="48" t="b">
        <f ca="1">COUNTIF(tblStates[StateID], $A498) &gt; 0</f>
        <v>1</v>
      </c>
      <c r="L498" s="48" t="b">
        <f t="shared" ca="1" si="15"/>
        <v>1</v>
      </c>
      <c r="M498" s="48" t="b">
        <f ca="1">IF(tblValidation[[#This Row],[TargetID]]="","",COUNTIF(tblTargets[TargetID],A498)&gt;1)</f>
        <v>0</v>
      </c>
      <c r="N498" s="48" t="b">
        <f ca="1">IF(tblValidation[[#This Row],[TargetID]]="","",COUNTIF(tblStates[StateID],tblValidation[[#This Row],[TargetID]])&gt;1)</f>
        <v>0</v>
      </c>
      <c r="O498" s="48" t="b" cm="1">
        <f t="array" aca="1" ref="O4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8" s="48"/>
      <c r="R498" s="48"/>
      <c r="S498" s="48"/>
      <c r="T498" s="48"/>
      <c r="V498" s="2" t="str">
        <f ca="1"/>
        <v>state.obtain_spices</v>
      </c>
      <c r="X498" s="2" t="str">
        <f ca="1"/>
        <v>state.obtain_spices</v>
      </c>
      <c r="Y498" s="2" t="str">
        <f ca="1"/>
        <v>tech.food_stall.mandra_cola</v>
      </c>
      <c r="Z498" s="2" t="str">
        <f ca="1"/>
        <v>tech.alchemists_hut.potion_berserker_rage</v>
      </c>
      <c r="AD498" s="2" t="str">
        <f ca="1"/>
        <v>state.obtain_spices</v>
      </c>
    </row>
    <row r="499" spans="1:30">
      <c r="A499" t="str">
        <f t="shared" ca="1" si="14"/>
        <v>state.obtain_steamobile</v>
      </c>
      <c r="B499" t="str">
        <f ca="1">_xlfn.XLOOKUP(tblValidation[[#This Row],[TargetID]],tblTargets[TargetID],tblTargets[TargetType],"")</f>
        <v>STATE</v>
      </c>
      <c r="C499" s="48" t="b">
        <f ca="1">COUNTIF(tblTargets[TargetID], $A499) &gt; 0</f>
        <v>1</v>
      </c>
      <c r="D499" s="48" t="b">
        <f ca="1">IF(OR(LEFT(tblValidation[[#This Row],[TargetID]],10)="state.CHAR",RIGHT(tblValidation[[#This Row],[TargetID]],5)="maxed"),TRUE, COUNTIF(tblChecklist[TargetID], $A499) &gt; 0)</f>
        <v>1</v>
      </c>
      <c r="E4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$A499) &gt; 0)</f>
        <v>1</v>
      </c>
      <c r="F499" s="48" t="b">
        <f ca="1">COUNTIF(tblDependencies[DependencyID], $A499) &gt; 0</f>
        <v>0</v>
      </c>
      <c r="G499" s="48" t="b">
        <f ca="1">COUNTIF(tblQuestObjectives[QuestTargetID], $A499) &gt; 0</f>
        <v>0</v>
      </c>
      <c r="H499" s="48" t="b">
        <f ca="1">COUNTIF(tblQuestObjectives[ObjectiveID], $A499) &gt; 0</f>
        <v>1</v>
      </c>
      <c r="I499" s="48" t="b">
        <f ca="1">COUNTIF(tblTargetStatus[TargetID], $A499) &gt; 0</f>
        <v>1</v>
      </c>
      <c r="J499" s="48" t="b">
        <f ca="1">COUNTIF(tblCost[TargetID], $A499) &gt; 0</f>
        <v>0</v>
      </c>
      <c r="K499" s="48" t="b">
        <f ca="1">COUNTIF(tblStates[StateID], $A499) &gt; 0</f>
        <v>1</v>
      </c>
      <c r="L499" s="48" t="b">
        <f t="shared" ca="1" si="15"/>
        <v>1</v>
      </c>
      <c r="M499" s="48" t="b">
        <f ca="1">IF(tblValidation[[#This Row],[TargetID]]="","",COUNTIF(tblTargets[TargetID],A499)&gt;1)</f>
        <v>0</v>
      </c>
      <c r="N499" s="48" t="b">
        <f ca="1">IF(tblValidation[[#This Row],[TargetID]]="","",COUNTIF(tblStates[StateID],tblValidation[[#This Row],[TargetID]])&gt;1)</f>
        <v>0</v>
      </c>
      <c r="O499" s="48" t="b" cm="1">
        <f t="array" aca="1" ref="O4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9" s="48"/>
      <c r="R499" s="48"/>
      <c r="S499" s="48"/>
      <c r="T499" s="48"/>
      <c r="V499" s="2" t="str">
        <f ca="1"/>
        <v>state.obtain_steamobile</v>
      </c>
      <c r="X499" s="2" t="str">
        <f ca="1"/>
        <v>state.obtain_steamobile</v>
      </c>
      <c r="Y499" s="2" t="str">
        <f ca="1"/>
        <v>tech.food_stall.mayonnaise</v>
      </c>
      <c r="Z499" s="2" t="str">
        <f ca="1"/>
        <v>tech.alchemists_hut.potion_of_energy</v>
      </c>
      <c r="AD499" s="2" t="str">
        <f ca="1"/>
        <v>state.obtain_steamobile</v>
      </c>
    </row>
    <row r="500" spans="1:30">
      <c r="A500" t="str">
        <f t="shared" ca="1" si="14"/>
        <v>state.obtain_strawberry@f1</v>
      </c>
      <c r="B500" t="str">
        <f ca="1">_xlfn.XLOOKUP(tblValidation[[#This Row],[TargetID]],tblTargets[TargetID],tblTargets[TargetType],"")</f>
        <v>STATE</v>
      </c>
      <c r="C500" s="48" t="b">
        <f ca="1">COUNTIF(tblTargets[TargetID], $A500) &gt; 0</f>
        <v>1</v>
      </c>
      <c r="D500" s="48" t="b">
        <f ca="1">IF(OR(LEFT(tblValidation[[#This Row],[TargetID]],10)="state.CHAR",RIGHT(tblValidation[[#This Row],[TargetID]],5)="maxed"),TRUE, COUNTIF(tblChecklist[TargetID], $A500) &gt; 0)</f>
        <v>1</v>
      </c>
      <c r="E5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$A500) &gt; 0)</f>
        <v>1</v>
      </c>
      <c r="F500" s="48" t="b">
        <f ca="1">COUNTIF(tblDependencies[DependencyID], $A500) &gt; 0</f>
        <v>1</v>
      </c>
      <c r="G500" s="48" t="b">
        <f ca="1">COUNTIF(tblQuestObjectives[QuestTargetID], $A500) &gt; 0</f>
        <v>0</v>
      </c>
      <c r="H500" s="48" t="b">
        <f ca="1">COUNTIF(tblQuestObjectives[ObjectiveID], $A500) &gt; 0</f>
        <v>0</v>
      </c>
      <c r="I500" s="48" t="b">
        <f ca="1">COUNTIF(tblTargetStatus[TargetID], $A500) &gt; 0</f>
        <v>1</v>
      </c>
      <c r="J500" s="48" t="b">
        <f ca="1">COUNTIF(tblCost[TargetID], $A500) &gt; 0</f>
        <v>0</v>
      </c>
      <c r="K500" s="48" t="b">
        <f ca="1">COUNTIF(tblStates[StateID], $A500) &gt; 0</f>
        <v>1</v>
      </c>
      <c r="L500" s="48" t="b">
        <f t="shared" ca="1" si="15"/>
        <v>1</v>
      </c>
      <c r="M500" s="48" t="b">
        <f ca="1">IF(tblValidation[[#This Row],[TargetID]]="","",COUNTIF(tblTargets[TargetID],A500)&gt;1)</f>
        <v>0</v>
      </c>
      <c r="N500" s="48" t="b">
        <f ca="1">IF(tblValidation[[#This Row],[TargetID]]="","",COUNTIF(tblStates[StateID],tblValidation[[#This Row],[TargetID]])&gt;1)</f>
        <v>0</v>
      </c>
      <c r="O500" s="48" t="b" cm="1">
        <f t="array" aca="1" ref="O5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0" s="48"/>
      <c r="R500" s="48"/>
      <c r="S500" s="48"/>
      <c r="T500" s="48"/>
      <c r="V500" s="2" t="str">
        <f ca="1"/>
        <v>state.obtain_strawberry@f1</v>
      </c>
      <c r="X500" s="2" t="str">
        <f ca="1"/>
        <v>state.obtain_strawberry@f1</v>
      </c>
      <c r="Y500" s="2" t="str">
        <f ca="1"/>
        <v>tech.food_stall.miso_soup</v>
      </c>
      <c r="Z500" s="2" t="str">
        <f ca="1"/>
        <v>tech.alchemists_hut.potion_of_healing</v>
      </c>
      <c r="AD500" s="2" t="str">
        <f ca="1"/>
        <v>state.obtain_strawberry@f1</v>
      </c>
    </row>
    <row r="501" spans="1:30">
      <c r="A501" t="str">
        <f t="shared" ca="1" si="14"/>
        <v>state.obtain_sword4</v>
      </c>
      <c r="B501" t="str">
        <f ca="1">_xlfn.XLOOKUP(tblValidation[[#This Row],[TargetID]],tblTargets[TargetID],tblTargets[TargetType],"")</f>
        <v>STATE</v>
      </c>
      <c r="C501" s="48" t="b">
        <f ca="1">COUNTIF(tblTargets[TargetID], $A501) &gt; 0</f>
        <v>1</v>
      </c>
      <c r="D501" s="48" t="b">
        <f ca="1">IF(OR(LEFT(tblValidation[[#This Row],[TargetID]],10)="state.CHAR",RIGHT(tblValidation[[#This Row],[TargetID]],5)="maxed"),TRUE, COUNTIF(tblChecklist[TargetID], $A501) &gt; 0)</f>
        <v>1</v>
      </c>
      <c r="E5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$A501) &gt; 0)</f>
        <v>1</v>
      </c>
      <c r="F501" s="48" t="b">
        <f ca="1">COUNTIF(tblDependencies[DependencyID], $A501) &gt; 0</f>
        <v>0</v>
      </c>
      <c r="G501" s="48" t="b">
        <f ca="1">COUNTIF(tblQuestObjectives[QuestTargetID], $A501) &gt; 0</f>
        <v>0</v>
      </c>
      <c r="H501" s="48" t="b">
        <f ca="1">COUNTIF(tblQuestObjectives[ObjectiveID], $A501) &gt; 0</f>
        <v>1</v>
      </c>
      <c r="I501" s="48" t="b">
        <f ca="1">COUNTIF(tblTargetStatus[TargetID], $A501) &gt; 0</f>
        <v>1</v>
      </c>
      <c r="J501" s="48" t="b">
        <f ca="1">COUNTIF(tblCost[TargetID], $A501) &gt; 0</f>
        <v>0</v>
      </c>
      <c r="K501" s="48" t="b">
        <f ca="1">COUNTIF(tblStates[StateID], $A501) &gt; 0</f>
        <v>1</v>
      </c>
      <c r="L501" s="48" t="b">
        <f t="shared" ca="1" si="15"/>
        <v>1</v>
      </c>
      <c r="M501" s="48" t="b">
        <f ca="1">IF(tblValidation[[#This Row],[TargetID]]="","",COUNTIF(tblTargets[TargetID],A501)&gt;1)</f>
        <v>0</v>
      </c>
      <c r="N501" s="48" t="b">
        <f ca="1">IF(tblValidation[[#This Row],[TargetID]]="","",COUNTIF(tblStates[StateID],tblValidation[[#This Row],[TargetID]])&gt;1)</f>
        <v>0</v>
      </c>
      <c r="O501" s="48" t="b" cm="1">
        <f t="array" aca="1" ref="O5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1" s="48"/>
      <c r="R501" s="48"/>
      <c r="S501" s="48"/>
      <c r="T501" s="48"/>
      <c r="V501" s="2" t="str">
        <f ca="1"/>
        <v>state.obtain_sword4</v>
      </c>
      <c r="X501" s="2" t="str">
        <f ca="1"/>
        <v>state.obtain_sword4</v>
      </c>
      <c r="Y501" s="2" t="str">
        <f ca="1"/>
        <v>tech.food_stall.quintessence_of_taste</v>
      </c>
      <c r="Z501" s="2" t="str">
        <f ca="1"/>
        <v>tech.alchemists_hut.potion_of_healing_lvl_2</v>
      </c>
      <c r="AD501" s="2" t="str">
        <f ca="1"/>
        <v>state.obtain_sword4</v>
      </c>
    </row>
    <row r="502" spans="1:30">
      <c r="A502" t="str">
        <f t="shared" ca="1" si="14"/>
        <v>state.obtain_sword4+</v>
      </c>
      <c r="B502" t="str">
        <f ca="1">_xlfn.XLOOKUP(tblValidation[[#This Row],[TargetID]],tblTargets[TargetID],tblTargets[TargetType],"")</f>
        <v>STATE</v>
      </c>
      <c r="C502" s="48" t="b">
        <f ca="1">COUNTIF(tblTargets[TargetID], $A502) &gt; 0</f>
        <v>1</v>
      </c>
      <c r="D502" s="48" t="b">
        <f ca="1">IF(OR(LEFT(tblValidation[[#This Row],[TargetID]],10)="state.CHAR",RIGHT(tblValidation[[#This Row],[TargetID]],5)="maxed"),TRUE, COUNTIF(tblChecklist[TargetID], $A502) &gt; 0)</f>
        <v>1</v>
      </c>
      <c r="E5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$A502) &gt; 0)</f>
        <v>1</v>
      </c>
      <c r="F502" s="48" t="b">
        <f ca="1">COUNTIF(tblDependencies[DependencyID], $A502) &gt; 0</f>
        <v>0</v>
      </c>
      <c r="G502" s="48" t="b">
        <f ca="1">COUNTIF(tblQuestObjectives[QuestTargetID], $A502) &gt; 0</f>
        <v>0</v>
      </c>
      <c r="H502" s="48" t="b">
        <f ca="1">COUNTIF(tblQuestObjectives[ObjectiveID], $A502) &gt; 0</f>
        <v>1</v>
      </c>
      <c r="I502" s="48" t="b">
        <f ca="1">COUNTIF(tblTargetStatus[TargetID], $A502) &gt; 0</f>
        <v>1</v>
      </c>
      <c r="J502" s="48" t="b">
        <f ca="1">COUNTIF(tblCost[TargetID], $A502) &gt; 0</f>
        <v>0</v>
      </c>
      <c r="K502" s="48" t="b">
        <f ca="1">COUNTIF(tblStates[StateID], $A502) &gt; 0</f>
        <v>1</v>
      </c>
      <c r="L502" s="48" t="b">
        <f t="shared" ca="1" si="15"/>
        <v>1</v>
      </c>
      <c r="M502" s="48" t="b">
        <f ca="1">IF(tblValidation[[#This Row],[TargetID]]="","",COUNTIF(tblTargets[TargetID],A502)&gt;1)</f>
        <v>0</v>
      </c>
      <c r="N502" s="48" t="b">
        <f ca="1">IF(tblValidation[[#This Row],[TargetID]]="","",COUNTIF(tblStates[StateID],tblValidation[[#This Row],[TargetID]])&gt;1)</f>
        <v>0</v>
      </c>
      <c r="O502" s="48" t="b" cm="1">
        <f t="array" aca="1" ref="O5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2" s="48"/>
      <c r="R502" s="48"/>
      <c r="S502" s="48"/>
      <c r="T502" s="48"/>
      <c r="V502" s="2" t="str">
        <f ca="1"/>
        <v>state.obtain_sword4+</v>
      </c>
      <c r="X502" s="2" t="str">
        <f ca="1"/>
        <v>state.obtain_sword4+</v>
      </c>
      <c r="Y502" s="2" t="str">
        <f ca="1"/>
        <v>tech.furnace.conveyor</v>
      </c>
      <c r="Z502" s="2" t="str">
        <f ca="1"/>
        <v>tech.alchemists_hut.potion_of_mental_power</v>
      </c>
      <c r="AD502" s="2" t="str">
        <f ca="1"/>
        <v>state.obtain_sword4+</v>
      </c>
    </row>
    <row r="503" spans="1:30">
      <c r="A503" t="str">
        <f t="shared" ca="1" si="14"/>
        <v>state.obtain_titanium</v>
      </c>
      <c r="B503" t="str">
        <f ca="1">_xlfn.XLOOKUP(tblValidation[[#This Row],[TargetID]],tblTargets[TargetID],tblTargets[TargetType],"")</f>
        <v>STATE</v>
      </c>
      <c r="C503" s="48" t="b">
        <f ca="1">COUNTIF(tblTargets[TargetID], $A503) &gt; 0</f>
        <v>1</v>
      </c>
      <c r="D503" s="48" t="b">
        <f ca="1">IF(OR(LEFT(tblValidation[[#This Row],[TargetID]],10)="state.CHAR",RIGHT(tblValidation[[#This Row],[TargetID]],5)="maxed"),TRUE, COUNTIF(tblChecklist[TargetID], $A503) &gt; 0)</f>
        <v>1</v>
      </c>
      <c r="E5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$A503) &gt; 0)</f>
        <v>1</v>
      </c>
      <c r="F503" s="48" t="b">
        <f ca="1">COUNTIF(tblDependencies[DependencyID], $A503) &gt; 0</f>
        <v>0</v>
      </c>
      <c r="G503" s="48" t="b">
        <f ca="1">COUNTIF(tblQuestObjectives[QuestTargetID], $A503) &gt; 0</f>
        <v>0</v>
      </c>
      <c r="H503" s="48" t="b">
        <f ca="1">COUNTIF(tblQuestObjectives[ObjectiveID], $A503) &gt; 0</f>
        <v>1</v>
      </c>
      <c r="I503" s="48" t="b">
        <f ca="1">COUNTIF(tblTargetStatus[TargetID], $A503) &gt; 0</f>
        <v>1</v>
      </c>
      <c r="J503" s="48" t="b">
        <f ca="1">COUNTIF(tblCost[TargetID], $A503) &gt; 0</f>
        <v>0</v>
      </c>
      <c r="K503" s="48" t="b">
        <f ca="1">COUNTIF(tblStates[StateID], $A503) &gt; 0</f>
        <v>1</v>
      </c>
      <c r="L503" s="48" t="b">
        <f t="shared" ca="1" si="15"/>
        <v>1</v>
      </c>
      <c r="M503" s="48" t="b">
        <f ca="1">IF(tblValidation[[#This Row],[TargetID]]="","",COUNTIF(tblTargets[TargetID],A503)&gt;1)</f>
        <v>0</v>
      </c>
      <c r="N503" s="48" t="b">
        <f ca="1">IF(tblValidation[[#This Row],[TargetID]]="","",COUNTIF(tblStates[StateID],tblValidation[[#This Row],[TargetID]])&gt;1)</f>
        <v>0</v>
      </c>
      <c r="O503" s="48" t="b" cm="1">
        <f t="array" aca="1" ref="O5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3" s="48"/>
      <c r="R503" s="48"/>
      <c r="S503" s="48"/>
      <c r="T503" s="48"/>
      <c r="V503" s="2" t="str">
        <f ca="1"/>
        <v>state.obtain_titanium</v>
      </c>
      <c r="X503" s="2" t="str">
        <f ca="1"/>
        <v>state.obtain_titanium</v>
      </c>
      <c r="Y503" s="2" t="str">
        <f ca="1"/>
        <v>tech.furnace.glass</v>
      </c>
      <c r="Z503" s="2" t="str">
        <f ca="1"/>
        <v>tech.alchemists_hut.synthetic_fertilizer</v>
      </c>
      <c r="AD503" s="2" t="str">
        <f ca="1"/>
        <v>state.obtain_titanium</v>
      </c>
    </row>
    <row r="504" spans="1:30">
      <c r="A504" t="str">
        <f t="shared" ca="1" si="14"/>
        <v>state.obtain_treasure</v>
      </c>
      <c r="B504" t="str">
        <f ca="1">_xlfn.XLOOKUP(tblValidation[[#This Row],[TargetID]],tblTargets[TargetID],tblTargets[TargetType],"")</f>
        <v>STATE</v>
      </c>
      <c r="C504" s="48" t="b">
        <f ca="1">COUNTIF(tblTargets[TargetID], $A504) &gt; 0</f>
        <v>1</v>
      </c>
      <c r="D504" s="48" t="b">
        <f ca="1">IF(OR(LEFT(tblValidation[[#This Row],[TargetID]],10)="state.CHAR",RIGHT(tblValidation[[#This Row],[TargetID]],5)="maxed"),TRUE, COUNTIF(tblChecklist[TargetID], $A504) &gt; 0)</f>
        <v>1</v>
      </c>
      <c r="E5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$A504) &gt; 0)</f>
        <v>1</v>
      </c>
      <c r="F504" s="48" t="b">
        <f ca="1">COUNTIF(tblDependencies[DependencyID], $A504) &gt; 0</f>
        <v>0</v>
      </c>
      <c r="G504" s="48" t="b">
        <f ca="1">COUNTIF(tblQuestObjectives[QuestTargetID], $A504) &gt; 0</f>
        <v>0</v>
      </c>
      <c r="H504" s="48" t="b">
        <f ca="1">COUNTIF(tblQuestObjectives[ObjectiveID], $A504) &gt; 0</f>
        <v>1</v>
      </c>
      <c r="I504" s="48" t="b">
        <f ca="1">COUNTIF(tblTargetStatus[TargetID], $A504) &gt; 0</f>
        <v>1</v>
      </c>
      <c r="J504" s="48" t="b">
        <f ca="1">COUNTIF(tblCost[TargetID], $A504) &gt; 0</f>
        <v>0</v>
      </c>
      <c r="K504" s="48" t="b">
        <f ca="1">COUNTIF(tblStates[StateID], $A504) &gt; 0</f>
        <v>1</v>
      </c>
      <c r="L504" s="48" t="b">
        <f t="shared" ca="1" si="15"/>
        <v>1</v>
      </c>
      <c r="M504" s="48" t="b">
        <f ca="1">IF(tblValidation[[#This Row],[TargetID]]="","",COUNTIF(tblTargets[TargetID],A504)&gt;1)</f>
        <v>0</v>
      </c>
      <c r="N504" s="48" t="b">
        <f ca="1">IF(tblValidation[[#This Row],[TargetID]]="","",COUNTIF(tblStates[StateID],tblValidation[[#This Row],[TargetID]])&gt;1)</f>
        <v>0</v>
      </c>
      <c r="O504" s="48" t="b" cm="1">
        <f t="array" aca="1" ref="O5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4" s="48"/>
      <c r="R504" s="48"/>
      <c r="S504" s="48"/>
      <c r="T504" s="48"/>
      <c r="V504" s="2" t="str">
        <f ca="1"/>
        <v>state.obtain_treasure</v>
      </c>
      <c r="X504" s="2" t="str">
        <f ca="1"/>
        <v>state.obtain_treasure</v>
      </c>
      <c r="Y504" s="2" t="str">
        <f ca="1"/>
        <v>tech.furnace.meteoric_steel</v>
      </c>
      <c r="Z504" s="2" t="str">
        <f ca="1"/>
        <v>tech.bridge.koi_fish</v>
      </c>
      <c r="AD504" s="2" t="str">
        <f ca="1"/>
        <v>state.obtain_treasure</v>
      </c>
    </row>
    <row r="505" spans="1:30">
      <c r="A505" t="str">
        <f t="shared" ca="1" si="14"/>
        <v>state.visit_aomori</v>
      </c>
      <c r="B505" t="str">
        <f ca="1">_xlfn.XLOOKUP(tblValidation[[#This Row],[TargetID]],tblTargets[TargetID],tblTargets[TargetType],"")</f>
        <v>STATE</v>
      </c>
      <c r="C505" s="48" t="b">
        <f ca="1">COUNTIF(tblTargets[TargetID], $A505) &gt; 0</f>
        <v>1</v>
      </c>
      <c r="D505" s="48" t="b">
        <f ca="1">IF(OR(LEFT(tblValidation[[#This Row],[TargetID]],10)="state.CHAR",RIGHT(tblValidation[[#This Row],[TargetID]],5)="maxed"),TRUE, COUNTIF(tblChecklist[TargetID], $A505) &gt; 0)</f>
        <v>1</v>
      </c>
      <c r="E5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$A505) &gt; 0)</f>
        <v>1</v>
      </c>
      <c r="F505" s="48" t="b">
        <f ca="1">COUNTIF(tblDependencies[DependencyID], $A505) &gt; 0</f>
        <v>0</v>
      </c>
      <c r="G505" s="48" t="b">
        <f ca="1">COUNTIF(tblQuestObjectives[QuestTargetID], $A505) &gt; 0</f>
        <v>0</v>
      </c>
      <c r="H505" s="48" t="b">
        <f ca="1">COUNTIF(tblQuestObjectives[ObjectiveID], $A505) &gt; 0</f>
        <v>1</v>
      </c>
      <c r="I505" s="48" t="b">
        <f ca="1">COUNTIF(tblTargetStatus[TargetID], $A505) &gt; 0</f>
        <v>1</v>
      </c>
      <c r="J505" s="48" t="b">
        <f ca="1">COUNTIF(tblCost[TargetID], $A505) &gt; 0</f>
        <v>0</v>
      </c>
      <c r="K505" s="48" t="b">
        <f ca="1">COUNTIF(tblStates[StateID], $A505) &gt; 0</f>
        <v>1</v>
      </c>
      <c r="L505" s="48" t="b">
        <f t="shared" ca="1" si="15"/>
        <v>1</v>
      </c>
      <c r="M505" s="48" t="b">
        <f ca="1">IF(tblValidation[[#This Row],[TargetID]]="","",COUNTIF(tblTargets[TargetID],A505)&gt;1)</f>
        <v>0</v>
      </c>
      <c r="N505" s="48" t="b">
        <f ca="1">IF(tblValidation[[#This Row],[TargetID]]="","",COUNTIF(tblStates[StateID],tblValidation[[#This Row],[TargetID]])&gt;1)</f>
        <v>0</v>
      </c>
      <c r="O505" s="48" t="b" cm="1">
        <f t="array" aca="1" ref="O5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5" s="48"/>
      <c r="R505" s="48"/>
      <c r="S505" s="48"/>
      <c r="T505" s="48"/>
      <c r="V505" s="2" t="str">
        <f ca="1"/>
        <v>state.visit_aomori</v>
      </c>
      <c r="X505" s="2" t="str">
        <f ca="1"/>
        <v>state.visit_aomori</v>
      </c>
      <c r="Y505" s="2" t="str">
        <f ca="1"/>
        <v>tech.furnace.titanium_parts</v>
      </c>
      <c r="Z505" s="2" t="str">
        <f ca="1"/>
        <v>tech.bridge.salmon_farming</v>
      </c>
      <c r="AD505" s="2" t="str">
        <f ca="1"/>
        <v>state.visit_aomori</v>
      </c>
    </row>
    <row r="506" spans="1:30">
      <c r="A506" t="str">
        <f t="shared" ca="1" si="14"/>
        <v>state.visit_athens</v>
      </c>
      <c r="B506" t="str">
        <f ca="1">_xlfn.XLOOKUP(tblValidation[[#This Row],[TargetID]],tblTargets[TargetID],tblTargets[TargetType],"")</f>
        <v>STATE</v>
      </c>
      <c r="C506" s="48" t="b">
        <f ca="1">COUNTIF(tblTargets[TargetID], $A506) &gt; 0</f>
        <v>1</v>
      </c>
      <c r="D506" s="48" t="b">
        <f ca="1">IF(OR(LEFT(tblValidation[[#This Row],[TargetID]],10)="state.CHAR",RIGHT(tblValidation[[#This Row],[TargetID]],5)="maxed"),TRUE, COUNTIF(tblChecklist[TargetID], $A506) &gt; 0)</f>
        <v>1</v>
      </c>
      <c r="E5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$A506) &gt; 0)</f>
        <v>1</v>
      </c>
      <c r="F506" s="48" t="b">
        <f ca="1">COUNTIF(tblDependencies[DependencyID], $A506) &gt; 0</f>
        <v>0</v>
      </c>
      <c r="G506" s="48" t="b">
        <f ca="1">COUNTIF(tblQuestObjectives[QuestTargetID], $A506) &gt; 0</f>
        <v>0</v>
      </c>
      <c r="H506" s="48" t="b">
        <f ca="1">COUNTIF(tblQuestObjectives[ObjectiveID], $A506) &gt; 0</f>
        <v>1</v>
      </c>
      <c r="I506" s="48" t="b">
        <f ca="1">COUNTIF(tblTargetStatus[TargetID], $A506) &gt; 0</f>
        <v>1</v>
      </c>
      <c r="J506" s="48" t="b">
        <f ca="1">COUNTIF(tblCost[TargetID], $A506) &gt; 0</f>
        <v>0</v>
      </c>
      <c r="K506" s="48" t="b">
        <f ca="1">COUNTIF(tblStates[StateID], $A506) &gt; 0</f>
        <v>1</v>
      </c>
      <c r="L506" s="48" t="b">
        <f t="shared" ca="1" si="15"/>
        <v>1</v>
      </c>
      <c r="M506" s="48" t="b">
        <f ca="1">IF(tblValidation[[#This Row],[TargetID]]="","",COUNTIF(tblTargets[TargetID],A506)&gt;1)</f>
        <v>0</v>
      </c>
      <c r="N506" s="48" t="b">
        <f ca="1">IF(tblValidation[[#This Row],[TargetID]]="","",COUNTIF(tblStates[StateID],tblValidation[[#This Row],[TargetID]])&gt;1)</f>
        <v>0</v>
      </c>
      <c r="O506" s="48" t="b" cm="1">
        <f t="array" aca="1" ref="O5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6" s="48"/>
      <c r="R506" s="48"/>
      <c r="S506" s="48"/>
      <c r="T506" s="48"/>
      <c r="V506" s="2" t="str">
        <f ca="1"/>
        <v>state.visit_athens</v>
      </c>
      <c r="X506" s="2" t="str">
        <f ca="1"/>
        <v>state.visit_athens</v>
      </c>
      <c r="Y506" s="2" t="str">
        <f ca="1"/>
        <v>tech.garden.sprinkler</v>
      </c>
      <c r="Z506" s="2" t="str">
        <f ca="1"/>
        <v>tech.dairy.big_data_farming</v>
      </c>
      <c r="AD506" s="2" t="str">
        <f ca="1"/>
        <v>state.visit_athens</v>
      </c>
    </row>
    <row r="507" spans="1:30">
      <c r="A507" t="str">
        <f t="shared" ca="1" si="14"/>
        <v>state.visit_baghdad</v>
      </c>
      <c r="B507" t="str">
        <f ca="1">_xlfn.XLOOKUP(tblValidation[[#This Row],[TargetID]],tblTargets[TargetID],tblTargets[TargetType],"")</f>
        <v>STATE</v>
      </c>
      <c r="C507" s="48" t="b">
        <f ca="1">COUNTIF(tblTargets[TargetID], $A507) &gt; 0</f>
        <v>1</v>
      </c>
      <c r="D507" s="48" t="b">
        <f ca="1">IF(OR(LEFT(tblValidation[[#This Row],[TargetID]],10)="state.CHAR",RIGHT(tblValidation[[#This Row],[TargetID]],5)="maxed"),TRUE, COUNTIF(tblChecklist[TargetID], $A507) &gt; 0)</f>
        <v>1</v>
      </c>
      <c r="E5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$A507) &gt; 0)</f>
        <v>1</v>
      </c>
      <c r="F507" s="48" t="b">
        <f ca="1">COUNTIF(tblDependencies[DependencyID], $A507) &gt; 0</f>
        <v>0</v>
      </c>
      <c r="G507" s="48" t="b">
        <f ca="1">COUNTIF(tblQuestObjectives[QuestTargetID], $A507) &gt; 0</f>
        <v>0</v>
      </c>
      <c r="H507" s="48" t="b">
        <f ca="1">COUNTIF(tblQuestObjectives[ObjectiveID], $A507) &gt; 0</f>
        <v>1</v>
      </c>
      <c r="I507" s="48" t="b">
        <f ca="1">COUNTIF(tblTargetStatus[TargetID], $A507) &gt; 0</f>
        <v>1</v>
      </c>
      <c r="J507" s="48" t="b">
        <f ca="1">COUNTIF(tblCost[TargetID], $A507) &gt; 0</f>
        <v>0</v>
      </c>
      <c r="K507" s="48" t="b">
        <f ca="1">COUNTIF(tblStates[StateID], $A507) &gt; 0</f>
        <v>1</v>
      </c>
      <c r="L507" s="48" t="b">
        <f t="shared" ca="1" si="15"/>
        <v>1</v>
      </c>
      <c r="M507" s="48" t="b">
        <f ca="1">IF(tblValidation[[#This Row],[TargetID]]="","",COUNTIF(tblTargets[TargetID],A507)&gt;1)</f>
        <v>0</v>
      </c>
      <c r="N507" s="48" t="b">
        <f ca="1">IF(tblValidation[[#This Row],[TargetID]]="","",COUNTIF(tblStates[StateID],tblValidation[[#This Row],[TargetID]])&gt;1)</f>
        <v>0</v>
      </c>
      <c r="O507" s="48" t="b" cm="1">
        <f t="array" aca="1" ref="O5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7" s="48"/>
      <c r="R507" s="48"/>
      <c r="S507" s="48"/>
      <c r="T507" s="48"/>
      <c r="V507" s="2" t="str">
        <f ca="1"/>
        <v>state.visit_baghdad</v>
      </c>
      <c r="X507" s="2" t="str">
        <f ca="1"/>
        <v>state.visit_baghdad</v>
      </c>
      <c r="Y507" s="2" t="str">
        <f ca="1"/>
        <v>tech.laboratory.digitization</v>
      </c>
      <c r="Z507" s="2" t="str">
        <f ca="1"/>
        <v>tech.dairy.classical_music_for_the_farm</v>
      </c>
      <c r="AD507" s="2" t="str">
        <f ca="1"/>
        <v>state.visit_baghdad</v>
      </c>
    </row>
    <row r="508" spans="1:30">
      <c r="A508" t="str">
        <f t="shared" ca="1" si="14"/>
        <v>state.visit_beijing</v>
      </c>
      <c r="B508" t="str">
        <f ca="1">_xlfn.XLOOKUP(tblValidation[[#This Row],[TargetID]],tblTargets[TargetID],tblTargets[TargetType],"")</f>
        <v>STATE</v>
      </c>
      <c r="C508" s="48" t="b">
        <f ca="1">COUNTIF(tblTargets[TargetID], $A508) &gt; 0</f>
        <v>1</v>
      </c>
      <c r="D508" s="48" t="b">
        <f ca="1">IF(OR(LEFT(tblValidation[[#This Row],[TargetID]],10)="state.CHAR",RIGHT(tblValidation[[#This Row],[TargetID]],5)="maxed"),TRUE, COUNTIF(tblChecklist[TargetID], $A508) &gt; 0)</f>
        <v>1</v>
      </c>
      <c r="E5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$A508) &gt; 0)</f>
        <v>1</v>
      </c>
      <c r="F508" s="48" t="b">
        <f ca="1">COUNTIF(tblDependencies[DependencyID], $A508) &gt; 0</f>
        <v>0</v>
      </c>
      <c r="G508" s="48" t="b">
        <f ca="1">COUNTIF(tblQuestObjectives[QuestTargetID], $A508) &gt; 0</f>
        <v>0</v>
      </c>
      <c r="H508" s="48" t="b">
        <f ca="1">COUNTIF(tblQuestObjectives[ObjectiveID], $A508) &gt; 0</f>
        <v>1</v>
      </c>
      <c r="I508" s="48" t="b">
        <f ca="1">COUNTIF(tblTargetStatus[TargetID], $A508) &gt; 0</f>
        <v>1</v>
      </c>
      <c r="J508" s="48" t="b">
        <f ca="1">COUNTIF(tblCost[TargetID], $A508) &gt; 0</f>
        <v>0</v>
      </c>
      <c r="K508" s="48" t="b">
        <f ca="1">COUNTIF(tblStates[StateID], $A508) &gt; 0</f>
        <v>1</v>
      </c>
      <c r="L508" s="48" t="b">
        <f t="shared" ca="1" si="15"/>
        <v>1</v>
      </c>
      <c r="M508" s="48" t="b">
        <f ca="1">IF(tblValidation[[#This Row],[TargetID]]="","",COUNTIF(tblTargets[TargetID],A508)&gt;1)</f>
        <v>0</v>
      </c>
      <c r="N508" s="48" t="b">
        <f ca="1">IF(tblValidation[[#This Row],[TargetID]]="","",COUNTIF(tblStates[StateID],tblValidation[[#This Row],[TargetID]])&gt;1)</f>
        <v>0</v>
      </c>
      <c r="O508" s="48" t="b" cm="1">
        <f t="array" aca="1" ref="O5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8" s="48"/>
      <c r="R508" s="48"/>
      <c r="S508" s="48"/>
      <c r="T508" s="48"/>
      <c r="V508" s="2" t="str">
        <f ca="1"/>
        <v>state.visit_beijing</v>
      </c>
      <c r="X508" s="2" t="str">
        <f ca="1"/>
        <v>state.visit_beijing</v>
      </c>
      <c r="Y508" s="2" t="str">
        <f ca="1"/>
        <v>tech.laboratory.experiments</v>
      </c>
      <c r="Z508" s="2" t="str">
        <f ca="1"/>
        <v>tech.dungeon.great_hall</v>
      </c>
      <c r="AD508" s="2" t="str">
        <f ca="1"/>
        <v>state.visit_beijing</v>
      </c>
    </row>
    <row r="509" spans="1:30">
      <c r="A509" t="str">
        <f t="shared" ca="1" si="14"/>
        <v>state.visit_cairo</v>
      </c>
      <c r="B509" t="str">
        <f ca="1">_xlfn.XLOOKUP(tblValidation[[#This Row],[TargetID]],tblTargets[TargetID],tblTargets[TargetType],"")</f>
        <v>STATE</v>
      </c>
      <c r="C509" s="48" t="b">
        <f ca="1">COUNTIF(tblTargets[TargetID], $A509) &gt; 0</f>
        <v>1</v>
      </c>
      <c r="D509" s="48" t="b">
        <f ca="1">IF(OR(LEFT(tblValidation[[#This Row],[TargetID]],10)="state.CHAR",RIGHT(tblValidation[[#This Row],[TargetID]],5)="maxed"),TRUE, COUNTIF(tblChecklist[TargetID], $A509) &gt; 0)</f>
        <v>1</v>
      </c>
      <c r="E5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$A509) &gt; 0)</f>
        <v>1</v>
      </c>
      <c r="F509" s="48" t="b">
        <f ca="1">COUNTIF(tblDependencies[DependencyID], $A509) &gt; 0</f>
        <v>0</v>
      </c>
      <c r="G509" s="48" t="b">
        <f ca="1">COUNTIF(tblQuestObjectives[QuestTargetID], $A509) &gt; 0</f>
        <v>0</v>
      </c>
      <c r="H509" s="48" t="b">
        <f ca="1">COUNTIF(tblQuestObjectives[ObjectiveID], $A509) &gt; 0</f>
        <v>1</v>
      </c>
      <c r="I509" s="48" t="b">
        <f ca="1">COUNTIF(tblTargetStatus[TargetID], $A509) &gt; 0</f>
        <v>1</v>
      </c>
      <c r="J509" s="48" t="b">
        <f ca="1">COUNTIF(tblCost[TargetID], $A509) &gt; 0</f>
        <v>0</v>
      </c>
      <c r="K509" s="48" t="b">
        <f ca="1">COUNTIF(tblStates[StateID], $A509) &gt; 0</f>
        <v>1</v>
      </c>
      <c r="L509" s="48" t="b">
        <f t="shared" ca="1" si="15"/>
        <v>1</v>
      </c>
      <c r="M509" s="48" t="b">
        <f ca="1">IF(tblValidation[[#This Row],[TargetID]]="","",COUNTIF(tblTargets[TargetID],A509)&gt;1)</f>
        <v>0</v>
      </c>
      <c r="N509" s="48" t="b">
        <f ca="1">IF(tblValidation[[#This Row],[TargetID]]="","",COUNTIF(tblStates[StateID],tblValidation[[#This Row],[TargetID]])&gt;1)</f>
        <v>0</v>
      </c>
      <c r="O509" s="48" t="b" cm="1">
        <f t="array" aca="1" ref="O5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9" s="48"/>
      <c r="R509" s="48"/>
      <c r="S509" s="48"/>
      <c r="T509" s="48"/>
      <c r="V509" s="2" t="str">
        <f ca="1"/>
        <v>state.visit_cairo</v>
      </c>
      <c r="X509" s="2" t="str">
        <f ca="1"/>
        <v>state.visit_cairo</v>
      </c>
      <c r="Y509" s="2" t="str">
        <f ca="1"/>
        <v>tech.laboratory.research_and_development</v>
      </c>
      <c r="Z509" s="2" t="str">
        <f ca="1"/>
        <v>tech.fermentory.pasteurization</v>
      </c>
      <c r="AD509" s="2" t="str">
        <f ca="1"/>
        <v>state.visit_cairo</v>
      </c>
    </row>
    <row r="510" spans="1:30">
      <c r="A510" t="str">
        <f t="shared" ca="1" si="14"/>
        <v>state.visit_delhi</v>
      </c>
      <c r="B510" t="str">
        <f ca="1">_xlfn.XLOOKUP(tblValidation[[#This Row],[TargetID]],tblTargets[TargetID],tblTargets[TargetType],"")</f>
        <v>STATE</v>
      </c>
      <c r="C510" s="48" t="b">
        <f ca="1">COUNTIF(tblTargets[TargetID], $A510) &gt; 0</f>
        <v>1</v>
      </c>
      <c r="D510" s="48" t="b">
        <f ca="1">IF(OR(LEFT(tblValidation[[#This Row],[TargetID]],10)="state.CHAR",RIGHT(tblValidation[[#This Row],[TargetID]],5)="maxed"),TRUE, COUNTIF(tblChecklist[TargetID], $A510) &gt; 0)</f>
        <v>1</v>
      </c>
      <c r="E5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$A510) &gt; 0)</f>
        <v>1</v>
      </c>
      <c r="F510" s="48" t="b">
        <f ca="1">COUNTIF(tblDependencies[DependencyID], $A510) &gt; 0</f>
        <v>0</v>
      </c>
      <c r="G510" s="48" t="b">
        <f ca="1">COUNTIF(tblQuestObjectives[QuestTargetID], $A510) &gt; 0</f>
        <v>0</v>
      </c>
      <c r="H510" s="48" t="b">
        <f ca="1">COUNTIF(tblQuestObjectives[ObjectiveID], $A510) &gt; 0</f>
        <v>1</v>
      </c>
      <c r="I510" s="48" t="b">
        <f ca="1">COUNTIF(tblTargetStatus[TargetID], $A510) &gt; 0</f>
        <v>1</v>
      </c>
      <c r="J510" s="48" t="b">
        <f ca="1">COUNTIF(tblCost[TargetID], $A510) &gt; 0</f>
        <v>0</v>
      </c>
      <c r="K510" s="48" t="b">
        <f ca="1">COUNTIF(tblStates[StateID], $A510) &gt; 0</f>
        <v>1</v>
      </c>
      <c r="L510" s="48" t="b">
        <f t="shared" ca="1" si="15"/>
        <v>1</v>
      </c>
      <c r="M510" s="48" t="b">
        <f ca="1">IF(tblValidation[[#This Row],[TargetID]]="","",COUNTIF(tblTargets[TargetID],A510)&gt;1)</f>
        <v>0</v>
      </c>
      <c r="N510" s="48" t="b">
        <f ca="1">IF(tblValidation[[#This Row],[TargetID]]="","",COUNTIF(tblStates[StateID],tblValidation[[#This Row],[TargetID]])&gt;1)</f>
        <v>0</v>
      </c>
      <c r="O510" s="48" t="b" cm="1">
        <f t="array" aca="1" ref="O5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0" s="48"/>
      <c r="R510" s="48"/>
      <c r="S510" s="48"/>
      <c r="T510" s="48"/>
      <c r="V510" s="2" t="str">
        <f ca="1"/>
        <v>state.visit_delhi</v>
      </c>
      <c r="X510" s="2" t="str">
        <f ca="1"/>
        <v>state.visit_delhi</v>
      </c>
      <c r="Y510" s="2" t="str">
        <f ca="1"/>
        <v>tech.outpost.arsenal_lvl_1</v>
      </c>
      <c r="Z510" s="2" t="str">
        <f ca="1"/>
        <v>tech.field.combine_harvester</v>
      </c>
      <c r="AD510" s="2" t="str">
        <f ca="1"/>
        <v>state.visit_delhi</v>
      </c>
    </row>
    <row r="511" spans="1:30">
      <c r="A511" t="str">
        <f t="shared" ca="1" si="14"/>
        <v>state.visit_dungeon@4a</v>
      </c>
      <c r="B511" t="str">
        <f ca="1">_xlfn.XLOOKUP(tblValidation[[#This Row],[TargetID]],tblTargets[TargetID],tblTargets[TargetType],"")</f>
        <v>STATE</v>
      </c>
      <c r="C511" s="48" t="b">
        <f ca="1">COUNTIF(tblTargets[TargetID], $A511) &gt; 0</f>
        <v>1</v>
      </c>
      <c r="D511" s="48" t="b">
        <f ca="1">IF(OR(LEFT(tblValidation[[#This Row],[TargetID]],10)="state.CHAR",RIGHT(tblValidation[[#This Row],[TargetID]],5)="maxed"),TRUE, COUNTIF(tblChecklist[TargetID], $A511) &gt; 0)</f>
        <v>1</v>
      </c>
      <c r="E5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$A511) &gt; 0)</f>
        <v>1</v>
      </c>
      <c r="F511" s="48" t="b">
        <f ca="1">COUNTIF(tblDependencies[DependencyID], $A511) &gt; 0</f>
        <v>1</v>
      </c>
      <c r="G511" s="48" t="b">
        <f ca="1">COUNTIF(tblQuestObjectives[QuestTargetID], $A511) &gt; 0</f>
        <v>0</v>
      </c>
      <c r="H511" s="48" t="b">
        <f ca="1">COUNTIF(tblQuestObjectives[ObjectiveID], $A511) &gt; 0</f>
        <v>0</v>
      </c>
      <c r="I511" s="48" t="b">
        <f ca="1">COUNTIF(tblTargetStatus[TargetID], $A511) &gt; 0</f>
        <v>1</v>
      </c>
      <c r="J511" s="48" t="b">
        <f ca="1">COUNTIF(tblCost[TargetID], $A511) &gt; 0</f>
        <v>0</v>
      </c>
      <c r="K511" s="48" t="b">
        <f ca="1">COUNTIF(tblStates[StateID], $A511) &gt; 0</f>
        <v>1</v>
      </c>
      <c r="L511" s="48" t="b">
        <f t="shared" ca="1" si="15"/>
        <v>1</v>
      </c>
      <c r="M511" s="48" t="b">
        <f ca="1">IF(tblValidation[[#This Row],[TargetID]]="","",COUNTIF(tblTargets[TargetID],A511)&gt;1)</f>
        <v>0</v>
      </c>
      <c r="N511" s="48" t="b">
        <f ca="1">IF(tblValidation[[#This Row],[TargetID]]="","",COUNTIF(tblStates[StateID],tblValidation[[#This Row],[TargetID]])&gt;1)</f>
        <v>0</v>
      </c>
      <c r="O511" s="48" t="b" cm="1">
        <f t="array" aca="1" ref="O5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1" s="48"/>
      <c r="R511" s="48"/>
      <c r="S511" s="48"/>
      <c r="T511" s="48"/>
      <c r="V511" s="2" t="str">
        <f ca="1"/>
        <v>state.visit_dungeon@4a</v>
      </c>
      <c r="X511" s="2" t="str">
        <f ca="1"/>
        <v>state.visit_dungeon@4a</v>
      </c>
      <c r="Y511" s="2" t="str">
        <f ca="1"/>
        <v>tech.outpost.arsenal_lvl_2</v>
      </c>
      <c r="Z511" s="2" t="str">
        <f ca="1"/>
        <v>tech.field.seed_drill</v>
      </c>
      <c r="AD511" s="2" t="str">
        <f ca="1"/>
        <v>state.visit_dungeon@4a</v>
      </c>
    </row>
    <row r="512" spans="1:30">
      <c r="A512" t="str">
        <f t="shared" ca="1" si="14"/>
        <v>state.visit_dungeon@5a</v>
      </c>
      <c r="B512" t="str">
        <f ca="1">_xlfn.XLOOKUP(tblValidation[[#This Row],[TargetID]],tblTargets[TargetID],tblTargets[TargetType],"")</f>
        <v>STATE</v>
      </c>
      <c r="C512" s="48" t="b">
        <f ca="1">COUNTIF(tblTargets[TargetID], $A512) &gt; 0</f>
        <v>1</v>
      </c>
      <c r="D512" s="48" t="b">
        <f ca="1">IF(OR(LEFT(tblValidation[[#This Row],[TargetID]],10)="state.CHAR",RIGHT(tblValidation[[#This Row],[TargetID]],5)="maxed"),TRUE, COUNTIF(tblChecklist[TargetID], $A512) &gt; 0)</f>
        <v>1</v>
      </c>
      <c r="E5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$A512) &gt; 0)</f>
        <v>1</v>
      </c>
      <c r="F512" s="48" t="b">
        <f ca="1">COUNTIF(tblDependencies[DependencyID], $A512) &gt; 0</f>
        <v>1</v>
      </c>
      <c r="G512" s="48" t="b">
        <f ca="1">COUNTIF(tblQuestObjectives[QuestTargetID], $A512) &gt; 0</f>
        <v>0</v>
      </c>
      <c r="H512" s="48" t="b">
        <f ca="1">COUNTIF(tblQuestObjectives[ObjectiveID], $A512) &gt; 0</f>
        <v>0</v>
      </c>
      <c r="I512" s="48" t="b">
        <f ca="1">COUNTIF(tblTargetStatus[TargetID], $A512) &gt; 0</f>
        <v>1</v>
      </c>
      <c r="J512" s="48" t="b">
        <f ca="1">COUNTIF(tblCost[TargetID], $A512) &gt; 0</f>
        <v>0</v>
      </c>
      <c r="K512" s="48" t="b">
        <f ca="1">COUNTIF(tblStates[StateID], $A512) &gt; 0</f>
        <v>1</v>
      </c>
      <c r="L512" s="48" t="b">
        <f t="shared" ca="1" si="15"/>
        <v>1</v>
      </c>
      <c r="M512" s="48" t="b">
        <f ca="1">IF(tblValidation[[#This Row],[TargetID]]="","",COUNTIF(tblTargets[TargetID],A512)&gt;1)</f>
        <v>0</v>
      </c>
      <c r="N512" s="48" t="b">
        <f ca="1">IF(tblValidation[[#This Row],[TargetID]]="","",COUNTIF(tblStates[StateID],tblValidation[[#This Row],[TargetID]])&gt;1)</f>
        <v>0</v>
      </c>
      <c r="O512" s="48" t="b" cm="1">
        <f t="array" aca="1" ref="O5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2" s="48"/>
      <c r="R512" s="48"/>
      <c r="S512" s="48"/>
      <c r="T512" s="48"/>
      <c r="V512" s="2" t="str">
        <f ca="1"/>
        <v>state.visit_dungeon@5a</v>
      </c>
      <c r="X512" s="2" t="str">
        <f ca="1"/>
        <v>state.visit_dungeon@5a</v>
      </c>
      <c r="Y512" s="2" t="str">
        <f ca="1"/>
        <v>tech.outpost.futures_contracts</v>
      </c>
      <c r="Z512" s="2" t="str">
        <f ca="1"/>
        <v>tech.field.soybean</v>
      </c>
      <c r="AD512" s="2" t="str">
        <f ca="1"/>
        <v>state.visit_dungeon@5a</v>
      </c>
    </row>
    <row r="513" spans="1:30">
      <c r="A513" t="str">
        <f t="shared" ca="1" si="14"/>
        <v>state.visit_dungeon@6a</v>
      </c>
      <c r="B513" t="str">
        <f ca="1">_xlfn.XLOOKUP(tblValidation[[#This Row],[TargetID]],tblTargets[TargetID],tblTargets[TargetType],"")</f>
        <v>STATE</v>
      </c>
      <c r="C513" s="48" t="b">
        <f ca="1">COUNTIF(tblTargets[TargetID], $A513) &gt; 0</f>
        <v>1</v>
      </c>
      <c r="D513" s="48" t="b">
        <f ca="1">IF(OR(LEFT(tblValidation[[#This Row],[TargetID]],10)="state.CHAR",RIGHT(tblValidation[[#This Row],[TargetID]],5)="maxed"),TRUE, COUNTIF(tblChecklist[TargetID], $A513) &gt; 0)</f>
        <v>1</v>
      </c>
      <c r="E5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$A513) &gt; 0)</f>
        <v>1</v>
      </c>
      <c r="F513" s="48" t="b">
        <f ca="1">COUNTIF(tblDependencies[DependencyID], $A513) &gt; 0</f>
        <v>1</v>
      </c>
      <c r="G513" s="48" t="b">
        <f ca="1">COUNTIF(tblQuestObjectives[QuestTargetID], $A513) &gt; 0</f>
        <v>0</v>
      </c>
      <c r="H513" s="48" t="b">
        <f ca="1">COUNTIF(tblQuestObjectives[ObjectiveID], $A513) &gt; 0</f>
        <v>0</v>
      </c>
      <c r="I513" s="48" t="b">
        <f ca="1">COUNTIF(tblTargetStatus[TargetID], $A513) &gt; 0</f>
        <v>1</v>
      </c>
      <c r="J513" s="48" t="b">
        <f ca="1">COUNTIF(tblCost[TargetID], $A513) &gt; 0</f>
        <v>0</v>
      </c>
      <c r="K513" s="48" t="b">
        <f ca="1">COUNTIF(tblStates[StateID], $A513) &gt; 0</f>
        <v>1</v>
      </c>
      <c r="L513" s="48" t="b">
        <f t="shared" ca="1" si="15"/>
        <v>1</v>
      </c>
      <c r="M513" s="48" t="b">
        <f ca="1">IF(tblValidation[[#This Row],[TargetID]]="","",COUNTIF(tblTargets[TargetID],A513)&gt;1)</f>
        <v>0</v>
      </c>
      <c r="N513" s="48" t="b">
        <f ca="1">IF(tblValidation[[#This Row],[TargetID]]="","",COUNTIF(tblStates[StateID],tblValidation[[#This Row],[TargetID]])&gt;1)</f>
        <v>0</v>
      </c>
      <c r="O513" s="48" t="b" cm="1">
        <f t="array" aca="1" ref="O5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3" s="48"/>
      <c r="R513" s="48"/>
      <c r="S513" s="48"/>
      <c r="T513" s="48"/>
      <c r="V513" s="2" t="str">
        <f ca="1"/>
        <v>state.visit_dungeon@6a</v>
      </c>
      <c r="X513" s="2" t="str">
        <f ca="1"/>
        <v>state.visit_dungeon@6a</v>
      </c>
      <c r="Y513" s="2" t="str">
        <f ca="1"/>
        <v>tech.outpost.optional_contracts</v>
      </c>
      <c r="Z513" s="2" t="str">
        <f ca="1"/>
        <v>tech.food_stall.conveyor_belt_sushi</v>
      </c>
      <c r="AD513" s="2" t="str">
        <f ca="1"/>
        <v>state.visit_dungeon@6a</v>
      </c>
    </row>
    <row r="514" spans="1:30">
      <c r="A514" t="str">
        <f t="shared" ref="A514:A577" ca="1" si="16">IF(OR(V514=0,V514=""),"",V514)</f>
        <v>state.visit_fukushima</v>
      </c>
      <c r="B514" t="str">
        <f ca="1">_xlfn.XLOOKUP(tblValidation[[#This Row],[TargetID]],tblTargets[TargetID],tblTargets[TargetType],"")</f>
        <v>STATE</v>
      </c>
      <c r="C514" s="48" t="b">
        <f ca="1">COUNTIF(tblTargets[TargetID], $A514) &gt; 0</f>
        <v>1</v>
      </c>
      <c r="D514" s="48" t="b">
        <f ca="1">IF(OR(LEFT(tblValidation[[#This Row],[TargetID]],10)="state.CHAR",RIGHT(tblValidation[[#This Row],[TargetID]],5)="maxed"),TRUE, COUNTIF(tblChecklist[TargetID], $A514) &gt; 0)</f>
        <v>1</v>
      </c>
      <c r="E5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$A514) &gt; 0)</f>
        <v>1</v>
      </c>
      <c r="F514" s="48" t="b">
        <f ca="1">COUNTIF(tblDependencies[DependencyID], $A514) &gt; 0</f>
        <v>0</v>
      </c>
      <c r="G514" s="48" t="b">
        <f ca="1">COUNTIF(tblQuestObjectives[QuestTargetID], $A514) &gt; 0</f>
        <v>0</v>
      </c>
      <c r="H514" s="48" t="b">
        <f ca="1">COUNTIF(tblQuestObjectives[ObjectiveID], $A514) &gt; 0</f>
        <v>1</v>
      </c>
      <c r="I514" s="48" t="b">
        <f ca="1">COUNTIF(tblTargetStatus[TargetID], $A514) &gt; 0</f>
        <v>1</v>
      </c>
      <c r="J514" s="48" t="b">
        <f ca="1">COUNTIF(tblCost[TargetID], $A514) &gt; 0</f>
        <v>0</v>
      </c>
      <c r="K514" s="48" t="b">
        <f ca="1">COUNTIF(tblStates[StateID], $A514) &gt; 0</f>
        <v>1</v>
      </c>
      <c r="L514" s="48" t="b">
        <f t="shared" ref="L514:L577" ca="1" si="17">AND(
A514=LOWER(A514),
ISERROR(SEARCH(" ",A514)),
ISERROR(SEARCH("..",A514))
)</f>
        <v>1</v>
      </c>
      <c r="M514" s="48" t="b">
        <f ca="1">IF(tblValidation[[#This Row],[TargetID]]="","",COUNTIF(tblTargets[TargetID],A514)&gt;1)</f>
        <v>0</v>
      </c>
      <c r="N514" s="48" t="b">
        <f ca="1">IF(tblValidation[[#This Row],[TargetID]]="","",COUNTIF(tblStates[StateID],tblValidation[[#This Row],[TargetID]])&gt;1)</f>
        <v>0</v>
      </c>
      <c r="O514" s="48" t="b" cm="1">
        <f t="array" aca="1" ref="O5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4" s="48"/>
      <c r="R514" s="48"/>
      <c r="S514" s="48"/>
      <c r="T514" s="48"/>
      <c r="V514" s="2" t="str">
        <f ca="1"/>
        <v>state.visit_fukushima</v>
      </c>
      <c r="X514" s="2" t="str">
        <f ca="1"/>
        <v>state.visit_fukushima</v>
      </c>
      <c r="Y514" s="2" t="str">
        <f ca="1"/>
        <v>tech.outpost.sayonara_tax</v>
      </c>
      <c r="Z514" s="2" t="str">
        <f ca="1"/>
        <v>tech.food_stall.inarizushi</v>
      </c>
      <c r="AD514" s="2" t="str">
        <f ca="1"/>
        <v>state.visit_fukushima</v>
      </c>
    </row>
    <row r="515" spans="1:30">
      <c r="A515" t="str">
        <f t="shared" ca="1" si="16"/>
        <v>state.visit_kyiv</v>
      </c>
      <c r="B515" t="str">
        <f ca="1">_xlfn.XLOOKUP(tblValidation[[#This Row],[TargetID]],tblTargets[TargetID],tblTargets[TargetType],"")</f>
        <v>STATE</v>
      </c>
      <c r="C515" s="48" t="b">
        <f ca="1">COUNTIF(tblTargets[TargetID], $A515) &gt; 0</f>
        <v>1</v>
      </c>
      <c r="D515" s="48" t="b">
        <f ca="1">IF(OR(LEFT(tblValidation[[#This Row],[TargetID]],10)="state.CHAR",RIGHT(tblValidation[[#This Row],[TargetID]],5)="maxed"),TRUE, COUNTIF(tblChecklist[TargetID], $A515) &gt; 0)</f>
        <v>1</v>
      </c>
      <c r="E5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$A515) &gt; 0)</f>
        <v>1</v>
      </c>
      <c r="F515" s="48" t="b">
        <f ca="1">COUNTIF(tblDependencies[DependencyID], $A515) &gt; 0</f>
        <v>0</v>
      </c>
      <c r="G515" s="48" t="b">
        <f ca="1">COUNTIF(tblQuestObjectives[QuestTargetID], $A515) &gt; 0</f>
        <v>0</v>
      </c>
      <c r="H515" s="48" t="b">
        <f ca="1">COUNTIF(tblQuestObjectives[ObjectiveID], $A515) &gt; 0</f>
        <v>1</v>
      </c>
      <c r="I515" s="48" t="b">
        <f ca="1">COUNTIF(tblTargetStatus[TargetID], $A515) &gt; 0</f>
        <v>1</v>
      </c>
      <c r="J515" s="48" t="b">
        <f ca="1">COUNTIF(tblCost[TargetID], $A515) &gt; 0</f>
        <v>0</v>
      </c>
      <c r="K515" s="48" t="b">
        <f ca="1">COUNTIF(tblStates[StateID], $A515) &gt; 0</f>
        <v>1</v>
      </c>
      <c r="L515" s="48" t="b">
        <f t="shared" ca="1" si="17"/>
        <v>1</v>
      </c>
      <c r="M515" s="48" t="b">
        <f ca="1">IF(tblValidation[[#This Row],[TargetID]]="","",COUNTIF(tblTargets[TargetID],A515)&gt;1)</f>
        <v>0</v>
      </c>
      <c r="N515" s="48" t="b">
        <f ca="1">IF(tblValidation[[#This Row],[TargetID]]="","",COUNTIF(tblStates[StateID],tblValidation[[#This Row],[TargetID]])&gt;1)</f>
        <v>0</v>
      </c>
      <c r="O515" s="48" t="b" cm="1">
        <f t="array" aca="1" ref="O5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5" s="48"/>
      <c r="R515" s="48"/>
      <c r="S515" s="48"/>
      <c r="T515" s="48"/>
      <c r="V515" s="2" t="str">
        <f ca="1"/>
        <v>state.visit_kyiv</v>
      </c>
      <c r="X515" s="2" t="str">
        <f ca="1"/>
        <v>state.visit_kyiv</v>
      </c>
      <c r="Y515" s="2" t="str">
        <f ca="1"/>
        <v>tech.outpost.tax_return_on_floppy_disk</v>
      </c>
      <c r="Z515" s="2" t="str">
        <f ca="1"/>
        <v>tech.food_stall.jam</v>
      </c>
      <c r="AD515" s="2" t="str">
        <f ca="1"/>
        <v>state.visit_kyiv</v>
      </c>
    </row>
    <row r="516" spans="1:30">
      <c r="A516" t="str">
        <f t="shared" ca="1" si="16"/>
        <v>state.visit_kyoto</v>
      </c>
      <c r="B516" t="str">
        <f ca="1">_xlfn.XLOOKUP(tblValidation[[#This Row],[TargetID]],tblTargets[TargetID],tblTargets[TargetType],"")</f>
        <v>STATE</v>
      </c>
      <c r="C516" s="48" t="b">
        <f ca="1">COUNTIF(tblTargets[TargetID], $A516) &gt; 0</f>
        <v>1</v>
      </c>
      <c r="D516" s="48" t="b">
        <f ca="1">IF(OR(LEFT(tblValidation[[#This Row],[TargetID]],10)="state.CHAR",RIGHT(tblValidation[[#This Row],[TargetID]],5)="maxed"),TRUE, COUNTIF(tblChecklist[TargetID], $A516) &gt; 0)</f>
        <v>1</v>
      </c>
      <c r="E5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$A516) &gt; 0)</f>
        <v>1</v>
      </c>
      <c r="F516" s="48" t="b">
        <f ca="1">COUNTIF(tblDependencies[DependencyID], $A516) &gt; 0</f>
        <v>0</v>
      </c>
      <c r="G516" s="48" t="b">
        <f ca="1">COUNTIF(tblQuestObjectives[QuestTargetID], $A516) &gt; 0</f>
        <v>0</v>
      </c>
      <c r="H516" s="48" t="b">
        <f ca="1">COUNTIF(tblQuestObjectives[ObjectiveID], $A516) &gt; 0</f>
        <v>1</v>
      </c>
      <c r="I516" s="48" t="b">
        <f ca="1">COUNTIF(tblTargetStatus[TargetID], $A516) &gt; 0</f>
        <v>1</v>
      </c>
      <c r="J516" s="48" t="b">
        <f ca="1">COUNTIF(tblCost[TargetID], $A516) &gt; 0</f>
        <v>0</v>
      </c>
      <c r="K516" s="48" t="b">
        <f ca="1">COUNTIF(tblStates[StateID], $A516) &gt; 0</f>
        <v>1</v>
      </c>
      <c r="L516" s="48" t="b">
        <f t="shared" ca="1" si="17"/>
        <v>1</v>
      </c>
      <c r="M516" s="48" t="b">
        <f ca="1">IF(tblValidation[[#This Row],[TargetID]]="","",COUNTIF(tblTargets[TargetID],A516)&gt;1)</f>
        <v>0</v>
      </c>
      <c r="N516" s="48" t="b">
        <f ca="1">IF(tblValidation[[#This Row],[TargetID]]="","",COUNTIF(tblStates[StateID],tblValidation[[#This Row],[TargetID]])&gt;1)</f>
        <v>0</v>
      </c>
      <c r="O516" s="48" t="b" cm="1">
        <f t="array" aca="1" ref="O5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6" s="48"/>
      <c r="R516" s="48"/>
      <c r="S516" s="48"/>
      <c r="T516" s="48"/>
      <c r="V516" s="2" t="str">
        <f ca="1"/>
        <v>state.visit_kyoto</v>
      </c>
      <c r="X516" s="2" t="str">
        <f ca="1"/>
        <v>state.visit_kyoto</v>
      </c>
      <c r="Y516" s="2" t="str">
        <f ca="1"/>
        <v>tech.rock_garden.rake</v>
      </c>
      <c r="Z516" s="2" t="str">
        <f ca="1"/>
        <v>tech.food_stall.mandra_cola</v>
      </c>
      <c r="AD516" s="2" t="str">
        <f ca="1"/>
        <v>state.visit_kyoto</v>
      </c>
    </row>
    <row r="517" spans="1:30">
      <c r="A517" t="str">
        <f t="shared" ca="1" si="16"/>
        <v>state.visit_melbourne</v>
      </c>
      <c r="B517" t="str">
        <f ca="1">_xlfn.XLOOKUP(tblValidation[[#This Row],[TargetID]],tblTargets[TargetID],tblTargets[TargetType],"")</f>
        <v>STATE</v>
      </c>
      <c r="C517" s="48" t="b">
        <f ca="1">COUNTIF(tblTargets[TargetID], $A517) &gt; 0</f>
        <v>1</v>
      </c>
      <c r="D517" s="48" t="b">
        <f ca="1">IF(OR(LEFT(tblValidation[[#This Row],[TargetID]],10)="state.CHAR",RIGHT(tblValidation[[#This Row],[TargetID]],5)="maxed"),TRUE, COUNTIF(tblChecklist[TargetID], $A517) &gt; 0)</f>
        <v>1</v>
      </c>
      <c r="E5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$A517) &gt; 0)</f>
        <v>1</v>
      </c>
      <c r="F517" s="48" t="b">
        <f ca="1">COUNTIF(tblDependencies[DependencyID], $A517) &gt; 0</f>
        <v>0</v>
      </c>
      <c r="G517" s="48" t="b">
        <f ca="1">COUNTIF(tblQuestObjectives[QuestTargetID], $A517) &gt; 0</f>
        <v>0</v>
      </c>
      <c r="H517" s="48" t="b">
        <f ca="1">COUNTIF(tblQuestObjectives[ObjectiveID], $A517) &gt; 0</f>
        <v>1</v>
      </c>
      <c r="I517" s="48" t="b">
        <f ca="1">COUNTIF(tblTargetStatus[TargetID], $A517) &gt; 0</f>
        <v>1</v>
      </c>
      <c r="J517" s="48" t="b">
        <f ca="1">COUNTIF(tblCost[TargetID], $A517) &gt; 0</f>
        <v>0</v>
      </c>
      <c r="K517" s="48" t="b">
        <f ca="1">COUNTIF(tblStates[StateID], $A517) &gt; 0</f>
        <v>1</v>
      </c>
      <c r="L517" s="48" t="b">
        <f t="shared" ca="1" si="17"/>
        <v>1</v>
      </c>
      <c r="M517" s="48" t="b">
        <f ca="1">IF(tblValidation[[#This Row],[TargetID]]="","",COUNTIF(tblTargets[TargetID],A517)&gt;1)</f>
        <v>0</v>
      </c>
      <c r="N517" s="48" t="b">
        <f ca="1">IF(tblValidation[[#This Row],[TargetID]]="","",COUNTIF(tblStates[StateID],tblValidation[[#This Row],[TargetID]])&gt;1)</f>
        <v>0</v>
      </c>
      <c r="O517" s="48" t="b" cm="1">
        <f t="array" aca="1" ref="O5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7" s="48"/>
      <c r="R517" s="48"/>
      <c r="S517" s="48"/>
      <c r="T517" s="48"/>
      <c r="V517" s="2" t="str">
        <f ca="1"/>
        <v>state.visit_melbourne</v>
      </c>
      <c r="X517" s="2" t="str">
        <f ca="1"/>
        <v>state.visit_melbourne</v>
      </c>
      <c r="Y517" s="2" t="str">
        <f ca="1"/>
        <v>tech.shop.glass_recycling</v>
      </c>
      <c r="Z517" s="2" t="str">
        <f ca="1"/>
        <v>tech.food_stall.mayonnaise</v>
      </c>
      <c r="AD517" s="2" t="str">
        <f ca="1"/>
        <v>state.visit_melbourne</v>
      </c>
    </row>
    <row r="518" spans="1:30">
      <c r="A518" t="str">
        <f t="shared" ca="1" si="16"/>
        <v>state.visit_nagasaki</v>
      </c>
      <c r="B518" t="str">
        <f ca="1">_xlfn.XLOOKUP(tblValidation[[#This Row],[TargetID]],tblTargets[TargetID],tblTargets[TargetType],"")</f>
        <v>STATE</v>
      </c>
      <c r="C518" s="48" t="b">
        <f ca="1">COUNTIF(tblTargets[TargetID], $A518) &gt; 0</f>
        <v>1</v>
      </c>
      <c r="D518" s="48" t="b">
        <f ca="1">IF(OR(LEFT(tblValidation[[#This Row],[TargetID]],10)="state.CHAR",RIGHT(tblValidation[[#This Row],[TargetID]],5)="maxed"),TRUE, COUNTIF(tblChecklist[TargetID], $A518) &gt; 0)</f>
        <v>1</v>
      </c>
      <c r="E5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$A518) &gt; 0)</f>
        <v>1</v>
      </c>
      <c r="F518" s="48" t="b">
        <f ca="1">COUNTIF(tblDependencies[DependencyID], $A518) &gt; 0</f>
        <v>0</v>
      </c>
      <c r="G518" s="48" t="b">
        <f ca="1">COUNTIF(tblQuestObjectives[QuestTargetID], $A518) &gt; 0</f>
        <v>0</v>
      </c>
      <c r="H518" s="48" t="b">
        <f ca="1">COUNTIF(tblQuestObjectives[ObjectiveID], $A518) &gt; 0</f>
        <v>1</v>
      </c>
      <c r="I518" s="48" t="b">
        <f ca="1">COUNTIF(tblTargetStatus[TargetID], $A518) &gt; 0</f>
        <v>1</v>
      </c>
      <c r="J518" s="48" t="b">
        <f ca="1">COUNTIF(tblCost[TargetID], $A518) &gt; 0</f>
        <v>0</v>
      </c>
      <c r="K518" s="48" t="b">
        <f ca="1">COUNTIF(tblStates[StateID], $A518) &gt; 0</f>
        <v>1</v>
      </c>
      <c r="L518" s="48" t="b">
        <f t="shared" ca="1" si="17"/>
        <v>1</v>
      </c>
      <c r="M518" s="48" t="b">
        <f ca="1">IF(tblValidation[[#This Row],[TargetID]]="","",COUNTIF(tblTargets[TargetID],A518)&gt;1)</f>
        <v>0</v>
      </c>
      <c r="N518" s="48" t="b">
        <f ca="1">IF(tblValidation[[#This Row],[TargetID]]="","",COUNTIF(tblStates[StateID],tblValidation[[#This Row],[TargetID]])&gt;1)</f>
        <v>0</v>
      </c>
      <c r="O518" s="48" t="b" cm="1">
        <f t="array" aca="1" ref="O5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8" s="48"/>
      <c r="R518" s="48"/>
      <c r="S518" s="48"/>
      <c r="T518" s="48"/>
      <c r="V518" s="2" t="str">
        <f ca="1"/>
        <v>state.visit_nagasaki</v>
      </c>
      <c r="X518" s="2" t="str">
        <f ca="1"/>
        <v>state.visit_nagasaki</v>
      </c>
      <c r="Y518" s="2" t="str">
        <f ca="1"/>
        <v>tech.shop.pre_orders</v>
      </c>
      <c r="Z518" s="2" t="str">
        <f ca="1"/>
        <v>tech.food_stall.miso_soup</v>
      </c>
      <c r="AD518" s="2" t="str">
        <f ca="1"/>
        <v>state.visit_nagasaki</v>
      </c>
    </row>
    <row r="519" spans="1:30">
      <c r="A519" t="str">
        <f t="shared" ca="1" si="16"/>
        <v>state.visit_osaka</v>
      </c>
      <c r="B519" t="str">
        <f ca="1">_xlfn.XLOOKUP(tblValidation[[#This Row],[TargetID]],tblTargets[TargetID],tblTargets[TargetType],"")</f>
        <v>STATE</v>
      </c>
      <c r="C519" s="48" t="b">
        <f ca="1">COUNTIF(tblTargets[TargetID], $A519) &gt; 0</f>
        <v>1</v>
      </c>
      <c r="D519" s="48" t="b">
        <f ca="1">IF(OR(LEFT(tblValidation[[#This Row],[TargetID]],10)="state.CHAR",RIGHT(tblValidation[[#This Row],[TargetID]],5)="maxed"),TRUE, COUNTIF(tblChecklist[TargetID], $A519) &gt; 0)</f>
        <v>1</v>
      </c>
      <c r="E5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$A519) &gt; 0)</f>
        <v>1</v>
      </c>
      <c r="F519" s="48" t="b">
        <f ca="1">COUNTIF(tblDependencies[DependencyID], $A519) &gt; 0</f>
        <v>0</v>
      </c>
      <c r="G519" s="48" t="b">
        <f ca="1">COUNTIF(tblQuestObjectives[QuestTargetID], $A519) &gt; 0</f>
        <v>0</v>
      </c>
      <c r="H519" s="48" t="b">
        <f ca="1">COUNTIF(tblQuestObjectives[ObjectiveID], $A519) &gt; 0</f>
        <v>1</v>
      </c>
      <c r="I519" s="48" t="b">
        <f ca="1">COUNTIF(tblTargetStatus[TargetID], $A519) &gt; 0</f>
        <v>1</v>
      </c>
      <c r="J519" s="48" t="b">
        <f ca="1">COUNTIF(tblCost[TargetID], $A519) &gt; 0</f>
        <v>0</v>
      </c>
      <c r="K519" s="48" t="b">
        <f ca="1">COUNTIF(tblStates[StateID], $A519) &gt; 0</f>
        <v>1</v>
      </c>
      <c r="L519" s="48" t="b">
        <f t="shared" ca="1" si="17"/>
        <v>1</v>
      </c>
      <c r="M519" s="48" t="b">
        <f ca="1">IF(tblValidation[[#This Row],[TargetID]]="","",COUNTIF(tblTargets[TargetID],A519)&gt;1)</f>
        <v>0</v>
      </c>
      <c r="N519" s="48" t="b">
        <f ca="1">IF(tblValidation[[#This Row],[TargetID]]="","",COUNTIF(tblStates[StateID],tblValidation[[#This Row],[TargetID]])&gt;1)</f>
        <v>0</v>
      </c>
      <c r="O519" s="48" t="b" cm="1">
        <f t="array" aca="1" ref="O5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9" s="48"/>
      <c r="R519" s="48"/>
      <c r="S519" s="48"/>
      <c r="T519" s="48"/>
      <c r="V519" s="2" t="str">
        <f ca="1"/>
        <v>state.visit_osaka</v>
      </c>
      <c r="X519" s="2" t="str">
        <f ca="1"/>
        <v>state.visit_osaka</v>
      </c>
      <c r="Y519" s="2" t="str">
        <f ca="1"/>
        <v>tech.smithy.gears</v>
      </c>
      <c r="Z519" s="2" t="str">
        <f ca="1"/>
        <v>tech.food_stall.quintessence_of_taste</v>
      </c>
      <c r="AD519" s="2" t="str">
        <f ca="1"/>
        <v>state.visit_osaka</v>
      </c>
    </row>
    <row r="520" spans="1:30">
      <c r="A520" t="str">
        <f t="shared" ca="1" si="16"/>
        <v>state.visit_paris</v>
      </c>
      <c r="B520" t="str">
        <f ca="1">_xlfn.XLOOKUP(tblValidation[[#This Row],[TargetID]],tblTargets[TargetID],tblTargets[TargetType],"")</f>
        <v>STATE</v>
      </c>
      <c r="C520" s="48" t="b">
        <f ca="1">COUNTIF(tblTargets[TargetID], $A520) &gt; 0</f>
        <v>1</v>
      </c>
      <c r="D520" s="48" t="b">
        <f ca="1">IF(OR(LEFT(tblValidation[[#This Row],[TargetID]],10)="state.CHAR",RIGHT(tblValidation[[#This Row],[TargetID]],5)="maxed"),TRUE, COUNTIF(tblChecklist[TargetID], $A520) &gt; 0)</f>
        <v>1</v>
      </c>
      <c r="E5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$A520) &gt; 0)</f>
        <v>1</v>
      </c>
      <c r="F520" s="48" t="b">
        <f ca="1">COUNTIF(tblDependencies[DependencyID], $A520) &gt; 0</f>
        <v>0</v>
      </c>
      <c r="G520" s="48" t="b">
        <f ca="1">COUNTIF(tblQuestObjectives[QuestTargetID], $A520) &gt; 0</f>
        <v>0</v>
      </c>
      <c r="H520" s="48" t="b">
        <f ca="1">COUNTIF(tblQuestObjectives[ObjectiveID], $A520) &gt; 0</f>
        <v>1</v>
      </c>
      <c r="I520" s="48" t="b">
        <f ca="1">COUNTIF(tblTargetStatus[TargetID], $A520) &gt; 0</f>
        <v>1</v>
      </c>
      <c r="J520" s="48" t="b">
        <f ca="1">COUNTIF(tblCost[TargetID], $A520) &gt; 0</f>
        <v>0</v>
      </c>
      <c r="K520" s="48" t="b">
        <f ca="1">COUNTIF(tblStates[StateID], $A520) &gt; 0</f>
        <v>1</v>
      </c>
      <c r="L520" s="48" t="b">
        <f t="shared" ca="1" si="17"/>
        <v>1</v>
      </c>
      <c r="M520" s="48" t="b">
        <f ca="1">IF(tblValidation[[#This Row],[TargetID]]="","",COUNTIF(tblTargets[TargetID],A520)&gt;1)</f>
        <v>0</v>
      </c>
      <c r="N520" s="48" t="b">
        <f ca="1">IF(tblValidation[[#This Row],[TargetID]]="","",COUNTIF(tblStates[StateID],tblValidation[[#This Row],[TargetID]])&gt;1)</f>
        <v>0</v>
      </c>
      <c r="O520" s="48" t="b" cm="1">
        <f t="array" aca="1" ref="O5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0" s="48"/>
      <c r="R520" s="48"/>
      <c r="S520" s="48"/>
      <c r="T520" s="48"/>
      <c r="V520" s="2" t="str">
        <f ca="1"/>
        <v>state.visit_paris</v>
      </c>
      <c r="X520" s="2" t="str">
        <f ca="1"/>
        <v>state.visit_paris</v>
      </c>
      <c r="Y520" s="2" t="str">
        <f ca="1"/>
        <v>tech.smithy.sword_for_a_hero_lvl_1</v>
      </c>
      <c r="Z520" s="2" t="str">
        <f ca="1"/>
        <v>tech.furnace.conveyor</v>
      </c>
      <c r="AD520" s="2" t="str">
        <f ca="1"/>
        <v>state.visit_paris</v>
      </c>
    </row>
    <row r="521" spans="1:30">
      <c r="A521" t="str">
        <f t="shared" ca="1" si="16"/>
        <v>state.visit_rome</v>
      </c>
      <c r="B521" t="str">
        <f ca="1">_xlfn.XLOOKUP(tblValidation[[#This Row],[TargetID]],tblTargets[TargetID],tblTargets[TargetType],"")</f>
        <v>STATE</v>
      </c>
      <c r="C521" s="48" t="b">
        <f ca="1">COUNTIF(tblTargets[TargetID], $A521) &gt; 0</f>
        <v>1</v>
      </c>
      <c r="D521" s="48" t="b">
        <f ca="1">IF(OR(LEFT(tblValidation[[#This Row],[TargetID]],10)="state.CHAR",RIGHT(tblValidation[[#This Row],[TargetID]],5)="maxed"),TRUE, COUNTIF(tblChecklist[TargetID], $A521) &gt; 0)</f>
        <v>1</v>
      </c>
      <c r="E5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$A521) &gt; 0)</f>
        <v>1</v>
      </c>
      <c r="F521" s="48" t="b">
        <f ca="1">COUNTIF(tblDependencies[DependencyID], $A521) &gt; 0</f>
        <v>0</v>
      </c>
      <c r="G521" s="48" t="b">
        <f ca="1">COUNTIF(tblQuestObjectives[QuestTargetID], $A521) &gt; 0</f>
        <v>0</v>
      </c>
      <c r="H521" s="48" t="b">
        <f ca="1">COUNTIF(tblQuestObjectives[ObjectiveID], $A521) &gt; 0</f>
        <v>1</v>
      </c>
      <c r="I521" s="48" t="b">
        <f ca="1">COUNTIF(tblTargetStatus[TargetID], $A521) &gt; 0</f>
        <v>1</v>
      </c>
      <c r="J521" s="48" t="b">
        <f ca="1">COUNTIF(tblCost[TargetID], $A521) &gt; 0</f>
        <v>0</v>
      </c>
      <c r="K521" s="48" t="b">
        <f ca="1">COUNTIF(tblStates[StateID], $A521) &gt; 0</f>
        <v>1</v>
      </c>
      <c r="L521" s="48" t="b">
        <f t="shared" ca="1" si="17"/>
        <v>1</v>
      </c>
      <c r="M521" s="48" t="b">
        <f ca="1">IF(tblValidation[[#This Row],[TargetID]]="","",COUNTIF(tblTargets[TargetID],A521)&gt;1)</f>
        <v>0</v>
      </c>
      <c r="N521" s="48" t="b">
        <f ca="1">IF(tblValidation[[#This Row],[TargetID]]="","",COUNTIF(tblStates[StateID],tblValidation[[#This Row],[TargetID]])&gt;1)</f>
        <v>0</v>
      </c>
      <c r="O521" s="48" t="b" cm="1">
        <f t="array" aca="1" ref="O5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1" s="48"/>
      <c r="R521" s="48"/>
      <c r="S521" s="48"/>
      <c r="T521" s="48"/>
      <c r="V521" s="2" t="str">
        <f ca="1"/>
        <v>state.visit_rome</v>
      </c>
      <c r="X521" s="2" t="str">
        <f ca="1"/>
        <v>state.visit_rome</v>
      </c>
      <c r="Y521" s="2" t="str">
        <f ca="1"/>
        <v>tech.smithy.sword_for_a_hero_lvl_2</v>
      </c>
      <c r="Z521" s="2" t="str">
        <f ca="1"/>
        <v>tech.furnace.glass</v>
      </c>
      <c r="AD521" s="2" t="str">
        <f ca="1"/>
        <v>state.visit_rome</v>
      </c>
    </row>
    <row r="522" spans="1:30">
      <c r="A522" t="str">
        <f t="shared" ca="1" si="16"/>
        <v>state.visit_tokyo</v>
      </c>
      <c r="B522" t="str">
        <f ca="1">_xlfn.XLOOKUP(tblValidation[[#This Row],[TargetID]],tblTargets[TargetID],tblTargets[TargetType],"")</f>
        <v>STATE</v>
      </c>
      <c r="C522" s="48" t="b">
        <f ca="1">COUNTIF(tblTargets[TargetID], $A522) &gt; 0</f>
        <v>1</v>
      </c>
      <c r="D522" s="48" t="b">
        <f ca="1">IF(OR(LEFT(tblValidation[[#This Row],[TargetID]],10)="state.CHAR",RIGHT(tblValidation[[#This Row],[TargetID]],5)="maxed"),TRUE, COUNTIF(tblChecklist[TargetID], $A522) &gt; 0)</f>
        <v>1</v>
      </c>
      <c r="E5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$A522) &gt; 0)</f>
        <v>1</v>
      </c>
      <c r="F522" s="48" t="b">
        <f ca="1">COUNTIF(tblDependencies[DependencyID], $A522) &gt; 0</f>
        <v>0</v>
      </c>
      <c r="G522" s="48" t="b">
        <f ca="1">COUNTIF(tblQuestObjectives[QuestTargetID], $A522) &gt; 0</f>
        <v>0</v>
      </c>
      <c r="H522" s="48" t="b">
        <f ca="1">COUNTIF(tblQuestObjectives[ObjectiveID], $A522) &gt; 0</f>
        <v>1</v>
      </c>
      <c r="I522" s="48" t="b">
        <f ca="1">COUNTIF(tblTargetStatus[TargetID], $A522) &gt; 0</f>
        <v>1</v>
      </c>
      <c r="J522" s="48" t="b">
        <f ca="1">COUNTIF(tblCost[TargetID], $A522) &gt; 0</f>
        <v>0</v>
      </c>
      <c r="K522" s="48" t="b">
        <f ca="1">COUNTIF(tblStates[StateID], $A522) &gt; 0</f>
        <v>1</v>
      </c>
      <c r="L522" s="48" t="b">
        <f t="shared" ca="1" si="17"/>
        <v>1</v>
      </c>
      <c r="M522" s="48" t="b">
        <f ca="1">IF(tblValidation[[#This Row],[TargetID]]="","",COUNTIF(tblTargets[TargetID],A522)&gt;1)</f>
        <v>0</v>
      </c>
      <c r="N522" s="48" t="b">
        <f ca="1">IF(tblValidation[[#This Row],[TargetID]]="","",COUNTIF(tblStates[StateID],tblValidation[[#This Row],[TargetID]])&gt;1)</f>
        <v>0</v>
      </c>
      <c r="O522" s="48" t="b" cm="1">
        <f t="array" aca="1" ref="O5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2" s="48"/>
      <c r="R522" s="48"/>
      <c r="S522" s="48"/>
      <c r="T522" s="48"/>
      <c r="V522" s="2" t="str">
        <f ca="1"/>
        <v>state.visit_tokyo</v>
      </c>
      <c r="X522" s="2" t="str">
        <f ca="1"/>
        <v>state.visit_tokyo</v>
      </c>
      <c r="Y522" s="2" t="str">
        <f ca="1"/>
        <v>tech.smithy.sword_for_a_hero_lvl_3</v>
      </c>
      <c r="Z522" s="2" t="str">
        <f ca="1"/>
        <v>tech.furnace.meteoric_steel</v>
      </c>
      <c r="AD522" s="2" t="str">
        <f ca="1"/>
        <v>state.visit_tokyo</v>
      </c>
    </row>
    <row r="523" spans="1:30">
      <c r="A523" t="str">
        <f t="shared" ca="1" si="16"/>
        <v>state.visit_wakayama</v>
      </c>
      <c r="B523" t="str">
        <f ca="1">_xlfn.XLOOKUP(tblValidation[[#This Row],[TargetID]],tblTargets[TargetID],tblTargets[TargetType],"")</f>
        <v>STATE</v>
      </c>
      <c r="C523" s="48" t="b">
        <f ca="1">COUNTIF(tblTargets[TargetID], $A523) &gt; 0</f>
        <v>1</v>
      </c>
      <c r="D523" s="48" t="b">
        <f ca="1">IF(OR(LEFT(tblValidation[[#This Row],[TargetID]],10)="state.CHAR",RIGHT(tblValidation[[#This Row],[TargetID]],5)="maxed"),TRUE, COUNTIF(tblChecklist[TargetID], $A523) &gt; 0)</f>
        <v>1</v>
      </c>
      <c r="E5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$A523) &gt; 0)</f>
        <v>1</v>
      </c>
      <c r="F523" s="48" t="b">
        <f ca="1">COUNTIF(tblDependencies[DependencyID], $A523) &gt; 0</f>
        <v>0</v>
      </c>
      <c r="G523" s="48" t="b">
        <f ca="1">COUNTIF(tblQuestObjectives[QuestTargetID], $A523) &gt; 0</f>
        <v>0</v>
      </c>
      <c r="H523" s="48" t="b">
        <f ca="1">COUNTIF(tblQuestObjectives[ObjectiveID], $A523) &gt; 0</f>
        <v>1</v>
      </c>
      <c r="I523" s="48" t="b">
        <f ca="1">COUNTIF(tblTargetStatus[TargetID], $A523) &gt; 0</f>
        <v>1</v>
      </c>
      <c r="J523" s="48" t="b">
        <f ca="1">COUNTIF(tblCost[TargetID], $A523) &gt; 0</f>
        <v>0</v>
      </c>
      <c r="K523" s="48" t="b">
        <f ca="1">COUNTIF(tblStates[StateID], $A523) &gt; 0</f>
        <v>1</v>
      </c>
      <c r="L523" s="48" t="b">
        <f t="shared" ca="1" si="17"/>
        <v>1</v>
      </c>
      <c r="M523" s="48" t="b">
        <f ca="1">IF(tblValidation[[#This Row],[TargetID]]="","",COUNTIF(tblTargets[TargetID],A523)&gt;1)</f>
        <v>0</v>
      </c>
      <c r="N523" s="48" t="b">
        <f ca="1">IF(tblValidation[[#This Row],[TargetID]]="","",COUNTIF(tblStates[StateID],tblValidation[[#This Row],[TargetID]])&gt;1)</f>
        <v>0</v>
      </c>
      <c r="O523" s="48" t="b" cm="1">
        <f t="array" aca="1" ref="O5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3" s="48"/>
      <c r="R523" s="48"/>
      <c r="S523" s="48"/>
      <c r="T523" s="48"/>
      <c r="V523" s="2" t="str">
        <f ca="1"/>
        <v>state.visit_wakayama</v>
      </c>
      <c r="X523" s="2" t="str">
        <f ca="1"/>
        <v>state.visit_wakayama</v>
      </c>
      <c r="Y523" s="2" t="str">
        <f ca="1"/>
        <v>tech.smithy.sword_for_a_hero_lvl_4</v>
      </c>
      <c r="Z523" s="2" t="str">
        <f ca="1"/>
        <v>tech.furnace.titanium_parts</v>
      </c>
      <c r="AD523" s="2" t="str">
        <f ca="1"/>
        <v>state.visit_wakayama</v>
      </c>
    </row>
    <row r="524" spans="1:30">
      <c r="A524" t="str">
        <f t="shared" ca="1" si="16"/>
        <v>state.visit_xian</v>
      </c>
      <c r="B524" t="str">
        <f ca="1">_xlfn.XLOOKUP(tblValidation[[#This Row],[TargetID]],tblTargets[TargetID],tblTargets[TargetType],"")</f>
        <v>STATE</v>
      </c>
      <c r="C524" s="48" t="b">
        <f ca="1">COUNTIF(tblTargets[TargetID], $A524) &gt; 0</f>
        <v>1</v>
      </c>
      <c r="D524" s="48" t="b">
        <f ca="1">IF(OR(LEFT(tblValidation[[#This Row],[TargetID]],10)="state.CHAR",RIGHT(tblValidation[[#This Row],[TargetID]],5)="maxed"),TRUE, COUNTIF(tblChecklist[TargetID], $A524) &gt; 0)</f>
        <v>1</v>
      </c>
      <c r="E5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$A524) &gt; 0)</f>
        <v>1</v>
      </c>
      <c r="F524" s="48" t="b">
        <f ca="1">COUNTIF(tblDependencies[DependencyID], $A524) &gt; 0</f>
        <v>0</v>
      </c>
      <c r="G524" s="48" t="b">
        <f ca="1">COUNTIF(tblQuestObjectives[QuestTargetID], $A524) &gt; 0</f>
        <v>0</v>
      </c>
      <c r="H524" s="48" t="b">
        <f ca="1">COUNTIF(tblQuestObjectives[ObjectiveID], $A524) &gt; 0</f>
        <v>1</v>
      </c>
      <c r="I524" s="48" t="b">
        <f ca="1">COUNTIF(tblTargetStatus[TargetID], $A524) &gt; 0</f>
        <v>1</v>
      </c>
      <c r="J524" s="48" t="b">
        <f ca="1">COUNTIF(tblCost[TargetID], $A524) &gt; 0</f>
        <v>0</v>
      </c>
      <c r="K524" s="48" t="b">
        <f ca="1">COUNTIF(tblStates[StateID], $A524) &gt; 0</f>
        <v>1</v>
      </c>
      <c r="L524" s="48" t="b">
        <f t="shared" ca="1" si="17"/>
        <v>1</v>
      </c>
      <c r="M524" s="48" t="b">
        <f ca="1">IF(tblValidation[[#This Row],[TargetID]]="","",COUNTIF(tblTargets[TargetID],A524)&gt;1)</f>
        <v>0</v>
      </c>
      <c r="N524" s="48" t="b">
        <f ca="1">IF(tblValidation[[#This Row],[TargetID]]="","",COUNTIF(tblStates[StateID],tblValidation[[#This Row],[TargetID]])&gt;1)</f>
        <v>0</v>
      </c>
      <c r="O524" s="48" t="b" cm="1">
        <f t="array" aca="1" ref="O5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4" s="48"/>
      <c r="R524" s="48"/>
      <c r="S524" s="48"/>
      <c r="T524" s="48"/>
      <c r="V524" s="2" t="str">
        <f ca="1"/>
        <v>state.visit_xian</v>
      </c>
      <c r="X524" s="2" t="str">
        <f ca="1"/>
        <v>state.visit_xian</v>
      </c>
      <c r="Y524" s="2" t="str">
        <f ca="1"/>
        <v>tech.smithy.sword_for_a_hero_lvl_4+</v>
      </c>
      <c r="Z524" s="2" t="str">
        <f ca="1"/>
        <v>tech.garden.sprinkler</v>
      </c>
      <c r="AD524" s="2" t="str">
        <f ca="1"/>
        <v>state.visit_xian</v>
      </c>
    </row>
    <row r="525" spans="1:30">
      <c r="A525" t="str">
        <f t="shared" ca="1" si="16"/>
        <v>tech.airship.titanium_longerons</v>
      </c>
      <c r="B525" t="str">
        <f ca="1">_xlfn.XLOOKUP(tblValidation[[#This Row],[TargetID]],tblTargets[TargetID],tblTargets[TargetType],"")</f>
        <v>TECH</v>
      </c>
      <c r="C525" s="48" t="b">
        <f ca="1">COUNTIF(tblTargets[TargetID], $A525) &gt; 0</f>
        <v>1</v>
      </c>
      <c r="D525" s="48" t="b">
        <f ca="1">IF(OR(LEFT(tblValidation[[#This Row],[TargetID]],10)="state.CHAR",RIGHT(tblValidation[[#This Row],[TargetID]],5)="maxed"),TRUE, COUNTIF(tblChecklist[TargetID], $A525) &gt; 0)</f>
        <v>1</v>
      </c>
      <c r="E5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$A525) &gt; 0)</f>
        <v>1</v>
      </c>
      <c r="F525" s="48" t="b">
        <f ca="1">COUNTIF(tblDependencies[DependencyID], $A525) &gt; 0</f>
        <v>0</v>
      </c>
      <c r="G525" s="48" t="b">
        <f ca="1">COUNTIF(tblQuestObjectives[QuestTargetID], $A525) &gt; 0</f>
        <v>0</v>
      </c>
      <c r="H525" s="48" t="b">
        <f ca="1">COUNTIF(tblQuestObjectives[ObjectiveID], $A525) &gt; 0</f>
        <v>0</v>
      </c>
      <c r="I525" s="48" t="b">
        <f ca="1">COUNTIF(tblTargetStatus[TargetID], $A525) &gt; 0</f>
        <v>1</v>
      </c>
      <c r="J525" s="48" t="b">
        <f ca="1">COUNTIF(tblCost[TargetID], $A525) &gt; 0</f>
        <v>1</v>
      </c>
      <c r="K525" s="48" t="b">
        <f ca="1">COUNTIF(tblStates[StateID], $A525) &gt; 0</f>
        <v>0</v>
      </c>
      <c r="L525" s="48" t="b">
        <f t="shared" ca="1" si="17"/>
        <v>1</v>
      </c>
      <c r="M525" s="48" t="b">
        <f ca="1">IF(tblValidation[[#This Row],[TargetID]]="","",COUNTIF(tblTargets[TargetID],A525)&gt;1)</f>
        <v>0</v>
      </c>
      <c r="N525" s="48" t="b">
        <f ca="1">IF(tblValidation[[#This Row],[TargetID]]="","",COUNTIF(tblStates[StateID],tblValidation[[#This Row],[TargetID]])&gt;1)</f>
        <v>0</v>
      </c>
      <c r="O525" s="48" t="b" cm="1">
        <f t="array" aca="1" ref="O5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5" s="48"/>
      <c r="R525" s="48"/>
      <c r="S525" s="48"/>
      <c r="T525" s="48"/>
      <c r="V525" s="2" t="str">
        <f ca="1"/>
        <v>tech.airship.titanium_longerons</v>
      </c>
      <c r="X525" s="2" t="str">
        <f ca="1"/>
        <v>tech.airship.titanium_longerons</v>
      </c>
      <c r="Y525" s="2" t="str">
        <f ca="1"/>
        <v>tech.smithy.throwing_knife</v>
      </c>
      <c r="Z525" s="2" t="str">
        <f ca="1"/>
        <v>tech.laboratory.digitization</v>
      </c>
      <c r="AD525" s="2" t="str">
        <f ca="1"/>
        <v>tech.airship.titanium_longerons</v>
      </c>
    </row>
    <row r="526" spans="1:30">
      <c r="A526" t="str">
        <f t="shared" ca="1" si="16"/>
        <v>tech.alchemists_hut.advanced_fertilizer</v>
      </c>
      <c r="B526" t="str">
        <f ca="1">_xlfn.XLOOKUP(tblValidation[[#This Row],[TargetID]],tblTargets[TargetID],tblTargets[TargetType],"")</f>
        <v>TECH</v>
      </c>
      <c r="C526" s="48" t="b">
        <f ca="1">COUNTIF(tblTargets[TargetID], $A526) &gt; 0</f>
        <v>1</v>
      </c>
      <c r="D526" s="48" t="b">
        <f ca="1">IF(OR(LEFT(tblValidation[[#This Row],[TargetID]],10)="state.CHAR",RIGHT(tblValidation[[#This Row],[TargetID]],5)="maxed"),TRUE, COUNTIF(tblChecklist[TargetID], $A526) &gt; 0)</f>
        <v>1</v>
      </c>
      <c r="E5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$A526) &gt; 0)</f>
        <v>1</v>
      </c>
      <c r="F526" s="48" t="b">
        <f ca="1">COUNTIF(tblDependencies[DependencyID], $A526) &gt; 0</f>
        <v>0</v>
      </c>
      <c r="G526" s="48" t="b">
        <f ca="1">COUNTIF(tblQuestObjectives[QuestTargetID], $A526) &gt; 0</f>
        <v>0</v>
      </c>
      <c r="H526" s="48" t="b">
        <f ca="1">COUNTIF(tblQuestObjectives[ObjectiveID], $A526) &gt; 0</f>
        <v>0</v>
      </c>
      <c r="I526" s="48" t="b">
        <f ca="1">COUNTIF(tblTargetStatus[TargetID], $A526) &gt; 0</f>
        <v>1</v>
      </c>
      <c r="J526" s="48" t="b">
        <f ca="1">COUNTIF(tblCost[TargetID], $A526) &gt; 0</f>
        <v>1</v>
      </c>
      <c r="K526" s="48" t="b">
        <f ca="1">COUNTIF(tblStates[StateID], $A526) &gt; 0</f>
        <v>0</v>
      </c>
      <c r="L526" s="48" t="b">
        <f t="shared" ca="1" si="17"/>
        <v>1</v>
      </c>
      <c r="M526" s="48" t="b">
        <f ca="1">IF(tblValidation[[#This Row],[TargetID]]="","",COUNTIF(tblTargets[TargetID],A526)&gt;1)</f>
        <v>0</v>
      </c>
      <c r="N526" s="48" t="b">
        <f ca="1">IF(tblValidation[[#This Row],[TargetID]]="","",COUNTIF(tblStates[StateID],tblValidation[[#This Row],[TargetID]])&gt;1)</f>
        <v>0</v>
      </c>
      <c r="O526" s="48" t="b" cm="1">
        <f t="array" aca="1" ref="O5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6" s="48"/>
      <c r="R526" s="48"/>
      <c r="S526" s="48"/>
      <c r="T526" s="48"/>
      <c r="V526" s="2" t="str">
        <f ca="1"/>
        <v>tech.alchemists_hut.advanced_fertilizer</v>
      </c>
      <c r="X526" s="2" t="str">
        <f ca="1"/>
        <v>tech.alchemists_hut.advanced_fertilizer</v>
      </c>
      <c r="Y526" s="2" t="str">
        <f ca="1"/>
        <v>tech.smithy.treasure</v>
      </c>
      <c r="Z526" s="2" t="str">
        <f ca="1"/>
        <v>tech.laboratory.experiments</v>
      </c>
      <c r="AD526" s="2" t="str">
        <f ca="1"/>
        <v>tech.alchemists_hut.advanced_fertilizer</v>
      </c>
    </row>
    <row r="527" spans="1:30">
      <c r="A527" t="str">
        <f t="shared" ca="1" si="16"/>
        <v>tech.alchemists_hut.balm</v>
      </c>
      <c r="B527" t="str">
        <f ca="1">_xlfn.XLOOKUP(tblValidation[[#This Row],[TargetID]],tblTargets[TargetID],tblTargets[TargetType],"")</f>
        <v>TECH</v>
      </c>
      <c r="C527" s="48" t="b">
        <f ca="1">COUNTIF(tblTargets[TargetID], $A527) &gt; 0</f>
        <v>1</v>
      </c>
      <c r="D527" s="48" t="b">
        <f ca="1">IF(OR(LEFT(tblValidation[[#This Row],[TargetID]],10)="state.CHAR",RIGHT(tblValidation[[#This Row],[TargetID]],5)="maxed"),TRUE, COUNTIF(tblChecklist[TargetID], $A527) &gt; 0)</f>
        <v>1</v>
      </c>
      <c r="E5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$A527) &gt; 0)</f>
        <v>1</v>
      </c>
      <c r="F527" s="48" t="b">
        <f ca="1">COUNTIF(tblDependencies[DependencyID], $A527) &gt; 0</f>
        <v>0</v>
      </c>
      <c r="G527" s="48" t="b">
        <f ca="1">COUNTIF(tblQuestObjectives[QuestTargetID], $A527) &gt; 0</f>
        <v>0</v>
      </c>
      <c r="H527" s="48" t="b">
        <f ca="1">COUNTIF(tblQuestObjectives[ObjectiveID], $A527) &gt; 0</f>
        <v>0</v>
      </c>
      <c r="I527" s="48" t="b">
        <f ca="1">COUNTIF(tblTargetStatus[TargetID], $A527) &gt; 0</f>
        <v>1</v>
      </c>
      <c r="J527" s="48" t="b">
        <f ca="1">COUNTIF(tblCost[TargetID], $A527) &gt; 0</f>
        <v>1</v>
      </c>
      <c r="K527" s="48" t="b">
        <f ca="1">COUNTIF(tblStates[StateID], $A527) &gt; 0</f>
        <v>0</v>
      </c>
      <c r="L527" s="48" t="b">
        <f t="shared" ca="1" si="17"/>
        <v>1</v>
      </c>
      <c r="M527" s="48" t="b">
        <f ca="1">IF(tblValidation[[#This Row],[TargetID]]="","",COUNTIF(tblTargets[TargetID],A527)&gt;1)</f>
        <v>0</v>
      </c>
      <c r="N527" s="48" t="b">
        <f ca="1">IF(tblValidation[[#This Row],[TargetID]]="","",COUNTIF(tblStates[StateID],tblValidation[[#This Row],[TargetID]])&gt;1)</f>
        <v>0</v>
      </c>
      <c r="O527" s="48" t="b" cm="1">
        <f t="array" aca="1" ref="O5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7" s="48"/>
      <c r="R527" s="48"/>
      <c r="S527" s="48"/>
      <c r="T527" s="48"/>
      <c r="V527" s="2" t="str">
        <f ca="1"/>
        <v>tech.alchemists_hut.balm</v>
      </c>
      <c r="X527" s="2" t="str">
        <f ca="1"/>
        <v>tech.alchemists_hut.balm</v>
      </c>
      <c r="Y527" s="2" t="str">
        <f ca="1"/>
        <v>tech.smithy.weapon_grease</v>
      </c>
      <c r="Z527" s="2" t="str">
        <f ca="1"/>
        <v>tech.laboratory.research_and_development</v>
      </c>
      <c r="AD527" s="2" t="str">
        <f ca="1"/>
        <v>tech.alchemists_hut.balm</v>
      </c>
    </row>
    <row r="528" spans="1:30">
      <c r="A528" t="str">
        <f t="shared" ca="1" si="16"/>
        <v>tech.alchemists_hut.conveyor_lvl_1</v>
      </c>
      <c r="B528" t="str">
        <f ca="1">_xlfn.XLOOKUP(tblValidation[[#This Row],[TargetID]],tblTargets[TargetID],tblTargets[TargetType],"")</f>
        <v>TECH</v>
      </c>
      <c r="C528" s="48" t="b">
        <f ca="1">COUNTIF(tblTargets[TargetID], $A528) &gt; 0</f>
        <v>1</v>
      </c>
      <c r="D528" s="48" t="b">
        <f ca="1">IF(OR(LEFT(tblValidation[[#This Row],[TargetID]],10)="state.CHAR",RIGHT(tblValidation[[#This Row],[TargetID]],5)="maxed"),TRUE, COUNTIF(tblChecklist[TargetID], $A528) &gt; 0)</f>
        <v>1</v>
      </c>
      <c r="E5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$A528) &gt; 0)</f>
        <v>1</v>
      </c>
      <c r="F528" s="48" t="b">
        <f ca="1">COUNTIF(tblDependencies[DependencyID], $A528) &gt; 0</f>
        <v>1</v>
      </c>
      <c r="G528" s="48" t="b">
        <f ca="1">COUNTIF(tblQuestObjectives[QuestTargetID], $A528) &gt; 0</f>
        <v>0</v>
      </c>
      <c r="H528" s="48" t="b">
        <f ca="1">COUNTIF(tblQuestObjectives[ObjectiveID], $A528) &gt; 0</f>
        <v>0</v>
      </c>
      <c r="I528" s="48" t="b">
        <f ca="1">COUNTIF(tblTargetStatus[TargetID], $A528) &gt; 0</f>
        <v>1</v>
      </c>
      <c r="J528" s="48" t="b">
        <f ca="1">COUNTIF(tblCost[TargetID], $A528) &gt; 0</f>
        <v>1</v>
      </c>
      <c r="K528" s="48" t="b">
        <f ca="1">COUNTIF(tblStates[StateID], $A528) &gt; 0</f>
        <v>0</v>
      </c>
      <c r="L528" s="48" t="b">
        <f t="shared" ca="1" si="17"/>
        <v>1</v>
      </c>
      <c r="M528" s="48" t="b">
        <f ca="1">IF(tblValidation[[#This Row],[TargetID]]="","",COUNTIF(tblTargets[TargetID],A528)&gt;1)</f>
        <v>0</v>
      </c>
      <c r="N528" s="48" t="b">
        <f ca="1">IF(tblValidation[[#This Row],[TargetID]]="","",COUNTIF(tblStates[StateID],tblValidation[[#This Row],[TargetID]])&gt;1)</f>
        <v>0</v>
      </c>
      <c r="O528" s="48" t="b" cm="1">
        <f t="array" aca="1" ref="O5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8" s="48"/>
      <c r="R528" s="48"/>
      <c r="S528" s="48"/>
      <c r="T528" s="48"/>
      <c r="V528" s="2" t="str">
        <f ca="1"/>
        <v>tech.alchemists_hut.conveyor_lvl_1</v>
      </c>
      <c r="X528" s="2" t="str">
        <f ca="1"/>
        <v>tech.alchemists_hut.conveyor_lvl_1</v>
      </c>
      <c r="Y528" s="2" t="str">
        <f ca="1"/>
        <v>tech.tailor.ariadnes_thread</v>
      </c>
      <c r="Z528" s="2" t="str">
        <f ca="1"/>
        <v>tech.outpost.arsenal_lvl_1</v>
      </c>
      <c r="AD528" s="2" t="str">
        <f ca="1"/>
        <v>tech.alchemists_hut.conveyor_lvl_1</v>
      </c>
    </row>
    <row r="529" spans="1:30">
      <c r="A529" t="str">
        <f t="shared" ca="1" si="16"/>
        <v>tech.alchemists_hut.conveyor_lvl_2</v>
      </c>
      <c r="B529" t="str">
        <f ca="1">_xlfn.XLOOKUP(tblValidation[[#This Row],[TargetID]],tblTargets[TargetID],tblTargets[TargetType],"")</f>
        <v>TECH</v>
      </c>
      <c r="C529" s="48" t="b">
        <f ca="1">COUNTIF(tblTargets[TargetID], $A529) &gt; 0</f>
        <v>1</v>
      </c>
      <c r="D529" s="48" t="b">
        <f ca="1">IF(OR(LEFT(tblValidation[[#This Row],[TargetID]],10)="state.CHAR",RIGHT(tblValidation[[#This Row],[TargetID]],5)="maxed"),TRUE, COUNTIF(tblChecklist[TargetID], $A529) &gt; 0)</f>
        <v>1</v>
      </c>
      <c r="E5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$A529) &gt; 0)</f>
        <v>1</v>
      </c>
      <c r="F529" s="48" t="b">
        <f ca="1">COUNTIF(tblDependencies[DependencyID], $A529) &gt; 0</f>
        <v>0</v>
      </c>
      <c r="G529" s="48" t="b">
        <f ca="1">COUNTIF(tblQuestObjectives[QuestTargetID], $A529) &gt; 0</f>
        <v>0</v>
      </c>
      <c r="H529" s="48" t="b">
        <f ca="1">COUNTIF(tblQuestObjectives[ObjectiveID], $A529) &gt; 0</f>
        <v>0</v>
      </c>
      <c r="I529" s="48" t="b">
        <f ca="1">COUNTIF(tblTargetStatus[TargetID], $A529) &gt; 0</f>
        <v>1</v>
      </c>
      <c r="J529" s="48" t="b">
        <f ca="1">COUNTIF(tblCost[TargetID], $A529) &gt; 0</f>
        <v>1</v>
      </c>
      <c r="K529" s="48" t="b">
        <f ca="1">COUNTIF(tblStates[StateID], $A529) &gt; 0</f>
        <v>0</v>
      </c>
      <c r="L529" s="48" t="b">
        <f t="shared" ca="1" si="17"/>
        <v>1</v>
      </c>
      <c r="M529" s="48" t="b">
        <f ca="1">IF(tblValidation[[#This Row],[TargetID]]="","",COUNTIF(tblTargets[TargetID],A529)&gt;1)</f>
        <v>0</v>
      </c>
      <c r="N529" s="48" t="b">
        <f ca="1">IF(tblValidation[[#This Row],[TargetID]]="","",COUNTIF(tblStates[StateID],tblValidation[[#This Row],[TargetID]])&gt;1)</f>
        <v>0</v>
      </c>
      <c r="O529" s="48" t="b" cm="1">
        <f t="array" aca="1" ref="O5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9" s="48"/>
      <c r="R529" s="48"/>
      <c r="S529" s="48"/>
      <c r="T529" s="48"/>
      <c r="V529" s="2" t="str">
        <f ca="1"/>
        <v>tech.alchemists_hut.conveyor_lvl_2</v>
      </c>
      <c r="X529" s="2" t="str">
        <f ca="1"/>
        <v>tech.alchemists_hut.conveyor_lvl_2</v>
      </c>
      <c r="Y529" s="2" t="str">
        <f ca="1"/>
        <v>tech.tailor.armor_for_a_hero_lvl_1</v>
      </c>
      <c r="Z529" s="2" t="str">
        <f ca="1"/>
        <v>tech.outpost.arsenal_lvl_2</v>
      </c>
      <c r="AD529" s="2" t="str">
        <f ca="1"/>
        <v>tech.alchemists_hut.conveyor_lvl_2</v>
      </c>
    </row>
    <row r="530" spans="1:30">
      <c r="A530" t="str">
        <f t="shared" ca="1" si="16"/>
        <v>tech.alchemists_hut.galvanization</v>
      </c>
      <c r="B530" t="str">
        <f ca="1">_xlfn.XLOOKUP(tblValidation[[#This Row],[TargetID]],tblTargets[TargetID],tblTargets[TargetType],"")</f>
        <v>TECH</v>
      </c>
      <c r="C530" s="48" t="b">
        <f ca="1">COUNTIF(tblTargets[TargetID], $A530) &gt; 0</f>
        <v>1</v>
      </c>
      <c r="D530" s="48" t="b">
        <f ca="1">IF(OR(LEFT(tblValidation[[#This Row],[TargetID]],10)="state.CHAR",RIGHT(tblValidation[[#This Row],[TargetID]],5)="maxed"),TRUE, COUNTIF(tblChecklist[TargetID], $A530) &gt; 0)</f>
        <v>1</v>
      </c>
      <c r="E5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$A530) &gt; 0)</f>
        <v>1</v>
      </c>
      <c r="F530" s="48" t="b">
        <f ca="1">COUNTIF(tblDependencies[DependencyID], $A530) &gt; 0</f>
        <v>0</v>
      </c>
      <c r="G530" s="48" t="b">
        <f ca="1">COUNTIF(tblQuestObjectives[QuestTargetID], $A530) &gt; 0</f>
        <v>0</v>
      </c>
      <c r="H530" s="48" t="b">
        <f ca="1">COUNTIF(tblQuestObjectives[ObjectiveID], $A530) &gt; 0</f>
        <v>0</v>
      </c>
      <c r="I530" s="48" t="b">
        <f ca="1">COUNTIF(tblTargetStatus[TargetID], $A530) &gt; 0</f>
        <v>1</v>
      </c>
      <c r="J530" s="48" t="b">
        <f ca="1">COUNTIF(tblCost[TargetID], $A530) &gt; 0</f>
        <v>1</v>
      </c>
      <c r="K530" s="48" t="b">
        <f ca="1">COUNTIF(tblStates[StateID], $A530) &gt; 0</f>
        <v>0</v>
      </c>
      <c r="L530" s="48" t="b">
        <f t="shared" ca="1" si="17"/>
        <v>1</v>
      </c>
      <c r="M530" s="48" t="b">
        <f ca="1">IF(tblValidation[[#This Row],[TargetID]]="","",COUNTIF(tblTargets[TargetID],A530)&gt;1)</f>
        <v>0</v>
      </c>
      <c r="N530" s="48" t="b">
        <f ca="1">IF(tblValidation[[#This Row],[TargetID]]="","",COUNTIF(tblStates[StateID],tblValidation[[#This Row],[TargetID]])&gt;1)</f>
        <v>0</v>
      </c>
      <c r="O530" s="48" t="b" cm="1">
        <f t="array" aca="1" ref="O5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0" s="48"/>
      <c r="R530" s="48"/>
      <c r="S530" s="48"/>
      <c r="T530" s="48"/>
      <c r="V530" s="2" t="str">
        <f ca="1"/>
        <v>tech.alchemists_hut.galvanization</v>
      </c>
      <c r="X530" s="2" t="str">
        <f ca="1"/>
        <v>tech.alchemists_hut.galvanization</v>
      </c>
      <c r="Y530" s="2" t="str">
        <f ca="1"/>
        <v>tech.tailor.armor_for_a_hero_lvl_2</v>
      </c>
      <c r="Z530" s="2" t="str">
        <f ca="1"/>
        <v>tech.outpost.futures_contracts</v>
      </c>
      <c r="AD530" s="2" t="str">
        <f ca="1"/>
        <v>tech.alchemists_hut.galvanization</v>
      </c>
    </row>
    <row r="531" spans="1:30">
      <c r="A531" t="str">
        <f t="shared" ca="1" si="16"/>
        <v>tech.alchemists_hut.gold_ingot</v>
      </c>
      <c r="B531" t="str">
        <f ca="1">_xlfn.XLOOKUP(tblValidation[[#This Row],[TargetID]],tblTargets[TargetID],tblTargets[TargetType],"")</f>
        <v>TECH</v>
      </c>
      <c r="C531" s="48" t="b">
        <f ca="1">COUNTIF(tblTargets[TargetID], $A531) &gt; 0</f>
        <v>1</v>
      </c>
      <c r="D531" s="48" t="b">
        <f ca="1">IF(OR(LEFT(tblValidation[[#This Row],[TargetID]],10)="state.CHAR",RIGHT(tblValidation[[#This Row],[TargetID]],5)="maxed"),TRUE, COUNTIF(tblChecklist[TargetID], $A531) &gt; 0)</f>
        <v>1</v>
      </c>
      <c r="E5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$A531) &gt; 0)</f>
        <v>1</v>
      </c>
      <c r="F531" s="48" t="b">
        <f ca="1">COUNTIF(tblDependencies[DependencyID], $A531) &gt; 0</f>
        <v>0</v>
      </c>
      <c r="G531" s="48" t="b">
        <f ca="1">COUNTIF(tblQuestObjectives[QuestTargetID], $A531) &gt; 0</f>
        <v>0</v>
      </c>
      <c r="H531" s="48" t="b">
        <f ca="1">COUNTIF(tblQuestObjectives[ObjectiveID], $A531) &gt; 0</f>
        <v>0</v>
      </c>
      <c r="I531" s="48" t="b">
        <f ca="1">COUNTIF(tblTargetStatus[TargetID], $A531) &gt; 0</f>
        <v>1</v>
      </c>
      <c r="J531" s="48" t="b">
        <f ca="1">COUNTIF(tblCost[TargetID], $A531) &gt; 0</f>
        <v>1</v>
      </c>
      <c r="K531" s="48" t="b">
        <f ca="1">COUNTIF(tblStates[StateID], $A531) &gt; 0</f>
        <v>0</v>
      </c>
      <c r="L531" s="48" t="b">
        <f t="shared" ca="1" si="17"/>
        <v>1</v>
      </c>
      <c r="M531" s="48" t="b">
        <f ca="1">IF(tblValidation[[#This Row],[TargetID]]="","",COUNTIF(tblTargets[TargetID],A531)&gt;1)</f>
        <v>0</v>
      </c>
      <c r="N531" s="48" t="b">
        <f ca="1">IF(tblValidation[[#This Row],[TargetID]]="","",COUNTIF(tblStates[StateID],tblValidation[[#This Row],[TargetID]])&gt;1)</f>
        <v>0</v>
      </c>
      <c r="O531" s="48" t="b" cm="1">
        <f t="array" aca="1" ref="O5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1" s="48"/>
      <c r="R531" s="48"/>
      <c r="S531" s="48"/>
      <c r="T531" s="48"/>
      <c r="V531" s="2" t="str">
        <f ca="1"/>
        <v>tech.alchemists_hut.gold_ingot</v>
      </c>
      <c r="X531" s="2" t="str">
        <f ca="1"/>
        <v>tech.alchemists_hut.gold_ingot</v>
      </c>
      <c r="Y531" s="2" t="str">
        <f ca="1"/>
        <v>tech.tailor.armor_for_a_hero_lvl_3</v>
      </c>
      <c r="Z531" s="2" t="str">
        <f ca="1"/>
        <v>tech.outpost.optional_contracts</v>
      </c>
      <c r="AD531" s="2" t="str">
        <f ca="1"/>
        <v>tech.alchemists_hut.gold_ingot</v>
      </c>
    </row>
    <row r="532" spans="1:30">
      <c r="A532" t="str">
        <f t="shared" ca="1" si="16"/>
        <v>tech.alchemists_hut.greek_grenade</v>
      </c>
      <c r="B532" t="str">
        <f ca="1">_xlfn.XLOOKUP(tblValidation[[#This Row],[TargetID]],tblTargets[TargetID],tblTargets[TargetType],"")</f>
        <v>TECH</v>
      </c>
      <c r="C532" s="48" t="b">
        <f ca="1">COUNTIF(tblTargets[TargetID], $A532) &gt; 0</f>
        <v>1</v>
      </c>
      <c r="D532" s="48" t="b">
        <f ca="1">IF(OR(LEFT(tblValidation[[#This Row],[TargetID]],10)="state.CHAR",RIGHT(tblValidation[[#This Row],[TargetID]],5)="maxed"),TRUE, COUNTIF(tblChecklist[TargetID], $A532) &gt; 0)</f>
        <v>1</v>
      </c>
      <c r="E5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$A532) &gt; 0)</f>
        <v>1</v>
      </c>
      <c r="F532" s="48" t="b">
        <f ca="1">COUNTIF(tblDependencies[DependencyID], $A532) &gt; 0</f>
        <v>0</v>
      </c>
      <c r="G532" s="48" t="b">
        <f ca="1">COUNTIF(tblQuestObjectives[QuestTargetID], $A532) &gt; 0</f>
        <v>0</v>
      </c>
      <c r="H532" s="48" t="b">
        <f ca="1">COUNTIF(tblQuestObjectives[ObjectiveID], $A532) &gt; 0</f>
        <v>0</v>
      </c>
      <c r="I532" s="48" t="b">
        <f ca="1">COUNTIF(tblTargetStatus[TargetID], $A532) &gt; 0</f>
        <v>1</v>
      </c>
      <c r="J532" s="48" t="b">
        <f ca="1">COUNTIF(tblCost[TargetID], $A532) &gt; 0</f>
        <v>1</v>
      </c>
      <c r="K532" s="48" t="b">
        <f ca="1">COUNTIF(tblStates[StateID], $A532) &gt; 0</f>
        <v>0</v>
      </c>
      <c r="L532" s="48" t="b">
        <f t="shared" ca="1" si="17"/>
        <v>1</v>
      </c>
      <c r="M532" s="48" t="b">
        <f ca="1">IF(tblValidation[[#This Row],[TargetID]]="","",COUNTIF(tblTargets[TargetID],A532)&gt;1)</f>
        <v>0</v>
      </c>
      <c r="N532" s="48" t="b">
        <f ca="1">IF(tblValidation[[#This Row],[TargetID]]="","",COUNTIF(tblStates[StateID],tblValidation[[#This Row],[TargetID]])&gt;1)</f>
        <v>0</v>
      </c>
      <c r="O532" s="48" t="b" cm="1">
        <f t="array" aca="1" ref="O5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2" s="48"/>
      <c r="R532" s="48"/>
      <c r="S532" s="48"/>
      <c r="T532" s="48"/>
      <c r="V532" s="2" t="str">
        <f ca="1"/>
        <v>tech.alchemists_hut.greek_grenade</v>
      </c>
      <c r="X532" s="2" t="str">
        <f ca="1"/>
        <v>tech.alchemists_hut.greek_grenade</v>
      </c>
      <c r="Y532" s="2" t="str">
        <f ca="1"/>
        <v>tech.tailor.armor_for_a_hero_lvl_4</v>
      </c>
      <c r="Z532" s="2" t="str">
        <f ca="1"/>
        <v>tech.outpost.sayonara_tax</v>
      </c>
      <c r="AD532" s="2" t="str">
        <f ca="1"/>
        <v>tech.alchemists_hut.greek_grenade</v>
      </c>
    </row>
    <row r="533" spans="1:30">
      <c r="A533" t="str">
        <f t="shared" ca="1" si="16"/>
        <v>tech.alchemists_hut.madness_grenade</v>
      </c>
      <c r="B533" t="str">
        <f ca="1">_xlfn.XLOOKUP(tblValidation[[#This Row],[TargetID]],tblTargets[TargetID],tblTargets[TargetType],"")</f>
        <v>TECH</v>
      </c>
      <c r="C533" s="48" t="b">
        <f ca="1">COUNTIF(tblTargets[TargetID], $A533) &gt; 0</f>
        <v>1</v>
      </c>
      <c r="D533" s="48" t="b">
        <f ca="1">IF(OR(LEFT(tblValidation[[#This Row],[TargetID]],10)="state.CHAR",RIGHT(tblValidation[[#This Row],[TargetID]],5)="maxed"),TRUE, COUNTIF(tblChecklist[TargetID], $A533) &gt; 0)</f>
        <v>1</v>
      </c>
      <c r="E5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$A533) &gt; 0)</f>
        <v>1</v>
      </c>
      <c r="F533" s="48" t="b">
        <f ca="1">COUNTIF(tblDependencies[DependencyID], $A533) &gt; 0</f>
        <v>0</v>
      </c>
      <c r="G533" s="48" t="b">
        <f ca="1">COUNTIF(tblQuestObjectives[QuestTargetID], $A533) &gt; 0</f>
        <v>0</v>
      </c>
      <c r="H533" s="48" t="b">
        <f ca="1">COUNTIF(tblQuestObjectives[ObjectiveID], $A533) &gt; 0</f>
        <v>0</v>
      </c>
      <c r="I533" s="48" t="b">
        <f ca="1">COUNTIF(tblTargetStatus[TargetID], $A533) &gt; 0</f>
        <v>1</v>
      </c>
      <c r="J533" s="48" t="b">
        <f ca="1">COUNTIF(tblCost[TargetID], $A533) &gt; 0</f>
        <v>1</v>
      </c>
      <c r="K533" s="48" t="b">
        <f ca="1">COUNTIF(tblStates[StateID], $A533) &gt; 0</f>
        <v>0</v>
      </c>
      <c r="L533" s="48" t="b">
        <f t="shared" ca="1" si="17"/>
        <v>1</v>
      </c>
      <c r="M533" s="48" t="b">
        <f ca="1">IF(tblValidation[[#This Row],[TargetID]]="","",COUNTIF(tblTargets[TargetID],A533)&gt;1)</f>
        <v>0</v>
      </c>
      <c r="N533" s="48" t="b">
        <f ca="1">IF(tblValidation[[#This Row],[TargetID]]="","",COUNTIF(tblStates[StateID],tblValidation[[#This Row],[TargetID]])&gt;1)</f>
        <v>0</v>
      </c>
      <c r="O533" s="48" t="b" cm="1">
        <f t="array" aca="1" ref="O5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3" s="48"/>
      <c r="R533" s="48"/>
      <c r="S533" s="48"/>
      <c r="T533" s="48"/>
      <c r="V533" s="2" t="str">
        <f ca="1"/>
        <v>tech.alchemists_hut.madness_grenade</v>
      </c>
      <c r="X533" s="2" t="str">
        <f ca="1"/>
        <v>tech.alchemists_hut.madness_grenade</v>
      </c>
      <c r="Y533" s="2" t="str">
        <f ca="1"/>
        <v>tech.tailor.armor_for_a_hero_lvl_4+</v>
      </c>
      <c r="Z533" s="2" t="str">
        <f ca="1"/>
        <v>tech.outpost.tax_return_on_floppy_disk</v>
      </c>
      <c r="AD533" s="2" t="str">
        <f ca="1"/>
        <v>tech.alchemists_hut.madness_grenade</v>
      </c>
    </row>
    <row r="534" spans="1:30">
      <c r="A534" t="str">
        <f t="shared" ca="1" si="16"/>
        <v>tech.alchemists_hut.mercury</v>
      </c>
      <c r="B534" t="str">
        <f ca="1">_xlfn.XLOOKUP(tblValidation[[#This Row],[TargetID]],tblTargets[TargetID],tblTargets[TargetType],"")</f>
        <v>TECH</v>
      </c>
      <c r="C534" s="48" t="b">
        <f ca="1">COUNTIF(tblTargets[TargetID], $A534) &gt; 0</f>
        <v>1</v>
      </c>
      <c r="D534" s="48" t="b">
        <f ca="1">IF(OR(LEFT(tblValidation[[#This Row],[TargetID]],10)="state.CHAR",RIGHT(tblValidation[[#This Row],[TargetID]],5)="maxed"),TRUE, COUNTIF(tblChecklist[TargetID], $A534) &gt; 0)</f>
        <v>1</v>
      </c>
      <c r="E5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$A534) &gt; 0)</f>
        <v>1</v>
      </c>
      <c r="F534" s="48" t="b">
        <f ca="1">COUNTIF(tblDependencies[DependencyID], $A534) &gt; 0</f>
        <v>1</v>
      </c>
      <c r="G534" s="48" t="b">
        <f ca="1">COUNTIF(tblQuestObjectives[QuestTargetID], $A534) &gt; 0</f>
        <v>0</v>
      </c>
      <c r="H534" s="48" t="b">
        <f ca="1">COUNTIF(tblQuestObjectives[ObjectiveID], $A534) &gt; 0</f>
        <v>0</v>
      </c>
      <c r="I534" s="48" t="b">
        <f ca="1">COUNTIF(tblTargetStatus[TargetID], $A534) &gt; 0</f>
        <v>1</v>
      </c>
      <c r="J534" s="48" t="b">
        <f ca="1">COUNTIF(tblCost[TargetID], $A534) &gt; 0</f>
        <v>1</v>
      </c>
      <c r="K534" s="48" t="b">
        <f ca="1">COUNTIF(tblStates[StateID], $A534) &gt; 0</f>
        <v>0</v>
      </c>
      <c r="L534" s="48" t="b">
        <f t="shared" ca="1" si="17"/>
        <v>1</v>
      </c>
      <c r="M534" s="48" t="b">
        <f ca="1">IF(tblValidation[[#This Row],[TargetID]]="","",COUNTIF(tblTargets[TargetID],A534)&gt;1)</f>
        <v>0</v>
      </c>
      <c r="N534" s="48" t="b">
        <f ca="1">IF(tblValidation[[#This Row],[TargetID]]="","",COUNTIF(tblStates[StateID],tblValidation[[#This Row],[TargetID]])&gt;1)</f>
        <v>0</v>
      </c>
      <c r="O534" s="48" t="b" cm="1">
        <f t="array" aca="1" ref="O5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4" s="48"/>
      <c r="R534" s="48"/>
      <c r="S534" s="48"/>
      <c r="T534" s="48"/>
      <c r="V534" s="2" t="str">
        <f ca="1"/>
        <v>tech.alchemists_hut.mercury</v>
      </c>
      <c r="X534" s="2" t="str">
        <f ca="1"/>
        <v>tech.alchemists_hut.mercury</v>
      </c>
      <c r="Y534" s="2" t="str">
        <f ca="1"/>
        <v>tech.tailor.bedroll</v>
      </c>
      <c r="Z534" s="2" t="str">
        <f ca="1"/>
        <v>tech.rock_garden.rake</v>
      </c>
      <c r="AD534" s="2" t="str">
        <f ca="1"/>
        <v>tech.alchemists_hut.mercury</v>
      </c>
    </row>
    <row r="535" spans="1:30">
      <c r="A535" t="str">
        <f t="shared" ca="1" si="16"/>
        <v>tech.alchemists_hut.metamorphosis</v>
      </c>
      <c r="B535" t="str">
        <f ca="1">_xlfn.XLOOKUP(tblValidation[[#This Row],[TargetID]],tblTargets[TargetID],tblTargets[TargetType],"")</f>
        <v>TECH</v>
      </c>
      <c r="C535" s="48" t="b">
        <f ca="1">COUNTIF(tblTargets[TargetID], $A535) &gt; 0</f>
        <v>1</v>
      </c>
      <c r="D535" s="48" t="b">
        <f ca="1">IF(OR(LEFT(tblValidation[[#This Row],[TargetID]],10)="state.CHAR",RIGHT(tblValidation[[#This Row],[TargetID]],5)="maxed"),TRUE, COUNTIF(tblChecklist[TargetID], $A535) &gt; 0)</f>
        <v>1</v>
      </c>
      <c r="E5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$A535) &gt; 0)</f>
        <v>1</v>
      </c>
      <c r="F535" s="48" t="b">
        <f ca="1">COUNTIF(tblDependencies[DependencyID], $A535) &gt; 0</f>
        <v>0</v>
      </c>
      <c r="G535" s="48" t="b">
        <f ca="1">COUNTIF(tblQuestObjectives[QuestTargetID], $A535) &gt; 0</f>
        <v>0</v>
      </c>
      <c r="H535" s="48" t="b">
        <f ca="1">COUNTIF(tblQuestObjectives[ObjectiveID], $A535) &gt; 0</f>
        <v>0</v>
      </c>
      <c r="I535" s="48" t="b">
        <f ca="1">COUNTIF(tblTargetStatus[TargetID], $A535) &gt; 0</f>
        <v>1</v>
      </c>
      <c r="J535" s="48" t="b">
        <f ca="1">COUNTIF(tblCost[TargetID], $A535) &gt; 0</f>
        <v>1</v>
      </c>
      <c r="K535" s="48" t="b">
        <f ca="1">COUNTIF(tblStates[StateID], $A535) &gt; 0</f>
        <v>0</v>
      </c>
      <c r="L535" s="48" t="b">
        <f t="shared" ca="1" si="17"/>
        <v>1</v>
      </c>
      <c r="M535" s="48" t="b">
        <f ca="1">IF(tblValidation[[#This Row],[TargetID]]="","",COUNTIF(tblTargets[TargetID],A535)&gt;1)</f>
        <v>0</v>
      </c>
      <c r="N535" s="48" t="b">
        <f ca="1">IF(tblValidation[[#This Row],[TargetID]]="","",COUNTIF(tblStates[StateID],tblValidation[[#This Row],[TargetID]])&gt;1)</f>
        <v>0</v>
      </c>
      <c r="O535" s="48" t="b" cm="1">
        <f t="array" aca="1" ref="O5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5" s="48"/>
      <c r="R535" s="48"/>
      <c r="S535" s="48"/>
      <c r="T535" s="48"/>
      <c r="V535" s="2" t="str">
        <f ca="1"/>
        <v>tech.alchemists_hut.metamorphosis</v>
      </c>
      <c r="X535" s="2" t="str">
        <f ca="1"/>
        <v>tech.alchemists_hut.metamorphosis</v>
      </c>
      <c r="Y535" s="2" t="str">
        <f ca="1"/>
        <v>tech.tailor.colored_threads</v>
      </c>
      <c r="Z535" s="2" t="str">
        <f ca="1"/>
        <v>tech.shop.glass_recycling</v>
      </c>
      <c r="AD535" s="2" t="str">
        <f ca="1"/>
        <v>tech.alchemists_hut.metamorphosis</v>
      </c>
    </row>
    <row r="536" spans="1:30">
      <c r="A536" t="str">
        <f t="shared" ca="1" si="16"/>
        <v>tech.alchemists_hut.perfect_fertilizer</v>
      </c>
      <c r="B536" t="str">
        <f ca="1">_xlfn.XLOOKUP(tblValidation[[#This Row],[TargetID]],tblTargets[TargetID],tblTargets[TargetType],"")</f>
        <v>TECH</v>
      </c>
      <c r="C536" s="48" t="b">
        <f ca="1">COUNTIF(tblTargets[TargetID], $A536) &gt; 0</f>
        <v>1</v>
      </c>
      <c r="D536" s="48" t="b">
        <f ca="1">IF(OR(LEFT(tblValidation[[#This Row],[TargetID]],10)="state.CHAR",RIGHT(tblValidation[[#This Row],[TargetID]],5)="maxed"),TRUE, COUNTIF(tblChecklist[TargetID], $A536) &gt; 0)</f>
        <v>1</v>
      </c>
      <c r="E5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$A536) &gt; 0)</f>
        <v>1</v>
      </c>
      <c r="F536" s="48" t="b">
        <f ca="1">COUNTIF(tblDependencies[DependencyID], $A536) &gt; 0</f>
        <v>0</v>
      </c>
      <c r="G536" s="48" t="b">
        <f ca="1">COUNTIF(tblQuestObjectives[QuestTargetID], $A536) &gt; 0</f>
        <v>0</v>
      </c>
      <c r="H536" s="48" t="b">
        <f ca="1">COUNTIF(tblQuestObjectives[ObjectiveID], $A536) &gt; 0</f>
        <v>0</v>
      </c>
      <c r="I536" s="48" t="b">
        <f ca="1">COUNTIF(tblTargetStatus[TargetID], $A536) &gt; 0</f>
        <v>1</v>
      </c>
      <c r="J536" s="48" t="b">
        <f ca="1">COUNTIF(tblCost[TargetID], $A536) &gt; 0</f>
        <v>1</v>
      </c>
      <c r="K536" s="48" t="b">
        <f ca="1">COUNTIF(tblStates[StateID], $A536) &gt; 0</f>
        <v>0</v>
      </c>
      <c r="L536" s="48" t="b">
        <f t="shared" ca="1" si="17"/>
        <v>1</v>
      </c>
      <c r="M536" s="48" t="b">
        <f ca="1">IF(tblValidation[[#This Row],[TargetID]]="","",COUNTIF(tblTargets[TargetID],A536)&gt;1)</f>
        <v>0</v>
      </c>
      <c r="N536" s="48" t="b">
        <f ca="1">IF(tblValidation[[#This Row],[TargetID]]="","",COUNTIF(tblStates[StateID],tblValidation[[#This Row],[TargetID]])&gt;1)</f>
        <v>0</v>
      </c>
      <c r="O536" s="48" t="b" cm="1">
        <f t="array" aca="1" ref="O5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6" s="48"/>
      <c r="R536" s="48"/>
      <c r="S536" s="48"/>
      <c r="T536" s="48"/>
      <c r="V536" s="2" t="str">
        <f ca="1"/>
        <v>tech.alchemists_hut.perfect_fertilizer</v>
      </c>
      <c r="X536" s="2" t="str">
        <f ca="1"/>
        <v>tech.alchemists_hut.perfect_fertilizer</v>
      </c>
      <c r="Y536" s="2" t="str">
        <f ca="1"/>
        <v>tech.tailor.salamander_velour</v>
      </c>
      <c r="Z536" s="2" t="str">
        <f ca="1"/>
        <v>tech.shop.pre_orders</v>
      </c>
      <c r="AD536" s="2" t="str">
        <f ca="1"/>
        <v>tech.alchemists_hut.perfect_fertilizer</v>
      </c>
    </row>
    <row r="537" spans="1:30">
      <c r="A537" t="str">
        <f t="shared" ca="1" si="16"/>
        <v>tech.alchemists_hut.potion_ambrosia</v>
      </c>
      <c r="B537" t="str">
        <f ca="1">_xlfn.XLOOKUP(tblValidation[[#This Row],[TargetID]],tblTargets[TargetID],tblTargets[TargetType],"")</f>
        <v>TECH</v>
      </c>
      <c r="C537" s="48" t="b">
        <f ca="1">COUNTIF(tblTargets[TargetID], $A537) &gt; 0</f>
        <v>1</v>
      </c>
      <c r="D537" s="48" t="b">
        <f ca="1">IF(OR(LEFT(tblValidation[[#This Row],[TargetID]],10)="state.CHAR",RIGHT(tblValidation[[#This Row],[TargetID]],5)="maxed"),TRUE, COUNTIF(tblChecklist[TargetID], $A537) &gt; 0)</f>
        <v>1</v>
      </c>
      <c r="E5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$A537) &gt; 0)</f>
        <v>1</v>
      </c>
      <c r="F537" s="48" t="b">
        <f ca="1">COUNTIF(tblDependencies[DependencyID], $A537) &gt; 0</f>
        <v>0</v>
      </c>
      <c r="G537" s="48" t="b">
        <f ca="1">COUNTIF(tblQuestObjectives[QuestTargetID], $A537) &gt; 0</f>
        <v>0</v>
      </c>
      <c r="H537" s="48" t="b">
        <f ca="1">COUNTIF(tblQuestObjectives[ObjectiveID], $A537) &gt; 0</f>
        <v>0</v>
      </c>
      <c r="I537" s="48" t="b">
        <f ca="1">COUNTIF(tblTargetStatus[TargetID], $A537) &gt; 0</f>
        <v>1</v>
      </c>
      <c r="J537" s="48" t="b">
        <f ca="1">COUNTIF(tblCost[TargetID], $A537) &gt; 0</f>
        <v>1</v>
      </c>
      <c r="K537" s="48" t="b">
        <f ca="1">COUNTIF(tblStates[StateID], $A537) &gt; 0</f>
        <v>0</v>
      </c>
      <c r="L537" s="48" t="b">
        <f t="shared" ca="1" si="17"/>
        <v>1</v>
      </c>
      <c r="M537" s="48" t="b">
        <f ca="1">IF(tblValidation[[#This Row],[TargetID]]="","",COUNTIF(tblTargets[TargetID],A537)&gt;1)</f>
        <v>0</v>
      </c>
      <c r="N537" s="48" t="b">
        <f ca="1">IF(tblValidation[[#This Row],[TargetID]]="","",COUNTIF(tblStates[StateID],tblValidation[[#This Row],[TargetID]])&gt;1)</f>
        <v>0</v>
      </c>
      <c r="O537" s="48" t="b" cm="1">
        <f t="array" aca="1" ref="O5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7" s="48"/>
      <c r="R537" s="48"/>
      <c r="S537" s="48"/>
      <c r="T537" s="48"/>
      <c r="V537" s="2" t="str">
        <f ca="1"/>
        <v>tech.alchemists_hut.potion_ambrosia</v>
      </c>
      <c r="X537" s="2" t="str">
        <f ca="1"/>
        <v>tech.alchemists_hut.potion_ambrosia</v>
      </c>
      <c r="Y537" s="2" t="str">
        <f ca="1"/>
        <v>tech.tailor.strong_rivets</v>
      </c>
      <c r="Z537" s="2" t="str">
        <f ca="1"/>
        <v>tech.smithy.gears</v>
      </c>
      <c r="AD537" s="2" t="str">
        <f ca="1"/>
        <v>tech.alchemists_hut.potion_ambrosia</v>
      </c>
    </row>
    <row r="538" spans="1:30">
      <c r="A538" t="str">
        <f t="shared" ca="1" si="16"/>
        <v>tech.alchemists_hut.potion_berserker_rage</v>
      </c>
      <c r="B538" t="str">
        <f ca="1">_xlfn.XLOOKUP(tblValidation[[#This Row],[TargetID]],tblTargets[TargetID],tblTargets[TargetType],"")</f>
        <v>TECH</v>
      </c>
      <c r="C538" s="48" t="b">
        <f ca="1">COUNTIF(tblTargets[TargetID], $A538) &gt; 0</f>
        <v>1</v>
      </c>
      <c r="D538" s="48" t="b">
        <f ca="1">IF(OR(LEFT(tblValidation[[#This Row],[TargetID]],10)="state.CHAR",RIGHT(tblValidation[[#This Row],[TargetID]],5)="maxed"),TRUE, COUNTIF(tblChecklist[TargetID], $A538) &gt; 0)</f>
        <v>1</v>
      </c>
      <c r="E5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$A538) &gt; 0)</f>
        <v>1</v>
      </c>
      <c r="F538" s="48" t="b">
        <f ca="1">COUNTIF(tblDependencies[DependencyID], $A538) &gt; 0</f>
        <v>1</v>
      </c>
      <c r="G538" s="48" t="b">
        <f ca="1">COUNTIF(tblQuestObjectives[QuestTargetID], $A538) &gt; 0</f>
        <v>0</v>
      </c>
      <c r="H538" s="48" t="b">
        <f ca="1">COUNTIF(tblQuestObjectives[ObjectiveID], $A538) &gt; 0</f>
        <v>0</v>
      </c>
      <c r="I538" s="48" t="b">
        <f ca="1">COUNTIF(tblTargetStatus[TargetID], $A538) &gt; 0</f>
        <v>1</v>
      </c>
      <c r="J538" s="48" t="b">
        <f ca="1">COUNTIF(tblCost[TargetID], $A538) &gt; 0</f>
        <v>1</v>
      </c>
      <c r="K538" s="48" t="b">
        <f ca="1">COUNTIF(tblStates[StateID], $A538) &gt; 0</f>
        <v>0</v>
      </c>
      <c r="L538" s="48" t="b">
        <f t="shared" ca="1" si="17"/>
        <v>1</v>
      </c>
      <c r="M538" s="48" t="b">
        <f ca="1">IF(tblValidation[[#This Row],[TargetID]]="","",COUNTIF(tblTargets[TargetID],A538)&gt;1)</f>
        <v>0</v>
      </c>
      <c r="N538" s="48" t="b">
        <f ca="1">IF(tblValidation[[#This Row],[TargetID]]="","",COUNTIF(tblStates[StateID],tblValidation[[#This Row],[TargetID]])&gt;1)</f>
        <v>0</v>
      </c>
      <c r="O538" s="48" t="b" cm="1">
        <f t="array" aca="1" ref="O5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8" s="48"/>
      <c r="R538" s="48"/>
      <c r="S538" s="48"/>
      <c r="T538" s="48"/>
      <c r="V538" s="2" t="str">
        <f ca="1"/>
        <v>tech.alchemists_hut.potion_berserker_rage</v>
      </c>
      <c r="X538" s="2" t="str">
        <f ca="1"/>
        <v>tech.alchemists_hut.potion_berserker_rage</v>
      </c>
      <c r="Y538" s="2" t="str">
        <f ca="1"/>
        <v>tech.tailor.strong_stitch</v>
      </c>
      <c r="Z538" s="2" t="str">
        <f ca="1"/>
        <v>tech.smithy.sword_for_a_hero_lvl_1</v>
      </c>
      <c r="AD538" s="2" t="str">
        <f ca="1"/>
        <v>tech.alchemists_hut.potion_berserker_rage</v>
      </c>
    </row>
    <row r="539" spans="1:30">
      <c r="A539" t="str">
        <f t="shared" ca="1" si="16"/>
        <v>tech.alchemists_hut.potion_of_energy</v>
      </c>
      <c r="B539" t="str">
        <f ca="1">_xlfn.XLOOKUP(tblValidation[[#This Row],[TargetID]],tblTargets[TargetID],tblTargets[TargetType],"")</f>
        <v>TECH</v>
      </c>
      <c r="C539" s="48" t="b">
        <f ca="1">COUNTIF(tblTargets[TargetID], $A539) &gt; 0</f>
        <v>1</v>
      </c>
      <c r="D539" s="48" t="b">
        <f ca="1">IF(OR(LEFT(tblValidation[[#This Row],[TargetID]],10)="state.CHAR",RIGHT(tblValidation[[#This Row],[TargetID]],5)="maxed"),TRUE, COUNTIF(tblChecklist[TargetID], $A539) &gt; 0)</f>
        <v>1</v>
      </c>
      <c r="E5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$A539) &gt; 0)</f>
        <v>1</v>
      </c>
      <c r="F539" s="48" t="b">
        <f ca="1">COUNTIF(tblDependencies[DependencyID], $A539) &gt; 0</f>
        <v>0</v>
      </c>
      <c r="G539" s="48" t="b">
        <f ca="1">COUNTIF(tblQuestObjectives[QuestTargetID], $A539) &gt; 0</f>
        <v>0</v>
      </c>
      <c r="H539" s="48" t="b">
        <f ca="1">COUNTIF(tblQuestObjectives[ObjectiveID], $A539) &gt; 0</f>
        <v>0</v>
      </c>
      <c r="I539" s="48" t="b">
        <f ca="1">COUNTIF(tblTargetStatus[TargetID], $A539) &gt; 0</f>
        <v>1</v>
      </c>
      <c r="J539" s="48" t="b">
        <f ca="1">COUNTIF(tblCost[TargetID], $A539) &gt; 0</f>
        <v>1</v>
      </c>
      <c r="K539" s="48" t="b">
        <f ca="1">COUNTIF(tblStates[StateID], $A539) &gt; 0</f>
        <v>0</v>
      </c>
      <c r="L539" s="48" t="b">
        <f t="shared" ca="1" si="17"/>
        <v>1</v>
      </c>
      <c r="M539" s="48" t="b">
        <f ca="1">IF(tblValidation[[#This Row],[TargetID]]="","",COUNTIF(tblTargets[TargetID],A539)&gt;1)</f>
        <v>0</v>
      </c>
      <c r="N539" s="48" t="b">
        <f ca="1">IF(tblValidation[[#This Row],[TargetID]]="","",COUNTIF(tblStates[StateID],tblValidation[[#This Row],[TargetID]])&gt;1)</f>
        <v>0</v>
      </c>
      <c r="O539" s="48" t="b" cm="1">
        <f t="array" aca="1" ref="O5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9" s="48"/>
      <c r="R539" s="48"/>
      <c r="S539" s="48"/>
      <c r="T539" s="48"/>
      <c r="V539" s="2" t="str">
        <f ca="1"/>
        <v>tech.alchemists_hut.potion_of_energy</v>
      </c>
      <c r="X539" s="2" t="str">
        <f ca="1"/>
        <v>tech.alchemists_hut.potion_of_energy</v>
      </c>
      <c r="Y539" s="2" t="str">
        <f ca="1"/>
        <v>tech.train.automatic_lubricator</v>
      </c>
      <c r="Z539" s="2" t="str">
        <f ca="1"/>
        <v>tech.smithy.sword_for_a_hero_lvl_2</v>
      </c>
      <c r="AD539" s="2" t="str">
        <f ca="1"/>
        <v>tech.alchemists_hut.potion_of_energy</v>
      </c>
    </row>
    <row r="540" spans="1:30">
      <c r="A540" t="str">
        <f t="shared" ca="1" si="16"/>
        <v>tech.alchemists_hut.potion_of_healing</v>
      </c>
      <c r="B540" t="str">
        <f ca="1">_xlfn.XLOOKUP(tblValidation[[#This Row],[TargetID]],tblTargets[TargetID],tblTargets[TargetType],"")</f>
        <v>TECH</v>
      </c>
      <c r="C540" s="48" t="b">
        <f ca="1">COUNTIF(tblTargets[TargetID], $A540) &gt; 0</f>
        <v>1</v>
      </c>
      <c r="D540" s="48" t="b">
        <f ca="1">IF(OR(LEFT(tblValidation[[#This Row],[TargetID]],10)="state.CHAR",RIGHT(tblValidation[[#This Row],[TargetID]],5)="maxed"),TRUE, COUNTIF(tblChecklist[TargetID], $A540) &gt; 0)</f>
        <v>1</v>
      </c>
      <c r="E5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$A540) &gt; 0)</f>
        <v>1</v>
      </c>
      <c r="F540" s="48" t="b">
        <f ca="1">COUNTIF(tblDependencies[DependencyID], $A540) &gt; 0</f>
        <v>1</v>
      </c>
      <c r="G540" s="48" t="b">
        <f ca="1">COUNTIF(tblQuestObjectives[QuestTargetID], $A540) &gt; 0</f>
        <v>0</v>
      </c>
      <c r="H540" s="48" t="b">
        <f ca="1">COUNTIF(tblQuestObjectives[ObjectiveID], $A540) &gt; 0</f>
        <v>0</v>
      </c>
      <c r="I540" s="48" t="b">
        <f ca="1">COUNTIF(tblTargetStatus[TargetID], $A540) &gt; 0</f>
        <v>1</v>
      </c>
      <c r="J540" s="48" t="b">
        <f ca="1">COUNTIF(tblCost[TargetID], $A540) &gt; 0</f>
        <v>1</v>
      </c>
      <c r="K540" s="48" t="b">
        <f ca="1">COUNTIF(tblStates[StateID], $A540) &gt; 0</f>
        <v>0</v>
      </c>
      <c r="L540" s="48" t="b">
        <f t="shared" ca="1" si="17"/>
        <v>1</v>
      </c>
      <c r="M540" s="48" t="b">
        <f ca="1">IF(tblValidation[[#This Row],[TargetID]]="","",COUNTIF(tblTargets[TargetID],A540)&gt;1)</f>
        <v>0</v>
      </c>
      <c r="N540" s="48" t="b">
        <f ca="1">IF(tblValidation[[#This Row],[TargetID]]="","",COUNTIF(tblStates[StateID],tblValidation[[#This Row],[TargetID]])&gt;1)</f>
        <v>0</v>
      </c>
      <c r="O540" s="48" t="b" cm="1">
        <f t="array" aca="1" ref="O5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0" s="48"/>
      <c r="R540" s="48"/>
      <c r="S540" s="48"/>
      <c r="T540" s="48"/>
      <c r="V540" s="2" t="str">
        <f ca="1"/>
        <v>tech.alchemists_hut.potion_of_healing</v>
      </c>
      <c r="X540" s="2" t="str">
        <f ca="1"/>
        <v>tech.alchemists_hut.potion_of_healing</v>
      </c>
      <c r="Y540" s="2" t="str">
        <f ca="1"/>
        <v>tech.train.compound_engine</v>
      </c>
      <c r="Z540" s="2" t="str">
        <f ca="1"/>
        <v>tech.smithy.sword_for_a_hero_lvl_3</v>
      </c>
      <c r="AD540" s="2" t="str">
        <f ca="1"/>
        <v>tech.alchemists_hut.potion_of_healing</v>
      </c>
    </row>
    <row r="541" spans="1:30">
      <c r="A541" t="str">
        <f t="shared" ca="1" si="16"/>
        <v>tech.alchemists_hut.potion_of_healing_lvl_2</v>
      </c>
      <c r="B541" t="str">
        <f ca="1">_xlfn.XLOOKUP(tblValidation[[#This Row],[TargetID]],tblTargets[TargetID],tblTargets[TargetType],"")</f>
        <v>TECH</v>
      </c>
      <c r="C541" s="48" t="b">
        <f ca="1">COUNTIF(tblTargets[TargetID], $A541) &gt; 0</f>
        <v>1</v>
      </c>
      <c r="D541" s="48" t="b">
        <f ca="1">IF(OR(LEFT(tblValidation[[#This Row],[TargetID]],10)="state.CHAR",RIGHT(tblValidation[[#This Row],[TargetID]],5)="maxed"),TRUE, COUNTIF(tblChecklist[TargetID], $A541) &gt; 0)</f>
        <v>1</v>
      </c>
      <c r="E5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$A541) &gt; 0)</f>
        <v>1</v>
      </c>
      <c r="F541" s="48" t="b">
        <f ca="1">COUNTIF(tblDependencies[DependencyID], $A541) &gt; 0</f>
        <v>1</v>
      </c>
      <c r="G541" s="48" t="b">
        <f ca="1">COUNTIF(tblQuestObjectives[QuestTargetID], $A541) &gt; 0</f>
        <v>0</v>
      </c>
      <c r="H541" s="48" t="b">
        <f ca="1">COUNTIF(tblQuestObjectives[ObjectiveID], $A541) &gt; 0</f>
        <v>0</v>
      </c>
      <c r="I541" s="48" t="b">
        <f ca="1">COUNTIF(tblTargetStatus[TargetID], $A541) &gt; 0</f>
        <v>1</v>
      </c>
      <c r="J541" s="48" t="b">
        <f ca="1">COUNTIF(tblCost[TargetID], $A541) &gt; 0</f>
        <v>1</v>
      </c>
      <c r="K541" s="48" t="b">
        <f ca="1">COUNTIF(tblStates[StateID], $A541) &gt; 0</f>
        <v>0</v>
      </c>
      <c r="L541" s="48" t="b">
        <f t="shared" ca="1" si="17"/>
        <v>1</v>
      </c>
      <c r="M541" s="48" t="b">
        <f ca="1">IF(tblValidation[[#This Row],[TargetID]]="","",COUNTIF(tblTargets[TargetID],A541)&gt;1)</f>
        <v>0</v>
      </c>
      <c r="N541" s="48" t="b">
        <f ca="1">IF(tblValidation[[#This Row],[TargetID]]="","",COUNTIF(tblStates[StateID],tblValidation[[#This Row],[TargetID]])&gt;1)</f>
        <v>0</v>
      </c>
      <c r="O541" s="48" t="b" cm="1">
        <f t="array" aca="1" ref="O5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1" s="48"/>
      <c r="R541" s="48"/>
      <c r="S541" s="48"/>
      <c r="T541" s="48"/>
      <c r="V541" s="2" t="str">
        <f ca="1"/>
        <v>tech.alchemists_hut.potion_of_healing_lvl_2</v>
      </c>
      <c r="X541" s="2" t="str">
        <f ca="1"/>
        <v>tech.alchemists_hut.potion_of_healing_lvl_2</v>
      </c>
      <c r="Y541" s="2" t="str">
        <f ca="1"/>
        <v>tech.train.onboard_computer</v>
      </c>
      <c r="Z541" s="2" t="str">
        <f ca="1"/>
        <v>tech.smithy.sword_for_a_hero_lvl_4</v>
      </c>
      <c r="AD541" s="2" t="str">
        <f ca="1"/>
        <v>tech.alchemists_hut.potion_of_healing_lvl_2</v>
      </c>
    </row>
    <row r="542" spans="1:30">
      <c r="A542" t="str">
        <f t="shared" ca="1" si="16"/>
        <v>tech.alchemists_hut.potion_of_mental_power</v>
      </c>
      <c r="B542" t="str">
        <f ca="1">_xlfn.XLOOKUP(tblValidation[[#This Row],[TargetID]],tblTargets[TargetID],tblTargets[TargetType],"")</f>
        <v>TECH</v>
      </c>
      <c r="C542" s="48" t="b">
        <f ca="1">COUNTIF(tblTargets[TargetID], $A542) &gt; 0</f>
        <v>1</v>
      </c>
      <c r="D542" s="48" t="b">
        <f ca="1">IF(OR(LEFT(tblValidation[[#This Row],[TargetID]],10)="state.CHAR",RIGHT(tblValidation[[#This Row],[TargetID]],5)="maxed"),TRUE, COUNTIF(tblChecklist[TargetID], $A542) &gt; 0)</f>
        <v>1</v>
      </c>
      <c r="E5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$A542) &gt; 0)</f>
        <v>1</v>
      </c>
      <c r="F542" s="48" t="b">
        <f ca="1">COUNTIF(tblDependencies[DependencyID], $A542) &gt; 0</f>
        <v>1</v>
      </c>
      <c r="G542" s="48" t="b">
        <f ca="1">COUNTIF(tblQuestObjectives[QuestTargetID], $A542) &gt; 0</f>
        <v>0</v>
      </c>
      <c r="H542" s="48" t="b">
        <f ca="1">COUNTIF(tblQuestObjectives[ObjectiveID], $A542) &gt; 0</f>
        <v>1</v>
      </c>
      <c r="I542" s="48" t="b">
        <f ca="1">COUNTIF(tblTargetStatus[TargetID], $A542) &gt; 0</f>
        <v>1</v>
      </c>
      <c r="J542" s="48" t="b">
        <f ca="1">COUNTIF(tblCost[TargetID], $A542) &gt; 0</f>
        <v>1</v>
      </c>
      <c r="K542" s="48" t="b">
        <f ca="1">COUNTIF(tblStates[StateID], $A542) &gt; 0</f>
        <v>0</v>
      </c>
      <c r="L542" s="48" t="b">
        <f t="shared" ca="1" si="17"/>
        <v>1</v>
      </c>
      <c r="M542" s="48" t="b">
        <f ca="1">IF(tblValidation[[#This Row],[TargetID]]="","",COUNTIF(tblTargets[TargetID],A542)&gt;1)</f>
        <v>0</v>
      </c>
      <c r="N542" s="48" t="b">
        <f ca="1">IF(tblValidation[[#This Row],[TargetID]]="","",COUNTIF(tblStates[StateID],tblValidation[[#This Row],[TargetID]])&gt;1)</f>
        <v>0</v>
      </c>
      <c r="O542" s="48" t="b" cm="1">
        <f t="array" aca="1" ref="O5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2" s="48"/>
      <c r="R542" s="48"/>
      <c r="S542" s="48"/>
      <c r="T542" s="48"/>
      <c r="V542" s="2" t="str">
        <f ca="1"/>
        <v>tech.alchemists_hut.potion_of_mental_power</v>
      </c>
      <c r="X542" s="2" t="str">
        <f ca="1"/>
        <v>tech.alchemists_hut.potion_of_mental_power</v>
      </c>
      <c r="Y542" s="2" t="str">
        <f ca="1"/>
        <v>tech.train.superheater</v>
      </c>
      <c r="Z542" s="2" t="str">
        <f ca="1"/>
        <v>tech.smithy.sword_for_a_hero_lvl_4+</v>
      </c>
      <c r="AD542" s="2" t="str">
        <f ca="1"/>
        <v>tech.alchemists_hut.potion_of_mental_power</v>
      </c>
    </row>
    <row r="543" spans="1:30">
      <c r="A543" t="str">
        <f t="shared" ca="1" si="16"/>
        <v>tech.alchemists_hut.synthetic_fertilizer</v>
      </c>
      <c r="B543" t="str">
        <f ca="1">_xlfn.XLOOKUP(tblValidation[[#This Row],[TargetID]],tblTargets[TargetID],tblTargets[TargetType],"")</f>
        <v>TECH</v>
      </c>
      <c r="C543" s="48" t="b">
        <f ca="1">COUNTIF(tblTargets[TargetID], $A543) &gt; 0</f>
        <v>1</v>
      </c>
      <c r="D543" s="48" t="b">
        <f ca="1">IF(OR(LEFT(tblValidation[[#This Row],[TargetID]],10)="state.CHAR",RIGHT(tblValidation[[#This Row],[TargetID]],5)="maxed"),TRUE, COUNTIF(tblChecklist[TargetID], $A543) &gt; 0)</f>
        <v>1</v>
      </c>
      <c r="E5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$A543) &gt; 0)</f>
        <v>1</v>
      </c>
      <c r="F543" s="48" t="b">
        <f ca="1">COUNTIF(tblDependencies[DependencyID], $A543) &gt; 0</f>
        <v>1</v>
      </c>
      <c r="G543" s="48" t="b">
        <f ca="1">COUNTIF(tblQuestObjectives[QuestTargetID], $A543) &gt; 0</f>
        <v>0</v>
      </c>
      <c r="H543" s="48" t="b">
        <f ca="1">COUNTIF(tblQuestObjectives[ObjectiveID], $A543) &gt; 0</f>
        <v>0</v>
      </c>
      <c r="I543" s="48" t="b">
        <f ca="1">COUNTIF(tblTargetStatus[TargetID], $A543) &gt; 0</f>
        <v>1</v>
      </c>
      <c r="J543" s="48" t="b">
        <f ca="1">COUNTIF(tblCost[TargetID], $A543) &gt; 0</f>
        <v>1</v>
      </c>
      <c r="K543" s="48" t="b">
        <f ca="1">COUNTIF(tblStates[StateID], $A543) &gt; 0</f>
        <v>0</v>
      </c>
      <c r="L543" s="48" t="b">
        <f t="shared" ca="1" si="17"/>
        <v>1</v>
      </c>
      <c r="M543" s="48" t="b">
        <f ca="1">IF(tblValidation[[#This Row],[TargetID]]="","",COUNTIF(tblTargets[TargetID],A543)&gt;1)</f>
        <v>0</v>
      </c>
      <c r="N543" s="48" t="b">
        <f ca="1">IF(tblValidation[[#This Row],[TargetID]]="","",COUNTIF(tblStates[StateID],tblValidation[[#This Row],[TargetID]])&gt;1)</f>
        <v>0</v>
      </c>
      <c r="O543" s="48" t="b" cm="1">
        <f t="array" aca="1" ref="O5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3" s="48"/>
      <c r="R543" s="48"/>
      <c r="S543" s="48"/>
      <c r="T543" s="48"/>
      <c r="V543" s="2" t="str">
        <f ca="1"/>
        <v>tech.alchemists_hut.synthetic_fertilizer</v>
      </c>
      <c r="X543" s="2" t="str">
        <f ca="1"/>
        <v>tech.alchemists_hut.synthetic_fertilizer</v>
      </c>
      <c r="Y543" s="2" t="str">
        <f ca="1"/>
        <v>tech.train.titanium_components</v>
      </c>
      <c r="Z543" s="2" t="str">
        <f ca="1"/>
        <v>tech.smithy.throwing_knife</v>
      </c>
      <c r="AD543" s="2" t="str">
        <f ca="1"/>
        <v>tech.alchemists_hut.synthetic_fertilizer</v>
      </c>
    </row>
    <row r="544" spans="1:30">
      <c r="A544" t="str">
        <f t="shared" ca="1" si="16"/>
        <v>tech.bridge.koi_fish</v>
      </c>
      <c r="B544" t="str">
        <f ca="1">_xlfn.XLOOKUP(tblValidation[[#This Row],[TargetID]],tblTargets[TargetID],tblTargets[TargetType],"")</f>
        <v>TECH</v>
      </c>
      <c r="C544" s="48" t="b">
        <f ca="1">COUNTIF(tblTargets[TargetID], $A544) &gt; 0</f>
        <v>1</v>
      </c>
      <c r="D544" s="48" t="b">
        <f ca="1">IF(OR(LEFT(tblValidation[[#This Row],[TargetID]],10)="state.CHAR",RIGHT(tblValidation[[#This Row],[TargetID]],5)="maxed"),TRUE, COUNTIF(tblChecklist[TargetID], $A544) &gt; 0)</f>
        <v>1</v>
      </c>
      <c r="E5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$A544) &gt; 0)</f>
        <v>1</v>
      </c>
      <c r="F544" s="48" t="b">
        <f ca="1">COUNTIF(tblDependencies[DependencyID], $A544) &gt; 0</f>
        <v>0</v>
      </c>
      <c r="G544" s="48" t="b">
        <f ca="1">COUNTIF(tblQuestObjectives[QuestTargetID], $A544) &gt; 0</f>
        <v>0</v>
      </c>
      <c r="H544" s="48" t="b">
        <f ca="1">COUNTIF(tblQuestObjectives[ObjectiveID], $A544) &gt; 0</f>
        <v>0</v>
      </c>
      <c r="I544" s="48" t="b">
        <f ca="1">COUNTIF(tblTargetStatus[TargetID], $A544) &gt; 0</f>
        <v>1</v>
      </c>
      <c r="J544" s="48" t="b">
        <f ca="1">COUNTIF(tblCost[TargetID], $A544) &gt; 0</f>
        <v>1</v>
      </c>
      <c r="K544" s="48" t="b">
        <f ca="1">COUNTIF(tblStates[StateID], $A544) &gt; 0</f>
        <v>0</v>
      </c>
      <c r="L544" s="48" t="b">
        <f t="shared" ca="1" si="17"/>
        <v>1</v>
      </c>
      <c r="M544" s="48" t="b">
        <f ca="1">IF(tblValidation[[#This Row],[TargetID]]="","",COUNTIF(tblTargets[TargetID],A544)&gt;1)</f>
        <v>0</v>
      </c>
      <c r="N544" s="48" t="b">
        <f ca="1">IF(tblValidation[[#This Row],[TargetID]]="","",COUNTIF(tblStates[StateID],tblValidation[[#This Row],[TargetID]])&gt;1)</f>
        <v>0</v>
      </c>
      <c r="O544" s="48" t="b" cm="1">
        <f t="array" aca="1" ref="O5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4" s="48"/>
      <c r="R544" s="48"/>
      <c r="S544" s="48"/>
      <c r="T544" s="48"/>
      <c r="V544" s="2" t="str">
        <f ca="1"/>
        <v>tech.bridge.koi_fish</v>
      </c>
      <c r="X544" s="2" t="str">
        <f ca="1"/>
        <v>tech.bridge.koi_fish</v>
      </c>
      <c r="Y544" s="2" t="str">
        <f ca="1"/>
        <v>tech.warehouse.stackable_racks_lvl_1</v>
      </c>
      <c r="Z544" s="2" t="str">
        <f ca="1"/>
        <v>tech.smithy.treasure</v>
      </c>
      <c r="AD544" s="2" t="str">
        <f ca="1"/>
        <v>tech.bridge.koi_fish</v>
      </c>
    </row>
    <row r="545" spans="1:30">
      <c r="A545" t="str">
        <f t="shared" ca="1" si="16"/>
        <v>tech.bridge.salmon_farming</v>
      </c>
      <c r="B545" t="str">
        <f ca="1">_xlfn.XLOOKUP(tblValidation[[#This Row],[TargetID]],tblTargets[TargetID],tblTargets[TargetType],"")</f>
        <v>TECH</v>
      </c>
      <c r="C545" s="48" t="b">
        <f ca="1">COUNTIF(tblTargets[TargetID], $A545) &gt; 0</f>
        <v>1</v>
      </c>
      <c r="D545" s="48" t="b">
        <f ca="1">IF(OR(LEFT(tblValidation[[#This Row],[TargetID]],10)="state.CHAR",RIGHT(tblValidation[[#This Row],[TargetID]],5)="maxed"),TRUE, COUNTIF(tblChecklist[TargetID], $A545) &gt; 0)</f>
        <v>1</v>
      </c>
      <c r="E5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$A545) &gt; 0)</f>
        <v>1</v>
      </c>
      <c r="F545" s="48" t="b">
        <f ca="1">COUNTIF(tblDependencies[DependencyID], $A545) &gt; 0</f>
        <v>0</v>
      </c>
      <c r="G545" s="48" t="b">
        <f ca="1">COUNTIF(tblQuestObjectives[QuestTargetID], $A545) &gt; 0</f>
        <v>0</v>
      </c>
      <c r="H545" s="48" t="b">
        <f ca="1">COUNTIF(tblQuestObjectives[ObjectiveID], $A545) &gt; 0</f>
        <v>0</v>
      </c>
      <c r="I545" s="48" t="b">
        <f ca="1">COUNTIF(tblTargetStatus[TargetID], $A545) &gt; 0</f>
        <v>1</v>
      </c>
      <c r="J545" s="48" t="b">
        <f ca="1">COUNTIF(tblCost[TargetID], $A545) &gt; 0</f>
        <v>1</v>
      </c>
      <c r="K545" s="48" t="b">
        <f ca="1">COUNTIF(tblStates[StateID], $A545) &gt; 0</f>
        <v>0</v>
      </c>
      <c r="L545" s="48" t="b">
        <f t="shared" ca="1" si="17"/>
        <v>1</v>
      </c>
      <c r="M545" s="48" t="b">
        <f ca="1">IF(tblValidation[[#This Row],[TargetID]]="","",COUNTIF(tblTargets[TargetID],A545)&gt;1)</f>
        <v>0</v>
      </c>
      <c r="N545" s="48" t="b">
        <f ca="1">IF(tblValidation[[#This Row],[TargetID]]="","",COUNTIF(tblStates[StateID],tblValidation[[#This Row],[TargetID]])&gt;1)</f>
        <v>0</v>
      </c>
      <c r="O545" s="48" t="b" cm="1">
        <f t="array" aca="1" ref="O5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5" s="48"/>
      <c r="R545" s="48"/>
      <c r="S545" s="48"/>
      <c r="T545" s="48"/>
      <c r="V545" s="2" t="str">
        <f ca="1"/>
        <v>tech.bridge.salmon_farming</v>
      </c>
      <c r="X545" s="2" t="str">
        <f ca="1"/>
        <v>tech.bridge.salmon_farming</v>
      </c>
      <c r="Y545" s="2" t="str">
        <f ca="1"/>
        <v>tech.warehouse.stackable_racks_lvl_2</v>
      </c>
      <c r="Z545" s="2" t="str">
        <f ca="1"/>
        <v>tech.smithy.weapon_grease</v>
      </c>
      <c r="AD545" s="2" t="str">
        <f ca="1"/>
        <v>tech.bridge.salmon_farming</v>
      </c>
    </row>
    <row r="546" spans="1:30">
      <c r="A546" t="str">
        <f t="shared" ca="1" si="16"/>
        <v>tech.dairy.big_data_farming</v>
      </c>
      <c r="B546" t="str">
        <f ca="1">_xlfn.XLOOKUP(tblValidation[[#This Row],[TargetID]],tblTargets[TargetID],tblTargets[TargetType],"")</f>
        <v>TECH</v>
      </c>
      <c r="C546" s="48" t="b">
        <f ca="1">COUNTIF(tblTargets[TargetID], $A546) &gt; 0</f>
        <v>1</v>
      </c>
      <c r="D546" s="48" t="b">
        <f ca="1">IF(OR(LEFT(tblValidation[[#This Row],[TargetID]],10)="state.CHAR",RIGHT(tblValidation[[#This Row],[TargetID]],5)="maxed"),TRUE, COUNTIF(tblChecklist[TargetID], $A546) &gt; 0)</f>
        <v>1</v>
      </c>
      <c r="E5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$A546) &gt; 0)</f>
        <v>1</v>
      </c>
      <c r="F546" s="48" t="b">
        <f ca="1">COUNTIF(tblDependencies[DependencyID], $A546) &gt; 0</f>
        <v>0</v>
      </c>
      <c r="G546" s="48" t="b">
        <f ca="1">COUNTIF(tblQuestObjectives[QuestTargetID], $A546) &gt; 0</f>
        <v>0</v>
      </c>
      <c r="H546" s="48" t="b">
        <f ca="1">COUNTIF(tblQuestObjectives[ObjectiveID], $A546) &gt; 0</f>
        <v>0</v>
      </c>
      <c r="I546" s="48" t="b">
        <f ca="1">COUNTIF(tblTargetStatus[TargetID], $A546) &gt; 0</f>
        <v>1</v>
      </c>
      <c r="J546" s="48" t="b">
        <f ca="1">COUNTIF(tblCost[TargetID], $A546) &gt; 0</f>
        <v>1</v>
      </c>
      <c r="K546" s="48" t="b">
        <f ca="1">COUNTIF(tblStates[StateID], $A546) &gt; 0</f>
        <v>0</v>
      </c>
      <c r="L546" s="48" t="b">
        <f t="shared" ca="1" si="17"/>
        <v>1</v>
      </c>
      <c r="M546" s="48" t="b">
        <f ca="1">IF(tblValidation[[#This Row],[TargetID]]="","",COUNTIF(tblTargets[TargetID],A546)&gt;1)</f>
        <v>0</v>
      </c>
      <c r="N546" s="48" t="b">
        <f ca="1">IF(tblValidation[[#This Row],[TargetID]]="","",COUNTIF(tblStates[StateID],tblValidation[[#This Row],[TargetID]])&gt;1)</f>
        <v>0</v>
      </c>
      <c r="O546" s="48" t="b" cm="1">
        <f t="array" aca="1" ref="O5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6" s="48"/>
      <c r="R546" s="48"/>
      <c r="S546" s="48"/>
      <c r="T546" s="48"/>
      <c r="V546" s="2" t="str">
        <f ca="1"/>
        <v>tech.dairy.big_data_farming</v>
      </c>
      <c r="X546" s="2" t="str">
        <f ca="1"/>
        <v>tech.dairy.big_data_farming</v>
      </c>
      <c r="Y546" s="2" t="str">
        <f ca="1"/>
        <v>tech.warehouse.stackable_racks_lvl_3</v>
      </c>
      <c r="Z546" s="2" t="str">
        <f ca="1"/>
        <v>tech.tailor.ariadnes_thread</v>
      </c>
      <c r="AD546" s="2" t="str">
        <f ca="1"/>
        <v>tech.dairy.big_data_farming</v>
      </c>
    </row>
    <row r="547" spans="1:30">
      <c r="A547" t="str">
        <f t="shared" ca="1" si="16"/>
        <v>tech.dairy.classical_music_for_the_farm</v>
      </c>
      <c r="B547" t="str">
        <f ca="1">_xlfn.XLOOKUP(tblValidation[[#This Row],[TargetID]],tblTargets[TargetID],tblTargets[TargetType],"")</f>
        <v>TECH</v>
      </c>
      <c r="C547" s="48" t="b">
        <f ca="1">COUNTIF(tblTargets[TargetID], $A547) &gt; 0</f>
        <v>1</v>
      </c>
      <c r="D547" s="48" t="b">
        <f ca="1">IF(OR(LEFT(tblValidation[[#This Row],[TargetID]],10)="state.CHAR",RIGHT(tblValidation[[#This Row],[TargetID]],5)="maxed"),TRUE, COUNTIF(tblChecklist[TargetID], $A547) &gt; 0)</f>
        <v>1</v>
      </c>
      <c r="E5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$A547) &gt; 0)</f>
        <v>1</v>
      </c>
      <c r="F547" s="48" t="b">
        <f ca="1">COUNTIF(tblDependencies[DependencyID], $A547) &gt; 0</f>
        <v>1</v>
      </c>
      <c r="G547" s="48" t="b">
        <f ca="1">COUNTIF(tblQuestObjectives[QuestTargetID], $A547) &gt; 0</f>
        <v>0</v>
      </c>
      <c r="H547" s="48" t="b">
        <f ca="1">COUNTIF(tblQuestObjectives[ObjectiveID], $A547) &gt; 0</f>
        <v>0</v>
      </c>
      <c r="I547" s="48" t="b">
        <f ca="1">COUNTIF(tblTargetStatus[TargetID], $A547) &gt; 0</f>
        <v>1</v>
      </c>
      <c r="J547" s="48" t="b">
        <f ca="1">COUNTIF(tblCost[TargetID], $A547) &gt; 0</f>
        <v>1</v>
      </c>
      <c r="K547" s="48" t="b">
        <f ca="1">COUNTIF(tblStates[StateID], $A547) &gt; 0</f>
        <v>0</v>
      </c>
      <c r="L547" s="48" t="b">
        <f t="shared" ca="1" si="17"/>
        <v>1</v>
      </c>
      <c r="M547" s="48" t="b">
        <f ca="1">IF(tblValidation[[#This Row],[TargetID]]="","",COUNTIF(tblTargets[TargetID],A547)&gt;1)</f>
        <v>0</v>
      </c>
      <c r="N547" s="48" t="b">
        <f ca="1">IF(tblValidation[[#This Row],[TargetID]]="","",COUNTIF(tblStates[StateID],tblValidation[[#This Row],[TargetID]])&gt;1)</f>
        <v>0</v>
      </c>
      <c r="O547" s="48" t="b" cm="1">
        <f t="array" aca="1" ref="O5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7" s="48"/>
      <c r="R547" s="48"/>
      <c r="S547" s="48"/>
      <c r="T547" s="48"/>
      <c r="V547" s="2" t="str">
        <f ca="1"/>
        <v>tech.dairy.classical_music_for_the_farm</v>
      </c>
      <c r="X547" s="2" t="str">
        <f ca="1"/>
        <v>tech.dairy.classical_music_for_the_farm</v>
      </c>
      <c r="Y547" s="2" t="str">
        <f ca="1"/>
        <v>tech.windmill.bone_meal</v>
      </c>
      <c r="Z547" s="2" t="str">
        <f ca="1"/>
        <v>tech.tailor.armor_for_a_hero_lvl_1</v>
      </c>
      <c r="AD547" s="2" t="str">
        <f ca="1"/>
        <v>tech.dairy.classical_music_for_the_farm</v>
      </c>
    </row>
    <row r="548" spans="1:30">
      <c r="A548" t="str">
        <f t="shared" ca="1" si="16"/>
        <v>tech.dungeon.great_hall</v>
      </c>
      <c r="B548" t="str">
        <f ca="1">_xlfn.XLOOKUP(tblValidation[[#This Row],[TargetID]],tblTargets[TargetID],tblTargets[TargetType],"")</f>
        <v>TECH</v>
      </c>
      <c r="C548" s="48" t="b">
        <f ca="1">COUNTIF(tblTargets[TargetID], $A548) &gt; 0</f>
        <v>1</v>
      </c>
      <c r="D548" s="48" t="b">
        <f ca="1">IF(OR(LEFT(tblValidation[[#This Row],[TargetID]],10)="state.CHAR",RIGHT(tblValidation[[#This Row],[TargetID]],5)="maxed"),TRUE, COUNTIF(tblChecklist[TargetID], $A548) &gt; 0)</f>
        <v>1</v>
      </c>
      <c r="E5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$A548) &gt; 0)</f>
        <v>1</v>
      </c>
      <c r="F548" s="48" t="b">
        <f ca="1">COUNTIF(tblDependencies[DependencyID], $A548) &gt; 0</f>
        <v>1</v>
      </c>
      <c r="G548" s="48" t="b">
        <f ca="1">COUNTIF(tblQuestObjectives[QuestTargetID], $A548) &gt; 0</f>
        <v>0</v>
      </c>
      <c r="H548" s="48" t="b">
        <f ca="1">COUNTIF(tblQuestObjectives[ObjectiveID], $A548) &gt; 0</f>
        <v>0</v>
      </c>
      <c r="I548" s="48" t="b">
        <f ca="1">COUNTIF(tblTargetStatus[TargetID], $A548) &gt; 0</f>
        <v>1</v>
      </c>
      <c r="J548" s="48" t="b">
        <f ca="1">COUNTIF(tblCost[TargetID], $A548) &gt; 0</f>
        <v>1</v>
      </c>
      <c r="K548" s="48" t="b">
        <f ca="1">COUNTIF(tblStates[StateID], $A548) &gt; 0</f>
        <v>0</v>
      </c>
      <c r="L548" s="48" t="b">
        <f t="shared" ca="1" si="17"/>
        <v>1</v>
      </c>
      <c r="M548" s="48" t="b">
        <f ca="1">IF(tblValidation[[#This Row],[TargetID]]="","",COUNTIF(tblTargets[TargetID],A548)&gt;1)</f>
        <v>0</v>
      </c>
      <c r="N548" s="48" t="b">
        <f ca="1">IF(tblValidation[[#This Row],[TargetID]]="","",COUNTIF(tblStates[StateID],tblValidation[[#This Row],[TargetID]])&gt;1)</f>
        <v>0</v>
      </c>
      <c r="O548" s="48" t="b" cm="1">
        <f t="array" aca="1" ref="O5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8" s="48"/>
      <c r="R548" s="48"/>
      <c r="S548" s="48"/>
      <c r="T548" s="48"/>
      <c r="V548" s="2" t="str">
        <f ca="1"/>
        <v>tech.dungeon.great_hall</v>
      </c>
      <c r="X548" s="2" t="str">
        <f ca="1"/>
        <v>tech.dungeon.great_hall</v>
      </c>
      <c r="Y548" s="2" t="str">
        <f ca="1"/>
        <v>tech.workshop.conveyor_lvl_1</v>
      </c>
      <c r="Z548" s="2" t="str">
        <f ca="1"/>
        <v>tech.tailor.armor_for_a_hero_lvl_2</v>
      </c>
      <c r="AD548" s="2" t="str">
        <f ca="1"/>
        <v>tech.dungeon.great_hall</v>
      </c>
    </row>
    <row r="549" spans="1:30">
      <c r="A549" t="str">
        <f t="shared" ca="1" si="16"/>
        <v>tech.fermentory.pasteurization</v>
      </c>
      <c r="B549" t="str">
        <f ca="1">_xlfn.XLOOKUP(tblValidation[[#This Row],[TargetID]],tblTargets[TargetID],tblTargets[TargetType],"")</f>
        <v>TECH</v>
      </c>
      <c r="C549" s="48" t="b">
        <f ca="1">COUNTIF(tblTargets[TargetID], $A549) &gt; 0</f>
        <v>1</v>
      </c>
      <c r="D549" s="48" t="b">
        <f ca="1">IF(OR(LEFT(tblValidation[[#This Row],[TargetID]],10)="state.CHAR",RIGHT(tblValidation[[#This Row],[TargetID]],5)="maxed"),TRUE, COUNTIF(tblChecklist[TargetID], $A549) &gt; 0)</f>
        <v>1</v>
      </c>
      <c r="E5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$A549) &gt; 0)</f>
        <v>1</v>
      </c>
      <c r="F549" s="48" t="b">
        <f ca="1">COUNTIF(tblDependencies[DependencyID], $A549) &gt; 0</f>
        <v>0</v>
      </c>
      <c r="G549" s="48" t="b">
        <f ca="1">COUNTIF(tblQuestObjectives[QuestTargetID], $A549) &gt; 0</f>
        <v>0</v>
      </c>
      <c r="H549" s="48" t="b">
        <f ca="1">COUNTIF(tblQuestObjectives[ObjectiveID], $A549) &gt; 0</f>
        <v>0</v>
      </c>
      <c r="I549" s="48" t="b">
        <f ca="1">COUNTIF(tblTargetStatus[TargetID], $A549) &gt; 0</f>
        <v>1</v>
      </c>
      <c r="J549" s="48" t="b">
        <f ca="1">COUNTIF(tblCost[TargetID], $A549) &gt; 0</f>
        <v>1</v>
      </c>
      <c r="K549" s="48" t="b">
        <f ca="1">COUNTIF(tblStates[StateID], $A549) &gt; 0</f>
        <v>0</v>
      </c>
      <c r="L549" s="48" t="b">
        <f t="shared" ca="1" si="17"/>
        <v>1</v>
      </c>
      <c r="M549" s="48" t="b">
        <f ca="1">IF(tblValidation[[#This Row],[TargetID]]="","",COUNTIF(tblTargets[TargetID],A549)&gt;1)</f>
        <v>0</v>
      </c>
      <c r="N549" s="48" t="b">
        <f ca="1">IF(tblValidation[[#This Row],[TargetID]]="","",COUNTIF(tblStates[StateID],tblValidation[[#This Row],[TargetID]])&gt;1)</f>
        <v>0</v>
      </c>
      <c r="O549" s="48" t="b" cm="1">
        <f t="array" aca="1" ref="O5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9" s="48"/>
      <c r="R549" s="48"/>
      <c r="S549" s="48"/>
      <c r="T549" s="48"/>
      <c r="V549" s="2" t="str">
        <f ca="1"/>
        <v>tech.fermentory.pasteurization</v>
      </c>
      <c r="X549" s="2" t="str">
        <f ca="1"/>
        <v>tech.fermentory.pasteurization</v>
      </c>
      <c r="Y549" s="2" t="str">
        <f ca="1"/>
        <v>tech.workshop.conveyor_lvl_2</v>
      </c>
      <c r="Z549" s="2" t="str">
        <f ca="1"/>
        <v>tech.tailor.armor_for_a_hero_lvl_3</v>
      </c>
      <c r="AD549" s="2" t="str">
        <f ca="1"/>
        <v>tech.fermentory.pasteurization</v>
      </c>
    </row>
    <row r="550" spans="1:30">
      <c r="A550" t="str">
        <f t="shared" ca="1" si="16"/>
        <v>tech.field.combine_harvester</v>
      </c>
      <c r="B550" t="str">
        <f ca="1">_xlfn.XLOOKUP(tblValidation[[#This Row],[TargetID]],tblTargets[TargetID],tblTargets[TargetType],"")</f>
        <v>TECH</v>
      </c>
      <c r="C550" s="48" t="b">
        <f ca="1">COUNTIF(tblTargets[TargetID], $A550) &gt; 0</f>
        <v>1</v>
      </c>
      <c r="D550" s="48" t="b">
        <f ca="1">IF(OR(LEFT(tblValidation[[#This Row],[TargetID]],10)="state.CHAR",RIGHT(tblValidation[[#This Row],[TargetID]],5)="maxed"),TRUE, COUNTIF(tblChecklist[TargetID], $A550) &gt; 0)</f>
        <v>1</v>
      </c>
      <c r="E5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$A550) &gt; 0)</f>
        <v>1</v>
      </c>
      <c r="F550" s="48" t="b">
        <f ca="1">COUNTIF(tblDependencies[DependencyID], $A550) &gt; 0</f>
        <v>0</v>
      </c>
      <c r="G550" s="48" t="b">
        <f ca="1">COUNTIF(tblQuestObjectives[QuestTargetID], $A550) &gt; 0</f>
        <v>0</v>
      </c>
      <c r="H550" s="48" t="b">
        <f ca="1">COUNTIF(tblQuestObjectives[ObjectiveID], $A550) &gt; 0</f>
        <v>0</v>
      </c>
      <c r="I550" s="48" t="b">
        <f ca="1">COUNTIF(tblTargetStatus[TargetID], $A550) &gt; 0</f>
        <v>1</v>
      </c>
      <c r="J550" s="48" t="b">
        <f ca="1">COUNTIF(tblCost[TargetID], $A550) &gt; 0</f>
        <v>1</v>
      </c>
      <c r="K550" s="48" t="b">
        <f ca="1">COUNTIF(tblStates[StateID], $A550) &gt; 0</f>
        <v>0</v>
      </c>
      <c r="L550" s="48" t="b">
        <f t="shared" ca="1" si="17"/>
        <v>1</v>
      </c>
      <c r="M550" s="48" t="b">
        <f ca="1">IF(tblValidation[[#This Row],[TargetID]]="","",COUNTIF(tblTargets[TargetID],A550)&gt;1)</f>
        <v>0</v>
      </c>
      <c r="N550" s="48" t="b">
        <f ca="1">IF(tblValidation[[#This Row],[TargetID]]="","",COUNTIF(tblStates[StateID],tblValidation[[#This Row],[TargetID]])&gt;1)</f>
        <v>0</v>
      </c>
      <c r="O550" s="48" t="b" cm="1">
        <f t="array" aca="1" ref="O5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0" s="48"/>
      <c r="R550" s="48"/>
      <c r="S550" s="48"/>
      <c r="T550" s="48"/>
      <c r="V550" s="2" t="str">
        <f ca="1"/>
        <v>tech.field.combine_harvester</v>
      </c>
      <c r="X550" s="2" t="str">
        <f ca="1"/>
        <v>tech.field.combine_harvester</v>
      </c>
      <c r="Y550" s="2" t="str">
        <f ca="1"/>
        <v>tech.workshop.explosive_mechanical_spider</v>
      </c>
      <c r="Z550" s="2" t="str">
        <f ca="1"/>
        <v>tech.tailor.armor_for_a_hero_lvl_4</v>
      </c>
      <c r="AD550" s="2" t="str">
        <f ca="1"/>
        <v>tech.field.combine_harvester</v>
      </c>
    </row>
    <row r="551" spans="1:30">
      <c r="A551" t="str">
        <f t="shared" ca="1" si="16"/>
        <v>tech.field.seed_drill</v>
      </c>
      <c r="B551" t="str">
        <f ca="1">_xlfn.XLOOKUP(tblValidation[[#This Row],[TargetID]],tblTargets[TargetID],tblTargets[TargetType],"")</f>
        <v>TECH</v>
      </c>
      <c r="C551" s="48" t="b">
        <f ca="1">COUNTIF(tblTargets[TargetID], $A551) &gt; 0</f>
        <v>1</v>
      </c>
      <c r="D551" s="48" t="b">
        <f ca="1">IF(OR(LEFT(tblValidation[[#This Row],[TargetID]],10)="state.CHAR",RIGHT(tblValidation[[#This Row],[TargetID]],5)="maxed"),TRUE, COUNTIF(tblChecklist[TargetID], $A551) &gt; 0)</f>
        <v>1</v>
      </c>
      <c r="E5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$A551) &gt; 0)</f>
        <v>1</v>
      </c>
      <c r="F551" s="48" t="b">
        <f ca="1">COUNTIF(tblDependencies[DependencyID], $A551) &gt; 0</f>
        <v>1</v>
      </c>
      <c r="G551" s="48" t="b">
        <f ca="1">COUNTIF(tblQuestObjectives[QuestTargetID], $A551) &gt; 0</f>
        <v>0</v>
      </c>
      <c r="H551" s="48" t="b">
        <f ca="1">COUNTIF(tblQuestObjectives[ObjectiveID], $A551) &gt; 0</f>
        <v>0</v>
      </c>
      <c r="I551" s="48" t="b">
        <f ca="1">COUNTIF(tblTargetStatus[TargetID], $A551) &gt; 0</f>
        <v>1</v>
      </c>
      <c r="J551" s="48" t="b">
        <f ca="1">COUNTIF(tblCost[TargetID], $A551) &gt; 0</f>
        <v>1</v>
      </c>
      <c r="K551" s="48" t="b">
        <f ca="1">COUNTIF(tblStates[StateID], $A551) &gt; 0</f>
        <v>0</v>
      </c>
      <c r="L551" s="48" t="b">
        <f t="shared" ca="1" si="17"/>
        <v>1</v>
      </c>
      <c r="M551" s="48" t="b">
        <f ca="1">IF(tblValidation[[#This Row],[TargetID]]="","",COUNTIF(tblTargets[TargetID],A551)&gt;1)</f>
        <v>0</v>
      </c>
      <c r="N551" s="48" t="b">
        <f ca="1">IF(tblValidation[[#This Row],[TargetID]]="","",COUNTIF(tblStates[StateID],tblValidation[[#This Row],[TargetID]])&gt;1)</f>
        <v>0</v>
      </c>
      <c r="O551" s="48" t="b" cm="1">
        <f t="array" aca="1" ref="O5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1" s="48"/>
      <c r="R551" s="48"/>
      <c r="S551" s="48"/>
      <c r="T551" s="48"/>
      <c r="V551" s="2" t="str">
        <f ca="1"/>
        <v>tech.field.seed_drill</v>
      </c>
      <c r="X551" s="2" t="str">
        <f ca="1"/>
        <v>tech.field.seed_drill</v>
      </c>
      <c r="Y551" s="2" t="str">
        <f ca="1"/>
        <v>tech.workshop.mechanical_spider</v>
      </c>
      <c r="Z551" s="2" t="str">
        <f ca="1"/>
        <v>tech.tailor.armor_for_a_hero_lvl_4+</v>
      </c>
      <c r="AD551" s="2" t="str">
        <f ca="1"/>
        <v>tech.field.seed_drill</v>
      </c>
    </row>
    <row r="552" spans="1:30">
      <c r="A552" t="str">
        <f t="shared" ca="1" si="16"/>
        <v>tech.field.soybean</v>
      </c>
      <c r="B552" t="str">
        <f ca="1">_xlfn.XLOOKUP(tblValidation[[#This Row],[TargetID]],tblTargets[TargetID],tblTargets[TargetType],"")</f>
        <v>TECH</v>
      </c>
      <c r="C552" s="48" t="b">
        <f ca="1">COUNTIF(tblTargets[TargetID], $A552) &gt; 0</f>
        <v>1</v>
      </c>
      <c r="D552" s="48" t="b">
        <f ca="1">IF(OR(LEFT(tblValidation[[#This Row],[TargetID]],10)="state.CHAR",RIGHT(tblValidation[[#This Row],[TargetID]],5)="maxed"),TRUE, COUNTIF(tblChecklist[TargetID], $A552) &gt; 0)</f>
        <v>1</v>
      </c>
      <c r="E5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$A552) &gt; 0)</f>
        <v>1</v>
      </c>
      <c r="F552" s="48" t="b">
        <f ca="1">COUNTIF(tblDependencies[DependencyID], $A552) &gt; 0</f>
        <v>0</v>
      </c>
      <c r="G552" s="48" t="b">
        <f ca="1">COUNTIF(tblQuestObjectives[QuestTargetID], $A552) &gt; 0</f>
        <v>0</v>
      </c>
      <c r="H552" s="48" t="b">
        <f ca="1">COUNTIF(tblQuestObjectives[ObjectiveID], $A552) &gt; 0</f>
        <v>0</v>
      </c>
      <c r="I552" s="48" t="b">
        <f ca="1">COUNTIF(tblTargetStatus[TargetID], $A552) &gt; 0</f>
        <v>1</v>
      </c>
      <c r="J552" s="48" t="b">
        <f ca="1">COUNTIF(tblCost[TargetID], $A552) &gt; 0</f>
        <v>1</v>
      </c>
      <c r="K552" s="48" t="b">
        <f ca="1">COUNTIF(tblStates[StateID], $A552) &gt; 0</f>
        <v>0</v>
      </c>
      <c r="L552" s="48" t="b">
        <f t="shared" ca="1" si="17"/>
        <v>1</v>
      </c>
      <c r="M552" s="48" t="b">
        <f ca="1">IF(tblValidation[[#This Row],[TargetID]]="","",COUNTIF(tblTargets[TargetID],A552)&gt;1)</f>
        <v>0</v>
      </c>
      <c r="N552" s="48" t="b">
        <f ca="1">IF(tblValidation[[#This Row],[TargetID]]="","",COUNTIF(tblStates[StateID],tblValidation[[#This Row],[TargetID]])&gt;1)</f>
        <v>0</v>
      </c>
      <c r="O552" s="48" t="b" cm="1">
        <f t="array" aca="1" ref="O5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2" s="48"/>
      <c r="R552" s="48"/>
      <c r="S552" s="48"/>
      <c r="T552" s="48"/>
      <c r="V552" s="2" t="str">
        <f ca="1"/>
        <v>tech.field.soybean</v>
      </c>
      <c r="X552" s="2" t="str">
        <f ca="1"/>
        <v>tech.field.soybean</v>
      </c>
      <c r="Y552" s="2" t="str">
        <f ca="1"/>
        <v>tech.workshop.mechanism</v>
      </c>
      <c r="Z552" s="2" t="str">
        <f ca="1"/>
        <v>tech.tailor.bedroll</v>
      </c>
      <c r="AD552" s="2" t="str">
        <f ca="1"/>
        <v>tech.field.soybean</v>
      </c>
    </row>
    <row r="553" spans="1:30">
      <c r="A553" t="str">
        <f t="shared" ca="1" si="16"/>
        <v>tech.food_stall.conveyor_belt_sushi</v>
      </c>
      <c r="B553" t="str">
        <f ca="1">_xlfn.XLOOKUP(tblValidation[[#This Row],[TargetID]],tblTargets[TargetID],tblTargets[TargetType],"")</f>
        <v>TECH</v>
      </c>
      <c r="C553" s="48" t="b">
        <f ca="1">COUNTIF(tblTargets[TargetID], $A553) &gt; 0</f>
        <v>1</v>
      </c>
      <c r="D553" s="48" t="b">
        <f ca="1">IF(OR(LEFT(tblValidation[[#This Row],[TargetID]],10)="state.CHAR",RIGHT(tblValidation[[#This Row],[TargetID]],5)="maxed"),TRUE, COUNTIF(tblChecklist[TargetID], $A553) &gt; 0)</f>
        <v>1</v>
      </c>
      <c r="E5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$A553) &gt; 0)</f>
        <v>1</v>
      </c>
      <c r="F553" s="48" t="b">
        <f ca="1">COUNTIF(tblDependencies[DependencyID], $A553) &gt; 0</f>
        <v>0</v>
      </c>
      <c r="G553" s="48" t="b">
        <f ca="1">COUNTIF(tblQuestObjectives[QuestTargetID], $A553) &gt; 0</f>
        <v>0</v>
      </c>
      <c r="H553" s="48" t="b">
        <f ca="1">COUNTIF(tblQuestObjectives[ObjectiveID], $A553) &gt; 0</f>
        <v>0</v>
      </c>
      <c r="I553" s="48" t="b">
        <f ca="1">COUNTIF(tblTargetStatus[TargetID], $A553) &gt; 0</f>
        <v>1</v>
      </c>
      <c r="J553" s="48" t="b">
        <f ca="1">COUNTIF(tblCost[TargetID], $A553) &gt; 0</f>
        <v>1</v>
      </c>
      <c r="K553" s="48" t="b">
        <f ca="1">COUNTIF(tblStates[StateID], $A553) &gt; 0</f>
        <v>0</v>
      </c>
      <c r="L553" s="48" t="b">
        <f t="shared" ca="1" si="17"/>
        <v>1</v>
      </c>
      <c r="M553" s="48" t="b">
        <f ca="1">IF(tblValidation[[#This Row],[TargetID]]="","",COUNTIF(tblTargets[TargetID],A553)&gt;1)</f>
        <v>0</v>
      </c>
      <c r="N553" s="48" t="b">
        <f ca="1">IF(tblValidation[[#This Row],[TargetID]]="","",COUNTIF(tblStates[StateID],tblValidation[[#This Row],[TargetID]])&gt;1)</f>
        <v>0</v>
      </c>
      <c r="O553" s="48" t="b" cm="1">
        <f t="array" aca="1" ref="O5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3" s="48"/>
      <c r="R553" s="48"/>
      <c r="S553" s="48"/>
      <c r="T553" s="48"/>
      <c r="V553" s="2" t="str">
        <f ca="1"/>
        <v>tech.food_stall.conveyor_belt_sushi</v>
      </c>
      <c r="X553" s="2" t="str">
        <f ca="1"/>
        <v>tech.food_stall.conveyor_belt_sushi</v>
      </c>
      <c r="Y553" s="2" t="str">
        <f ca="1"/>
        <v>tech.workshop.shield_for_a_hero_lvl_1</v>
      </c>
      <c r="Z553" s="2" t="str">
        <f ca="1"/>
        <v>tech.tailor.colored_threads</v>
      </c>
      <c r="AD553" s="2" t="str">
        <f ca="1"/>
        <v>tech.food_stall.conveyor_belt_sushi</v>
      </c>
    </row>
    <row r="554" spans="1:30">
      <c r="A554" t="str">
        <f t="shared" ca="1" si="16"/>
        <v>tech.food_stall.inarizushi</v>
      </c>
      <c r="B554" t="str">
        <f ca="1">_xlfn.XLOOKUP(tblValidation[[#This Row],[TargetID]],tblTargets[TargetID],tblTargets[TargetType],"")</f>
        <v>TECH</v>
      </c>
      <c r="C554" s="48" t="b">
        <f ca="1">COUNTIF(tblTargets[TargetID], $A554) &gt; 0</f>
        <v>1</v>
      </c>
      <c r="D554" s="48" t="b">
        <f ca="1">IF(OR(LEFT(tblValidation[[#This Row],[TargetID]],10)="state.CHAR",RIGHT(tblValidation[[#This Row],[TargetID]],5)="maxed"),TRUE, COUNTIF(tblChecklist[TargetID], $A554) &gt; 0)</f>
        <v>1</v>
      </c>
      <c r="E5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$A554) &gt; 0)</f>
        <v>1</v>
      </c>
      <c r="F554" s="48" t="b">
        <f ca="1">COUNTIF(tblDependencies[DependencyID], $A554) &gt; 0</f>
        <v>0</v>
      </c>
      <c r="G554" s="48" t="b">
        <f ca="1">COUNTIF(tblQuestObjectives[QuestTargetID], $A554) &gt; 0</f>
        <v>0</v>
      </c>
      <c r="H554" s="48" t="b">
        <f ca="1">COUNTIF(tblQuestObjectives[ObjectiveID], $A554) &gt; 0</f>
        <v>0</v>
      </c>
      <c r="I554" s="48" t="b">
        <f ca="1">COUNTIF(tblTargetStatus[TargetID], $A554) &gt; 0</f>
        <v>1</v>
      </c>
      <c r="J554" s="48" t="b">
        <f ca="1">COUNTIF(tblCost[TargetID], $A554) &gt; 0</f>
        <v>1</v>
      </c>
      <c r="K554" s="48" t="b">
        <f ca="1">COUNTIF(tblStates[StateID], $A554) &gt; 0</f>
        <v>0</v>
      </c>
      <c r="L554" s="48" t="b">
        <f t="shared" ca="1" si="17"/>
        <v>1</v>
      </c>
      <c r="M554" s="48" t="b">
        <f ca="1">IF(tblValidation[[#This Row],[TargetID]]="","",COUNTIF(tblTargets[TargetID],A554)&gt;1)</f>
        <v>0</v>
      </c>
      <c r="N554" s="48" t="b">
        <f ca="1">IF(tblValidation[[#This Row],[TargetID]]="","",COUNTIF(tblStates[StateID],tblValidation[[#This Row],[TargetID]])&gt;1)</f>
        <v>0</v>
      </c>
      <c r="O554" s="48" t="b" cm="1">
        <f t="array" aca="1" ref="O5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4" s="48"/>
      <c r="R554" s="48"/>
      <c r="S554" s="48"/>
      <c r="T554" s="48"/>
      <c r="V554" s="2" t="str">
        <f ca="1"/>
        <v>tech.food_stall.inarizushi</v>
      </c>
      <c r="X554" s="2" t="str">
        <f ca="1"/>
        <v>tech.food_stall.inarizushi</v>
      </c>
      <c r="Y554" s="2" t="str">
        <f ca="1"/>
        <v>tech.workshop.shield_for_a_hero_lvl_2</v>
      </c>
      <c r="Z554" s="2" t="str">
        <f ca="1"/>
        <v>tech.tailor.salamander_velour</v>
      </c>
      <c r="AD554" s="2" t="str">
        <f ca="1"/>
        <v>tech.food_stall.inarizushi</v>
      </c>
    </row>
    <row r="555" spans="1:30">
      <c r="A555" t="str">
        <f t="shared" ca="1" si="16"/>
        <v>tech.food_stall.jam</v>
      </c>
      <c r="B555" t="str">
        <f ca="1">_xlfn.XLOOKUP(tblValidation[[#This Row],[TargetID]],tblTargets[TargetID],tblTargets[TargetType],"")</f>
        <v>TECH</v>
      </c>
      <c r="C555" s="48" t="b">
        <f ca="1">COUNTIF(tblTargets[TargetID], $A555) &gt; 0</f>
        <v>1</v>
      </c>
      <c r="D555" s="48" t="b">
        <f ca="1">IF(OR(LEFT(tblValidation[[#This Row],[TargetID]],10)="state.CHAR",RIGHT(tblValidation[[#This Row],[TargetID]],5)="maxed"),TRUE, COUNTIF(tblChecklist[TargetID], $A555) &gt; 0)</f>
        <v>1</v>
      </c>
      <c r="E5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$A555) &gt; 0)</f>
        <v>1</v>
      </c>
      <c r="F555" s="48" t="b">
        <f ca="1">COUNTIF(tblDependencies[DependencyID], $A555) &gt; 0</f>
        <v>0</v>
      </c>
      <c r="G555" s="48" t="b">
        <f ca="1">COUNTIF(tblQuestObjectives[QuestTargetID], $A555) &gt; 0</f>
        <v>0</v>
      </c>
      <c r="H555" s="48" t="b">
        <f ca="1">COUNTIF(tblQuestObjectives[ObjectiveID], $A555) &gt; 0</f>
        <v>1</v>
      </c>
      <c r="I555" s="48" t="b">
        <f ca="1">COUNTIF(tblTargetStatus[TargetID], $A555) &gt; 0</f>
        <v>1</v>
      </c>
      <c r="J555" s="48" t="b">
        <f ca="1">COUNTIF(tblCost[TargetID], $A555) &gt; 0</f>
        <v>1</v>
      </c>
      <c r="K555" s="48" t="b">
        <f ca="1">COUNTIF(tblStates[StateID], $A555) &gt; 0</f>
        <v>0</v>
      </c>
      <c r="L555" s="48" t="b">
        <f t="shared" ca="1" si="17"/>
        <v>1</v>
      </c>
      <c r="M555" s="48" t="b">
        <f ca="1">IF(tblValidation[[#This Row],[TargetID]]="","",COUNTIF(tblTargets[TargetID],A555)&gt;1)</f>
        <v>0</v>
      </c>
      <c r="N555" s="48" t="b">
        <f ca="1">IF(tblValidation[[#This Row],[TargetID]]="","",COUNTIF(tblStates[StateID],tblValidation[[#This Row],[TargetID]])&gt;1)</f>
        <v>0</v>
      </c>
      <c r="O555" s="48" t="b" cm="1">
        <f t="array" aca="1" ref="O5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5" s="48"/>
      <c r="R555" s="48"/>
      <c r="S555" s="48"/>
      <c r="T555" s="48"/>
      <c r="V555" s="2" t="str">
        <f ca="1"/>
        <v>tech.food_stall.jam</v>
      </c>
      <c r="X555" s="2" t="str">
        <f ca="1"/>
        <v>tech.food_stall.jam</v>
      </c>
      <c r="Y555" s="2" t="str">
        <f ca="1"/>
        <v>tech.workshop.shield_for_a_hero_lvl_3</v>
      </c>
      <c r="Z555" s="2" t="str">
        <f ca="1"/>
        <v>tech.tailor.strong_rivets</v>
      </c>
      <c r="AD555" s="2" t="str">
        <f ca="1"/>
        <v>tech.food_stall.jam</v>
      </c>
    </row>
    <row r="556" spans="1:30">
      <c r="A556" t="str">
        <f t="shared" ca="1" si="16"/>
        <v>tech.food_stall.mandra_cola</v>
      </c>
      <c r="B556" t="str">
        <f ca="1">_xlfn.XLOOKUP(tblValidation[[#This Row],[TargetID]],tblTargets[TargetID],tblTargets[TargetType],"")</f>
        <v>TECH</v>
      </c>
      <c r="C556" s="48" t="b">
        <f ca="1">COUNTIF(tblTargets[TargetID], $A556) &gt; 0</f>
        <v>1</v>
      </c>
      <c r="D556" s="48" t="b">
        <f ca="1">IF(OR(LEFT(tblValidation[[#This Row],[TargetID]],10)="state.CHAR",RIGHT(tblValidation[[#This Row],[TargetID]],5)="maxed"),TRUE, COUNTIF(tblChecklist[TargetID], $A556) &gt; 0)</f>
        <v>1</v>
      </c>
      <c r="E5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$A556) &gt; 0)</f>
        <v>1</v>
      </c>
      <c r="F556" s="48" t="b">
        <f ca="1">COUNTIF(tblDependencies[DependencyID], $A556) &gt; 0</f>
        <v>0</v>
      </c>
      <c r="G556" s="48" t="b">
        <f ca="1">COUNTIF(tblQuestObjectives[QuestTargetID], $A556) &gt; 0</f>
        <v>0</v>
      </c>
      <c r="H556" s="48" t="b">
        <f ca="1">COUNTIF(tblQuestObjectives[ObjectiveID], $A556) &gt; 0</f>
        <v>1</v>
      </c>
      <c r="I556" s="48" t="b">
        <f ca="1">COUNTIF(tblTargetStatus[TargetID], $A556) &gt; 0</f>
        <v>1</v>
      </c>
      <c r="J556" s="48" t="b">
        <f ca="1">COUNTIF(tblCost[TargetID], $A556) &gt; 0</f>
        <v>1</v>
      </c>
      <c r="K556" s="48" t="b">
        <f ca="1">COUNTIF(tblStates[StateID], $A556) &gt; 0</f>
        <v>0</v>
      </c>
      <c r="L556" s="48" t="b">
        <f t="shared" ca="1" si="17"/>
        <v>1</v>
      </c>
      <c r="M556" s="48" t="b">
        <f ca="1">IF(tblValidation[[#This Row],[TargetID]]="","",COUNTIF(tblTargets[TargetID],A556)&gt;1)</f>
        <v>0</v>
      </c>
      <c r="N556" s="48" t="b">
        <f ca="1">IF(tblValidation[[#This Row],[TargetID]]="","",COUNTIF(tblStates[StateID],tblValidation[[#This Row],[TargetID]])&gt;1)</f>
        <v>0</v>
      </c>
      <c r="O556" s="48" t="b" cm="1">
        <f t="array" aca="1" ref="O5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6" s="48"/>
      <c r="R556" s="48"/>
      <c r="S556" s="48"/>
      <c r="T556" s="48"/>
      <c r="V556" s="2" t="str">
        <f ca="1"/>
        <v>tech.food_stall.mandra_cola</v>
      </c>
      <c r="X556" s="2" t="str">
        <f ca="1"/>
        <v>tech.food_stall.mandra_cola</v>
      </c>
      <c r="Y556" s="2" t="str">
        <f ca="1"/>
        <v>tech.workshop.shield_for_a_hero_lvl_4</v>
      </c>
      <c r="Z556" s="2" t="str">
        <f ca="1"/>
        <v>tech.tailor.strong_stitch</v>
      </c>
      <c r="AD556" s="2" t="str">
        <f ca="1"/>
        <v>tech.food_stall.mandra_cola</v>
      </c>
    </row>
    <row r="557" spans="1:30">
      <c r="A557" t="str">
        <f t="shared" ca="1" si="16"/>
        <v>tech.food_stall.mayonnaise</v>
      </c>
      <c r="B557" t="str">
        <f ca="1">_xlfn.XLOOKUP(tblValidation[[#This Row],[TargetID]],tblTargets[TargetID],tblTargets[TargetType],"")</f>
        <v>TECH</v>
      </c>
      <c r="C557" s="48" t="b">
        <f ca="1">COUNTIF(tblTargets[TargetID], $A557) &gt; 0</f>
        <v>1</v>
      </c>
      <c r="D557" s="48" t="b">
        <f ca="1">IF(OR(LEFT(tblValidation[[#This Row],[TargetID]],10)="state.CHAR",RIGHT(tblValidation[[#This Row],[TargetID]],5)="maxed"),TRUE, COUNTIF(tblChecklist[TargetID], $A557) &gt; 0)</f>
        <v>1</v>
      </c>
      <c r="E5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$A557) &gt; 0)</f>
        <v>1</v>
      </c>
      <c r="F557" s="48" t="b">
        <f ca="1">COUNTIF(tblDependencies[DependencyID], $A557) &gt; 0</f>
        <v>0</v>
      </c>
      <c r="G557" s="48" t="b">
        <f ca="1">COUNTIF(tblQuestObjectives[QuestTargetID], $A557) &gt; 0</f>
        <v>0</v>
      </c>
      <c r="H557" s="48" t="b">
        <f ca="1">COUNTIF(tblQuestObjectives[ObjectiveID], $A557) &gt; 0</f>
        <v>1</v>
      </c>
      <c r="I557" s="48" t="b">
        <f ca="1">COUNTIF(tblTargetStatus[TargetID], $A557) &gt; 0</f>
        <v>1</v>
      </c>
      <c r="J557" s="48" t="b">
        <f ca="1">COUNTIF(tblCost[TargetID], $A557) &gt; 0</f>
        <v>1</v>
      </c>
      <c r="K557" s="48" t="b">
        <f ca="1">COUNTIF(tblStates[StateID], $A557) &gt; 0</f>
        <v>0</v>
      </c>
      <c r="L557" s="48" t="b">
        <f t="shared" ca="1" si="17"/>
        <v>1</v>
      </c>
      <c r="M557" s="48" t="b">
        <f ca="1">IF(tblValidation[[#This Row],[TargetID]]="","",COUNTIF(tblTargets[TargetID],A557)&gt;1)</f>
        <v>0</v>
      </c>
      <c r="N557" s="48" t="b">
        <f ca="1">IF(tblValidation[[#This Row],[TargetID]]="","",COUNTIF(tblStates[StateID],tblValidation[[#This Row],[TargetID]])&gt;1)</f>
        <v>0</v>
      </c>
      <c r="O557" s="48" t="b" cm="1">
        <f t="array" aca="1" ref="O5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7" s="48"/>
      <c r="R557" s="48"/>
      <c r="S557" s="48"/>
      <c r="T557" s="48"/>
      <c r="V557" s="2" t="str">
        <f ca="1"/>
        <v>tech.food_stall.mayonnaise</v>
      </c>
      <c r="X557" s="2" t="str">
        <f ca="1"/>
        <v>tech.food_stall.mayonnaise</v>
      </c>
      <c r="Y557" s="2" t="str">
        <f ca="1"/>
        <v>tech.workshop.shield_for_a_hero_lvl_4+</v>
      </c>
      <c r="Z557" s="2" t="str">
        <f ca="1"/>
        <v>tech.train.automatic_lubricator</v>
      </c>
      <c r="AD557" s="2" t="str">
        <f ca="1"/>
        <v>tech.food_stall.mayonnaise</v>
      </c>
    </row>
    <row r="558" spans="1:30">
      <c r="A558" t="str">
        <f t="shared" ca="1" si="16"/>
        <v>tech.food_stall.miso_soup</v>
      </c>
      <c r="B558" t="str">
        <f ca="1">_xlfn.XLOOKUP(tblValidation[[#This Row],[TargetID]],tblTargets[TargetID],tblTargets[TargetType],"")</f>
        <v>TECH</v>
      </c>
      <c r="C558" s="48" t="b">
        <f ca="1">COUNTIF(tblTargets[TargetID], $A558) &gt; 0</f>
        <v>1</v>
      </c>
      <c r="D558" s="48" t="b">
        <f ca="1">IF(OR(LEFT(tblValidation[[#This Row],[TargetID]],10)="state.CHAR",RIGHT(tblValidation[[#This Row],[TargetID]],5)="maxed"),TRUE, COUNTIF(tblChecklist[TargetID], $A558) &gt; 0)</f>
        <v>1</v>
      </c>
      <c r="E5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$A558) &gt; 0)</f>
        <v>1</v>
      </c>
      <c r="F558" s="48" t="b">
        <f ca="1">COUNTIF(tblDependencies[DependencyID], $A558) &gt; 0</f>
        <v>0</v>
      </c>
      <c r="G558" s="48" t="b">
        <f ca="1">COUNTIF(tblQuestObjectives[QuestTargetID], $A558) &gt; 0</f>
        <v>0</v>
      </c>
      <c r="H558" s="48" t="b">
        <f ca="1">COUNTIF(tblQuestObjectives[ObjectiveID], $A558) &gt; 0</f>
        <v>0</v>
      </c>
      <c r="I558" s="48" t="b">
        <f ca="1">COUNTIF(tblTargetStatus[TargetID], $A558) &gt; 0</f>
        <v>1</v>
      </c>
      <c r="J558" s="48" t="b">
        <f ca="1">COUNTIF(tblCost[TargetID], $A558) &gt; 0</f>
        <v>1</v>
      </c>
      <c r="K558" s="48" t="b">
        <f ca="1">COUNTIF(tblStates[StateID], $A558) &gt; 0</f>
        <v>0</v>
      </c>
      <c r="L558" s="48" t="b">
        <f t="shared" ca="1" si="17"/>
        <v>1</v>
      </c>
      <c r="M558" s="48" t="b">
        <f ca="1">IF(tblValidation[[#This Row],[TargetID]]="","",COUNTIF(tblTargets[TargetID],A558)&gt;1)</f>
        <v>0</v>
      </c>
      <c r="N558" s="48" t="b">
        <f ca="1">IF(tblValidation[[#This Row],[TargetID]]="","",COUNTIF(tblStates[StateID],tblValidation[[#This Row],[TargetID]])&gt;1)</f>
        <v>0</v>
      </c>
      <c r="O558" s="48" t="b" cm="1">
        <f t="array" aca="1" ref="O5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8" s="48"/>
      <c r="R558" s="48"/>
      <c r="S558" s="48"/>
      <c r="T558" s="48"/>
      <c r="V558" s="2" t="str">
        <f ca="1"/>
        <v>tech.food_stall.miso_soup</v>
      </c>
      <c r="X558" s="2" t="str">
        <f ca="1"/>
        <v>tech.food_stall.miso_soup</v>
      </c>
      <c r="Y558" s="2" t="str">
        <f ca="1"/>
        <v>tech.workshop.steamobile</v>
      </c>
      <c r="Z558" s="2" t="str">
        <f ca="1"/>
        <v>tech.train.compound_engine</v>
      </c>
      <c r="AD558" s="2" t="str">
        <f ca="1"/>
        <v>tech.food_stall.miso_soup</v>
      </c>
    </row>
    <row r="559" spans="1:30">
      <c r="A559" t="str">
        <f t="shared" ca="1" si="16"/>
        <v>tech.food_stall.quintessence_of_taste</v>
      </c>
      <c r="B559" t="str">
        <f ca="1">_xlfn.XLOOKUP(tblValidation[[#This Row],[TargetID]],tblTargets[TargetID],tblTargets[TargetType],"")</f>
        <v>TECH</v>
      </c>
      <c r="C559" s="48" t="b">
        <f ca="1">COUNTIF(tblTargets[TargetID], $A559) &gt; 0</f>
        <v>1</v>
      </c>
      <c r="D559" s="48" t="b">
        <f ca="1">IF(OR(LEFT(tblValidation[[#This Row],[TargetID]],10)="state.CHAR",RIGHT(tblValidation[[#This Row],[TargetID]],5)="maxed"),TRUE, COUNTIF(tblChecklist[TargetID], $A559) &gt; 0)</f>
        <v>1</v>
      </c>
      <c r="E5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$A559) &gt; 0)</f>
        <v>1</v>
      </c>
      <c r="F559" s="48" t="b">
        <f ca="1">COUNTIF(tblDependencies[DependencyID], $A559) &gt; 0</f>
        <v>0</v>
      </c>
      <c r="G559" s="48" t="b">
        <f ca="1">COUNTIF(tblQuestObjectives[QuestTargetID], $A559) &gt; 0</f>
        <v>0</v>
      </c>
      <c r="H559" s="48" t="b">
        <f ca="1">COUNTIF(tblQuestObjectives[ObjectiveID], $A559) &gt; 0</f>
        <v>1</v>
      </c>
      <c r="I559" s="48" t="b">
        <f ca="1">COUNTIF(tblTargetStatus[TargetID], $A559) &gt; 0</f>
        <v>1</v>
      </c>
      <c r="J559" s="48" t="b">
        <f ca="1">COUNTIF(tblCost[TargetID], $A559) &gt; 0</f>
        <v>1</v>
      </c>
      <c r="K559" s="48" t="b">
        <f ca="1">COUNTIF(tblStates[StateID], $A559) &gt; 0</f>
        <v>0</v>
      </c>
      <c r="L559" s="48" t="b">
        <f t="shared" ca="1" si="17"/>
        <v>1</v>
      </c>
      <c r="M559" s="48" t="b">
        <f ca="1">IF(tblValidation[[#This Row],[TargetID]]="","",COUNTIF(tblTargets[TargetID],A559)&gt;1)</f>
        <v>0</v>
      </c>
      <c r="N559" s="48" t="b">
        <f ca="1">IF(tblValidation[[#This Row],[TargetID]]="","",COUNTIF(tblStates[StateID],tblValidation[[#This Row],[TargetID]])&gt;1)</f>
        <v>0</v>
      </c>
      <c r="O559" s="48" t="b" cm="1">
        <f t="array" aca="1" ref="O5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9" s="48"/>
      <c r="R559" s="48"/>
      <c r="S559" s="48"/>
      <c r="T559" s="48"/>
      <c r="V559" s="2" t="str">
        <f ca="1"/>
        <v>tech.food_stall.quintessence_of_taste</v>
      </c>
      <c r="X559" s="2" t="str">
        <f ca="1"/>
        <v>tech.food_stall.quintessence_of_taste</v>
      </c>
      <c r="Y559" s="2" t="str">
        <f ca="1"/>
        <v>tech.workshop.strong_glue</v>
      </c>
      <c r="Z559" s="2" t="str">
        <f ca="1"/>
        <v>tech.train.onboard_computer</v>
      </c>
      <c r="AD559" s="2" t="str">
        <f ca="1"/>
        <v>tech.food_stall.quintessence_of_taste</v>
      </c>
    </row>
    <row r="560" spans="1:30">
      <c r="A560" t="str">
        <f t="shared" ca="1" si="16"/>
        <v>tech.furnace.conveyor</v>
      </c>
      <c r="B560" t="str">
        <f ca="1">_xlfn.XLOOKUP(tblValidation[[#This Row],[TargetID]],tblTargets[TargetID],tblTargets[TargetType],"")</f>
        <v>TECH</v>
      </c>
      <c r="C560" s="48" t="b">
        <f ca="1">COUNTIF(tblTargets[TargetID], $A560) &gt; 0</f>
        <v>1</v>
      </c>
      <c r="D560" s="48" t="b">
        <f ca="1">IF(OR(LEFT(tblValidation[[#This Row],[TargetID]],10)="state.CHAR",RIGHT(tblValidation[[#This Row],[TargetID]],5)="maxed"),TRUE, COUNTIF(tblChecklist[TargetID], $A560) &gt; 0)</f>
        <v>1</v>
      </c>
      <c r="E5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$A560) &gt; 0)</f>
        <v>1</v>
      </c>
      <c r="F560" s="48" t="b">
        <f ca="1">COUNTIF(tblDependencies[DependencyID], $A560) &gt; 0</f>
        <v>0</v>
      </c>
      <c r="G560" s="48" t="b">
        <f ca="1">COUNTIF(tblQuestObjectives[QuestTargetID], $A560) &gt; 0</f>
        <v>0</v>
      </c>
      <c r="H560" s="48" t="b">
        <f ca="1">COUNTIF(tblQuestObjectives[ObjectiveID], $A560) &gt; 0</f>
        <v>0</v>
      </c>
      <c r="I560" s="48" t="b">
        <f ca="1">COUNTIF(tblTargetStatus[TargetID], $A560) &gt; 0</f>
        <v>1</v>
      </c>
      <c r="J560" s="48" t="b">
        <f ca="1">COUNTIF(tblCost[TargetID], $A560) &gt; 0</f>
        <v>1</v>
      </c>
      <c r="K560" s="48" t="b">
        <f ca="1">COUNTIF(tblStates[StateID], $A560) &gt; 0</f>
        <v>0</v>
      </c>
      <c r="L560" s="48" t="b">
        <f t="shared" ca="1" si="17"/>
        <v>1</v>
      </c>
      <c r="M560" s="48" t="b">
        <f ca="1">IF(tblValidation[[#This Row],[TargetID]]="","",COUNTIF(tblTargets[TargetID],A560)&gt;1)</f>
        <v>0</v>
      </c>
      <c r="N560" s="48" t="b">
        <f ca="1">IF(tblValidation[[#This Row],[TargetID]]="","",COUNTIF(tblStates[StateID],tblValidation[[#This Row],[TargetID]])&gt;1)</f>
        <v>0</v>
      </c>
      <c r="O560" s="48" t="b" cm="1">
        <f t="array" aca="1" ref="O5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0" s="48"/>
      <c r="R560" s="48"/>
      <c r="S560" s="48"/>
      <c r="T560" s="48"/>
      <c r="V560" s="2" t="str">
        <f ca="1"/>
        <v>tech.furnace.conveyor</v>
      </c>
      <c r="X560" s="2" t="str">
        <f ca="1"/>
        <v>tech.furnace.conveyor</v>
      </c>
      <c r="Y560" s="2" t="str">
        <f ca="1"/>
        <v>tech.workshop.throwing_net</v>
      </c>
      <c r="Z560" s="2" t="str">
        <f ca="1"/>
        <v>tech.train.superheater</v>
      </c>
      <c r="AD560" s="2" t="str">
        <f ca="1"/>
        <v>tech.furnace.conveyor</v>
      </c>
    </row>
    <row r="561" spans="1:30">
      <c r="A561" t="str">
        <f t="shared" ca="1" si="16"/>
        <v>tech.furnace.glass</v>
      </c>
      <c r="B561" t="str">
        <f ca="1">_xlfn.XLOOKUP(tblValidation[[#This Row],[TargetID]],tblTargets[TargetID],tblTargets[TargetType],"")</f>
        <v>TECH</v>
      </c>
      <c r="C561" s="48" t="b">
        <f ca="1">COUNTIF(tblTargets[TargetID], $A561) &gt; 0</f>
        <v>1</v>
      </c>
      <c r="D561" s="48" t="b">
        <f ca="1">IF(OR(LEFT(tblValidation[[#This Row],[TargetID]],10)="state.CHAR",RIGHT(tblValidation[[#This Row],[TargetID]],5)="maxed"),TRUE, COUNTIF(tblChecklist[TargetID], $A561) &gt; 0)</f>
        <v>1</v>
      </c>
      <c r="E5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$A561) &gt; 0)</f>
        <v>1</v>
      </c>
      <c r="F561" s="48" t="b">
        <f ca="1">COUNTIF(tblDependencies[DependencyID], $A561) &gt; 0</f>
        <v>0</v>
      </c>
      <c r="G561" s="48" t="b">
        <f ca="1">COUNTIF(tblQuestObjectives[QuestTargetID], $A561) &gt; 0</f>
        <v>0</v>
      </c>
      <c r="H561" s="48" t="b">
        <f ca="1">COUNTIF(tblQuestObjectives[ObjectiveID], $A561) &gt; 0</f>
        <v>0</v>
      </c>
      <c r="I561" s="48" t="b">
        <f ca="1">COUNTIF(tblTargetStatus[TargetID], $A561) &gt; 0</f>
        <v>1</v>
      </c>
      <c r="J561" s="48" t="b">
        <f ca="1">COUNTIF(tblCost[TargetID], $A561) &gt; 0</f>
        <v>1</v>
      </c>
      <c r="K561" s="48" t="b">
        <f ca="1">COUNTIF(tblStates[StateID], $A561) &gt; 0</f>
        <v>0</v>
      </c>
      <c r="L561" s="48" t="b">
        <f t="shared" ca="1" si="17"/>
        <v>1</v>
      </c>
      <c r="M561" s="48" t="b">
        <f ca="1">IF(tblValidation[[#This Row],[TargetID]]="","",COUNTIF(tblTargets[TargetID],A561)&gt;1)</f>
        <v>0</v>
      </c>
      <c r="N561" s="48" t="b">
        <f ca="1">IF(tblValidation[[#This Row],[TargetID]]="","",COUNTIF(tblStates[StateID],tblValidation[[#This Row],[TargetID]])&gt;1)</f>
        <v>0</v>
      </c>
      <c r="O561" s="48" t="b" cm="1">
        <f t="array" aca="1" ref="O5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1" s="48"/>
      <c r="R561" s="48"/>
      <c r="S561" s="48"/>
      <c r="T561" s="48"/>
      <c r="V561" s="2" t="str">
        <f ca="1"/>
        <v>tech.furnace.glass</v>
      </c>
      <c r="X561" s="2" t="str">
        <f ca="1"/>
        <v>tech.furnace.glass</v>
      </c>
      <c r="Y561" s="2" t="str">
        <f ca="1"/>
        <v>tech.workshop.zen_fountain</v>
      </c>
      <c r="Z561" s="2" t="str">
        <f ca="1"/>
        <v>tech.train.titanium_components</v>
      </c>
      <c r="AD561" s="2" t="str">
        <f ca="1"/>
        <v>tech.furnace.glass</v>
      </c>
    </row>
    <row r="562" spans="1:30">
      <c r="A562" t="str">
        <f t="shared" ca="1" si="16"/>
        <v>tech.furnace.meteoric_steel</v>
      </c>
      <c r="B562" t="str">
        <f ca="1">_xlfn.XLOOKUP(tblValidation[[#This Row],[TargetID]],tblTargets[TargetID],tblTargets[TargetType],"")</f>
        <v>TECH</v>
      </c>
      <c r="C562" s="48" t="b">
        <f ca="1">COUNTIF(tblTargets[TargetID], $A562) &gt; 0</f>
        <v>1</v>
      </c>
      <c r="D562" s="48" t="b">
        <f ca="1">IF(OR(LEFT(tblValidation[[#This Row],[TargetID]],10)="state.CHAR",RIGHT(tblValidation[[#This Row],[TargetID]],5)="maxed"),TRUE, COUNTIF(tblChecklist[TargetID], $A562) &gt; 0)</f>
        <v>1</v>
      </c>
      <c r="E5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$A562) &gt; 0)</f>
        <v>1</v>
      </c>
      <c r="F562" s="48" t="b">
        <f ca="1">COUNTIF(tblDependencies[DependencyID], $A562) &gt; 0</f>
        <v>0</v>
      </c>
      <c r="G562" s="48" t="b">
        <f ca="1">COUNTIF(tblQuestObjectives[QuestTargetID], $A562) &gt; 0</f>
        <v>0</v>
      </c>
      <c r="H562" s="48" t="b">
        <f ca="1">COUNTIF(tblQuestObjectives[ObjectiveID], $A562) &gt; 0</f>
        <v>0</v>
      </c>
      <c r="I562" s="48" t="b">
        <f ca="1">COUNTIF(tblTargetStatus[TargetID], $A562) &gt; 0</f>
        <v>1</v>
      </c>
      <c r="J562" s="48" t="b">
        <f ca="1">COUNTIF(tblCost[TargetID], $A562) &gt; 0</f>
        <v>1</v>
      </c>
      <c r="K562" s="48" t="b">
        <f ca="1">COUNTIF(tblStates[StateID], $A562) &gt; 0</f>
        <v>0</v>
      </c>
      <c r="L562" s="48" t="b">
        <f t="shared" ca="1" si="17"/>
        <v>1</v>
      </c>
      <c r="M562" s="48" t="b">
        <f ca="1">IF(tblValidation[[#This Row],[TargetID]]="","",COUNTIF(tblTargets[TargetID],A562)&gt;1)</f>
        <v>0</v>
      </c>
      <c r="N562" s="48" t="b">
        <f ca="1">IF(tblValidation[[#This Row],[TargetID]]="","",COUNTIF(tblStates[StateID],tblValidation[[#This Row],[TargetID]])&gt;1)</f>
        <v>0</v>
      </c>
      <c r="O562" s="48" t="b" cm="1">
        <f t="array" aca="1" ref="O5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2" s="48"/>
      <c r="R562" s="48"/>
      <c r="S562" s="48"/>
      <c r="T562" s="48"/>
      <c r="V562" s="2" t="str">
        <f ca="1"/>
        <v>tech.furnace.meteoric_steel</v>
      </c>
      <c r="X562" s="2" t="str">
        <f ca="1"/>
        <v>tech.furnace.meteoric_steel</v>
      </c>
      <c r="Z562" s="2" t="str">
        <f ca="1"/>
        <v>tech.warehouse.stackable_racks_lvl_1</v>
      </c>
      <c r="AD562" s="2" t="str">
        <f ca="1"/>
        <v>tech.furnace.meteoric_steel</v>
      </c>
    </row>
    <row r="563" spans="1:30">
      <c r="A563" t="str">
        <f t="shared" ca="1" si="16"/>
        <v>tech.furnace.titanium_parts</v>
      </c>
      <c r="B563" t="str">
        <f ca="1">_xlfn.XLOOKUP(tblValidation[[#This Row],[TargetID]],tblTargets[TargetID],tblTargets[TargetType],"")</f>
        <v>TECH</v>
      </c>
      <c r="C563" s="48" t="b">
        <f ca="1">COUNTIF(tblTargets[TargetID], $A563) &gt; 0</f>
        <v>1</v>
      </c>
      <c r="D563" s="48" t="b">
        <f ca="1">IF(OR(LEFT(tblValidation[[#This Row],[TargetID]],10)="state.CHAR",RIGHT(tblValidation[[#This Row],[TargetID]],5)="maxed"),TRUE, COUNTIF(tblChecklist[TargetID], $A563) &gt; 0)</f>
        <v>1</v>
      </c>
      <c r="E5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$A563) &gt; 0)</f>
        <v>1</v>
      </c>
      <c r="F563" s="48" t="b">
        <f ca="1">COUNTIF(tblDependencies[DependencyID], $A563) &gt; 0</f>
        <v>1</v>
      </c>
      <c r="G563" s="48" t="b">
        <f ca="1">COUNTIF(tblQuestObjectives[QuestTargetID], $A563) &gt; 0</f>
        <v>0</v>
      </c>
      <c r="H563" s="48" t="b">
        <f ca="1">COUNTIF(tblQuestObjectives[ObjectiveID], $A563) &gt; 0</f>
        <v>0</v>
      </c>
      <c r="I563" s="48" t="b">
        <f ca="1">COUNTIF(tblTargetStatus[TargetID], $A563) &gt; 0</f>
        <v>1</v>
      </c>
      <c r="J563" s="48" t="b">
        <f ca="1">COUNTIF(tblCost[TargetID], $A563) &gt; 0</f>
        <v>1</v>
      </c>
      <c r="K563" s="48" t="b">
        <f ca="1">COUNTIF(tblStates[StateID], $A563) &gt; 0</f>
        <v>0</v>
      </c>
      <c r="L563" s="48" t="b">
        <f t="shared" ca="1" si="17"/>
        <v>1</v>
      </c>
      <c r="M563" s="48" t="b">
        <f ca="1">IF(tblValidation[[#This Row],[TargetID]]="","",COUNTIF(tblTargets[TargetID],A563)&gt;1)</f>
        <v>0</v>
      </c>
      <c r="N563" s="48" t="b">
        <f ca="1">IF(tblValidation[[#This Row],[TargetID]]="","",COUNTIF(tblStates[StateID],tblValidation[[#This Row],[TargetID]])&gt;1)</f>
        <v>0</v>
      </c>
      <c r="O563" s="48" t="b" cm="1">
        <f t="array" aca="1" ref="O5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3" s="48"/>
      <c r="R563" s="48"/>
      <c r="S563" s="48"/>
      <c r="T563" s="48"/>
      <c r="V563" s="2" t="str">
        <f ca="1"/>
        <v>tech.furnace.titanium_parts</v>
      </c>
      <c r="X563" s="2" t="str">
        <f ca="1"/>
        <v>tech.furnace.titanium_parts</v>
      </c>
      <c r="Z563" s="2" t="str">
        <f ca="1"/>
        <v>tech.warehouse.stackable_racks_lvl_2</v>
      </c>
      <c r="AD563" s="2" t="str">
        <f ca="1"/>
        <v>tech.furnace.titanium_parts</v>
      </c>
    </row>
    <row r="564" spans="1:30">
      <c r="A564" t="str">
        <f t="shared" ca="1" si="16"/>
        <v>tech.garden.sprinkler</v>
      </c>
      <c r="B564" t="str">
        <f ca="1">_xlfn.XLOOKUP(tblValidation[[#This Row],[TargetID]],tblTargets[TargetID],tblTargets[TargetType],"")</f>
        <v>TECH</v>
      </c>
      <c r="C564" s="48" t="b">
        <f ca="1">COUNTIF(tblTargets[TargetID], $A564) &gt; 0</f>
        <v>1</v>
      </c>
      <c r="D564" s="48" t="b">
        <f ca="1">IF(OR(LEFT(tblValidation[[#This Row],[TargetID]],10)="state.CHAR",RIGHT(tblValidation[[#This Row],[TargetID]],5)="maxed"),TRUE, COUNTIF(tblChecklist[TargetID], $A564) &gt; 0)</f>
        <v>1</v>
      </c>
      <c r="E5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$A564) &gt; 0)</f>
        <v>1</v>
      </c>
      <c r="F564" s="48" t="b">
        <f ca="1">COUNTIF(tblDependencies[DependencyID], $A564) &gt; 0</f>
        <v>0</v>
      </c>
      <c r="G564" s="48" t="b">
        <f ca="1">COUNTIF(tblQuestObjectives[QuestTargetID], $A564) &gt; 0</f>
        <v>0</v>
      </c>
      <c r="H564" s="48" t="b">
        <f ca="1">COUNTIF(tblQuestObjectives[ObjectiveID], $A564) &gt; 0</f>
        <v>0</v>
      </c>
      <c r="I564" s="48" t="b">
        <f ca="1">COUNTIF(tblTargetStatus[TargetID], $A564) &gt; 0</f>
        <v>1</v>
      </c>
      <c r="J564" s="48" t="b">
        <f ca="1">COUNTIF(tblCost[TargetID], $A564) &gt; 0</f>
        <v>1</v>
      </c>
      <c r="K564" s="48" t="b">
        <f ca="1">COUNTIF(tblStates[StateID], $A564) &gt; 0</f>
        <v>0</v>
      </c>
      <c r="L564" s="48" t="b">
        <f t="shared" ca="1" si="17"/>
        <v>1</v>
      </c>
      <c r="M564" s="48" t="b">
        <f ca="1">IF(tblValidation[[#This Row],[TargetID]]="","",COUNTIF(tblTargets[TargetID],A564)&gt;1)</f>
        <v>0</v>
      </c>
      <c r="N564" s="48" t="b">
        <f ca="1">IF(tblValidation[[#This Row],[TargetID]]="","",COUNTIF(tblStates[StateID],tblValidation[[#This Row],[TargetID]])&gt;1)</f>
        <v>0</v>
      </c>
      <c r="O564" s="48" t="b" cm="1">
        <f t="array" aca="1" ref="O5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4" s="48"/>
      <c r="R564" s="48"/>
      <c r="S564" s="48"/>
      <c r="T564" s="48"/>
      <c r="V564" s="2" t="str">
        <f ca="1"/>
        <v>tech.garden.sprinkler</v>
      </c>
      <c r="X564" s="2" t="str">
        <f ca="1"/>
        <v>tech.garden.sprinkler</v>
      </c>
      <c r="Z564" s="2" t="str">
        <f ca="1"/>
        <v>tech.warehouse.stackable_racks_lvl_3</v>
      </c>
      <c r="AD564" s="2" t="str">
        <f ca="1"/>
        <v>tech.garden.sprinkler</v>
      </c>
    </row>
    <row r="565" spans="1:30">
      <c r="A565" t="str">
        <f t="shared" ca="1" si="16"/>
        <v>tech.laboratory.digitization</v>
      </c>
      <c r="B565" t="str">
        <f ca="1">_xlfn.XLOOKUP(tblValidation[[#This Row],[TargetID]],tblTargets[TargetID],tblTargets[TargetType],"")</f>
        <v>TECH</v>
      </c>
      <c r="C565" s="48" t="b">
        <f ca="1">COUNTIF(tblTargets[TargetID], $A565) &gt; 0</f>
        <v>1</v>
      </c>
      <c r="D565" s="48" t="b">
        <f ca="1">IF(OR(LEFT(tblValidation[[#This Row],[TargetID]],10)="state.CHAR",RIGHT(tblValidation[[#This Row],[TargetID]],5)="maxed"),TRUE, COUNTIF(tblChecklist[TargetID], $A565) &gt; 0)</f>
        <v>1</v>
      </c>
      <c r="E5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$A565) &gt; 0)</f>
        <v>1</v>
      </c>
      <c r="F565" s="48" t="b">
        <f ca="1">COUNTIF(tblDependencies[DependencyID], $A565) &gt; 0</f>
        <v>0</v>
      </c>
      <c r="G565" s="48" t="b">
        <f ca="1">COUNTIF(tblQuestObjectives[QuestTargetID], $A565) &gt; 0</f>
        <v>0</v>
      </c>
      <c r="H565" s="48" t="b">
        <f ca="1">COUNTIF(tblQuestObjectives[ObjectiveID], $A565) &gt; 0</f>
        <v>1</v>
      </c>
      <c r="I565" s="48" t="b">
        <f ca="1">COUNTIF(tblTargetStatus[TargetID], $A565) &gt; 0</f>
        <v>1</v>
      </c>
      <c r="J565" s="48" t="b">
        <f ca="1">COUNTIF(tblCost[TargetID], $A565) &gt; 0</f>
        <v>1</v>
      </c>
      <c r="K565" s="48" t="b">
        <f ca="1">COUNTIF(tblStates[StateID], $A565) &gt; 0</f>
        <v>0</v>
      </c>
      <c r="L565" s="48" t="b">
        <f t="shared" ca="1" si="17"/>
        <v>1</v>
      </c>
      <c r="M565" s="48" t="b">
        <f ca="1">IF(tblValidation[[#This Row],[TargetID]]="","",COUNTIF(tblTargets[TargetID],A565)&gt;1)</f>
        <v>0</v>
      </c>
      <c r="N565" s="48" t="b">
        <f ca="1">IF(tblValidation[[#This Row],[TargetID]]="","",COUNTIF(tblStates[StateID],tblValidation[[#This Row],[TargetID]])&gt;1)</f>
        <v>0</v>
      </c>
      <c r="O565" s="48" t="b" cm="1">
        <f t="array" aca="1" ref="O5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5" s="48"/>
      <c r="R565" s="48"/>
      <c r="S565" s="48"/>
      <c r="T565" s="48"/>
      <c r="V565" s="2" t="str">
        <f ca="1"/>
        <v>tech.laboratory.digitization</v>
      </c>
      <c r="X565" s="2" t="str">
        <f ca="1"/>
        <v>tech.laboratory.digitization</v>
      </c>
      <c r="Z565" s="2" t="str">
        <f ca="1"/>
        <v>tech.windmill.bone_meal</v>
      </c>
      <c r="AD565" s="2" t="str">
        <f ca="1"/>
        <v>tech.laboratory.digitization</v>
      </c>
    </row>
    <row r="566" spans="1:30">
      <c r="A566" t="str">
        <f t="shared" ca="1" si="16"/>
        <v>tech.laboratory.experiments</v>
      </c>
      <c r="B566" t="str">
        <f ca="1">_xlfn.XLOOKUP(tblValidation[[#This Row],[TargetID]],tblTargets[TargetID],tblTargets[TargetType],"")</f>
        <v>TECH</v>
      </c>
      <c r="C566" s="48" t="b">
        <f ca="1">COUNTIF(tblTargets[TargetID], $A566) &gt; 0</f>
        <v>1</v>
      </c>
      <c r="D566" s="48" t="b">
        <f ca="1">IF(OR(LEFT(tblValidation[[#This Row],[TargetID]],10)="state.CHAR",RIGHT(tblValidation[[#This Row],[TargetID]],5)="maxed"),TRUE, COUNTIF(tblChecklist[TargetID], $A566) &gt; 0)</f>
        <v>1</v>
      </c>
      <c r="E5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$A566) &gt; 0)</f>
        <v>1</v>
      </c>
      <c r="F566" s="48" t="b">
        <f ca="1">COUNTIF(tblDependencies[DependencyID], $A566) &gt; 0</f>
        <v>0</v>
      </c>
      <c r="G566" s="48" t="b">
        <f ca="1">COUNTIF(tblQuestObjectives[QuestTargetID], $A566) &gt; 0</f>
        <v>0</v>
      </c>
      <c r="H566" s="48" t="b">
        <f ca="1">COUNTIF(tblQuestObjectives[ObjectiveID], $A566) &gt; 0</f>
        <v>1</v>
      </c>
      <c r="I566" s="48" t="b">
        <f ca="1">COUNTIF(tblTargetStatus[TargetID], $A566) &gt; 0</f>
        <v>1</v>
      </c>
      <c r="J566" s="48" t="b">
        <f ca="1">COUNTIF(tblCost[TargetID], $A566) &gt; 0</f>
        <v>1</v>
      </c>
      <c r="K566" s="48" t="b">
        <f ca="1">COUNTIF(tblStates[StateID], $A566) &gt; 0</f>
        <v>0</v>
      </c>
      <c r="L566" s="48" t="b">
        <f t="shared" ca="1" si="17"/>
        <v>1</v>
      </c>
      <c r="M566" s="48" t="b">
        <f ca="1">IF(tblValidation[[#This Row],[TargetID]]="","",COUNTIF(tblTargets[TargetID],A566)&gt;1)</f>
        <v>0</v>
      </c>
      <c r="N566" s="48" t="b">
        <f ca="1">IF(tblValidation[[#This Row],[TargetID]]="","",COUNTIF(tblStates[StateID],tblValidation[[#This Row],[TargetID]])&gt;1)</f>
        <v>0</v>
      </c>
      <c r="O566" s="48" t="b" cm="1">
        <f t="array" aca="1" ref="O5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6" s="48"/>
      <c r="R566" s="48"/>
      <c r="S566" s="48"/>
      <c r="T566" s="48"/>
      <c r="V566" s="2" t="str">
        <f ca="1"/>
        <v>tech.laboratory.experiments</v>
      </c>
      <c r="X566" s="2" t="str">
        <f ca="1"/>
        <v>tech.laboratory.experiments</v>
      </c>
      <c r="Z566" s="2" t="str">
        <f ca="1"/>
        <v>tech.workshop.conveyor_lvl_1</v>
      </c>
      <c r="AD566" s="2" t="str">
        <f ca="1"/>
        <v>tech.laboratory.experiments</v>
      </c>
    </row>
    <row r="567" spans="1:30">
      <c r="A567" t="str">
        <f t="shared" ca="1" si="16"/>
        <v>tech.laboratory.research_and_development</v>
      </c>
      <c r="B567" t="str">
        <f ca="1">_xlfn.XLOOKUP(tblValidation[[#This Row],[TargetID]],tblTargets[TargetID],tblTargets[TargetType],"")</f>
        <v>TECH</v>
      </c>
      <c r="C567" s="48" t="b">
        <f ca="1">COUNTIF(tblTargets[TargetID], $A567) &gt; 0</f>
        <v>1</v>
      </c>
      <c r="D567" s="48" t="b">
        <f ca="1">IF(OR(LEFT(tblValidation[[#This Row],[TargetID]],10)="state.CHAR",RIGHT(tblValidation[[#This Row],[TargetID]],5)="maxed"),TRUE, COUNTIF(tblChecklist[TargetID], $A567) &gt; 0)</f>
        <v>1</v>
      </c>
      <c r="E5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$A567) &gt; 0)</f>
        <v>1</v>
      </c>
      <c r="F567" s="48" t="b">
        <f ca="1">COUNTIF(tblDependencies[DependencyID], $A567) &gt; 0</f>
        <v>1</v>
      </c>
      <c r="G567" s="48" t="b">
        <f ca="1">COUNTIF(tblQuestObjectives[QuestTargetID], $A567) &gt; 0</f>
        <v>0</v>
      </c>
      <c r="H567" s="48" t="b">
        <f ca="1">COUNTIF(tblQuestObjectives[ObjectiveID], $A567) &gt; 0</f>
        <v>1</v>
      </c>
      <c r="I567" s="48" t="b">
        <f ca="1">COUNTIF(tblTargetStatus[TargetID], $A567) &gt; 0</f>
        <v>1</v>
      </c>
      <c r="J567" s="48" t="b">
        <f ca="1">COUNTIF(tblCost[TargetID], $A567) &gt; 0</f>
        <v>1</v>
      </c>
      <c r="K567" s="48" t="b">
        <f ca="1">COUNTIF(tblStates[StateID], $A567) &gt; 0</f>
        <v>0</v>
      </c>
      <c r="L567" s="48" t="b">
        <f t="shared" ca="1" si="17"/>
        <v>1</v>
      </c>
      <c r="M567" s="48" t="b">
        <f ca="1">IF(tblValidation[[#This Row],[TargetID]]="","",COUNTIF(tblTargets[TargetID],A567)&gt;1)</f>
        <v>0</v>
      </c>
      <c r="N567" s="48" t="b">
        <f ca="1">IF(tblValidation[[#This Row],[TargetID]]="","",COUNTIF(tblStates[StateID],tblValidation[[#This Row],[TargetID]])&gt;1)</f>
        <v>0</v>
      </c>
      <c r="O567" s="48" t="b" cm="1">
        <f t="array" aca="1" ref="O5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7" s="48"/>
      <c r="R567" s="48"/>
      <c r="S567" s="48"/>
      <c r="T567" s="48"/>
      <c r="V567" s="2" t="str">
        <f ca="1"/>
        <v>tech.laboratory.research_and_development</v>
      </c>
      <c r="X567" s="2" t="str">
        <f ca="1"/>
        <v>tech.laboratory.research_and_development</v>
      </c>
      <c r="Z567" s="2" t="str">
        <f ca="1"/>
        <v>tech.workshop.conveyor_lvl_2</v>
      </c>
      <c r="AD567" s="2" t="str">
        <f ca="1"/>
        <v>tech.laboratory.research_and_development</v>
      </c>
    </row>
    <row r="568" spans="1:30">
      <c r="A568" t="str">
        <f t="shared" ca="1" si="16"/>
        <v>tech.outpost.arsenal_lvl_1</v>
      </c>
      <c r="B568" t="str">
        <f ca="1">_xlfn.XLOOKUP(tblValidation[[#This Row],[TargetID]],tblTargets[TargetID],tblTargets[TargetType],"")</f>
        <v>TECH</v>
      </c>
      <c r="C568" s="48" t="b">
        <f ca="1">COUNTIF(tblTargets[TargetID], $A568) &gt; 0</f>
        <v>1</v>
      </c>
      <c r="D568" s="48" t="b">
        <f ca="1">IF(OR(LEFT(tblValidation[[#This Row],[TargetID]],10)="state.CHAR",RIGHT(tblValidation[[#This Row],[TargetID]],5)="maxed"),TRUE, COUNTIF(tblChecklist[TargetID], $A568) &gt; 0)</f>
        <v>1</v>
      </c>
      <c r="E5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$A568) &gt; 0)</f>
        <v>1</v>
      </c>
      <c r="F568" s="48" t="b">
        <f ca="1">COUNTIF(tblDependencies[DependencyID], $A568) &gt; 0</f>
        <v>1</v>
      </c>
      <c r="G568" s="48" t="b">
        <f ca="1">COUNTIF(tblQuestObjectives[QuestTargetID], $A568) &gt; 0</f>
        <v>0</v>
      </c>
      <c r="H568" s="48" t="b">
        <f ca="1">COUNTIF(tblQuestObjectives[ObjectiveID], $A568) &gt; 0</f>
        <v>0</v>
      </c>
      <c r="I568" s="48" t="b">
        <f ca="1">COUNTIF(tblTargetStatus[TargetID], $A568) &gt; 0</f>
        <v>1</v>
      </c>
      <c r="J568" s="48" t="b">
        <f ca="1">COUNTIF(tblCost[TargetID], $A568) &gt; 0</f>
        <v>1</v>
      </c>
      <c r="K568" s="48" t="b">
        <f ca="1">COUNTIF(tblStates[StateID], $A568) &gt; 0</f>
        <v>0</v>
      </c>
      <c r="L568" s="48" t="b">
        <f t="shared" ca="1" si="17"/>
        <v>1</v>
      </c>
      <c r="M568" s="48" t="b">
        <f ca="1">IF(tblValidation[[#This Row],[TargetID]]="","",COUNTIF(tblTargets[TargetID],A568)&gt;1)</f>
        <v>0</v>
      </c>
      <c r="N568" s="48" t="b">
        <f ca="1">IF(tblValidation[[#This Row],[TargetID]]="","",COUNTIF(tblStates[StateID],tblValidation[[#This Row],[TargetID]])&gt;1)</f>
        <v>0</v>
      </c>
      <c r="O568" s="48" t="b" cm="1">
        <f t="array" aca="1" ref="O5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8" s="48"/>
      <c r="R568" s="48"/>
      <c r="S568" s="48"/>
      <c r="T568" s="48"/>
      <c r="V568" s="2" t="str">
        <f ca="1"/>
        <v>tech.outpost.arsenal_lvl_1</v>
      </c>
      <c r="X568" s="2" t="str">
        <f ca="1"/>
        <v>tech.outpost.arsenal_lvl_1</v>
      </c>
      <c r="Z568" s="2" t="str">
        <f ca="1"/>
        <v>tech.workshop.explosive_mechanical_spider</v>
      </c>
      <c r="AD568" s="2" t="str">
        <f ca="1"/>
        <v>tech.outpost.arsenal_lvl_1</v>
      </c>
    </row>
    <row r="569" spans="1:30">
      <c r="A569" t="str">
        <f t="shared" ca="1" si="16"/>
        <v>tech.outpost.arsenal_lvl_2</v>
      </c>
      <c r="B569" t="str">
        <f ca="1">_xlfn.XLOOKUP(tblValidation[[#This Row],[TargetID]],tblTargets[TargetID],tblTargets[TargetType],"")</f>
        <v>TECH</v>
      </c>
      <c r="C569" s="48" t="b">
        <f ca="1">COUNTIF(tblTargets[TargetID], $A569) &gt; 0</f>
        <v>1</v>
      </c>
      <c r="D569" s="48" t="b">
        <f ca="1">IF(OR(LEFT(tblValidation[[#This Row],[TargetID]],10)="state.CHAR",RIGHT(tblValidation[[#This Row],[TargetID]],5)="maxed"),TRUE, COUNTIF(tblChecklist[TargetID], $A569) &gt; 0)</f>
        <v>1</v>
      </c>
      <c r="E5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$A569) &gt; 0)</f>
        <v>1</v>
      </c>
      <c r="F569" s="48" t="b">
        <f ca="1">COUNTIF(tblDependencies[DependencyID], $A569) &gt; 0</f>
        <v>0</v>
      </c>
      <c r="G569" s="48" t="b">
        <f ca="1">COUNTIF(tblQuestObjectives[QuestTargetID], $A569) &gt; 0</f>
        <v>0</v>
      </c>
      <c r="H569" s="48" t="b">
        <f ca="1">COUNTIF(tblQuestObjectives[ObjectiveID], $A569) &gt; 0</f>
        <v>0</v>
      </c>
      <c r="I569" s="48" t="b">
        <f ca="1">COUNTIF(tblTargetStatus[TargetID], $A569) &gt; 0</f>
        <v>1</v>
      </c>
      <c r="J569" s="48" t="b">
        <f ca="1">COUNTIF(tblCost[TargetID], $A569) &gt; 0</f>
        <v>1</v>
      </c>
      <c r="K569" s="48" t="b">
        <f ca="1">COUNTIF(tblStates[StateID], $A569) &gt; 0</f>
        <v>0</v>
      </c>
      <c r="L569" s="48" t="b">
        <f t="shared" ca="1" si="17"/>
        <v>1</v>
      </c>
      <c r="M569" s="48" t="b">
        <f ca="1">IF(tblValidation[[#This Row],[TargetID]]="","",COUNTIF(tblTargets[TargetID],A569)&gt;1)</f>
        <v>0</v>
      </c>
      <c r="N569" s="48" t="b">
        <f ca="1">IF(tblValidation[[#This Row],[TargetID]]="","",COUNTIF(tblStates[StateID],tblValidation[[#This Row],[TargetID]])&gt;1)</f>
        <v>0</v>
      </c>
      <c r="O569" s="48" t="b" cm="1">
        <f t="array" aca="1" ref="O5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9" s="48"/>
      <c r="R569" s="48"/>
      <c r="S569" s="48"/>
      <c r="T569" s="48"/>
      <c r="V569" s="2" t="str">
        <f ca="1"/>
        <v>tech.outpost.arsenal_lvl_2</v>
      </c>
      <c r="X569" s="2" t="str">
        <f ca="1"/>
        <v>tech.outpost.arsenal_lvl_2</v>
      </c>
      <c r="Z569" s="2" t="str">
        <f ca="1"/>
        <v>tech.workshop.mechanical_spider</v>
      </c>
      <c r="AD569" s="2" t="str">
        <f ca="1"/>
        <v>tech.outpost.arsenal_lvl_2</v>
      </c>
    </row>
    <row r="570" spans="1:30">
      <c r="A570" t="str">
        <f t="shared" ca="1" si="16"/>
        <v>tech.outpost.futures_contracts</v>
      </c>
      <c r="B570" t="str">
        <f ca="1">_xlfn.XLOOKUP(tblValidation[[#This Row],[TargetID]],tblTargets[TargetID],tblTargets[TargetType],"")</f>
        <v>TECH</v>
      </c>
      <c r="C570" s="48" t="b">
        <f ca="1">COUNTIF(tblTargets[TargetID], $A570) &gt; 0</f>
        <v>1</v>
      </c>
      <c r="D570" s="48" t="b">
        <f ca="1">IF(OR(LEFT(tblValidation[[#This Row],[TargetID]],10)="state.CHAR",RIGHT(tblValidation[[#This Row],[TargetID]],5)="maxed"),TRUE, COUNTIF(tblChecklist[TargetID], $A570) &gt; 0)</f>
        <v>1</v>
      </c>
      <c r="E5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$A570) &gt; 0)</f>
        <v>1</v>
      </c>
      <c r="F570" s="48" t="b">
        <f ca="1">COUNTIF(tblDependencies[DependencyID], $A570) &gt; 0</f>
        <v>0</v>
      </c>
      <c r="G570" s="48" t="b">
        <f ca="1">COUNTIF(tblQuestObjectives[QuestTargetID], $A570) &gt; 0</f>
        <v>0</v>
      </c>
      <c r="H570" s="48" t="b">
        <f ca="1">COUNTIF(tblQuestObjectives[ObjectiveID], $A570) &gt; 0</f>
        <v>0</v>
      </c>
      <c r="I570" s="48" t="b">
        <f ca="1">COUNTIF(tblTargetStatus[TargetID], $A570) &gt; 0</f>
        <v>1</v>
      </c>
      <c r="J570" s="48" t="b">
        <f ca="1">COUNTIF(tblCost[TargetID], $A570) &gt; 0</f>
        <v>1</v>
      </c>
      <c r="K570" s="48" t="b">
        <f ca="1">COUNTIF(tblStates[StateID], $A570) &gt; 0</f>
        <v>0</v>
      </c>
      <c r="L570" s="48" t="b">
        <f t="shared" ca="1" si="17"/>
        <v>1</v>
      </c>
      <c r="M570" s="48" t="b">
        <f ca="1">IF(tblValidation[[#This Row],[TargetID]]="","",COUNTIF(tblTargets[TargetID],A570)&gt;1)</f>
        <v>0</v>
      </c>
      <c r="N570" s="48" t="b">
        <f ca="1">IF(tblValidation[[#This Row],[TargetID]]="","",COUNTIF(tblStates[StateID],tblValidation[[#This Row],[TargetID]])&gt;1)</f>
        <v>0</v>
      </c>
      <c r="O570" s="48" t="b" cm="1">
        <f t="array" aca="1" ref="O5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0" s="48"/>
      <c r="R570" s="48"/>
      <c r="S570" s="48"/>
      <c r="T570" s="48"/>
      <c r="V570" s="2" t="str">
        <f ca="1"/>
        <v>tech.outpost.futures_contracts</v>
      </c>
      <c r="X570" s="2" t="str">
        <f ca="1"/>
        <v>tech.outpost.futures_contracts</v>
      </c>
      <c r="Z570" s="2" t="str">
        <f ca="1"/>
        <v>tech.workshop.mechanism</v>
      </c>
      <c r="AD570" s="2" t="str">
        <f ca="1"/>
        <v>tech.outpost.futures_contracts</v>
      </c>
    </row>
    <row r="571" spans="1:30">
      <c r="A571" t="str">
        <f t="shared" ca="1" si="16"/>
        <v>tech.outpost.optional_contracts</v>
      </c>
      <c r="B571" t="str">
        <f ca="1">_xlfn.XLOOKUP(tblValidation[[#This Row],[TargetID]],tblTargets[TargetID],tblTargets[TargetType],"")</f>
        <v>TECH</v>
      </c>
      <c r="C571" s="48" t="b">
        <f ca="1">COUNTIF(tblTargets[TargetID], $A571) &gt; 0</f>
        <v>1</v>
      </c>
      <c r="D571" s="48" t="b">
        <f ca="1">IF(OR(LEFT(tblValidation[[#This Row],[TargetID]],10)="state.CHAR",RIGHT(tblValidation[[#This Row],[TargetID]],5)="maxed"),TRUE, COUNTIF(tblChecklist[TargetID], $A571) &gt; 0)</f>
        <v>1</v>
      </c>
      <c r="E5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$A571) &gt; 0)</f>
        <v>1</v>
      </c>
      <c r="F571" s="48" t="b">
        <f ca="1">COUNTIF(tblDependencies[DependencyID], $A571) &gt; 0</f>
        <v>1</v>
      </c>
      <c r="G571" s="48" t="b">
        <f ca="1">COUNTIF(tblQuestObjectives[QuestTargetID], $A571) &gt; 0</f>
        <v>0</v>
      </c>
      <c r="H571" s="48" t="b">
        <f ca="1">COUNTIF(tblQuestObjectives[ObjectiveID], $A571) &gt; 0</f>
        <v>0</v>
      </c>
      <c r="I571" s="48" t="b">
        <f ca="1">COUNTIF(tblTargetStatus[TargetID], $A571) &gt; 0</f>
        <v>1</v>
      </c>
      <c r="J571" s="48" t="b">
        <f ca="1">COUNTIF(tblCost[TargetID], $A571) &gt; 0</f>
        <v>1</v>
      </c>
      <c r="K571" s="48" t="b">
        <f ca="1">COUNTIF(tblStates[StateID], $A571) &gt; 0</f>
        <v>0</v>
      </c>
      <c r="L571" s="48" t="b">
        <f t="shared" ca="1" si="17"/>
        <v>1</v>
      </c>
      <c r="M571" s="48" t="b">
        <f ca="1">IF(tblValidation[[#This Row],[TargetID]]="","",COUNTIF(tblTargets[TargetID],A571)&gt;1)</f>
        <v>0</v>
      </c>
      <c r="N571" s="48" t="b">
        <f ca="1">IF(tblValidation[[#This Row],[TargetID]]="","",COUNTIF(tblStates[StateID],tblValidation[[#This Row],[TargetID]])&gt;1)</f>
        <v>0</v>
      </c>
      <c r="O571" s="48" t="b" cm="1">
        <f t="array" aca="1" ref="O5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1" s="48"/>
      <c r="R571" s="48"/>
      <c r="S571" s="48"/>
      <c r="T571" s="48"/>
      <c r="V571" s="2" t="str">
        <f ca="1"/>
        <v>tech.outpost.optional_contracts</v>
      </c>
      <c r="X571" s="2" t="str">
        <f ca="1"/>
        <v>tech.outpost.optional_contracts</v>
      </c>
      <c r="Z571" s="2" t="str">
        <f ca="1"/>
        <v>tech.workshop.shield_for_a_hero_lvl_1</v>
      </c>
      <c r="AD571" s="2" t="str">
        <f ca="1"/>
        <v>tech.outpost.optional_contracts</v>
      </c>
    </row>
    <row r="572" spans="1:30">
      <c r="A572" t="str">
        <f ca="1">IF(OR(V572=0,V572=""),"",V572)</f>
        <v>tech.outpost.sayonara_tax</v>
      </c>
      <c r="B572" t="str">
        <f ca="1">_xlfn.XLOOKUP(tblValidation[[#This Row],[TargetID]],tblTargets[TargetID],tblTargets[TargetType],"")</f>
        <v>TECH</v>
      </c>
      <c r="C572" s="48" t="b">
        <f ca="1">COUNTIF(tblTargets[TargetID], $A572) &gt; 0</f>
        <v>1</v>
      </c>
      <c r="D572" s="48" t="b">
        <f ca="1">IF(OR(LEFT(tblValidation[[#This Row],[TargetID]],10)="state.CHAR",RIGHT(tblValidation[[#This Row],[TargetID]],5)="maxed"),TRUE, COUNTIF(tblChecklist[TargetID], $A572) &gt; 0)</f>
        <v>1</v>
      </c>
      <c r="E5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$A572) &gt; 0)</f>
        <v>1</v>
      </c>
      <c r="F572" s="48" t="b">
        <f ca="1">COUNTIF(tblDependencies[DependencyID], $A572) &gt; 0</f>
        <v>0</v>
      </c>
      <c r="G572" s="48" t="b">
        <f ca="1">COUNTIF(tblQuestObjectives[QuestTargetID], $A572) &gt; 0</f>
        <v>0</v>
      </c>
      <c r="H572" s="48" t="b">
        <f ca="1">COUNTIF(tblQuestObjectives[ObjectiveID], $A572) &gt; 0</f>
        <v>0</v>
      </c>
      <c r="I572" s="48" t="b">
        <f ca="1">COUNTIF(tblTargetStatus[TargetID], $A572) &gt; 0</f>
        <v>1</v>
      </c>
      <c r="J572" s="48" t="b">
        <f ca="1">COUNTIF(tblCost[TargetID], $A572) &gt; 0</f>
        <v>1</v>
      </c>
      <c r="K572" s="48" t="b">
        <f ca="1">COUNTIF(tblStates[StateID], $A572) &gt; 0</f>
        <v>0</v>
      </c>
      <c r="L572" s="48" t="b">
        <f t="shared" ca="1" si="17"/>
        <v>1</v>
      </c>
      <c r="M572" s="48" t="b">
        <f ca="1">IF(tblValidation[[#This Row],[TargetID]]="","",COUNTIF(tblTargets[TargetID],A572)&gt;1)</f>
        <v>0</v>
      </c>
      <c r="N572" s="48" t="b">
        <f ca="1">IF(tblValidation[[#This Row],[TargetID]]="","",COUNTIF(tblStates[StateID],tblValidation[[#This Row],[TargetID]])&gt;1)</f>
        <v>0</v>
      </c>
      <c r="O572" s="48" t="b" cm="1">
        <f t="array" aca="1" ref="O5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2" s="48"/>
      <c r="R572" s="48"/>
      <c r="S572" s="48"/>
      <c r="T572" s="48"/>
      <c r="V572" s="2" t="str">
        <f ca="1"/>
        <v>tech.outpost.sayonara_tax</v>
      </c>
      <c r="X572" s="2" t="str">
        <f ca="1"/>
        <v>tech.outpost.sayonara_tax</v>
      </c>
      <c r="Z572" s="2" t="str">
        <f ca="1"/>
        <v>tech.workshop.shield_for_a_hero_lvl_2</v>
      </c>
      <c r="AD572" s="2" t="str">
        <f ca="1"/>
        <v>tech.outpost.sayonara_tax</v>
      </c>
    </row>
    <row r="573" spans="1:30">
      <c r="A573" t="str">
        <f t="shared" ca="1" si="16"/>
        <v>tech.outpost.tax_return_on_floppy_disk</v>
      </c>
      <c r="B573" t="str">
        <f ca="1">_xlfn.XLOOKUP(tblValidation[[#This Row],[TargetID]],tblTargets[TargetID],tblTargets[TargetType],"")</f>
        <v>TECH</v>
      </c>
      <c r="C573" s="48" t="b">
        <f ca="1">COUNTIF(tblTargets[TargetID], $A573) &gt; 0</f>
        <v>1</v>
      </c>
      <c r="D573" s="48" t="b">
        <f ca="1">IF(OR(LEFT(tblValidation[[#This Row],[TargetID]],10)="state.CHAR",RIGHT(tblValidation[[#This Row],[TargetID]],5)="maxed"),TRUE, COUNTIF(tblChecklist[TargetID], $A573) &gt; 0)</f>
        <v>1</v>
      </c>
      <c r="E5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$A573) &gt; 0)</f>
        <v>1</v>
      </c>
      <c r="F573" s="48" t="b">
        <f ca="1">COUNTIF(tblDependencies[DependencyID], $A573) &gt; 0</f>
        <v>0</v>
      </c>
      <c r="G573" s="48" t="b">
        <f ca="1">COUNTIF(tblQuestObjectives[QuestTargetID], $A573) &gt; 0</f>
        <v>0</v>
      </c>
      <c r="H573" s="48" t="b">
        <f ca="1">COUNTIF(tblQuestObjectives[ObjectiveID], $A573) &gt; 0</f>
        <v>0</v>
      </c>
      <c r="I573" s="48" t="b">
        <f ca="1">COUNTIF(tblTargetStatus[TargetID], $A573) &gt; 0</f>
        <v>1</v>
      </c>
      <c r="J573" s="48" t="b">
        <f ca="1">COUNTIF(tblCost[TargetID], $A573) &gt; 0</f>
        <v>1</v>
      </c>
      <c r="K573" s="48" t="b">
        <f ca="1">COUNTIF(tblStates[StateID], $A573) &gt; 0</f>
        <v>0</v>
      </c>
      <c r="L573" s="48" t="b">
        <f t="shared" ca="1" si="17"/>
        <v>1</v>
      </c>
      <c r="M573" s="48" t="b">
        <f ca="1">IF(tblValidation[[#This Row],[TargetID]]="","",COUNTIF(tblTargets[TargetID],A573)&gt;1)</f>
        <v>0</v>
      </c>
      <c r="N573" s="48" t="b">
        <f ca="1">IF(tblValidation[[#This Row],[TargetID]]="","",COUNTIF(tblStates[StateID],tblValidation[[#This Row],[TargetID]])&gt;1)</f>
        <v>0</v>
      </c>
      <c r="O573" s="48" t="b" cm="1">
        <f t="array" aca="1" ref="O5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3" s="48"/>
      <c r="R573" s="48"/>
      <c r="S573" s="48"/>
      <c r="T573" s="48"/>
      <c r="V573" s="2" t="str">
        <f ca="1"/>
        <v>tech.outpost.tax_return_on_floppy_disk</v>
      </c>
      <c r="X573" s="2" t="str">
        <f ca="1"/>
        <v>tech.outpost.tax_return_on_floppy_disk</v>
      </c>
      <c r="Z573" s="2" t="str">
        <f ca="1"/>
        <v>tech.workshop.shield_for_a_hero_lvl_3</v>
      </c>
      <c r="AD573" s="2" t="str">
        <f ca="1"/>
        <v>tech.outpost.tax_return_on_floppy_disk</v>
      </c>
    </row>
    <row r="574" spans="1:30">
      <c r="A574" t="str">
        <f t="shared" ca="1" si="16"/>
        <v>tech.rock_garden.rake</v>
      </c>
      <c r="B574" t="str">
        <f ca="1">_xlfn.XLOOKUP(tblValidation[[#This Row],[TargetID]],tblTargets[TargetID],tblTargets[TargetType],"")</f>
        <v>TECH</v>
      </c>
      <c r="C574" s="48" t="b">
        <f ca="1">COUNTIF(tblTargets[TargetID], $A574) &gt; 0</f>
        <v>1</v>
      </c>
      <c r="D574" s="48" t="b">
        <f ca="1">IF(OR(LEFT(tblValidation[[#This Row],[TargetID]],10)="state.CHAR",RIGHT(tblValidation[[#This Row],[TargetID]],5)="maxed"),TRUE, COUNTIF(tblChecklist[TargetID], $A574) &gt; 0)</f>
        <v>1</v>
      </c>
      <c r="E5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$A574) &gt; 0)</f>
        <v>1</v>
      </c>
      <c r="F574" s="48" t="b">
        <f ca="1">COUNTIF(tblDependencies[DependencyID], $A574) &gt; 0</f>
        <v>0</v>
      </c>
      <c r="G574" s="48" t="b">
        <f ca="1">COUNTIF(tblQuestObjectives[QuestTargetID], $A574) &gt; 0</f>
        <v>0</v>
      </c>
      <c r="H574" s="48" t="b">
        <f ca="1">COUNTIF(tblQuestObjectives[ObjectiveID], $A574) &gt; 0</f>
        <v>0</v>
      </c>
      <c r="I574" s="48" t="b">
        <f ca="1">COUNTIF(tblTargetStatus[TargetID], $A574) &gt; 0</f>
        <v>1</v>
      </c>
      <c r="J574" s="48" t="b">
        <f ca="1">COUNTIF(tblCost[TargetID], $A574) &gt; 0</f>
        <v>1</v>
      </c>
      <c r="K574" s="48" t="b">
        <f ca="1">COUNTIF(tblStates[StateID], $A574) &gt; 0</f>
        <v>0</v>
      </c>
      <c r="L574" s="48" t="b">
        <f t="shared" ca="1" si="17"/>
        <v>1</v>
      </c>
      <c r="M574" s="48" t="b">
        <f ca="1">IF(tblValidation[[#This Row],[TargetID]]="","",COUNTIF(tblTargets[TargetID],A574)&gt;1)</f>
        <v>0</v>
      </c>
      <c r="N574" s="48" t="b">
        <f ca="1">IF(tblValidation[[#This Row],[TargetID]]="","",COUNTIF(tblStates[StateID],tblValidation[[#This Row],[TargetID]])&gt;1)</f>
        <v>0</v>
      </c>
      <c r="O574" s="48" t="b" cm="1">
        <f t="array" aca="1" ref="O5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4" s="48"/>
      <c r="R574" s="48"/>
      <c r="S574" s="48"/>
      <c r="T574" s="48"/>
      <c r="V574" s="2" t="str">
        <f ca="1"/>
        <v>tech.rock_garden.rake</v>
      </c>
      <c r="X574" s="2" t="str">
        <f ca="1"/>
        <v>tech.rock_garden.rake</v>
      </c>
      <c r="Z574" s="2" t="str">
        <f ca="1"/>
        <v>tech.workshop.shield_for_a_hero_lvl_4</v>
      </c>
      <c r="AD574" s="2" t="str">
        <f ca="1"/>
        <v>tech.rock_garden.rake</v>
      </c>
    </row>
    <row r="575" spans="1:30">
      <c r="A575" t="str">
        <f t="shared" ca="1" si="16"/>
        <v>tech.shop.glass_recycling</v>
      </c>
      <c r="B575" t="str">
        <f ca="1">_xlfn.XLOOKUP(tblValidation[[#This Row],[TargetID]],tblTargets[TargetID],tblTargets[TargetType],"")</f>
        <v>TECH</v>
      </c>
      <c r="C575" s="48" t="b">
        <f ca="1">COUNTIF(tblTargets[TargetID], $A575) &gt; 0</f>
        <v>1</v>
      </c>
      <c r="D575" s="48" t="b">
        <f ca="1">IF(OR(LEFT(tblValidation[[#This Row],[TargetID]],10)="state.CHAR",RIGHT(tblValidation[[#This Row],[TargetID]],5)="maxed"),TRUE, COUNTIF(tblChecklist[TargetID], $A575) &gt; 0)</f>
        <v>1</v>
      </c>
      <c r="E5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$A575) &gt; 0)</f>
        <v>1</v>
      </c>
      <c r="F575" s="48" t="b">
        <f ca="1">COUNTIF(tblDependencies[DependencyID], $A575) &gt; 0</f>
        <v>0</v>
      </c>
      <c r="G575" s="48" t="b">
        <f ca="1">COUNTIF(tblQuestObjectives[QuestTargetID], $A575) &gt; 0</f>
        <v>0</v>
      </c>
      <c r="H575" s="48" t="b">
        <f ca="1">COUNTIF(tblQuestObjectives[ObjectiveID], $A575) &gt; 0</f>
        <v>0</v>
      </c>
      <c r="I575" s="48" t="b">
        <f ca="1">COUNTIF(tblTargetStatus[TargetID], $A575) &gt; 0</f>
        <v>1</v>
      </c>
      <c r="J575" s="48" t="b">
        <f ca="1">COUNTIF(tblCost[TargetID], $A575) &gt; 0</f>
        <v>1</v>
      </c>
      <c r="K575" s="48" t="b">
        <f ca="1">COUNTIF(tblStates[StateID], $A575) &gt; 0</f>
        <v>0</v>
      </c>
      <c r="L575" s="48" t="b">
        <f t="shared" ca="1" si="17"/>
        <v>1</v>
      </c>
      <c r="M575" s="48" t="b">
        <f ca="1">IF(tblValidation[[#This Row],[TargetID]]="","",COUNTIF(tblTargets[TargetID],A575)&gt;1)</f>
        <v>0</v>
      </c>
      <c r="N575" s="48" t="b">
        <f ca="1">IF(tblValidation[[#This Row],[TargetID]]="","",COUNTIF(tblStates[StateID],tblValidation[[#This Row],[TargetID]])&gt;1)</f>
        <v>0</v>
      </c>
      <c r="O575" s="48" t="b" cm="1">
        <f t="array" aca="1" ref="O5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5" s="48"/>
      <c r="R575" s="48"/>
      <c r="S575" s="48"/>
      <c r="T575" s="48"/>
      <c r="V575" s="2" t="str">
        <f ca="1"/>
        <v>tech.shop.glass_recycling</v>
      </c>
      <c r="X575" s="2" t="str">
        <f ca="1"/>
        <v>tech.shop.glass_recycling</v>
      </c>
      <c r="Z575" s="2" t="str">
        <f ca="1"/>
        <v>tech.workshop.shield_for_a_hero_lvl_4+</v>
      </c>
      <c r="AD575" s="2" t="str">
        <f ca="1"/>
        <v>tech.shop.glass_recycling</v>
      </c>
    </row>
    <row r="576" spans="1:30">
      <c r="A576" t="str">
        <f t="shared" ca="1" si="16"/>
        <v>tech.shop.pre_orders</v>
      </c>
      <c r="B576" t="str">
        <f ca="1">_xlfn.XLOOKUP(tblValidation[[#This Row],[TargetID]],tblTargets[TargetID],tblTargets[TargetType],"")</f>
        <v>TECH</v>
      </c>
      <c r="C576" s="48" t="b">
        <f ca="1">COUNTIF(tblTargets[TargetID], $A576) &gt; 0</f>
        <v>1</v>
      </c>
      <c r="D576" s="48" t="b">
        <f ca="1">IF(OR(LEFT(tblValidation[[#This Row],[TargetID]],10)="state.CHAR",RIGHT(tblValidation[[#This Row],[TargetID]],5)="maxed"),TRUE, COUNTIF(tblChecklist[TargetID], $A576) &gt; 0)</f>
        <v>1</v>
      </c>
      <c r="E5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$A576) &gt; 0)</f>
        <v>1</v>
      </c>
      <c r="F576" s="48" t="b">
        <f ca="1">COUNTIF(tblDependencies[DependencyID], $A576) &gt; 0</f>
        <v>0</v>
      </c>
      <c r="G576" s="48" t="b">
        <f ca="1">COUNTIF(tblQuestObjectives[QuestTargetID], $A576) &gt; 0</f>
        <v>0</v>
      </c>
      <c r="H576" s="48" t="b">
        <f ca="1">COUNTIF(tblQuestObjectives[ObjectiveID], $A576) &gt; 0</f>
        <v>0</v>
      </c>
      <c r="I576" s="48" t="b">
        <f ca="1">COUNTIF(tblTargetStatus[TargetID], $A576) &gt; 0</f>
        <v>1</v>
      </c>
      <c r="J576" s="48" t="b">
        <f ca="1">COUNTIF(tblCost[TargetID], $A576) &gt; 0</f>
        <v>1</v>
      </c>
      <c r="K576" s="48" t="b">
        <f ca="1">COUNTIF(tblStates[StateID], $A576) &gt; 0</f>
        <v>0</v>
      </c>
      <c r="L576" s="48" t="b">
        <f t="shared" ca="1" si="17"/>
        <v>1</v>
      </c>
      <c r="M576" s="48" t="b">
        <f ca="1">IF(tblValidation[[#This Row],[TargetID]]="","",COUNTIF(tblTargets[TargetID],A576)&gt;1)</f>
        <v>0</v>
      </c>
      <c r="N576" s="48" t="b">
        <f ca="1">IF(tblValidation[[#This Row],[TargetID]]="","",COUNTIF(tblStates[StateID],tblValidation[[#This Row],[TargetID]])&gt;1)</f>
        <v>0</v>
      </c>
      <c r="O576" s="48" t="b" cm="1">
        <f t="array" aca="1" ref="O5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6" s="48"/>
      <c r="R576" s="48"/>
      <c r="S576" s="48"/>
      <c r="T576" s="48"/>
      <c r="V576" s="2" t="str">
        <f ca="1"/>
        <v>tech.shop.pre_orders</v>
      </c>
      <c r="X576" s="2" t="str">
        <f ca="1"/>
        <v>tech.shop.pre_orders</v>
      </c>
      <c r="Z576" s="2" t="str">
        <f ca="1"/>
        <v>tech.workshop.steamobile</v>
      </c>
      <c r="AD576" s="2" t="str">
        <f ca="1"/>
        <v>tech.shop.pre_orders</v>
      </c>
    </row>
    <row r="577" spans="1:30">
      <c r="A577" t="str">
        <f t="shared" ca="1" si="16"/>
        <v>tech.smithy.gears</v>
      </c>
      <c r="B577" t="str">
        <f ca="1">_xlfn.XLOOKUP(tblValidation[[#This Row],[TargetID]],tblTargets[TargetID],tblTargets[TargetType],"")</f>
        <v>TECH</v>
      </c>
      <c r="C577" s="48" t="b">
        <f ca="1">COUNTIF(tblTargets[TargetID], $A577) &gt; 0</f>
        <v>1</v>
      </c>
      <c r="D577" s="48" t="b">
        <f ca="1">IF(OR(LEFT(tblValidation[[#This Row],[TargetID]],10)="state.CHAR",RIGHT(tblValidation[[#This Row],[TargetID]],5)="maxed"),TRUE, COUNTIF(tblChecklist[TargetID], $A577) &gt; 0)</f>
        <v>1</v>
      </c>
      <c r="E5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$A577) &gt; 0)</f>
        <v>1</v>
      </c>
      <c r="F577" s="48" t="b">
        <f ca="1">COUNTIF(tblDependencies[DependencyID], $A577) &gt; 0</f>
        <v>0</v>
      </c>
      <c r="G577" s="48" t="b">
        <f ca="1">COUNTIF(tblQuestObjectives[QuestTargetID], $A577) &gt; 0</f>
        <v>0</v>
      </c>
      <c r="H577" s="48" t="b">
        <f ca="1">COUNTIF(tblQuestObjectives[ObjectiveID], $A577) &gt; 0</f>
        <v>0</v>
      </c>
      <c r="I577" s="48" t="b">
        <f ca="1">COUNTIF(tblTargetStatus[TargetID], $A577) &gt; 0</f>
        <v>1</v>
      </c>
      <c r="J577" s="48" t="b">
        <f ca="1">COUNTIF(tblCost[TargetID], $A577) &gt; 0</f>
        <v>1</v>
      </c>
      <c r="K577" s="48" t="b">
        <f ca="1">COUNTIF(tblStates[StateID], $A577) &gt; 0</f>
        <v>0</v>
      </c>
      <c r="L577" s="48" t="b">
        <f t="shared" ca="1" si="17"/>
        <v>1</v>
      </c>
      <c r="M577" s="48" t="b">
        <f ca="1">IF(tblValidation[[#This Row],[TargetID]]="","",COUNTIF(tblTargets[TargetID],A577)&gt;1)</f>
        <v>0</v>
      </c>
      <c r="N577" s="48" t="b">
        <f ca="1">IF(tblValidation[[#This Row],[TargetID]]="","",COUNTIF(tblStates[StateID],tblValidation[[#This Row],[TargetID]])&gt;1)</f>
        <v>0</v>
      </c>
      <c r="O577" s="48" t="b" cm="1">
        <f t="array" aca="1" ref="O5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7" s="48"/>
      <c r="R577" s="48"/>
      <c r="S577" s="48"/>
      <c r="T577" s="48"/>
      <c r="V577" s="2" t="str">
        <f ca="1"/>
        <v>tech.smithy.gears</v>
      </c>
      <c r="X577" s="2" t="str">
        <f ca="1"/>
        <v>tech.smithy.gears</v>
      </c>
      <c r="Z577" s="2" t="str">
        <f ca="1"/>
        <v>tech.workshop.strong_glue</v>
      </c>
      <c r="AD577" s="2" t="str">
        <f ca="1"/>
        <v>tech.smithy.gears</v>
      </c>
    </row>
    <row r="578" spans="1:30">
      <c r="A578" t="str">
        <f t="shared" ref="A578:A613" ca="1" si="18">IF(OR(V578=0,V578=""),"",V578)</f>
        <v>tech.smithy.sword_for_a_hero_lvl_1</v>
      </c>
      <c r="B578" t="str">
        <f ca="1">_xlfn.XLOOKUP(tblValidation[[#This Row],[TargetID]],tblTargets[TargetID],tblTargets[TargetType],"")</f>
        <v>TECH</v>
      </c>
      <c r="C578" s="48" t="b">
        <f ca="1">COUNTIF(tblTargets[TargetID], $A578) &gt; 0</f>
        <v>1</v>
      </c>
      <c r="D578" s="48" t="b">
        <f ca="1">IF(OR(LEFT(tblValidation[[#This Row],[TargetID]],10)="state.CHAR",RIGHT(tblValidation[[#This Row],[TargetID]],5)="maxed"),TRUE, COUNTIF(tblChecklist[TargetID], $A578) &gt; 0)</f>
        <v>1</v>
      </c>
      <c r="E5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$A578) &gt; 0)</f>
        <v>1</v>
      </c>
      <c r="F578" s="48" t="b">
        <f ca="1">COUNTIF(tblDependencies[DependencyID], $A578) &gt; 0</f>
        <v>1</v>
      </c>
      <c r="G578" s="48" t="b">
        <f ca="1">COUNTIF(tblQuestObjectives[QuestTargetID], $A578) &gt; 0</f>
        <v>0</v>
      </c>
      <c r="H578" s="48" t="b">
        <f ca="1">COUNTIF(tblQuestObjectives[ObjectiveID], $A578) &gt; 0</f>
        <v>0</v>
      </c>
      <c r="I578" s="48" t="b">
        <f ca="1">COUNTIF(tblTargetStatus[TargetID], $A578) &gt; 0</f>
        <v>1</v>
      </c>
      <c r="J578" s="48" t="b">
        <f ca="1">COUNTIF(tblCost[TargetID], $A578) &gt; 0</f>
        <v>1</v>
      </c>
      <c r="K578" s="48" t="b">
        <f ca="1">COUNTIF(tblStates[StateID], $A578) &gt; 0</f>
        <v>0</v>
      </c>
      <c r="L578" s="48" t="b">
        <f t="shared" ref="L578:L613" ca="1" si="19">AND(
A578=LOWER(A578),
ISERROR(SEARCH(" ",A578)),
ISERROR(SEARCH("..",A578))
)</f>
        <v>1</v>
      </c>
      <c r="M578" s="48" t="b">
        <f ca="1">IF(tblValidation[[#This Row],[TargetID]]="","",COUNTIF(tblTargets[TargetID],A578)&gt;1)</f>
        <v>0</v>
      </c>
      <c r="N578" s="48" t="b">
        <f ca="1">IF(tblValidation[[#This Row],[TargetID]]="","",COUNTIF(tblStates[StateID],tblValidation[[#This Row],[TargetID]])&gt;1)</f>
        <v>0</v>
      </c>
      <c r="O578" s="48" t="b" cm="1">
        <f t="array" aca="1" ref="O5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8" s="48"/>
      <c r="R578" s="48"/>
      <c r="S578" s="48"/>
      <c r="T578" s="48"/>
      <c r="V578" s="2" t="str">
        <f ca="1"/>
        <v>tech.smithy.sword_for_a_hero_lvl_1</v>
      </c>
      <c r="X578" s="2" t="str">
        <f ca="1"/>
        <v>tech.smithy.sword_for_a_hero_lvl_1</v>
      </c>
      <c r="Z578" s="2" t="str">
        <f ca="1"/>
        <v>tech.workshop.throwing_net</v>
      </c>
      <c r="AD578" s="2" t="str">
        <f ca="1"/>
        <v>tech.smithy.sword_for_a_hero_lvl_1</v>
      </c>
    </row>
    <row r="579" spans="1:30">
      <c r="A579" t="str">
        <f t="shared" ca="1" si="18"/>
        <v>tech.smithy.sword_for_a_hero_lvl_2</v>
      </c>
      <c r="B579" t="str">
        <f ca="1">_xlfn.XLOOKUP(tblValidation[[#This Row],[TargetID]],tblTargets[TargetID],tblTargets[TargetType],"")</f>
        <v>TECH</v>
      </c>
      <c r="C579" s="48" t="b">
        <f ca="1">COUNTIF(tblTargets[TargetID], $A579) &gt; 0</f>
        <v>1</v>
      </c>
      <c r="D579" s="48" t="b">
        <f ca="1">IF(OR(LEFT(tblValidation[[#This Row],[TargetID]],10)="state.CHAR",RIGHT(tblValidation[[#This Row],[TargetID]],5)="maxed"),TRUE, COUNTIF(tblChecklist[TargetID], $A579) &gt; 0)</f>
        <v>1</v>
      </c>
      <c r="E5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$A579) &gt; 0)</f>
        <v>1</v>
      </c>
      <c r="F579" s="48" t="b">
        <f ca="1">COUNTIF(tblDependencies[DependencyID], $A579) &gt; 0</f>
        <v>1</v>
      </c>
      <c r="G579" s="48" t="b">
        <f ca="1">COUNTIF(tblQuestObjectives[QuestTargetID], $A579) &gt; 0</f>
        <v>0</v>
      </c>
      <c r="H579" s="48" t="b">
        <f ca="1">COUNTIF(tblQuestObjectives[ObjectiveID], $A579) &gt; 0</f>
        <v>0</v>
      </c>
      <c r="I579" s="48" t="b">
        <f ca="1">COUNTIF(tblTargetStatus[TargetID], $A579) &gt; 0</f>
        <v>1</v>
      </c>
      <c r="J579" s="48" t="b">
        <f ca="1">COUNTIF(tblCost[TargetID], $A579) &gt; 0</f>
        <v>1</v>
      </c>
      <c r="K579" s="48" t="b">
        <f ca="1">COUNTIF(tblStates[StateID], $A579) &gt; 0</f>
        <v>0</v>
      </c>
      <c r="L579" s="48" t="b">
        <f t="shared" ca="1" si="19"/>
        <v>1</v>
      </c>
      <c r="M579" s="48" t="b">
        <f ca="1">IF(tblValidation[[#This Row],[TargetID]]="","",COUNTIF(tblTargets[TargetID],A579)&gt;1)</f>
        <v>0</v>
      </c>
      <c r="N579" s="48" t="b">
        <f ca="1">IF(tblValidation[[#This Row],[TargetID]]="","",COUNTIF(tblStates[StateID],tblValidation[[#This Row],[TargetID]])&gt;1)</f>
        <v>0</v>
      </c>
      <c r="O579" s="48" t="b" cm="1">
        <f t="array" aca="1" ref="O5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9" s="48"/>
      <c r="R579" s="48"/>
      <c r="S579" s="48"/>
      <c r="T579" s="48"/>
      <c r="V579" s="2" t="str">
        <f ca="1"/>
        <v>tech.smithy.sword_for_a_hero_lvl_2</v>
      </c>
      <c r="X579" s="2" t="str">
        <f ca="1"/>
        <v>tech.smithy.sword_for_a_hero_lvl_2</v>
      </c>
      <c r="Z579" s="2" t="str">
        <f ca="1"/>
        <v>tech.workshop.zen_fountain</v>
      </c>
      <c r="AD579" s="2" t="str">
        <f ca="1"/>
        <v>tech.smithy.sword_for_a_hero_lvl_2</v>
      </c>
    </row>
    <row r="580" spans="1:30">
      <c r="A580" t="str">
        <f t="shared" ca="1" si="18"/>
        <v>tech.smithy.sword_for_a_hero_lvl_3</v>
      </c>
      <c r="B580" t="str">
        <f ca="1">_xlfn.XLOOKUP(tblValidation[[#This Row],[TargetID]],tblTargets[TargetID],tblTargets[TargetType],"")</f>
        <v>TECH</v>
      </c>
      <c r="C580" s="48" t="b">
        <f ca="1">COUNTIF(tblTargets[TargetID], $A580) &gt; 0</f>
        <v>1</v>
      </c>
      <c r="D580" s="48" t="b">
        <f ca="1">IF(OR(LEFT(tblValidation[[#This Row],[TargetID]],10)="state.CHAR",RIGHT(tblValidation[[#This Row],[TargetID]],5)="maxed"),TRUE, COUNTIF(tblChecklist[TargetID], $A580) &gt; 0)</f>
        <v>1</v>
      </c>
      <c r="E5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$A580) &gt; 0)</f>
        <v>1</v>
      </c>
      <c r="F580" s="48" t="b">
        <f ca="1">COUNTIF(tblDependencies[DependencyID], $A580) &gt; 0</f>
        <v>1</v>
      </c>
      <c r="G580" s="48" t="b">
        <f ca="1">COUNTIF(tblQuestObjectives[QuestTargetID], $A580) &gt; 0</f>
        <v>0</v>
      </c>
      <c r="H580" s="48" t="b">
        <f ca="1">COUNTIF(tblQuestObjectives[ObjectiveID], $A580) &gt; 0</f>
        <v>0</v>
      </c>
      <c r="I580" s="48" t="b">
        <f ca="1">COUNTIF(tblTargetStatus[TargetID], $A580) &gt; 0</f>
        <v>1</v>
      </c>
      <c r="J580" s="48" t="b">
        <f ca="1">COUNTIF(tblCost[TargetID], $A580) &gt; 0</f>
        <v>1</v>
      </c>
      <c r="K580" s="48" t="b">
        <f ca="1">COUNTIF(tblStates[StateID], $A580) &gt; 0</f>
        <v>0</v>
      </c>
      <c r="L580" s="48" t="b">
        <f t="shared" ca="1" si="19"/>
        <v>1</v>
      </c>
      <c r="M580" s="48" t="b">
        <f ca="1">IF(tblValidation[[#This Row],[TargetID]]="","",COUNTIF(tblTargets[TargetID],A580)&gt;1)</f>
        <v>0</v>
      </c>
      <c r="N580" s="48" t="b">
        <f ca="1">IF(tblValidation[[#This Row],[TargetID]]="","",COUNTIF(tblStates[StateID],tblValidation[[#This Row],[TargetID]])&gt;1)</f>
        <v>0</v>
      </c>
      <c r="O580" s="48" t="b" cm="1">
        <f t="array" aca="1" ref="O5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0" s="48"/>
      <c r="R580" s="48"/>
      <c r="S580" s="48"/>
      <c r="T580" s="48"/>
      <c r="V580" s="2" t="str">
        <f ca="1"/>
        <v>tech.smithy.sword_for_a_hero_lvl_3</v>
      </c>
      <c r="X580" s="2" t="str">
        <f ca="1"/>
        <v>tech.smithy.sword_for_a_hero_lvl_3</v>
      </c>
      <c r="Z580" s="2">
        <f ca="1"/>
        <v>0</v>
      </c>
      <c r="AD580" s="2" t="str">
        <f ca="1"/>
        <v>tech.smithy.sword_for_a_hero_lvl_3</v>
      </c>
    </row>
    <row r="581" spans="1:30">
      <c r="A581" t="str">
        <f t="shared" ca="1" si="18"/>
        <v>tech.smithy.sword_for_a_hero_lvl_4</v>
      </c>
      <c r="B581" t="str">
        <f ca="1">_xlfn.XLOOKUP(tblValidation[[#This Row],[TargetID]],tblTargets[TargetID],tblTargets[TargetType],"")</f>
        <v>TECH</v>
      </c>
      <c r="C581" s="48" t="b">
        <f ca="1">COUNTIF(tblTargets[TargetID], $A581) &gt; 0</f>
        <v>1</v>
      </c>
      <c r="D581" s="48" t="b">
        <f ca="1">IF(OR(LEFT(tblValidation[[#This Row],[TargetID]],10)="state.CHAR",RIGHT(tblValidation[[#This Row],[TargetID]],5)="maxed"),TRUE, COUNTIF(tblChecklist[TargetID], $A581) &gt; 0)</f>
        <v>1</v>
      </c>
      <c r="E5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$A581) &gt; 0)</f>
        <v>1</v>
      </c>
      <c r="F581" s="48" t="b">
        <f ca="1">COUNTIF(tblDependencies[DependencyID], $A581) &gt; 0</f>
        <v>1</v>
      </c>
      <c r="G581" s="48" t="b">
        <f ca="1">COUNTIF(tblQuestObjectives[QuestTargetID], $A581) &gt; 0</f>
        <v>0</v>
      </c>
      <c r="H581" s="48" t="b">
        <f ca="1">COUNTIF(tblQuestObjectives[ObjectiveID], $A581) &gt; 0</f>
        <v>1</v>
      </c>
      <c r="I581" s="48" t="b">
        <f ca="1">COUNTIF(tblTargetStatus[TargetID], $A581) &gt; 0</f>
        <v>1</v>
      </c>
      <c r="J581" s="48" t="b">
        <f ca="1">COUNTIF(tblCost[TargetID], $A581) &gt; 0</f>
        <v>1</v>
      </c>
      <c r="K581" s="48" t="b">
        <f ca="1">COUNTIF(tblStates[StateID], $A581) &gt; 0</f>
        <v>0</v>
      </c>
      <c r="L581" s="48" t="b">
        <f t="shared" ca="1" si="19"/>
        <v>1</v>
      </c>
      <c r="M581" s="48" t="b">
        <f ca="1">IF(tblValidation[[#This Row],[TargetID]]="","",COUNTIF(tblTargets[TargetID],A581)&gt;1)</f>
        <v>0</v>
      </c>
      <c r="N581" s="48" t="b">
        <f ca="1">IF(tblValidation[[#This Row],[TargetID]]="","",COUNTIF(tblStates[StateID],tblValidation[[#This Row],[TargetID]])&gt;1)</f>
        <v>0</v>
      </c>
      <c r="O581" s="48" t="b" cm="1">
        <f t="array" aca="1" ref="O5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1" s="48"/>
      <c r="R581" s="48"/>
      <c r="S581" s="48"/>
      <c r="T581" s="48"/>
      <c r="V581" s="2" t="str">
        <f ca="1"/>
        <v>tech.smithy.sword_for_a_hero_lvl_4</v>
      </c>
      <c r="X581" s="2" t="str">
        <f ca="1"/>
        <v>tech.smithy.sword_for_a_hero_lvl_4</v>
      </c>
      <c r="AD581" s="2" t="str">
        <f ca="1"/>
        <v>tech.smithy.sword_for_a_hero_lvl_4</v>
      </c>
    </row>
    <row r="582" spans="1:30">
      <c r="A582" t="str">
        <f t="shared" ca="1" si="18"/>
        <v>tech.smithy.sword_for_a_hero_lvl_4+</v>
      </c>
      <c r="B582" t="str">
        <f ca="1">_xlfn.XLOOKUP(tblValidation[[#This Row],[TargetID]],tblTargets[TargetID],tblTargets[TargetType],"")</f>
        <v>TECH</v>
      </c>
      <c r="C582" s="48" t="b">
        <f ca="1">COUNTIF(tblTargets[TargetID], $A582) &gt; 0</f>
        <v>1</v>
      </c>
      <c r="D582" s="48" t="b">
        <f ca="1">IF(OR(LEFT(tblValidation[[#This Row],[TargetID]],10)="state.CHAR",RIGHT(tblValidation[[#This Row],[TargetID]],5)="maxed"),TRUE, COUNTIF(tblChecklist[TargetID], $A582) &gt; 0)</f>
        <v>1</v>
      </c>
      <c r="E5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$A582) &gt; 0)</f>
        <v>1</v>
      </c>
      <c r="F582" s="48" t="b">
        <f ca="1">COUNTIF(tblDependencies[DependencyID], $A582) &gt; 0</f>
        <v>1</v>
      </c>
      <c r="G582" s="48" t="b">
        <f ca="1">COUNTIF(tblQuestObjectives[QuestTargetID], $A582) &gt; 0</f>
        <v>0</v>
      </c>
      <c r="H582" s="48" t="b">
        <f ca="1">COUNTIF(tblQuestObjectives[ObjectiveID], $A582) &gt; 0</f>
        <v>0</v>
      </c>
      <c r="I582" s="48" t="b">
        <f ca="1">COUNTIF(tblTargetStatus[TargetID], $A582) &gt; 0</f>
        <v>1</v>
      </c>
      <c r="J582" s="48" t="b">
        <f ca="1">COUNTIF(tblCost[TargetID], $A582) &gt; 0</f>
        <v>1</v>
      </c>
      <c r="K582" s="48" t="b">
        <f ca="1">COUNTIF(tblStates[StateID], $A582) &gt; 0</f>
        <v>0</v>
      </c>
      <c r="L582" s="48" t="b">
        <f t="shared" ca="1" si="19"/>
        <v>1</v>
      </c>
      <c r="M582" s="48" t="b">
        <f ca="1">IF(tblValidation[[#This Row],[TargetID]]="","",COUNTIF(tblTargets[TargetID],A582)&gt;1)</f>
        <v>0</v>
      </c>
      <c r="N582" s="48" t="b">
        <f ca="1">IF(tblValidation[[#This Row],[TargetID]]="","",COUNTIF(tblStates[StateID],tblValidation[[#This Row],[TargetID]])&gt;1)</f>
        <v>0</v>
      </c>
      <c r="O582" s="48" t="b" cm="1">
        <f t="array" aca="1" ref="O5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2" s="48"/>
      <c r="R582" s="48"/>
      <c r="S582" s="48"/>
      <c r="T582" s="48"/>
      <c r="V582" s="2" t="str">
        <f ca="1"/>
        <v>tech.smithy.sword_for_a_hero_lvl_4+</v>
      </c>
      <c r="X582" s="2" t="str">
        <f ca="1"/>
        <v>tech.smithy.sword_for_a_hero_lvl_4+</v>
      </c>
      <c r="AD582" s="2" t="str">
        <f ca="1"/>
        <v>tech.smithy.sword_for_a_hero_lvl_4+</v>
      </c>
    </row>
    <row r="583" spans="1:30">
      <c r="A583" t="str">
        <f t="shared" ca="1" si="18"/>
        <v>tech.smithy.throwing_knife</v>
      </c>
      <c r="B583" t="str">
        <f ca="1">_xlfn.XLOOKUP(tblValidation[[#This Row],[TargetID]],tblTargets[TargetID],tblTargets[TargetType],"")</f>
        <v>TECH</v>
      </c>
      <c r="C583" s="48" t="b">
        <f ca="1">COUNTIF(tblTargets[TargetID], $A583) &gt; 0</f>
        <v>1</v>
      </c>
      <c r="D583" s="48" t="b">
        <f ca="1">IF(OR(LEFT(tblValidation[[#This Row],[TargetID]],10)="state.CHAR",RIGHT(tblValidation[[#This Row],[TargetID]],5)="maxed"),TRUE, COUNTIF(tblChecklist[TargetID], $A583) &gt; 0)</f>
        <v>1</v>
      </c>
      <c r="E5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$A583) &gt; 0)</f>
        <v>1</v>
      </c>
      <c r="F583" s="48" t="b">
        <f ca="1">COUNTIF(tblDependencies[DependencyID], $A583) &gt; 0</f>
        <v>0</v>
      </c>
      <c r="G583" s="48" t="b">
        <f ca="1">COUNTIF(tblQuestObjectives[QuestTargetID], $A583) &gt; 0</f>
        <v>0</v>
      </c>
      <c r="H583" s="48" t="b">
        <f ca="1">COUNTIF(tblQuestObjectives[ObjectiveID], $A583) &gt; 0</f>
        <v>1</v>
      </c>
      <c r="I583" s="48" t="b">
        <f ca="1">COUNTIF(tblTargetStatus[TargetID], $A583) &gt; 0</f>
        <v>1</v>
      </c>
      <c r="J583" s="48" t="b">
        <f ca="1">COUNTIF(tblCost[TargetID], $A583) &gt; 0</f>
        <v>1</v>
      </c>
      <c r="K583" s="48" t="b">
        <f ca="1">COUNTIF(tblStates[StateID], $A583) &gt; 0</f>
        <v>0</v>
      </c>
      <c r="L583" s="48" t="b">
        <f t="shared" ca="1" si="19"/>
        <v>1</v>
      </c>
      <c r="M583" s="48" t="b">
        <f ca="1">IF(tblValidation[[#This Row],[TargetID]]="","",COUNTIF(tblTargets[TargetID],A583)&gt;1)</f>
        <v>0</v>
      </c>
      <c r="N583" s="48" t="b">
        <f ca="1">IF(tblValidation[[#This Row],[TargetID]]="","",COUNTIF(tblStates[StateID],tblValidation[[#This Row],[TargetID]])&gt;1)</f>
        <v>0</v>
      </c>
      <c r="O583" s="48" t="b" cm="1">
        <f t="array" aca="1" ref="O5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3" s="48"/>
      <c r="R583" s="48"/>
      <c r="S583" s="48"/>
      <c r="T583" s="48"/>
      <c r="V583" s="2" t="str">
        <f ca="1"/>
        <v>tech.smithy.throwing_knife</v>
      </c>
      <c r="X583" s="2" t="str">
        <f ca="1"/>
        <v>tech.smithy.throwing_knife</v>
      </c>
      <c r="AD583" s="2" t="str">
        <f ca="1"/>
        <v>tech.smithy.throwing_knife</v>
      </c>
    </row>
    <row r="584" spans="1:30">
      <c r="A584" t="str">
        <f t="shared" ca="1" si="18"/>
        <v>tech.smithy.treasure</v>
      </c>
      <c r="B584" t="str">
        <f ca="1">_xlfn.XLOOKUP(tblValidation[[#This Row],[TargetID]],tblTargets[TargetID],tblTargets[TargetType],"")</f>
        <v>TECH</v>
      </c>
      <c r="C584" s="48" t="b">
        <f ca="1">COUNTIF(tblTargets[TargetID], $A584) &gt; 0</f>
        <v>1</v>
      </c>
      <c r="D584" s="48" t="b">
        <f ca="1">IF(OR(LEFT(tblValidation[[#This Row],[TargetID]],10)="state.CHAR",RIGHT(tblValidation[[#This Row],[TargetID]],5)="maxed"),TRUE, COUNTIF(tblChecklist[TargetID], $A584) &gt; 0)</f>
        <v>1</v>
      </c>
      <c r="E5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$A584) &gt; 0)</f>
        <v>1</v>
      </c>
      <c r="F584" s="48" t="b">
        <f ca="1">COUNTIF(tblDependencies[DependencyID], $A584) &gt; 0</f>
        <v>0</v>
      </c>
      <c r="G584" s="48" t="b">
        <f ca="1">COUNTIF(tblQuestObjectives[QuestTargetID], $A584) &gt; 0</f>
        <v>0</v>
      </c>
      <c r="H584" s="48" t="b">
        <f ca="1">COUNTIF(tblQuestObjectives[ObjectiveID], $A584) &gt; 0</f>
        <v>0</v>
      </c>
      <c r="I584" s="48" t="b">
        <f ca="1">COUNTIF(tblTargetStatus[TargetID], $A584) &gt; 0</f>
        <v>1</v>
      </c>
      <c r="J584" s="48" t="b">
        <f ca="1">COUNTIF(tblCost[TargetID], $A584) &gt; 0</f>
        <v>1</v>
      </c>
      <c r="K584" s="48" t="b">
        <f ca="1">COUNTIF(tblStates[StateID], $A584) &gt; 0</f>
        <v>0</v>
      </c>
      <c r="L584" s="48" t="b">
        <f t="shared" ca="1" si="19"/>
        <v>1</v>
      </c>
      <c r="M584" s="48" t="b">
        <f ca="1">IF(tblValidation[[#This Row],[TargetID]]="","",COUNTIF(tblTargets[TargetID],A584)&gt;1)</f>
        <v>0</v>
      </c>
      <c r="N584" s="48" t="b">
        <f ca="1">IF(tblValidation[[#This Row],[TargetID]]="","",COUNTIF(tblStates[StateID],tblValidation[[#This Row],[TargetID]])&gt;1)</f>
        <v>0</v>
      </c>
      <c r="O584" s="48" t="b" cm="1">
        <f t="array" aca="1" ref="O5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4" s="48"/>
      <c r="R584" s="48"/>
      <c r="S584" s="48"/>
      <c r="T584" s="48"/>
      <c r="V584" s="2" t="str">
        <f ca="1"/>
        <v>tech.smithy.treasure</v>
      </c>
      <c r="X584" s="2" t="str">
        <f ca="1"/>
        <v>tech.smithy.treasure</v>
      </c>
      <c r="AD584" s="2" t="str">
        <f ca="1"/>
        <v>tech.smithy.treasure</v>
      </c>
    </row>
    <row r="585" spans="1:30">
      <c r="A585" t="str">
        <f t="shared" ca="1" si="18"/>
        <v>tech.smithy.weapon_grease</v>
      </c>
      <c r="B585" t="str">
        <f ca="1">_xlfn.XLOOKUP(tblValidation[[#This Row],[TargetID]],tblTargets[TargetID],tblTargets[TargetType],"")</f>
        <v>TECH</v>
      </c>
      <c r="C585" s="48" t="b">
        <f ca="1">COUNTIF(tblTargets[TargetID], $A585) &gt; 0</f>
        <v>1</v>
      </c>
      <c r="D585" s="48" t="b">
        <f ca="1">IF(OR(LEFT(tblValidation[[#This Row],[TargetID]],10)="state.CHAR",RIGHT(tblValidation[[#This Row],[TargetID]],5)="maxed"),TRUE, COUNTIF(tblChecklist[TargetID], $A585) &gt; 0)</f>
        <v>1</v>
      </c>
      <c r="E5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$A585) &gt; 0)</f>
        <v>1</v>
      </c>
      <c r="F585" s="48" t="b">
        <f ca="1">COUNTIF(tblDependencies[DependencyID], $A585) &gt; 0</f>
        <v>0</v>
      </c>
      <c r="G585" s="48" t="b">
        <f ca="1">COUNTIF(tblQuestObjectives[QuestTargetID], $A585) &gt; 0</f>
        <v>0</v>
      </c>
      <c r="H585" s="48" t="b">
        <f ca="1">COUNTIF(tblQuestObjectives[ObjectiveID], $A585) &gt; 0</f>
        <v>0</v>
      </c>
      <c r="I585" s="48" t="b">
        <f ca="1">COUNTIF(tblTargetStatus[TargetID], $A585) &gt; 0</f>
        <v>1</v>
      </c>
      <c r="J585" s="48" t="b">
        <f ca="1">COUNTIF(tblCost[TargetID], $A585) &gt; 0</f>
        <v>1</v>
      </c>
      <c r="K585" s="48" t="b">
        <f ca="1">COUNTIF(tblStates[StateID], $A585) &gt; 0</f>
        <v>0</v>
      </c>
      <c r="L585" s="48" t="b">
        <f t="shared" ca="1" si="19"/>
        <v>1</v>
      </c>
      <c r="M585" s="48" t="b">
        <f ca="1">IF(tblValidation[[#This Row],[TargetID]]="","",COUNTIF(tblTargets[TargetID],A585)&gt;1)</f>
        <v>0</v>
      </c>
      <c r="N585" s="48" t="b">
        <f ca="1">IF(tblValidation[[#This Row],[TargetID]]="","",COUNTIF(tblStates[StateID],tblValidation[[#This Row],[TargetID]])&gt;1)</f>
        <v>0</v>
      </c>
      <c r="O585" s="48" t="b" cm="1">
        <f t="array" aca="1" ref="O5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5" s="48"/>
      <c r="R585" s="48"/>
      <c r="S585" s="48"/>
      <c r="T585" s="48"/>
      <c r="V585" s="2" t="str">
        <f ca="1"/>
        <v>tech.smithy.weapon_grease</v>
      </c>
      <c r="X585" s="2" t="str">
        <f ca="1"/>
        <v>tech.smithy.weapon_grease</v>
      </c>
      <c r="AD585" s="2" t="str">
        <f ca="1"/>
        <v>tech.smithy.weapon_grease</v>
      </c>
    </row>
    <row r="586" spans="1:30">
      <c r="A586" t="str">
        <f t="shared" ca="1" si="18"/>
        <v>tech.tailor.ariadnes_thread</v>
      </c>
      <c r="B586" t="str">
        <f ca="1">_xlfn.XLOOKUP(tblValidation[[#This Row],[TargetID]],tblTargets[TargetID],tblTargets[TargetType],"")</f>
        <v>TECH</v>
      </c>
      <c r="C586" s="48" t="b">
        <f ca="1">COUNTIF(tblTargets[TargetID], $A586) &gt; 0</f>
        <v>1</v>
      </c>
      <c r="D586" s="48" t="b">
        <f ca="1">IF(OR(LEFT(tblValidation[[#This Row],[TargetID]],10)="state.CHAR",RIGHT(tblValidation[[#This Row],[TargetID]],5)="maxed"),TRUE, COUNTIF(tblChecklist[TargetID], $A586) &gt; 0)</f>
        <v>1</v>
      </c>
      <c r="E5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$A586) &gt; 0)</f>
        <v>1</v>
      </c>
      <c r="F586" s="48" t="b">
        <f ca="1">COUNTIF(tblDependencies[DependencyID], $A586) &gt; 0</f>
        <v>0</v>
      </c>
      <c r="G586" s="48" t="b">
        <f ca="1">COUNTIF(tblQuestObjectives[QuestTargetID], $A586) &gt; 0</f>
        <v>0</v>
      </c>
      <c r="H586" s="48" t="b">
        <f ca="1">COUNTIF(tblQuestObjectives[ObjectiveID], $A586) &gt; 0</f>
        <v>0</v>
      </c>
      <c r="I586" s="48" t="b">
        <f ca="1">COUNTIF(tblTargetStatus[TargetID], $A586) &gt; 0</f>
        <v>1</v>
      </c>
      <c r="J586" s="48" t="b">
        <f ca="1">COUNTIF(tblCost[TargetID], $A586) &gt; 0</f>
        <v>1</v>
      </c>
      <c r="K586" s="48" t="b">
        <f ca="1">COUNTIF(tblStates[StateID], $A586) &gt; 0</f>
        <v>0</v>
      </c>
      <c r="L586" s="48" t="b">
        <f t="shared" ca="1" si="19"/>
        <v>1</v>
      </c>
      <c r="M586" s="48" t="b">
        <f ca="1">IF(tblValidation[[#This Row],[TargetID]]="","",COUNTIF(tblTargets[TargetID],A586)&gt;1)</f>
        <v>0</v>
      </c>
      <c r="N586" s="48" t="b">
        <f ca="1">IF(tblValidation[[#This Row],[TargetID]]="","",COUNTIF(tblStates[StateID],tblValidation[[#This Row],[TargetID]])&gt;1)</f>
        <v>0</v>
      </c>
      <c r="O586" s="48" t="b" cm="1">
        <f t="array" aca="1" ref="O5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6" s="48"/>
      <c r="R586" s="48"/>
      <c r="S586" s="48"/>
      <c r="T586" s="48"/>
      <c r="V586" s="2" t="str">
        <f ca="1"/>
        <v>tech.tailor.ariadnes_thread</v>
      </c>
      <c r="X586" s="2" t="str">
        <f ca="1"/>
        <v>tech.tailor.ariadnes_thread</v>
      </c>
      <c r="AD586" s="2" t="str">
        <f ca="1"/>
        <v>tech.tailor.ariadnes_thread</v>
      </c>
    </row>
    <row r="587" spans="1:30">
      <c r="A587" t="str">
        <f t="shared" ca="1" si="18"/>
        <v>tech.tailor.armor_for_a_hero_lvl_1</v>
      </c>
      <c r="B587" t="str">
        <f ca="1">_xlfn.XLOOKUP(tblValidation[[#This Row],[TargetID]],tblTargets[TargetID],tblTargets[TargetType],"")</f>
        <v>TECH</v>
      </c>
      <c r="C587" s="48" t="b">
        <f ca="1">COUNTIF(tblTargets[TargetID], $A587) &gt; 0</f>
        <v>1</v>
      </c>
      <c r="D587" s="48" t="b">
        <f ca="1">IF(OR(LEFT(tblValidation[[#This Row],[TargetID]],10)="state.CHAR",RIGHT(tblValidation[[#This Row],[TargetID]],5)="maxed"),TRUE, COUNTIF(tblChecklist[TargetID], $A587) &gt; 0)</f>
        <v>1</v>
      </c>
      <c r="E5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$A587) &gt; 0)</f>
        <v>1</v>
      </c>
      <c r="F587" s="48" t="b">
        <f ca="1">COUNTIF(tblDependencies[DependencyID], $A587) &gt; 0</f>
        <v>1</v>
      </c>
      <c r="G587" s="48" t="b">
        <f ca="1">COUNTIF(tblQuestObjectives[QuestTargetID], $A587) &gt; 0</f>
        <v>0</v>
      </c>
      <c r="H587" s="48" t="b">
        <f ca="1">COUNTIF(tblQuestObjectives[ObjectiveID], $A587) &gt; 0</f>
        <v>0</v>
      </c>
      <c r="I587" s="48" t="b">
        <f ca="1">COUNTIF(tblTargetStatus[TargetID], $A587) &gt; 0</f>
        <v>1</v>
      </c>
      <c r="J587" s="48" t="b">
        <f ca="1">COUNTIF(tblCost[TargetID], $A587) &gt; 0</f>
        <v>1</v>
      </c>
      <c r="K587" s="48" t="b">
        <f ca="1">COUNTIF(tblStates[StateID], $A587) &gt; 0</f>
        <v>0</v>
      </c>
      <c r="L587" s="48" t="b">
        <f t="shared" ca="1" si="19"/>
        <v>1</v>
      </c>
      <c r="M587" s="48" t="b">
        <f ca="1">IF(tblValidation[[#This Row],[TargetID]]="","",COUNTIF(tblTargets[TargetID],A587)&gt;1)</f>
        <v>0</v>
      </c>
      <c r="N587" s="48" t="b">
        <f ca="1">IF(tblValidation[[#This Row],[TargetID]]="","",COUNTIF(tblStates[StateID],tblValidation[[#This Row],[TargetID]])&gt;1)</f>
        <v>0</v>
      </c>
      <c r="O587" s="48" t="b" cm="1">
        <f t="array" aca="1" ref="O5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7" s="48"/>
      <c r="R587" s="48"/>
      <c r="S587" s="48"/>
      <c r="T587" s="48"/>
      <c r="V587" s="2" t="str">
        <f ca="1"/>
        <v>tech.tailor.armor_for_a_hero_lvl_1</v>
      </c>
      <c r="X587" s="2" t="str">
        <f ca="1"/>
        <v>tech.tailor.armor_for_a_hero_lvl_1</v>
      </c>
      <c r="AD587" s="2" t="str">
        <f ca="1"/>
        <v>tech.tailor.armor_for_a_hero_lvl_1</v>
      </c>
    </row>
    <row r="588" spans="1:30">
      <c r="A588" t="str">
        <f t="shared" ca="1" si="18"/>
        <v>tech.tailor.armor_for_a_hero_lvl_2</v>
      </c>
      <c r="B588" t="str">
        <f ca="1">_xlfn.XLOOKUP(tblValidation[[#This Row],[TargetID]],tblTargets[TargetID],tblTargets[TargetType],"")</f>
        <v>TECH</v>
      </c>
      <c r="C588" s="48" t="b">
        <f ca="1">COUNTIF(tblTargets[TargetID], $A588) &gt; 0</f>
        <v>1</v>
      </c>
      <c r="D588" s="48" t="b">
        <f ca="1">IF(OR(LEFT(tblValidation[[#This Row],[TargetID]],10)="state.CHAR",RIGHT(tblValidation[[#This Row],[TargetID]],5)="maxed"),TRUE, COUNTIF(tblChecklist[TargetID], $A588) &gt; 0)</f>
        <v>1</v>
      </c>
      <c r="E5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$A588) &gt; 0)</f>
        <v>1</v>
      </c>
      <c r="F588" s="48" t="b">
        <f ca="1">COUNTIF(tblDependencies[DependencyID], $A588) &gt; 0</f>
        <v>1</v>
      </c>
      <c r="G588" s="48" t="b">
        <f ca="1">COUNTIF(tblQuestObjectives[QuestTargetID], $A588) &gt; 0</f>
        <v>0</v>
      </c>
      <c r="H588" s="48" t="b">
        <f ca="1">COUNTIF(tblQuestObjectives[ObjectiveID], $A588) &gt; 0</f>
        <v>0</v>
      </c>
      <c r="I588" s="48" t="b">
        <f ca="1">COUNTIF(tblTargetStatus[TargetID], $A588) &gt; 0</f>
        <v>1</v>
      </c>
      <c r="J588" s="48" t="b">
        <f ca="1">COUNTIF(tblCost[TargetID], $A588) &gt; 0</f>
        <v>1</v>
      </c>
      <c r="K588" s="48" t="b">
        <f ca="1">COUNTIF(tblStates[StateID], $A588) &gt; 0</f>
        <v>0</v>
      </c>
      <c r="L588" s="48" t="b">
        <f t="shared" ca="1" si="19"/>
        <v>1</v>
      </c>
      <c r="M588" s="48" t="b">
        <f ca="1">IF(tblValidation[[#This Row],[TargetID]]="","",COUNTIF(tblTargets[TargetID],A588)&gt;1)</f>
        <v>0</v>
      </c>
      <c r="N588" s="48" t="b">
        <f ca="1">IF(tblValidation[[#This Row],[TargetID]]="","",COUNTIF(tblStates[StateID],tblValidation[[#This Row],[TargetID]])&gt;1)</f>
        <v>0</v>
      </c>
      <c r="O588" s="48" t="b" cm="1">
        <f t="array" aca="1" ref="O5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8" s="48"/>
      <c r="R588" s="48"/>
      <c r="S588" s="48"/>
      <c r="T588" s="48"/>
      <c r="V588" s="2" t="str">
        <f ca="1"/>
        <v>tech.tailor.armor_for_a_hero_lvl_2</v>
      </c>
      <c r="X588" s="2" t="str">
        <f ca="1"/>
        <v>tech.tailor.armor_for_a_hero_lvl_2</v>
      </c>
      <c r="AD588" s="2" t="str">
        <f ca="1"/>
        <v>tech.tailor.armor_for_a_hero_lvl_2</v>
      </c>
    </row>
    <row r="589" spans="1:30">
      <c r="A589" t="str">
        <f t="shared" ca="1" si="18"/>
        <v>tech.tailor.armor_for_a_hero_lvl_3</v>
      </c>
      <c r="B589" t="str">
        <f ca="1">_xlfn.XLOOKUP(tblValidation[[#This Row],[TargetID]],tblTargets[TargetID],tblTargets[TargetType],"")</f>
        <v>TECH</v>
      </c>
      <c r="C589" s="48" t="b">
        <f ca="1">COUNTIF(tblTargets[TargetID], $A589) &gt; 0</f>
        <v>1</v>
      </c>
      <c r="D589" s="48" t="b">
        <f ca="1">IF(OR(LEFT(tblValidation[[#This Row],[TargetID]],10)="state.CHAR",RIGHT(tblValidation[[#This Row],[TargetID]],5)="maxed"),TRUE, COUNTIF(tblChecklist[TargetID], $A589) &gt; 0)</f>
        <v>1</v>
      </c>
      <c r="E5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$A589) &gt; 0)</f>
        <v>1</v>
      </c>
      <c r="F589" s="48" t="b">
        <f ca="1">COUNTIF(tblDependencies[DependencyID], $A589) &gt; 0</f>
        <v>0</v>
      </c>
      <c r="G589" s="48" t="b">
        <f ca="1">COUNTIF(tblQuestObjectives[QuestTargetID], $A589) &gt; 0</f>
        <v>0</v>
      </c>
      <c r="H589" s="48" t="b">
        <f ca="1">COUNTIF(tblQuestObjectives[ObjectiveID], $A589) &gt; 0</f>
        <v>0</v>
      </c>
      <c r="I589" s="48" t="b">
        <f ca="1">COUNTIF(tblTargetStatus[TargetID], $A589) &gt; 0</f>
        <v>1</v>
      </c>
      <c r="J589" s="48" t="b">
        <f ca="1">COUNTIF(tblCost[TargetID], $A589) &gt; 0</f>
        <v>1</v>
      </c>
      <c r="K589" s="48" t="b">
        <f ca="1">COUNTIF(tblStates[StateID], $A589) &gt; 0</f>
        <v>0</v>
      </c>
      <c r="L589" s="48" t="b">
        <f t="shared" ca="1" si="19"/>
        <v>1</v>
      </c>
      <c r="M589" s="48" t="b">
        <f ca="1">IF(tblValidation[[#This Row],[TargetID]]="","",COUNTIF(tblTargets[TargetID],A589)&gt;1)</f>
        <v>0</v>
      </c>
      <c r="N589" s="48" t="b">
        <f ca="1">IF(tblValidation[[#This Row],[TargetID]]="","",COUNTIF(tblStates[StateID],tblValidation[[#This Row],[TargetID]])&gt;1)</f>
        <v>0</v>
      </c>
      <c r="O589" s="48" t="b" cm="1">
        <f t="array" aca="1" ref="O5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9" s="48"/>
      <c r="R589" s="48"/>
      <c r="S589" s="48"/>
      <c r="T589" s="48"/>
      <c r="V589" s="2" t="str">
        <f ca="1"/>
        <v>tech.tailor.armor_for_a_hero_lvl_3</v>
      </c>
      <c r="X589" s="2" t="str">
        <f ca="1"/>
        <v>tech.tailor.armor_for_a_hero_lvl_3</v>
      </c>
      <c r="AD589" s="2" t="str">
        <f ca="1"/>
        <v>tech.tailor.armor_for_a_hero_lvl_3</v>
      </c>
    </row>
    <row r="590" spans="1:30">
      <c r="A590" t="str">
        <f t="shared" ca="1" si="18"/>
        <v>tech.tailor.armor_for_a_hero_lvl_4</v>
      </c>
      <c r="B590" t="str">
        <f ca="1">_xlfn.XLOOKUP(tblValidation[[#This Row],[TargetID]],tblTargets[TargetID],tblTargets[TargetType],"")</f>
        <v>TECH</v>
      </c>
      <c r="C590" s="48" t="b">
        <f ca="1">COUNTIF(tblTargets[TargetID], $A590) &gt; 0</f>
        <v>1</v>
      </c>
      <c r="D590" s="48" t="b">
        <f ca="1">IF(OR(LEFT(tblValidation[[#This Row],[TargetID]],10)="state.CHAR",RIGHT(tblValidation[[#This Row],[TargetID]],5)="maxed"),TRUE, COUNTIF(tblChecklist[TargetID], $A590) &gt; 0)</f>
        <v>1</v>
      </c>
      <c r="E5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$A590) &gt; 0)</f>
        <v>1</v>
      </c>
      <c r="F590" s="48" t="b">
        <f ca="1">COUNTIF(tblDependencies[DependencyID], $A590) &gt; 0</f>
        <v>1</v>
      </c>
      <c r="G590" s="48" t="b">
        <f ca="1">COUNTIF(tblQuestObjectives[QuestTargetID], $A590) &gt; 0</f>
        <v>0</v>
      </c>
      <c r="H590" s="48" t="b">
        <f ca="1">COUNTIF(tblQuestObjectives[ObjectiveID], $A590) &gt; 0</f>
        <v>1</v>
      </c>
      <c r="I590" s="48" t="b">
        <f ca="1">COUNTIF(tblTargetStatus[TargetID], $A590) &gt; 0</f>
        <v>1</v>
      </c>
      <c r="J590" s="48" t="b">
        <f ca="1">COUNTIF(tblCost[TargetID], $A590) &gt; 0</f>
        <v>1</v>
      </c>
      <c r="K590" s="48" t="b">
        <f ca="1">COUNTIF(tblStates[StateID], $A590) &gt; 0</f>
        <v>0</v>
      </c>
      <c r="L590" s="48" t="b">
        <f t="shared" ca="1" si="19"/>
        <v>1</v>
      </c>
      <c r="M590" s="48" t="b">
        <f ca="1">IF(tblValidation[[#This Row],[TargetID]]="","",COUNTIF(tblTargets[TargetID],A590)&gt;1)</f>
        <v>0</v>
      </c>
      <c r="N590" s="48" t="b">
        <f ca="1">IF(tblValidation[[#This Row],[TargetID]]="","",COUNTIF(tblStates[StateID],tblValidation[[#This Row],[TargetID]])&gt;1)</f>
        <v>0</v>
      </c>
      <c r="O590" s="48" t="b" cm="1">
        <f t="array" aca="1" ref="O5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0" s="48"/>
      <c r="R590" s="48"/>
      <c r="S590" s="48"/>
      <c r="T590" s="48"/>
      <c r="V590" s="2" t="str">
        <f ca="1"/>
        <v>tech.tailor.armor_for_a_hero_lvl_4</v>
      </c>
      <c r="X590" s="2" t="str">
        <f ca="1"/>
        <v>tech.tailor.armor_for_a_hero_lvl_4</v>
      </c>
      <c r="AD590" s="2" t="str">
        <f ca="1"/>
        <v>tech.tailor.armor_for_a_hero_lvl_4</v>
      </c>
    </row>
    <row r="591" spans="1:30">
      <c r="A591" t="str">
        <f t="shared" ca="1" si="18"/>
        <v>tech.tailor.armor_for_a_hero_lvl_4+</v>
      </c>
      <c r="B591" t="str">
        <f ca="1">_xlfn.XLOOKUP(tblValidation[[#This Row],[TargetID]],tblTargets[TargetID],tblTargets[TargetType],"")</f>
        <v>TECH</v>
      </c>
      <c r="C591" s="48" t="b">
        <f ca="1">COUNTIF(tblTargets[TargetID], $A591) &gt; 0</f>
        <v>1</v>
      </c>
      <c r="D591" s="48" t="b">
        <f ca="1">IF(OR(LEFT(tblValidation[[#This Row],[TargetID]],10)="state.CHAR",RIGHT(tblValidation[[#This Row],[TargetID]],5)="maxed"),TRUE, COUNTIF(tblChecklist[TargetID], $A591) &gt; 0)</f>
        <v>1</v>
      </c>
      <c r="E5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$A591) &gt; 0)</f>
        <v>1</v>
      </c>
      <c r="F591" s="48" t="b">
        <f ca="1">COUNTIF(tblDependencies[DependencyID], $A591) &gt; 0</f>
        <v>1</v>
      </c>
      <c r="G591" s="48" t="b">
        <f ca="1">COUNTIF(tblQuestObjectives[QuestTargetID], $A591) &gt; 0</f>
        <v>0</v>
      </c>
      <c r="H591" s="48" t="b">
        <f ca="1">COUNTIF(tblQuestObjectives[ObjectiveID], $A591) &gt; 0</f>
        <v>0</v>
      </c>
      <c r="I591" s="48" t="b">
        <f ca="1">COUNTIF(tblTargetStatus[TargetID], $A591) &gt; 0</f>
        <v>1</v>
      </c>
      <c r="J591" s="48" t="b">
        <f ca="1">COUNTIF(tblCost[TargetID], $A591) &gt; 0</f>
        <v>1</v>
      </c>
      <c r="K591" s="48" t="b">
        <f ca="1">COUNTIF(tblStates[StateID], $A591) &gt; 0</f>
        <v>0</v>
      </c>
      <c r="L591" s="48" t="b">
        <f t="shared" ca="1" si="19"/>
        <v>1</v>
      </c>
      <c r="M591" s="48" t="b">
        <f ca="1">IF(tblValidation[[#This Row],[TargetID]]="","",COUNTIF(tblTargets[TargetID],A591)&gt;1)</f>
        <v>0</v>
      </c>
      <c r="N591" s="48" t="b">
        <f ca="1">IF(tblValidation[[#This Row],[TargetID]]="","",COUNTIF(tblStates[StateID],tblValidation[[#This Row],[TargetID]])&gt;1)</f>
        <v>0</v>
      </c>
      <c r="O591" s="48" t="b" cm="1">
        <f t="array" aca="1" ref="O5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1" s="48"/>
      <c r="R591" s="48"/>
      <c r="S591" s="48"/>
      <c r="T591" s="48"/>
      <c r="V591" s="2" t="str">
        <f ca="1"/>
        <v>tech.tailor.armor_for_a_hero_lvl_4+</v>
      </c>
      <c r="X591" s="2" t="str">
        <f ca="1"/>
        <v>tech.tailor.armor_for_a_hero_lvl_4+</v>
      </c>
      <c r="AD591" s="2" t="str">
        <f ca="1"/>
        <v>tech.tailor.armor_for_a_hero_lvl_4+</v>
      </c>
    </row>
    <row r="592" spans="1:30">
      <c r="A592" t="str">
        <f t="shared" ca="1" si="18"/>
        <v>tech.tailor.bedroll</v>
      </c>
      <c r="B592" t="str">
        <f ca="1">_xlfn.XLOOKUP(tblValidation[[#This Row],[TargetID]],tblTargets[TargetID],tblTargets[TargetType],"")</f>
        <v>TECH</v>
      </c>
      <c r="C592" s="48" t="b">
        <f ca="1">COUNTIF(tblTargets[TargetID], $A592) &gt; 0</f>
        <v>1</v>
      </c>
      <c r="D592" s="48" t="b">
        <f ca="1">IF(OR(LEFT(tblValidation[[#This Row],[TargetID]],10)="state.CHAR",RIGHT(tblValidation[[#This Row],[TargetID]],5)="maxed"),TRUE, COUNTIF(tblChecklist[TargetID], $A592) &gt; 0)</f>
        <v>1</v>
      </c>
      <c r="E5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$A592) &gt; 0)</f>
        <v>1</v>
      </c>
      <c r="F592" s="48" t="b">
        <f ca="1">COUNTIF(tblDependencies[DependencyID], $A592) &gt; 0</f>
        <v>0</v>
      </c>
      <c r="G592" s="48" t="b">
        <f ca="1">COUNTIF(tblQuestObjectives[QuestTargetID], $A592) &gt; 0</f>
        <v>0</v>
      </c>
      <c r="H592" s="48" t="b">
        <f ca="1">COUNTIF(tblQuestObjectives[ObjectiveID], $A592) &gt; 0</f>
        <v>0</v>
      </c>
      <c r="I592" s="48" t="b">
        <f ca="1">COUNTIF(tblTargetStatus[TargetID], $A592) &gt; 0</f>
        <v>1</v>
      </c>
      <c r="J592" s="48" t="b">
        <f ca="1">COUNTIF(tblCost[TargetID], $A592) &gt; 0</f>
        <v>1</v>
      </c>
      <c r="K592" s="48" t="b">
        <f ca="1">COUNTIF(tblStates[StateID], $A592) &gt; 0</f>
        <v>0</v>
      </c>
      <c r="L592" s="48" t="b">
        <f t="shared" ca="1" si="19"/>
        <v>1</v>
      </c>
      <c r="M592" s="48" t="b">
        <f ca="1">IF(tblValidation[[#This Row],[TargetID]]="","",COUNTIF(tblTargets[TargetID],A592)&gt;1)</f>
        <v>0</v>
      </c>
      <c r="N592" s="48" t="b">
        <f ca="1">IF(tblValidation[[#This Row],[TargetID]]="","",COUNTIF(tblStates[StateID],tblValidation[[#This Row],[TargetID]])&gt;1)</f>
        <v>0</v>
      </c>
      <c r="O592" s="48" t="b" cm="1">
        <f t="array" aca="1" ref="O5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2" s="48"/>
      <c r="R592" s="48"/>
      <c r="S592" s="48"/>
      <c r="T592" s="48"/>
      <c r="V592" s="2" t="str">
        <f ca="1"/>
        <v>tech.tailor.bedroll</v>
      </c>
      <c r="X592" s="2" t="str">
        <f ca="1"/>
        <v>tech.tailor.bedroll</v>
      </c>
      <c r="AD592" s="2" t="str">
        <f ca="1"/>
        <v>tech.tailor.bedroll</v>
      </c>
    </row>
    <row r="593" spans="1:30">
      <c r="A593" t="str">
        <f t="shared" ca="1" si="18"/>
        <v>tech.tailor.colored_threads</v>
      </c>
      <c r="B593" t="str">
        <f ca="1">_xlfn.XLOOKUP(tblValidation[[#This Row],[TargetID]],tblTargets[TargetID],tblTargets[TargetType],"")</f>
        <v>TECH</v>
      </c>
      <c r="C593" s="48" t="b">
        <f ca="1">COUNTIF(tblTargets[TargetID], $A593) &gt; 0</f>
        <v>1</v>
      </c>
      <c r="D593" s="48" t="b">
        <f ca="1">IF(OR(LEFT(tblValidation[[#This Row],[TargetID]],10)="state.CHAR",RIGHT(tblValidation[[#This Row],[TargetID]],5)="maxed"),TRUE, COUNTIF(tblChecklist[TargetID], $A593) &gt; 0)</f>
        <v>1</v>
      </c>
      <c r="E5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$A593) &gt; 0)</f>
        <v>1</v>
      </c>
      <c r="F593" s="48" t="b">
        <f ca="1">COUNTIF(tblDependencies[DependencyID], $A593) &gt; 0</f>
        <v>0</v>
      </c>
      <c r="G593" s="48" t="b">
        <f ca="1">COUNTIF(tblQuestObjectives[QuestTargetID], $A593) &gt; 0</f>
        <v>0</v>
      </c>
      <c r="H593" s="48" t="b">
        <f ca="1">COUNTIF(tblQuestObjectives[ObjectiveID], $A593) &gt; 0</f>
        <v>0</v>
      </c>
      <c r="I593" s="48" t="b">
        <f ca="1">COUNTIF(tblTargetStatus[TargetID], $A593) &gt; 0</f>
        <v>1</v>
      </c>
      <c r="J593" s="48" t="b">
        <f ca="1">COUNTIF(tblCost[TargetID], $A593) &gt; 0</f>
        <v>1</v>
      </c>
      <c r="K593" s="48" t="b">
        <f ca="1">COUNTIF(tblStates[StateID], $A593) &gt; 0</f>
        <v>0</v>
      </c>
      <c r="L593" s="48" t="b">
        <f t="shared" ca="1" si="19"/>
        <v>1</v>
      </c>
      <c r="M593" s="48" t="b">
        <f ca="1">IF(tblValidation[[#This Row],[TargetID]]="","",COUNTIF(tblTargets[TargetID],A593)&gt;1)</f>
        <v>0</v>
      </c>
      <c r="N593" s="48" t="b">
        <f ca="1">IF(tblValidation[[#This Row],[TargetID]]="","",COUNTIF(tblStates[StateID],tblValidation[[#This Row],[TargetID]])&gt;1)</f>
        <v>0</v>
      </c>
      <c r="O593" s="48" t="b" cm="1">
        <f t="array" aca="1" ref="O5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3" s="48"/>
      <c r="R593" s="48"/>
      <c r="S593" s="48"/>
      <c r="T593" s="48"/>
      <c r="V593" s="2" t="str">
        <f ca="1"/>
        <v>tech.tailor.colored_threads</v>
      </c>
      <c r="X593" s="2" t="str">
        <f ca="1"/>
        <v>tech.tailor.colored_threads</v>
      </c>
      <c r="AD593" s="2" t="str">
        <f ca="1"/>
        <v>tech.tailor.colored_threads</v>
      </c>
    </row>
    <row r="594" spans="1:30">
      <c r="A594" t="str">
        <f t="shared" ca="1" si="18"/>
        <v>tech.tailor.salamander_velour</v>
      </c>
      <c r="B594" t="str">
        <f ca="1">_xlfn.XLOOKUP(tblValidation[[#This Row],[TargetID]],tblTargets[TargetID],tblTargets[TargetType],"")</f>
        <v>TECH</v>
      </c>
      <c r="C594" s="48" t="b">
        <f ca="1">COUNTIF(tblTargets[TargetID], $A594) &gt; 0</f>
        <v>1</v>
      </c>
      <c r="D594" s="48" t="b">
        <f ca="1">IF(OR(LEFT(tblValidation[[#This Row],[TargetID]],10)="state.CHAR",RIGHT(tblValidation[[#This Row],[TargetID]],5)="maxed"),TRUE, COUNTIF(tblChecklist[TargetID], $A594) &gt; 0)</f>
        <v>1</v>
      </c>
      <c r="E5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$A594) &gt; 0)</f>
        <v>1</v>
      </c>
      <c r="F594" s="48" t="b">
        <f ca="1">COUNTIF(tblDependencies[DependencyID], $A594) &gt; 0</f>
        <v>1</v>
      </c>
      <c r="G594" s="48" t="b">
        <f ca="1">COUNTIF(tblQuestObjectives[QuestTargetID], $A594) &gt; 0</f>
        <v>0</v>
      </c>
      <c r="H594" s="48" t="b">
        <f ca="1">COUNTIF(tblQuestObjectives[ObjectiveID], $A594) &gt; 0</f>
        <v>0</v>
      </c>
      <c r="I594" s="48" t="b">
        <f ca="1">COUNTIF(tblTargetStatus[TargetID], $A594) &gt; 0</f>
        <v>1</v>
      </c>
      <c r="J594" s="48" t="b">
        <f ca="1">COUNTIF(tblCost[TargetID], $A594) &gt; 0</f>
        <v>1</v>
      </c>
      <c r="K594" s="48" t="b">
        <f ca="1">COUNTIF(tblStates[StateID], $A594) &gt; 0</f>
        <v>0</v>
      </c>
      <c r="L594" s="48" t="b">
        <f t="shared" ca="1" si="19"/>
        <v>1</v>
      </c>
      <c r="M594" s="48" t="b">
        <f ca="1">IF(tblValidation[[#This Row],[TargetID]]="","",COUNTIF(tblTargets[TargetID],A594)&gt;1)</f>
        <v>0</v>
      </c>
      <c r="N594" s="48" t="b">
        <f ca="1">IF(tblValidation[[#This Row],[TargetID]]="","",COUNTIF(tblStates[StateID],tblValidation[[#This Row],[TargetID]])&gt;1)</f>
        <v>0</v>
      </c>
      <c r="O594" s="48" t="b" cm="1">
        <f t="array" aca="1" ref="O5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4" s="48"/>
      <c r="R594" s="48"/>
      <c r="S594" s="48"/>
      <c r="T594" s="48"/>
      <c r="V594" s="2" t="str">
        <f ca="1"/>
        <v>tech.tailor.salamander_velour</v>
      </c>
      <c r="X594" s="2" t="str">
        <f ca="1"/>
        <v>tech.tailor.salamander_velour</v>
      </c>
      <c r="AD594" s="2" t="str">
        <f ca="1"/>
        <v>tech.tailor.salamander_velour</v>
      </c>
    </row>
    <row r="595" spans="1:30">
      <c r="A595" t="str">
        <f t="shared" ca="1" si="18"/>
        <v>tech.tailor.strong_rivets</v>
      </c>
      <c r="B595" t="str">
        <f ca="1">_xlfn.XLOOKUP(tblValidation[[#This Row],[TargetID]],tblTargets[TargetID],tblTargets[TargetType],"")</f>
        <v>TECH</v>
      </c>
      <c r="C595" s="48" t="b">
        <f ca="1">COUNTIF(tblTargets[TargetID], $A595) &gt; 0</f>
        <v>1</v>
      </c>
      <c r="D595" s="48" t="b">
        <f ca="1">IF(OR(LEFT(tblValidation[[#This Row],[TargetID]],10)="state.CHAR",RIGHT(tblValidation[[#This Row],[TargetID]],5)="maxed"),TRUE, COUNTIF(tblChecklist[TargetID], $A595) &gt; 0)</f>
        <v>1</v>
      </c>
      <c r="E5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$A595) &gt; 0)</f>
        <v>1</v>
      </c>
      <c r="F595" s="48" t="b">
        <f ca="1">COUNTIF(tblDependencies[DependencyID], $A595) &gt; 0</f>
        <v>0</v>
      </c>
      <c r="G595" s="48" t="b">
        <f ca="1">COUNTIF(tblQuestObjectives[QuestTargetID], $A595) &gt; 0</f>
        <v>0</v>
      </c>
      <c r="H595" s="48" t="b">
        <f ca="1">COUNTIF(tblQuestObjectives[ObjectiveID], $A595) &gt; 0</f>
        <v>0</v>
      </c>
      <c r="I595" s="48" t="b">
        <f ca="1">COUNTIF(tblTargetStatus[TargetID], $A595) &gt; 0</f>
        <v>1</v>
      </c>
      <c r="J595" s="48" t="b">
        <f ca="1">COUNTIF(tblCost[TargetID], $A595) &gt; 0</f>
        <v>1</v>
      </c>
      <c r="K595" s="48" t="b">
        <f ca="1">COUNTIF(tblStates[StateID], $A595) &gt; 0</f>
        <v>0</v>
      </c>
      <c r="L595" s="48" t="b">
        <f t="shared" ca="1" si="19"/>
        <v>1</v>
      </c>
      <c r="M595" s="48" t="b">
        <f ca="1">IF(tblValidation[[#This Row],[TargetID]]="","",COUNTIF(tblTargets[TargetID],A595)&gt;1)</f>
        <v>0</v>
      </c>
      <c r="N595" s="48" t="b">
        <f ca="1">IF(tblValidation[[#This Row],[TargetID]]="","",COUNTIF(tblStates[StateID],tblValidation[[#This Row],[TargetID]])&gt;1)</f>
        <v>0</v>
      </c>
      <c r="O595" s="48" t="b" cm="1">
        <f t="array" aca="1" ref="O5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5" s="48"/>
      <c r="R595" s="48"/>
      <c r="S595" s="48"/>
      <c r="T595" s="48"/>
      <c r="V595" s="2" t="str">
        <f ca="1"/>
        <v>tech.tailor.strong_rivets</v>
      </c>
      <c r="X595" s="2" t="str">
        <f ca="1"/>
        <v>tech.tailor.strong_rivets</v>
      </c>
      <c r="AD595" s="2" t="str">
        <f ca="1"/>
        <v>tech.tailor.strong_rivets</v>
      </c>
    </row>
    <row r="596" spans="1:30">
      <c r="A596" t="str">
        <f t="shared" ca="1" si="18"/>
        <v>tech.tailor.strong_stitch</v>
      </c>
      <c r="B596" t="str">
        <f ca="1">_xlfn.XLOOKUP(tblValidation[[#This Row],[TargetID]],tblTargets[TargetID],tblTargets[TargetType],"")</f>
        <v>TECH</v>
      </c>
      <c r="C596" s="48" t="b">
        <f ca="1">COUNTIF(tblTargets[TargetID], $A596) &gt; 0</f>
        <v>1</v>
      </c>
      <c r="D596" s="48" t="b">
        <f ca="1">IF(OR(LEFT(tblValidation[[#This Row],[TargetID]],10)="state.CHAR",RIGHT(tblValidation[[#This Row],[TargetID]],5)="maxed"),TRUE, COUNTIF(tblChecklist[TargetID], $A596) &gt; 0)</f>
        <v>1</v>
      </c>
      <c r="E5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$A596) &gt; 0)</f>
        <v>1</v>
      </c>
      <c r="F596" s="48" t="b">
        <f ca="1">COUNTIF(tblDependencies[DependencyID], $A596) &gt; 0</f>
        <v>0</v>
      </c>
      <c r="G596" s="48" t="b">
        <f ca="1">COUNTIF(tblQuestObjectives[QuestTargetID], $A596) &gt; 0</f>
        <v>0</v>
      </c>
      <c r="H596" s="48" t="b">
        <f ca="1">COUNTIF(tblQuestObjectives[ObjectiveID], $A596) &gt; 0</f>
        <v>0</v>
      </c>
      <c r="I596" s="48" t="b">
        <f ca="1">COUNTIF(tblTargetStatus[TargetID], $A596) &gt; 0</f>
        <v>1</v>
      </c>
      <c r="J596" s="48" t="b">
        <f ca="1">COUNTIF(tblCost[TargetID], $A596) &gt; 0</f>
        <v>1</v>
      </c>
      <c r="K596" s="48" t="b">
        <f ca="1">COUNTIF(tblStates[StateID], $A596) &gt; 0</f>
        <v>0</v>
      </c>
      <c r="L596" s="48" t="b">
        <f t="shared" ca="1" si="19"/>
        <v>1</v>
      </c>
      <c r="M596" s="48" t="b">
        <f ca="1">IF(tblValidation[[#This Row],[TargetID]]="","",COUNTIF(tblTargets[TargetID],A596)&gt;1)</f>
        <v>0</v>
      </c>
      <c r="N596" s="48" t="b">
        <f ca="1">IF(tblValidation[[#This Row],[TargetID]]="","",COUNTIF(tblStates[StateID],tblValidation[[#This Row],[TargetID]])&gt;1)</f>
        <v>0</v>
      </c>
      <c r="O596" s="48" t="b" cm="1">
        <f t="array" aca="1" ref="O5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6" s="48"/>
      <c r="R596" s="48"/>
      <c r="S596" s="48"/>
      <c r="T596" s="48"/>
      <c r="V596" s="2" t="str">
        <f ca="1"/>
        <v>tech.tailor.strong_stitch</v>
      </c>
      <c r="X596" s="2" t="str">
        <f ca="1"/>
        <v>tech.tailor.strong_stitch</v>
      </c>
      <c r="AD596" s="2" t="str">
        <f ca="1"/>
        <v>tech.tailor.strong_stitch</v>
      </c>
    </row>
    <row r="597" spans="1:30">
      <c r="A597" t="str">
        <f t="shared" ca="1" si="18"/>
        <v>tech.train.automatic_lubricator</v>
      </c>
      <c r="B597" t="str">
        <f ca="1">_xlfn.XLOOKUP(tblValidation[[#This Row],[TargetID]],tblTargets[TargetID],tblTargets[TargetType],"")</f>
        <v>TECH</v>
      </c>
      <c r="C597" s="48" t="b">
        <f ca="1">COUNTIF(tblTargets[TargetID], $A597) &gt; 0</f>
        <v>1</v>
      </c>
      <c r="D597" s="48" t="b">
        <f ca="1">IF(OR(LEFT(tblValidation[[#This Row],[TargetID]],10)="state.CHAR",RIGHT(tblValidation[[#This Row],[TargetID]],5)="maxed"),TRUE, COUNTIF(tblChecklist[TargetID], $A597) &gt; 0)</f>
        <v>1</v>
      </c>
      <c r="E5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$A597) &gt; 0)</f>
        <v>1</v>
      </c>
      <c r="F597" s="48" t="b">
        <f ca="1">COUNTIF(tblDependencies[DependencyID], $A597) &gt; 0</f>
        <v>0</v>
      </c>
      <c r="G597" s="48" t="b">
        <f ca="1">COUNTIF(tblQuestObjectives[QuestTargetID], $A597) &gt; 0</f>
        <v>0</v>
      </c>
      <c r="H597" s="48" t="b">
        <f ca="1">COUNTIF(tblQuestObjectives[ObjectiveID], $A597) &gt; 0</f>
        <v>0</v>
      </c>
      <c r="I597" s="48" t="b">
        <f ca="1">COUNTIF(tblTargetStatus[TargetID], $A597) &gt; 0</f>
        <v>1</v>
      </c>
      <c r="J597" s="48" t="b">
        <f ca="1">COUNTIF(tblCost[TargetID], $A597) &gt; 0</f>
        <v>1</v>
      </c>
      <c r="K597" s="48" t="b">
        <f ca="1">COUNTIF(tblStates[StateID], $A597) &gt; 0</f>
        <v>0</v>
      </c>
      <c r="L597" s="48" t="b">
        <f t="shared" ca="1" si="19"/>
        <v>1</v>
      </c>
      <c r="M597" s="48" t="b">
        <f ca="1">IF(tblValidation[[#This Row],[TargetID]]="","",COUNTIF(tblTargets[TargetID],A597)&gt;1)</f>
        <v>0</v>
      </c>
      <c r="N597" s="48" t="b">
        <f ca="1">IF(tblValidation[[#This Row],[TargetID]]="","",COUNTIF(tblStates[StateID],tblValidation[[#This Row],[TargetID]])&gt;1)</f>
        <v>0</v>
      </c>
      <c r="O597" s="48" t="b" cm="1">
        <f t="array" aca="1" ref="O5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7" s="48"/>
      <c r="R597" s="48"/>
      <c r="S597" s="48"/>
      <c r="T597" s="48"/>
      <c r="V597" s="2" t="str">
        <f ca="1"/>
        <v>tech.train.automatic_lubricator</v>
      </c>
      <c r="X597" s="2" t="str">
        <f ca="1"/>
        <v>tech.train.automatic_lubricator</v>
      </c>
      <c r="AD597" s="2" t="str">
        <f ca="1"/>
        <v>tech.train.automatic_lubricator</v>
      </c>
    </row>
    <row r="598" spans="1:30">
      <c r="A598" t="str">
        <f t="shared" ca="1" si="18"/>
        <v>tech.train.compound_engine</v>
      </c>
      <c r="B598" t="str">
        <f ca="1">_xlfn.XLOOKUP(tblValidation[[#This Row],[TargetID]],tblTargets[TargetID],tblTargets[TargetType],"")</f>
        <v>TECH</v>
      </c>
      <c r="C598" s="48" t="b">
        <f ca="1">COUNTIF(tblTargets[TargetID], $A598) &gt; 0</f>
        <v>1</v>
      </c>
      <c r="D598" s="48" t="b">
        <f ca="1">IF(OR(LEFT(tblValidation[[#This Row],[TargetID]],10)="state.CHAR",RIGHT(tblValidation[[#This Row],[TargetID]],5)="maxed"),TRUE, COUNTIF(tblChecklist[TargetID], $A598) &gt; 0)</f>
        <v>1</v>
      </c>
      <c r="E5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$A598) &gt; 0)</f>
        <v>1</v>
      </c>
      <c r="F598" s="48" t="b">
        <f ca="1">COUNTIF(tblDependencies[DependencyID], $A598) &gt; 0</f>
        <v>0</v>
      </c>
      <c r="G598" s="48" t="b">
        <f ca="1">COUNTIF(tblQuestObjectives[QuestTargetID], $A598) &gt; 0</f>
        <v>0</v>
      </c>
      <c r="H598" s="48" t="b">
        <f ca="1">COUNTIF(tblQuestObjectives[ObjectiveID], $A598) &gt; 0</f>
        <v>0</v>
      </c>
      <c r="I598" s="48" t="b">
        <f ca="1">COUNTIF(tblTargetStatus[TargetID], $A598) &gt; 0</f>
        <v>1</v>
      </c>
      <c r="J598" s="48" t="b">
        <f ca="1">COUNTIF(tblCost[TargetID], $A598) &gt; 0</f>
        <v>1</v>
      </c>
      <c r="K598" s="48" t="b">
        <f ca="1">COUNTIF(tblStates[StateID], $A598) &gt; 0</f>
        <v>0</v>
      </c>
      <c r="L598" s="48" t="b">
        <f t="shared" ca="1" si="19"/>
        <v>1</v>
      </c>
      <c r="M598" s="48" t="b">
        <f ca="1">IF(tblValidation[[#This Row],[TargetID]]="","",COUNTIF(tblTargets[TargetID],A598)&gt;1)</f>
        <v>0</v>
      </c>
      <c r="N598" s="48" t="b">
        <f ca="1">IF(tblValidation[[#This Row],[TargetID]]="","",COUNTIF(tblStates[StateID],tblValidation[[#This Row],[TargetID]])&gt;1)</f>
        <v>0</v>
      </c>
      <c r="O598" s="48" t="b" cm="1">
        <f t="array" aca="1" ref="O5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8" s="48"/>
      <c r="R598" s="48"/>
      <c r="S598" s="48"/>
      <c r="T598" s="48"/>
      <c r="V598" s="2" t="str">
        <f ca="1"/>
        <v>tech.train.compound_engine</v>
      </c>
      <c r="X598" s="2" t="str">
        <f ca="1"/>
        <v>tech.train.compound_engine</v>
      </c>
      <c r="AD598" s="2" t="str">
        <f ca="1"/>
        <v>tech.train.compound_engine</v>
      </c>
    </row>
    <row r="599" spans="1:30">
      <c r="A599" t="str">
        <f t="shared" ca="1" si="18"/>
        <v>tech.train.onboard_computer</v>
      </c>
      <c r="B599" t="str">
        <f ca="1">_xlfn.XLOOKUP(tblValidation[[#This Row],[TargetID]],tblTargets[TargetID],tblTargets[TargetType],"")</f>
        <v>TECH</v>
      </c>
      <c r="C599" s="48" t="b">
        <f ca="1">COUNTIF(tblTargets[TargetID], $A599) &gt; 0</f>
        <v>1</v>
      </c>
      <c r="D599" s="48" t="b">
        <f ca="1">IF(OR(LEFT(tblValidation[[#This Row],[TargetID]],10)="state.CHAR",RIGHT(tblValidation[[#This Row],[TargetID]],5)="maxed"),TRUE, COUNTIF(tblChecklist[TargetID], $A599) &gt; 0)</f>
        <v>1</v>
      </c>
      <c r="E5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$A599) &gt; 0)</f>
        <v>1</v>
      </c>
      <c r="F599" s="48" t="b">
        <f ca="1">COUNTIF(tblDependencies[DependencyID], $A599) &gt; 0</f>
        <v>0</v>
      </c>
      <c r="G599" s="48" t="b">
        <f ca="1">COUNTIF(tblQuestObjectives[QuestTargetID], $A599) &gt; 0</f>
        <v>0</v>
      </c>
      <c r="H599" s="48" t="b">
        <f ca="1">COUNTIF(tblQuestObjectives[ObjectiveID], $A599) &gt; 0</f>
        <v>0</v>
      </c>
      <c r="I599" s="48" t="b">
        <f ca="1">COUNTIF(tblTargetStatus[TargetID], $A599) &gt; 0</f>
        <v>1</v>
      </c>
      <c r="J599" s="48" t="b">
        <f ca="1">COUNTIF(tblCost[TargetID], $A599) &gt; 0</f>
        <v>1</v>
      </c>
      <c r="K599" s="48" t="b">
        <f ca="1">COUNTIF(tblStates[StateID], $A599) &gt; 0</f>
        <v>0</v>
      </c>
      <c r="L599" s="48" t="b">
        <f t="shared" ca="1" si="19"/>
        <v>1</v>
      </c>
      <c r="M599" s="48" t="b">
        <f ca="1">IF(tblValidation[[#This Row],[TargetID]]="","",COUNTIF(tblTargets[TargetID],A599)&gt;1)</f>
        <v>0</v>
      </c>
      <c r="N599" s="48" t="b">
        <f ca="1">IF(tblValidation[[#This Row],[TargetID]]="","",COUNTIF(tblStates[StateID],tblValidation[[#This Row],[TargetID]])&gt;1)</f>
        <v>0</v>
      </c>
      <c r="O599" s="48" t="b" cm="1">
        <f t="array" aca="1" ref="O5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9" s="48"/>
      <c r="R599" s="48"/>
      <c r="S599" s="48"/>
      <c r="T599" s="48"/>
      <c r="V599" s="2" t="str">
        <f ca="1"/>
        <v>tech.train.onboard_computer</v>
      </c>
      <c r="X599" s="2" t="str">
        <f ca="1"/>
        <v>tech.train.onboard_computer</v>
      </c>
      <c r="AD599" s="2" t="str">
        <f ca="1"/>
        <v>tech.train.onboard_computer</v>
      </c>
    </row>
    <row r="600" spans="1:30">
      <c r="A600" t="str">
        <f t="shared" ca="1" si="18"/>
        <v>tech.train.superheater</v>
      </c>
      <c r="B600" t="str">
        <f ca="1">_xlfn.XLOOKUP(tblValidation[[#This Row],[TargetID]],tblTargets[TargetID],tblTargets[TargetType],"")</f>
        <v>TECH</v>
      </c>
      <c r="C600" s="48" t="b">
        <f ca="1">COUNTIF(tblTargets[TargetID], $A600) &gt; 0</f>
        <v>1</v>
      </c>
      <c r="D600" s="48" t="b">
        <f ca="1">IF(OR(LEFT(tblValidation[[#This Row],[TargetID]],10)="state.CHAR",RIGHT(tblValidation[[#This Row],[TargetID]],5)="maxed"),TRUE, COUNTIF(tblChecklist[TargetID], $A600) &gt; 0)</f>
        <v>1</v>
      </c>
      <c r="E6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$A600) &gt; 0)</f>
        <v>1</v>
      </c>
      <c r="F600" s="48" t="b">
        <f ca="1">COUNTIF(tblDependencies[DependencyID], $A600) &gt; 0</f>
        <v>0</v>
      </c>
      <c r="G600" s="48" t="b">
        <f ca="1">COUNTIF(tblQuestObjectives[QuestTargetID], $A600) &gt; 0</f>
        <v>0</v>
      </c>
      <c r="H600" s="48" t="b">
        <f ca="1">COUNTIF(tblQuestObjectives[ObjectiveID], $A600) &gt; 0</f>
        <v>0</v>
      </c>
      <c r="I600" s="48" t="b">
        <f ca="1">COUNTIF(tblTargetStatus[TargetID], $A600) &gt; 0</f>
        <v>1</v>
      </c>
      <c r="J600" s="48" t="b">
        <f ca="1">COUNTIF(tblCost[TargetID], $A600) &gt; 0</f>
        <v>1</v>
      </c>
      <c r="K600" s="48" t="b">
        <f ca="1">COUNTIF(tblStates[StateID], $A600) &gt; 0</f>
        <v>0</v>
      </c>
      <c r="L600" s="48" t="b">
        <f t="shared" ca="1" si="19"/>
        <v>1</v>
      </c>
      <c r="M600" s="48" t="b">
        <f ca="1">IF(tblValidation[[#This Row],[TargetID]]="","",COUNTIF(tblTargets[TargetID],A600)&gt;1)</f>
        <v>0</v>
      </c>
      <c r="N600" s="48" t="b">
        <f ca="1">IF(tblValidation[[#This Row],[TargetID]]="","",COUNTIF(tblStates[StateID],tblValidation[[#This Row],[TargetID]])&gt;1)</f>
        <v>0</v>
      </c>
      <c r="O600" s="48" t="b" cm="1">
        <f t="array" aca="1" ref="O6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0" s="48"/>
      <c r="R600" s="48"/>
      <c r="S600" s="48"/>
      <c r="T600" s="48"/>
      <c r="V600" s="2" t="str">
        <f ca="1"/>
        <v>tech.train.superheater</v>
      </c>
      <c r="X600" s="2" t="str">
        <f ca="1"/>
        <v>tech.train.superheater</v>
      </c>
      <c r="AD600" s="2" t="str">
        <f ca="1"/>
        <v>tech.train.superheater</v>
      </c>
    </row>
    <row r="601" spans="1:30">
      <c r="A601" t="str">
        <f t="shared" ca="1" si="18"/>
        <v>tech.train.titanium_components</v>
      </c>
      <c r="B601" t="str">
        <f ca="1">_xlfn.XLOOKUP(tblValidation[[#This Row],[TargetID]],tblTargets[TargetID],tblTargets[TargetType],"")</f>
        <v>TECH</v>
      </c>
      <c r="C601" s="48" t="b">
        <f ca="1">COUNTIF(tblTargets[TargetID], $A601) &gt; 0</f>
        <v>1</v>
      </c>
      <c r="D601" s="48" t="b">
        <f ca="1">IF(OR(LEFT(tblValidation[[#This Row],[TargetID]],10)="state.CHAR",RIGHT(tblValidation[[#This Row],[TargetID]],5)="maxed"),TRUE, COUNTIF(tblChecklist[TargetID], $A601) &gt; 0)</f>
        <v>1</v>
      </c>
      <c r="E6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$A601) &gt; 0)</f>
        <v>1</v>
      </c>
      <c r="F601" s="48" t="b">
        <f ca="1">COUNTIF(tblDependencies[DependencyID], $A601) &gt; 0</f>
        <v>0</v>
      </c>
      <c r="G601" s="48" t="b">
        <f ca="1">COUNTIF(tblQuestObjectives[QuestTargetID], $A601) &gt; 0</f>
        <v>0</v>
      </c>
      <c r="H601" s="48" t="b">
        <f ca="1">COUNTIF(tblQuestObjectives[ObjectiveID], $A601) &gt; 0</f>
        <v>0</v>
      </c>
      <c r="I601" s="48" t="b">
        <f ca="1">COUNTIF(tblTargetStatus[TargetID], $A601) &gt; 0</f>
        <v>1</v>
      </c>
      <c r="J601" s="48" t="b">
        <f ca="1">COUNTIF(tblCost[TargetID], $A601) &gt; 0</f>
        <v>1</v>
      </c>
      <c r="K601" s="48" t="b">
        <f ca="1">COUNTIF(tblStates[StateID], $A601) &gt; 0</f>
        <v>0</v>
      </c>
      <c r="L601" s="48" t="b">
        <f t="shared" ca="1" si="19"/>
        <v>1</v>
      </c>
      <c r="M601" s="48" t="b">
        <f ca="1">IF(tblValidation[[#This Row],[TargetID]]="","",COUNTIF(tblTargets[TargetID],A601)&gt;1)</f>
        <v>0</v>
      </c>
      <c r="N601" s="48" t="b">
        <f ca="1">IF(tblValidation[[#This Row],[TargetID]]="","",COUNTIF(tblStates[StateID],tblValidation[[#This Row],[TargetID]])&gt;1)</f>
        <v>0</v>
      </c>
      <c r="O601" s="48" t="b" cm="1">
        <f t="array" aca="1" ref="O6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1" s="48"/>
      <c r="R601" s="48"/>
      <c r="S601" s="48"/>
      <c r="T601" s="48"/>
      <c r="V601" s="2" t="str">
        <f ca="1"/>
        <v>tech.train.titanium_components</v>
      </c>
      <c r="X601" s="2" t="str">
        <f ca="1"/>
        <v>tech.train.titanium_components</v>
      </c>
      <c r="AD601" s="2" t="str">
        <f ca="1"/>
        <v>tech.train.titanium_components</v>
      </c>
    </row>
    <row r="602" spans="1:30">
      <c r="A602" t="str">
        <f t="shared" ca="1" si="18"/>
        <v>tech.warehouse.stackable_racks_lvl_1</v>
      </c>
      <c r="B602" t="str">
        <f ca="1">_xlfn.XLOOKUP(tblValidation[[#This Row],[TargetID]],tblTargets[TargetID],tblTargets[TargetType],"")</f>
        <v>TECH</v>
      </c>
      <c r="C602" s="48" t="b">
        <f ca="1">COUNTIF(tblTargets[TargetID], $A602) &gt; 0</f>
        <v>1</v>
      </c>
      <c r="D602" s="48" t="b">
        <f ca="1">IF(OR(LEFT(tblValidation[[#This Row],[TargetID]],10)="state.CHAR",RIGHT(tblValidation[[#This Row],[TargetID]],5)="maxed"),TRUE, COUNTIF(tblChecklist[TargetID], $A602) &gt; 0)</f>
        <v>1</v>
      </c>
      <c r="E6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$A602) &gt; 0)</f>
        <v>1</v>
      </c>
      <c r="F602" s="48" t="b">
        <f ca="1">COUNTIF(tblDependencies[DependencyID], $A602) &gt; 0</f>
        <v>1</v>
      </c>
      <c r="G602" s="48" t="b">
        <f ca="1">COUNTIF(tblQuestObjectives[QuestTargetID], $A602) &gt; 0</f>
        <v>0</v>
      </c>
      <c r="H602" s="48" t="b">
        <f ca="1">COUNTIF(tblQuestObjectives[ObjectiveID], $A602) &gt; 0</f>
        <v>0</v>
      </c>
      <c r="I602" s="48" t="b">
        <f ca="1">COUNTIF(tblTargetStatus[TargetID], $A602) &gt; 0</f>
        <v>1</v>
      </c>
      <c r="J602" s="48" t="b">
        <f ca="1">COUNTIF(tblCost[TargetID], $A602) &gt; 0</f>
        <v>1</v>
      </c>
      <c r="K602" s="48" t="b">
        <f ca="1">COUNTIF(tblStates[StateID], $A602) &gt; 0</f>
        <v>0</v>
      </c>
      <c r="L602" s="48" t="b">
        <f t="shared" ca="1" si="19"/>
        <v>1</v>
      </c>
      <c r="M602" s="48" t="b">
        <f ca="1">IF(tblValidation[[#This Row],[TargetID]]="","",COUNTIF(tblTargets[TargetID],A602)&gt;1)</f>
        <v>0</v>
      </c>
      <c r="N602" s="48" t="b">
        <f ca="1">IF(tblValidation[[#This Row],[TargetID]]="","",COUNTIF(tblStates[StateID],tblValidation[[#This Row],[TargetID]])&gt;1)</f>
        <v>0</v>
      </c>
      <c r="O602" s="48" t="b" cm="1">
        <f t="array" aca="1" ref="O6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2" s="48"/>
      <c r="R602" s="48"/>
      <c r="S602" s="48"/>
      <c r="T602" s="48"/>
      <c r="V602" s="2" t="str">
        <f ca="1"/>
        <v>tech.warehouse.stackable_racks_lvl_1</v>
      </c>
      <c r="X602" s="2" t="str">
        <f ca="1"/>
        <v>tech.warehouse.stackable_racks_lvl_1</v>
      </c>
      <c r="AD602" s="2" t="str">
        <f ca="1"/>
        <v>tech.warehouse.stackable_racks_lvl_1</v>
      </c>
    </row>
    <row r="603" spans="1:30">
      <c r="A603" t="str">
        <f t="shared" ca="1" si="18"/>
        <v>tech.warehouse.stackable_racks_lvl_2</v>
      </c>
      <c r="B603" t="str">
        <f ca="1">_xlfn.XLOOKUP(tblValidation[[#This Row],[TargetID]],tblTargets[TargetID],tblTargets[TargetType],"")</f>
        <v>TECH</v>
      </c>
      <c r="C603" s="48" t="b">
        <f ca="1">COUNTIF(tblTargets[TargetID], $A603) &gt; 0</f>
        <v>1</v>
      </c>
      <c r="D603" s="48" t="b">
        <f ca="1">IF(OR(LEFT(tblValidation[[#This Row],[TargetID]],10)="state.CHAR",RIGHT(tblValidation[[#This Row],[TargetID]],5)="maxed"),TRUE, COUNTIF(tblChecklist[TargetID], $A603) &gt; 0)</f>
        <v>1</v>
      </c>
      <c r="E6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$A603) &gt; 0)</f>
        <v>1</v>
      </c>
      <c r="F603" s="48" t="b">
        <f ca="1">COUNTIF(tblDependencies[DependencyID], $A603) &gt; 0</f>
        <v>1</v>
      </c>
      <c r="G603" s="48" t="b">
        <f ca="1">COUNTIF(tblQuestObjectives[QuestTargetID], $A603) &gt; 0</f>
        <v>0</v>
      </c>
      <c r="H603" s="48" t="b">
        <f ca="1">COUNTIF(tblQuestObjectives[ObjectiveID], $A603) &gt; 0</f>
        <v>0</v>
      </c>
      <c r="I603" s="48" t="b">
        <f ca="1">COUNTIF(tblTargetStatus[TargetID], $A603) &gt; 0</f>
        <v>1</v>
      </c>
      <c r="J603" s="48" t="b">
        <f ca="1">COUNTIF(tblCost[TargetID], $A603) &gt; 0</f>
        <v>1</v>
      </c>
      <c r="K603" s="48" t="b">
        <f ca="1">COUNTIF(tblStates[StateID], $A603) &gt; 0</f>
        <v>0</v>
      </c>
      <c r="L603" s="48" t="b">
        <f t="shared" ca="1" si="19"/>
        <v>1</v>
      </c>
      <c r="M603" s="48" t="b">
        <f ca="1">IF(tblValidation[[#This Row],[TargetID]]="","",COUNTIF(tblTargets[TargetID],A603)&gt;1)</f>
        <v>0</v>
      </c>
      <c r="N603" s="48" t="b">
        <f ca="1">IF(tblValidation[[#This Row],[TargetID]]="","",COUNTIF(tblStates[StateID],tblValidation[[#This Row],[TargetID]])&gt;1)</f>
        <v>0</v>
      </c>
      <c r="O603" s="48" t="b" cm="1">
        <f t="array" aca="1" ref="O6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3" s="48"/>
      <c r="R603" s="48"/>
      <c r="S603" s="48"/>
      <c r="T603" s="48"/>
      <c r="V603" s="2" t="str">
        <f ca="1"/>
        <v>tech.warehouse.stackable_racks_lvl_2</v>
      </c>
      <c r="X603" s="2" t="str">
        <f ca="1"/>
        <v>tech.warehouse.stackable_racks_lvl_2</v>
      </c>
      <c r="AD603" s="2" t="str">
        <f ca="1"/>
        <v>tech.warehouse.stackable_racks_lvl_2</v>
      </c>
    </row>
    <row r="604" spans="1:30">
      <c r="A604" t="str">
        <f t="shared" ca="1" si="18"/>
        <v>tech.warehouse.stackable_racks_lvl_3</v>
      </c>
      <c r="B604" t="str">
        <f ca="1">_xlfn.XLOOKUP(tblValidation[[#This Row],[TargetID]],tblTargets[TargetID],tblTargets[TargetType],"")</f>
        <v>TECH</v>
      </c>
      <c r="C604" s="48" t="b">
        <f ca="1">COUNTIF(tblTargets[TargetID], $A604) &gt; 0</f>
        <v>1</v>
      </c>
      <c r="D604" s="48" t="b">
        <f ca="1">IF(OR(LEFT(tblValidation[[#This Row],[TargetID]],10)="state.CHAR",RIGHT(tblValidation[[#This Row],[TargetID]],5)="maxed"),TRUE, COUNTIF(tblChecklist[TargetID], $A604) &gt; 0)</f>
        <v>1</v>
      </c>
      <c r="E6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$A604) &gt; 0)</f>
        <v>1</v>
      </c>
      <c r="F604" s="48" t="b">
        <f ca="1">COUNTIF(tblDependencies[DependencyID], $A604) &gt; 0</f>
        <v>0</v>
      </c>
      <c r="G604" s="48" t="b">
        <f ca="1">COUNTIF(tblQuestObjectives[QuestTargetID], $A604) &gt; 0</f>
        <v>0</v>
      </c>
      <c r="H604" s="48" t="b">
        <f ca="1">COUNTIF(tblQuestObjectives[ObjectiveID], $A604) &gt; 0</f>
        <v>0</v>
      </c>
      <c r="I604" s="48" t="b">
        <f ca="1">COUNTIF(tblTargetStatus[TargetID], $A604) &gt; 0</f>
        <v>1</v>
      </c>
      <c r="J604" s="48" t="b">
        <f ca="1">COUNTIF(tblCost[TargetID], $A604) &gt; 0</f>
        <v>1</v>
      </c>
      <c r="K604" s="48" t="b">
        <f ca="1">COUNTIF(tblStates[StateID], $A604) &gt; 0</f>
        <v>0</v>
      </c>
      <c r="L604" s="48" t="b">
        <f t="shared" ca="1" si="19"/>
        <v>1</v>
      </c>
      <c r="M604" s="48" t="b">
        <f ca="1">IF(tblValidation[[#This Row],[TargetID]]="","",COUNTIF(tblTargets[TargetID],A604)&gt;1)</f>
        <v>0</v>
      </c>
      <c r="N604" s="48" t="b">
        <f ca="1">IF(tblValidation[[#This Row],[TargetID]]="","",COUNTIF(tblStates[StateID],tblValidation[[#This Row],[TargetID]])&gt;1)</f>
        <v>0</v>
      </c>
      <c r="O604" s="48" t="b" cm="1">
        <f t="array" aca="1" ref="O6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4" s="48"/>
      <c r="R604" s="48"/>
      <c r="S604" s="48"/>
      <c r="T604" s="48"/>
      <c r="V604" s="2" t="str">
        <f ca="1"/>
        <v>tech.warehouse.stackable_racks_lvl_3</v>
      </c>
      <c r="X604" s="2" t="str">
        <f ca="1"/>
        <v>tech.warehouse.stackable_racks_lvl_3</v>
      </c>
      <c r="AD604" s="2" t="str">
        <f ca="1"/>
        <v>tech.warehouse.stackable_racks_lvl_3</v>
      </c>
    </row>
    <row r="605" spans="1:30">
      <c r="A605" t="str">
        <f t="shared" ca="1" si="18"/>
        <v>tech.windmill.bone_meal</v>
      </c>
      <c r="B605" t="str">
        <f ca="1">_xlfn.XLOOKUP(tblValidation[[#This Row],[TargetID]],tblTargets[TargetID],tblTargets[TargetType],"")</f>
        <v>TECH</v>
      </c>
      <c r="C605" s="48" t="b">
        <f ca="1">COUNTIF(tblTargets[TargetID], $A605) &gt; 0</f>
        <v>1</v>
      </c>
      <c r="D605" s="48" t="b">
        <f ca="1">IF(OR(LEFT(tblValidation[[#This Row],[TargetID]],10)="state.CHAR",RIGHT(tblValidation[[#This Row],[TargetID]],5)="maxed"),TRUE, COUNTIF(tblChecklist[TargetID], $A605) &gt; 0)</f>
        <v>1</v>
      </c>
      <c r="E6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$A605) &gt; 0)</f>
        <v>1</v>
      </c>
      <c r="F605" s="48" t="b">
        <f ca="1">COUNTIF(tblDependencies[DependencyID], $A605) &gt; 0</f>
        <v>0</v>
      </c>
      <c r="G605" s="48" t="b">
        <f ca="1">COUNTIF(tblQuestObjectives[QuestTargetID], $A605) &gt; 0</f>
        <v>0</v>
      </c>
      <c r="H605" s="48" t="b">
        <f ca="1">COUNTIF(tblQuestObjectives[ObjectiveID], $A605) &gt; 0</f>
        <v>0</v>
      </c>
      <c r="I605" s="48" t="b">
        <f ca="1">COUNTIF(tblTargetStatus[TargetID], $A605) &gt; 0</f>
        <v>1</v>
      </c>
      <c r="J605" s="48" t="b">
        <f ca="1">COUNTIF(tblCost[TargetID], $A605) &gt; 0</f>
        <v>1</v>
      </c>
      <c r="K605" s="48" t="b">
        <f ca="1">COUNTIF(tblStates[StateID], $A605) &gt; 0</f>
        <v>0</v>
      </c>
      <c r="L605" s="48" t="b">
        <f t="shared" ca="1" si="19"/>
        <v>1</v>
      </c>
      <c r="M605" s="48" t="b">
        <f ca="1">IF(tblValidation[[#This Row],[TargetID]]="","",COUNTIF(tblTargets[TargetID],A605)&gt;1)</f>
        <v>0</v>
      </c>
      <c r="N605" s="48" t="b">
        <f ca="1">IF(tblValidation[[#This Row],[TargetID]]="","",COUNTIF(tblStates[StateID],tblValidation[[#This Row],[TargetID]])&gt;1)</f>
        <v>0</v>
      </c>
      <c r="O605" s="48" t="b" cm="1">
        <f t="array" aca="1" ref="O6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5" s="48"/>
      <c r="R605" s="48"/>
      <c r="S605" s="48"/>
      <c r="T605" s="48"/>
      <c r="V605" s="2" t="str">
        <f ca="1"/>
        <v>tech.windmill.bone_meal</v>
      </c>
      <c r="X605" s="2" t="str">
        <f ca="1"/>
        <v>tech.windmill.bone_meal</v>
      </c>
      <c r="AD605" s="2" t="str">
        <f ca="1"/>
        <v>tech.windmill.bone_meal</v>
      </c>
    </row>
    <row r="606" spans="1:30">
      <c r="A606" t="str">
        <f t="shared" ca="1" si="18"/>
        <v>tech.workshop.conveyor_lvl_1</v>
      </c>
      <c r="B606" t="str">
        <f ca="1">_xlfn.XLOOKUP(tblValidation[[#This Row],[TargetID]],tblTargets[TargetID],tblTargets[TargetType],"")</f>
        <v>TECH</v>
      </c>
      <c r="C606" s="48" t="b">
        <f ca="1">COUNTIF(tblTargets[TargetID], $A606) &gt; 0</f>
        <v>1</v>
      </c>
      <c r="D606" s="48" t="b">
        <f ca="1">IF(OR(LEFT(tblValidation[[#This Row],[TargetID]],10)="state.CHAR",RIGHT(tblValidation[[#This Row],[TargetID]],5)="maxed"),TRUE, COUNTIF(tblChecklist[TargetID], $A606) &gt; 0)</f>
        <v>1</v>
      </c>
      <c r="E6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$A606) &gt; 0)</f>
        <v>1</v>
      </c>
      <c r="F606" s="48" t="b">
        <f ca="1">COUNTIF(tblDependencies[DependencyID], $A606) &gt; 0</f>
        <v>1</v>
      </c>
      <c r="G606" s="48" t="b">
        <f ca="1">COUNTIF(tblQuestObjectives[QuestTargetID], $A606) &gt; 0</f>
        <v>0</v>
      </c>
      <c r="H606" s="48" t="b">
        <f ca="1">COUNTIF(tblQuestObjectives[ObjectiveID], $A606) &gt; 0</f>
        <v>0</v>
      </c>
      <c r="I606" s="48" t="b">
        <f ca="1">COUNTIF(tblTargetStatus[TargetID], $A606) &gt; 0</f>
        <v>1</v>
      </c>
      <c r="J606" s="48" t="b">
        <f ca="1">COUNTIF(tblCost[TargetID], $A606) &gt; 0</f>
        <v>1</v>
      </c>
      <c r="K606" s="48" t="b">
        <f ca="1">COUNTIF(tblStates[StateID], $A606) &gt; 0</f>
        <v>0</v>
      </c>
      <c r="L606" s="48" t="b">
        <f t="shared" ca="1" si="19"/>
        <v>1</v>
      </c>
      <c r="M606" s="48" t="b">
        <f ca="1">IF(tblValidation[[#This Row],[TargetID]]="","",COUNTIF(tblTargets[TargetID],A606)&gt;1)</f>
        <v>0</v>
      </c>
      <c r="N606" s="48" t="b">
        <f ca="1">IF(tblValidation[[#This Row],[TargetID]]="","",COUNTIF(tblStates[StateID],tblValidation[[#This Row],[TargetID]])&gt;1)</f>
        <v>0</v>
      </c>
      <c r="O606" s="48" t="b" cm="1">
        <f t="array" aca="1" ref="O6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6" s="48"/>
      <c r="R606" s="48"/>
      <c r="S606" s="48"/>
      <c r="T606" s="48"/>
      <c r="V606" s="2" t="str">
        <f ca="1"/>
        <v>tech.workshop.conveyor_lvl_1</v>
      </c>
      <c r="X606" s="2" t="str">
        <f ca="1"/>
        <v>tech.workshop.conveyor_lvl_1</v>
      </c>
      <c r="AD606" s="2" t="str">
        <f ca="1"/>
        <v>tech.workshop.conveyor_lvl_1</v>
      </c>
    </row>
    <row r="607" spans="1:30">
      <c r="A607" t="str">
        <f t="shared" ca="1" si="18"/>
        <v>tech.workshop.conveyor_lvl_2</v>
      </c>
      <c r="B607" t="str">
        <f ca="1">_xlfn.XLOOKUP(tblValidation[[#This Row],[TargetID]],tblTargets[TargetID],tblTargets[TargetType],"")</f>
        <v>TECH</v>
      </c>
      <c r="C607" s="48" t="b">
        <f ca="1">COUNTIF(tblTargets[TargetID], $A607) &gt; 0</f>
        <v>1</v>
      </c>
      <c r="D607" s="48" t="b">
        <f ca="1">IF(OR(LEFT(tblValidation[[#This Row],[TargetID]],10)="state.CHAR",RIGHT(tblValidation[[#This Row],[TargetID]],5)="maxed"),TRUE, COUNTIF(tblChecklist[TargetID], $A607) &gt; 0)</f>
        <v>1</v>
      </c>
      <c r="E6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$A607) &gt; 0)</f>
        <v>1</v>
      </c>
      <c r="F607" s="48" t="b">
        <f ca="1">COUNTIF(tblDependencies[DependencyID], $A607) &gt; 0</f>
        <v>0</v>
      </c>
      <c r="G607" s="48" t="b">
        <f ca="1">COUNTIF(tblQuestObjectives[QuestTargetID], $A607) &gt; 0</f>
        <v>0</v>
      </c>
      <c r="H607" s="48" t="b">
        <f ca="1">COUNTIF(tblQuestObjectives[ObjectiveID], $A607) &gt; 0</f>
        <v>0</v>
      </c>
      <c r="I607" s="48" t="b">
        <f ca="1">COUNTIF(tblTargetStatus[TargetID], $A607) &gt; 0</f>
        <v>1</v>
      </c>
      <c r="J607" s="48" t="b">
        <f ca="1">COUNTIF(tblCost[TargetID], $A607) &gt; 0</f>
        <v>1</v>
      </c>
      <c r="K607" s="48" t="b">
        <f ca="1">COUNTIF(tblStates[StateID], $A607) &gt; 0</f>
        <v>0</v>
      </c>
      <c r="L607" s="48" t="b">
        <f t="shared" ca="1" si="19"/>
        <v>1</v>
      </c>
      <c r="M607" s="48" t="b">
        <f ca="1">IF(tblValidation[[#This Row],[TargetID]]="","",COUNTIF(tblTargets[TargetID],A607)&gt;1)</f>
        <v>0</v>
      </c>
      <c r="N607" s="48" t="b">
        <f ca="1">IF(tblValidation[[#This Row],[TargetID]]="","",COUNTIF(tblStates[StateID],tblValidation[[#This Row],[TargetID]])&gt;1)</f>
        <v>0</v>
      </c>
      <c r="O607" s="48" t="b" cm="1">
        <f t="array" aca="1" ref="O6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7" s="48"/>
      <c r="R607" s="48"/>
      <c r="S607" s="48"/>
      <c r="T607" s="48"/>
      <c r="V607" s="2" t="str">
        <f ca="1"/>
        <v>tech.workshop.conveyor_lvl_2</v>
      </c>
      <c r="X607" s="2" t="str">
        <f ca="1"/>
        <v>tech.workshop.conveyor_lvl_2</v>
      </c>
      <c r="AD607" s="2" t="str">
        <f ca="1"/>
        <v>tech.workshop.conveyor_lvl_2</v>
      </c>
    </row>
    <row r="608" spans="1:30">
      <c r="A608" t="str">
        <f t="shared" ca="1" si="18"/>
        <v>tech.workshop.explosive_mechanical_spider</v>
      </c>
      <c r="B608" t="str">
        <f ca="1">_xlfn.XLOOKUP(tblValidation[[#This Row],[TargetID]],tblTargets[TargetID],tblTargets[TargetType],"")</f>
        <v>TECH</v>
      </c>
      <c r="C608" s="48" t="b">
        <f ca="1">COUNTIF(tblTargets[TargetID], $A608) &gt; 0</f>
        <v>1</v>
      </c>
      <c r="D608" s="48" t="b">
        <f ca="1">IF(OR(LEFT(tblValidation[[#This Row],[TargetID]],10)="state.CHAR",RIGHT(tblValidation[[#This Row],[TargetID]],5)="maxed"),TRUE, COUNTIF(tblChecklist[TargetID], $A608) &gt; 0)</f>
        <v>1</v>
      </c>
      <c r="E6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$A608) &gt; 0)</f>
        <v>1</v>
      </c>
      <c r="F608" s="48" t="b">
        <f ca="1">COUNTIF(tblDependencies[DependencyID], $A608) &gt; 0</f>
        <v>0</v>
      </c>
      <c r="G608" s="48" t="b">
        <f ca="1">COUNTIF(tblQuestObjectives[QuestTargetID], $A608) &gt; 0</f>
        <v>0</v>
      </c>
      <c r="H608" s="48" t="b">
        <f ca="1">COUNTIF(tblQuestObjectives[ObjectiveID], $A608) &gt; 0</f>
        <v>0</v>
      </c>
      <c r="I608" s="48" t="b">
        <f ca="1">COUNTIF(tblTargetStatus[TargetID], $A608) &gt; 0</f>
        <v>1</v>
      </c>
      <c r="J608" s="48" t="b">
        <f ca="1">COUNTIF(tblCost[TargetID], $A608) &gt; 0</f>
        <v>1</v>
      </c>
      <c r="K608" s="48" t="b">
        <f ca="1">COUNTIF(tblStates[StateID], $A608) &gt; 0</f>
        <v>0</v>
      </c>
      <c r="L608" s="48" t="b">
        <f t="shared" ca="1" si="19"/>
        <v>1</v>
      </c>
      <c r="M608" s="48" t="b">
        <f ca="1">IF(tblValidation[[#This Row],[TargetID]]="","",COUNTIF(tblTargets[TargetID],A608)&gt;1)</f>
        <v>0</v>
      </c>
      <c r="N608" s="48" t="b">
        <f ca="1">IF(tblValidation[[#This Row],[TargetID]]="","",COUNTIF(tblStates[StateID],tblValidation[[#This Row],[TargetID]])&gt;1)</f>
        <v>0</v>
      </c>
      <c r="O608" s="48" t="b" cm="1">
        <f t="array" aca="1" ref="O6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8" s="48"/>
      <c r="R608" s="48"/>
      <c r="S608" s="48"/>
      <c r="T608" s="48"/>
      <c r="V608" s="2" t="str">
        <f ca="1"/>
        <v>tech.workshop.explosive_mechanical_spider</v>
      </c>
      <c r="X608" s="2" t="str">
        <f ca="1"/>
        <v>tech.workshop.explosive_mechanical_spider</v>
      </c>
      <c r="AD608" s="2" t="str">
        <f ca="1"/>
        <v>tech.workshop.explosive_mechanical_spider</v>
      </c>
    </row>
    <row r="609" spans="1:30">
      <c r="A609" t="str">
        <f t="shared" ca="1" si="18"/>
        <v>tech.workshop.mechanical_spider</v>
      </c>
      <c r="B609" t="str">
        <f ca="1">_xlfn.XLOOKUP(tblValidation[[#This Row],[TargetID]],tblTargets[TargetID],tblTargets[TargetType],"")</f>
        <v>TECH</v>
      </c>
      <c r="C609" s="48" t="b">
        <f ca="1">COUNTIF(tblTargets[TargetID], $A609) &gt; 0</f>
        <v>1</v>
      </c>
      <c r="D609" s="48" t="b">
        <f ca="1">IF(OR(LEFT(tblValidation[[#This Row],[TargetID]],10)="state.CHAR",RIGHT(tblValidation[[#This Row],[TargetID]],5)="maxed"),TRUE, COUNTIF(tblChecklist[TargetID], $A609) &gt; 0)</f>
        <v>1</v>
      </c>
      <c r="E6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$A609) &gt; 0)</f>
        <v>1</v>
      </c>
      <c r="F609" s="48" t="b">
        <f ca="1">COUNTIF(tblDependencies[DependencyID], $A609) &gt; 0</f>
        <v>1</v>
      </c>
      <c r="G609" s="48" t="b">
        <f ca="1">COUNTIF(tblQuestObjectives[QuestTargetID], $A609) &gt; 0</f>
        <v>0</v>
      </c>
      <c r="H609" s="48" t="b">
        <f ca="1">COUNTIF(tblQuestObjectives[ObjectiveID], $A609) &gt; 0</f>
        <v>0</v>
      </c>
      <c r="I609" s="48" t="b">
        <f ca="1">COUNTIF(tblTargetStatus[TargetID], $A609) &gt; 0</f>
        <v>1</v>
      </c>
      <c r="J609" s="48" t="b">
        <f ca="1">COUNTIF(tblCost[TargetID], $A609) &gt; 0</f>
        <v>1</v>
      </c>
      <c r="K609" s="48" t="b">
        <f ca="1">COUNTIF(tblStates[StateID], $A609) &gt; 0</f>
        <v>0</v>
      </c>
      <c r="L609" s="48" t="b">
        <f t="shared" ca="1" si="19"/>
        <v>1</v>
      </c>
      <c r="M609" s="48" t="b">
        <f ca="1">IF(tblValidation[[#This Row],[TargetID]]="","",COUNTIF(tblTargets[TargetID],A609)&gt;1)</f>
        <v>0</v>
      </c>
      <c r="N609" s="48" t="b">
        <f ca="1">IF(tblValidation[[#This Row],[TargetID]]="","",COUNTIF(tblStates[StateID],tblValidation[[#This Row],[TargetID]])&gt;1)</f>
        <v>0</v>
      </c>
      <c r="O609" s="48" t="b" cm="1">
        <f t="array" aca="1" ref="O6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9" s="48"/>
      <c r="R609" s="48"/>
      <c r="S609" s="48"/>
      <c r="T609" s="48"/>
      <c r="V609" s="2" t="str">
        <f ca="1"/>
        <v>tech.workshop.mechanical_spider</v>
      </c>
      <c r="X609" s="2" t="str">
        <f ca="1"/>
        <v>tech.workshop.mechanical_spider</v>
      </c>
      <c r="AD609" s="2" t="str">
        <f ca="1"/>
        <v>tech.workshop.mechanical_spider</v>
      </c>
    </row>
    <row r="610" spans="1:30">
      <c r="A610" t="str">
        <f t="shared" ca="1" si="18"/>
        <v>tech.workshop.mechanism</v>
      </c>
      <c r="B610" t="str">
        <f ca="1">_xlfn.XLOOKUP(tblValidation[[#This Row],[TargetID]],tblTargets[TargetID],tblTargets[TargetType],"")</f>
        <v>TECH</v>
      </c>
      <c r="C610" s="48" t="b">
        <f ca="1">COUNTIF(tblTargets[TargetID], $A610) &gt; 0</f>
        <v>1</v>
      </c>
      <c r="D610" s="48" t="b">
        <f ca="1">IF(OR(LEFT(tblValidation[[#This Row],[TargetID]],10)="state.CHAR",RIGHT(tblValidation[[#This Row],[TargetID]],5)="maxed"),TRUE, COUNTIF(tblChecklist[TargetID], $A610) &gt; 0)</f>
        <v>1</v>
      </c>
      <c r="E6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$A610) &gt; 0)</f>
        <v>1</v>
      </c>
      <c r="F610" s="48" t="b">
        <f ca="1">COUNTIF(tblDependencies[DependencyID], $A610) &gt; 0</f>
        <v>1</v>
      </c>
      <c r="G610" s="48" t="b">
        <f ca="1">COUNTIF(tblQuestObjectives[QuestTargetID], $A610) &gt; 0</f>
        <v>0</v>
      </c>
      <c r="H610" s="48" t="b">
        <f ca="1">COUNTIF(tblQuestObjectives[ObjectiveID], $A610) &gt; 0</f>
        <v>0</v>
      </c>
      <c r="I610" s="48" t="b">
        <f ca="1">COUNTIF(tblTargetStatus[TargetID], $A610) &gt; 0</f>
        <v>1</v>
      </c>
      <c r="J610" s="48" t="b">
        <f ca="1">COUNTIF(tblCost[TargetID], $A610) &gt; 0</f>
        <v>1</v>
      </c>
      <c r="K610" s="48" t="b">
        <f ca="1">COUNTIF(tblStates[StateID], $A610) &gt; 0</f>
        <v>0</v>
      </c>
      <c r="L610" s="48" t="b">
        <f t="shared" ca="1" si="19"/>
        <v>1</v>
      </c>
      <c r="M610" s="48" t="b">
        <f ca="1">IF(tblValidation[[#This Row],[TargetID]]="","",COUNTIF(tblTargets[TargetID],A610)&gt;1)</f>
        <v>0</v>
      </c>
      <c r="N610" s="48" t="b">
        <f ca="1">IF(tblValidation[[#This Row],[TargetID]]="","",COUNTIF(tblStates[StateID],tblValidation[[#This Row],[TargetID]])&gt;1)</f>
        <v>0</v>
      </c>
      <c r="O610" s="48" t="b" cm="1">
        <f t="array" aca="1" ref="O6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10" s="48"/>
      <c r="R610" s="48"/>
      <c r="S610" s="48"/>
      <c r="T610" s="48"/>
      <c r="V610" s="2" t="str">
        <f ca="1"/>
        <v>tech.workshop.mechanism</v>
      </c>
      <c r="X610" s="2" t="str">
        <f ca="1"/>
        <v>tech.workshop.mechanism</v>
      </c>
      <c r="AD610" s="2" t="str">
        <f ca="1"/>
        <v>tech.workshop.mechanism</v>
      </c>
    </row>
    <row r="611" spans="1:30">
      <c r="A611" t="str">
        <f t="shared" ca="1" si="18"/>
        <v>tech.workshop.shield_for_a_hero_lvl_1</v>
      </c>
      <c r="B611" t="str">
        <f ca="1">_xlfn.XLOOKUP(tblValidation[[#This Row],[TargetID]],tblTargets[TargetID],tblTargets[TargetType],"")</f>
        <v>TECH</v>
      </c>
      <c r="C611" s="48" t="b">
        <f ca="1">COUNTIF(tblTargets[TargetID], $A611) &gt; 0</f>
        <v>1</v>
      </c>
      <c r="D611" s="48" t="b">
        <f ca="1">IF(OR(LEFT(tblValidation[[#This Row],[TargetID]],10)="state.CHAR",RIGHT(tblValidation[[#This Row],[TargetID]],5)="maxed"),TRUE, COUNTIF(tblChecklist[TargetID], $A611) &gt; 0)</f>
        <v>1</v>
      </c>
      <c r="E6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$A611) &gt; 0)</f>
        <v>1</v>
      </c>
      <c r="F611" s="48" t="b">
        <f ca="1">COUNTIF(tblDependencies[DependencyID], $A611) &gt; 0</f>
        <v>1</v>
      </c>
      <c r="G611" s="48" t="b">
        <f ca="1">COUNTIF(tblQuestObjectives[QuestTargetID], $A611) &gt; 0</f>
        <v>0</v>
      </c>
      <c r="H611" s="48" t="b">
        <f ca="1">COUNTIF(tblQuestObjectives[ObjectiveID], $A611) &gt; 0</f>
        <v>0</v>
      </c>
      <c r="I611" s="48" t="b">
        <f ca="1">COUNTIF(tblTargetStatus[TargetID], $A611) &gt; 0</f>
        <v>1</v>
      </c>
      <c r="J611" s="48" t="b">
        <f ca="1">COUNTIF(tblCost[TargetID], $A611) &gt; 0</f>
        <v>1</v>
      </c>
      <c r="K611" s="48" t="b">
        <f ca="1">COUNTIF(tblStates[StateID], $A611) &gt; 0</f>
        <v>0</v>
      </c>
      <c r="L611" s="48" t="b">
        <f t="shared" ca="1" si="19"/>
        <v>1</v>
      </c>
      <c r="M611" s="48" t="b">
        <f ca="1">IF(tblValidation[[#This Row],[TargetID]]="","",COUNTIF(tblTargets[TargetID],A611)&gt;1)</f>
        <v>0</v>
      </c>
      <c r="N611" s="48" t="b">
        <f ca="1">IF(tblValidation[[#This Row],[TargetID]]="","",COUNTIF(tblStates[StateID],tblValidation[[#This Row],[TargetID]])&gt;1)</f>
        <v>0</v>
      </c>
      <c r="O611" s="48" t="b" cm="1">
        <f t="array" aca="1" ref="O6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11" s="48"/>
      <c r="R611" s="48"/>
      <c r="S611" s="48"/>
      <c r="T611" s="48"/>
      <c r="V611" s="2" t="str">
        <f ca="1"/>
        <v>tech.workshop.shield_for_a_hero_lvl_1</v>
      </c>
      <c r="X611" s="2" t="str">
        <f ca="1"/>
        <v>tech.workshop.shield_for_a_hero_lvl_1</v>
      </c>
      <c r="AD611" s="2" t="str">
        <f ca="1"/>
        <v>tech.workshop.shield_for_a_hero_lvl_1</v>
      </c>
    </row>
    <row r="612" spans="1:30">
      <c r="A612" t="str">
        <f t="shared" ca="1" si="18"/>
        <v>tech.workshop.shield_for_a_hero_lvl_2</v>
      </c>
      <c r="B612" t="str">
        <f ca="1">_xlfn.XLOOKUP(tblValidation[[#This Row],[TargetID]],tblTargets[TargetID],tblTargets[TargetType],"")</f>
        <v>TECH</v>
      </c>
      <c r="C612" s="48" t="b">
        <f ca="1">COUNTIF(tblTargets[TargetID], $A612) &gt; 0</f>
        <v>1</v>
      </c>
      <c r="D612" s="48" t="b">
        <f ca="1">IF(OR(LEFT(tblValidation[[#This Row],[TargetID]],10)="state.CHAR",RIGHT(tblValidation[[#This Row],[TargetID]],5)="maxed"),TRUE, COUNTIF(tblChecklist[TargetID], $A612) &gt; 0)</f>
        <v>1</v>
      </c>
      <c r="E6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$A612) &gt; 0)</f>
        <v>1</v>
      </c>
      <c r="F612" s="48" t="b">
        <f ca="1">COUNTIF(tblDependencies[DependencyID], $A612) &gt; 0</f>
        <v>1</v>
      </c>
      <c r="G612" s="48" t="b">
        <f ca="1">COUNTIF(tblQuestObjectives[QuestTargetID], $A612) &gt; 0</f>
        <v>0</v>
      </c>
      <c r="H612" s="48" t="b">
        <f ca="1">COUNTIF(tblQuestObjectives[ObjectiveID], $A612) &gt; 0</f>
        <v>0</v>
      </c>
      <c r="I612" s="48" t="b">
        <f ca="1">COUNTIF(tblTargetStatus[TargetID], $A612) &gt; 0</f>
        <v>1</v>
      </c>
      <c r="J612" s="48" t="b">
        <f ca="1">COUNTIF(tblCost[TargetID], $A612) &gt; 0</f>
        <v>1</v>
      </c>
      <c r="K612" s="48" t="b">
        <f ca="1">COUNTIF(tblStates[StateID], $A612) &gt; 0</f>
        <v>0</v>
      </c>
      <c r="L612" s="48" t="b">
        <f t="shared" ca="1" si="19"/>
        <v>1</v>
      </c>
      <c r="M612" s="48" t="b">
        <f ca="1">IF(tblValidation[[#This Row],[TargetID]]="","",COUNTIF(tblTargets[TargetID],A612)&gt;1)</f>
        <v>0</v>
      </c>
      <c r="N612" s="48" t="b">
        <f ca="1">IF(tblValidation[[#This Row],[TargetID]]="","",COUNTIF(tblStates[StateID],tblValidation[[#This Row],[TargetID]])&gt;1)</f>
        <v>0</v>
      </c>
      <c r="O612" s="48" t="b" cm="1">
        <f t="array" aca="1" ref="O6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12" s="48"/>
      <c r="R612" s="48"/>
      <c r="S612" s="48"/>
      <c r="T612" s="48"/>
      <c r="V612" s="2" t="str">
        <f ca="1"/>
        <v>tech.workshop.shield_for_a_hero_lvl_2</v>
      </c>
      <c r="X612" s="2" t="str">
        <f ca="1"/>
        <v>tech.workshop.shield_for_a_hero_lvl_2</v>
      </c>
      <c r="AD612" s="2" t="str">
        <f ca="1"/>
        <v>tech.workshop.shield_for_a_hero_lvl_2</v>
      </c>
    </row>
    <row r="613" spans="1:30">
      <c r="A613" t="str">
        <f t="shared" ca="1" si="18"/>
        <v>tech.workshop.shield_for_a_hero_lvl_3</v>
      </c>
      <c r="B613" t="str">
        <f ca="1">_xlfn.XLOOKUP(tblValidation[[#This Row],[TargetID]],tblTargets[TargetID],tblTargets[TargetType],"")</f>
        <v>TECH</v>
      </c>
      <c r="C613" s="48" t="b">
        <f ca="1">COUNTIF(tblTargets[TargetID], $A613) &gt; 0</f>
        <v>1</v>
      </c>
      <c r="D613" s="48" t="b">
        <f ca="1">IF(OR(LEFT(tblValidation[[#This Row],[TargetID]],10)="state.CHAR",RIGHT(tblValidation[[#This Row],[TargetID]],5)="maxed"),TRUE, COUNTIF(tblChecklist[TargetID], $A613) &gt; 0)</f>
        <v>1</v>
      </c>
      <c r="E6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$A613) &gt; 0)</f>
        <v>1</v>
      </c>
      <c r="F613" s="48" t="b">
        <f ca="1">COUNTIF(tblDependencies[DependencyID], $A613) &gt; 0</f>
        <v>1</v>
      </c>
      <c r="G613" s="48" t="b">
        <f ca="1">COUNTIF(tblQuestObjectives[QuestTargetID], $A613) &gt; 0</f>
        <v>0</v>
      </c>
      <c r="H613" s="48" t="b">
        <f ca="1">COUNTIF(tblQuestObjectives[ObjectiveID], $A613) &gt; 0</f>
        <v>0</v>
      </c>
      <c r="I613" s="48" t="b">
        <f ca="1">COUNTIF(tblTargetStatus[TargetID], $A613) &gt; 0</f>
        <v>1</v>
      </c>
      <c r="J613" s="48" t="b">
        <f ca="1">COUNTIF(tblCost[TargetID], $A613) &gt; 0</f>
        <v>1</v>
      </c>
      <c r="K613" s="48" t="b">
        <f ca="1">COUNTIF(tblStates[StateID], $A613) &gt; 0</f>
        <v>0</v>
      </c>
      <c r="L613" s="48" t="b">
        <f t="shared" ca="1" si="19"/>
        <v>1</v>
      </c>
      <c r="M613" s="48" t="b">
        <f ca="1">IF(tblValidation[[#This Row],[TargetID]]="","",COUNTIF(tblTargets[TargetID],A613)&gt;1)</f>
        <v>0</v>
      </c>
      <c r="N613" s="48" t="b">
        <f ca="1">IF(tblValidation[[#This Row],[TargetID]]="","",COUNTIF(tblStates[StateID],tblValidation[[#This Row],[TargetID]])&gt;1)</f>
        <v>0</v>
      </c>
      <c r="O613" s="48" t="b" cm="1">
        <f t="array" aca="1" ref="O6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13" s="48"/>
      <c r="R613" s="48"/>
      <c r="S613" s="48"/>
      <c r="T613" s="48"/>
      <c r="V613" s="2" t="str">
        <f ca="1"/>
        <v>tech.workshop.shield_for_a_hero_lvl_3</v>
      </c>
      <c r="X613" s="2" t="str">
        <f ca="1"/>
        <v>tech.workshop.shield_for_a_hero_lvl_3</v>
      </c>
      <c r="AD613" s="2" t="str">
        <f ca="1"/>
        <v>tech.workshop.shield_for_a_hero_lvl_3</v>
      </c>
    </row>
    <row r="614" spans="1:30">
      <c r="V614" s="2" t="str">
        <f ca="1"/>
        <v>tech.workshop.shield_for_a_hero_lvl_4</v>
      </c>
      <c r="X614" s="2" t="str">
        <f ca="1"/>
        <v>tech.workshop.shield_for_a_hero_lvl_4</v>
      </c>
      <c r="AD614" s="2" t="str">
        <f ca="1"/>
        <v>tech.workshop.shield_for_a_hero_lvl_4</v>
      </c>
    </row>
    <row r="615" spans="1:30">
      <c r="V615" s="2" t="str">
        <f ca="1"/>
        <v>tech.workshop.shield_for_a_hero_lvl_4+</v>
      </c>
      <c r="X615" s="2" t="str">
        <f ca="1"/>
        <v>tech.workshop.shield_for_a_hero_lvl_4+</v>
      </c>
      <c r="AD615" s="2" t="str">
        <f ca="1"/>
        <v>tech.workshop.shield_for_a_hero_lvl_4+</v>
      </c>
    </row>
    <row r="616" spans="1:30">
      <c r="V616" s="2" t="str">
        <f ca="1"/>
        <v>tech.workshop.steamobile</v>
      </c>
      <c r="X616" s="2" t="str">
        <f ca="1"/>
        <v>tech.workshop.steamobile</v>
      </c>
      <c r="AD616" s="2" t="str">
        <f ca="1"/>
        <v>tech.workshop.steamobile</v>
      </c>
    </row>
    <row r="617" spans="1:30">
      <c r="V617" s="2" t="str">
        <f ca="1"/>
        <v>tech.workshop.strong_glue</v>
      </c>
      <c r="X617" s="2" t="str">
        <f ca="1"/>
        <v>tech.workshop.strong_glue</v>
      </c>
      <c r="AD617" s="2" t="str">
        <f ca="1"/>
        <v>tech.workshop.strong_glue</v>
      </c>
    </row>
    <row r="618" spans="1:30">
      <c r="V618" s="2" t="str">
        <f ca="1"/>
        <v>tech.workshop.throwing_net</v>
      </c>
      <c r="X618" s="2" t="str">
        <f ca="1"/>
        <v>tech.workshop.throwing_net</v>
      </c>
      <c r="AD618" s="2" t="str">
        <f ca="1"/>
        <v>tech.workshop.throwing_net</v>
      </c>
    </row>
    <row r="619" spans="1:30">
      <c r="V619" s="2" t="str">
        <f ca="1"/>
        <v>tech.workshop.zen_fountain</v>
      </c>
      <c r="X619" s="2" t="str">
        <f ca="1"/>
        <v>tech.workshop.zen_fountain</v>
      </c>
      <c r="AD619" s="2" t="str">
        <f ca="1"/>
        <v>tech.workshop.zen_fountain</v>
      </c>
    </row>
    <row r="620" spans="1:30">
      <c r="V620" s="2">
        <f ca="1"/>
        <v>0</v>
      </c>
    </row>
  </sheetData>
  <phoneticPr fontId="4"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1A740-BB9B-4F17-8477-5A94AC43BFCA}">
  <sheetPr>
    <tabColor rgb="FFFFFF00"/>
  </sheetPr>
  <dimension ref="A1:U619"/>
  <sheetViews>
    <sheetView workbookViewId="0">
      <selection activeCell="J4" sqref="J4"/>
    </sheetView>
  </sheetViews>
  <sheetFormatPr defaultRowHeight="16"/>
  <cols>
    <col min="1" max="1" width="49" customWidth="1"/>
    <col min="2" max="2" width="24.36328125" customWidth="1"/>
    <col min="3" max="4" width="12.26953125" customWidth="1"/>
    <col min="7" max="8" width="12.90625" bestFit="1" customWidth="1"/>
    <col min="11" max="11" width="7.08984375" style="114" bestFit="1" customWidth="1"/>
    <col min="12" max="12" width="22.36328125" style="114" customWidth="1"/>
    <col min="13" max="13" width="23.90625" style="115" customWidth="1"/>
    <col min="14" max="14" width="8.7265625" style="115"/>
    <col min="15" max="15" width="8.6328125" style="114"/>
    <col min="16" max="16" width="17.453125" style="114" customWidth="1"/>
    <col min="17" max="17" width="24.36328125" style="115" bestFit="1" customWidth="1"/>
    <col min="18" max="19" width="8.7265625" style="115"/>
    <col min="20" max="20" width="25.08984375" style="115" customWidth="1"/>
    <col min="21" max="21" width="55.1796875" style="116" customWidth="1"/>
  </cols>
  <sheetData>
    <row r="1" spans="1:21" ht="16.5" thickBot="1">
      <c r="A1" t="s">
        <v>2090</v>
      </c>
      <c r="B1" t="s">
        <v>8</v>
      </c>
      <c r="C1" t="s">
        <v>2091</v>
      </c>
      <c r="D1" t="s">
        <v>5508</v>
      </c>
      <c r="E1" t="s">
        <v>11</v>
      </c>
      <c r="F1" t="s">
        <v>3598</v>
      </c>
      <c r="G1" t="s">
        <v>6269</v>
      </c>
      <c r="H1" t="s">
        <v>6270</v>
      </c>
      <c r="K1" s="114" t="s">
        <v>6271</v>
      </c>
      <c r="P1" s="114" t="s">
        <v>6269</v>
      </c>
    </row>
    <row r="2" spans="1:21" ht="16.5" thickBot="1">
      <c r="A2" t="s">
        <v>2671</v>
      </c>
      <c r="B2" t="s">
        <v>6070</v>
      </c>
      <c r="C2" t="s">
        <v>2092</v>
      </c>
      <c r="D2" t="str">
        <f>IF(tblTargets[[#This Row],[TargetType]]="state",UPPER(_xlfn.TEXTBEFORE(_xlfn.TEXTAFTER(tblTargets[[#This Row],[TargetID]],"state."),"_")),"")</f>
        <v/>
      </c>
      <c r="E2" t="b">
        <v>1</v>
      </c>
      <c r="F2" t="s">
        <v>3600</v>
      </c>
      <c r="G2" t="str">
        <f>IF(RIGHT(tblTargets[[#This Row],[TargetID]],5)="maxed","",IF(tblTargets[[#This Row],[TargetType]]="BUILDING",_xlfn.XLOOKUP(tblTargets[[#This Row],[TargetID]],Targets!$Q$2:$Q$101,Targets!$O$2:$O$101),"Not a building"))</f>
        <v/>
      </c>
      <c r="H2" t="str">
        <f>IF(RIGHT(tblTargets[[#This Row],[TargetID]],5)="maxed","",IF(tblTargets[[#This Row],[TargetType]]="BUILDING",_xlfn.XLOOKUP(tblTargets[[#This Row],[TargetID]],Targets!$M$2:$M$101,Targets!$K$2:$K$101),"Not a building"))</f>
        <v/>
      </c>
      <c r="K2" s="90">
        <v>1</v>
      </c>
      <c r="L2" s="114" t="s">
        <v>6272</v>
      </c>
      <c r="M2" s="115" t="str" cm="1">
        <f t="array" ref="M2">_xlfn.LET(
    _xlpm.txt,TRIM(SUBSTITUTE(L2,CHAR(160),"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building.guild@2</v>
      </c>
      <c r="O2" s="90">
        <v>1</v>
      </c>
      <c r="P2" s="114" t="s">
        <v>6272</v>
      </c>
      <c r="Q2" s="115" t="str" cm="1">
        <f t="array" ref="Q2">_xlfn.LET(
    _xlpm.txt,TRIM(SUBSTITUTE(P2,CHAR(160),"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building.guild@2</v>
      </c>
      <c r="S2" s="88"/>
      <c r="T2" s="115" t="s">
        <v>6272</v>
      </c>
      <c r="U2" s="107" t="s">
        <v>6406</v>
      </c>
    </row>
    <row r="3" spans="1:21" ht="16.5" thickBot="1">
      <c r="A3" t="s">
        <v>13</v>
      </c>
      <c r="B3" t="s">
        <v>9</v>
      </c>
      <c r="C3" t="s">
        <v>2092</v>
      </c>
      <c r="D3" t="str">
        <f>IF(tblTargets[[#This Row],[TargetType]]="state",UPPER(_xlfn.TEXTBEFORE(_xlfn.TEXTAFTER(tblTargets[[#This Row],[TargetID]],"state."),"_")),"")</f>
        <v/>
      </c>
      <c r="E3" t="b">
        <v>1</v>
      </c>
      <c r="F3" t="s">
        <v>3599</v>
      </c>
      <c r="G3">
        <f>IF(RIGHT(tblTargets[[#This Row],[TargetID]],5)="maxed","",IF(tblTargets[[#This Row],[TargetType]]="BUILDING",_xlfn.XLOOKUP(tblTargets[[#This Row],[TargetID]],Targets!$Q$2:$Q$101,Targets!$O$2:$O$101),"Not a building"))</f>
        <v>44</v>
      </c>
      <c r="H3">
        <f>IF(RIGHT(tblTargets[[#This Row],[TargetID]],5)="maxed","",IF(tblTargets[[#This Row],[TargetType]]="BUILDING",_xlfn.XLOOKUP(tblTargets[[#This Row],[TargetID]],Targets!$M$2:$M$101,Targets!$K$2:$K$101),"Not a building"))</f>
        <v>54</v>
      </c>
      <c r="K3" s="90">
        <f t="shared" ref="K3:K34" si="0">K2+1</f>
        <v>2</v>
      </c>
      <c r="L3" s="114" t="s">
        <v>6273</v>
      </c>
      <c r="M3" s="115" t="str" cm="1">
        <f t="array" ref="M3">_xlfn.LET(
    _xlpm.txt,TRIM(SUBSTITUTE(L3,CHAR(160),"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building.warehouse@1</v>
      </c>
      <c r="O3" s="90">
        <f t="shared" ref="O3:O34" si="1">1+O2</f>
        <v>2</v>
      </c>
      <c r="P3" s="91" t="s">
        <v>6273</v>
      </c>
      <c r="Q3" s="115" t="str" cm="1">
        <f t="array" ref="Q3">_xlfn.LET(
    _xlpm.txt,TRIM(SUBSTITUTE(P3,CHAR(160),"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building.warehouse@1</v>
      </c>
      <c r="S3" s="88"/>
      <c r="T3" s="115" t="s">
        <v>6273</v>
      </c>
      <c r="U3" s="116" t="s">
        <v>6274</v>
      </c>
    </row>
    <row r="4" spans="1:21" ht="16.5" thickBot="1">
      <c r="A4" t="s">
        <v>15</v>
      </c>
      <c r="B4" t="s">
        <v>455</v>
      </c>
      <c r="C4" t="s">
        <v>2092</v>
      </c>
      <c r="D4" t="str">
        <f>IF(tblTargets[[#This Row],[TargetType]]="state",UPPER(_xlfn.TEXTBEFORE(_xlfn.TEXTAFTER(tblTargets[[#This Row],[TargetID]],"state."),"_")),"")</f>
        <v/>
      </c>
      <c r="E4" t="b">
        <v>1</v>
      </c>
      <c r="F4" t="s">
        <v>3599</v>
      </c>
      <c r="G4">
        <f>IF(RIGHT(tblTargets[[#This Row],[TargetID]],5)="maxed","",IF(tblTargets[[#This Row],[TargetType]]="BUILDING",_xlfn.XLOOKUP(tblTargets[[#This Row],[TargetID]],Targets!$Q$2:$Q$101,Targets!$O$2:$O$101),"Not a building"))</f>
        <v>45</v>
      </c>
      <c r="H4">
        <f>IF(RIGHT(tblTargets[[#This Row],[TargetID]],5)="maxed","",IF(tblTargets[[#This Row],[TargetType]]="BUILDING",_xlfn.XLOOKUP(tblTargets[[#This Row],[TargetID]],Targets!$M$2:$M$101,Targets!$K$2:$K$101),"Not a building"))</f>
        <v>66</v>
      </c>
      <c r="K4" s="90">
        <f t="shared" si="0"/>
        <v>3</v>
      </c>
      <c r="L4" s="114" t="s">
        <v>6275</v>
      </c>
      <c r="M4" s="115" t="str" cm="1">
        <f t="array" ref="M4">_xlfn.LET(
    _xlpm.txt,TRIM(SUBSTITUTE(L4,CHAR(160),"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building.shop@1</v>
      </c>
      <c r="O4" s="90">
        <f t="shared" si="1"/>
        <v>3</v>
      </c>
      <c r="P4" s="114" t="s">
        <v>6275</v>
      </c>
      <c r="Q4" s="115" t="str" cm="1">
        <f t="array" ref="Q4">_xlfn.LET(
    _xlpm.txt,TRIM(SUBSTITUTE(P4,CHAR(160),"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building.shop@1</v>
      </c>
      <c r="S4" s="88"/>
      <c r="T4" s="115" t="s">
        <v>6275</v>
      </c>
      <c r="U4" s="116" t="s">
        <v>6418</v>
      </c>
    </row>
    <row r="5" spans="1:21" ht="32.5" thickBot="1">
      <c r="A5" t="s">
        <v>2672</v>
      </c>
      <c r="B5" t="s">
        <v>6074</v>
      </c>
      <c r="C5" t="s">
        <v>2092</v>
      </c>
      <c r="D5" t="str">
        <f>IF(tblTargets[[#This Row],[TargetType]]="state",UPPER(_xlfn.TEXTBEFORE(_xlfn.TEXTAFTER(tblTargets[[#This Row],[TargetID]],"state."),"_")),"")</f>
        <v/>
      </c>
      <c r="E5" t="b">
        <v>1</v>
      </c>
      <c r="F5" t="s">
        <v>3600</v>
      </c>
      <c r="G5" t="str">
        <f>IF(RIGHT(tblTargets[[#This Row],[TargetID]],5)="maxed","",IF(tblTargets[[#This Row],[TargetType]]="BUILDING",_xlfn.XLOOKUP(tblTargets[[#This Row],[TargetID]],Targets!$Q$2:$Q$101,Targets!$O$2:$O$101),"Not a building"))</f>
        <v/>
      </c>
      <c r="H5" t="str">
        <f>IF(RIGHT(tblTargets[[#This Row],[TargetID]],5)="maxed","",IF(tblTargets[[#This Row],[TargetType]]="BUILDING",_xlfn.XLOOKUP(tblTargets[[#This Row],[TargetID]],Targets!$M$2:$M$101,Targets!$K$2:$K$101),"Not a building"))</f>
        <v/>
      </c>
      <c r="K5" s="90">
        <f t="shared" si="0"/>
        <v>4</v>
      </c>
      <c r="L5" s="114" t="s">
        <v>6276</v>
      </c>
      <c r="M5" s="115" t="str" cm="1">
        <f t="array" ref="M5">_xlfn.LET(
    _xlpm.txt,TRIM(SUBSTITUTE(L5,CHAR(160),"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building.alchemists_hut@1</v>
      </c>
      <c r="O5" s="90">
        <f t="shared" si="1"/>
        <v>4</v>
      </c>
      <c r="P5" s="91" t="s">
        <v>6276</v>
      </c>
      <c r="Q5" s="115" t="str" cm="1">
        <f t="array" ref="Q5">_xlfn.LET(
    _xlpm.txt,TRIM(SUBSTITUTE(P5,CHAR(160),"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building.alchemists_hut@1</v>
      </c>
      <c r="S5" s="88"/>
      <c r="T5" s="115" t="s">
        <v>6276</v>
      </c>
      <c r="U5" s="107" t="s">
        <v>6393</v>
      </c>
    </row>
    <row r="6" spans="1:21" ht="32.5" thickBot="1">
      <c r="A6" t="s">
        <v>16</v>
      </c>
      <c r="B6" t="s">
        <v>3601</v>
      </c>
      <c r="C6" t="s">
        <v>2092</v>
      </c>
      <c r="D6" t="str">
        <f>IF(tblTargets[[#This Row],[TargetType]]="state",UPPER(_xlfn.TEXTBEFORE(_xlfn.TEXTAFTER(tblTargets[[#This Row],[TargetID]],"state."),"_")),"")</f>
        <v/>
      </c>
      <c r="E6" t="b">
        <v>1</v>
      </c>
      <c r="F6" t="s">
        <v>3599</v>
      </c>
      <c r="G6">
        <f>IF(RIGHT(tblTargets[[#This Row],[TargetID]],5)="maxed","",IF(tblTargets[[#This Row],[TargetType]]="BUILDING",_xlfn.XLOOKUP(tblTargets[[#This Row],[TargetID]],Targets!$Q$2:$Q$101,Targets!$O$2:$O$101),"Not a building"))</f>
        <v>4</v>
      </c>
      <c r="H6">
        <f>IF(RIGHT(tblTargets[[#This Row],[TargetID]],5)="maxed","",IF(tblTargets[[#This Row],[TargetType]]="BUILDING",_xlfn.XLOOKUP(tblTargets[[#This Row],[TargetID]],Targets!$M$2:$M$101,Targets!$K$2:$K$101),"Not a building"))</f>
        <v>4</v>
      </c>
      <c r="K6" s="90">
        <f t="shared" si="0"/>
        <v>5</v>
      </c>
      <c r="L6" s="91" t="s">
        <v>6277</v>
      </c>
      <c r="M6" s="115" t="str" cm="1">
        <f t="array" ref="M6">_xlfn.LET(
    _xlpm.txt,TRIM(SUBSTITUTE(L6,CHAR(160),"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building.alchemists_hut@2</v>
      </c>
      <c r="O6" s="90">
        <f t="shared" si="1"/>
        <v>5</v>
      </c>
      <c r="P6" s="91" t="s">
        <v>6277</v>
      </c>
      <c r="Q6" s="115" t="str" cm="1">
        <f t="array" ref="Q6">_xlfn.LET(
    _xlpm.txt,TRIM(SUBSTITUTE(P6,CHAR(160),"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building.alchemists_hut@2</v>
      </c>
      <c r="S6" s="88"/>
      <c r="T6" s="89" t="s">
        <v>6277</v>
      </c>
      <c r="U6" s="116" t="s">
        <v>6394</v>
      </c>
    </row>
    <row r="7" spans="1:21" ht="16.5" thickBot="1">
      <c r="A7" t="s">
        <v>19</v>
      </c>
      <c r="B7" t="s">
        <v>3602</v>
      </c>
      <c r="C7" t="s">
        <v>2092</v>
      </c>
      <c r="D7" t="str">
        <f>IF(tblTargets[[#This Row],[TargetType]]="state",UPPER(_xlfn.TEXTBEFORE(_xlfn.TEXTAFTER(tblTargets[[#This Row],[TargetID]],"state."),"_")),"")</f>
        <v/>
      </c>
      <c r="E7" t="b">
        <v>1</v>
      </c>
      <c r="F7" t="s">
        <v>3599</v>
      </c>
      <c r="G7">
        <f>IF(RIGHT(tblTargets[[#This Row],[TargetID]],5)="maxed","",IF(tblTargets[[#This Row],[TargetType]]="BUILDING",_xlfn.XLOOKUP(tblTargets[[#This Row],[TargetID]],Targets!$Q$2:$Q$101,Targets!$O$2:$O$101),"Not a building"))</f>
        <v>5</v>
      </c>
      <c r="H7">
        <f>IF(RIGHT(tblTargets[[#This Row],[TargetID]],5)="maxed","",IF(tblTargets[[#This Row],[TargetType]]="BUILDING",_xlfn.XLOOKUP(tblTargets[[#This Row],[TargetID]],Targets!$M$2:$M$101,Targets!$K$2:$K$101),"Not a building"))</f>
        <v>5</v>
      </c>
      <c r="K7" s="90">
        <f t="shared" si="0"/>
        <v>6</v>
      </c>
      <c r="L7" s="114" t="s">
        <v>6278</v>
      </c>
      <c r="M7" s="115" t="str" cm="1">
        <f t="array" ref="M7">_xlfn.LET(
    _xlpm.txt,TRIM(SUBSTITUTE(L7,CHAR(160),"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building.field@1</v>
      </c>
      <c r="O7" s="90">
        <f t="shared" si="1"/>
        <v>6</v>
      </c>
      <c r="P7" s="91" t="s">
        <v>6278</v>
      </c>
      <c r="Q7" s="115" t="str" cm="1">
        <f t="array" ref="Q7">_xlfn.LET(
    _xlpm.txt,TRIM(SUBSTITUTE(P7,CHAR(160),"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building.field@1</v>
      </c>
      <c r="S7" s="88"/>
      <c r="T7" s="115" t="s">
        <v>6278</v>
      </c>
      <c r="U7" s="116" t="s">
        <v>6400</v>
      </c>
    </row>
    <row r="8" spans="1:21" ht="16.5" thickBot="1">
      <c r="A8" t="s">
        <v>20</v>
      </c>
      <c r="B8" t="s">
        <v>3603</v>
      </c>
      <c r="C8" t="s">
        <v>2092</v>
      </c>
      <c r="D8" t="str">
        <f>IF(tblTargets[[#This Row],[TargetType]]="state",UPPER(_xlfn.TEXTBEFORE(_xlfn.TEXTAFTER(tblTargets[[#This Row],[TargetID]],"state."),"_")),"")</f>
        <v/>
      </c>
      <c r="E8" t="b">
        <v>1</v>
      </c>
      <c r="F8" t="s">
        <v>3599</v>
      </c>
      <c r="G8">
        <f>IF(RIGHT(tblTargets[[#This Row],[TargetID]],5)="maxed","",IF(tblTargets[[#This Row],[TargetType]]="BUILDING",_xlfn.XLOOKUP(tblTargets[[#This Row],[TargetID]],Targets!$Q$2:$Q$101,Targets!$O$2:$O$101),"Not a building"))</f>
        <v>51</v>
      </c>
      <c r="H8">
        <f>IF(RIGHT(tblTargets[[#This Row],[TargetID]],5)="maxed","",IF(tblTargets[[#This Row],[TargetType]]="BUILDING",_xlfn.XLOOKUP(tblTargets[[#This Row],[TargetID]],Targets!$M$2:$M$101,Targets!$K$2:$K$101),"Not a building"))</f>
        <v>62</v>
      </c>
      <c r="K8" s="90">
        <f t="shared" si="0"/>
        <v>7</v>
      </c>
      <c r="L8" s="114" t="s">
        <v>6279</v>
      </c>
      <c r="M8" s="115" t="str" cm="1">
        <f t="array" ref="M8">_xlfn.LET(
    _xlpm.txt,TRIM(SUBSTITUTE(L8,CHAR(160),"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building.rock_garden@1</v>
      </c>
      <c r="O8" s="90">
        <f t="shared" si="1"/>
        <v>7</v>
      </c>
      <c r="P8" s="91" t="s">
        <v>6287</v>
      </c>
      <c r="Q8" s="115" t="str" cm="1">
        <f t="array" ref="Q8">_xlfn.LET(
    _xlpm.txt,TRIM(SUBSTITUTE(P8,CHAR(160),"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building.food_stall@1</v>
      </c>
      <c r="S8" s="88"/>
      <c r="T8" s="115" t="s">
        <v>6287</v>
      </c>
      <c r="U8" s="107" t="s">
        <v>6402</v>
      </c>
    </row>
    <row r="9" spans="1:21" ht="16.5" thickBot="1">
      <c r="A9" t="s">
        <v>21</v>
      </c>
      <c r="B9" t="s">
        <v>3604</v>
      </c>
      <c r="C9" t="s">
        <v>2092</v>
      </c>
      <c r="D9" t="str">
        <f>IF(tblTargets[[#This Row],[TargetType]]="state",UPPER(_xlfn.TEXTBEFORE(_xlfn.TEXTAFTER(tblTargets[[#This Row],[TargetID]],"state."),"_")),"")</f>
        <v/>
      </c>
      <c r="E9" t="b">
        <v>1</v>
      </c>
      <c r="F9" t="s">
        <v>3599</v>
      </c>
      <c r="G9">
        <f>IF(RIGHT(tblTargets[[#This Row],[TargetID]],5)="maxed","",IF(tblTargets[[#This Row],[TargetType]]="BUILDING",_xlfn.XLOOKUP(tblTargets[[#This Row],[TargetID]],Targets!$Q$2:$Q$101,Targets!$O$2:$O$101),"Not a building"))</f>
        <v>52</v>
      </c>
      <c r="H9">
        <f>IF(RIGHT(tblTargets[[#This Row],[TargetID]],5)="maxed","",IF(tblTargets[[#This Row],[TargetType]]="BUILDING",_xlfn.XLOOKUP(tblTargets[[#This Row],[TargetID]],Targets!$M$2:$M$101,Targets!$K$2:$K$101),"Not a building"))</f>
        <v>63</v>
      </c>
      <c r="K9" s="90">
        <f t="shared" si="0"/>
        <v>8</v>
      </c>
      <c r="L9" s="91" t="s">
        <v>6280</v>
      </c>
      <c r="M9" s="115" t="str" cm="1">
        <f t="array" ref="M9">_xlfn.LET(
    _xlpm.txt,TRIM(SUBSTITUTE(L9,CHAR(160),"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building.rock_garden@2</v>
      </c>
      <c r="O9" s="90">
        <f t="shared" si="1"/>
        <v>8</v>
      </c>
      <c r="P9" s="91" t="s">
        <v>6288</v>
      </c>
      <c r="Q9" s="115" t="str" cm="1">
        <f t="array" ref="Q9">_xlfn.LET(
    _xlpm.txt,TRIM(SUBSTITUTE(P9,CHAR(160),"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building.field@2</v>
      </c>
      <c r="S9" s="88"/>
      <c r="T9" s="89" t="s">
        <v>6288</v>
      </c>
      <c r="U9" s="116" t="s">
        <v>6401</v>
      </c>
    </row>
    <row r="10" spans="1:21" ht="16.5" thickBot="1">
      <c r="A10" t="s">
        <v>22</v>
      </c>
      <c r="B10" t="s">
        <v>3605</v>
      </c>
      <c r="C10" t="s">
        <v>2092</v>
      </c>
      <c r="D10" t="str">
        <f>IF(tblTargets[[#This Row],[TargetType]]="state",UPPER(_xlfn.TEXTBEFORE(_xlfn.TEXTAFTER(tblTargets[[#This Row],[TargetID]],"state."),"_")),"")</f>
        <v/>
      </c>
      <c r="E10" t="b">
        <v>1</v>
      </c>
      <c r="F10" t="s">
        <v>3599</v>
      </c>
      <c r="G10">
        <f>IF(RIGHT(tblTargets[[#This Row],[TargetID]],5)="maxed","",IF(tblTargets[[#This Row],[TargetType]]="BUILDING",_xlfn.XLOOKUP(tblTargets[[#This Row],[TargetID]],Targets!$Q$2:$Q$101,Targets!$O$2:$O$101),"Not a building"))</f>
        <v>53</v>
      </c>
      <c r="H10">
        <f>IF(RIGHT(tblTargets[[#This Row],[TargetID]],5)="maxed","",IF(tblTargets[[#This Row],[TargetType]]="BUILDING",_xlfn.XLOOKUP(tblTargets[[#This Row],[TargetID]],Targets!$M$2:$M$101,Targets!$K$2:$K$101),"Not a building"))</f>
        <v>64</v>
      </c>
      <c r="K10" s="90">
        <f t="shared" si="0"/>
        <v>9</v>
      </c>
      <c r="L10" s="114" t="s">
        <v>6281</v>
      </c>
      <c r="M10" s="115" t="str" cm="1">
        <f t="array" ref="M10">_xlfn.LET(
    _xlpm.txt,TRIM(SUBSTITUTE(L10,CHAR(160),"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building.garden@1</v>
      </c>
      <c r="O10" s="90">
        <f t="shared" si="1"/>
        <v>9</v>
      </c>
      <c r="P10" s="114" t="s">
        <v>6289</v>
      </c>
      <c r="Q10" s="115" t="str" cm="1">
        <f t="array" ref="Q10">_xlfn.LET(
    _xlpm.txt,TRIM(SUBSTITUTE(P10,CHAR(160),"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building.windmill@1</v>
      </c>
      <c r="S10" s="88"/>
      <c r="T10" s="115" t="s">
        <v>6289</v>
      </c>
      <c r="U10" s="116" t="s">
        <v>6290</v>
      </c>
    </row>
    <row r="11" spans="1:21" ht="16.5" thickBot="1">
      <c r="A11" t="s">
        <v>23</v>
      </c>
      <c r="B11" t="s">
        <v>3606</v>
      </c>
      <c r="C11" t="s">
        <v>2092</v>
      </c>
      <c r="D11" t="str">
        <f>IF(tblTargets[[#This Row],[TargetType]]="state",UPPER(_xlfn.TEXTBEFORE(_xlfn.TEXTAFTER(tblTargets[[#This Row],[TargetID]],"state."),"_")),"")</f>
        <v/>
      </c>
      <c r="E11" t="b">
        <v>1</v>
      </c>
      <c r="F11" t="s">
        <v>3599</v>
      </c>
      <c r="G11">
        <f>IF(RIGHT(tblTargets[[#This Row],[TargetID]],5)="maxed","",IF(tblTargets[[#This Row],[TargetType]]="BUILDING",_xlfn.XLOOKUP(tblTargets[[#This Row],[TargetID]],Targets!$Q$2:$Q$101,Targets!$O$2:$O$101),"Not a building"))</f>
        <v>54</v>
      </c>
      <c r="H11">
        <f>IF(RIGHT(tblTargets[[#This Row],[TargetID]],5)="maxed","",IF(tblTargets[[#This Row],[TargetType]]="BUILDING",_xlfn.XLOOKUP(tblTargets[[#This Row],[TargetID]],Targets!$M$2:$M$101,Targets!$K$2:$K$101),"Not a building"))</f>
        <v>65</v>
      </c>
      <c r="K11" s="90">
        <f t="shared" si="0"/>
        <v>10</v>
      </c>
      <c r="L11" s="91" t="s">
        <v>6282</v>
      </c>
      <c r="M11" s="115" t="str" cm="1">
        <f t="array" ref="M11">_xlfn.LET(
    _xlpm.txt,TRIM(SUBSTITUTE(L11,CHAR(160),"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building.garden@2</v>
      </c>
      <c r="O11" s="90">
        <f t="shared" si="1"/>
        <v>10</v>
      </c>
      <c r="P11" s="114" t="s">
        <v>6291</v>
      </c>
      <c r="Q11" s="115" t="str" cm="1">
        <f t="array" ref="Q11">_xlfn.LET(
    _xlpm.txt,TRIM(SUBSTITUTE(P11,CHAR(160),"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building.furnace@1</v>
      </c>
      <c r="S11" s="88"/>
      <c r="T11" s="115" t="s">
        <v>6291</v>
      </c>
      <c r="U11" s="116" t="s">
        <v>6403</v>
      </c>
    </row>
    <row r="12" spans="1:21" ht="29.5" thickBot="1">
      <c r="A12" t="s">
        <v>24</v>
      </c>
      <c r="B12" t="s">
        <v>456</v>
      </c>
      <c r="C12" t="s">
        <v>2092</v>
      </c>
      <c r="D12" t="str">
        <f>IF(tblTargets[[#This Row],[TargetType]]="state",UPPER(_xlfn.TEXTBEFORE(_xlfn.TEXTAFTER(tblTargets[[#This Row],[TargetID]],"state."),"_")),"")</f>
        <v/>
      </c>
      <c r="E12" t="b">
        <v>1</v>
      </c>
      <c r="F12" t="s">
        <v>3599</v>
      </c>
      <c r="G12">
        <f>IF(RIGHT(tblTargets[[#This Row],[TargetID]],5)="maxed","",IF(tblTargets[[#This Row],[TargetType]]="BUILDING",_xlfn.XLOOKUP(tblTargets[[#This Row],[TargetID]],Targets!$Q$2:$Q$101,Targets!$O$2:$O$101),"Not a building"))</f>
        <v>88</v>
      </c>
      <c r="H12">
        <f>IF(RIGHT(tblTargets[[#This Row],[TargetID]],5)="maxed","",IF(tblTargets[[#This Row],[TargetType]]="BUILDING",_xlfn.XLOOKUP(tblTargets[[#This Row],[TargetID]],Targets!$M$2:$M$101,Targets!$K$2:$K$101),"Not a building"))</f>
        <v>37</v>
      </c>
      <c r="K12" s="90">
        <f t="shared" si="0"/>
        <v>11</v>
      </c>
      <c r="L12" s="114" t="s">
        <v>6283</v>
      </c>
      <c r="M12" s="115" t="str" cm="1">
        <f t="array" ref="M12">_xlfn.LET(
    _xlpm.txt,TRIM(SUBSTITUTE(L12,CHAR(160),"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building.lumber@1</v>
      </c>
      <c r="O12" s="90">
        <f t="shared" si="1"/>
        <v>11</v>
      </c>
      <c r="P12" s="91" t="s">
        <v>6292</v>
      </c>
      <c r="Q12" s="115" t="str" cm="1">
        <f t="array" ref="Q12">_xlfn.LET(
    _xlpm.txt,TRIM(SUBSTITUTE(P12,CHAR(160),"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building.furnace@2</v>
      </c>
      <c r="S12" s="88"/>
      <c r="T12" s="89" t="s">
        <v>6292</v>
      </c>
      <c r="U12" s="107" t="s">
        <v>6404</v>
      </c>
    </row>
    <row r="13" spans="1:21" ht="29.5" thickBot="1">
      <c r="A13" t="s">
        <v>26</v>
      </c>
      <c r="B13" t="s">
        <v>457</v>
      </c>
      <c r="C13" t="s">
        <v>2092</v>
      </c>
      <c r="D13" t="str">
        <f>IF(tblTargets[[#This Row],[TargetType]]="state",UPPER(_xlfn.TEXTBEFORE(_xlfn.TEXTAFTER(tblTargets[[#This Row],[TargetID]],"state."),"_")),"")</f>
        <v/>
      </c>
      <c r="E13" t="b">
        <v>1</v>
      </c>
      <c r="F13" t="s">
        <v>3599</v>
      </c>
      <c r="G13">
        <f>IF(RIGHT(tblTargets[[#This Row],[TargetID]],5)="maxed","",IF(tblTargets[[#This Row],[TargetType]]="BUILDING",_xlfn.XLOOKUP(tblTargets[[#This Row],[TargetID]],Targets!$Q$2:$Q$101,Targets!$O$2:$O$101),"Not a building"))</f>
        <v>89</v>
      </c>
      <c r="H13">
        <f>IF(RIGHT(tblTargets[[#This Row],[TargetID]],5)="maxed","",IF(tblTargets[[#This Row],[TargetType]]="BUILDING",_xlfn.XLOOKUP(tblTargets[[#This Row],[TargetID]],Targets!$M$2:$M$101,Targets!$K$2:$K$101),"Not a building"))</f>
        <v>38</v>
      </c>
      <c r="K13" s="90">
        <f t="shared" si="0"/>
        <v>12</v>
      </c>
      <c r="L13" s="91" t="s">
        <v>6284</v>
      </c>
      <c r="M13" s="115" t="str" cm="1">
        <f t="array" ref="M13">_xlfn.LET(
    _xlpm.txt,TRIM(SUBSTITUTE(L13,CHAR(160),"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building.lumber@2</v>
      </c>
      <c r="O13" s="90">
        <f t="shared" si="1"/>
        <v>12</v>
      </c>
      <c r="P13" s="91" t="s">
        <v>6293</v>
      </c>
      <c r="Q13" s="115" t="str" cm="1">
        <f t="array" ref="Q13">_xlfn.LET(
    _xlpm.txt,TRIM(SUBSTITUTE(P13,CHAR(160),"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building.dungeon@1</v>
      </c>
      <c r="S13" s="88"/>
      <c r="T13" s="115" t="s">
        <v>6293</v>
      </c>
      <c r="U13" s="107" t="s">
        <v>6397</v>
      </c>
    </row>
    <row r="14" spans="1:21" ht="16.5" thickBot="1">
      <c r="A14" t="s">
        <v>2673</v>
      </c>
      <c r="B14" t="s">
        <v>6075</v>
      </c>
      <c r="C14" t="s">
        <v>2092</v>
      </c>
      <c r="D14" t="str">
        <f>IF(tblTargets[[#This Row],[TargetType]]="state",UPPER(_xlfn.TEXTBEFORE(_xlfn.TEXTAFTER(tblTargets[[#This Row],[TargetID]],"state."),"_")),"")</f>
        <v/>
      </c>
      <c r="E14" t="b">
        <v>1</v>
      </c>
      <c r="F14" t="s">
        <v>3600</v>
      </c>
      <c r="G14" t="str">
        <f>IF(RIGHT(tblTargets[[#This Row],[TargetID]],5)="maxed","",IF(tblTargets[[#This Row],[TargetType]]="BUILDING",_xlfn.XLOOKUP(tblTargets[[#This Row],[TargetID]],Targets!$Q$2:$Q$101,Targets!$O$2:$O$101),"Not a building"))</f>
        <v/>
      </c>
      <c r="H14" t="str">
        <f>IF(RIGHT(tblTargets[[#This Row],[TargetID]],5)="maxed","",IF(tblTargets[[#This Row],[TargetType]]="BUILDING",_xlfn.XLOOKUP(tblTargets[[#This Row],[TargetID]],Targets!$M$2:$M$101,Targets!$K$2:$K$101),"Not a building"))</f>
        <v/>
      </c>
      <c r="K14" s="90">
        <f t="shared" si="0"/>
        <v>13</v>
      </c>
      <c r="L14" s="91" t="s">
        <v>565</v>
      </c>
      <c r="M14" s="115" t="str" cm="1">
        <f t="array" ref="M14">_xlfn.LET(
    _xlpm.txt,TRIM(SUBSTITUTE(L14,CHAR(160),"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building.guild@3</v>
      </c>
      <c r="O14" s="90">
        <f t="shared" si="1"/>
        <v>13</v>
      </c>
      <c r="P14" s="91" t="s">
        <v>6283</v>
      </c>
      <c r="Q14" s="115" t="str" cm="1">
        <f t="array" ref="Q14">_xlfn.LET(
    _xlpm.txt,TRIM(SUBSTITUTE(P14,CHAR(160),"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building.lumber@1</v>
      </c>
      <c r="S14" s="88"/>
      <c r="T14" s="115" t="s">
        <v>6283</v>
      </c>
      <c r="U14" s="116" t="s">
        <v>6409</v>
      </c>
    </row>
    <row r="15" spans="1:21" ht="16.5" thickBot="1">
      <c r="A15" t="s">
        <v>27</v>
      </c>
      <c r="B15" t="s">
        <v>458</v>
      </c>
      <c r="C15" t="s">
        <v>2092</v>
      </c>
      <c r="D15" t="str">
        <f>IF(tblTargets[[#This Row],[TargetType]]="state",UPPER(_xlfn.TEXTBEFORE(_xlfn.TEXTAFTER(tblTargets[[#This Row],[TargetID]],"state."),"_")),"")</f>
        <v/>
      </c>
      <c r="E15" t="b">
        <v>1</v>
      </c>
      <c r="F15" t="s">
        <v>3599</v>
      </c>
      <c r="G15">
        <f>IF(RIGHT(tblTargets[[#This Row],[TargetID]],5)="maxed","",IF(tblTargets[[#This Row],[TargetType]]="BUILDING",_xlfn.XLOOKUP(tblTargets[[#This Row],[TargetID]],Targets!$Q$2:$Q$101,Targets!$O$2:$O$101),"Not a building"))</f>
        <v>27</v>
      </c>
      <c r="H15">
        <f>IF(RIGHT(tblTargets[[#This Row],[TargetID]],5)="maxed","",IF(tblTargets[[#This Row],[TargetType]]="BUILDING",_xlfn.XLOOKUP(tblTargets[[#This Row],[TargetID]],Targets!$M$2:$M$101,Targets!$K$2:$K$101),"Not a building"))</f>
        <v>35</v>
      </c>
      <c r="K15" s="90">
        <f t="shared" si="0"/>
        <v>14</v>
      </c>
      <c r="L15" s="91" t="s">
        <v>6285</v>
      </c>
      <c r="M15" s="115" t="str" cm="1">
        <f t="array" ref="M15">_xlfn.LET(
    _xlpm.txt,TRIM(SUBSTITUTE(L15,CHAR(160),"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building.rock_garden@3</v>
      </c>
      <c r="O15" s="90">
        <f t="shared" si="1"/>
        <v>14</v>
      </c>
      <c r="P15" s="114" t="s">
        <v>6284</v>
      </c>
      <c r="Q15" s="115" t="str" cm="1">
        <f t="array" ref="Q15">_xlfn.LET(
    _xlpm.txt,TRIM(SUBSTITUTE(P15,CHAR(160),"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building.lumber@2</v>
      </c>
      <c r="S15" s="88"/>
      <c r="T15" s="89" t="s">
        <v>6284</v>
      </c>
      <c r="U15" s="107" t="s">
        <v>6410</v>
      </c>
    </row>
    <row r="16" spans="1:21" ht="16.5" thickBot="1">
      <c r="A16" t="s">
        <v>29</v>
      </c>
      <c r="B16" t="s">
        <v>459</v>
      </c>
      <c r="C16" t="s">
        <v>2092</v>
      </c>
      <c r="D16" t="str">
        <f>IF(tblTargets[[#This Row],[TargetType]]="state",UPPER(_xlfn.TEXTBEFORE(_xlfn.TEXTAFTER(tblTargets[[#This Row],[TargetID]],"state."),"_")),"")</f>
        <v/>
      </c>
      <c r="E16" t="b">
        <v>1</v>
      </c>
      <c r="F16" t="s">
        <v>3599</v>
      </c>
      <c r="G16">
        <f>IF(RIGHT(tblTargets[[#This Row],[TargetID]],5)="maxed","",IF(tblTargets[[#This Row],[TargetType]]="BUILDING",_xlfn.XLOOKUP(tblTargets[[#This Row],[TargetID]],Targets!$Q$2:$Q$101,Targets!$O$2:$O$101),"Not a building"))</f>
        <v>36</v>
      </c>
      <c r="H16">
        <f>IF(RIGHT(tblTargets[[#This Row],[TargetID]],5)="maxed","",IF(tblTargets[[#This Row],[TargetType]]="BUILDING",_xlfn.XLOOKUP(tblTargets[[#This Row],[TargetID]],Targets!$M$2:$M$101,Targets!$K$2:$K$101),"Not a building"))</f>
        <v>47</v>
      </c>
      <c r="K16" s="90">
        <f t="shared" si="0"/>
        <v>15</v>
      </c>
      <c r="L16" s="91" t="s">
        <v>6286</v>
      </c>
      <c r="M16" s="115" t="str" cm="1">
        <f t="array" ref="M16">_xlfn.LET(
    _xlpm.txt,TRIM(SUBSTITUTE(L16,CHAR(160),"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building.garden@3</v>
      </c>
      <c r="O16" s="90">
        <f t="shared" si="1"/>
        <v>15</v>
      </c>
      <c r="P16" s="91" t="s">
        <v>6304</v>
      </c>
      <c r="Q16" s="115" t="str" cm="1">
        <f t="array" ref="Q16">_xlfn.LET(
    _xlpm.txt,TRIM(SUBSTITUTE(P16,CHAR(160),"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building.windmill@2</v>
      </c>
      <c r="S16" s="88"/>
      <c r="T16" s="89" t="s">
        <v>6304</v>
      </c>
      <c r="U16" s="107" t="s">
        <v>6422</v>
      </c>
    </row>
    <row r="17" spans="1:21" ht="16.5" thickBot="1">
      <c r="A17" t="s">
        <v>31</v>
      </c>
      <c r="B17" t="s">
        <v>460</v>
      </c>
      <c r="C17" t="s">
        <v>2092</v>
      </c>
      <c r="D17" t="str">
        <f>IF(tblTargets[[#This Row],[TargetType]]="state",UPPER(_xlfn.TEXTBEFORE(_xlfn.TEXTAFTER(tblTargets[[#This Row],[TargetID]],"state."),"_")),"")</f>
        <v/>
      </c>
      <c r="E17" t="b">
        <v>1</v>
      </c>
      <c r="F17" t="s">
        <v>3599</v>
      </c>
      <c r="G17">
        <f>IF(RIGHT(tblTargets[[#This Row],[TargetID]],5)="maxed","",IF(tblTargets[[#This Row],[TargetType]]="BUILDING",_xlfn.XLOOKUP(tblTargets[[#This Row],[TargetID]],Targets!$Q$2:$Q$101,Targets!$O$2:$O$101),"Not a building"))</f>
        <v>37</v>
      </c>
      <c r="H17">
        <f>IF(RIGHT(tblTargets[[#This Row],[TargetID]],5)="maxed","",IF(tblTargets[[#This Row],[TargetType]]="BUILDING",_xlfn.XLOOKUP(tblTargets[[#This Row],[TargetID]],Targets!$M$2:$M$101,Targets!$K$2:$K$101),"Not a building"))</f>
        <v>48</v>
      </c>
      <c r="K17" s="90">
        <f t="shared" si="0"/>
        <v>16</v>
      </c>
      <c r="L17" s="114" t="s">
        <v>6287</v>
      </c>
      <c r="M17" s="115" t="str" cm="1">
        <f t="array" ref="M17">_xlfn.LET(
    _xlpm.txt,TRIM(SUBSTITUTE(L17,CHAR(160),"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building.food_stall@1</v>
      </c>
      <c r="O17" s="90">
        <f t="shared" si="1"/>
        <v>16</v>
      </c>
      <c r="P17" s="114" t="s">
        <v>6303</v>
      </c>
      <c r="Q17" s="115" t="str" cm="1">
        <f t="array" ref="Q17">_xlfn.LET(
    _xlpm.txt,TRIM(SUBSTITUTE(P17,CHAR(160),"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building.dungeon@2</v>
      </c>
      <c r="S17" s="88"/>
      <c r="T17" s="89" t="s">
        <v>6303</v>
      </c>
      <c r="U17" s="107" t="s">
        <v>6398</v>
      </c>
    </row>
    <row r="18" spans="1:21" ht="16.5" thickBot="1">
      <c r="A18" t="s">
        <v>32</v>
      </c>
      <c r="B18" t="s">
        <v>461</v>
      </c>
      <c r="C18" t="s">
        <v>2092</v>
      </c>
      <c r="D18" t="str">
        <f>IF(tblTargets[[#This Row],[TargetType]]="state",UPPER(_xlfn.TEXTBEFORE(_xlfn.TEXTAFTER(tblTargets[[#This Row],[TargetID]],"state."),"_")),"")</f>
        <v/>
      </c>
      <c r="E18" t="b">
        <v>1</v>
      </c>
      <c r="F18" t="s">
        <v>3599</v>
      </c>
      <c r="G18">
        <f>IF(RIGHT(tblTargets[[#This Row],[TargetID]],5)="maxed","",IF(tblTargets[[#This Row],[TargetType]]="BUILDING",_xlfn.XLOOKUP(tblTargets[[#This Row],[TargetID]],Targets!$Q$2:$Q$101,Targets!$O$2:$O$101),"Not a building"))</f>
        <v>38</v>
      </c>
      <c r="H18">
        <f>IF(RIGHT(tblTargets[[#This Row],[TargetID]],5)="maxed","",IF(tblTargets[[#This Row],[TargetType]]="BUILDING",_xlfn.XLOOKUP(tblTargets[[#This Row],[TargetID]],Targets!$M$2:$M$101,Targets!$K$2:$K$101),"Not a building"))</f>
        <v>49</v>
      </c>
      <c r="K18" s="90">
        <f t="shared" si="0"/>
        <v>17</v>
      </c>
      <c r="L18" s="91" t="s">
        <v>6288</v>
      </c>
      <c r="M18" s="115" t="str" cm="1">
        <f t="array" ref="M18">_xlfn.LET(
    _xlpm.txt,TRIM(SUBSTITUTE(L18,CHAR(160),"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building.field@2</v>
      </c>
      <c r="O18" s="90">
        <f t="shared" si="1"/>
        <v>17</v>
      </c>
      <c r="P18" s="91" t="s">
        <v>565</v>
      </c>
      <c r="Q18" s="115" t="str" cm="1">
        <f t="array" ref="Q18">_xlfn.LET(
    _xlpm.txt,TRIM(SUBSTITUTE(P18,CHAR(160),"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building.guild@3</v>
      </c>
      <c r="S18" s="88"/>
      <c r="T18" s="89" t="s">
        <v>565</v>
      </c>
      <c r="U18" s="107" t="s">
        <v>6407</v>
      </c>
    </row>
    <row r="19" spans="1:21" ht="16.5" thickBot="1">
      <c r="A19" t="s">
        <v>33</v>
      </c>
      <c r="B19" t="s">
        <v>462</v>
      </c>
      <c r="C19" t="s">
        <v>2092</v>
      </c>
      <c r="D19" t="str">
        <f>IF(tblTargets[[#This Row],[TargetType]]="state",UPPER(_xlfn.TEXTBEFORE(_xlfn.TEXTAFTER(tblTargets[[#This Row],[TargetID]],"state."),"_")),"")</f>
        <v/>
      </c>
      <c r="E19" t="b">
        <v>1</v>
      </c>
      <c r="F19" t="s">
        <v>3599</v>
      </c>
      <c r="G19">
        <f>IF(RIGHT(tblTargets[[#This Row],[TargetID]],5)="maxed","",IF(tblTargets[[#This Row],[TargetType]]="BUILDING",_xlfn.XLOOKUP(tblTargets[[#This Row],[TargetID]],Targets!$Q$2:$Q$101,Targets!$O$2:$O$101),"Not a building"))</f>
        <v>39</v>
      </c>
      <c r="H19">
        <f>IF(RIGHT(tblTargets[[#This Row],[TargetID]],5)="maxed","",IF(tblTargets[[#This Row],[TargetType]]="BUILDING",_xlfn.XLOOKUP(tblTargets[[#This Row],[TargetID]],Targets!$M$2:$M$101,Targets!$K$2:$K$101),"Not a building"))</f>
        <v>59</v>
      </c>
      <c r="K19" s="90">
        <f t="shared" si="0"/>
        <v>18</v>
      </c>
      <c r="L19" s="114" t="s">
        <v>6289</v>
      </c>
      <c r="M19" s="115" t="str" cm="1">
        <f t="array" ref="M19">_xlfn.LET(
    _xlpm.txt,TRIM(SUBSTITUTE(L19,CHAR(160),"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building.windmill@1</v>
      </c>
      <c r="O19" s="90">
        <f t="shared" si="1"/>
        <v>18</v>
      </c>
      <c r="P19" s="114" t="s">
        <v>6297</v>
      </c>
      <c r="Q19" s="115" t="str" cm="1">
        <f t="array" ref="Q19">_xlfn.LET(
    _xlpm.txt,TRIM(SUBSTITUTE(P19,CHAR(160),"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building.lumber@3</v>
      </c>
      <c r="S19" s="88"/>
      <c r="T19" s="89" t="s">
        <v>6297</v>
      </c>
      <c r="U19" s="116" t="s">
        <v>6411</v>
      </c>
    </row>
    <row r="20" spans="1:21" ht="16.5" thickBot="1">
      <c r="A20" t="s">
        <v>34</v>
      </c>
      <c r="B20" t="s">
        <v>463</v>
      </c>
      <c r="C20" t="s">
        <v>2092</v>
      </c>
      <c r="D20" t="str">
        <f>IF(tblTargets[[#This Row],[TargetType]]="state",UPPER(_xlfn.TEXTBEFORE(_xlfn.TEXTAFTER(tblTargets[[#This Row],[TargetID]],"state."),"_")),"")</f>
        <v/>
      </c>
      <c r="E20" t="b">
        <v>1</v>
      </c>
      <c r="F20" t="s">
        <v>3599</v>
      </c>
      <c r="G20">
        <f>IF(RIGHT(tblTargets[[#This Row],[TargetID]],5)="maxed","",IF(tblTargets[[#This Row],[TargetType]]="BUILDING",_xlfn.XLOOKUP(tblTargets[[#This Row],[TargetID]],Targets!$Q$2:$Q$101,Targets!$O$2:$O$101),"Not a building"))</f>
        <v>55</v>
      </c>
      <c r="H20">
        <f>IF(RIGHT(tblTargets[[#This Row],[TargetID]],5)="maxed","",IF(tblTargets[[#This Row],[TargetType]]="BUILDING",_xlfn.XLOOKUP(tblTargets[[#This Row],[TargetID]],Targets!$M$2:$M$101,Targets!$K$2:$K$101),"Not a building"))</f>
        <v>22</v>
      </c>
      <c r="K20" s="90">
        <f t="shared" si="0"/>
        <v>19</v>
      </c>
      <c r="L20" s="114" t="s">
        <v>6291</v>
      </c>
      <c r="M20" s="115" t="str" cm="1">
        <f t="array" ref="M20">_xlfn.LET(
    _xlpm.txt,TRIM(SUBSTITUTE(L20,CHAR(160),"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building.furnace@1</v>
      </c>
      <c r="O20" s="90">
        <f t="shared" si="1"/>
        <v>19</v>
      </c>
      <c r="P20" s="91" t="s">
        <v>6298</v>
      </c>
      <c r="Q20" s="115" t="str" cm="1">
        <f t="array" ref="Q20">_xlfn.LET(
    _xlpm.txt,TRIM(SUBSTITUTE(P20,CHAR(160),"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building.pier@1</v>
      </c>
      <c r="S20" s="88"/>
      <c r="T20" s="115" t="s">
        <v>6298</v>
      </c>
      <c r="U20" s="107" t="s">
        <v>6413</v>
      </c>
    </row>
    <row r="21" spans="1:21" ht="16.5" thickBot="1">
      <c r="A21" t="s">
        <v>36</v>
      </c>
      <c r="B21" t="s">
        <v>464</v>
      </c>
      <c r="C21" t="s">
        <v>2092</v>
      </c>
      <c r="D21" t="str">
        <f>IF(tblTargets[[#This Row],[TargetType]]="state",UPPER(_xlfn.TEXTBEFORE(_xlfn.TEXTAFTER(tblTargets[[#This Row],[TargetID]],"state."),"_")),"")</f>
        <v/>
      </c>
      <c r="E21" t="b">
        <v>1</v>
      </c>
      <c r="F21" t="s">
        <v>3599</v>
      </c>
      <c r="G21">
        <f>IF(RIGHT(tblTargets[[#This Row],[TargetID]],5)="maxed","",IF(tblTargets[[#This Row],[TargetType]]="BUILDING",_xlfn.XLOOKUP(tblTargets[[#This Row],[TargetID]],Targets!$Q$2:$Q$101,Targets!$O$2:$O$101),"Not a building"))</f>
        <v>56</v>
      </c>
      <c r="H21">
        <f>IF(RIGHT(tblTargets[[#This Row],[TargetID]],5)="maxed","",IF(tblTargets[[#This Row],[TargetType]]="BUILDING",_xlfn.XLOOKUP(tblTargets[[#This Row],[TargetID]],Targets!$M$2:$M$101,Targets!$K$2:$K$101),"Not a building"))</f>
        <v>23</v>
      </c>
      <c r="K21" s="90">
        <f t="shared" si="0"/>
        <v>20</v>
      </c>
      <c r="L21" s="91" t="s">
        <v>6292</v>
      </c>
      <c r="M21" s="115" t="str" cm="1">
        <f t="array" ref="M21">_xlfn.LET(
    _xlpm.txt,TRIM(SUBSTITUTE(L21,CHAR(160),"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building.furnace@2</v>
      </c>
      <c r="O21" s="90">
        <f t="shared" si="1"/>
        <v>20</v>
      </c>
      <c r="P21" s="114" t="s">
        <v>6299</v>
      </c>
      <c r="Q21" s="115" t="str" cm="1">
        <f t="array" ref="Q21">_xlfn.LET(
    _xlpm.txt,TRIM(SUBSTITUTE(P21,CHAR(160),"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building.ship@1</v>
      </c>
      <c r="S21" s="88"/>
      <c r="T21" s="115" t="s">
        <v>6299</v>
      </c>
      <c r="U21" s="116" t="s">
        <v>6415</v>
      </c>
    </row>
    <row r="22" spans="1:21" ht="29.5" thickBot="1">
      <c r="A22" t="s">
        <v>2674</v>
      </c>
      <c r="B22" t="s">
        <v>2691</v>
      </c>
      <c r="C22" t="s">
        <v>2092</v>
      </c>
      <c r="D22" t="str">
        <f>IF(tblTargets[[#This Row],[TargetType]]="state",UPPER(_xlfn.TEXTBEFORE(_xlfn.TEXTAFTER(tblTargets[[#This Row],[TargetID]],"state."),"_")),"")</f>
        <v/>
      </c>
      <c r="E22" t="b">
        <v>1</v>
      </c>
      <c r="F22" t="s">
        <v>3600</v>
      </c>
      <c r="G22" t="str">
        <f>IF(RIGHT(tblTargets[[#This Row],[TargetID]],5)="maxed","",IF(tblTargets[[#This Row],[TargetType]]="BUILDING",_xlfn.XLOOKUP(tblTargets[[#This Row],[TargetID]],Targets!$Q$2:$Q$101,Targets!$O$2:$O$101),"Not a building"))</f>
        <v/>
      </c>
      <c r="H22" t="str">
        <f>IF(RIGHT(tblTargets[[#This Row],[TargetID]],5)="maxed","",IF(tblTargets[[#This Row],[TargetType]]="BUILDING",_xlfn.XLOOKUP(tblTargets[[#This Row],[TargetID]],Targets!$M$2:$M$101,Targets!$K$2:$K$101),"Not a building"))</f>
        <v/>
      </c>
      <c r="K22" s="90">
        <f t="shared" si="0"/>
        <v>21</v>
      </c>
      <c r="L22" s="114" t="s">
        <v>6293</v>
      </c>
      <c r="M22" s="115" t="str" cm="1">
        <f t="array" ref="M22">_xlfn.LET(
    _xlpm.txt,TRIM(SUBSTITUTE(L22,CHAR(160),"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building.dungeon@1</v>
      </c>
      <c r="O22" s="90">
        <f t="shared" si="1"/>
        <v>21</v>
      </c>
      <c r="P22" s="91" t="s">
        <v>6300</v>
      </c>
      <c r="Q22" s="115" t="str" cm="1">
        <f t="array" ref="Q22">_xlfn.LET(
    _xlpm.txt,TRIM(SUBSTITUTE(P22,CHAR(160),"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building.ship@2</v>
      </c>
      <c r="S22" s="88"/>
      <c r="T22" s="89" t="s">
        <v>6300</v>
      </c>
      <c r="U22" s="107" t="s">
        <v>6416</v>
      </c>
    </row>
    <row r="23" spans="1:21" ht="16.5" thickBot="1">
      <c r="A23" t="s">
        <v>37</v>
      </c>
      <c r="B23" t="s">
        <v>465</v>
      </c>
      <c r="C23" t="s">
        <v>2092</v>
      </c>
      <c r="D23" t="str">
        <f>IF(tblTargets[[#This Row],[TargetType]]="state",UPPER(_xlfn.TEXTBEFORE(_xlfn.TEXTAFTER(tblTargets[[#This Row],[TargetID]],"state."),"_")),"")</f>
        <v/>
      </c>
      <c r="E23" t="b">
        <v>1</v>
      </c>
      <c r="F23" t="s">
        <v>3599</v>
      </c>
      <c r="G23">
        <f>IF(RIGHT(tblTargets[[#This Row],[TargetID]],5)="maxed","",IF(tblTargets[[#This Row],[TargetType]]="BUILDING",_xlfn.XLOOKUP(tblTargets[[#This Row],[TargetID]],Targets!$Q$2:$Q$101,Targets!$O$2:$O$101),"Not a building"))</f>
        <v>77</v>
      </c>
      <c r="H23">
        <f>IF(RIGHT(tblTargets[[#This Row],[TargetID]],5)="maxed","",IF(tblTargets[[#This Row],[TargetType]]="BUILDING",_xlfn.XLOOKUP(tblTargets[[#This Row],[TargetID]],Targets!$M$2:$M$101,Targets!$K$2:$K$101),"Not a building"))</f>
        <v>87</v>
      </c>
      <c r="K23" s="90">
        <f t="shared" si="0"/>
        <v>22</v>
      </c>
      <c r="L23" s="114" t="s">
        <v>6294</v>
      </c>
      <c r="M23" s="115" t="str" cm="1">
        <f t="array" ref="M23">_xlfn.LET(
    _xlpm.txt,TRIM(SUBSTITUTE(L23,CHAR(160),"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building.chicken@1</v>
      </c>
      <c r="O23" s="90">
        <f t="shared" si="1"/>
        <v>22</v>
      </c>
      <c r="P23" s="91" t="s">
        <v>6301</v>
      </c>
      <c r="Q23" s="115" t="str" cm="1">
        <f t="array" ref="Q23">_xlfn.LET(
    _xlpm.txt,TRIM(SUBSTITUTE(P23,CHAR(160),"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building.ship@3</v>
      </c>
      <c r="S23" s="88"/>
      <c r="T23" s="89" t="s">
        <v>6301</v>
      </c>
      <c r="U23" s="107" t="s">
        <v>6417</v>
      </c>
    </row>
    <row r="24" spans="1:21" ht="16.5" thickBot="1">
      <c r="A24" t="s">
        <v>39</v>
      </c>
      <c r="B24" t="s">
        <v>466</v>
      </c>
      <c r="C24" t="s">
        <v>2092</v>
      </c>
      <c r="D24" t="str">
        <f>IF(tblTargets[[#This Row],[TargetType]]="state",UPPER(_xlfn.TEXTBEFORE(_xlfn.TEXTAFTER(tblTargets[[#This Row],[TargetID]],"state."),"_")),"")</f>
        <v/>
      </c>
      <c r="E24" t="b">
        <v>1</v>
      </c>
      <c r="F24" t="s">
        <v>3599</v>
      </c>
      <c r="G24">
        <f>IF(RIGHT(tblTargets[[#This Row],[TargetID]],5)="maxed","",IF(tblTargets[[#This Row],[TargetType]]="BUILDING",_xlfn.XLOOKUP(tblTargets[[#This Row],[TargetID]],Targets!$Q$2:$Q$101,Targets!$O$2:$O$101),"Not a building"))</f>
        <v>78</v>
      </c>
      <c r="H24">
        <f>IF(RIGHT(tblTargets[[#This Row],[TargetID]],5)="maxed","",IF(tblTargets[[#This Row],[TargetType]]="BUILDING",_xlfn.XLOOKUP(tblTargets[[#This Row],[TargetID]],Targets!$M$2:$M$101,Targets!$K$2:$K$101),"Not a building"))</f>
        <v>88</v>
      </c>
      <c r="K24" s="90">
        <f t="shared" si="0"/>
        <v>23</v>
      </c>
      <c r="L24" s="91" t="s">
        <v>6295</v>
      </c>
      <c r="M24" s="115" t="str" cm="1">
        <f t="array" ref="M24">_xlfn.LET(
    _xlpm.txt,TRIM(SUBSTITUTE(L24,CHAR(160),"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building.chicken@2</v>
      </c>
      <c r="O24" s="90">
        <f t="shared" si="1"/>
        <v>23</v>
      </c>
      <c r="P24" s="91" t="s">
        <v>566</v>
      </c>
      <c r="Q24" s="115" t="str" cm="1">
        <f t="array" ref="Q24">_xlfn.LET(
    _xlpm.txt,TRIM(SUBSTITUTE(P24,CHAR(160),"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building.guild@4</v>
      </c>
      <c r="S24" s="88"/>
      <c r="T24" s="89" t="s">
        <v>566</v>
      </c>
      <c r="U24" s="107" t="s">
        <v>6408</v>
      </c>
    </row>
    <row r="25" spans="1:21" ht="42.5" thickBot="1">
      <c r="A25" t="s">
        <v>2675</v>
      </c>
      <c r="B25" t="s">
        <v>2692</v>
      </c>
      <c r="C25" t="s">
        <v>2092</v>
      </c>
      <c r="D25" t="str">
        <f>IF(tblTargets[[#This Row],[TargetType]]="state",UPPER(_xlfn.TEXTBEFORE(_xlfn.TEXTAFTER(tblTargets[[#This Row],[TargetID]],"state."),"_")),"")</f>
        <v/>
      </c>
      <c r="E25" t="b">
        <v>1</v>
      </c>
      <c r="F25" t="s">
        <v>3600</v>
      </c>
      <c r="G25" t="str">
        <f>IF(RIGHT(tblTargets[[#This Row],[TargetID]],5)="maxed","",IF(tblTargets[[#This Row],[TargetType]]="BUILDING",_xlfn.XLOOKUP(tblTargets[[#This Row],[TargetID]],Targets!$Q$2:$Q$101,Targets!$O$2:$O$101),"Not a building"))</f>
        <v/>
      </c>
      <c r="H25" t="str">
        <f>IF(RIGHT(tblTargets[[#This Row],[TargetID]],5)="maxed","",IF(tblTargets[[#This Row],[TargetType]]="BUILDING",_xlfn.XLOOKUP(tblTargets[[#This Row],[TargetID]],Targets!$M$2:$M$101,Targets!$K$2:$K$101),"Not a building"))</f>
        <v/>
      </c>
      <c r="K25" s="90">
        <f t="shared" si="0"/>
        <v>24</v>
      </c>
      <c r="L25" s="91" t="s">
        <v>6297</v>
      </c>
      <c r="M25" s="115" t="str" cm="1">
        <f t="array" ref="M25">_xlfn.LET(
    _xlpm.txt,TRIM(SUBSTITUTE(L25,CHAR(160),"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building.lumber@3</v>
      </c>
      <c r="O25" s="90">
        <f t="shared" si="1"/>
        <v>24</v>
      </c>
      <c r="P25" s="91" t="s">
        <v>6331</v>
      </c>
      <c r="Q25" s="115" t="str" cm="1">
        <f t="array" ref="Q25">_xlfn.LET(
    _xlpm.txt,TRIM(SUBSTITUTE(P25,CHAR(160),"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building.ship@4</v>
      </c>
      <c r="S25" s="88"/>
      <c r="T25" s="89" t="s">
        <v>6331</v>
      </c>
      <c r="U25" s="110" t="s">
        <v>6453</v>
      </c>
    </row>
    <row r="26" spans="1:21" ht="28.5" thickBot="1">
      <c r="A26" t="s">
        <v>40</v>
      </c>
      <c r="B26" t="s">
        <v>467</v>
      </c>
      <c r="C26" t="s">
        <v>2092</v>
      </c>
      <c r="D26" t="str">
        <f>IF(tblTargets[[#This Row],[TargetType]]="state",UPPER(_xlfn.TEXTBEFORE(_xlfn.TEXTAFTER(tblTargets[[#This Row],[TargetID]],"state."),"_")),"")</f>
        <v/>
      </c>
      <c r="E26" t="b">
        <v>1</v>
      </c>
      <c r="F26" t="s">
        <v>3599</v>
      </c>
      <c r="G26">
        <f>IF(RIGHT(tblTargets[[#This Row],[TargetID]],5)="maxed","",IF(tblTargets[[#This Row],[TargetType]]="BUILDING",_xlfn.XLOOKUP(tblTargets[[#This Row],[TargetID]],Targets!$Q$2:$Q$101,Targets!$O$2:$O$101),"Not a building"))</f>
        <v>12</v>
      </c>
      <c r="H26">
        <f>IF(RIGHT(tblTargets[[#This Row],[TargetID]],5)="maxed","",IF(tblTargets[[#This Row],[TargetType]]="BUILDING",_xlfn.XLOOKUP(tblTargets[[#This Row],[TargetID]],Targets!$M$2:$M$101,Targets!$K$2:$K$101),"Not a building"))</f>
        <v>21</v>
      </c>
      <c r="K26" s="90">
        <f t="shared" si="0"/>
        <v>25</v>
      </c>
      <c r="L26" s="114" t="s">
        <v>6298</v>
      </c>
      <c r="M26" s="115" t="str" cm="1">
        <f t="array" ref="M26">_xlfn.LET(
    _xlpm.txt,TRIM(SUBSTITUTE(L26,CHAR(160),"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building.pier@1</v>
      </c>
      <c r="O26" s="90">
        <f t="shared" si="1"/>
        <v>25</v>
      </c>
      <c r="P26" s="114" t="s">
        <v>6305</v>
      </c>
      <c r="Q26" s="115" t="str" cm="1">
        <f t="array" ref="Q26">_xlfn.LET(
    _xlpm.txt,TRIM(SUBSTITUTE(P26,CHAR(160),"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building.food_stall@2</v>
      </c>
      <c r="S26" s="88"/>
      <c r="T26" s="89" t="s">
        <v>6305</v>
      </c>
      <c r="U26" s="110" t="s">
        <v>6439</v>
      </c>
    </row>
    <row r="27" spans="1:21" ht="28.5" thickBot="1">
      <c r="A27" t="s">
        <v>42</v>
      </c>
      <c r="B27" t="s">
        <v>468</v>
      </c>
      <c r="C27" t="s">
        <v>2092</v>
      </c>
      <c r="D27" t="str">
        <f>IF(tblTargets[[#This Row],[TargetType]]="state",UPPER(_xlfn.TEXTBEFORE(_xlfn.TEXTAFTER(tblTargets[[#This Row],[TargetID]],"state."),"_")),"")</f>
        <v/>
      </c>
      <c r="E27" t="b">
        <v>1</v>
      </c>
      <c r="F27" t="s">
        <v>3599</v>
      </c>
      <c r="G27">
        <f>IF(RIGHT(tblTargets[[#This Row],[TargetID]],5)="maxed","",IF(tblTargets[[#This Row],[TargetType]]="BUILDING",_xlfn.XLOOKUP(tblTargets[[#This Row],[TargetID]],Targets!$Q$2:$Q$101,Targets!$O$2:$O$101),"Not a building"))</f>
        <v>16</v>
      </c>
      <c r="H27">
        <f>IF(RIGHT(tblTargets[[#This Row],[TargetID]],5)="maxed","",IF(tblTargets[[#This Row],[TargetType]]="BUILDING",_xlfn.XLOOKUP(tblTargets[[#This Row],[TargetID]],Targets!$M$2:$M$101,Targets!$K$2:$K$101),"Not a building"))</f>
        <v>31</v>
      </c>
      <c r="K27" s="90">
        <f t="shared" si="0"/>
        <v>26</v>
      </c>
      <c r="L27" s="114" t="s">
        <v>6299</v>
      </c>
      <c r="M27" s="115" t="str" cm="1">
        <f t="array" ref="M27">_xlfn.LET(
    _xlpm.txt,TRIM(SUBSTITUTE(L27,CHAR(160),"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building.ship@1</v>
      </c>
      <c r="O27" s="90">
        <f t="shared" si="1"/>
        <v>26</v>
      </c>
      <c r="P27" s="91" t="s">
        <v>6306</v>
      </c>
      <c r="Q27" s="115" t="str" cm="1">
        <f t="array" ref="Q27">_xlfn.LET(
    _xlpm.txt,TRIM(SUBSTITUTE(P27,CHAR(160),"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building.food_stall@3</v>
      </c>
      <c r="S27" s="88"/>
      <c r="T27" s="89" t="s">
        <v>6306</v>
      </c>
      <c r="U27" s="110" t="s">
        <v>6440</v>
      </c>
    </row>
    <row r="28" spans="1:21" ht="70.5" thickBot="1">
      <c r="A28" t="s">
        <v>43</v>
      </c>
      <c r="B28" t="s">
        <v>469</v>
      </c>
      <c r="C28" t="s">
        <v>2092</v>
      </c>
      <c r="D28" t="str">
        <f>IF(tblTargets[[#This Row],[TargetType]]="state",UPPER(_xlfn.TEXTBEFORE(_xlfn.TEXTAFTER(tblTargets[[#This Row],[TargetID]],"state."),"_")),"")</f>
        <v/>
      </c>
      <c r="E28" t="b">
        <v>1</v>
      </c>
      <c r="F28" t="s">
        <v>3599</v>
      </c>
      <c r="G28">
        <f>IF(RIGHT(tblTargets[[#This Row],[TargetID]],5)="maxed","",IF(tblTargets[[#This Row],[TargetType]]="BUILDING",_xlfn.XLOOKUP(tblTargets[[#This Row],[TargetID]],Targets!$Q$2:$Q$101,Targets!$O$2:$O$101),"Not a building"))</f>
        <v>43</v>
      </c>
      <c r="H28">
        <f>IF(RIGHT(tblTargets[[#This Row],[TargetID]],5)="maxed","",IF(tblTargets[[#This Row],[TargetType]]="BUILDING",_xlfn.XLOOKUP(tblTargets[[#This Row],[TargetID]],Targets!$M$2:$M$101,Targets!$K$2:$K$101),"Not a building"))</f>
        <v>53</v>
      </c>
      <c r="K28" s="90">
        <f t="shared" si="0"/>
        <v>27</v>
      </c>
      <c r="L28" s="91" t="s">
        <v>6300</v>
      </c>
      <c r="M28" s="115" t="str" cm="1">
        <f t="array" ref="M28">_xlfn.LET(
    _xlpm.txt,TRIM(SUBSTITUTE(L28,CHAR(160),"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building.ship@2</v>
      </c>
      <c r="O28" s="90">
        <f t="shared" si="1"/>
        <v>27</v>
      </c>
      <c r="P28" s="91" t="s">
        <v>6307</v>
      </c>
      <c r="Q28" s="115" t="str" cm="1">
        <f t="array" ref="Q28">_xlfn.LET(
    _xlpm.txt,TRIM(SUBSTITUTE(P28,CHAR(160),"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building.bridge@1</v>
      </c>
      <c r="S28" s="88"/>
      <c r="T28" s="115" t="s">
        <v>6307</v>
      </c>
      <c r="U28" s="110" t="s">
        <v>6441</v>
      </c>
    </row>
    <row r="29" spans="1:21" ht="16.5" thickBot="1">
      <c r="A29" t="s">
        <v>44</v>
      </c>
      <c r="B29" t="s">
        <v>470</v>
      </c>
      <c r="C29" t="s">
        <v>2092</v>
      </c>
      <c r="D29" t="str">
        <f>IF(tblTargets[[#This Row],[TargetType]]="state",UPPER(_xlfn.TEXTBEFORE(_xlfn.TEXTAFTER(tblTargets[[#This Row],[TargetID]],"state."),"_")),"")</f>
        <v/>
      </c>
      <c r="E29" t="b">
        <v>1</v>
      </c>
      <c r="F29" t="s">
        <v>3599</v>
      </c>
      <c r="G29">
        <f>IF(RIGHT(tblTargets[[#This Row],[TargetID]],5)="maxed","",IF(tblTargets[[#This Row],[TargetType]]="BUILDING",_xlfn.XLOOKUP(tblTargets[[#This Row],[TargetID]],Targets!$Q$2:$Q$101,Targets!$O$2:$O$101),"Not a building"))</f>
        <v>64</v>
      </c>
      <c r="H29">
        <f>IF(RIGHT(tblTargets[[#This Row],[TargetID]],5)="maxed","",IF(tblTargets[[#This Row],[TargetType]]="BUILDING",_xlfn.XLOOKUP(tblTargets[[#This Row],[TargetID]],Targets!$M$2:$M$101,Targets!$K$2:$K$101),"Not a building"))</f>
        <v>67</v>
      </c>
      <c r="K29" s="90">
        <f t="shared" si="0"/>
        <v>28</v>
      </c>
      <c r="L29" s="91" t="s">
        <v>6301</v>
      </c>
      <c r="M29" s="115" t="str" cm="1">
        <f t="array" ref="M29">_xlfn.LET(
    _xlpm.txt,TRIM(SUBSTITUTE(L29,CHAR(160),"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building.ship@3</v>
      </c>
      <c r="O29" s="90">
        <f t="shared" si="1"/>
        <v>28</v>
      </c>
      <c r="P29" s="91" t="s">
        <v>6308</v>
      </c>
      <c r="Q29" s="115" t="str" cm="1">
        <f t="array" ref="Q29">_xlfn.LET(
    _xlpm.txt,TRIM(SUBSTITUTE(P29,CHAR(160),"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building.outpost@1</v>
      </c>
      <c r="S29" s="88"/>
      <c r="T29" s="115" t="s">
        <v>6308</v>
      </c>
      <c r="U29" s="116" t="s">
        <v>6309</v>
      </c>
    </row>
    <row r="30" spans="1:21" ht="16.5" thickBot="1">
      <c r="A30" t="s">
        <v>45</v>
      </c>
      <c r="B30" t="s">
        <v>471</v>
      </c>
      <c r="C30" t="s">
        <v>2092</v>
      </c>
      <c r="D30" t="str">
        <f>IF(tblTargets[[#This Row],[TargetType]]="state",UPPER(_xlfn.TEXTBEFORE(_xlfn.TEXTAFTER(tblTargets[[#This Row],[TargetID]],"state."),"_")),"")</f>
        <v/>
      </c>
      <c r="E30" t="b">
        <v>1</v>
      </c>
      <c r="F30" t="s">
        <v>3599</v>
      </c>
      <c r="G30">
        <f>IF(RIGHT(tblTargets[[#This Row],[TargetID]],5)="maxed","",IF(tblTargets[[#This Row],[TargetType]]="BUILDING",_xlfn.XLOOKUP(tblTargets[[#This Row],[TargetID]],Targets!$Q$2:$Q$101,Targets!$O$2:$O$101),"Not a building"))</f>
        <v>65</v>
      </c>
      <c r="H30">
        <f>IF(RIGHT(tblTargets[[#This Row],[TargetID]],5)="maxed","",IF(tblTargets[[#This Row],[TargetType]]="BUILDING",_xlfn.XLOOKUP(tblTargets[[#This Row],[TargetID]],Targets!$M$2:$M$101,Targets!$K$2:$K$101),"Not a building"))</f>
        <v>68</v>
      </c>
      <c r="K30" s="90">
        <f t="shared" si="0"/>
        <v>29</v>
      </c>
      <c r="L30" s="91" t="s">
        <v>566</v>
      </c>
      <c r="M30" s="115" t="str" cm="1">
        <f t="array" ref="M30">_xlfn.LET(
    _xlpm.txt,TRIM(SUBSTITUTE(L30,CHAR(160),"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building.guild@4</v>
      </c>
      <c r="O30" s="90">
        <f t="shared" si="1"/>
        <v>29</v>
      </c>
      <c r="P30" s="91" t="s">
        <v>567</v>
      </c>
      <c r="Q30" s="115" t="str" cm="1">
        <f t="array" ref="Q30">_xlfn.LET(
    _xlpm.txt,TRIM(SUBSTITUTE(P30,CHAR(160),"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building.guild@5</v>
      </c>
      <c r="S30" s="88"/>
      <c r="T30" s="89" t="s">
        <v>567</v>
      </c>
      <c r="U30" s="116" t="s">
        <v>6302</v>
      </c>
    </row>
    <row r="31" spans="1:21" ht="16.5" thickBot="1">
      <c r="A31" t="s">
        <v>6037</v>
      </c>
      <c r="B31" t="s">
        <v>6045</v>
      </c>
      <c r="C31" t="s">
        <v>2092</v>
      </c>
      <c r="D31" t="str">
        <f>IF(tblTargets[[#This Row],[TargetType]]="state",UPPER(_xlfn.TEXTBEFORE(_xlfn.TEXTAFTER(tblTargets[[#This Row],[TargetID]],"state."),"_")),"")</f>
        <v/>
      </c>
      <c r="E31" t="b">
        <v>1</v>
      </c>
      <c r="F31" t="s">
        <v>3599</v>
      </c>
      <c r="G31" t="e">
        <f>IF(RIGHT(tblTargets[[#This Row],[TargetID]],5)="maxed","",IF(tblTargets[[#This Row],[TargetType]]="BUILDING",_xlfn.XLOOKUP(tblTargets[[#This Row],[TargetID]],Targets!$Q$2:$Q$101,Targets!$O$2:$O$101),"Not a building"))</f>
        <v>#N/A</v>
      </c>
      <c r="H31" t="e">
        <f>IF(RIGHT(tblTargets[[#This Row],[TargetID]],5)="maxed","",IF(tblTargets[[#This Row],[TargetType]]="BUILDING",_xlfn.XLOOKUP(tblTargets[[#This Row],[TargetID]],Targets!$M$2:$M$101,Targets!$K$2:$K$101),"Not a building"))</f>
        <v>#N/A</v>
      </c>
      <c r="K31" s="90">
        <f t="shared" si="0"/>
        <v>30</v>
      </c>
      <c r="L31" s="91" t="s">
        <v>567</v>
      </c>
      <c r="M31" s="115" t="str" cm="1">
        <f t="array" ref="M31">_xlfn.LET(
    _xlpm.txt,TRIM(SUBSTITUTE(L31,CHAR(160),"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building.guild@5</v>
      </c>
      <c r="O31" s="90">
        <f t="shared" si="1"/>
        <v>30</v>
      </c>
      <c r="P31" s="91" t="s">
        <v>6315</v>
      </c>
      <c r="Q31" s="115" t="str" cm="1">
        <f t="array" ref="Q31">_xlfn.LET(
    _xlpm.txt,TRIM(SUBSTITUTE(P31,CHAR(160),"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building.workshop@1</v>
      </c>
      <c r="S31" s="88"/>
      <c r="T31" s="115" t="s">
        <v>6315</v>
      </c>
      <c r="U31" s="107" t="s">
        <v>6423</v>
      </c>
    </row>
    <row r="32" spans="1:21" ht="16.5" thickBot="1">
      <c r="A32" t="s">
        <v>2676</v>
      </c>
      <c r="B32" t="s">
        <v>6071</v>
      </c>
      <c r="C32" t="s">
        <v>2092</v>
      </c>
      <c r="D32" t="str">
        <f>IF(tblTargets[[#This Row],[TargetType]]="state",UPPER(_xlfn.TEXTBEFORE(_xlfn.TEXTAFTER(tblTargets[[#This Row],[TargetID]],"state."),"_")),"")</f>
        <v/>
      </c>
      <c r="E32" t="b">
        <v>1</v>
      </c>
      <c r="F32" t="s">
        <v>3600</v>
      </c>
      <c r="G32" t="str">
        <f>IF(RIGHT(tblTargets[[#This Row],[TargetID]],5)="maxed","",IF(tblTargets[[#This Row],[TargetType]]="BUILDING",_xlfn.XLOOKUP(tblTargets[[#This Row],[TargetID]],Targets!$Q$2:$Q$101,Targets!$O$2:$O$101),"Not a building"))</f>
        <v/>
      </c>
      <c r="H32" t="str">
        <f>IF(RIGHT(tblTargets[[#This Row],[TargetID]],5)="maxed","",IF(tblTargets[[#This Row],[TargetType]]="BUILDING",_xlfn.XLOOKUP(tblTargets[[#This Row],[TargetID]],Targets!$M$2:$M$101,Targets!$K$2:$K$101),"Not a building"))</f>
        <v/>
      </c>
      <c r="K32" s="90">
        <f t="shared" si="0"/>
        <v>31</v>
      </c>
      <c r="L32" s="91" t="s">
        <v>6303</v>
      </c>
      <c r="M32" s="115" t="str" cm="1">
        <f t="array" ref="M32">_xlfn.LET(
    _xlpm.txt,TRIM(SUBSTITUTE(L32,CHAR(160),"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building.dungeon@2</v>
      </c>
      <c r="O32" s="90">
        <f t="shared" si="1"/>
        <v>31</v>
      </c>
      <c r="P32" s="114" t="s">
        <v>6316</v>
      </c>
      <c r="Q32" s="115" t="str" cm="1">
        <f t="array" ref="Q32">_xlfn.LET(
    _xlpm.txt,TRIM(SUBSTITUTE(P32,CHAR(160),"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building.workshop@2</v>
      </c>
      <c r="S32" s="88"/>
      <c r="T32" s="89" t="s">
        <v>6316</v>
      </c>
      <c r="U32" s="107" t="s">
        <v>6424</v>
      </c>
    </row>
    <row r="33" spans="1:21" ht="16.5" thickBot="1">
      <c r="A33" t="s">
        <v>46</v>
      </c>
      <c r="B33" t="s">
        <v>472</v>
      </c>
      <c r="C33" t="s">
        <v>2092</v>
      </c>
      <c r="D33" t="str">
        <f>IF(tblTargets[[#This Row],[TargetType]]="state",UPPER(_xlfn.TEXTBEFORE(_xlfn.TEXTAFTER(tblTargets[[#This Row],[TargetID]],"state."),"_")),"")</f>
        <v/>
      </c>
      <c r="E33" t="b">
        <v>1</v>
      </c>
      <c r="F33" t="s">
        <v>3599</v>
      </c>
      <c r="G33">
        <f>IF(RIGHT(tblTargets[[#This Row],[TargetID]],5)="maxed","",IF(tblTargets[[#This Row],[TargetType]]="BUILDING",_xlfn.XLOOKUP(tblTargets[[#This Row],[TargetID]],Targets!$Q$2:$Q$101,Targets!$O$2:$O$101),"Not a building"))</f>
        <v>72</v>
      </c>
      <c r="H33">
        <f>IF(RIGHT(tblTargets[[#This Row],[TargetID]],5)="maxed","",IF(tblTargets[[#This Row],[TargetType]]="BUILDING",_xlfn.XLOOKUP(tblTargets[[#This Row],[TargetID]],Targets!$M$2:$M$101,Targets!$K$2:$K$101),"Not a building"))</f>
        <v>82</v>
      </c>
      <c r="K33" s="90">
        <f t="shared" si="0"/>
        <v>32</v>
      </c>
      <c r="L33" s="91" t="s">
        <v>6304</v>
      </c>
      <c r="M33" s="115" t="str" cm="1">
        <f t="array" ref="M33">_xlfn.LET(
    _xlpm.txt,TRIM(SUBSTITUTE(L33,CHAR(160),"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building.windmill@2</v>
      </c>
      <c r="O33" s="90">
        <f t="shared" si="1"/>
        <v>32</v>
      </c>
      <c r="P33" s="91" t="s">
        <v>6317</v>
      </c>
      <c r="Q33" s="115" t="str" cm="1">
        <f t="array" ref="Q33">_xlfn.LET(
    _xlpm.txt,TRIM(SUBSTITUTE(P33,CHAR(160),"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building.workshop@3</v>
      </c>
      <c r="S33" s="88"/>
      <c r="T33" s="89" t="s">
        <v>6317</v>
      </c>
      <c r="U33" s="107" t="s">
        <v>6425</v>
      </c>
    </row>
    <row r="34" spans="1:21" ht="56.5" thickBot="1">
      <c r="A34" t="s">
        <v>48</v>
      </c>
      <c r="B34" t="s">
        <v>473</v>
      </c>
      <c r="C34" t="s">
        <v>2092</v>
      </c>
      <c r="D34" t="str">
        <f>IF(tblTargets[[#This Row],[TargetType]]="state",UPPER(_xlfn.TEXTBEFORE(_xlfn.TEXTAFTER(tblTargets[[#This Row],[TargetID]],"state."),"_")),"")</f>
        <v/>
      </c>
      <c r="E34" t="b">
        <v>1</v>
      </c>
      <c r="F34" t="s">
        <v>3599</v>
      </c>
      <c r="G34">
        <f>IF(RIGHT(tblTargets[[#This Row],[TargetID]],5)="maxed","",IF(tblTargets[[#This Row],[TargetType]]="BUILDING",_xlfn.XLOOKUP(tblTargets[[#This Row],[TargetID]],Targets!$Q$2:$Q$101,Targets!$O$2:$O$101),"Not a building"))</f>
        <v>73</v>
      </c>
      <c r="H34">
        <f>IF(RIGHT(tblTargets[[#This Row],[TargetID]],5)="maxed","",IF(tblTargets[[#This Row],[TargetType]]="BUILDING",_xlfn.XLOOKUP(tblTargets[[#This Row],[TargetID]],Targets!$M$2:$M$101,Targets!$K$2:$K$101),"Not a building"))</f>
        <v>83</v>
      </c>
      <c r="K34" s="90">
        <f t="shared" si="0"/>
        <v>33</v>
      </c>
      <c r="L34" s="91" t="s">
        <v>6305</v>
      </c>
      <c r="M34" s="115" t="str" cm="1">
        <f t="array" ref="M34">_xlfn.LET(
    _xlpm.txt,TRIM(SUBSTITUTE(L34,CHAR(160),"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building.food_stall@2</v>
      </c>
      <c r="O34" s="90">
        <f t="shared" si="1"/>
        <v>33</v>
      </c>
      <c r="P34" s="114" t="s">
        <v>6318</v>
      </c>
      <c r="Q34" s="115" t="str" cm="1">
        <f t="array" ref="Q34">_xlfn.LET(
    _xlpm.txt,TRIM(SUBSTITUTE(P34,CHAR(160),"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building.workshop@4</v>
      </c>
      <c r="S34" s="88"/>
      <c r="T34" s="89" t="s">
        <v>6318</v>
      </c>
      <c r="U34" s="110" t="s">
        <v>6454</v>
      </c>
    </row>
    <row r="35" spans="1:21" ht="28.5" thickBot="1">
      <c r="A35" t="s">
        <v>49</v>
      </c>
      <c r="B35" t="s">
        <v>474</v>
      </c>
      <c r="C35" t="s">
        <v>2092</v>
      </c>
      <c r="D35" t="str">
        <f>IF(tblTargets[[#This Row],[TargetType]]="state",UPPER(_xlfn.TEXTBEFORE(_xlfn.TEXTAFTER(tblTargets[[#This Row],[TargetID]],"state."),"_")),"")</f>
        <v/>
      </c>
      <c r="E35" t="b">
        <v>1</v>
      </c>
      <c r="F35" t="s">
        <v>3599</v>
      </c>
      <c r="G35">
        <f>IF(RIGHT(tblTargets[[#This Row],[TargetID]],5)="maxed","",IF(tblTargets[[#This Row],[TargetType]]="BUILDING",_xlfn.XLOOKUP(tblTargets[[#This Row],[TargetID]],Targets!$Q$2:$Q$101,Targets!$O$2:$O$101),"Not a building"))</f>
        <v>74</v>
      </c>
      <c r="H35">
        <f>IF(RIGHT(tblTargets[[#This Row],[TargetID]],5)="maxed","",IF(tblTargets[[#This Row],[TargetType]]="BUILDING",_xlfn.XLOOKUP(tblTargets[[#This Row],[TargetID]],Targets!$M$2:$M$101,Targets!$K$2:$K$101),"Not a building"))</f>
        <v>84</v>
      </c>
      <c r="K35" s="90">
        <f t="shared" ref="K35:K66" si="2">K34+1</f>
        <v>34</v>
      </c>
      <c r="L35" s="91" t="s">
        <v>6306</v>
      </c>
      <c r="M35" s="115" t="str" cm="1">
        <f t="array" ref="M35">_xlfn.LET(
    _xlpm.txt,TRIM(SUBSTITUTE(L35,CHAR(160),"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building.food_stall@3</v>
      </c>
      <c r="O35" s="90">
        <f t="shared" ref="O35:O66" si="3">1+O34</f>
        <v>34</v>
      </c>
      <c r="P35" s="91" t="s">
        <v>6319</v>
      </c>
      <c r="Q35" s="115" t="str" cm="1">
        <f t="array" ref="Q35">_xlfn.LET(
    _xlpm.txt,TRIM(SUBSTITUTE(P35,CHAR(160),"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building.workshop@5</v>
      </c>
      <c r="S35" s="88"/>
      <c r="T35" s="89" t="s">
        <v>6319</v>
      </c>
      <c r="U35" s="110" t="s">
        <v>6442</v>
      </c>
    </row>
    <row r="36" spans="1:21" ht="29.5" thickBot="1">
      <c r="A36" t="s">
        <v>50</v>
      </c>
      <c r="B36" t="s">
        <v>475</v>
      </c>
      <c r="C36" t="s">
        <v>2092</v>
      </c>
      <c r="D36" t="str">
        <f>IF(tblTargets[[#This Row],[TargetType]]="state",UPPER(_xlfn.TEXTBEFORE(_xlfn.TEXTAFTER(tblTargets[[#This Row],[TargetID]],"state."),"_")),"")</f>
        <v/>
      </c>
      <c r="E36" t="b">
        <v>1</v>
      </c>
      <c r="F36" t="s">
        <v>3599</v>
      </c>
      <c r="G36">
        <f>IF(RIGHT(tblTargets[[#This Row],[TargetID]],5)="maxed","",IF(tblTargets[[#This Row],[TargetType]]="BUILDING",_xlfn.XLOOKUP(tblTargets[[#This Row],[TargetID]],Targets!$Q$2:$Q$101,Targets!$O$2:$O$101),"Not a building"))</f>
        <v>79</v>
      </c>
      <c r="H36">
        <f>IF(RIGHT(tblTargets[[#This Row],[TargetID]],5)="maxed","",IF(tblTargets[[#This Row],[TargetType]]="BUILDING",_xlfn.XLOOKUP(tblTargets[[#This Row],[TargetID]],Targets!$M$2:$M$101,Targets!$K$2:$K$101),"Not a building"))</f>
        <v>89</v>
      </c>
      <c r="K36" s="90">
        <f t="shared" si="2"/>
        <v>35</v>
      </c>
      <c r="L36" s="114" t="s">
        <v>6307</v>
      </c>
      <c r="M36" s="115" t="str" cm="1">
        <f t="array" ref="M36">_xlfn.LET(
    _xlpm.txt,TRIM(SUBSTITUTE(L36,CHAR(160),"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building.bridge@1</v>
      </c>
      <c r="O36" s="90">
        <f t="shared" si="3"/>
        <v>35</v>
      </c>
      <c r="P36" s="91" t="s">
        <v>6320</v>
      </c>
      <c r="Q36" s="115" t="str" cm="1">
        <f t="array" ref="Q36">_xlfn.LET(
    _xlpm.txt,TRIM(SUBSTITUTE(P36,CHAR(160),"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building.outpost@2</v>
      </c>
      <c r="S36" s="88"/>
      <c r="T36" s="89" t="s">
        <v>6320</v>
      </c>
      <c r="U36" s="107" t="s">
        <v>6321</v>
      </c>
    </row>
    <row r="37" spans="1:21" ht="56.5" thickBot="1">
      <c r="A37" t="s">
        <v>51</v>
      </c>
      <c r="B37" t="s">
        <v>476</v>
      </c>
      <c r="C37" t="s">
        <v>2092</v>
      </c>
      <c r="D37" t="str">
        <f>IF(tblTargets[[#This Row],[TargetType]]="state",UPPER(_xlfn.TEXTBEFORE(_xlfn.TEXTAFTER(tblTargets[[#This Row],[TargetID]],"state."),"_")),"")</f>
        <v/>
      </c>
      <c r="E37" t="b">
        <v>1</v>
      </c>
      <c r="F37" t="s">
        <v>3599</v>
      </c>
      <c r="G37">
        <f>IF(RIGHT(tblTargets[[#This Row],[TargetID]],5)="maxed","",IF(tblTargets[[#This Row],[TargetType]]="BUILDING",_xlfn.XLOOKUP(tblTargets[[#This Row],[TargetID]],Targets!$Q$2:$Q$101,Targets!$O$2:$O$101),"Not a building"))</f>
        <v>80</v>
      </c>
      <c r="H37">
        <f>IF(RIGHT(tblTargets[[#This Row],[TargetID]],5)="maxed","",IF(tblTargets[[#This Row],[TargetType]]="BUILDING",_xlfn.XLOOKUP(tblTargets[[#This Row],[TargetID]],Targets!$M$2:$M$101,Targets!$K$2:$K$101),"Not a building"))</f>
        <v>90</v>
      </c>
      <c r="K37" s="90">
        <f t="shared" si="2"/>
        <v>36</v>
      </c>
      <c r="L37" s="114" t="s">
        <v>6308</v>
      </c>
      <c r="M37" s="115" t="str" cm="1">
        <f t="array" ref="M37">_xlfn.LET(
    _xlpm.txt,TRIM(SUBSTITUTE(L37,CHAR(160),"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building.outpost@1</v>
      </c>
      <c r="O37" s="90">
        <f t="shared" si="3"/>
        <v>36</v>
      </c>
      <c r="P37" s="114" t="s">
        <v>6322</v>
      </c>
      <c r="Q37" s="115" t="str" cm="1">
        <f t="array" ref="Q37">_xlfn.LET(
    _xlpm.txt,TRIM(SUBSTITUTE(P37,CHAR(160),"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building.caravan@1</v>
      </c>
      <c r="S37" s="88"/>
      <c r="T37" s="115" t="s">
        <v>6322</v>
      </c>
      <c r="U37" s="110" t="s">
        <v>6443</v>
      </c>
    </row>
    <row r="38" spans="1:21" ht="16.5" thickBot="1">
      <c r="A38" t="s">
        <v>52</v>
      </c>
      <c r="B38" t="s">
        <v>477</v>
      </c>
      <c r="C38" t="s">
        <v>2092</v>
      </c>
      <c r="D38" t="str">
        <f>IF(tblTargets[[#This Row],[TargetType]]="state",UPPER(_xlfn.TEXTBEFORE(_xlfn.TEXTAFTER(tblTargets[[#This Row],[TargetID]],"state."),"_")),"")</f>
        <v/>
      </c>
      <c r="E38" t="b">
        <v>1</v>
      </c>
      <c r="F38" t="s">
        <v>3599</v>
      </c>
      <c r="G38">
        <f>IF(RIGHT(tblTargets[[#This Row],[TargetID]],5)="maxed","",IF(tblTargets[[#This Row],[TargetType]]="BUILDING",_xlfn.XLOOKUP(tblTargets[[#This Row],[TargetID]],Targets!$Q$2:$Q$101,Targets!$O$2:$O$101),"Not a building"))</f>
        <v>81</v>
      </c>
      <c r="H38">
        <f>IF(RIGHT(tblTargets[[#This Row],[TargetID]],5)="maxed","",IF(tblTargets[[#This Row],[TargetType]]="BUILDING",_xlfn.XLOOKUP(tblTargets[[#This Row],[TargetID]],Targets!$M$2:$M$101,Targets!$K$2:$K$101),"Not a building"))</f>
        <v>91</v>
      </c>
      <c r="K38" s="90">
        <f t="shared" si="2"/>
        <v>37</v>
      </c>
      <c r="L38" s="114" t="s">
        <v>6427</v>
      </c>
      <c r="M38" s="115" t="str" cm="1">
        <f t="array" ref="M38">_xlfn.LET(
    _xlpm.txt,TRIM(SUBSTITUTE(L38,CHAR(160),"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building.bonsai@1</v>
      </c>
      <c r="O38" s="90">
        <f t="shared" si="3"/>
        <v>37</v>
      </c>
      <c r="P38" s="91" t="s">
        <v>6323</v>
      </c>
      <c r="Q38" s="115" t="str" cm="1">
        <f t="array" ref="Q38">_xlfn.LET(
    _xlpm.txt,TRIM(SUBSTITUTE(P38,CHAR(160),"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building.caravan@2</v>
      </c>
      <c r="S38" s="88"/>
      <c r="T38" s="89" t="s">
        <v>6323</v>
      </c>
      <c r="U38" s="107" t="s">
        <v>6324</v>
      </c>
    </row>
    <row r="39" spans="1:21" ht="16.5" thickBot="1">
      <c r="A39" t="s">
        <v>2677</v>
      </c>
      <c r="B39" t="s">
        <v>6072</v>
      </c>
      <c r="C39" t="s">
        <v>2092</v>
      </c>
      <c r="D39" t="str">
        <f>IF(tblTargets[[#This Row],[TargetType]]="state",UPPER(_xlfn.TEXTBEFORE(_xlfn.TEXTAFTER(tblTargets[[#This Row],[TargetID]],"state."),"_")),"")</f>
        <v/>
      </c>
      <c r="E39" t="b">
        <v>1</v>
      </c>
      <c r="F39" t="s">
        <v>3600</v>
      </c>
      <c r="G39" t="str">
        <f>IF(RIGHT(tblTargets[[#This Row],[TargetID]],5)="maxed","",IF(tblTargets[[#This Row],[TargetType]]="BUILDING",_xlfn.XLOOKUP(tblTargets[[#This Row],[TargetID]],Targets!$Q$2:$Q$101,Targets!$O$2:$O$101),"Not a building"))</f>
        <v/>
      </c>
      <c r="H39" t="str">
        <f>IF(RIGHT(tblTargets[[#This Row],[TargetID]],5)="maxed","",IF(tblTargets[[#This Row],[TargetType]]="BUILDING",_xlfn.XLOOKUP(tblTargets[[#This Row],[TargetID]],Targets!$M$2:$M$101,Targets!$K$2:$K$101),"Not a building"))</f>
        <v/>
      </c>
      <c r="K39" s="90">
        <f t="shared" si="2"/>
        <v>38</v>
      </c>
      <c r="L39" s="114" t="s">
        <v>6428</v>
      </c>
      <c r="M39" s="115" t="str" cm="1">
        <f t="array" ref="M39">_xlfn.LET(
    _xlpm.txt,TRIM(SUBSTITUTE(L39,CHAR(160),"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building.bonsai@2</v>
      </c>
      <c r="O39" s="90">
        <f t="shared" si="3"/>
        <v>38</v>
      </c>
      <c r="P39" s="91" t="s">
        <v>6325</v>
      </c>
      <c r="Q39" s="115" t="str" cm="1">
        <f t="array" ref="Q39">_xlfn.LET(
    _xlpm.txt,TRIM(SUBSTITUTE(P39,CHAR(160),"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building.caravan@3</v>
      </c>
      <c r="S39" s="88"/>
      <c r="T39" s="89" t="s">
        <v>6325</v>
      </c>
      <c r="U39" s="107" t="s">
        <v>6324</v>
      </c>
    </row>
    <row r="40" spans="1:21" ht="16.5" thickBot="1">
      <c r="A40" t="s">
        <v>53</v>
      </c>
      <c r="B40" t="s">
        <v>478</v>
      </c>
      <c r="C40" t="s">
        <v>2092</v>
      </c>
      <c r="D40" t="str">
        <f>IF(tblTargets[[#This Row],[TargetType]]="state",UPPER(_xlfn.TEXTBEFORE(_xlfn.TEXTAFTER(tblTargets[[#This Row],[TargetID]],"state."),"_")),"")</f>
        <v/>
      </c>
      <c r="E40" t="b">
        <v>1</v>
      </c>
      <c r="F40" t="s">
        <v>3599</v>
      </c>
      <c r="G40">
        <f>IF(RIGHT(tblTargets[[#This Row],[TargetID]],5)="maxed","",IF(tblTargets[[#This Row],[TargetType]]="BUILDING",_xlfn.XLOOKUP(tblTargets[[#This Row],[TargetID]],Targets!$Q$2:$Q$101,Targets!$O$2:$O$101),"Not a building"))</f>
        <v>6</v>
      </c>
      <c r="H40">
        <f>IF(RIGHT(tblTargets[[#This Row],[TargetID]],5)="maxed","",IF(tblTargets[[#This Row],[TargetType]]="BUILDING",_xlfn.XLOOKUP(tblTargets[[#This Row],[TargetID]],Targets!$M$2:$M$101,Targets!$K$2:$K$101),"Not a building"))</f>
        <v>6</v>
      </c>
      <c r="K40" s="90">
        <f t="shared" si="2"/>
        <v>39</v>
      </c>
      <c r="L40" s="114" t="s">
        <v>6312</v>
      </c>
      <c r="M40" s="115" t="str" cm="1">
        <f t="array" ref="M40">_xlfn.LET(
    _xlpm.txt,TRIM(SUBSTITUTE(L40,CHAR(160),"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building.onsen@1</v>
      </c>
      <c r="O40" s="90">
        <f t="shared" si="3"/>
        <v>39</v>
      </c>
      <c r="P40" s="114" t="s">
        <v>6337</v>
      </c>
      <c r="Q40" s="115" t="str" cm="1">
        <f t="array" ref="Q40">_xlfn.LET(
    _xlpm.txt,TRIM(SUBSTITUTE(P40,CHAR(160),"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building.caravan@4</v>
      </c>
      <c r="S40" s="88"/>
      <c r="T40" s="89" t="s">
        <v>6337</v>
      </c>
      <c r="U40" s="107" t="s">
        <v>6324</v>
      </c>
    </row>
    <row r="41" spans="1:21" ht="16.5" thickBot="1">
      <c r="A41" t="s">
        <v>55</v>
      </c>
      <c r="B41" t="s">
        <v>479</v>
      </c>
      <c r="C41" t="s">
        <v>2092</v>
      </c>
      <c r="D41" t="str">
        <f>IF(tblTargets[[#This Row],[TargetType]]="state",UPPER(_xlfn.TEXTBEFORE(_xlfn.TEXTAFTER(tblTargets[[#This Row],[TargetID]],"state."),"_")),"")</f>
        <v/>
      </c>
      <c r="E41" t="b">
        <v>1</v>
      </c>
      <c r="F41" t="s">
        <v>3599</v>
      </c>
      <c r="G41">
        <f>IF(RIGHT(tblTargets[[#This Row],[TargetID]],5)="maxed","",IF(tblTargets[[#This Row],[TargetType]]="BUILDING",_xlfn.XLOOKUP(tblTargets[[#This Row],[TargetID]],Targets!$Q$2:$Q$101,Targets!$O$2:$O$101),"Not a building"))</f>
        <v>8</v>
      </c>
      <c r="H41">
        <f>IF(RIGHT(tblTargets[[#This Row],[TargetID]],5)="maxed","",IF(tblTargets[[#This Row],[TargetType]]="BUILDING",_xlfn.XLOOKUP(tblTargets[[#This Row],[TargetID]],Targets!$M$2:$M$101,Targets!$K$2:$K$101),"Not a building"))</f>
        <v>17</v>
      </c>
      <c r="K41" s="90">
        <f t="shared" si="2"/>
        <v>40</v>
      </c>
      <c r="L41" s="91" t="s">
        <v>6314</v>
      </c>
      <c r="M41" s="115" t="str" cm="1">
        <f t="array" ref="M41">_xlfn.LET(
    _xlpm.txt,TRIM(SUBSTITUTE(L41,CHAR(160),"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building.onsen@2</v>
      </c>
      <c r="O41" s="90">
        <f t="shared" si="3"/>
        <v>40</v>
      </c>
      <c r="P41" s="91" t="s">
        <v>6326</v>
      </c>
      <c r="Q41" s="115" t="str" cm="1">
        <f t="array" ref="Q41">_xlfn.LET(
    _xlpm.txt,TRIM(SUBSTITUTE(P41,CHAR(160),"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building.smithy@1</v>
      </c>
      <c r="S41" s="88"/>
      <c r="T41" s="115" t="s">
        <v>6326</v>
      </c>
      <c r="U41" s="107" t="s">
        <v>6419</v>
      </c>
    </row>
    <row r="42" spans="1:21" ht="16.5" thickBot="1">
      <c r="A42" t="s">
        <v>2678</v>
      </c>
      <c r="B42" t="s">
        <v>6073</v>
      </c>
      <c r="C42" t="s">
        <v>2092</v>
      </c>
      <c r="D42" t="str">
        <f>IF(tblTargets[[#This Row],[TargetType]]="state",UPPER(_xlfn.TEXTBEFORE(_xlfn.TEXTAFTER(tblTargets[[#This Row],[TargetID]],"state."),"_")),"")</f>
        <v/>
      </c>
      <c r="E42" t="b">
        <v>1</v>
      </c>
      <c r="F42" t="s">
        <v>3600</v>
      </c>
      <c r="G42" t="str">
        <f>IF(RIGHT(tblTargets[[#This Row],[TargetID]],5)="maxed","",IF(tblTargets[[#This Row],[TargetType]]="BUILDING",_xlfn.XLOOKUP(tblTargets[[#This Row],[TargetID]],Targets!$Q$2:$Q$101,Targets!$O$2:$O$101),"Not a building"))</f>
        <v/>
      </c>
      <c r="H42" t="str">
        <f>IF(RIGHT(tblTargets[[#This Row],[TargetID]],5)="maxed","",IF(tblTargets[[#This Row],[TargetType]]="BUILDING",_xlfn.XLOOKUP(tblTargets[[#This Row],[TargetID]],Targets!$M$2:$M$101,Targets!$K$2:$K$101),"Not a building"))</f>
        <v/>
      </c>
      <c r="K42" s="90">
        <f t="shared" si="2"/>
        <v>41</v>
      </c>
      <c r="L42" s="114" t="s">
        <v>6315</v>
      </c>
      <c r="M42" s="115" t="str" cm="1">
        <f t="array" ref="M42">_xlfn.LET(
    _xlpm.txt,TRIM(SUBSTITUTE(L42,CHAR(160),"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building.workshop@1</v>
      </c>
      <c r="O42" s="90">
        <f t="shared" si="3"/>
        <v>41</v>
      </c>
      <c r="P42" s="91" t="s">
        <v>6327</v>
      </c>
      <c r="Q42" s="115" t="str" cm="1">
        <f t="array" ref="Q42">_xlfn.LET(
    _xlpm.txt,TRIM(SUBSTITUTE(P42,CHAR(160),"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building.smithy@2</v>
      </c>
      <c r="S42" s="88"/>
      <c r="T42" s="89" t="s">
        <v>6327</v>
      </c>
      <c r="U42" s="107" t="s">
        <v>6420</v>
      </c>
    </row>
    <row r="43" spans="1:21" ht="16.5" thickBot="1">
      <c r="A43" t="s">
        <v>56</v>
      </c>
      <c r="B43" t="s">
        <v>480</v>
      </c>
      <c r="C43" t="s">
        <v>2092</v>
      </c>
      <c r="D43" t="str">
        <f>IF(tblTargets[[#This Row],[TargetType]]="state",UPPER(_xlfn.TEXTBEFORE(_xlfn.TEXTAFTER(tblTargets[[#This Row],[TargetID]],"state."),"_")),"")</f>
        <v/>
      </c>
      <c r="E43" t="b">
        <v>1</v>
      </c>
      <c r="F43" t="s">
        <v>3599</v>
      </c>
      <c r="G43">
        <f>IF(RIGHT(tblTargets[[#This Row],[TargetID]],5)="maxed","",IF(tblTargets[[#This Row],[TargetType]]="BUILDING",_xlfn.XLOOKUP(tblTargets[[#This Row],[TargetID]],Targets!$Q$2:$Q$101,Targets!$O$2:$O$101),"Not a building"))</f>
        <v>7</v>
      </c>
      <c r="H43">
        <f>IF(RIGHT(tblTargets[[#This Row],[TargetID]],5)="maxed","",IF(tblTargets[[#This Row],[TargetType]]="BUILDING",_xlfn.XLOOKUP(tblTargets[[#This Row],[TargetID]],Targets!$M$2:$M$101,Targets!$K$2:$K$101),"Not a building"))</f>
        <v>16</v>
      </c>
      <c r="K43" s="90">
        <f t="shared" si="2"/>
        <v>42</v>
      </c>
      <c r="L43" s="91" t="s">
        <v>6316</v>
      </c>
      <c r="M43" s="115" t="str" cm="1">
        <f t="array" ref="M43">_xlfn.LET(
    _xlpm.txt,TRIM(SUBSTITUTE(L43,CHAR(160),"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building.workshop@2</v>
      </c>
      <c r="O43" s="90">
        <f t="shared" si="3"/>
        <v>42</v>
      </c>
      <c r="P43" s="114" t="s">
        <v>6328</v>
      </c>
      <c r="Q43" s="115" t="str" cm="1">
        <f t="array" ref="Q43">_xlfn.LET(
    _xlpm.txt,TRIM(SUBSTITUTE(P43,CHAR(160),"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building.smithy@3</v>
      </c>
      <c r="S43" s="88"/>
      <c r="T43" s="89" t="s">
        <v>6328</v>
      </c>
      <c r="U43" s="107" t="s">
        <v>6421</v>
      </c>
    </row>
    <row r="44" spans="1:21" ht="16.5" thickBot="1">
      <c r="A44" t="s">
        <v>59</v>
      </c>
      <c r="B44" t="s">
        <v>481</v>
      </c>
      <c r="C44" t="s">
        <v>2092</v>
      </c>
      <c r="D44" t="str">
        <f>IF(tblTargets[[#This Row],[TargetType]]="state",UPPER(_xlfn.TEXTBEFORE(_xlfn.TEXTAFTER(tblTargets[[#This Row],[TargetID]],"state."),"_")),"")</f>
        <v/>
      </c>
      <c r="E44" t="b">
        <v>1</v>
      </c>
      <c r="F44" t="s">
        <v>3599</v>
      </c>
      <c r="G44">
        <f>IF(RIGHT(tblTargets[[#This Row],[TargetID]],5)="maxed","",IF(tblTargets[[#This Row],[TargetType]]="BUILDING",_xlfn.XLOOKUP(tblTargets[[#This Row],[TargetID]],Targets!$Q$2:$Q$101,Targets!$O$2:$O$101),"Not a building"))</f>
        <v>25</v>
      </c>
      <c r="H44">
        <f>IF(RIGHT(tblTargets[[#This Row],[TargetID]],5)="maxed","",IF(tblTargets[[#This Row],[TargetType]]="BUILDING",_xlfn.XLOOKUP(tblTargets[[#This Row],[TargetID]],Targets!$M$2:$M$101,Targets!$K$2:$K$101),"Not a building"))</f>
        <v>33</v>
      </c>
      <c r="K44" s="90">
        <f t="shared" si="2"/>
        <v>43</v>
      </c>
      <c r="L44" s="91" t="s">
        <v>6317</v>
      </c>
      <c r="M44" s="115" t="str" cm="1">
        <f t="array" ref="M44">_xlfn.LET(
    _xlpm.txt,TRIM(SUBSTITUTE(L44,CHAR(160),"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building.workshop@3</v>
      </c>
      <c r="O44" s="90">
        <f t="shared" si="3"/>
        <v>43</v>
      </c>
      <c r="P44" s="114" t="s">
        <v>1057</v>
      </c>
      <c r="Q44" s="115" t="str" cm="1">
        <f t="array" ref="Q44">_xlfn.LET(
    _xlpm.txt,TRIM(SUBSTITUTE(P44,CHAR(160),"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building.dungeon@3</v>
      </c>
      <c r="S44" s="88"/>
      <c r="T44" s="89" t="s">
        <v>1057</v>
      </c>
      <c r="U44" s="116" t="s">
        <v>6329</v>
      </c>
    </row>
    <row r="45" spans="1:21" ht="28.5" thickBot="1">
      <c r="A45" t="s">
        <v>60</v>
      </c>
      <c r="B45" t="s">
        <v>482</v>
      </c>
      <c r="C45" t="s">
        <v>2092</v>
      </c>
      <c r="D45" t="str">
        <f>IF(tblTargets[[#This Row],[TargetType]]="state",UPPER(_xlfn.TEXTBEFORE(_xlfn.TEXTAFTER(tblTargets[[#This Row],[TargetID]],"state."),"_")),"")</f>
        <v/>
      </c>
      <c r="E45" t="b">
        <v>1</v>
      </c>
      <c r="F45" t="s">
        <v>3599</v>
      </c>
      <c r="G45">
        <f>IF(RIGHT(tblTargets[[#This Row],[TargetID]],5)="maxed","",IF(tblTargets[[#This Row],[TargetType]]="BUILDING",_xlfn.XLOOKUP(tblTargets[[#This Row],[TargetID]],Targets!$Q$2:$Q$101,Targets!$O$2:$O$101),"Not a building"))</f>
        <v>26</v>
      </c>
      <c r="H45">
        <f>IF(RIGHT(tblTargets[[#This Row],[TargetID]],5)="maxed","",IF(tblTargets[[#This Row],[TargetType]]="BUILDING",_xlfn.XLOOKUP(tblTargets[[#This Row],[TargetID]],Targets!$M$2:$M$101,Targets!$K$2:$K$101),"Not a building"))</f>
        <v>34</v>
      </c>
      <c r="K45" s="90">
        <f t="shared" si="2"/>
        <v>44</v>
      </c>
      <c r="L45" s="91" t="s">
        <v>6318</v>
      </c>
      <c r="M45" s="115" t="str" cm="1">
        <f t="array" ref="M45">_xlfn.LET(
    _xlpm.txt,TRIM(SUBSTITUTE(L45,CHAR(160),"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building.workshop@4</v>
      </c>
      <c r="O45" s="90">
        <f t="shared" si="3"/>
        <v>44</v>
      </c>
      <c r="P45" s="91" t="s">
        <v>6330</v>
      </c>
      <c r="Q45" s="115" t="str" cm="1">
        <f t="array" ref="Q45">_xlfn.LET(
    _xlpm.txt,TRIM(SUBSTITUTE(P45,CHAR(160),"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building.airship@1</v>
      </c>
      <c r="S45" s="88"/>
      <c r="T45" s="115" t="s">
        <v>6330</v>
      </c>
      <c r="U45" s="110" t="s">
        <v>6444</v>
      </c>
    </row>
    <row r="46" spans="1:21" ht="16.5" thickBot="1">
      <c r="A46" t="s">
        <v>2679</v>
      </c>
      <c r="B46" t="s">
        <v>6076</v>
      </c>
      <c r="C46" t="s">
        <v>2092</v>
      </c>
      <c r="D46" t="str">
        <f>IF(tblTargets[[#This Row],[TargetType]]="state",UPPER(_xlfn.TEXTBEFORE(_xlfn.TEXTAFTER(tblTargets[[#This Row],[TargetID]],"state."),"_")),"")</f>
        <v/>
      </c>
      <c r="E46" t="b">
        <v>1</v>
      </c>
      <c r="F46" t="s">
        <v>3600</v>
      </c>
      <c r="G46" t="str">
        <f>IF(RIGHT(tblTargets[[#This Row],[TargetID]],5)="maxed","",IF(tblTargets[[#This Row],[TargetType]]="BUILDING",_xlfn.XLOOKUP(tblTargets[[#This Row],[TargetID]],Targets!$Q$2:$Q$101,Targets!$O$2:$O$101),"Not a building"))</f>
        <v/>
      </c>
      <c r="H46" t="str">
        <f>IF(RIGHT(tblTargets[[#This Row],[TargetID]],5)="maxed","",IF(tblTargets[[#This Row],[TargetType]]="BUILDING",_xlfn.XLOOKUP(tblTargets[[#This Row],[TargetID]],Targets!$M$2:$M$101,Targets!$K$2:$K$101),"Not a building"))</f>
        <v/>
      </c>
      <c r="K46" s="90">
        <f t="shared" si="2"/>
        <v>45</v>
      </c>
      <c r="L46" s="91" t="s">
        <v>6319</v>
      </c>
      <c r="M46" s="115" t="str" cm="1">
        <f t="array" ref="M46">_xlfn.LET(
    _xlpm.txt,TRIM(SUBSTITUTE(L46,CHAR(160),"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building.workshop@5</v>
      </c>
      <c r="O46" s="90">
        <f t="shared" si="3"/>
        <v>45</v>
      </c>
      <c r="P46" s="91" t="s">
        <v>6346</v>
      </c>
      <c r="Q46" s="115" t="str" cm="1">
        <f t="array" ref="Q46">_xlfn.LET(
    _xlpm.txt,TRIM(SUBSTITUTE(P46,CHAR(160),"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building.airship@2</v>
      </c>
      <c r="S46" s="88"/>
      <c r="T46" s="89" t="s">
        <v>6346</v>
      </c>
      <c r="U46" s="107" t="s">
        <v>6324</v>
      </c>
    </row>
    <row r="47" spans="1:21" ht="16.5" thickBot="1">
      <c r="A47" t="s">
        <v>61</v>
      </c>
      <c r="B47" t="s">
        <v>483</v>
      </c>
      <c r="C47" t="s">
        <v>2092</v>
      </c>
      <c r="D47" t="str">
        <f>IF(tblTargets[[#This Row],[TargetType]]="state",UPPER(_xlfn.TEXTBEFORE(_xlfn.TEXTAFTER(tblTargets[[#This Row],[TargetID]],"state."),"_")),"")</f>
        <v/>
      </c>
      <c r="E47" t="b">
        <v>1</v>
      </c>
      <c r="F47" t="s">
        <v>3599</v>
      </c>
      <c r="G47">
        <f>IF(RIGHT(tblTargets[[#This Row],[TargetID]],5)="maxed","",IF(tblTargets[[#This Row],[TargetType]]="BUILDING",_xlfn.XLOOKUP(tblTargets[[#This Row],[TargetID]],Targets!$Q$2:$Q$101,Targets!$O$2:$O$101),"Not a building"))</f>
        <v>10</v>
      </c>
      <c r="H47">
        <f>IF(RIGHT(tblTargets[[#This Row],[TargetID]],5)="maxed","",IF(tblTargets[[#This Row],[TargetType]]="BUILDING",_xlfn.XLOOKUP(tblTargets[[#This Row],[TargetID]],Targets!$M$2:$M$101,Targets!$K$2:$K$101),"Not a building"))</f>
        <v>19</v>
      </c>
      <c r="K47" s="90">
        <f t="shared" si="2"/>
        <v>46</v>
      </c>
      <c r="L47" s="91" t="s">
        <v>6320</v>
      </c>
      <c r="M47" s="115" t="str" cm="1">
        <f t="array" ref="M47">_xlfn.LET(
    _xlpm.txt,TRIM(SUBSTITUTE(L47,CHAR(160),"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building.outpost@2</v>
      </c>
      <c r="O47" s="90">
        <f t="shared" si="3"/>
        <v>46</v>
      </c>
      <c r="P47" s="91" t="s">
        <v>2016</v>
      </c>
      <c r="Q47" s="115" t="str" cm="1">
        <f t="array" ref="Q47">_xlfn.LET(
    _xlpm.txt,TRIM(SUBSTITUTE(P47,CHAR(160),"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building.furnace@3</v>
      </c>
      <c r="S47" s="88"/>
      <c r="T47" s="89" t="s">
        <v>2016</v>
      </c>
      <c r="U47" s="116" t="s">
        <v>6332</v>
      </c>
    </row>
    <row r="48" spans="1:21" ht="16.5" thickBot="1">
      <c r="A48" t="s">
        <v>63</v>
      </c>
      <c r="B48" t="s">
        <v>484</v>
      </c>
      <c r="C48" t="s">
        <v>2092</v>
      </c>
      <c r="D48" t="str">
        <f>IF(tblTargets[[#This Row],[TargetType]]="state",UPPER(_xlfn.TEXTBEFORE(_xlfn.TEXTAFTER(tblTargets[[#This Row],[TargetID]],"state."),"_")),"")</f>
        <v/>
      </c>
      <c r="E48" t="b">
        <v>1</v>
      </c>
      <c r="F48" t="s">
        <v>3599</v>
      </c>
      <c r="G48">
        <f>IF(RIGHT(tblTargets[[#This Row],[TargetID]],5)="maxed","",IF(tblTargets[[#This Row],[TargetType]]="BUILDING",_xlfn.XLOOKUP(tblTargets[[#This Row],[TargetID]],Targets!$Q$2:$Q$101,Targets!$O$2:$O$101),"Not a building"))</f>
        <v>11</v>
      </c>
      <c r="H48">
        <f>IF(RIGHT(tblTargets[[#This Row],[TargetID]],5)="maxed","",IF(tblTargets[[#This Row],[TargetType]]="BUILDING",_xlfn.XLOOKUP(tblTargets[[#This Row],[TargetID]],Targets!$M$2:$M$101,Targets!$K$2:$K$101),"Not a building"))</f>
        <v>20</v>
      </c>
      <c r="K48" s="90">
        <f t="shared" si="2"/>
        <v>47</v>
      </c>
      <c r="L48" s="114" t="s">
        <v>6322</v>
      </c>
      <c r="M48" s="115" t="str" cm="1">
        <f t="array" ref="M48">_xlfn.LET(
    _xlpm.txt,TRIM(SUBSTITUTE(L48,CHAR(160),"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building.caravan@1</v>
      </c>
      <c r="O48" s="90">
        <f t="shared" si="3"/>
        <v>47</v>
      </c>
      <c r="P48" s="114" t="s">
        <v>6333</v>
      </c>
      <c r="Q48" s="115" t="str" cm="1">
        <f t="array" ref="Q48">_xlfn.LET(
    _xlpm.txt,TRIM(SUBSTITUTE(P48,CHAR(160),"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building.tailor@1</v>
      </c>
      <c r="S48" s="88"/>
      <c r="T48" s="115" t="s">
        <v>6333</v>
      </c>
      <c r="U48" s="107" t="s">
        <v>6334</v>
      </c>
    </row>
    <row r="49" spans="1:21" ht="16.5" thickBot="1">
      <c r="A49" t="s">
        <v>64</v>
      </c>
      <c r="B49" t="s">
        <v>485</v>
      </c>
      <c r="C49" t="s">
        <v>2092</v>
      </c>
      <c r="D49" t="str">
        <f>IF(tblTargets[[#This Row],[TargetType]]="state",UPPER(_xlfn.TEXTBEFORE(_xlfn.TEXTAFTER(tblTargets[[#This Row],[TargetID]],"state."),"_")),"")</f>
        <v/>
      </c>
      <c r="E49" t="b">
        <v>1</v>
      </c>
      <c r="F49" t="s">
        <v>3599</v>
      </c>
      <c r="G49">
        <f>IF(RIGHT(tblTargets[[#This Row],[TargetID]],5)="maxed","",IF(tblTargets[[#This Row],[TargetType]]="BUILDING",_xlfn.XLOOKUP(tblTargets[[#This Row],[TargetID]],Targets!$Q$2:$Q$101,Targets!$O$2:$O$101),"Not a building"))</f>
        <v>46</v>
      </c>
      <c r="H49">
        <f>IF(RIGHT(tblTargets[[#This Row],[TargetID]],5)="maxed","",IF(tblTargets[[#This Row],[TargetType]]="BUILDING",_xlfn.XLOOKUP(tblTargets[[#This Row],[TargetID]],Targets!$M$2:$M$101,Targets!$K$2:$K$101),"Not a building"))</f>
        <v>56</v>
      </c>
      <c r="K49" s="90">
        <f t="shared" si="2"/>
        <v>48</v>
      </c>
      <c r="L49" s="91" t="s">
        <v>6323</v>
      </c>
      <c r="M49" s="115" t="str" cm="1">
        <f t="array" ref="M49">_xlfn.LET(
    _xlpm.txt,TRIM(SUBSTITUTE(L49,CHAR(160),"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building.caravan@2</v>
      </c>
      <c r="O49" s="90">
        <f t="shared" si="3"/>
        <v>48</v>
      </c>
      <c r="P49" s="91" t="s">
        <v>6335</v>
      </c>
      <c r="Q49" s="115" t="str" cm="1">
        <f t="array" ref="Q49">_xlfn.LET(
    _xlpm.txt,TRIM(SUBSTITUTE(P49,CHAR(160),"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building.tailor@2</v>
      </c>
      <c r="S49" s="88"/>
      <c r="T49" s="89" t="s">
        <v>6335</v>
      </c>
      <c r="U49" s="116" t="s">
        <v>6336</v>
      </c>
    </row>
    <row r="50" spans="1:21" ht="16.5" thickBot="1">
      <c r="A50" t="s">
        <v>2680</v>
      </c>
      <c r="B50" t="s">
        <v>6077</v>
      </c>
      <c r="C50" t="s">
        <v>2092</v>
      </c>
      <c r="D50" t="str">
        <f>IF(tblTargets[[#This Row],[TargetType]]="state",UPPER(_xlfn.TEXTBEFORE(_xlfn.TEXTAFTER(tblTargets[[#This Row],[TargetID]],"state."),"_")),"")</f>
        <v/>
      </c>
      <c r="E50" t="b">
        <v>1</v>
      </c>
      <c r="F50" t="s">
        <v>3600</v>
      </c>
      <c r="G50" t="str">
        <f>IF(RIGHT(tblTargets[[#This Row],[TargetID]],5)="maxed","",IF(tblTargets[[#This Row],[TargetType]]="BUILDING",_xlfn.XLOOKUP(tblTargets[[#This Row],[TargetID]],Targets!$Q$2:$Q$101,Targets!$O$2:$O$101),"Not a building"))</f>
        <v/>
      </c>
      <c r="H50" t="str">
        <f>IF(RIGHT(tblTargets[[#This Row],[TargetID]],5)="maxed","",IF(tblTargets[[#This Row],[TargetType]]="BUILDING",_xlfn.XLOOKUP(tblTargets[[#This Row],[TargetID]],Targets!$M$2:$M$101,Targets!$K$2:$K$101),"Not a building"))</f>
        <v/>
      </c>
      <c r="K50" s="90">
        <f t="shared" si="2"/>
        <v>49</v>
      </c>
      <c r="L50" s="91" t="s">
        <v>6325</v>
      </c>
      <c r="M50" s="115" t="str" cm="1">
        <f t="array" ref="M50">_xlfn.LET(
    _xlpm.txt,TRIM(SUBSTITUTE(L50,CHAR(160),"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building.caravan@3</v>
      </c>
      <c r="O50" s="90">
        <f t="shared" si="3"/>
        <v>49</v>
      </c>
      <c r="P50" s="91" t="s">
        <v>6338</v>
      </c>
      <c r="Q50" s="115" t="str" cm="1">
        <f t="array" ref="Q50">_xlfn.LET(
    _xlpm.txt,TRIM(SUBSTITUTE(P50,CHAR(160),"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building.tailor@3</v>
      </c>
      <c r="S50" s="88"/>
      <c r="T50" s="89" t="s">
        <v>6338</v>
      </c>
      <c r="U50" s="116" t="s">
        <v>6339</v>
      </c>
    </row>
    <row r="51" spans="1:21" ht="44" thickBot="1">
      <c r="A51" t="s">
        <v>65</v>
      </c>
      <c r="B51" t="s">
        <v>486</v>
      </c>
      <c r="C51" t="s">
        <v>2092</v>
      </c>
      <c r="D51" t="str">
        <f>IF(tblTargets[[#This Row],[TargetType]]="state",UPPER(_xlfn.TEXTBEFORE(_xlfn.TEXTAFTER(tblTargets[[#This Row],[TargetID]],"state."),"_")),"")</f>
        <v/>
      </c>
      <c r="E51" t="b">
        <v>1</v>
      </c>
      <c r="F51" t="s">
        <v>3599</v>
      </c>
      <c r="G51">
        <f>IF(RIGHT(tblTargets[[#This Row],[TargetID]],5)="maxed","",IF(tblTargets[[#This Row],[TargetType]]="BUILDING",_xlfn.XLOOKUP(tblTargets[[#This Row],[TargetID]],Targets!$Q$2:$Q$101,Targets!$O$2:$O$101),"Not a building"))</f>
        <v>85</v>
      </c>
      <c r="H51">
        <f>IF(RIGHT(tblTargets[[#This Row],[TargetID]],5)="maxed","",IF(tblTargets[[#This Row],[TargetType]]="BUILDING",_xlfn.XLOOKUP(tblTargets[[#This Row],[TargetID]],Targets!$M$2:$M$101,Targets!$K$2:$K$101),"Not a building"))</f>
        <v>9</v>
      </c>
      <c r="K51" s="90">
        <f t="shared" si="2"/>
        <v>50</v>
      </c>
      <c r="L51" s="114" t="s">
        <v>6326</v>
      </c>
      <c r="M51" s="115" t="str" cm="1">
        <f t="array" ref="M51">_xlfn.LET(
    _xlpm.txt,TRIM(SUBSTITUTE(L51,CHAR(160),"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building.smithy@1</v>
      </c>
      <c r="O51" s="90">
        <f t="shared" si="3"/>
        <v>50</v>
      </c>
      <c r="P51" s="91" t="s">
        <v>6340</v>
      </c>
      <c r="Q51" s="115" t="str" cm="1">
        <f t="array" ref="Q51">_xlfn.LET(
    _xlpm.txt,TRIM(SUBSTITUTE(P51,CHAR(160),"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building.outpost@3</v>
      </c>
      <c r="S51" s="88"/>
      <c r="T51" s="89" t="s">
        <v>6340</v>
      </c>
      <c r="U51" s="107" t="s">
        <v>6341</v>
      </c>
    </row>
    <row r="52" spans="1:21" ht="32.5" thickBot="1">
      <c r="A52" t="s">
        <v>67</v>
      </c>
      <c r="B52" t="s">
        <v>487</v>
      </c>
      <c r="C52" t="s">
        <v>2092</v>
      </c>
      <c r="D52" t="str">
        <f>IF(tblTargets[[#This Row],[TargetType]]="state",UPPER(_xlfn.TEXTBEFORE(_xlfn.TEXTAFTER(tblTargets[[#This Row],[TargetID]],"state."),"_")),"")</f>
        <v/>
      </c>
      <c r="E52" t="b">
        <v>1</v>
      </c>
      <c r="F52" t="s">
        <v>3599</v>
      </c>
      <c r="G52">
        <f>IF(RIGHT(tblTargets[[#This Row],[TargetID]],5)="maxed","",IF(tblTargets[[#This Row],[TargetType]]="BUILDING",_xlfn.XLOOKUP(tblTargets[[#This Row],[TargetID]],Targets!$Q$2:$Q$101,Targets!$O$2:$O$101),"Not a building"))</f>
        <v>86</v>
      </c>
      <c r="H52">
        <f>IF(RIGHT(tblTargets[[#This Row],[TargetID]],5)="maxed","",IF(tblTargets[[#This Row],[TargetType]]="BUILDING",_xlfn.XLOOKUP(tblTargets[[#This Row],[TargetID]],Targets!$M$2:$M$101,Targets!$K$2:$K$101),"Not a building"))</f>
        <v>10</v>
      </c>
      <c r="K52" s="90">
        <f t="shared" si="2"/>
        <v>51</v>
      </c>
      <c r="L52" s="91" t="s">
        <v>6327</v>
      </c>
      <c r="M52" s="115" t="str" cm="1">
        <f t="array" ref="M52">_xlfn.LET(
    _xlpm.txt,TRIM(SUBSTITUTE(L52,CHAR(160),"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building.smithy@2</v>
      </c>
      <c r="O52" s="90">
        <f t="shared" si="3"/>
        <v>51</v>
      </c>
      <c r="P52" s="91" t="s">
        <v>6342</v>
      </c>
      <c r="Q52" s="115" t="str" cm="1">
        <f t="array" ref="Q52">_xlfn.LET(
    _xlpm.txt,TRIM(SUBSTITUTE(P52,CHAR(160),"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building.alchemists_hut@3</v>
      </c>
      <c r="S52" s="88"/>
      <c r="T52" s="89" t="s">
        <v>6342</v>
      </c>
      <c r="U52" s="110" t="s">
        <v>6445</v>
      </c>
    </row>
    <row r="53" spans="1:21" ht="16.5" thickBot="1">
      <c r="A53" t="s">
        <v>68</v>
      </c>
      <c r="B53" t="s">
        <v>488</v>
      </c>
      <c r="C53" t="s">
        <v>2092</v>
      </c>
      <c r="D53" t="str">
        <f>IF(tblTargets[[#This Row],[TargetType]]="state",UPPER(_xlfn.TEXTBEFORE(_xlfn.TEXTAFTER(tblTargets[[#This Row],[TargetID]],"state."),"_")),"")</f>
        <v/>
      </c>
      <c r="E53" t="b">
        <v>1</v>
      </c>
      <c r="F53" t="s">
        <v>3599</v>
      </c>
      <c r="G53">
        <f>IF(RIGHT(tblTargets[[#This Row],[TargetID]],5)="maxed","",IF(tblTargets[[#This Row],[TargetType]]="BUILDING",_xlfn.XLOOKUP(tblTargets[[#This Row],[TargetID]],Targets!$Q$2:$Q$101,Targets!$O$2:$O$101),"Not a building"))</f>
        <v>87</v>
      </c>
      <c r="H53">
        <f>IF(RIGHT(tblTargets[[#This Row],[TargetID]],5)="maxed","",IF(tblTargets[[#This Row],[TargetType]]="BUILDING",_xlfn.XLOOKUP(tblTargets[[#This Row],[TargetID]],Targets!$M$2:$M$101,Targets!$K$2:$K$101),"Not a building"))</f>
        <v>15</v>
      </c>
      <c r="K53" s="90">
        <f t="shared" si="2"/>
        <v>52</v>
      </c>
      <c r="L53" s="91" t="s">
        <v>6328</v>
      </c>
      <c r="M53" s="115" t="str" cm="1">
        <f t="array" ref="M53">_xlfn.LET(
    _xlpm.txt,TRIM(SUBSTITUTE(L53,CHAR(160),"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building.smithy@3</v>
      </c>
      <c r="O53" s="90">
        <f t="shared" si="3"/>
        <v>52</v>
      </c>
      <c r="P53" s="114" t="s">
        <v>6343</v>
      </c>
      <c r="Q53" s="115" t="str" cm="1">
        <f t="array" ref="Q53">_xlfn.LET(
    _xlpm.txt,TRIM(SUBSTITUTE(P53,CHAR(160),"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building.alchemists_hut@4</v>
      </c>
      <c r="S53" s="88"/>
      <c r="T53" s="89" t="s">
        <v>6343</v>
      </c>
      <c r="U53" s="117"/>
    </row>
    <row r="54" spans="1:21" ht="32.5" thickBot="1">
      <c r="A54" t="s">
        <v>69</v>
      </c>
      <c r="B54" t="s">
        <v>489</v>
      </c>
      <c r="C54" t="s">
        <v>2092</v>
      </c>
      <c r="D54" t="str">
        <f>IF(tblTargets[[#This Row],[TargetType]]="state",UPPER(_xlfn.TEXTBEFORE(_xlfn.TEXTAFTER(tblTargets[[#This Row],[TargetID]],"state."),"_")),"")</f>
        <v/>
      </c>
      <c r="E54" t="b">
        <v>1</v>
      </c>
      <c r="F54" t="s">
        <v>3599</v>
      </c>
      <c r="G54">
        <f>IF(RIGHT(tblTargets[[#This Row],[TargetID]],5)="maxed","",IF(tblTargets[[#This Row],[TargetType]]="BUILDING",_xlfn.XLOOKUP(tblTargets[[#This Row],[TargetID]],Targets!$Q$2:$Q$101,Targets!$O$2:$O$101),"Not a building"))</f>
        <v>100</v>
      </c>
      <c r="H54">
        <f>IF(RIGHT(tblTargets[[#This Row],[TargetID]],5)="maxed","",IF(tblTargets[[#This Row],[TargetType]]="BUILDING",_xlfn.XLOOKUP(tblTargets[[#This Row],[TargetID]],Targets!$M$2:$M$101,Targets!$K$2:$K$101),"Not a building"))</f>
        <v>100</v>
      </c>
      <c r="K54" s="90">
        <f t="shared" si="2"/>
        <v>53</v>
      </c>
      <c r="L54" s="91" t="s">
        <v>1057</v>
      </c>
      <c r="M54" s="115" t="str" cm="1">
        <f t="array" ref="M54">_xlfn.LET(
    _xlpm.txt,TRIM(SUBSTITUTE(L54,CHAR(160),"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building.dungeon@3</v>
      </c>
      <c r="O54" s="90">
        <f t="shared" si="3"/>
        <v>53</v>
      </c>
      <c r="P54" s="91" t="s">
        <v>6344</v>
      </c>
      <c r="Q54" s="115" t="str" cm="1">
        <f t="array" ref="Q54">_xlfn.LET(
    _xlpm.txt,TRIM(SUBSTITUTE(P54,CHAR(160),"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building.alchemists_hut@5</v>
      </c>
      <c r="S54" s="88"/>
      <c r="T54" s="89" t="s">
        <v>6344</v>
      </c>
      <c r="U54" s="117"/>
    </row>
    <row r="55" spans="1:21" ht="32.5" thickBot="1">
      <c r="A55" t="s">
        <v>71</v>
      </c>
      <c r="B55" t="s">
        <v>490</v>
      </c>
      <c r="C55" t="s">
        <v>2092</v>
      </c>
      <c r="D55" t="str">
        <f>IF(tblTargets[[#This Row],[TargetType]]="state",UPPER(_xlfn.TEXTBEFORE(_xlfn.TEXTAFTER(tblTargets[[#This Row],[TargetID]],"state."),"_")),"")</f>
        <v/>
      </c>
      <c r="E55" t="b">
        <v>1</v>
      </c>
      <c r="F55" t="s">
        <v>3599</v>
      </c>
      <c r="G55" t="e">
        <f>IF(RIGHT(tblTargets[[#This Row],[TargetID]],5)="maxed","",IF(tblTargets[[#This Row],[TargetType]]="BUILDING",_xlfn.XLOOKUP(tblTargets[[#This Row],[TargetID]],Targets!$Q$2:$Q$101,Targets!$O$2:$O$101),"Not a building"))</f>
        <v>#N/A</v>
      </c>
      <c r="H55" t="e">
        <f>IF(RIGHT(tblTargets[[#This Row],[TargetID]],5)="maxed","",IF(tblTargets[[#This Row],[TargetType]]="BUILDING",_xlfn.XLOOKUP(tblTargets[[#This Row],[TargetID]],Targets!$M$2:$M$101,Targets!$K$2:$K$101),"Not a building"))</f>
        <v>#N/A</v>
      </c>
      <c r="K55" s="90">
        <f t="shared" si="2"/>
        <v>54</v>
      </c>
      <c r="L55" s="114" t="s">
        <v>6330</v>
      </c>
      <c r="M55" s="115" t="str" cm="1">
        <f t="array" ref="M55">_xlfn.LET(
    _xlpm.txt,TRIM(SUBSTITUTE(L55,CHAR(160),"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building.airship@1</v>
      </c>
      <c r="O55" s="90">
        <f t="shared" si="3"/>
        <v>54</v>
      </c>
      <c r="P55" s="91" t="s">
        <v>6345</v>
      </c>
      <c r="Q55" s="115" t="str" cm="1">
        <f t="array" ref="Q55">_xlfn.LET(
    _xlpm.txt,TRIM(SUBSTITUTE(P55,CHAR(160),"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building.alchemists_hut@6</v>
      </c>
      <c r="S55" s="88"/>
      <c r="T55" s="89" t="s">
        <v>6345</v>
      </c>
      <c r="U55" s="117"/>
    </row>
    <row r="56" spans="1:21" ht="16.5" thickBot="1">
      <c r="A56" t="s">
        <v>73</v>
      </c>
      <c r="B56" t="s">
        <v>491</v>
      </c>
      <c r="C56" t="s">
        <v>2092</v>
      </c>
      <c r="D56" t="str">
        <f>IF(tblTargets[[#This Row],[TargetType]]="state",UPPER(_xlfn.TEXTBEFORE(_xlfn.TEXTAFTER(tblTargets[[#This Row],[TargetID]],"state."),"_")),"")</f>
        <v/>
      </c>
      <c r="E56" t="b">
        <v>1</v>
      </c>
      <c r="F56" t="s">
        <v>3599</v>
      </c>
      <c r="G56">
        <f>IF(RIGHT(tblTargets[[#This Row],[TargetID]],5)="maxed","",IF(tblTargets[[#This Row],[TargetType]]="BUILDING",_xlfn.XLOOKUP(tblTargets[[#This Row],[TargetID]],Targets!$Q$2:$Q$101,Targets!$O$2:$O$101),"Not a building"))</f>
        <v>1</v>
      </c>
      <c r="H56">
        <f>IF(RIGHT(tblTargets[[#This Row],[TargetID]],5)="maxed","",IF(tblTargets[[#This Row],[TargetType]]="BUILDING",_xlfn.XLOOKUP(tblTargets[[#This Row],[TargetID]],Targets!$M$2:$M$101,Targets!$K$2:$K$101),"Not a building"))</f>
        <v>1</v>
      </c>
      <c r="K56" s="90">
        <f t="shared" si="2"/>
        <v>55</v>
      </c>
      <c r="L56" s="91" t="s">
        <v>6331</v>
      </c>
      <c r="M56" s="115" t="str" cm="1">
        <f t="array" ref="M56">_xlfn.LET(
    _xlpm.txt,TRIM(SUBSTITUTE(L56,CHAR(160),"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building.ship@4</v>
      </c>
      <c r="O56" s="90">
        <f t="shared" si="3"/>
        <v>55</v>
      </c>
      <c r="P56" s="114" t="s">
        <v>6294</v>
      </c>
      <c r="Q56" s="115" t="str" cm="1">
        <f t="array" ref="Q56">_xlfn.LET(
    _xlpm.txt,TRIM(SUBSTITUTE(P56,CHAR(160),"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building.chicken@1</v>
      </c>
      <c r="S56" s="88"/>
      <c r="T56" s="115" t="s">
        <v>6294</v>
      </c>
      <c r="U56" s="116" t="s">
        <v>6395</v>
      </c>
    </row>
    <row r="57" spans="1:21" ht="32.5" thickBot="1">
      <c r="A57" t="s">
        <v>74</v>
      </c>
      <c r="B57" t="s">
        <v>492</v>
      </c>
      <c r="C57" t="s">
        <v>2092</v>
      </c>
      <c r="D57" t="str">
        <f>IF(tblTargets[[#This Row],[TargetType]]="state",UPPER(_xlfn.TEXTBEFORE(_xlfn.TEXTAFTER(tblTargets[[#This Row],[TargetID]],"state."),"_")),"")</f>
        <v/>
      </c>
      <c r="E57" t="b">
        <v>1</v>
      </c>
      <c r="F57" t="s">
        <v>3599</v>
      </c>
      <c r="G57">
        <f>IF(RIGHT(tblTargets[[#This Row],[TargetID]],5)="maxed","",IF(tblTargets[[#This Row],[TargetType]]="BUILDING",_xlfn.XLOOKUP(tblTargets[[#This Row],[TargetID]],Targets!$Q$2:$Q$101,Targets!$O$2:$O$101),"Not a building"))</f>
        <v>17</v>
      </c>
      <c r="H57">
        <f>IF(RIGHT(tblTargets[[#This Row],[TargetID]],5)="maxed","",IF(tblTargets[[#This Row],[TargetType]]="BUILDING",_xlfn.XLOOKUP(tblTargets[[#This Row],[TargetID]],Targets!$M$2:$M$101,Targets!$K$2:$K$101),"Not a building"))</f>
        <v>13</v>
      </c>
      <c r="K57" s="90">
        <f t="shared" si="2"/>
        <v>56</v>
      </c>
      <c r="L57" s="91" t="s">
        <v>2016</v>
      </c>
      <c r="M57" s="115" t="str" cm="1">
        <f t="array" ref="M57">_xlfn.LET(
    _xlpm.txt,TRIM(SUBSTITUTE(L57,CHAR(160),"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building.furnace@3</v>
      </c>
      <c r="O57" s="90">
        <f t="shared" si="3"/>
        <v>56</v>
      </c>
      <c r="P57" s="91" t="s">
        <v>6295</v>
      </c>
      <c r="Q57" s="115" t="str" cm="1">
        <f t="array" ref="Q57">_xlfn.LET(
    _xlpm.txt,TRIM(SUBSTITUTE(P57,CHAR(160),"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building.chicken@2</v>
      </c>
      <c r="S57" s="88"/>
      <c r="T57" s="89" t="s">
        <v>6295</v>
      </c>
      <c r="U57" s="107" t="s">
        <v>6296</v>
      </c>
    </row>
    <row r="58" spans="1:21" ht="28.5" thickBot="1">
      <c r="A58" t="s">
        <v>75</v>
      </c>
      <c r="B58" t="s">
        <v>493</v>
      </c>
      <c r="C58" t="s">
        <v>2092</v>
      </c>
      <c r="D58" t="str">
        <f>IF(tblTargets[[#This Row],[TargetType]]="state",UPPER(_xlfn.TEXTBEFORE(_xlfn.TEXTAFTER(tblTargets[[#This Row],[TargetID]],"state."),"_")),"")</f>
        <v/>
      </c>
      <c r="E58" t="b">
        <v>1</v>
      </c>
      <c r="F58" t="s">
        <v>3599</v>
      </c>
      <c r="G58">
        <f>IF(RIGHT(tblTargets[[#This Row],[TargetID]],5)="maxed","",IF(tblTargets[[#This Row],[TargetType]]="BUILDING",_xlfn.XLOOKUP(tblTargets[[#This Row],[TargetID]],Targets!$Q$2:$Q$101,Targets!$O$2:$O$101),"Not a building"))</f>
        <v>23</v>
      </c>
      <c r="H58">
        <f>IF(RIGHT(tblTargets[[#This Row],[TargetID]],5)="maxed","",IF(tblTargets[[#This Row],[TargetType]]="BUILDING",_xlfn.XLOOKUP(tblTargets[[#This Row],[TargetID]],Targets!$M$2:$M$101,Targets!$K$2:$K$101),"Not a building"))</f>
        <v>29</v>
      </c>
      <c r="K58" s="90">
        <f t="shared" si="2"/>
        <v>57</v>
      </c>
      <c r="L58" s="114" t="s">
        <v>6333</v>
      </c>
      <c r="M58" s="115" t="str" cm="1">
        <f t="array" ref="M58">_xlfn.LET(
    _xlpm.txt,TRIM(SUBSTITUTE(L58,CHAR(160),"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building.tailor@1</v>
      </c>
      <c r="O58" s="90">
        <f t="shared" si="3"/>
        <v>57</v>
      </c>
      <c r="P58" s="114" t="s">
        <v>6349</v>
      </c>
      <c r="Q58" s="115" t="str" cm="1">
        <f t="array" ref="Q58">_xlfn.LET(
    _xlpm.txt,TRIM(SUBSTITUTE(P58,CHAR(160),"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building.pagoda@1</v>
      </c>
      <c r="S58" s="88"/>
      <c r="T58" s="115" t="s">
        <v>6349</v>
      </c>
      <c r="U58" s="111" t="s">
        <v>6447</v>
      </c>
    </row>
    <row r="59" spans="1:21" ht="16.5" thickBot="1">
      <c r="A59" t="s">
        <v>76</v>
      </c>
      <c r="B59" t="s">
        <v>494</v>
      </c>
      <c r="C59" t="s">
        <v>2092</v>
      </c>
      <c r="D59" t="str">
        <f>IF(tblTargets[[#This Row],[TargetType]]="state",UPPER(_xlfn.TEXTBEFORE(_xlfn.TEXTAFTER(tblTargets[[#This Row],[TargetID]],"state."),"_")),"")</f>
        <v/>
      </c>
      <c r="E59" t="b">
        <v>1</v>
      </c>
      <c r="F59" t="s">
        <v>3599</v>
      </c>
      <c r="G59">
        <f>IF(RIGHT(tblTargets[[#This Row],[TargetID]],5)="maxed","",IF(tblTargets[[#This Row],[TargetType]]="BUILDING",_xlfn.XLOOKUP(tblTargets[[#This Row],[TargetID]],Targets!$Q$2:$Q$101,Targets!$O$2:$O$101),"Not a building"))</f>
        <v>29</v>
      </c>
      <c r="H59">
        <f>IF(RIGHT(tblTargets[[#This Row],[TargetID]],5)="maxed","",IF(tblTargets[[#This Row],[TargetType]]="BUILDING",_xlfn.XLOOKUP(tblTargets[[#This Row],[TargetID]],Targets!$M$2:$M$101,Targets!$K$2:$K$101),"Not a building"))</f>
        <v>30</v>
      </c>
      <c r="K59" s="90">
        <f t="shared" si="2"/>
        <v>58</v>
      </c>
      <c r="L59" s="91" t="s">
        <v>6335</v>
      </c>
      <c r="M59" s="115" t="str" cm="1">
        <f t="array" ref="M59">_xlfn.LET(
    _xlpm.txt,TRIM(SUBSTITUTE(L59,CHAR(160),"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building.tailor@2</v>
      </c>
      <c r="O59" s="90">
        <f t="shared" si="3"/>
        <v>58</v>
      </c>
      <c r="P59" s="91" t="s">
        <v>6350</v>
      </c>
      <c r="Q59" s="115" t="str" cm="1">
        <f t="array" ref="Q59">_xlfn.LET(
    _xlpm.txt,TRIM(SUBSTITUTE(P59,CHAR(160),"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building.pagoda@2</v>
      </c>
      <c r="S59" s="88"/>
      <c r="T59" s="89" t="s">
        <v>6350</v>
      </c>
      <c r="U59" s="112"/>
    </row>
    <row r="60" spans="1:21" ht="16.5" thickBot="1">
      <c r="A60" t="s">
        <v>77</v>
      </c>
      <c r="B60" t="s">
        <v>495</v>
      </c>
      <c r="C60" t="s">
        <v>2092</v>
      </c>
      <c r="D60" t="str">
        <f>IF(tblTargets[[#This Row],[TargetType]]="state",UPPER(_xlfn.TEXTBEFORE(_xlfn.TEXTAFTER(tblTargets[[#This Row],[TargetID]],"state."),"_")),"")</f>
        <v/>
      </c>
      <c r="E60" t="b">
        <v>1</v>
      </c>
      <c r="F60" t="s">
        <v>3599</v>
      </c>
      <c r="G60" t="e">
        <f>IF(RIGHT(tblTargets[[#This Row],[TargetID]],5)="maxed","",IF(tblTargets[[#This Row],[TargetType]]="BUILDING",_xlfn.XLOOKUP(tblTargets[[#This Row],[TargetID]],Targets!$Q$2:$Q$101,Targets!$O$2:$O$101),"Not a building"))</f>
        <v>#N/A</v>
      </c>
      <c r="H60" t="e">
        <f>IF(RIGHT(tblTargets[[#This Row],[TargetID]],5)="maxed","",IF(tblTargets[[#This Row],[TargetType]]="BUILDING",_xlfn.XLOOKUP(tblTargets[[#This Row],[TargetID]],Targets!$M$2:$M$101,Targets!$K$2:$K$101),"Not a building"))</f>
        <v>#N/A</v>
      </c>
      <c r="K60" s="90">
        <f t="shared" si="2"/>
        <v>59</v>
      </c>
      <c r="L60" s="91" t="s">
        <v>6337</v>
      </c>
      <c r="M60" s="115" t="str" cm="1">
        <f t="array" ref="M60">_xlfn.LET(
    _xlpm.txt,TRIM(SUBSTITUTE(L60,CHAR(160),"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building.caravan@4</v>
      </c>
      <c r="O60" s="90">
        <f t="shared" si="3"/>
        <v>59</v>
      </c>
      <c r="P60" s="91" t="s">
        <v>6351</v>
      </c>
      <c r="Q60" s="115" t="str" cm="1">
        <f t="array" ref="Q60">_xlfn.LET(
    _xlpm.txt,TRIM(SUBSTITUTE(P60,CHAR(160),"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building.pagoda@3</v>
      </c>
      <c r="S60" s="88"/>
      <c r="T60" s="89" t="s">
        <v>6351</v>
      </c>
      <c r="U60" s="112"/>
    </row>
    <row r="61" spans="1:21" ht="16.5" thickBot="1">
      <c r="A61" t="s">
        <v>2681</v>
      </c>
      <c r="B61" t="s">
        <v>6078</v>
      </c>
      <c r="C61" t="s">
        <v>2092</v>
      </c>
      <c r="D61" t="str">
        <f>IF(tblTargets[[#This Row],[TargetType]]="state",UPPER(_xlfn.TEXTBEFORE(_xlfn.TEXTAFTER(tblTargets[[#This Row],[TargetID]],"state."),"_")),"")</f>
        <v/>
      </c>
      <c r="E61" t="b">
        <v>1</v>
      </c>
      <c r="F61" t="s">
        <v>3600</v>
      </c>
      <c r="G61" t="str">
        <f>IF(RIGHT(tblTargets[[#This Row],[TargetID]],5)="maxed","",IF(tblTargets[[#This Row],[TargetType]]="BUILDING",_xlfn.XLOOKUP(tblTargets[[#This Row],[TargetID]],Targets!$Q$2:$Q$101,Targets!$O$2:$O$101),"Not a building"))</f>
        <v/>
      </c>
      <c r="H61" t="str">
        <f>IF(RIGHT(tblTargets[[#This Row],[TargetID]],5)="maxed","",IF(tblTargets[[#This Row],[TargetType]]="BUILDING",_xlfn.XLOOKUP(tblTargets[[#This Row],[TargetID]],Targets!$M$2:$M$101,Targets!$K$2:$K$101),"Not a building"))</f>
        <v/>
      </c>
      <c r="K61" s="90">
        <f t="shared" si="2"/>
        <v>60</v>
      </c>
      <c r="L61" s="91" t="s">
        <v>6338</v>
      </c>
      <c r="M61" s="115" t="str" cm="1">
        <f t="array" ref="M61">_xlfn.LET(
    _xlpm.txt,TRIM(SUBSTITUTE(L61,CHAR(160),"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building.tailor@3</v>
      </c>
      <c r="O61" s="90">
        <f t="shared" si="3"/>
        <v>60</v>
      </c>
      <c r="P61" s="114" t="s">
        <v>6352</v>
      </c>
      <c r="Q61" s="115" t="str" cm="1">
        <f t="array" ref="Q61">_xlfn.LET(
    _xlpm.txt,TRIM(SUBSTITUTE(P61,CHAR(160),"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building.pagoda@4</v>
      </c>
      <c r="S61" s="88"/>
      <c r="T61" s="89" t="s">
        <v>6352</v>
      </c>
      <c r="U61" s="112"/>
    </row>
    <row r="62" spans="1:21" ht="16.5" thickBot="1">
      <c r="A62" t="s">
        <v>80</v>
      </c>
      <c r="B62" t="s">
        <v>496</v>
      </c>
      <c r="C62" t="s">
        <v>2092</v>
      </c>
      <c r="D62" t="str">
        <f>IF(tblTargets[[#This Row],[TargetType]]="state",UPPER(_xlfn.TEXTBEFORE(_xlfn.TEXTAFTER(tblTargets[[#This Row],[TargetID]],"state."),"_")),"")</f>
        <v/>
      </c>
      <c r="E62" t="b">
        <v>1</v>
      </c>
      <c r="F62" t="s">
        <v>3599</v>
      </c>
      <c r="G62">
        <f>IF(RIGHT(tblTargets[[#This Row],[TargetID]],5)="maxed","",IF(tblTargets[[#This Row],[TargetType]]="BUILDING",_xlfn.XLOOKUP(tblTargets[[#This Row],[TargetID]],Targets!$Q$2:$Q$101,Targets!$O$2:$O$101),"Not a building"))</f>
        <v>66</v>
      </c>
      <c r="H62">
        <f>IF(RIGHT(tblTargets[[#This Row],[TargetID]],5)="maxed","",IF(tblTargets[[#This Row],[TargetType]]="BUILDING",_xlfn.XLOOKUP(tblTargets[[#This Row],[TargetID]],Targets!$M$2:$M$101,Targets!$K$2:$K$101),"Not a building"))</f>
        <v>76</v>
      </c>
      <c r="K62" s="90">
        <f t="shared" si="2"/>
        <v>61</v>
      </c>
      <c r="L62" s="91" t="s">
        <v>6340</v>
      </c>
      <c r="M62" s="115" t="str" cm="1">
        <f t="array" ref="M62">_xlfn.LET(
    _xlpm.txt,TRIM(SUBSTITUTE(L62,CHAR(160),"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building.outpost@3</v>
      </c>
      <c r="O62" s="90">
        <f t="shared" si="3"/>
        <v>61</v>
      </c>
      <c r="P62" s="91" t="s">
        <v>6353</v>
      </c>
      <c r="Q62" s="115" t="str" cm="1">
        <f t="array" ref="Q62">_xlfn.LET(
    _xlpm.txt,TRIM(SUBSTITUTE(P62,CHAR(160),"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building.pagoda@5</v>
      </c>
      <c r="S62" s="88"/>
      <c r="T62" s="89" t="s">
        <v>6353</v>
      </c>
      <c r="U62" s="112"/>
    </row>
    <row r="63" spans="1:21" ht="16.5" thickBot="1">
      <c r="A63" t="s">
        <v>83</v>
      </c>
      <c r="B63" t="s">
        <v>497</v>
      </c>
      <c r="C63" t="s">
        <v>2092</v>
      </c>
      <c r="D63" t="str">
        <f>IF(tblTargets[[#This Row],[TargetType]]="state",UPPER(_xlfn.TEXTBEFORE(_xlfn.TEXTAFTER(tblTargets[[#This Row],[TargetID]],"state."),"_")),"")</f>
        <v/>
      </c>
      <c r="E63" t="b">
        <v>1</v>
      </c>
      <c r="F63" t="s">
        <v>3599</v>
      </c>
      <c r="G63">
        <f>IF(RIGHT(tblTargets[[#This Row],[TargetID]],5)="maxed","",IF(tblTargets[[#This Row],[TargetType]]="BUILDING",_xlfn.XLOOKUP(tblTargets[[#This Row],[TargetID]],Targets!$Q$2:$Q$101,Targets!$O$2:$O$101),"Not a building"))</f>
        <v>67</v>
      </c>
      <c r="H63">
        <f>IF(RIGHT(tblTargets[[#This Row],[TargetID]],5)="maxed","",IF(tblTargets[[#This Row],[TargetType]]="BUILDING",_xlfn.XLOOKUP(tblTargets[[#This Row],[TargetID]],Targets!$M$2:$M$101,Targets!$K$2:$K$101),"Not a building"))</f>
        <v>77</v>
      </c>
      <c r="K63" s="90">
        <f t="shared" si="2"/>
        <v>62</v>
      </c>
      <c r="L63" s="91" t="s">
        <v>6342</v>
      </c>
      <c r="M63" s="115" t="str" cm="1">
        <f t="array" ref="M63">_xlfn.LET(
    _xlpm.txt,TRIM(SUBSTITUTE(L63,CHAR(160),"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building.alchemists_hut@3</v>
      </c>
      <c r="O63" s="90">
        <f t="shared" si="3"/>
        <v>62</v>
      </c>
      <c r="P63" s="91" t="s">
        <v>6354</v>
      </c>
      <c r="Q63" s="115" t="str" cm="1">
        <f t="array" ref="Q63">_xlfn.LET(
    _xlpm.txt,TRIM(SUBSTITUTE(P63,CHAR(160),"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building.pagoda@6</v>
      </c>
      <c r="S63" s="88"/>
      <c r="T63" s="89" t="s">
        <v>6354</v>
      </c>
      <c r="U63" s="112"/>
    </row>
    <row r="64" spans="1:21" ht="16.5" thickBot="1">
      <c r="A64" t="s">
        <v>84</v>
      </c>
      <c r="B64" t="s">
        <v>498</v>
      </c>
      <c r="C64" t="s">
        <v>2092</v>
      </c>
      <c r="D64" t="str">
        <f>IF(tblTargets[[#This Row],[TargetType]]="state",UPPER(_xlfn.TEXTBEFORE(_xlfn.TEXTAFTER(tblTargets[[#This Row],[TargetID]],"state."),"_")),"")</f>
        <v/>
      </c>
      <c r="E64" t="b">
        <v>1</v>
      </c>
      <c r="F64" t="s">
        <v>3599</v>
      </c>
      <c r="G64">
        <f>IF(RIGHT(tblTargets[[#This Row],[TargetID]],5)="maxed","",IF(tblTargets[[#This Row],[TargetType]]="BUILDING",_xlfn.XLOOKUP(tblTargets[[#This Row],[TargetID]],Targets!$Q$2:$Q$101,Targets!$O$2:$O$101),"Not a building"))</f>
        <v>68</v>
      </c>
      <c r="H64">
        <f>IF(RIGHT(tblTargets[[#This Row],[TargetID]],5)="maxed","",IF(tblTargets[[#This Row],[TargetType]]="BUILDING",_xlfn.XLOOKUP(tblTargets[[#This Row],[TargetID]],Targets!$M$2:$M$101,Targets!$K$2:$K$101),"Not a building"))</f>
        <v>78</v>
      </c>
      <c r="K64" s="90">
        <f t="shared" si="2"/>
        <v>63</v>
      </c>
      <c r="L64" s="91" t="s">
        <v>6343</v>
      </c>
      <c r="M64" s="115" t="str" cm="1">
        <f t="array" ref="M64">_xlfn.LET(
    _xlpm.txt,TRIM(SUBSTITUTE(L64,CHAR(160),"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building.alchemists_hut@4</v>
      </c>
      <c r="O64" s="90">
        <f t="shared" si="3"/>
        <v>63</v>
      </c>
      <c r="P64" s="91" t="s">
        <v>6355</v>
      </c>
      <c r="Q64" s="115" t="str" cm="1">
        <f t="array" ref="Q64">_xlfn.LET(
    _xlpm.txt,TRIM(SUBSTITUTE(P64,CHAR(160),"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building.pagoda@7</v>
      </c>
      <c r="S64" s="88"/>
      <c r="T64" s="89" t="s">
        <v>6355</v>
      </c>
      <c r="U64" s="113"/>
    </row>
    <row r="65" spans="1:21" ht="16.5" thickBot="1">
      <c r="A65" t="s">
        <v>85</v>
      </c>
      <c r="B65" t="s">
        <v>499</v>
      </c>
      <c r="C65" t="s">
        <v>2092</v>
      </c>
      <c r="D65" t="str">
        <f>IF(tblTargets[[#This Row],[TargetType]]="state",UPPER(_xlfn.TEXTBEFORE(_xlfn.TEXTAFTER(tblTargets[[#This Row],[TargetID]],"state."),"_")),"")</f>
        <v/>
      </c>
      <c r="E65" t="b">
        <v>1</v>
      </c>
      <c r="F65" t="s">
        <v>3599</v>
      </c>
      <c r="G65">
        <f>IF(RIGHT(tblTargets[[#This Row],[TargetID]],5)="maxed","",IF(tblTargets[[#This Row],[TargetType]]="BUILDING",_xlfn.XLOOKUP(tblTargets[[#This Row],[TargetID]],Targets!$Q$2:$Q$101,Targets!$O$2:$O$101),"Not a building"))</f>
        <v>75</v>
      </c>
      <c r="H65">
        <f>IF(RIGHT(tblTargets[[#This Row],[TargetID]],5)="maxed","",IF(tblTargets[[#This Row],[TargetType]]="BUILDING",_xlfn.XLOOKUP(tblTargets[[#This Row],[TargetID]],Targets!$M$2:$M$101,Targets!$K$2:$K$101),"Not a building"))</f>
        <v>85</v>
      </c>
      <c r="K65" s="90">
        <f t="shared" si="2"/>
        <v>64</v>
      </c>
      <c r="L65" s="91" t="s">
        <v>6344</v>
      </c>
      <c r="M65" s="115" t="str" cm="1">
        <f t="array" ref="M65">_xlfn.LET(
    _xlpm.txt,TRIM(SUBSTITUTE(L65,CHAR(160),"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building.alchemists_hut@5</v>
      </c>
      <c r="O65" s="90">
        <f t="shared" si="3"/>
        <v>64</v>
      </c>
      <c r="P65" s="91" t="s">
        <v>6347</v>
      </c>
      <c r="Q65" s="115" t="str" cm="1">
        <f t="array" ref="Q65">_xlfn.LET(
    _xlpm.txt,TRIM(SUBSTITUTE(P65,CHAR(160),"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building.dungeon@4</v>
      </c>
      <c r="S65" s="88"/>
      <c r="T65" s="89" t="s">
        <v>6347</v>
      </c>
      <c r="U65" s="110" t="s">
        <v>6446</v>
      </c>
    </row>
    <row r="66" spans="1:21" ht="16.5" thickBot="1">
      <c r="A66" t="s">
        <v>86</v>
      </c>
      <c r="B66" t="s">
        <v>500</v>
      </c>
      <c r="C66" t="s">
        <v>2092</v>
      </c>
      <c r="D66" t="str">
        <f>IF(tblTargets[[#This Row],[TargetType]]="state",UPPER(_xlfn.TEXTBEFORE(_xlfn.TEXTAFTER(tblTargets[[#This Row],[TargetID]],"state."),"_")),"")</f>
        <v/>
      </c>
      <c r="E66" t="b">
        <v>1</v>
      </c>
      <c r="F66" t="s">
        <v>3599</v>
      </c>
      <c r="G66">
        <f>IF(RIGHT(tblTargets[[#This Row],[TargetID]],5)="maxed","",IF(tblTargets[[#This Row],[TargetType]]="BUILDING",_xlfn.XLOOKUP(tblTargets[[#This Row],[TargetID]],Targets!$Q$2:$Q$101,Targets!$O$2:$O$101),"Not a building"))</f>
        <v>76</v>
      </c>
      <c r="H66">
        <f>IF(RIGHT(tblTargets[[#This Row],[TargetID]],5)="maxed","",IF(tblTargets[[#This Row],[TargetType]]="BUILDING",_xlfn.XLOOKUP(tblTargets[[#This Row],[TargetID]],Targets!$M$2:$M$101,Targets!$K$2:$K$101),"Not a building"))</f>
        <v>86</v>
      </c>
      <c r="K66" s="90">
        <f t="shared" si="2"/>
        <v>65</v>
      </c>
      <c r="L66" s="91" t="s">
        <v>6345</v>
      </c>
      <c r="M66" s="115" t="str" cm="1">
        <f t="array" ref="M66">_xlfn.LET(
    _xlpm.txt,TRIM(SUBSTITUTE(L66,CHAR(160),"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building.alchemists_hut@6</v>
      </c>
      <c r="O66" s="90">
        <f t="shared" si="3"/>
        <v>65</v>
      </c>
      <c r="P66" s="91" t="s">
        <v>6348</v>
      </c>
      <c r="Q66" s="115" t="str" cm="1">
        <f t="array" ref="Q66">_xlfn.LET(
    _xlpm.txt,TRIM(SUBSTITUTE(P66,CHAR(160),"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building.dungeon@5</v>
      </c>
      <c r="S66" s="88"/>
      <c r="T66" s="89" t="s">
        <v>6348</v>
      </c>
      <c r="U66" s="116" t="s">
        <v>6399</v>
      </c>
    </row>
    <row r="67" spans="1:21" ht="56.5" thickBot="1">
      <c r="A67" t="s">
        <v>3175</v>
      </c>
      <c r="B67" t="s">
        <v>3176</v>
      </c>
      <c r="C67" t="s">
        <v>2092</v>
      </c>
      <c r="D67" t="str">
        <f>IF(tblTargets[[#This Row],[TargetType]]="state",UPPER(_xlfn.TEXTBEFORE(_xlfn.TEXTAFTER(tblTargets[[#This Row],[TargetID]],"state."),"_")),"")</f>
        <v/>
      </c>
      <c r="E67" t="b">
        <v>1</v>
      </c>
      <c r="F67" t="s">
        <v>3600</v>
      </c>
      <c r="G67" t="str">
        <f>IF(RIGHT(tblTargets[[#This Row],[TargetID]],5)="maxed","",IF(tblTargets[[#This Row],[TargetType]]="BUILDING",_xlfn.XLOOKUP(tblTargets[[#This Row],[TargetID]],Targets!$Q$2:$Q$101,Targets!$O$2:$O$101),"Not a building"))</f>
        <v/>
      </c>
      <c r="H67" t="str">
        <f>IF(RIGHT(tblTargets[[#This Row],[TargetID]],5)="maxed","",IF(tblTargets[[#This Row],[TargetType]]="BUILDING",_xlfn.XLOOKUP(tblTargets[[#This Row],[TargetID]],Targets!$M$2:$M$101,Targets!$K$2:$K$101),"Not a building"))</f>
        <v/>
      </c>
      <c r="K67" s="90">
        <f t="shared" ref="K67:K101" si="4">K66+1</f>
        <v>66</v>
      </c>
      <c r="L67" s="91" t="s">
        <v>6346</v>
      </c>
      <c r="M67" s="115" t="str" cm="1">
        <f t="array" ref="M67">_xlfn.LET(
    _xlpm.txt,TRIM(SUBSTITUTE(L67,CHAR(160),"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building.airship@2</v>
      </c>
      <c r="O67" s="90">
        <f t="shared" ref="O67:O101" si="5">1+O66</f>
        <v>66</v>
      </c>
      <c r="P67" s="91" t="s">
        <v>6356</v>
      </c>
      <c r="Q67" s="115" t="str" cm="1">
        <f t="array" ref="Q67">_xlfn.LET(
    _xlpm.txt,TRIM(SUBSTITUTE(P67,CHAR(160),"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building.laboratory@1</v>
      </c>
      <c r="S67" s="88"/>
      <c r="T67" s="115" t="s">
        <v>6356</v>
      </c>
      <c r="U67" s="110" t="s">
        <v>6448</v>
      </c>
    </row>
    <row r="68" spans="1:21" ht="16.5" thickBot="1">
      <c r="A68" t="s">
        <v>87</v>
      </c>
      <c r="B68" t="s">
        <v>501</v>
      </c>
      <c r="C68" t="s">
        <v>2092</v>
      </c>
      <c r="D68" t="str">
        <f>IF(tblTargets[[#This Row],[TargetType]]="state",UPPER(_xlfn.TEXTBEFORE(_xlfn.TEXTAFTER(tblTargets[[#This Row],[TargetID]],"state."),"_")),"")</f>
        <v/>
      </c>
      <c r="E68" t="b">
        <v>1</v>
      </c>
      <c r="F68" t="s">
        <v>3599</v>
      </c>
      <c r="G68" t="e">
        <f>IF(RIGHT(tblTargets[[#This Row],[TargetID]],5)="maxed","",IF(tblTargets[[#This Row],[TargetType]]="BUILDING",_xlfn.XLOOKUP(tblTargets[[#This Row],[TargetID]],Targets!$Q$2:$Q$101,Targets!$O$2:$O$101),"Not a building"))</f>
        <v>#N/A</v>
      </c>
      <c r="H68" t="e">
        <f>IF(RIGHT(tblTargets[[#This Row],[TargetID]],5)="maxed","",IF(tblTargets[[#This Row],[TargetType]]="BUILDING",_xlfn.XLOOKUP(tblTargets[[#This Row],[TargetID]],Targets!$M$2:$M$101,Targets!$K$2:$K$101),"Not a building"))</f>
        <v>#N/A</v>
      </c>
      <c r="K68" s="90">
        <f t="shared" si="4"/>
        <v>67</v>
      </c>
      <c r="L68" s="91" t="s">
        <v>6347</v>
      </c>
      <c r="M68" s="115" t="str" cm="1">
        <f t="array" ref="M68">_xlfn.LET(
    _xlpm.txt,TRIM(SUBSTITUTE(L68,CHAR(160),"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building.dungeon@4</v>
      </c>
      <c r="O68" s="90">
        <f t="shared" si="5"/>
        <v>67</v>
      </c>
      <c r="P68" s="114" t="s">
        <v>6357</v>
      </c>
      <c r="Q68" s="115" t="str" cm="1">
        <f t="array" ref="Q68">_xlfn.LET(
    _xlpm.txt,TRIM(SUBSTITUTE(P68,CHAR(160),"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building.laboratory@2</v>
      </c>
      <c r="S68" s="88"/>
      <c r="T68" s="89" t="s">
        <v>6357</v>
      </c>
      <c r="U68" s="116" t="s">
        <v>6358</v>
      </c>
    </row>
    <row r="69" spans="1:21" ht="29.5" thickBot="1">
      <c r="A69" t="s">
        <v>90</v>
      </c>
      <c r="B69" t="s">
        <v>502</v>
      </c>
      <c r="C69" t="s">
        <v>2092</v>
      </c>
      <c r="D69" t="str">
        <f>IF(tblTargets[[#This Row],[TargetType]]="state",UPPER(_xlfn.TEXTBEFORE(_xlfn.TEXTAFTER(tblTargets[[#This Row],[TargetID]],"state."),"_")),"")</f>
        <v/>
      </c>
      <c r="E69" t="b">
        <v>1</v>
      </c>
      <c r="F69" t="s">
        <v>3599</v>
      </c>
      <c r="G69">
        <f>IF(RIGHT(tblTargets[[#This Row],[TargetID]],5)="maxed","",IF(tblTargets[[#This Row],[TargetType]]="BUILDING",_xlfn.XLOOKUP(tblTargets[[#This Row],[TargetID]],Targets!$Q$2:$Q$101,Targets!$O$2:$O$101),"Not a building"))</f>
        <v>13</v>
      </c>
      <c r="H69">
        <f>IF(RIGHT(tblTargets[[#This Row],[TargetID]],5)="maxed","",IF(tblTargets[[#This Row],[TargetType]]="BUILDING",_xlfn.XLOOKUP(tblTargets[[#This Row],[TargetID]],Targets!$M$2:$M$101,Targets!$K$2:$K$101),"Not a building"))</f>
        <v>11</v>
      </c>
      <c r="K69" s="90">
        <f t="shared" si="4"/>
        <v>68</v>
      </c>
      <c r="L69" s="91" t="s">
        <v>6348</v>
      </c>
      <c r="M69" s="115" t="str" cm="1">
        <f t="array" ref="M69">_xlfn.LET(
    _xlpm.txt,TRIM(SUBSTITUTE(L69,CHAR(160),"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building.dungeon@5</v>
      </c>
      <c r="O69" s="90">
        <f t="shared" si="5"/>
        <v>68</v>
      </c>
      <c r="P69" s="114" t="s">
        <v>6359</v>
      </c>
      <c r="Q69" s="115" t="str" cm="1">
        <f t="array" ref="Q69">_xlfn.LET(
    _xlpm.txt,TRIM(SUBSTITUTE(P69,CHAR(160),"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building.laboratory@3</v>
      </c>
      <c r="S69" s="88"/>
      <c r="T69" s="89" t="s">
        <v>6359</v>
      </c>
      <c r="U69" s="107" t="s">
        <v>6360</v>
      </c>
    </row>
    <row r="70" spans="1:21" ht="16.5" thickBot="1">
      <c r="A70" t="s">
        <v>92</v>
      </c>
      <c r="B70" t="s">
        <v>503</v>
      </c>
      <c r="C70" t="s">
        <v>2092</v>
      </c>
      <c r="D70" t="str">
        <f>IF(tblTargets[[#This Row],[TargetType]]="state",UPPER(_xlfn.TEXTBEFORE(_xlfn.TEXTAFTER(tblTargets[[#This Row],[TargetID]],"state."),"_")),"")</f>
        <v/>
      </c>
      <c r="E70" t="b">
        <v>1</v>
      </c>
      <c r="F70" t="s">
        <v>3599</v>
      </c>
      <c r="G70">
        <f>IF(RIGHT(tblTargets[[#This Row],[TargetID]],5)="maxed","",IF(tblTargets[[#This Row],[TargetType]]="BUILDING",_xlfn.XLOOKUP(tblTargets[[#This Row],[TargetID]],Targets!$Q$2:$Q$101,Targets!$O$2:$O$101),"Not a building"))</f>
        <v>14</v>
      </c>
      <c r="H70">
        <f>IF(RIGHT(tblTargets[[#This Row],[TargetID]],5)="maxed","",IF(tblTargets[[#This Row],[TargetType]]="BUILDING",_xlfn.XLOOKUP(tblTargets[[#This Row],[TargetID]],Targets!$M$2:$M$101,Targets!$K$2:$K$101),"Not a building"))</f>
        <v>12</v>
      </c>
      <c r="K70" s="90">
        <f t="shared" si="4"/>
        <v>69</v>
      </c>
      <c r="L70" s="114" t="s">
        <v>6349</v>
      </c>
      <c r="M70" s="115" t="str" cm="1">
        <f t="array" ref="M70">_xlfn.LET(
    _xlpm.txt,TRIM(SUBSTITUTE(L70,CHAR(160),"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building.pagoda@1</v>
      </c>
      <c r="O70" s="90">
        <f t="shared" si="5"/>
        <v>69</v>
      </c>
      <c r="P70" s="91" t="s">
        <v>6361</v>
      </c>
      <c r="Q70" s="115" t="str" cm="1">
        <f t="array" ref="Q70">_xlfn.LET(
    _xlpm.txt,TRIM(SUBSTITUTE(P70,CHAR(160),"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building.station@1</v>
      </c>
      <c r="S70" s="88"/>
      <c r="T70" s="115" t="s">
        <v>6361</v>
      </c>
      <c r="U70" s="107" t="s">
        <v>6362</v>
      </c>
    </row>
    <row r="71" spans="1:21" ht="70.5" thickBot="1">
      <c r="A71" t="s">
        <v>93</v>
      </c>
      <c r="B71" t="s">
        <v>504</v>
      </c>
      <c r="C71" t="s">
        <v>2092</v>
      </c>
      <c r="D71" t="str">
        <f>IF(tblTargets[[#This Row],[TargetType]]="state",UPPER(_xlfn.TEXTBEFORE(_xlfn.TEXTAFTER(tblTargets[[#This Row],[TargetID]],"state."),"_")),"")</f>
        <v/>
      </c>
      <c r="E71" t="b">
        <v>1</v>
      </c>
      <c r="F71" t="s">
        <v>3599</v>
      </c>
      <c r="G71">
        <f>IF(RIGHT(tblTargets[[#This Row],[TargetID]],5)="maxed","",IF(tblTargets[[#This Row],[TargetType]]="BUILDING",_xlfn.XLOOKUP(tblTargets[[#This Row],[TargetID]],Targets!$Q$2:$Q$101,Targets!$O$2:$O$101),"Not a building"))</f>
        <v>18</v>
      </c>
      <c r="H71">
        <f>IF(RIGHT(tblTargets[[#This Row],[TargetID]],5)="maxed","",IF(tblTargets[[#This Row],[TargetType]]="BUILDING",_xlfn.XLOOKUP(tblTargets[[#This Row],[TargetID]],Targets!$M$2:$M$101,Targets!$K$2:$K$101),"Not a building"))</f>
        <v>24</v>
      </c>
      <c r="K71" s="90">
        <f t="shared" si="4"/>
        <v>70</v>
      </c>
      <c r="L71" s="91" t="s">
        <v>6350</v>
      </c>
      <c r="M71" s="115" t="str" cm="1">
        <f t="array" ref="M71">_xlfn.LET(
    _xlpm.txt,TRIM(SUBSTITUTE(L71,CHAR(160),"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building.pagoda@2</v>
      </c>
      <c r="O71" s="90">
        <f t="shared" si="5"/>
        <v>70</v>
      </c>
      <c r="P71" s="91" t="s">
        <v>6363</v>
      </c>
      <c r="Q71" s="115" t="str" cm="1">
        <f t="array" ref="Q71">_xlfn.LET(
    _xlpm.txt,TRIM(SUBSTITUTE(P71,CHAR(160),"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building.train@1</v>
      </c>
      <c r="S71" s="88"/>
      <c r="T71" s="115" t="s">
        <v>6363</v>
      </c>
      <c r="U71" s="110" t="s">
        <v>6455</v>
      </c>
    </row>
    <row r="72" spans="1:21" ht="58.5" thickBot="1">
      <c r="A72" t="s">
        <v>94</v>
      </c>
      <c r="B72" t="s">
        <v>505</v>
      </c>
      <c r="C72" t="s">
        <v>2092</v>
      </c>
      <c r="D72" t="str">
        <f>IF(tblTargets[[#This Row],[TargetType]]="state",UPPER(_xlfn.TEXTBEFORE(_xlfn.TEXTAFTER(tblTargets[[#This Row],[TargetID]],"state."),"_")),"")</f>
        <v/>
      </c>
      <c r="E72" t="b">
        <v>1</v>
      </c>
      <c r="F72" t="s">
        <v>3599</v>
      </c>
      <c r="G72">
        <f>IF(RIGHT(tblTargets[[#This Row],[TargetID]],5)="maxed","",IF(tblTargets[[#This Row],[TargetType]]="BUILDING",_xlfn.XLOOKUP(tblTargets[[#This Row],[TargetID]],Targets!$Q$2:$Q$101,Targets!$O$2:$O$101),"Not a building"))</f>
        <v>90</v>
      </c>
      <c r="H72">
        <f>IF(RIGHT(tblTargets[[#This Row],[TargetID]],5)="maxed","",IF(tblTargets[[#This Row],[TargetType]]="BUILDING",_xlfn.XLOOKUP(tblTargets[[#This Row],[TargetID]],Targets!$M$2:$M$101,Targets!$K$2:$K$101),"Not a building"))</f>
        <v>39</v>
      </c>
      <c r="K72" s="90">
        <f t="shared" si="4"/>
        <v>71</v>
      </c>
      <c r="L72" s="91" t="s">
        <v>6351</v>
      </c>
      <c r="M72" s="115" t="str" cm="1">
        <f t="array" ref="M72">_xlfn.LET(
    _xlpm.txt,TRIM(SUBSTITUTE(L72,CHAR(160),"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building.pagoda@3</v>
      </c>
      <c r="O72" s="90">
        <f t="shared" si="5"/>
        <v>71</v>
      </c>
      <c r="P72" s="114" t="s">
        <v>6364</v>
      </c>
      <c r="Q72" s="115" t="str" cm="1">
        <f t="array" ref="Q72">_xlfn.LET(
    _xlpm.txt,TRIM(SUBSTITUTE(P72,CHAR(160),"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building.train@2</v>
      </c>
      <c r="S72" s="88"/>
      <c r="T72" s="89" t="s">
        <v>6364</v>
      </c>
      <c r="U72" s="107" t="s">
        <v>6365</v>
      </c>
    </row>
    <row r="73" spans="1:21" ht="42.5" thickBot="1">
      <c r="A73" t="s">
        <v>96</v>
      </c>
      <c r="B73" t="s">
        <v>506</v>
      </c>
      <c r="C73" t="s">
        <v>2092</v>
      </c>
      <c r="D73" t="str">
        <f>IF(tblTargets[[#This Row],[TargetType]]="state",UPPER(_xlfn.TEXTBEFORE(_xlfn.TEXTAFTER(tblTargets[[#This Row],[TargetID]],"state."),"_")),"")</f>
        <v/>
      </c>
      <c r="E73" t="b">
        <v>1</v>
      </c>
      <c r="F73" t="s">
        <v>3599</v>
      </c>
      <c r="G73">
        <f>IF(RIGHT(tblTargets[[#This Row],[TargetID]],5)="maxed","",IF(tblTargets[[#This Row],[TargetType]]="BUILDING",_xlfn.XLOOKUP(tblTargets[[#This Row],[TargetID]],Targets!$Q$2:$Q$101,Targets!$O$2:$O$101),"Not a building"))</f>
        <v>91</v>
      </c>
      <c r="H73">
        <f>IF(RIGHT(tblTargets[[#This Row],[TargetID]],5)="maxed","",IF(tblTargets[[#This Row],[TargetType]]="BUILDING",_xlfn.XLOOKUP(tblTargets[[#This Row],[TargetID]],Targets!$M$2:$M$101,Targets!$K$2:$K$101),"Not a building"))</f>
        <v>40</v>
      </c>
      <c r="K73" s="90">
        <f t="shared" si="4"/>
        <v>72</v>
      </c>
      <c r="L73" s="91" t="s">
        <v>6352</v>
      </c>
      <c r="M73" s="115" t="str" cm="1">
        <f t="array" ref="M73">_xlfn.LET(
    _xlpm.txt,TRIM(SUBSTITUTE(L73,CHAR(160),"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building.pagoda@4</v>
      </c>
      <c r="O73" s="90">
        <f t="shared" si="5"/>
        <v>72</v>
      </c>
      <c r="P73" s="91" t="s">
        <v>6366</v>
      </c>
      <c r="Q73" s="115" t="str" cm="1">
        <f t="array" ref="Q73">_xlfn.LET(
    _xlpm.txt,TRIM(SUBSTITUTE(P73,CHAR(160),"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building.fermentory@1</v>
      </c>
      <c r="S73" s="88"/>
      <c r="T73" s="115" t="s">
        <v>6366</v>
      </c>
      <c r="U73" s="111" t="s">
        <v>6449</v>
      </c>
    </row>
    <row r="74" spans="1:21" ht="16.5" thickBot="1">
      <c r="A74" t="s">
        <v>2682</v>
      </c>
      <c r="B74" t="s">
        <v>6079</v>
      </c>
      <c r="C74" t="s">
        <v>2092</v>
      </c>
      <c r="D74" t="str">
        <f>IF(tblTargets[[#This Row],[TargetType]]="state",UPPER(_xlfn.TEXTBEFORE(_xlfn.TEXTAFTER(tblTargets[[#This Row],[TargetID]],"state."),"_")),"")</f>
        <v/>
      </c>
      <c r="E74" t="b">
        <v>1</v>
      </c>
      <c r="F74" t="s">
        <v>3600</v>
      </c>
      <c r="G74" t="str">
        <f>IF(RIGHT(tblTargets[[#This Row],[TargetID]],5)="maxed","",IF(tblTargets[[#This Row],[TargetType]]="BUILDING",_xlfn.XLOOKUP(tblTargets[[#This Row],[TargetID]],Targets!$Q$2:$Q$101,Targets!$O$2:$O$101),"Not a building"))</f>
        <v/>
      </c>
      <c r="H74" t="str">
        <f>IF(RIGHT(tblTargets[[#This Row],[TargetID]],5)="maxed","",IF(tblTargets[[#This Row],[TargetType]]="BUILDING",_xlfn.XLOOKUP(tblTargets[[#This Row],[TargetID]],Targets!$M$2:$M$101,Targets!$K$2:$K$101),"Not a building"))</f>
        <v/>
      </c>
      <c r="K74" s="90">
        <f t="shared" si="4"/>
        <v>73</v>
      </c>
      <c r="L74" s="91" t="s">
        <v>6353</v>
      </c>
      <c r="M74" s="115" t="str" cm="1">
        <f t="array" ref="M74">_xlfn.LET(
    _xlpm.txt,TRIM(SUBSTITUTE(L74,CHAR(160),"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building.pagoda@5</v>
      </c>
      <c r="O74" s="90">
        <f t="shared" si="5"/>
        <v>73</v>
      </c>
      <c r="P74" s="91" t="s">
        <v>6367</v>
      </c>
      <c r="Q74" s="115" t="str" cm="1">
        <f t="array" ref="Q74">_xlfn.LET(
    _xlpm.txt,TRIM(SUBSTITUTE(P74,CHAR(160),"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building.fermentory@2</v>
      </c>
      <c r="S74" s="88"/>
      <c r="T74" s="89" t="s">
        <v>6367</v>
      </c>
      <c r="U74" s="112"/>
    </row>
    <row r="75" spans="1:21" ht="16.5" thickBot="1">
      <c r="A75" t="s">
        <v>97</v>
      </c>
      <c r="B75" t="s">
        <v>507</v>
      </c>
      <c r="C75" t="s">
        <v>2092</v>
      </c>
      <c r="D75" t="str">
        <f>IF(tblTargets[[#This Row],[TargetType]]="state",UPPER(_xlfn.TEXTBEFORE(_xlfn.TEXTAFTER(tblTargets[[#This Row],[TargetID]],"state."),"_")),"")</f>
        <v/>
      </c>
      <c r="E75" t="b">
        <v>1</v>
      </c>
      <c r="F75" t="s">
        <v>3599</v>
      </c>
      <c r="G75">
        <f>IF(RIGHT(tblTargets[[#This Row],[TargetID]],5)="maxed","",IF(tblTargets[[#This Row],[TargetType]]="BUILDING",_xlfn.XLOOKUP(tblTargets[[#This Row],[TargetID]],Targets!$Q$2:$Q$101,Targets!$O$2:$O$101),"Not a building"))</f>
        <v>28</v>
      </c>
      <c r="H75">
        <f>IF(RIGHT(tblTargets[[#This Row],[TargetID]],5)="maxed","",IF(tblTargets[[#This Row],[TargetType]]="BUILDING",_xlfn.XLOOKUP(tblTargets[[#This Row],[TargetID]],Targets!$M$2:$M$101,Targets!$K$2:$K$101),"Not a building"))</f>
        <v>36</v>
      </c>
      <c r="K75" s="90">
        <f t="shared" si="4"/>
        <v>74</v>
      </c>
      <c r="L75" s="91" t="s">
        <v>6354</v>
      </c>
      <c r="M75" s="115" t="str" cm="1">
        <f t="array" ref="M75">_xlfn.LET(
    _xlpm.txt,TRIM(SUBSTITUTE(L75,CHAR(160),"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building.pagoda@6</v>
      </c>
      <c r="O75" s="90">
        <f t="shared" si="5"/>
        <v>74</v>
      </c>
      <c r="P75" s="91" t="s">
        <v>6368</v>
      </c>
      <c r="Q75" s="115" t="str" cm="1">
        <f t="array" ref="Q75">_xlfn.LET(
    _xlpm.txt,TRIM(SUBSTITUTE(P75,CHAR(160),"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building.fermentory@3</v>
      </c>
      <c r="S75" s="88"/>
      <c r="T75" s="89" t="s">
        <v>6368</v>
      </c>
      <c r="U75" s="113"/>
    </row>
    <row r="76" spans="1:21" ht="16.5" thickBot="1">
      <c r="A76" t="s">
        <v>99</v>
      </c>
      <c r="B76" t="s">
        <v>508</v>
      </c>
      <c r="C76" t="s">
        <v>2092</v>
      </c>
      <c r="D76" t="str">
        <f>IF(tblTargets[[#This Row],[TargetType]]="state",UPPER(_xlfn.TEXTBEFORE(_xlfn.TEXTAFTER(tblTargets[[#This Row],[TargetID]],"state."),"_")),"")</f>
        <v/>
      </c>
      <c r="E76" t="b">
        <v>1</v>
      </c>
      <c r="F76" t="s">
        <v>3599</v>
      </c>
      <c r="G76">
        <f>IF(RIGHT(tblTargets[[#This Row],[TargetID]],5)="maxed","",IF(tblTargets[[#This Row],[TargetType]]="BUILDING",_xlfn.XLOOKUP(tblTargets[[#This Row],[TargetID]],Targets!$Q$2:$Q$101,Targets!$O$2:$O$101),"Not a building"))</f>
        <v>35</v>
      </c>
      <c r="H76">
        <f>IF(RIGHT(tblTargets[[#This Row],[TargetID]],5)="maxed","",IF(tblTargets[[#This Row],[TargetType]]="BUILDING",_xlfn.XLOOKUP(tblTargets[[#This Row],[TargetID]],Targets!$M$2:$M$101,Targets!$K$2:$K$101),"Not a building"))</f>
        <v>46</v>
      </c>
      <c r="K76" s="90">
        <f t="shared" si="4"/>
        <v>75</v>
      </c>
      <c r="L76" s="91" t="s">
        <v>6355</v>
      </c>
      <c r="M76" s="115" t="str" cm="1">
        <f t="array" ref="M76">_xlfn.LET(
    _xlpm.txt,TRIM(SUBSTITUTE(L76,CHAR(160),"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building.pagoda@7</v>
      </c>
      <c r="O76" s="90">
        <f t="shared" si="5"/>
        <v>75</v>
      </c>
      <c r="P76" s="114" t="s">
        <v>6369</v>
      </c>
      <c r="Q76" s="115" t="str" cm="1">
        <f t="array" ref="Q76">_xlfn.LET(
    _xlpm.txt,TRIM(SUBSTITUTE(P76,CHAR(160),"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building.laboratory@4</v>
      </c>
      <c r="S76" s="88"/>
      <c r="T76" s="89" t="s">
        <v>6369</v>
      </c>
      <c r="U76" s="107" t="s">
        <v>6370</v>
      </c>
    </row>
    <row r="77" spans="1:21" ht="42.5" thickBot="1">
      <c r="A77" t="s">
        <v>100</v>
      </c>
      <c r="B77" t="s">
        <v>509</v>
      </c>
      <c r="C77" t="s">
        <v>2092</v>
      </c>
      <c r="D77" t="str">
        <f>IF(tblTargets[[#This Row],[TargetType]]="state",UPPER(_xlfn.TEXTBEFORE(_xlfn.TEXTAFTER(tblTargets[[#This Row],[TargetID]],"state."),"_")),"")</f>
        <v/>
      </c>
      <c r="E77" t="b">
        <v>1</v>
      </c>
      <c r="F77" t="s">
        <v>3599</v>
      </c>
      <c r="G77">
        <f>IF(RIGHT(tblTargets[[#This Row],[TargetID]],5)="maxed","",IF(tblTargets[[#This Row],[TargetType]]="BUILDING",_xlfn.XLOOKUP(tblTargets[[#This Row],[TargetID]],Targets!$Q$2:$Q$101,Targets!$O$2:$O$101),"Not a building"))</f>
        <v>50</v>
      </c>
      <c r="H77">
        <f>IF(RIGHT(tblTargets[[#This Row],[TargetID]],5)="maxed","",IF(tblTargets[[#This Row],[TargetType]]="BUILDING",_xlfn.XLOOKUP(tblTargets[[#This Row],[TargetID]],Targets!$M$2:$M$101,Targets!$K$2:$K$101),"Not a building"))</f>
        <v>61</v>
      </c>
      <c r="K77" s="90">
        <f t="shared" si="4"/>
        <v>76</v>
      </c>
      <c r="L77" s="114" t="s">
        <v>6356</v>
      </c>
      <c r="M77" s="115" t="str" cm="1">
        <f t="array" ref="M77">_xlfn.LET(
    _xlpm.txt,TRIM(SUBSTITUTE(L77,CHAR(160),"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building.laboratory@1</v>
      </c>
      <c r="O77" s="90">
        <f t="shared" si="5"/>
        <v>76</v>
      </c>
      <c r="P77" s="114" t="s">
        <v>6371</v>
      </c>
      <c r="Q77" s="115" t="str" cm="1">
        <f t="array" ref="Q77">_xlfn.LET(
    _xlpm.txt,TRIM(SUBSTITUTE(P77,CHAR(160),"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building.laboratory@5</v>
      </c>
      <c r="S77" s="88"/>
      <c r="T77" s="89" t="s">
        <v>6371</v>
      </c>
      <c r="U77" s="110" t="s">
        <v>6450</v>
      </c>
    </row>
    <row r="78" spans="1:21" ht="16.5" thickBot="1">
      <c r="A78" t="s">
        <v>101</v>
      </c>
      <c r="B78" t="s">
        <v>510</v>
      </c>
      <c r="C78" t="s">
        <v>2092</v>
      </c>
      <c r="D78" t="str">
        <f>IF(tblTargets[[#This Row],[TargetType]]="state",UPPER(_xlfn.TEXTBEFORE(_xlfn.TEXTAFTER(tblTargets[[#This Row],[TargetID]],"state."),"_")),"")</f>
        <v/>
      </c>
      <c r="E78" t="b">
        <v>1</v>
      </c>
      <c r="F78" t="s">
        <v>3599</v>
      </c>
      <c r="G78">
        <f>IF(RIGHT(tblTargets[[#This Row],[TargetID]],5)="maxed","",IF(tblTargets[[#This Row],[TargetType]]="BUILDING",_xlfn.XLOOKUP(tblTargets[[#This Row],[TargetID]],Targets!$Q$2:$Q$101,Targets!$O$2:$O$101),"Not a building"))</f>
        <v>57</v>
      </c>
      <c r="H78">
        <f>IF(RIGHT(tblTargets[[#This Row],[TargetID]],5)="maxed","",IF(tblTargets[[#This Row],[TargetType]]="BUILDING",_xlfn.XLOOKUP(tblTargets[[#This Row],[TargetID]],Targets!$M$2:$M$101,Targets!$K$2:$K$101),"Not a building"))</f>
        <v>69</v>
      </c>
      <c r="K78" s="90">
        <f t="shared" si="4"/>
        <v>77</v>
      </c>
      <c r="L78" s="91" t="s">
        <v>6357</v>
      </c>
      <c r="M78" s="115" t="str" cm="1">
        <f t="array" ref="M78">_xlfn.LET(
    _xlpm.txt,TRIM(SUBSTITUTE(L78,CHAR(160),"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building.laboratory@2</v>
      </c>
      <c r="O78" s="90">
        <f t="shared" si="5"/>
        <v>77</v>
      </c>
      <c r="P78" s="91" t="s">
        <v>6372</v>
      </c>
      <c r="Q78" s="115" t="str" cm="1">
        <f t="array" ref="Q78">_xlfn.LET(
    _xlpm.txt,TRIM(SUBSTITUTE(P78,CHAR(160),"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building.dairy@1</v>
      </c>
      <c r="S78" s="88"/>
      <c r="T78" s="115" t="s">
        <v>6372</v>
      </c>
      <c r="U78" s="116" t="s">
        <v>6373</v>
      </c>
    </row>
    <row r="79" spans="1:21" ht="16.5" thickBot="1">
      <c r="A79" t="s">
        <v>103</v>
      </c>
      <c r="B79" t="s">
        <v>511</v>
      </c>
      <c r="C79" t="s">
        <v>2092</v>
      </c>
      <c r="D79" t="str">
        <f>IF(tblTargets[[#This Row],[TargetType]]="state",UPPER(_xlfn.TEXTBEFORE(_xlfn.TEXTAFTER(tblTargets[[#This Row],[TargetID]],"state."),"_")),"")</f>
        <v/>
      </c>
      <c r="E79" t="b">
        <v>1</v>
      </c>
      <c r="F79" t="s">
        <v>3599</v>
      </c>
      <c r="G79">
        <f>IF(RIGHT(tblTargets[[#This Row],[TargetID]],5)="maxed","",IF(tblTargets[[#This Row],[TargetType]]="BUILDING",_xlfn.XLOOKUP(tblTargets[[#This Row],[TargetID]],Targets!$Q$2:$Q$101,Targets!$O$2:$O$101),"Not a building"))</f>
        <v>58</v>
      </c>
      <c r="H79">
        <f>IF(RIGHT(tblTargets[[#This Row],[TargetID]],5)="maxed","",IF(tblTargets[[#This Row],[TargetType]]="BUILDING",_xlfn.XLOOKUP(tblTargets[[#This Row],[TargetID]],Targets!$M$2:$M$101,Targets!$K$2:$K$101),"Not a building"))</f>
        <v>70</v>
      </c>
      <c r="K79" s="90">
        <f t="shared" si="4"/>
        <v>78</v>
      </c>
      <c r="L79" s="91" t="s">
        <v>6359</v>
      </c>
      <c r="M79" s="115" t="str" cm="1">
        <f t="array" ref="M79">_xlfn.LET(
    _xlpm.txt,TRIM(SUBSTITUTE(L79,CHAR(160),"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building.laboratory@3</v>
      </c>
      <c r="O79" s="90">
        <f t="shared" si="5"/>
        <v>78</v>
      </c>
      <c r="P79" s="114" t="s">
        <v>6374</v>
      </c>
      <c r="Q79" s="115" t="str" cm="1">
        <f t="array" ref="Q79">_xlfn.LET(
    _xlpm.txt,TRIM(SUBSTITUTE(P79,CHAR(160),"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building.dairy@2</v>
      </c>
      <c r="S79" s="88"/>
      <c r="T79" s="89" t="s">
        <v>6374</v>
      </c>
      <c r="U79" s="107" t="s">
        <v>6375</v>
      </c>
    </row>
    <row r="80" spans="1:21" ht="16.5" thickBot="1">
      <c r="A80" t="s">
        <v>104</v>
      </c>
      <c r="B80" t="s">
        <v>512</v>
      </c>
      <c r="C80" t="s">
        <v>2092</v>
      </c>
      <c r="D80" t="str">
        <f>IF(tblTargets[[#This Row],[TargetType]]="state",UPPER(_xlfn.TEXTBEFORE(_xlfn.TEXTAFTER(tblTargets[[#This Row],[TargetID]],"state."),"_")),"")</f>
        <v/>
      </c>
      <c r="E80" t="b">
        <v>1</v>
      </c>
      <c r="F80" t="s">
        <v>3599</v>
      </c>
      <c r="G80">
        <f>IF(RIGHT(tblTargets[[#This Row],[TargetID]],5)="maxed","",IF(tblTargets[[#This Row],[TargetType]]="BUILDING",_xlfn.XLOOKUP(tblTargets[[#This Row],[TargetID]],Targets!$Q$2:$Q$101,Targets!$O$2:$O$101),"Not a building"))</f>
        <v>59</v>
      </c>
      <c r="H80">
        <f>IF(RIGHT(tblTargets[[#This Row],[TargetID]],5)="maxed","",IF(tblTargets[[#This Row],[TargetType]]="BUILDING",_xlfn.XLOOKUP(tblTargets[[#This Row],[TargetID]],Targets!$M$2:$M$101,Targets!$K$2:$K$101),"Not a building"))</f>
        <v>71</v>
      </c>
      <c r="K80" s="90">
        <f t="shared" si="4"/>
        <v>79</v>
      </c>
      <c r="L80" s="114" t="s">
        <v>6361</v>
      </c>
      <c r="M80" s="115" t="str" cm="1">
        <f t="array" ref="M80">_xlfn.LET(
    _xlpm.txt,TRIM(SUBSTITUTE(L80,CHAR(160),"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building.station@1</v>
      </c>
      <c r="O80" s="90">
        <f t="shared" si="5"/>
        <v>79</v>
      </c>
      <c r="P80" s="91" t="s">
        <v>6376</v>
      </c>
      <c r="Q80" s="115" t="str" cm="1">
        <f t="array" ref="Q80">_xlfn.LET(
    _xlpm.txt,TRIM(SUBSTITUTE(P80,CHAR(160),"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building.fermentory@4</v>
      </c>
      <c r="S80" s="88"/>
      <c r="T80" s="89" t="s">
        <v>6376</v>
      </c>
      <c r="U80" s="116" t="s">
        <v>6377</v>
      </c>
    </row>
    <row r="81" spans="1:21" ht="16.5" thickBot="1">
      <c r="A81" t="s">
        <v>105</v>
      </c>
      <c r="B81" t="s">
        <v>513</v>
      </c>
      <c r="C81" t="s">
        <v>2092</v>
      </c>
      <c r="D81" t="str">
        <f>IF(tblTargets[[#This Row],[TargetType]]="state",UPPER(_xlfn.TEXTBEFORE(_xlfn.TEXTAFTER(tblTargets[[#This Row],[TargetID]],"state."),"_")),"")</f>
        <v/>
      </c>
      <c r="E81" t="b">
        <v>1</v>
      </c>
      <c r="F81" t="s">
        <v>3599</v>
      </c>
      <c r="G81">
        <f>IF(RIGHT(tblTargets[[#This Row],[TargetID]],5)="maxed","",IF(tblTargets[[#This Row],[TargetType]]="BUILDING",_xlfn.XLOOKUP(tblTargets[[#This Row],[TargetID]],Targets!$Q$2:$Q$101,Targets!$O$2:$O$101),"Not a building"))</f>
        <v>60</v>
      </c>
      <c r="H81">
        <f>IF(RIGHT(tblTargets[[#This Row],[TargetID]],5)="maxed","",IF(tblTargets[[#This Row],[TargetType]]="BUILDING",_xlfn.XLOOKUP(tblTargets[[#This Row],[TargetID]],Targets!$M$2:$M$101,Targets!$K$2:$K$101),"Not a building"))</f>
        <v>72</v>
      </c>
      <c r="K81" s="90">
        <f t="shared" si="4"/>
        <v>80</v>
      </c>
      <c r="L81" s="114" t="s">
        <v>6363</v>
      </c>
      <c r="M81" s="115" t="str" cm="1">
        <f t="array" ref="M81">_xlfn.LET(
    _xlpm.txt,TRIM(SUBSTITUTE(L81,CHAR(160),"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building.train@1</v>
      </c>
      <c r="O81" s="90">
        <f t="shared" si="5"/>
        <v>80</v>
      </c>
      <c r="P81" s="91" t="s">
        <v>6378</v>
      </c>
      <c r="Q81" s="115" t="str" cm="1">
        <f t="array" ref="Q81">_xlfn.LET(
    _xlpm.txt,TRIM(SUBSTITUTE(P81,CHAR(160),"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building.fermentory@5</v>
      </c>
      <c r="S81" s="88"/>
      <c r="T81" s="89" t="s">
        <v>6378</v>
      </c>
    </row>
    <row r="82" spans="1:21" ht="16.5" thickBot="1">
      <c r="A82" t="s">
        <v>106</v>
      </c>
      <c r="B82" t="s">
        <v>514</v>
      </c>
      <c r="C82" t="s">
        <v>2092</v>
      </c>
      <c r="D82" t="str">
        <f>IF(tblTargets[[#This Row],[TargetType]]="state",UPPER(_xlfn.TEXTBEFORE(_xlfn.TEXTAFTER(tblTargets[[#This Row],[TargetID]],"state."),"_")),"")</f>
        <v/>
      </c>
      <c r="E82" t="b">
        <v>1</v>
      </c>
      <c r="F82" t="s">
        <v>3599</v>
      </c>
      <c r="G82">
        <f>IF(RIGHT(tblTargets[[#This Row],[TargetID]],5)="maxed","",IF(tblTargets[[#This Row],[TargetType]]="BUILDING",_xlfn.XLOOKUP(tblTargets[[#This Row],[TargetID]],Targets!$Q$2:$Q$101,Targets!$O$2:$O$101),"Not a building"))</f>
        <v>61</v>
      </c>
      <c r="H82">
        <f>IF(RIGHT(tblTargets[[#This Row],[TargetID]],5)="maxed","",IF(tblTargets[[#This Row],[TargetType]]="BUILDING",_xlfn.XLOOKUP(tblTargets[[#This Row],[TargetID]],Targets!$M$2:$M$101,Targets!$K$2:$K$101),"Not a building"))</f>
        <v>73</v>
      </c>
      <c r="K82" s="90">
        <f t="shared" si="4"/>
        <v>81</v>
      </c>
      <c r="L82" s="91" t="s">
        <v>6364</v>
      </c>
      <c r="M82" s="115" t="str" cm="1">
        <f t="array" ref="M82">_xlfn.LET(
    _xlpm.txt,TRIM(SUBSTITUTE(L82,CHAR(160),"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building.train@2</v>
      </c>
      <c r="O82" s="90">
        <f t="shared" si="5"/>
        <v>81</v>
      </c>
      <c r="P82" s="114" t="s">
        <v>6379</v>
      </c>
      <c r="Q82" s="115" t="str" cm="1">
        <f t="array" ref="Q82">_xlfn.LET(
    _xlpm.txt,TRIM(SUBSTITUTE(P82,CHAR(160),"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building.fermentory@6</v>
      </c>
      <c r="S82" s="88"/>
      <c r="T82" s="89" t="s">
        <v>6379</v>
      </c>
    </row>
    <row r="83" spans="1:21" ht="28.5" thickBot="1">
      <c r="A83" t="s">
        <v>107</v>
      </c>
      <c r="B83" t="s">
        <v>515</v>
      </c>
      <c r="C83" t="s">
        <v>2092</v>
      </c>
      <c r="D83" t="str">
        <f>IF(tblTargets[[#This Row],[TargetType]]="state",UPPER(_xlfn.TEXTBEFORE(_xlfn.TEXTAFTER(tblTargets[[#This Row],[TargetID]],"state."),"_")),"")</f>
        <v/>
      </c>
      <c r="E83" t="b">
        <v>1</v>
      </c>
      <c r="F83" t="s">
        <v>3599</v>
      </c>
      <c r="G83">
        <f>IF(RIGHT(tblTargets[[#This Row],[TargetID]],5)="maxed","",IF(tblTargets[[#This Row],[TargetType]]="BUILDING",_xlfn.XLOOKUP(tblTargets[[#This Row],[TargetID]],Targets!$Q$2:$Q$101,Targets!$O$2:$O$101),"Not a building"))</f>
        <v>62</v>
      </c>
      <c r="H83">
        <f>IF(RIGHT(tblTargets[[#This Row],[TargetID]],5)="maxed","",IF(tblTargets[[#This Row],[TargetType]]="BUILDING",_xlfn.XLOOKUP(tblTargets[[#This Row],[TargetID]],Targets!$M$2:$M$101,Targets!$K$2:$K$101),"Not a building"))</f>
        <v>74</v>
      </c>
      <c r="K83" s="90">
        <f t="shared" si="4"/>
        <v>82</v>
      </c>
      <c r="L83" s="114" t="s">
        <v>6366</v>
      </c>
      <c r="M83" s="115" t="str" cm="1">
        <f t="array" ref="M83">_xlfn.LET(
    _xlpm.txt,TRIM(SUBSTITUTE(L83,CHAR(160),"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building.fermentory@1</v>
      </c>
      <c r="O83" s="90">
        <f t="shared" si="5"/>
        <v>82</v>
      </c>
      <c r="P83" s="91" t="s">
        <v>6279</v>
      </c>
      <c r="Q83" s="115" t="str" cm="1">
        <f t="array" ref="Q83">_xlfn.LET(
    _xlpm.txt,TRIM(SUBSTITUTE(P83,CHAR(160),"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building.rock_garden@1</v>
      </c>
      <c r="S83" s="88"/>
      <c r="T83" s="115" t="s">
        <v>6279</v>
      </c>
      <c r="U83" s="111" t="s">
        <v>6414</v>
      </c>
    </row>
    <row r="84" spans="1:21" ht="16.5" thickBot="1">
      <c r="A84" t="s">
        <v>108</v>
      </c>
      <c r="B84" t="s">
        <v>516</v>
      </c>
      <c r="C84" t="s">
        <v>2092</v>
      </c>
      <c r="D84" t="str">
        <f>IF(tblTargets[[#This Row],[TargetType]]="state",UPPER(_xlfn.TEXTBEFORE(_xlfn.TEXTAFTER(tblTargets[[#This Row],[TargetID]],"state."),"_")),"")</f>
        <v/>
      </c>
      <c r="E84" t="b">
        <v>1</v>
      </c>
      <c r="F84" t="s">
        <v>3599</v>
      </c>
      <c r="G84">
        <f>IF(RIGHT(tblTargets[[#This Row],[TargetID]],5)="maxed","",IF(tblTargets[[#This Row],[TargetType]]="BUILDING",_xlfn.XLOOKUP(tblTargets[[#This Row],[TargetID]],Targets!$Q$2:$Q$101,Targets!$O$2:$O$101),"Not a building"))</f>
        <v>63</v>
      </c>
      <c r="H84">
        <f>IF(RIGHT(tblTargets[[#This Row],[TargetID]],5)="maxed","",IF(tblTargets[[#This Row],[TargetType]]="BUILDING",_xlfn.XLOOKUP(tblTargets[[#This Row],[TargetID]],Targets!$M$2:$M$101,Targets!$K$2:$K$101),"Not a building"))</f>
        <v>75</v>
      </c>
      <c r="K84" s="90">
        <f t="shared" si="4"/>
        <v>83</v>
      </c>
      <c r="L84" s="91" t="s">
        <v>6367</v>
      </c>
      <c r="M84" s="115" t="str" cm="1">
        <f t="array" ref="M84">_xlfn.LET(
    _xlpm.txt,TRIM(SUBSTITUTE(L84,CHAR(160),"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building.fermentory@2</v>
      </c>
      <c r="O84" s="90">
        <f t="shared" si="5"/>
        <v>83</v>
      </c>
      <c r="P84" s="91" t="s">
        <v>6280</v>
      </c>
      <c r="Q84" s="115" t="str" cm="1">
        <f t="array" ref="Q84">_xlfn.LET(
    _xlpm.txt,TRIM(SUBSTITUTE(P84,CHAR(160),"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building.rock_garden@2</v>
      </c>
      <c r="S84" s="88"/>
      <c r="T84" s="89" t="s">
        <v>6280</v>
      </c>
      <c r="U84" s="112"/>
    </row>
    <row r="85" spans="1:21" ht="16.5" thickBot="1">
      <c r="A85" t="s">
        <v>109</v>
      </c>
      <c r="B85" t="s">
        <v>517</v>
      </c>
      <c r="C85" t="s">
        <v>2092</v>
      </c>
      <c r="D85" t="str">
        <f>IF(tblTargets[[#This Row],[TargetType]]="state",UPPER(_xlfn.TEXTBEFORE(_xlfn.TEXTAFTER(tblTargets[[#This Row],[TargetID]],"state."),"_")),"")</f>
        <v/>
      </c>
      <c r="E85" t="b">
        <v>1</v>
      </c>
      <c r="F85" t="s">
        <v>3599</v>
      </c>
      <c r="G85">
        <f>IF(RIGHT(tblTargets[[#This Row],[TargetID]],5)="maxed","",IF(tblTargets[[#This Row],[TargetType]]="BUILDING",_xlfn.XLOOKUP(tblTargets[[#This Row],[TargetID]],Targets!$Q$2:$Q$101,Targets!$O$2:$O$101),"Not a building"))</f>
        <v>19</v>
      </c>
      <c r="H85">
        <f>IF(RIGHT(tblTargets[[#This Row],[TargetID]],5)="maxed","",IF(tblTargets[[#This Row],[TargetType]]="BUILDING",_xlfn.XLOOKUP(tblTargets[[#This Row],[TargetID]],Targets!$M$2:$M$101,Targets!$K$2:$K$101),"Not a building"))</f>
        <v>25</v>
      </c>
      <c r="K85" s="90">
        <f t="shared" si="4"/>
        <v>84</v>
      </c>
      <c r="L85" s="91" t="s">
        <v>6368</v>
      </c>
      <c r="M85" s="115" t="str" cm="1">
        <f t="array" ref="M85">_xlfn.LET(
    _xlpm.txt,TRIM(SUBSTITUTE(L85,CHAR(160),"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building.fermentory@3</v>
      </c>
      <c r="O85" s="90">
        <f t="shared" si="5"/>
        <v>84</v>
      </c>
      <c r="P85" s="114" t="s">
        <v>6285</v>
      </c>
      <c r="Q85" s="115" t="str" cm="1">
        <f t="array" ref="Q85">_xlfn.LET(
    _xlpm.txt,TRIM(SUBSTITUTE(P85,CHAR(160),"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building.rock_garden@3</v>
      </c>
      <c r="S85" s="88"/>
      <c r="T85" s="89" t="s">
        <v>6285</v>
      </c>
      <c r="U85" s="113"/>
    </row>
    <row r="86" spans="1:21" ht="28.5" thickBot="1">
      <c r="A86" t="s">
        <v>2683</v>
      </c>
      <c r="B86" t="s">
        <v>6080</v>
      </c>
      <c r="C86" t="s">
        <v>2092</v>
      </c>
      <c r="D86" t="str">
        <f>IF(tblTargets[[#This Row],[TargetType]]="state",UPPER(_xlfn.TEXTBEFORE(_xlfn.TEXTAFTER(tblTargets[[#This Row],[TargetID]],"state."),"_")),"")</f>
        <v/>
      </c>
      <c r="E86" t="b">
        <v>1</v>
      </c>
      <c r="F86" t="s">
        <v>3600</v>
      </c>
      <c r="G86" t="str">
        <f>IF(RIGHT(tblTargets[[#This Row],[TargetID]],5)="maxed","",IF(tblTargets[[#This Row],[TargetType]]="BUILDING",_xlfn.XLOOKUP(tblTargets[[#This Row],[TargetID]],Targets!$Q$2:$Q$101,Targets!$O$2:$O$101),"Not a building"))</f>
        <v/>
      </c>
      <c r="H86" t="str">
        <f>IF(RIGHT(tblTargets[[#This Row],[TargetID]],5)="maxed","",IF(tblTargets[[#This Row],[TargetType]]="BUILDING",_xlfn.XLOOKUP(tblTargets[[#This Row],[TargetID]],Targets!$M$2:$M$101,Targets!$K$2:$K$101),"Not a building"))</f>
        <v/>
      </c>
      <c r="K86" s="90">
        <f t="shared" si="4"/>
        <v>85</v>
      </c>
      <c r="L86" s="91" t="s">
        <v>6369</v>
      </c>
      <c r="M86" s="115" t="str" cm="1">
        <f t="array" ref="M86">_xlfn.LET(
    _xlpm.txt,TRIM(SUBSTITUTE(L86,CHAR(160),"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building.laboratory@4</v>
      </c>
      <c r="O86" s="90">
        <f t="shared" si="5"/>
        <v>85</v>
      </c>
      <c r="P86" s="91" t="s">
        <v>6281</v>
      </c>
      <c r="Q86" s="115" t="str" cm="1">
        <f t="array" ref="Q86">_xlfn.LET(
    _xlpm.txt,TRIM(SUBSTITUTE(P86,CHAR(160),"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building.garden@1</v>
      </c>
      <c r="S86" s="88"/>
      <c r="T86" s="115" t="s">
        <v>6281</v>
      </c>
      <c r="U86" s="111" t="s">
        <v>6405</v>
      </c>
    </row>
    <row r="87" spans="1:21" ht="16.5" thickBot="1">
      <c r="A87" t="s">
        <v>111</v>
      </c>
      <c r="B87" t="s">
        <v>163</v>
      </c>
      <c r="C87" t="s">
        <v>2092</v>
      </c>
      <c r="D87" t="str">
        <f>IF(tblTargets[[#This Row],[TargetType]]="state",UPPER(_xlfn.TEXTBEFORE(_xlfn.TEXTAFTER(tblTargets[[#This Row],[TargetID]],"state."),"_")),"")</f>
        <v/>
      </c>
      <c r="E87" t="b">
        <v>1</v>
      </c>
      <c r="F87" t="s">
        <v>3599</v>
      </c>
      <c r="G87">
        <f>IF(RIGHT(tblTargets[[#This Row],[TargetID]],5)="maxed","",IF(tblTargets[[#This Row],[TargetType]]="BUILDING",_xlfn.XLOOKUP(tblTargets[[#This Row],[TargetID]],Targets!$Q$2:$Q$101,Targets!$O$2:$O$101),"Not a building"))</f>
        <v>82</v>
      </c>
      <c r="H87">
        <f>IF(RIGHT(tblTargets[[#This Row],[TargetID]],5)="maxed","",IF(tblTargets[[#This Row],[TargetType]]="BUILDING",_xlfn.XLOOKUP(tblTargets[[#This Row],[TargetID]],Targets!$M$2:$M$101,Targets!$K$2:$K$101),"Not a building"))</f>
        <v>7</v>
      </c>
      <c r="K87" s="90">
        <f t="shared" si="4"/>
        <v>86</v>
      </c>
      <c r="L87" s="91" t="s">
        <v>6371</v>
      </c>
      <c r="M87" s="115" t="str" cm="1">
        <f t="array" ref="M87">_xlfn.LET(
    _xlpm.txt,TRIM(SUBSTITUTE(L87,CHAR(160),"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building.laboratory@5</v>
      </c>
      <c r="O87" s="90">
        <f t="shared" si="5"/>
        <v>86</v>
      </c>
      <c r="P87" s="114" t="s">
        <v>6282</v>
      </c>
      <c r="Q87" s="115" t="str" cm="1">
        <f t="array" ref="Q87">_xlfn.LET(
    _xlpm.txt,TRIM(SUBSTITUTE(P87,CHAR(160),"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building.garden@2</v>
      </c>
      <c r="S87" s="88"/>
      <c r="T87" s="89" t="s">
        <v>6282</v>
      </c>
      <c r="U87" s="112"/>
    </row>
    <row r="88" spans="1:21" ht="16.5" thickBot="1">
      <c r="A88" t="s">
        <v>114</v>
      </c>
      <c r="B88" t="s">
        <v>164</v>
      </c>
      <c r="C88" t="s">
        <v>2092</v>
      </c>
      <c r="D88" t="str">
        <f>IF(tblTargets[[#This Row],[TargetType]]="state",UPPER(_xlfn.TEXTBEFORE(_xlfn.TEXTAFTER(tblTargets[[#This Row],[TargetID]],"state."),"_")),"")</f>
        <v/>
      </c>
      <c r="E88" t="b">
        <v>1</v>
      </c>
      <c r="F88" t="s">
        <v>3599</v>
      </c>
      <c r="G88">
        <f>IF(RIGHT(tblTargets[[#This Row],[TargetID]],5)="maxed","",IF(tblTargets[[#This Row],[TargetType]]="BUILDING",_xlfn.XLOOKUP(tblTargets[[#This Row],[TargetID]],Targets!$Q$2:$Q$101,Targets!$O$2:$O$101),"Not a building"))</f>
        <v>83</v>
      </c>
      <c r="H88">
        <f>IF(RIGHT(tblTargets[[#This Row],[TargetID]],5)="maxed","",IF(tblTargets[[#This Row],[TargetType]]="BUILDING",_xlfn.XLOOKUP(tblTargets[[#This Row],[TargetID]],Targets!$M$2:$M$101,Targets!$K$2:$K$101),"Not a building"))</f>
        <v>8</v>
      </c>
      <c r="K88" s="90">
        <f t="shared" si="4"/>
        <v>87</v>
      </c>
      <c r="L88" s="114" t="s">
        <v>6372</v>
      </c>
      <c r="M88" s="115" t="str" cm="1">
        <f t="array" ref="M88">_xlfn.LET(
    _xlpm.txt,TRIM(SUBSTITUTE(L88,CHAR(160),"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building.dairy@1</v>
      </c>
      <c r="O88" s="90">
        <f t="shared" si="5"/>
        <v>87</v>
      </c>
      <c r="P88" s="114" t="s">
        <v>6286</v>
      </c>
      <c r="Q88" s="115" t="str" cm="1">
        <f t="array" ref="Q88">_xlfn.LET(
    _xlpm.txt,TRIM(SUBSTITUTE(P88,CHAR(160),"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building.garden@3</v>
      </c>
      <c r="S88" s="88"/>
      <c r="T88" s="89" t="s">
        <v>6286</v>
      </c>
      <c r="U88" s="113"/>
    </row>
    <row r="89" spans="1:21" ht="42.5" thickBot="1">
      <c r="A89" t="s">
        <v>115</v>
      </c>
      <c r="B89" t="s">
        <v>165</v>
      </c>
      <c r="C89" t="s">
        <v>2092</v>
      </c>
      <c r="D89" t="str">
        <f>IF(tblTargets[[#This Row],[TargetType]]="state",UPPER(_xlfn.TEXTBEFORE(_xlfn.TEXTAFTER(tblTargets[[#This Row],[TargetID]],"state."),"_")),"")</f>
        <v/>
      </c>
      <c r="E89" t="b">
        <v>1</v>
      </c>
      <c r="F89" t="s">
        <v>3599</v>
      </c>
      <c r="G89">
        <f>IF(RIGHT(tblTargets[[#This Row],[TargetID]],5)="maxed","",IF(tblTargets[[#This Row],[TargetType]]="BUILDING",_xlfn.XLOOKUP(tblTargets[[#This Row],[TargetID]],Targets!$Q$2:$Q$101,Targets!$O$2:$O$101),"Not a building"))</f>
        <v>84</v>
      </c>
      <c r="H89">
        <f>IF(RIGHT(tblTargets[[#This Row],[TargetID]],5)="maxed","",IF(tblTargets[[#This Row],[TargetType]]="BUILDING",_xlfn.XLOOKUP(tblTargets[[#This Row],[TargetID]],Targets!$M$2:$M$101,Targets!$K$2:$K$101),"Not a building"))</f>
        <v>14</v>
      </c>
      <c r="K89" s="90">
        <f t="shared" si="4"/>
        <v>88</v>
      </c>
      <c r="L89" s="91" t="s">
        <v>6374</v>
      </c>
      <c r="M89" s="115" t="str" cm="1">
        <f t="array" ref="M89">_xlfn.LET(
    _xlpm.txt,TRIM(SUBSTITUTE(L89,CHAR(160),"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building.dairy@2</v>
      </c>
      <c r="O89" s="90">
        <f t="shared" si="5"/>
        <v>88</v>
      </c>
      <c r="P89" s="114" t="s">
        <v>6427</v>
      </c>
      <c r="Q89" s="115" t="str" cm="1">
        <f t="array" ref="Q89">_xlfn.LET(
    _xlpm.txt,TRIM(SUBSTITUTE(P89,CHAR(160),"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building.bonsai@1</v>
      </c>
      <c r="S89" s="88"/>
      <c r="T89" s="115" t="s">
        <v>6310</v>
      </c>
      <c r="U89" s="111" t="s">
        <v>6396</v>
      </c>
    </row>
    <row r="90" spans="1:21" ht="16.5" thickBot="1">
      <c r="A90" t="s">
        <v>116</v>
      </c>
      <c r="B90" t="s">
        <v>518</v>
      </c>
      <c r="C90" t="s">
        <v>2092</v>
      </c>
      <c r="D90" t="str">
        <f>IF(tblTargets[[#This Row],[TargetType]]="state",UPPER(_xlfn.TEXTBEFORE(_xlfn.TEXTAFTER(tblTargets[[#This Row],[TargetID]],"state."),"_")),"")</f>
        <v/>
      </c>
      <c r="E90" t="b">
        <v>1</v>
      </c>
      <c r="F90" t="s">
        <v>3599</v>
      </c>
      <c r="G90">
        <f>IF(RIGHT(tblTargets[[#This Row],[TargetID]],5)="maxed","",IF(tblTargets[[#This Row],[TargetType]]="BUILDING",_xlfn.XLOOKUP(tblTargets[[#This Row],[TargetID]],Targets!$Q$2:$Q$101,Targets!$O$2:$O$101),"Not a building"))</f>
        <v>20</v>
      </c>
      <c r="H90">
        <f>IF(RIGHT(tblTargets[[#This Row],[TargetID]],5)="maxed","",IF(tblTargets[[#This Row],[TargetType]]="BUILDING",_xlfn.XLOOKUP(tblTargets[[#This Row],[TargetID]],Targets!$M$2:$M$101,Targets!$K$2:$K$101),"Not a building"))</f>
        <v>26</v>
      </c>
      <c r="K90" s="90">
        <f t="shared" si="4"/>
        <v>89</v>
      </c>
      <c r="L90" s="91" t="s">
        <v>6376</v>
      </c>
      <c r="M90" s="115" t="str" cm="1">
        <f t="array" ref="M90">_xlfn.LET(
    _xlpm.txt,TRIM(SUBSTITUTE(L90,CHAR(160),"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building.fermentory@4</v>
      </c>
      <c r="O90" s="90">
        <f t="shared" si="5"/>
        <v>89</v>
      </c>
      <c r="P90" s="94" t="s">
        <v>6429</v>
      </c>
      <c r="Q90" s="115" t="str" cm="1">
        <f t="array" ref="Q90">_xlfn.LET(
    _xlpm.txt,TRIM(SUBSTITUTE(P90,CHAR(160),"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building.bonsai@2</v>
      </c>
      <c r="S90" s="88"/>
      <c r="T90" s="89" t="s">
        <v>6311</v>
      </c>
      <c r="U90" s="113"/>
    </row>
    <row r="91" spans="1:21" ht="16.5" thickBot="1">
      <c r="A91" t="s">
        <v>118</v>
      </c>
      <c r="B91" t="s">
        <v>519</v>
      </c>
      <c r="C91" t="s">
        <v>2092</v>
      </c>
      <c r="D91" t="str">
        <f>IF(tblTargets[[#This Row],[TargetType]]="state",UPPER(_xlfn.TEXTBEFORE(_xlfn.TEXTAFTER(tblTargets[[#This Row],[TargetID]],"state."),"_")),"")</f>
        <v/>
      </c>
      <c r="E91" t="b">
        <v>1</v>
      </c>
      <c r="F91" t="s">
        <v>3599</v>
      </c>
      <c r="G91">
        <f>IF(RIGHT(tblTargets[[#This Row],[TargetID]],5)="maxed","",IF(tblTargets[[#This Row],[TargetType]]="BUILDING",_xlfn.XLOOKUP(tblTargets[[#This Row],[TargetID]],Targets!$Q$2:$Q$101,Targets!$O$2:$O$101),"Not a building"))</f>
        <v>21</v>
      </c>
      <c r="H91">
        <f>IF(RIGHT(tblTargets[[#This Row],[TargetID]],5)="maxed","",IF(tblTargets[[#This Row],[TargetType]]="BUILDING",_xlfn.XLOOKUP(tblTargets[[#This Row],[TargetID]],Targets!$M$2:$M$101,Targets!$K$2:$K$101),"Not a building"))</f>
        <v>27</v>
      </c>
      <c r="K91" s="90">
        <f t="shared" si="4"/>
        <v>90</v>
      </c>
      <c r="L91" s="91" t="s">
        <v>6378</v>
      </c>
      <c r="M91" s="115" t="str" cm="1">
        <f t="array" ref="M91">_xlfn.LET(
    _xlpm.txt,TRIM(SUBSTITUTE(L91,CHAR(160),"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building.fermentory@5</v>
      </c>
      <c r="O91" s="90">
        <f t="shared" si="5"/>
        <v>90</v>
      </c>
      <c r="P91" s="94" t="s">
        <v>6312</v>
      </c>
      <c r="Q91" s="115" t="str" cm="1">
        <f t="array" ref="Q91">_xlfn.LET(
    _xlpm.txt,TRIM(SUBSTITUTE(P91,CHAR(160),"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building.onsen@1</v>
      </c>
      <c r="S91" s="88"/>
      <c r="T91" s="115" t="s">
        <v>6312</v>
      </c>
      <c r="U91" s="107" t="s">
        <v>6313</v>
      </c>
    </row>
    <row r="92" spans="1:21" ht="16.5" thickBot="1">
      <c r="A92" t="s">
        <v>119</v>
      </c>
      <c r="B92" t="s">
        <v>520</v>
      </c>
      <c r="C92" t="s">
        <v>2092</v>
      </c>
      <c r="D92" t="str">
        <f>IF(tblTargets[[#This Row],[TargetType]]="state",UPPER(_xlfn.TEXTBEFORE(_xlfn.TEXTAFTER(tblTargets[[#This Row],[TargetID]],"state."),"_")),"")</f>
        <v/>
      </c>
      <c r="E92" t="b">
        <v>1</v>
      </c>
      <c r="F92" t="s">
        <v>3599</v>
      </c>
      <c r="G92">
        <f>IF(RIGHT(tblTargets[[#This Row],[TargetID]],5)="maxed","",IF(tblTargets[[#This Row],[TargetType]]="BUILDING",_xlfn.XLOOKUP(tblTargets[[#This Row],[TargetID]],Targets!$Q$2:$Q$101,Targets!$O$2:$O$101),"Not a building"))</f>
        <v>22</v>
      </c>
      <c r="H92">
        <f>IF(RIGHT(tblTargets[[#This Row],[TargetID]],5)="maxed","",IF(tblTargets[[#This Row],[TargetType]]="BUILDING",_xlfn.XLOOKUP(tblTargets[[#This Row],[TargetID]],Targets!$M$2:$M$101,Targets!$K$2:$K$101),"Not a building"))</f>
        <v>28</v>
      </c>
      <c r="K92" s="90">
        <f t="shared" si="4"/>
        <v>91</v>
      </c>
      <c r="L92" s="91" t="s">
        <v>6379</v>
      </c>
      <c r="M92" s="115" t="str" cm="1">
        <f t="array" ref="M92">_xlfn.LET(
    _xlpm.txt,TRIM(SUBSTITUTE(L92,CHAR(160),"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building.fermentory@6</v>
      </c>
      <c r="O92" s="90">
        <f t="shared" si="5"/>
        <v>91</v>
      </c>
      <c r="P92" s="94" t="s">
        <v>6314</v>
      </c>
      <c r="Q92" s="115" t="str" cm="1">
        <f t="array" ref="Q92">_xlfn.LET(
    _xlpm.txt,TRIM(SUBSTITUTE(P92,CHAR(160),"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building.onsen@2</v>
      </c>
      <c r="S92" s="88"/>
      <c r="T92" s="89" t="s">
        <v>6314</v>
      </c>
      <c r="U92" s="116" t="s">
        <v>6412</v>
      </c>
    </row>
    <row r="93" spans="1:21" ht="84.5" thickBot="1">
      <c r="A93" t="s">
        <v>120</v>
      </c>
      <c r="B93" t="s">
        <v>521</v>
      </c>
      <c r="C93" t="s">
        <v>2092</v>
      </c>
      <c r="D93" t="str">
        <f>IF(tblTargets[[#This Row],[TargetType]]="state",UPPER(_xlfn.TEXTBEFORE(_xlfn.TEXTAFTER(tblTargets[[#This Row],[TargetID]],"state."),"_")),"")</f>
        <v/>
      </c>
      <c r="E93" t="b">
        <v>1</v>
      </c>
      <c r="F93" t="s">
        <v>3599</v>
      </c>
      <c r="G93">
        <f>IF(RIGHT(tblTargets[[#This Row],[TargetID]],5)="maxed","",IF(tblTargets[[#This Row],[TargetType]]="BUILDING",_xlfn.XLOOKUP(tblTargets[[#This Row],[TargetID]],Targets!$Q$2:$Q$101,Targets!$O$2:$O$101),"Not a building"))</f>
        <v>24</v>
      </c>
      <c r="H93">
        <f>IF(RIGHT(tblTargets[[#This Row],[TargetID]],5)="maxed","",IF(tblTargets[[#This Row],[TargetType]]="BUILDING",_xlfn.XLOOKUP(tblTargets[[#This Row],[TargetID]],Targets!$M$2:$M$101,Targets!$K$2:$K$101),"Not a building"))</f>
        <v>55</v>
      </c>
      <c r="K93" s="90">
        <f t="shared" si="4"/>
        <v>92</v>
      </c>
      <c r="L93" s="114" t="s">
        <v>6380</v>
      </c>
      <c r="M93" s="115" t="str" cm="1">
        <f t="array" ref="M93">_xlfn.LET(
    _xlpm.txt,TRIM(SUBSTITUTE(L93,CHAR(160),"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building.warehouse@2</v>
      </c>
      <c r="O93" s="90">
        <f t="shared" si="5"/>
        <v>92</v>
      </c>
      <c r="P93" s="94" t="s">
        <v>6380</v>
      </c>
      <c r="Q93" s="115" t="str" cm="1">
        <f t="array" ref="Q93">_xlfn.LET(
    _xlpm.txt,TRIM(SUBSTITUTE(P93,CHAR(160),"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building.warehouse@2</v>
      </c>
      <c r="S93" s="88"/>
      <c r="T93" s="115" t="s">
        <v>6380</v>
      </c>
      <c r="U93" s="111" t="s">
        <v>6451</v>
      </c>
    </row>
    <row r="94" spans="1:21" ht="44" thickBot="1">
      <c r="A94" t="s">
        <v>2684</v>
      </c>
      <c r="B94" t="s">
        <v>2693</v>
      </c>
      <c r="C94" t="s">
        <v>2092</v>
      </c>
      <c r="D94" t="str">
        <f>IF(tblTargets[[#This Row],[TargetType]]="state",UPPER(_xlfn.TEXTBEFORE(_xlfn.TEXTAFTER(tblTargets[[#This Row],[TargetID]],"state."),"_")),"")</f>
        <v/>
      </c>
      <c r="E94" t="b">
        <v>1</v>
      </c>
      <c r="F94" t="s">
        <v>3600</v>
      </c>
      <c r="G94" t="str">
        <f>IF(RIGHT(tblTargets[[#This Row],[TargetID]],5)="maxed","",IF(tblTargets[[#This Row],[TargetType]]="BUILDING",_xlfn.XLOOKUP(tblTargets[[#This Row],[TargetID]],Targets!$Q$2:$Q$101,Targets!$O$2:$O$101),"Not a building"))</f>
        <v/>
      </c>
      <c r="H94" t="str">
        <f>IF(RIGHT(tblTargets[[#This Row],[TargetID]],5)="maxed","",IF(tblTargets[[#This Row],[TargetType]]="BUILDING",_xlfn.XLOOKUP(tblTargets[[#This Row],[TargetID]],Targets!$M$2:$M$101,Targets!$K$2:$K$101),"Not a building"))</f>
        <v/>
      </c>
      <c r="K94" s="90">
        <f t="shared" si="4"/>
        <v>93</v>
      </c>
      <c r="L94" s="91" t="s">
        <v>6382</v>
      </c>
      <c r="M94" s="115" t="str" cm="1">
        <f t="array" ref="M94">_xlfn.LET(
    _xlpm.txt,TRIM(SUBSTITUTE(L94,CHAR(160),"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building.warehouse@3</v>
      </c>
      <c r="O94" s="90">
        <f t="shared" si="5"/>
        <v>93</v>
      </c>
      <c r="P94" s="94" t="s">
        <v>6382</v>
      </c>
      <c r="Q94" s="115" t="str" cm="1">
        <f t="array" ref="Q94">_xlfn.LET(
    _xlpm.txt,TRIM(SUBSTITUTE(P94,CHAR(160),"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building.warehouse@3</v>
      </c>
      <c r="S94" s="88"/>
      <c r="T94" s="89" t="s">
        <v>6382</v>
      </c>
      <c r="U94" s="108" t="s">
        <v>6381</v>
      </c>
    </row>
    <row r="95" spans="1:21" ht="28.5" thickBot="1">
      <c r="A95" t="s">
        <v>121</v>
      </c>
      <c r="B95" t="s">
        <v>522</v>
      </c>
      <c r="C95" t="s">
        <v>2092</v>
      </c>
      <c r="D95" t="str">
        <f>IF(tblTargets[[#This Row],[TargetType]]="state",UPPER(_xlfn.TEXTBEFORE(_xlfn.TEXTAFTER(tblTargets[[#This Row],[TargetID]],"state."),"_")),"")</f>
        <v/>
      </c>
      <c r="E95" t="b">
        <v>1</v>
      </c>
      <c r="F95" t="s">
        <v>3599</v>
      </c>
      <c r="G95">
        <f>IF(RIGHT(tblTargets[[#This Row],[TargetID]],5)="maxed","",IF(tblTargets[[#This Row],[TargetType]]="BUILDING",_xlfn.XLOOKUP(tblTargets[[#This Row],[TargetID]],Targets!$Q$2:$Q$101,Targets!$O$2:$O$101),"Not a building"))</f>
        <v>3</v>
      </c>
      <c r="H95">
        <f>IF(RIGHT(tblTargets[[#This Row],[TargetID]],5)="maxed","",IF(tblTargets[[#This Row],[TargetType]]="BUILDING",_xlfn.XLOOKUP(tblTargets[[#This Row],[TargetID]],Targets!$M$2:$M$101,Targets!$K$2:$K$101),"Not a building"))</f>
        <v>3</v>
      </c>
      <c r="K95" s="90">
        <f t="shared" si="4"/>
        <v>94</v>
      </c>
      <c r="L95" s="91" t="s">
        <v>6383</v>
      </c>
      <c r="M95" s="115" t="str" cm="1">
        <f t="array" ref="M95">_xlfn.LET(
    _xlpm.txt,TRIM(SUBSTITUTE(L95,CHAR(160),"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building.warehouse@4</v>
      </c>
      <c r="O95" s="90">
        <f t="shared" si="5"/>
        <v>94</v>
      </c>
      <c r="P95" s="114" t="s">
        <v>6383</v>
      </c>
      <c r="Q95" s="115" t="str" cm="1">
        <f t="array" ref="Q95">_xlfn.LET(
    _xlpm.txt,TRIM(SUBSTITUTE(P95,CHAR(160),"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building.warehouse@4</v>
      </c>
      <c r="S95" s="88"/>
      <c r="T95" s="89" t="s">
        <v>6383</v>
      </c>
      <c r="U95" s="112" t="s">
        <v>6452</v>
      </c>
    </row>
    <row r="96" spans="1:21" ht="16.5" thickBot="1">
      <c r="A96" t="s">
        <v>123</v>
      </c>
      <c r="B96" t="s">
        <v>523</v>
      </c>
      <c r="C96" t="s">
        <v>2092</v>
      </c>
      <c r="D96" t="str">
        <f>IF(tblTargets[[#This Row],[TargetType]]="state",UPPER(_xlfn.TEXTBEFORE(_xlfn.TEXTAFTER(tblTargets[[#This Row],[TargetID]],"state."),"_")),"")</f>
        <v/>
      </c>
      <c r="E96" t="b">
        <v>1</v>
      </c>
      <c r="F96" t="s">
        <v>3599</v>
      </c>
      <c r="G96">
        <f>IF(RIGHT(tblTargets[[#This Row],[TargetID]],5)="maxed","",IF(tblTargets[[#This Row],[TargetType]]="BUILDING",_xlfn.XLOOKUP(tblTargets[[#This Row],[TargetID]],Targets!$Q$2:$Q$101,Targets!$O$2:$O$101),"Not a building"))</f>
        <v>98</v>
      </c>
      <c r="H96">
        <f>IF(RIGHT(tblTargets[[#This Row],[TargetID]],5)="maxed","",IF(tblTargets[[#This Row],[TargetType]]="BUILDING",_xlfn.XLOOKUP(tblTargets[[#This Row],[TargetID]],Targets!$M$2:$M$101,Targets!$K$2:$K$101),"Not a building"))</f>
        <v>98</v>
      </c>
      <c r="K96" s="90">
        <f t="shared" si="4"/>
        <v>95</v>
      </c>
      <c r="L96" s="91" t="s">
        <v>6384</v>
      </c>
      <c r="M96" s="115" t="str" cm="1">
        <f t="array" ref="M96">_xlfn.LET(
    _xlpm.txt,TRIM(SUBSTITUTE(L96,CHAR(160),"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building.warehouse@5</v>
      </c>
      <c r="O96" s="90">
        <f t="shared" si="5"/>
        <v>95</v>
      </c>
      <c r="P96" s="91" t="s">
        <v>6384</v>
      </c>
      <c r="Q96" s="115" t="str" cm="1">
        <f t="array" ref="Q96">_xlfn.LET(
    _xlpm.txt,TRIM(SUBSTITUTE(P96,CHAR(160),"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building.warehouse@5</v>
      </c>
      <c r="S96" s="88"/>
      <c r="T96" s="89" t="s">
        <v>6384</v>
      </c>
      <c r="U96" s="108"/>
    </row>
    <row r="97" spans="1:21" ht="16.5" thickBot="1">
      <c r="A97" t="s">
        <v>124</v>
      </c>
      <c r="B97" t="s">
        <v>524</v>
      </c>
      <c r="C97" t="s">
        <v>2092</v>
      </c>
      <c r="D97" t="str">
        <f>IF(tblTargets[[#This Row],[TargetType]]="state",UPPER(_xlfn.TEXTBEFORE(_xlfn.TEXTAFTER(tblTargets[[#This Row],[TargetID]],"state."),"_")),"")</f>
        <v/>
      </c>
      <c r="E97" t="b">
        <v>1</v>
      </c>
      <c r="F97" t="s">
        <v>3599</v>
      </c>
      <c r="G97">
        <f>IF(RIGHT(tblTargets[[#This Row],[TargetID]],5)="maxed","",IF(tblTargets[[#This Row],[TargetType]]="BUILDING",_xlfn.XLOOKUP(tblTargets[[#This Row],[TargetID]],Targets!$Q$2:$Q$101,Targets!$O$2:$O$101),"Not a building"))</f>
        <v>99</v>
      </c>
      <c r="H97">
        <f>IF(RIGHT(tblTargets[[#This Row],[TargetID]],5)="maxed","",IF(tblTargets[[#This Row],[TargetType]]="BUILDING",_xlfn.XLOOKUP(tblTargets[[#This Row],[TargetID]],Targets!$M$2:$M$101,Targets!$K$2:$K$101),"Not a building"))</f>
        <v>99</v>
      </c>
      <c r="K97" s="90">
        <f t="shared" si="4"/>
        <v>96</v>
      </c>
      <c r="L97" s="91" t="s">
        <v>6385</v>
      </c>
      <c r="M97" s="115" t="str" cm="1">
        <f t="array" ref="M97">_xlfn.LET(
    _xlpm.txt,TRIM(SUBSTITUTE(L97,CHAR(160),"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building.warehouse@6</v>
      </c>
      <c r="O97" s="90">
        <f t="shared" si="5"/>
        <v>96</v>
      </c>
      <c r="P97" s="114" t="s">
        <v>6385</v>
      </c>
      <c r="Q97" s="115" t="str" cm="1">
        <f t="array" ref="Q97">_xlfn.LET(
    _xlpm.txt,TRIM(SUBSTITUTE(P97,CHAR(160),"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building.warehouse@6</v>
      </c>
      <c r="S97" s="88"/>
      <c r="T97" s="89" t="s">
        <v>6385</v>
      </c>
      <c r="U97" s="108"/>
    </row>
    <row r="98" spans="1:21" ht="16.5" thickBot="1">
      <c r="A98" t="s">
        <v>2685</v>
      </c>
      <c r="B98" t="s">
        <v>2694</v>
      </c>
      <c r="C98" t="s">
        <v>2092</v>
      </c>
      <c r="D98" t="str">
        <f>IF(tblTargets[[#This Row],[TargetType]]="state",UPPER(_xlfn.TEXTBEFORE(_xlfn.TEXTAFTER(tblTargets[[#This Row],[TargetID]],"state."),"_")),"")</f>
        <v/>
      </c>
      <c r="E98" t="b">
        <v>1</v>
      </c>
      <c r="F98" t="s">
        <v>3600</v>
      </c>
      <c r="G98" t="str">
        <f>IF(RIGHT(tblTargets[[#This Row],[TargetID]],5)="maxed","",IF(tblTargets[[#This Row],[TargetType]]="BUILDING",_xlfn.XLOOKUP(tblTargets[[#This Row],[TargetID]],Targets!$Q$2:$Q$101,Targets!$O$2:$O$101),"Not a building"))</f>
        <v/>
      </c>
      <c r="H98" t="str">
        <f>IF(RIGHT(tblTargets[[#This Row],[TargetID]],5)="maxed","",IF(tblTargets[[#This Row],[TargetType]]="BUILDING",_xlfn.XLOOKUP(tblTargets[[#This Row],[TargetID]],Targets!$M$2:$M$101,Targets!$K$2:$K$101),"Not a building"))</f>
        <v/>
      </c>
      <c r="K98" s="90">
        <f t="shared" si="4"/>
        <v>97</v>
      </c>
      <c r="L98" s="91" t="s">
        <v>6386</v>
      </c>
      <c r="M98" s="115" t="str" cm="1">
        <f t="array" ref="M98">_xlfn.LET(
    _xlpm.txt,TRIM(SUBSTITUTE(L98,CHAR(160),"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building.warehouse@7</v>
      </c>
      <c r="O98" s="90">
        <f t="shared" si="5"/>
        <v>97</v>
      </c>
      <c r="P98" s="91" t="s">
        <v>6386</v>
      </c>
      <c r="Q98" s="115" t="str" cm="1">
        <f t="array" ref="Q98">_xlfn.LET(
    _xlpm.txt,TRIM(SUBSTITUTE(P98,CHAR(160),"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building.warehouse@7</v>
      </c>
      <c r="S98" s="88"/>
      <c r="T98" s="89" t="s">
        <v>6386</v>
      </c>
      <c r="U98" s="109"/>
    </row>
    <row r="99" spans="1:21" ht="29.5" thickBot="1">
      <c r="A99" t="s">
        <v>125</v>
      </c>
      <c r="B99" t="s">
        <v>525</v>
      </c>
      <c r="C99" t="s">
        <v>2092</v>
      </c>
      <c r="D99" t="str">
        <f>IF(tblTargets[[#This Row],[TargetType]]="state",UPPER(_xlfn.TEXTBEFORE(_xlfn.TEXTAFTER(tblTargets[[#This Row],[TargetID]],"state."),"_")),"")</f>
        <v/>
      </c>
      <c r="E99" t="b">
        <v>1</v>
      </c>
      <c r="F99" t="s">
        <v>3599</v>
      </c>
      <c r="G99">
        <f>IF(RIGHT(tblTargets[[#This Row],[TargetID]],5)="maxed","",IF(tblTargets[[#This Row],[TargetType]]="BUILDING",_xlfn.XLOOKUP(tblTargets[[#This Row],[TargetID]],Targets!$Q$2:$Q$101,Targets!$O$2:$O$101),"Not a building"))</f>
        <v>40</v>
      </c>
      <c r="H99">
        <f>IF(RIGHT(tblTargets[[#This Row],[TargetID]],5)="maxed","",IF(tblTargets[[#This Row],[TargetType]]="BUILDING",_xlfn.XLOOKUP(tblTargets[[#This Row],[TargetID]],Targets!$M$2:$M$101,Targets!$K$2:$K$101),"Not a building"))</f>
        <v>50</v>
      </c>
      <c r="K99" s="90">
        <f t="shared" si="4"/>
        <v>98</v>
      </c>
      <c r="L99" s="114" t="s">
        <v>6387</v>
      </c>
      <c r="M99" s="115" t="str" cm="1">
        <f t="array" ref="M99">_xlfn.LET(
    _xlpm.txt,TRIM(SUBSTITUTE(L99,CHAR(160),"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building.shop@2</v>
      </c>
      <c r="O99" s="90">
        <f t="shared" si="5"/>
        <v>98</v>
      </c>
      <c r="P99" s="91" t="s">
        <v>6387</v>
      </c>
      <c r="Q99" s="115" t="str" cm="1">
        <f t="array" ref="Q99">_xlfn.LET(
    _xlpm.txt,TRIM(SUBSTITUTE(P99,CHAR(160),"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building.shop@2</v>
      </c>
      <c r="S99" s="88"/>
      <c r="T99" s="115" t="s">
        <v>6387</v>
      </c>
      <c r="U99" s="107" t="s">
        <v>6388</v>
      </c>
    </row>
    <row r="100" spans="1:21" ht="16.5" thickBot="1">
      <c r="A100" t="s">
        <v>127</v>
      </c>
      <c r="B100" t="s">
        <v>526</v>
      </c>
      <c r="C100" t="s">
        <v>2092</v>
      </c>
      <c r="D100" t="str">
        <f>IF(tblTargets[[#This Row],[TargetType]]="state",UPPER(_xlfn.TEXTBEFORE(_xlfn.TEXTAFTER(tblTargets[[#This Row],[TargetID]],"state."),"_")),"")</f>
        <v/>
      </c>
      <c r="E100" t="b">
        <v>1</v>
      </c>
      <c r="F100" t="s">
        <v>3599</v>
      </c>
      <c r="G100">
        <f>IF(RIGHT(tblTargets[[#This Row],[TargetID]],5)="maxed","",IF(tblTargets[[#This Row],[TargetType]]="BUILDING",_xlfn.XLOOKUP(tblTargets[[#This Row],[TargetID]],Targets!$Q$2:$Q$101,Targets!$O$2:$O$101),"Not a building"))</f>
        <v>41</v>
      </c>
      <c r="H100">
        <f>IF(RIGHT(tblTargets[[#This Row],[TargetID]],5)="maxed","",IF(tblTargets[[#This Row],[TargetType]]="BUILDING",_xlfn.XLOOKUP(tblTargets[[#This Row],[TargetID]],Targets!$M$2:$M$101,Targets!$K$2:$K$101),"Not a building"))</f>
        <v>51</v>
      </c>
      <c r="K100" s="90">
        <f t="shared" si="4"/>
        <v>99</v>
      </c>
      <c r="L100" s="91" t="s">
        <v>6389</v>
      </c>
      <c r="M100" s="115" t="str" cm="1">
        <f t="array" ref="M100">_xlfn.LET(
    _xlpm.txt,TRIM(SUBSTITUTE(L100,CHAR(160),"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building.shop@3</v>
      </c>
      <c r="O100" s="90">
        <f t="shared" si="5"/>
        <v>99</v>
      </c>
      <c r="P100" s="91" t="s">
        <v>6389</v>
      </c>
      <c r="Q100" s="115" t="str" cm="1">
        <f t="array" ref="Q100">_xlfn.LET(
    _xlpm.txt,TRIM(SUBSTITUTE(P100,CHAR(160),"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building.shop@3</v>
      </c>
      <c r="S100" s="88"/>
      <c r="T100" s="89" t="s">
        <v>6389</v>
      </c>
      <c r="U100" s="107" t="s">
        <v>6390</v>
      </c>
    </row>
    <row r="101" spans="1:21" ht="44" thickBot="1">
      <c r="A101" t="s">
        <v>128</v>
      </c>
      <c r="B101" t="s">
        <v>527</v>
      </c>
      <c r="C101" t="s">
        <v>2092</v>
      </c>
      <c r="D101" t="str">
        <f>IF(tblTargets[[#This Row],[TargetType]]="state",UPPER(_xlfn.TEXTBEFORE(_xlfn.TEXTAFTER(tblTargets[[#This Row],[TargetID]],"state."),"_")),"")</f>
        <v/>
      </c>
      <c r="E101" t="b">
        <v>1</v>
      </c>
      <c r="F101" t="s">
        <v>3599</v>
      </c>
      <c r="G101">
        <f>IF(RIGHT(tblTargets[[#This Row],[TargetID]],5)="maxed","",IF(tblTargets[[#This Row],[TargetType]]="BUILDING",_xlfn.XLOOKUP(tblTargets[[#This Row],[TargetID]],Targets!$Q$2:$Q$101,Targets!$O$2:$O$101),"Not a building"))</f>
        <v>42</v>
      </c>
      <c r="H101">
        <f>IF(RIGHT(tblTargets[[#This Row],[TargetID]],5)="maxed","",IF(tblTargets[[#This Row],[TargetType]]="BUILDING",_xlfn.XLOOKUP(tblTargets[[#This Row],[TargetID]],Targets!$M$2:$M$101,Targets!$K$2:$K$101),"Not a building"))</f>
        <v>52</v>
      </c>
      <c r="K101" s="90">
        <f t="shared" si="4"/>
        <v>100</v>
      </c>
      <c r="L101" s="114" t="s">
        <v>6391</v>
      </c>
      <c r="M101" s="115" t="str" cm="1">
        <f t="array" ref="M101">_xlfn.LET(
    _xlpm.txt,TRIM(SUBSTITUTE(L101,CHAR(160),"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building.gong@1</v>
      </c>
      <c r="O101" s="90">
        <f t="shared" si="5"/>
        <v>100</v>
      </c>
      <c r="P101" s="91" t="s">
        <v>6391</v>
      </c>
      <c r="Q101" s="115" t="str" cm="1">
        <f t="array" ref="Q101">_xlfn.LET(
    _xlpm.txt,TRIM(SUBSTITUTE(P101,CHAR(160),"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building.gong@1</v>
      </c>
      <c r="S101" s="88"/>
      <c r="T101" s="115" t="s">
        <v>6391</v>
      </c>
      <c r="U101" s="107" t="s">
        <v>6392</v>
      </c>
    </row>
    <row r="102" spans="1:21" ht="16.5" thickBot="1">
      <c r="A102" t="s">
        <v>129</v>
      </c>
      <c r="B102" t="s">
        <v>528</v>
      </c>
      <c r="C102" t="s">
        <v>2092</v>
      </c>
      <c r="D102" t="str">
        <f>IF(tblTargets[[#This Row],[TargetType]]="state",UPPER(_xlfn.TEXTBEFORE(_xlfn.TEXTAFTER(tblTargets[[#This Row],[TargetID]],"state."),"_")),"")</f>
        <v/>
      </c>
      <c r="E102" t="b">
        <v>1</v>
      </c>
      <c r="F102" t="s">
        <v>3599</v>
      </c>
      <c r="G102">
        <f>IF(RIGHT(tblTargets[[#This Row],[TargetID]],5)="maxed","",IF(tblTargets[[#This Row],[TargetType]]="BUILDING",_xlfn.XLOOKUP(tblTargets[[#This Row],[TargetID]],Targets!$Q$2:$Q$101,Targets!$O$2:$O$101),"Not a building"))</f>
        <v>69</v>
      </c>
      <c r="H102">
        <f>IF(RIGHT(tblTargets[[#This Row],[TargetID]],5)="maxed","",IF(tblTargets[[#This Row],[TargetType]]="BUILDING",_xlfn.XLOOKUP(tblTargets[[#This Row],[TargetID]],Targets!$M$2:$M$101,Targets!$K$2:$K$101),"Not a building"))</f>
        <v>79</v>
      </c>
      <c r="K102" s="90"/>
    </row>
    <row r="103" spans="1:21">
      <c r="A103" t="s">
        <v>2686</v>
      </c>
      <c r="B103" t="s">
        <v>2695</v>
      </c>
      <c r="C103" t="s">
        <v>2092</v>
      </c>
      <c r="D103" t="str">
        <f>IF(tblTargets[[#This Row],[TargetType]]="state",UPPER(_xlfn.TEXTBEFORE(_xlfn.TEXTAFTER(tblTargets[[#This Row],[TargetID]],"state."),"_")),"")</f>
        <v/>
      </c>
      <c r="E103" t="b">
        <v>1</v>
      </c>
      <c r="F103" t="s">
        <v>3600</v>
      </c>
      <c r="G103" t="str">
        <f>IF(RIGHT(tblTargets[[#This Row],[TargetID]],5)="maxed","",IF(tblTargets[[#This Row],[TargetType]]="BUILDING",_xlfn.XLOOKUP(tblTargets[[#This Row],[TargetID]],Targets!$Q$2:$Q$101,Targets!$O$2:$O$101),"Not a building"))</f>
        <v/>
      </c>
      <c r="H103" t="str">
        <f>IF(RIGHT(tblTargets[[#This Row],[TargetID]],5)="maxed","",IF(tblTargets[[#This Row],[TargetType]]="BUILDING",_xlfn.XLOOKUP(tblTargets[[#This Row],[TargetID]],Targets!$M$2:$M$101,Targets!$K$2:$K$101),"Not a building"))</f>
        <v/>
      </c>
      <c r="O103" s="92"/>
    </row>
    <row r="104" spans="1:21">
      <c r="A104" t="s">
        <v>131</v>
      </c>
      <c r="B104" t="s">
        <v>529</v>
      </c>
      <c r="C104" t="s">
        <v>2092</v>
      </c>
      <c r="D104" t="str">
        <f>IF(tblTargets[[#This Row],[TargetType]]="state",UPPER(_xlfn.TEXTBEFORE(_xlfn.TEXTAFTER(tblTargets[[#This Row],[TargetID]],"state."),"_")),"")</f>
        <v/>
      </c>
      <c r="E104" t="b">
        <v>1</v>
      </c>
      <c r="F104" t="s">
        <v>3599</v>
      </c>
      <c r="G104">
        <f>IF(RIGHT(tblTargets[[#This Row],[TargetID]],5)="maxed","",IF(tblTargets[[#This Row],[TargetType]]="BUILDING",_xlfn.XLOOKUP(tblTargets[[#This Row],[TargetID]],Targets!$Q$2:$Q$101,Targets!$O$2:$O$101),"Not a building"))</f>
        <v>47</v>
      </c>
      <c r="H104">
        <f>IF(RIGHT(tblTargets[[#This Row],[TargetID]],5)="maxed","",IF(tblTargets[[#This Row],[TargetType]]="BUILDING",_xlfn.XLOOKUP(tblTargets[[#This Row],[TargetID]],Targets!$M$2:$M$101,Targets!$K$2:$K$101),"Not a building"))</f>
        <v>57</v>
      </c>
      <c r="O104" s="93"/>
    </row>
    <row r="105" spans="1:21">
      <c r="A105" t="s">
        <v>133</v>
      </c>
      <c r="B105" t="s">
        <v>530</v>
      </c>
      <c r="C105" t="s">
        <v>2092</v>
      </c>
      <c r="D105" t="str">
        <f>IF(tblTargets[[#This Row],[TargetType]]="state",UPPER(_xlfn.TEXTBEFORE(_xlfn.TEXTAFTER(tblTargets[[#This Row],[TargetID]],"state."),"_")),"")</f>
        <v/>
      </c>
      <c r="E105" t="b">
        <v>1</v>
      </c>
      <c r="F105" t="s">
        <v>3599</v>
      </c>
      <c r="G105">
        <f>IF(RIGHT(tblTargets[[#This Row],[TargetID]],5)="maxed","",IF(tblTargets[[#This Row],[TargetType]]="BUILDING",_xlfn.XLOOKUP(tblTargets[[#This Row],[TargetID]],Targets!$Q$2:$Q$101,Targets!$O$2:$O$101),"Not a building"))</f>
        <v>48</v>
      </c>
      <c r="H105">
        <f>IF(RIGHT(tblTargets[[#This Row],[TargetID]],5)="maxed","",IF(tblTargets[[#This Row],[TargetType]]="BUILDING",_xlfn.XLOOKUP(tblTargets[[#This Row],[TargetID]],Targets!$M$2:$M$101,Targets!$K$2:$K$101),"Not a building"))</f>
        <v>58</v>
      </c>
    </row>
    <row r="106" spans="1:21">
      <c r="A106" t="s">
        <v>134</v>
      </c>
      <c r="B106" t="s">
        <v>531</v>
      </c>
      <c r="C106" t="s">
        <v>2092</v>
      </c>
      <c r="D106" t="str">
        <f>IF(tblTargets[[#This Row],[TargetType]]="state",UPPER(_xlfn.TEXTBEFORE(_xlfn.TEXTAFTER(tblTargets[[#This Row],[TargetID]],"state."),"_")),"")</f>
        <v/>
      </c>
      <c r="E106" t="b">
        <v>1</v>
      </c>
      <c r="F106" t="s">
        <v>3599</v>
      </c>
      <c r="G106">
        <f>IF(RIGHT(tblTargets[[#This Row],[TargetID]],5)="maxed","",IF(tblTargets[[#This Row],[TargetType]]="BUILDING",_xlfn.XLOOKUP(tblTargets[[#This Row],[TargetID]],Targets!$Q$2:$Q$101,Targets!$O$2:$O$101),"Not a building"))</f>
        <v>49</v>
      </c>
      <c r="H106">
        <f>IF(RIGHT(tblTargets[[#This Row],[TargetID]],5)="maxed","",IF(tblTargets[[#This Row],[TargetType]]="BUILDING",_xlfn.XLOOKUP(tblTargets[[#This Row],[TargetID]],Targets!$M$2:$M$101,Targets!$K$2:$K$101),"Not a building"))</f>
        <v>60</v>
      </c>
    </row>
    <row r="107" spans="1:21">
      <c r="A107" t="s">
        <v>2687</v>
      </c>
      <c r="B107" t="s">
        <v>2696</v>
      </c>
      <c r="C107" t="s">
        <v>2092</v>
      </c>
      <c r="D107" t="str">
        <f>IF(tblTargets[[#This Row],[TargetType]]="state",UPPER(_xlfn.TEXTBEFORE(_xlfn.TEXTAFTER(tblTargets[[#This Row],[TargetID]],"state."),"_")),"")</f>
        <v/>
      </c>
      <c r="E107" t="b">
        <v>1</v>
      </c>
      <c r="F107" t="s">
        <v>3600</v>
      </c>
      <c r="G107" t="str">
        <f>IF(RIGHT(tblTargets[[#This Row],[TargetID]],5)="maxed","",IF(tblTargets[[#This Row],[TargetType]]="BUILDING",_xlfn.XLOOKUP(tblTargets[[#This Row],[TargetID]],Targets!$Q$2:$Q$101,Targets!$O$2:$O$101),"Not a building"))</f>
        <v/>
      </c>
      <c r="H107" t="str">
        <f>IF(RIGHT(tblTargets[[#This Row],[TargetID]],5)="maxed","",IF(tblTargets[[#This Row],[TargetType]]="BUILDING",_xlfn.XLOOKUP(tblTargets[[#This Row],[TargetID]],Targets!$M$2:$M$101,Targets!$K$2:$K$101),"Not a building"))</f>
        <v/>
      </c>
    </row>
    <row r="108" spans="1:21">
      <c r="A108" t="s">
        <v>135</v>
      </c>
      <c r="B108" t="s">
        <v>532</v>
      </c>
      <c r="C108" t="s">
        <v>2092</v>
      </c>
      <c r="D108" t="str">
        <f>IF(tblTargets[[#This Row],[TargetType]]="state",UPPER(_xlfn.TEXTBEFORE(_xlfn.TEXTAFTER(tblTargets[[#This Row],[TargetID]],"state."),"_")),"")</f>
        <v/>
      </c>
      <c r="E108" t="b">
        <v>1</v>
      </c>
      <c r="F108" t="s">
        <v>3599</v>
      </c>
      <c r="G108">
        <f>IF(RIGHT(tblTargets[[#This Row],[TargetID]],5)="maxed","",IF(tblTargets[[#This Row],[TargetType]]="BUILDING",_xlfn.XLOOKUP(tblTargets[[#This Row],[TargetID]],Targets!$Q$2:$Q$101,Targets!$O$2:$O$101),"Not a building"))</f>
        <v>70</v>
      </c>
      <c r="H108">
        <f>IF(RIGHT(tblTargets[[#This Row],[TargetID]],5)="maxed","",IF(tblTargets[[#This Row],[TargetType]]="BUILDING",_xlfn.XLOOKUP(tblTargets[[#This Row],[TargetID]],Targets!$M$2:$M$101,Targets!$K$2:$K$101),"Not a building"))</f>
        <v>80</v>
      </c>
    </row>
    <row r="109" spans="1:21">
      <c r="A109" t="s">
        <v>137</v>
      </c>
      <c r="B109" t="s">
        <v>533</v>
      </c>
      <c r="C109" t="s">
        <v>2092</v>
      </c>
      <c r="D109" t="str">
        <f>IF(tblTargets[[#This Row],[TargetType]]="state",UPPER(_xlfn.TEXTBEFORE(_xlfn.TEXTAFTER(tblTargets[[#This Row],[TargetID]],"state."),"_")),"")</f>
        <v/>
      </c>
      <c r="E109" t="b">
        <v>1</v>
      </c>
      <c r="F109" t="s">
        <v>3599</v>
      </c>
      <c r="G109">
        <f>IF(RIGHT(tblTargets[[#This Row],[TargetID]],5)="maxed","",IF(tblTargets[[#This Row],[TargetType]]="BUILDING",_xlfn.XLOOKUP(tblTargets[[#This Row],[TargetID]],Targets!$Q$2:$Q$101,Targets!$O$2:$O$101),"Not a building"))</f>
        <v>71</v>
      </c>
      <c r="H109">
        <f>IF(RIGHT(tblTargets[[#This Row],[TargetID]],5)="maxed","",IF(tblTargets[[#This Row],[TargetType]]="BUILDING",_xlfn.XLOOKUP(tblTargets[[#This Row],[TargetID]],Targets!$M$2:$M$101,Targets!$K$2:$K$101),"Not a building"))</f>
        <v>81</v>
      </c>
    </row>
    <row r="110" spans="1:21">
      <c r="A110" t="s">
        <v>138</v>
      </c>
      <c r="B110" t="s">
        <v>534</v>
      </c>
      <c r="C110" t="s">
        <v>2092</v>
      </c>
      <c r="D110" t="str">
        <f>IF(tblTargets[[#This Row],[TargetType]]="state",UPPER(_xlfn.TEXTBEFORE(_xlfn.TEXTAFTER(tblTargets[[#This Row],[TargetID]],"state."),"_")),"")</f>
        <v/>
      </c>
      <c r="E110" t="b">
        <v>1</v>
      </c>
      <c r="F110" t="s">
        <v>3599</v>
      </c>
      <c r="G110" t="e">
        <f>IF(RIGHT(tblTargets[[#This Row],[TargetID]],5)="maxed","",IF(tblTargets[[#This Row],[TargetType]]="BUILDING",_xlfn.XLOOKUP(tblTargets[[#This Row],[TargetID]],Targets!$Q$2:$Q$101,Targets!$O$2:$O$101),"Not a building"))</f>
        <v>#N/A</v>
      </c>
      <c r="H110" t="e">
        <f>IF(RIGHT(tblTargets[[#This Row],[TargetID]],5)="maxed","",IF(tblTargets[[#This Row],[TargetType]]="BUILDING",_xlfn.XLOOKUP(tblTargets[[#This Row],[TargetID]],Targets!$M$2:$M$101,Targets!$K$2:$K$101),"Not a building"))</f>
        <v>#N/A</v>
      </c>
    </row>
    <row r="111" spans="1:21">
      <c r="A111" t="s">
        <v>141</v>
      </c>
      <c r="B111" t="s">
        <v>535</v>
      </c>
      <c r="C111" t="s">
        <v>2092</v>
      </c>
      <c r="D111" t="str">
        <f>IF(tblTargets[[#This Row],[TargetType]]="state",UPPER(_xlfn.TEXTBEFORE(_xlfn.TEXTAFTER(tblTargets[[#This Row],[TargetID]],"state."),"_")),"")</f>
        <v/>
      </c>
      <c r="E111" t="b">
        <v>1</v>
      </c>
      <c r="F111" t="s">
        <v>3599</v>
      </c>
      <c r="G111" t="e">
        <f>IF(RIGHT(tblTargets[[#This Row],[TargetID]],5)="maxed","",IF(tblTargets[[#This Row],[TargetType]]="BUILDING",_xlfn.XLOOKUP(tblTargets[[#This Row],[TargetID]],Targets!$Q$2:$Q$101,Targets!$O$2:$O$101),"Not a building"))</f>
        <v>#N/A</v>
      </c>
      <c r="H111" t="e">
        <f>IF(RIGHT(tblTargets[[#This Row],[TargetID]],5)="maxed","",IF(tblTargets[[#This Row],[TargetType]]="BUILDING",_xlfn.XLOOKUP(tblTargets[[#This Row],[TargetID]],Targets!$M$2:$M$101,Targets!$K$2:$K$101),"Not a building"))</f>
        <v>#N/A</v>
      </c>
    </row>
    <row r="112" spans="1:21">
      <c r="A112" t="s">
        <v>142</v>
      </c>
      <c r="B112" t="s">
        <v>536</v>
      </c>
      <c r="C112" t="s">
        <v>2092</v>
      </c>
      <c r="D112" t="str">
        <f>IF(tblTargets[[#This Row],[TargetType]]="state",UPPER(_xlfn.TEXTBEFORE(_xlfn.TEXTAFTER(tblTargets[[#This Row],[TargetID]],"state."),"_")),"")</f>
        <v/>
      </c>
      <c r="E112" t="b">
        <v>1</v>
      </c>
      <c r="F112" t="s">
        <v>3599</v>
      </c>
      <c r="G112" t="e">
        <f>IF(RIGHT(tblTargets[[#This Row],[TargetID]],5)="maxed","",IF(tblTargets[[#This Row],[TargetType]]="BUILDING",_xlfn.XLOOKUP(tblTargets[[#This Row],[TargetID]],Targets!$Q$2:$Q$101,Targets!$O$2:$O$101),"Not a building"))</f>
        <v>#N/A</v>
      </c>
      <c r="H112" t="e">
        <f>IF(RIGHT(tblTargets[[#This Row],[TargetID]],5)="maxed","",IF(tblTargets[[#This Row],[TargetType]]="BUILDING",_xlfn.XLOOKUP(tblTargets[[#This Row],[TargetID]],Targets!$M$2:$M$101,Targets!$K$2:$K$101),"Not a building"))</f>
        <v>#N/A</v>
      </c>
    </row>
    <row r="113" spans="1:8">
      <c r="A113" t="s">
        <v>145</v>
      </c>
      <c r="B113" t="s">
        <v>537</v>
      </c>
      <c r="C113" t="s">
        <v>2092</v>
      </c>
      <c r="D113" t="str">
        <f>IF(tblTargets[[#This Row],[TargetType]]="state",UPPER(_xlfn.TEXTBEFORE(_xlfn.TEXTAFTER(tblTargets[[#This Row],[TargetID]],"state."),"_")),"")</f>
        <v/>
      </c>
      <c r="E113" t="b">
        <v>1</v>
      </c>
      <c r="F113" t="s">
        <v>3599</v>
      </c>
      <c r="G113" t="e">
        <f>IF(RIGHT(tblTargets[[#This Row],[TargetID]],5)="maxed","",IF(tblTargets[[#This Row],[TargetType]]="BUILDING",_xlfn.XLOOKUP(tblTargets[[#This Row],[TargetID]],Targets!$Q$2:$Q$101,Targets!$O$2:$O$101),"Not a building"))</f>
        <v>#N/A</v>
      </c>
      <c r="H113" t="e">
        <f>IF(RIGHT(tblTargets[[#This Row],[TargetID]],5)="maxed","",IF(tblTargets[[#This Row],[TargetType]]="BUILDING",_xlfn.XLOOKUP(tblTargets[[#This Row],[TargetID]],Targets!$M$2:$M$101,Targets!$K$2:$K$101),"Not a building"))</f>
        <v>#N/A</v>
      </c>
    </row>
    <row r="114" spans="1:8">
      <c r="A114" t="s">
        <v>2688</v>
      </c>
      <c r="B114" t="s">
        <v>2697</v>
      </c>
      <c r="C114" t="s">
        <v>2092</v>
      </c>
      <c r="D114" t="str">
        <f>IF(tblTargets[[#This Row],[TargetType]]="state",UPPER(_xlfn.TEXTBEFORE(_xlfn.TEXTAFTER(tblTargets[[#This Row],[TargetID]],"state."),"_")),"")</f>
        <v/>
      </c>
      <c r="E114" t="b">
        <v>1</v>
      </c>
      <c r="F114" t="s">
        <v>3600</v>
      </c>
      <c r="G114" t="str">
        <f>IF(RIGHT(tblTargets[[#This Row],[TargetID]],5)="maxed","",IF(tblTargets[[#This Row],[TargetType]]="BUILDING",_xlfn.XLOOKUP(tblTargets[[#This Row],[TargetID]],Targets!$Q$2:$Q$101,Targets!$O$2:$O$101),"Not a building"))</f>
        <v/>
      </c>
      <c r="H114" t="str">
        <f>IF(RIGHT(tblTargets[[#This Row],[TargetID]],5)="maxed","",IF(tblTargets[[#This Row],[TargetType]]="BUILDING",_xlfn.XLOOKUP(tblTargets[[#This Row],[TargetID]],Targets!$M$2:$M$101,Targets!$K$2:$K$101),"Not a building"))</f>
        <v/>
      </c>
    </row>
    <row r="115" spans="1:8">
      <c r="A115" t="s">
        <v>146</v>
      </c>
      <c r="B115" t="s">
        <v>538</v>
      </c>
      <c r="C115" t="s">
        <v>2092</v>
      </c>
      <c r="D115" t="str">
        <f>IF(tblTargets[[#This Row],[TargetType]]="state",UPPER(_xlfn.TEXTBEFORE(_xlfn.TEXTAFTER(tblTargets[[#This Row],[TargetID]],"state."),"_")),"")</f>
        <v/>
      </c>
      <c r="E115" t="b">
        <v>1</v>
      </c>
      <c r="F115" t="s">
        <v>3599</v>
      </c>
      <c r="G115">
        <f>IF(RIGHT(tblTargets[[#This Row],[TargetID]],5)="maxed","",IF(tblTargets[[#This Row],[TargetType]]="BUILDING",_xlfn.XLOOKUP(tblTargets[[#This Row],[TargetID]],Targets!$Q$2:$Q$101,Targets!$O$2:$O$101),"Not a building"))</f>
        <v>2</v>
      </c>
      <c r="H115">
        <f>IF(RIGHT(tblTargets[[#This Row],[TargetID]],5)="maxed","",IF(tblTargets[[#This Row],[TargetType]]="BUILDING",_xlfn.XLOOKUP(tblTargets[[#This Row],[TargetID]],Targets!$M$2:$M$101,Targets!$K$2:$K$101),"Not a building"))</f>
        <v>2</v>
      </c>
    </row>
    <row r="116" spans="1:8">
      <c r="A116" t="s">
        <v>148</v>
      </c>
      <c r="B116" t="s">
        <v>539</v>
      </c>
      <c r="C116" t="s">
        <v>2092</v>
      </c>
      <c r="D116" t="str">
        <f>IF(tblTargets[[#This Row],[TargetType]]="state",UPPER(_xlfn.TEXTBEFORE(_xlfn.TEXTAFTER(tblTargets[[#This Row],[TargetID]],"state."),"_")),"")</f>
        <v/>
      </c>
      <c r="E116" t="b">
        <v>1</v>
      </c>
      <c r="F116" t="s">
        <v>3599</v>
      </c>
      <c r="G116">
        <f>IF(RIGHT(tblTargets[[#This Row],[TargetID]],5)="maxed","",IF(tblTargets[[#This Row],[TargetType]]="BUILDING",_xlfn.XLOOKUP(tblTargets[[#This Row],[TargetID]],Targets!$Q$2:$Q$101,Targets!$O$2:$O$101),"Not a building"))</f>
        <v>92</v>
      </c>
      <c r="H116">
        <f>IF(RIGHT(tblTargets[[#This Row],[TargetID]],5)="maxed","",IF(tblTargets[[#This Row],[TargetType]]="BUILDING",_xlfn.XLOOKUP(tblTargets[[#This Row],[TargetID]],Targets!$M$2:$M$101,Targets!$K$2:$K$101),"Not a building"))</f>
        <v>92</v>
      </c>
    </row>
    <row r="117" spans="1:8">
      <c r="A117" t="s">
        <v>149</v>
      </c>
      <c r="B117" t="s">
        <v>540</v>
      </c>
      <c r="C117" t="s">
        <v>2092</v>
      </c>
      <c r="D117" t="str">
        <f>IF(tblTargets[[#This Row],[TargetType]]="state",UPPER(_xlfn.TEXTBEFORE(_xlfn.TEXTAFTER(tblTargets[[#This Row],[TargetID]],"state."),"_")),"")</f>
        <v/>
      </c>
      <c r="E117" t="b">
        <v>1</v>
      </c>
      <c r="F117" t="s">
        <v>3599</v>
      </c>
      <c r="G117">
        <f>IF(RIGHT(tblTargets[[#This Row],[TargetID]],5)="maxed","",IF(tblTargets[[#This Row],[TargetType]]="BUILDING",_xlfn.XLOOKUP(tblTargets[[#This Row],[TargetID]],Targets!$Q$2:$Q$101,Targets!$O$2:$O$101),"Not a building"))</f>
        <v>93</v>
      </c>
      <c r="H117">
        <f>IF(RIGHT(tblTargets[[#This Row],[TargetID]],5)="maxed","",IF(tblTargets[[#This Row],[TargetType]]="BUILDING",_xlfn.XLOOKUP(tblTargets[[#This Row],[TargetID]],Targets!$M$2:$M$101,Targets!$K$2:$K$101),"Not a building"))</f>
        <v>93</v>
      </c>
    </row>
    <row r="118" spans="1:8">
      <c r="A118" t="s">
        <v>150</v>
      </c>
      <c r="B118" t="s">
        <v>541</v>
      </c>
      <c r="C118" t="s">
        <v>2092</v>
      </c>
      <c r="D118" t="str">
        <f>IF(tblTargets[[#This Row],[TargetType]]="state",UPPER(_xlfn.TEXTBEFORE(_xlfn.TEXTAFTER(tblTargets[[#This Row],[TargetID]],"state."),"_")),"")</f>
        <v/>
      </c>
      <c r="E118" t="b">
        <v>1</v>
      </c>
      <c r="F118" t="s">
        <v>3599</v>
      </c>
      <c r="G118">
        <f>IF(RIGHT(tblTargets[[#This Row],[TargetID]],5)="maxed","",IF(tblTargets[[#This Row],[TargetType]]="BUILDING",_xlfn.XLOOKUP(tblTargets[[#This Row],[TargetID]],Targets!$Q$2:$Q$101,Targets!$O$2:$O$101),"Not a building"))</f>
        <v>94</v>
      </c>
      <c r="H118">
        <f>IF(RIGHT(tblTargets[[#This Row],[TargetID]],5)="maxed","",IF(tblTargets[[#This Row],[TargetType]]="BUILDING",_xlfn.XLOOKUP(tblTargets[[#This Row],[TargetID]],Targets!$M$2:$M$101,Targets!$K$2:$K$101),"Not a building"))</f>
        <v>94</v>
      </c>
    </row>
    <row r="119" spans="1:8">
      <c r="A119" t="s">
        <v>151</v>
      </c>
      <c r="B119" t="s">
        <v>542</v>
      </c>
      <c r="C119" t="s">
        <v>2092</v>
      </c>
      <c r="D119" t="str">
        <f>IF(tblTargets[[#This Row],[TargetType]]="state",UPPER(_xlfn.TEXTBEFORE(_xlfn.TEXTAFTER(tblTargets[[#This Row],[TargetID]],"state."),"_")),"")</f>
        <v/>
      </c>
      <c r="E119" t="b">
        <v>1</v>
      </c>
      <c r="F119" t="s">
        <v>3599</v>
      </c>
      <c r="G119">
        <f>IF(RIGHT(tblTargets[[#This Row],[TargetID]],5)="maxed","",IF(tblTargets[[#This Row],[TargetType]]="BUILDING",_xlfn.XLOOKUP(tblTargets[[#This Row],[TargetID]],Targets!$Q$2:$Q$101,Targets!$O$2:$O$101),"Not a building"))</f>
        <v>95</v>
      </c>
      <c r="H119">
        <f>IF(RIGHT(tblTargets[[#This Row],[TargetID]],5)="maxed","",IF(tblTargets[[#This Row],[TargetType]]="BUILDING",_xlfn.XLOOKUP(tblTargets[[#This Row],[TargetID]],Targets!$M$2:$M$101,Targets!$K$2:$K$101),"Not a building"))</f>
        <v>95</v>
      </c>
    </row>
    <row r="120" spans="1:8">
      <c r="A120" t="s">
        <v>152</v>
      </c>
      <c r="B120" t="s">
        <v>543</v>
      </c>
      <c r="C120" t="s">
        <v>2092</v>
      </c>
      <c r="D120" t="str">
        <f>IF(tblTargets[[#This Row],[TargetType]]="state",UPPER(_xlfn.TEXTBEFORE(_xlfn.TEXTAFTER(tblTargets[[#This Row],[TargetID]],"state."),"_")),"")</f>
        <v/>
      </c>
      <c r="E120" t="b">
        <v>1</v>
      </c>
      <c r="F120" t="s">
        <v>3599</v>
      </c>
      <c r="G120">
        <f>IF(RIGHT(tblTargets[[#This Row],[TargetID]],5)="maxed","",IF(tblTargets[[#This Row],[TargetType]]="BUILDING",_xlfn.XLOOKUP(tblTargets[[#This Row],[TargetID]],Targets!$Q$2:$Q$101,Targets!$O$2:$O$101),"Not a building"))</f>
        <v>96</v>
      </c>
      <c r="H120">
        <f>IF(RIGHT(tblTargets[[#This Row],[TargetID]],5)="maxed","",IF(tblTargets[[#This Row],[TargetType]]="BUILDING",_xlfn.XLOOKUP(tblTargets[[#This Row],[TargetID]],Targets!$M$2:$M$101,Targets!$K$2:$K$101),"Not a building"))</f>
        <v>96</v>
      </c>
    </row>
    <row r="121" spans="1:8">
      <c r="A121" t="s">
        <v>153</v>
      </c>
      <c r="B121" t="s">
        <v>544</v>
      </c>
      <c r="C121" t="s">
        <v>2092</v>
      </c>
      <c r="D121" t="str">
        <f>IF(tblTargets[[#This Row],[TargetType]]="state",UPPER(_xlfn.TEXTBEFORE(_xlfn.TEXTAFTER(tblTargets[[#This Row],[TargetID]],"state."),"_")),"")</f>
        <v/>
      </c>
      <c r="E121" t="b">
        <v>1</v>
      </c>
      <c r="F121" t="s">
        <v>3599</v>
      </c>
      <c r="G121">
        <f>IF(RIGHT(tblTargets[[#This Row],[TargetID]],5)="maxed","",IF(tblTargets[[#This Row],[TargetType]]="BUILDING",_xlfn.XLOOKUP(tblTargets[[#This Row],[TargetID]],Targets!$Q$2:$Q$101,Targets!$O$2:$O$101),"Not a building"))</f>
        <v>97</v>
      </c>
      <c r="H121">
        <f>IF(RIGHT(tblTargets[[#This Row],[TargetID]],5)="maxed","",IF(tblTargets[[#This Row],[TargetType]]="BUILDING",_xlfn.XLOOKUP(tblTargets[[#This Row],[TargetID]],Targets!$M$2:$M$101,Targets!$K$2:$K$101),"Not a building"))</f>
        <v>97</v>
      </c>
    </row>
    <row r="122" spans="1:8">
      <c r="A122" t="s">
        <v>2690</v>
      </c>
      <c r="B122" t="s">
        <v>2699</v>
      </c>
      <c r="C122" t="s">
        <v>2092</v>
      </c>
      <c r="D122" t="str">
        <f>IF(tblTargets[[#This Row],[TargetType]]="state",UPPER(_xlfn.TEXTBEFORE(_xlfn.TEXTAFTER(tblTargets[[#This Row],[TargetID]],"state."),"_")),"")</f>
        <v/>
      </c>
      <c r="E122" t="b">
        <v>1</v>
      </c>
      <c r="F122" t="s">
        <v>3600</v>
      </c>
      <c r="G122" t="str">
        <f>IF(RIGHT(tblTargets[[#This Row],[TargetID]],5)="maxed","",IF(tblTargets[[#This Row],[TargetType]]="BUILDING",_xlfn.XLOOKUP(tblTargets[[#This Row],[TargetID]],Targets!$Q$2:$Q$101,Targets!$O$2:$O$101),"Not a building"))</f>
        <v/>
      </c>
      <c r="H122" t="str">
        <f>IF(RIGHT(tblTargets[[#This Row],[TargetID]],5)="maxed","",IF(tblTargets[[#This Row],[TargetType]]="BUILDING",_xlfn.XLOOKUP(tblTargets[[#This Row],[TargetID]],Targets!$M$2:$M$101,Targets!$K$2:$K$101),"Not a building"))</f>
        <v/>
      </c>
    </row>
    <row r="123" spans="1:8">
      <c r="A123" t="s">
        <v>154</v>
      </c>
      <c r="B123" t="s">
        <v>545</v>
      </c>
      <c r="C123" t="s">
        <v>2092</v>
      </c>
      <c r="D123" t="str">
        <f>IF(tblTargets[[#This Row],[TargetType]]="state",UPPER(_xlfn.TEXTBEFORE(_xlfn.TEXTAFTER(tblTargets[[#This Row],[TargetID]],"state."),"_")),"")</f>
        <v/>
      </c>
      <c r="E123" t="b">
        <v>1</v>
      </c>
      <c r="F123" t="s">
        <v>3599</v>
      </c>
      <c r="G123">
        <f>IF(RIGHT(tblTargets[[#This Row],[TargetID]],5)="maxed","",IF(tblTargets[[#This Row],[TargetType]]="BUILDING",_xlfn.XLOOKUP(tblTargets[[#This Row],[TargetID]],Targets!$Q$2:$Q$101,Targets!$O$2:$O$101),"Not a building"))</f>
        <v>9</v>
      </c>
      <c r="H123">
        <f>IF(RIGHT(tblTargets[[#This Row],[TargetID]],5)="maxed","",IF(tblTargets[[#This Row],[TargetType]]="BUILDING",_xlfn.XLOOKUP(tblTargets[[#This Row],[TargetID]],Targets!$M$2:$M$101,Targets!$K$2:$K$101),"Not a building"))</f>
        <v>18</v>
      </c>
    </row>
    <row r="124" spans="1:8">
      <c r="A124" t="s">
        <v>156</v>
      </c>
      <c r="B124" t="s">
        <v>546</v>
      </c>
      <c r="C124" t="s">
        <v>2092</v>
      </c>
      <c r="D124" t="str">
        <f>IF(tblTargets[[#This Row],[TargetType]]="state",UPPER(_xlfn.TEXTBEFORE(_xlfn.TEXTAFTER(tblTargets[[#This Row],[TargetID]],"state."),"_")),"")</f>
        <v/>
      </c>
      <c r="E124" t="b">
        <v>1</v>
      </c>
      <c r="F124" t="s">
        <v>3599</v>
      </c>
      <c r="G124">
        <f>IF(RIGHT(tblTargets[[#This Row],[TargetID]],5)="maxed","",IF(tblTargets[[#This Row],[TargetType]]="BUILDING",_xlfn.XLOOKUP(tblTargets[[#This Row],[TargetID]],Targets!$Q$2:$Q$101,Targets!$O$2:$O$101),"Not a building"))</f>
        <v>15</v>
      </c>
      <c r="H124">
        <f>IF(RIGHT(tblTargets[[#This Row],[TargetID]],5)="maxed","",IF(tblTargets[[#This Row],[TargetType]]="BUILDING",_xlfn.XLOOKUP(tblTargets[[#This Row],[TargetID]],Targets!$M$2:$M$101,Targets!$K$2:$K$101),"Not a building"))</f>
        <v>32</v>
      </c>
    </row>
    <row r="125" spans="1:8">
      <c r="A125" t="s">
        <v>2689</v>
      </c>
      <c r="B125" t="s">
        <v>2698</v>
      </c>
      <c r="C125" t="s">
        <v>2092</v>
      </c>
      <c r="D125" t="str">
        <f>IF(tblTargets[[#This Row],[TargetType]]="state",UPPER(_xlfn.TEXTBEFORE(_xlfn.TEXTAFTER(tblTargets[[#This Row],[TargetID]],"state."),"_")),"")</f>
        <v/>
      </c>
      <c r="E125" t="b">
        <v>1</v>
      </c>
      <c r="F125" t="s">
        <v>3600</v>
      </c>
      <c r="G125" t="str">
        <f>IF(RIGHT(tblTargets[[#This Row],[TargetID]],5)="maxed","",IF(tblTargets[[#This Row],[TargetType]]="BUILDING",_xlfn.XLOOKUP(tblTargets[[#This Row],[TargetID]],Targets!$Q$2:$Q$101,Targets!$O$2:$O$101),"Not a building"))</f>
        <v/>
      </c>
      <c r="H125" t="str">
        <f>IF(RIGHT(tblTargets[[#This Row],[TargetID]],5)="maxed","",IF(tblTargets[[#This Row],[TargetType]]="BUILDING",_xlfn.XLOOKUP(tblTargets[[#This Row],[TargetID]],Targets!$M$2:$M$101,Targets!$K$2:$K$101),"Not a building"))</f>
        <v/>
      </c>
    </row>
    <row r="126" spans="1:8">
      <c r="A126" t="s">
        <v>157</v>
      </c>
      <c r="B126" t="s">
        <v>547</v>
      </c>
      <c r="C126" t="s">
        <v>2092</v>
      </c>
      <c r="D126" t="str">
        <f>IF(tblTargets[[#This Row],[TargetType]]="state",UPPER(_xlfn.TEXTBEFORE(_xlfn.TEXTAFTER(tblTargets[[#This Row],[TargetID]],"state."),"_")),"")</f>
        <v/>
      </c>
      <c r="E126" t="b">
        <v>1</v>
      </c>
      <c r="F126" t="s">
        <v>3599</v>
      </c>
      <c r="G126">
        <f>IF(RIGHT(tblTargets[[#This Row],[TargetID]],5)="maxed","",IF(tblTargets[[#This Row],[TargetType]]="BUILDING",_xlfn.XLOOKUP(tblTargets[[#This Row],[TargetID]],Targets!$Q$2:$Q$101,Targets!$O$2:$O$101),"Not a building"))</f>
        <v>30</v>
      </c>
      <c r="H126">
        <f>IF(RIGHT(tblTargets[[#This Row],[TargetID]],5)="maxed","",IF(tblTargets[[#This Row],[TargetType]]="BUILDING",_xlfn.XLOOKUP(tblTargets[[#This Row],[TargetID]],Targets!$M$2:$M$101,Targets!$K$2:$K$101),"Not a building"))</f>
        <v>41</v>
      </c>
    </row>
    <row r="127" spans="1:8">
      <c r="A127" t="s">
        <v>159</v>
      </c>
      <c r="B127" t="s">
        <v>548</v>
      </c>
      <c r="C127" t="s">
        <v>2092</v>
      </c>
      <c r="D127" t="str">
        <f>IF(tblTargets[[#This Row],[TargetType]]="state",UPPER(_xlfn.TEXTBEFORE(_xlfn.TEXTAFTER(tblTargets[[#This Row],[TargetID]],"state."),"_")),"")</f>
        <v/>
      </c>
      <c r="E127" t="b">
        <v>1</v>
      </c>
      <c r="F127" t="s">
        <v>3599</v>
      </c>
      <c r="G127">
        <f>IF(RIGHT(tblTargets[[#This Row],[TargetID]],5)="maxed","",IF(tblTargets[[#This Row],[TargetType]]="BUILDING",_xlfn.XLOOKUP(tblTargets[[#This Row],[TargetID]],Targets!$Q$2:$Q$101,Targets!$O$2:$O$101),"Not a building"))</f>
        <v>31</v>
      </c>
      <c r="H127">
        <f>IF(RIGHT(tblTargets[[#This Row],[TargetID]],5)="maxed","",IF(tblTargets[[#This Row],[TargetType]]="BUILDING",_xlfn.XLOOKUP(tblTargets[[#This Row],[TargetID]],Targets!$M$2:$M$101,Targets!$K$2:$K$101),"Not a building"))</f>
        <v>42</v>
      </c>
    </row>
    <row r="128" spans="1:8">
      <c r="A128" t="s">
        <v>160</v>
      </c>
      <c r="B128" t="s">
        <v>549</v>
      </c>
      <c r="C128" t="s">
        <v>2092</v>
      </c>
      <c r="D128" t="str">
        <f>IF(tblTargets[[#This Row],[TargetType]]="state",UPPER(_xlfn.TEXTBEFORE(_xlfn.TEXTAFTER(tblTargets[[#This Row],[TargetID]],"state."),"_")),"")</f>
        <v/>
      </c>
      <c r="E128" t="b">
        <v>1</v>
      </c>
      <c r="F128" t="s">
        <v>3599</v>
      </c>
      <c r="G128">
        <f>IF(RIGHT(tblTargets[[#This Row],[TargetID]],5)="maxed","",IF(tblTargets[[#This Row],[TargetType]]="BUILDING",_xlfn.XLOOKUP(tblTargets[[#This Row],[TargetID]],Targets!$Q$2:$Q$101,Targets!$O$2:$O$101),"Not a building"))</f>
        <v>32</v>
      </c>
      <c r="H128">
        <f>IF(RIGHT(tblTargets[[#This Row],[TargetID]],5)="maxed","",IF(tblTargets[[#This Row],[TargetType]]="BUILDING",_xlfn.XLOOKUP(tblTargets[[#This Row],[TargetID]],Targets!$M$2:$M$101,Targets!$K$2:$K$101),"Not a building"))</f>
        <v>43</v>
      </c>
    </row>
    <row r="129" spans="1:8">
      <c r="A129" t="s">
        <v>161</v>
      </c>
      <c r="B129" t="s">
        <v>550</v>
      </c>
      <c r="C129" t="s">
        <v>2092</v>
      </c>
      <c r="D129" t="str">
        <f>IF(tblTargets[[#This Row],[TargetType]]="state",UPPER(_xlfn.TEXTBEFORE(_xlfn.TEXTAFTER(tblTargets[[#This Row],[TargetID]],"state."),"_")),"")</f>
        <v/>
      </c>
      <c r="E129" t="b">
        <v>1</v>
      </c>
      <c r="F129" t="s">
        <v>3599</v>
      </c>
      <c r="G129">
        <f>IF(RIGHT(tblTargets[[#This Row],[TargetID]],5)="maxed","",IF(tblTargets[[#This Row],[TargetType]]="BUILDING",_xlfn.XLOOKUP(tblTargets[[#This Row],[TargetID]],Targets!$Q$2:$Q$101,Targets!$O$2:$O$101),"Not a building"))</f>
        <v>33</v>
      </c>
      <c r="H129">
        <f>IF(RIGHT(tblTargets[[#This Row],[TargetID]],5)="maxed","",IF(tblTargets[[#This Row],[TargetType]]="BUILDING",_xlfn.XLOOKUP(tblTargets[[#This Row],[TargetID]],Targets!$M$2:$M$101,Targets!$K$2:$K$101),"Not a building"))</f>
        <v>44</v>
      </c>
    </row>
    <row r="130" spans="1:8">
      <c r="A130" t="s">
        <v>162</v>
      </c>
      <c r="B130" t="s">
        <v>551</v>
      </c>
      <c r="C130" t="s">
        <v>2092</v>
      </c>
      <c r="D130" t="str">
        <f>IF(tblTargets[[#This Row],[TargetType]]="state",UPPER(_xlfn.TEXTBEFORE(_xlfn.TEXTAFTER(tblTargets[[#This Row],[TargetID]],"state."),"_")),"")</f>
        <v/>
      </c>
      <c r="E130" t="b">
        <v>1</v>
      </c>
      <c r="F130" t="s">
        <v>3599</v>
      </c>
      <c r="G130">
        <f>IF(RIGHT(tblTargets[[#This Row],[TargetID]],5)="maxed","",IF(tblTargets[[#This Row],[TargetType]]="BUILDING",_xlfn.XLOOKUP(tblTargets[[#This Row],[TargetID]],Targets!$Q$2:$Q$101,Targets!$O$2:$O$101),"Not a building"))</f>
        <v>34</v>
      </c>
      <c r="H130">
        <f>IF(RIGHT(tblTargets[[#This Row],[TargetID]],5)="maxed","",IF(tblTargets[[#This Row],[TargetType]]="BUILDING",_xlfn.XLOOKUP(tblTargets[[#This Row],[TargetID]],Targets!$M$2:$M$101,Targets!$K$2:$K$101),"Not a building"))</f>
        <v>45</v>
      </c>
    </row>
    <row r="131" spans="1:8">
      <c r="A131" t="s">
        <v>2562</v>
      </c>
      <c r="B131" t="s">
        <v>1665</v>
      </c>
      <c r="C131" t="s">
        <v>2563</v>
      </c>
      <c r="D131" t="str">
        <f>IF(tblTargets[[#This Row],[TargetType]]="state",UPPER(_xlfn.TEXTBEFORE(_xlfn.TEXTAFTER(tblTargets[[#This Row],[TargetID]],"state."),"_")),"")</f>
        <v/>
      </c>
      <c r="E131" t="b">
        <v>1</v>
      </c>
      <c r="F131" t="s">
        <v>3599</v>
      </c>
      <c r="G131" t="str">
        <f>IF(RIGHT(tblTargets[[#This Row],[TargetID]],5)="maxed","",IF(tblTargets[[#This Row],[TargetType]]="BUILDING",_xlfn.XLOOKUP(tblTargets[[#This Row],[TargetID]],Targets!$Q$2:$Q$101,Targets!$O$2:$O$101),"Not a building"))</f>
        <v>Not a building</v>
      </c>
      <c r="H131" t="str">
        <f>IF(RIGHT(tblTargets[[#This Row],[TargetID]],5)="maxed","",IF(tblTargets[[#This Row],[TargetType]]="BUILDING",_xlfn.XLOOKUP(tblTargets[[#This Row],[TargetID]],Targets!$M$2:$M$101,Targets!$K$2:$K$101),"Not a building"))</f>
        <v>Not a building</v>
      </c>
    </row>
    <row r="132" spans="1:8">
      <c r="A132" t="s">
        <v>2564</v>
      </c>
      <c r="B132" t="s">
        <v>1666</v>
      </c>
      <c r="C132" t="s">
        <v>2563</v>
      </c>
      <c r="D132" t="str">
        <f>IF(tblTargets[[#This Row],[TargetType]]="state",UPPER(_xlfn.TEXTBEFORE(_xlfn.TEXTAFTER(tblTargets[[#This Row],[TargetID]],"state."),"_")),"")</f>
        <v/>
      </c>
      <c r="E132" t="b">
        <v>1</v>
      </c>
      <c r="F132" t="s">
        <v>3599</v>
      </c>
      <c r="G132" t="str">
        <f>IF(RIGHT(tblTargets[[#This Row],[TargetID]],5)="maxed","",IF(tblTargets[[#This Row],[TargetType]]="BUILDING",_xlfn.XLOOKUP(tblTargets[[#This Row],[TargetID]],Targets!$Q$2:$Q$101,Targets!$O$2:$O$101),"Not a building"))</f>
        <v>Not a building</v>
      </c>
      <c r="H132" t="str">
        <f>IF(RIGHT(tblTargets[[#This Row],[TargetID]],5)="maxed","",IF(tblTargets[[#This Row],[TargetType]]="BUILDING",_xlfn.XLOOKUP(tblTargets[[#This Row],[TargetID]],Targets!$M$2:$M$101,Targets!$K$2:$K$101),"Not a building"))</f>
        <v>Not a building</v>
      </c>
    </row>
    <row r="133" spans="1:8">
      <c r="A133" t="s">
        <v>2565</v>
      </c>
      <c r="B133" t="s">
        <v>1678</v>
      </c>
      <c r="C133" t="s">
        <v>2563</v>
      </c>
      <c r="D133" t="str">
        <f>IF(tblTargets[[#This Row],[TargetType]]="state",UPPER(_xlfn.TEXTBEFORE(_xlfn.TEXTAFTER(tblTargets[[#This Row],[TargetID]],"state."),"_")),"")</f>
        <v/>
      </c>
      <c r="E133" t="b">
        <v>1</v>
      </c>
      <c r="F133" t="s">
        <v>3599</v>
      </c>
      <c r="G133" t="str">
        <f>IF(RIGHT(tblTargets[[#This Row],[TargetID]],5)="maxed","",IF(tblTargets[[#This Row],[TargetType]]="BUILDING",_xlfn.XLOOKUP(tblTargets[[#This Row],[TargetID]],Targets!$Q$2:$Q$101,Targets!$O$2:$O$101),"Not a building"))</f>
        <v>Not a building</v>
      </c>
      <c r="H133" t="str">
        <f>IF(RIGHT(tblTargets[[#This Row],[TargetID]],5)="maxed","",IF(tblTargets[[#This Row],[TargetType]]="BUILDING",_xlfn.XLOOKUP(tblTargets[[#This Row],[TargetID]],Targets!$M$2:$M$101,Targets!$K$2:$K$101),"Not a building"))</f>
        <v>Not a building</v>
      </c>
    </row>
    <row r="134" spans="1:8">
      <c r="A134" t="s">
        <v>2566</v>
      </c>
      <c r="B134" t="s">
        <v>1667</v>
      </c>
      <c r="C134" t="s">
        <v>2563</v>
      </c>
      <c r="D134" t="str">
        <f>IF(tblTargets[[#This Row],[TargetType]]="state",UPPER(_xlfn.TEXTBEFORE(_xlfn.TEXTAFTER(tblTargets[[#This Row],[TargetID]],"state."),"_")),"")</f>
        <v/>
      </c>
      <c r="E134" t="b">
        <v>1</v>
      </c>
      <c r="F134" t="s">
        <v>3599</v>
      </c>
      <c r="G134" t="str">
        <f>IF(RIGHT(tblTargets[[#This Row],[TargetID]],5)="maxed","",IF(tblTargets[[#This Row],[TargetType]]="BUILDING",_xlfn.XLOOKUP(tblTargets[[#This Row],[TargetID]],Targets!$Q$2:$Q$101,Targets!$O$2:$O$101),"Not a building"))</f>
        <v>Not a building</v>
      </c>
      <c r="H134" t="str">
        <f>IF(RIGHT(tblTargets[[#This Row],[TargetID]],5)="maxed","",IF(tblTargets[[#This Row],[TargetType]]="BUILDING",_xlfn.XLOOKUP(tblTargets[[#This Row],[TargetID]],Targets!$M$2:$M$101,Targets!$K$2:$K$101),"Not a building"))</f>
        <v>Not a building</v>
      </c>
    </row>
    <row r="135" spans="1:8">
      <c r="A135" t="s">
        <v>2567</v>
      </c>
      <c r="B135" t="s">
        <v>1668</v>
      </c>
      <c r="C135" t="s">
        <v>2563</v>
      </c>
      <c r="D135" t="str">
        <f>IF(tblTargets[[#This Row],[TargetType]]="state",UPPER(_xlfn.TEXTBEFORE(_xlfn.TEXTAFTER(tblTargets[[#This Row],[TargetID]],"state."),"_")),"")</f>
        <v/>
      </c>
      <c r="E135" t="b">
        <v>1</v>
      </c>
      <c r="F135" t="s">
        <v>3599</v>
      </c>
      <c r="G135" t="str">
        <f>IF(RIGHT(tblTargets[[#This Row],[TargetID]],5)="maxed","",IF(tblTargets[[#This Row],[TargetType]]="BUILDING",_xlfn.XLOOKUP(tblTargets[[#This Row],[TargetID]],Targets!$Q$2:$Q$101,Targets!$O$2:$O$101),"Not a building"))</f>
        <v>Not a building</v>
      </c>
      <c r="H135" t="str">
        <f>IF(RIGHT(tblTargets[[#This Row],[TargetID]],5)="maxed","",IF(tblTargets[[#This Row],[TargetType]]="BUILDING",_xlfn.XLOOKUP(tblTargets[[#This Row],[TargetID]],Targets!$M$2:$M$101,Targets!$K$2:$K$101),"Not a building"))</f>
        <v>Not a building</v>
      </c>
    </row>
    <row r="136" spans="1:8">
      <c r="A136" t="s">
        <v>2568</v>
      </c>
      <c r="B136" t="s">
        <v>764</v>
      </c>
      <c r="C136" t="s">
        <v>2563</v>
      </c>
      <c r="D136" t="str">
        <f>IF(tblTargets[[#This Row],[TargetType]]="state",UPPER(_xlfn.TEXTBEFORE(_xlfn.TEXTAFTER(tblTargets[[#This Row],[TargetID]],"state."),"_")),"")</f>
        <v/>
      </c>
      <c r="E136" t="b">
        <v>1</v>
      </c>
      <c r="F136" t="s">
        <v>3599</v>
      </c>
      <c r="G136" t="str">
        <f>IF(RIGHT(tblTargets[[#This Row],[TargetID]],5)="maxed","",IF(tblTargets[[#This Row],[TargetType]]="BUILDING",_xlfn.XLOOKUP(tblTargets[[#This Row],[TargetID]],Targets!$Q$2:$Q$101,Targets!$O$2:$O$101),"Not a building"))</f>
        <v>Not a building</v>
      </c>
      <c r="H136" t="str">
        <f>IF(RIGHT(tblTargets[[#This Row],[TargetID]],5)="maxed","",IF(tblTargets[[#This Row],[TargetType]]="BUILDING",_xlfn.XLOOKUP(tblTargets[[#This Row],[TargetID]],Targets!$M$2:$M$101,Targets!$K$2:$K$101),"Not a building"))</f>
        <v>Not a building</v>
      </c>
    </row>
    <row r="137" spans="1:8">
      <c r="A137" t="s">
        <v>2569</v>
      </c>
      <c r="B137" t="s">
        <v>1680</v>
      </c>
      <c r="C137" t="s">
        <v>2563</v>
      </c>
      <c r="D137" t="str">
        <f>IF(tblTargets[[#This Row],[TargetType]]="state",UPPER(_xlfn.TEXTBEFORE(_xlfn.TEXTAFTER(tblTargets[[#This Row],[TargetID]],"state."),"_")),"")</f>
        <v/>
      </c>
      <c r="E137" t="b">
        <v>1</v>
      </c>
      <c r="F137" t="s">
        <v>3599</v>
      </c>
      <c r="G137" t="str">
        <f>IF(RIGHT(tblTargets[[#This Row],[TargetID]],5)="maxed","",IF(tblTargets[[#This Row],[TargetType]]="BUILDING",_xlfn.XLOOKUP(tblTargets[[#This Row],[TargetID]],Targets!$Q$2:$Q$101,Targets!$O$2:$O$101),"Not a building"))</f>
        <v>Not a building</v>
      </c>
      <c r="H137" t="str">
        <f>IF(RIGHT(tblTargets[[#This Row],[TargetID]],5)="maxed","",IF(tblTargets[[#This Row],[TargetType]]="BUILDING",_xlfn.XLOOKUP(tblTargets[[#This Row],[TargetID]],Targets!$M$2:$M$101,Targets!$K$2:$K$101),"Not a building"))</f>
        <v>Not a building</v>
      </c>
    </row>
    <row r="138" spans="1:8">
      <c r="A138" t="s">
        <v>2570</v>
      </c>
      <c r="B138" t="s">
        <v>1671</v>
      </c>
      <c r="C138" t="s">
        <v>2563</v>
      </c>
      <c r="D138" t="str">
        <f>IF(tblTargets[[#This Row],[TargetType]]="state",UPPER(_xlfn.TEXTBEFORE(_xlfn.TEXTAFTER(tblTargets[[#This Row],[TargetID]],"state."),"_")),"")</f>
        <v/>
      </c>
      <c r="E138" t="b">
        <v>1</v>
      </c>
      <c r="F138" t="s">
        <v>3599</v>
      </c>
      <c r="G138" t="str">
        <f>IF(RIGHT(tblTargets[[#This Row],[TargetID]],5)="maxed","",IF(tblTargets[[#This Row],[TargetType]]="BUILDING",_xlfn.XLOOKUP(tblTargets[[#This Row],[TargetID]],Targets!$Q$2:$Q$101,Targets!$O$2:$O$101),"Not a building"))</f>
        <v>Not a building</v>
      </c>
      <c r="H138" t="str">
        <f>IF(RIGHT(tblTargets[[#This Row],[TargetID]],5)="maxed","",IF(tblTargets[[#This Row],[TargetType]]="BUILDING",_xlfn.XLOOKUP(tblTargets[[#This Row],[TargetID]],Targets!$M$2:$M$101,Targets!$K$2:$K$101),"Not a building"))</f>
        <v>Not a building</v>
      </c>
    </row>
    <row r="139" spans="1:8">
      <c r="A139" t="s">
        <v>2571</v>
      </c>
      <c r="B139" t="s">
        <v>1672</v>
      </c>
      <c r="C139" t="s">
        <v>2563</v>
      </c>
      <c r="D139" t="str">
        <f>IF(tblTargets[[#This Row],[TargetType]]="state",UPPER(_xlfn.TEXTBEFORE(_xlfn.TEXTAFTER(tblTargets[[#This Row],[TargetID]],"state."),"_")),"")</f>
        <v/>
      </c>
      <c r="E139" t="b">
        <v>1</v>
      </c>
      <c r="F139" t="s">
        <v>3599</v>
      </c>
      <c r="G139" t="str">
        <f>IF(RIGHT(tblTargets[[#This Row],[TargetID]],5)="maxed","",IF(tblTargets[[#This Row],[TargetType]]="BUILDING",_xlfn.XLOOKUP(tblTargets[[#This Row],[TargetID]],Targets!$Q$2:$Q$101,Targets!$O$2:$O$101),"Not a building"))</f>
        <v>Not a building</v>
      </c>
      <c r="H139" t="str">
        <f>IF(RIGHT(tblTargets[[#This Row],[TargetID]],5)="maxed","",IF(tblTargets[[#This Row],[TargetType]]="BUILDING",_xlfn.XLOOKUP(tblTargets[[#This Row],[TargetID]],Targets!$M$2:$M$101,Targets!$K$2:$K$101),"Not a building"))</f>
        <v>Not a building</v>
      </c>
    </row>
    <row r="140" spans="1:8">
      <c r="A140" t="s">
        <v>2572</v>
      </c>
      <c r="B140" t="s">
        <v>1679</v>
      </c>
      <c r="C140" t="s">
        <v>2563</v>
      </c>
      <c r="D140" t="str">
        <f>IF(tblTargets[[#This Row],[TargetType]]="state",UPPER(_xlfn.TEXTBEFORE(_xlfn.TEXTAFTER(tblTargets[[#This Row],[TargetID]],"state."),"_")),"")</f>
        <v/>
      </c>
      <c r="E140" t="b">
        <v>1</v>
      </c>
      <c r="F140" t="s">
        <v>3599</v>
      </c>
      <c r="G140" t="str">
        <f>IF(RIGHT(tblTargets[[#This Row],[TargetID]],5)="maxed","",IF(tblTargets[[#This Row],[TargetType]]="BUILDING",_xlfn.XLOOKUP(tblTargets[[#This Row],[TargetID]],Targets!$Q$2:$Q$101,Targets!$O$2:$O$101),"Not a building"))</f>
        <v>Not a building</v>
      </c>
      <c r="H140" t="str">
        <f>IF(RIGHT(tblTargets[[#This Row],[TargetID]],5)="maxed","",IF(tblTargets[[#This Row],[TargetType]]="BUILDING",_xlfn.XLOOKUP(tblTargets[[#This Row],[TargetID]],Targets!$M$2:$M$101,Targets!$K$2:$K$101),"Not a building"))</f>
        <v>Not a building</v>
      </c>
    </row>
    <row r="141" spans="1:8">
      <c r="A141" t="s">
        <v>2573</v>
      </c>
      <c r="B141" t="s">
        <v>1674</v>
      </c>
      <c r="C141" t="s">
        <v>2563</v>
      </c>
      <c r="D141" t="str">
        <f>IF(tblTargets[[#This Row],[TargetType]]="state",UPPER(_xlfn.TEXTBEFORE(_xlfn.TEXTAFTER(tblTargets[[#This Row],[TargetID]],"state."),"_")),"")</f>
        <v/>
      </c>
      <c r="E141" t="b">
        <v>1</v>
      </c>
      <c r="F141" t="s">
        <v>3599</v>
      </c>
      <c r="G141" t="str">
        <f>IF(RIGHT(tblTargets[[#This Row],[TargetID]],5)="maxed","",IF(tblTargets[[#This Row],[TargetType]]="BUILDING",_xlfn.XLOOKUP(tblTargets[[#This Row],[TargetID]],Targets!$Q$2:$Q$101,Targets!$O$2:$O$101),"Not a building"))</f>
        <v>Not a building</v>
      </c>
      <c r="H141" t="str">
        <f>IF(RIGHT(tblTargets[[#This Row],[TargetID]],5)="maxed","",IF(tblTargets[[#This Row],[TargetType]]="BUILDING",_xlfn.XLOOKUP(tblTargets[[#This Row],[TargetID]],Targets!$M$2:$M$101,Targets!$K$2:$K$101),"Not a building"))</f>
        <v>Not a building</v>
      </c>
    </row>
    <row r="142" spans="1:8">
      <c r="A142" t="s">
        <v>2574</v>
      </c>
      <c r="B142" t="s">
        <v>1675</v>
      </c>
      <c r="C142" t="s">
        <v>2563</v>
      </c>
      <c r="D142" t="str">
        <f>IF(tblTargets[[#This Row],[TargetType]]="state",UPPER(_xlfn.TEXTBEFORE(_xlfn.TEXTAFTER(tblTargets[[#This Row],[TargetID]],"state."),"_")),"")</f>
        <v/>
      </c>
      <c r="E142" t="b">
        <v>1</v>
      </c>
      <c r="F142" t="s">
        <v>3599</v>
      </c>
      <c r="G142" t="str">
        <f>IF(RIGHT(tblTargets[[#This Row],[TargetID]],5)="maxed","",IF(tblTargets[[#This Row],[TargetType]]="BUILDING",_xlfn.XLOOKUP(tblTargets[[#This Row],[TargetID]],Targets!$Q$2:$Q$101,Targets!$O$2:$O$101),"Not a building"))</f>
        <v>Not a building</v>
      </c>
      <c r="H142" t="str">
        <f>IF(RIGHT(tblTargets[[#This Row],[TargetID]],5)="maxed","",IF(tblTargets[[#This Row],[TargetType]]="BUILDING",_xlfn.XLOOKUP(tblTargets[[#This Row],[TargetID]],Targets!$M$2:$M$101,Targets!$K$2:$K$101),"Not a building"))</f>
        <v>Not a building</v>
      </c>
    </row>
    <row r="143" spans="1:8">
      <c r="A143" t="s">
        <v>2575</v>
      </c>
      <c r="B143" t="s">
        <v>1676</v>
      </c>
      <c r="C143" t="s">
        <v>2563</v>
      </c>
      <c r="D143" t="str">
        <f>IF(tblTargets[[#This Row],[TargetType]]="state",UPPER(_xlfn.TEXTBEFORE(_xlfn.TEXTAFTER(tblTargets[[#This Row],[TargetID]],"state."),"_")),"")</f>
        <v/>
      </c>
      <c r="E143" t="b">
        <v>1</v>
      </c>
      <c r="F143" t="s">
        <v>3599</v>
      </c>
      <c r="G143" t="str">
        <f>IF(RIGHT(tblTargets[[#This Row],[TargetID]],5)="maxed","",IF(tblTargets[[#This Row],[TargetType]]="BUILDING",_xlfn.XLOOKUP(tblTargets[[#This Row],[TargetID]],Targets!$Q$2:$Q$101,Targets!$O$2:$O$101),"Not a building"))</f>
        <v>Not a building</v>
      </c>
      <c r="H143" t="str">
        <f>IF(RIGHT(tblTargets[[#This Row],[TargetID]],5)="maxed","",IF(tblTargets[[#This Row],[TargetType]]="BUILDING",_xlfn.XLOOKUP(tblTargets[[#This Row],[TargetID]],Targets!$M$2:$M$101,Targets!$K$2:$K$101),"Not a building"))</f>
        <v>Not a building</v>
      </c>
    </row>
    <row r="144" spans="1:8">
      <c r="A144" t="s">
        <v>2576</v>
      </c>
      <c r="B144" t="s">
        <v>1677</v>
      </c>
      <c r="C144" t="s">
        <v>2563</v>
      </c>
      <c r="D144" t="str">
        <f>IF(tblTargets[[#This Row],[TargetType]]="state",UPPER(_xlfn.TEXTBEFORE(_xlfn.TEXTAFTER(tblTargets[[#This Row],[TargetID]],"state."),"_")),"")</f>
        <v/>
      </c>
      <c r="E144" t="b">
        <v>1</v>
      </c>
      <c r="F144" t="s">
        <v>3599</v>
      </c>
      <c r="G144" t="str">
        <f>IF(RIGHT(tblTargets[[#This Row],[TargetID]],5)="maxed","",IF(tblTargets[[#This Row],[TargetType]]="BUILDING",_xlfn.XLOOKUP(tblTargets[[#This Row],[TargetID]],Targets!$Q$2:$Q$101,Targets!$O$2:$O$101),"Not a building"))</f>
        <v>Not a building</v>
      </c>
      <c r="H144" t="str">
        <f>IF(RIGHT(tblTargets[[#This Row],[TargetID]],5)="maxed","",IF(tblTargets[[#This Row],[TargetType]]="BUILDING",_xlfn.XLOOKUP(tblTargets[[#This Row],[TargetID]],Targets!$M$2:$M$101,Targets!$K$2:$K$101),"Not a building"))</f>
        <v>Not a building</v>
      </c>
    </row>
    <row r="145" spans="1:8">
      <c r="A145" t="s">
        <v>6058</v>
      </c>
      <c r="B145" t="s">
        <v>6060</v>
      </c>
      <c r="C145" t="s">
        <v>2563</v>
      </c>
      <c r="D145" t="str">
        <f>IF(tblTargets[[#This Row],[TargetType]]="state",UPPER(_xlfn.TEXTBEFORE(_xlfn.TEXTAFTER(tblTargets[[#This Row],[TargetID]],"state."),"_")),"")</f>
        <v/>
      </c>
      <c r="E145" t="b">
        <v>1</v>
      </c>
      <c r="F145" t="s">
        <v>3599</v>
      </c>
      <c r="G145" t="str">
        <f>IF(RIGHT(tblTargets[[#This Row],[TargetID]],5)="maxed","",IF(tblTargets[[#This Row],[TargetType]]="BUILDING",_xlfn.XLOOKUP(tblTargets[[#This Row],[TargetID]],Targets!$Q$2:$Q$101,Targets!$O$2:$O$101),"Not a building"))</f>
        <v>Not a building</v>
      </c>
      <c r="H145" t="str">
        <f>IF(RIGHT(tblTargets[[#This Row],[TargetID]],5)="maxed","",IF(tblTargets[[#This Row],[TargetType]]="BUILDING",_xlfn.XLOOKUP(tblTargets[[#This Row],[TargetID]],Targets!$M$2:$M$101,Targets!$K$2:$K$101),"Not a building"))</f>
        <v>Not a building</v>
      </c>
    </row>
    <row r="146" spans="1:8">
      <c r="A146" s="5" t="s">
        <v>5749</v>
      </c>
      <c r="B146" t="s">
        <v>5619</v>
      </c>
      <c r="C146" t="s">
        <v>2578</v>
      </c>
      <c r="D146" t="str">
        <f>IF(tblTargets[[#This Row],[TargetType]]="state",UPPER(_xlfn.TEXTBEFORE(_xlfn.TEXTAFTER(tblTargets[[#This Row],[TargetID]],"state."),"_")),"")</f>
        <v/>
      </c>
      <c r="E146" t="b">
        <v>1</v>
      </c>
      <c r="F146" t="s">
        <v>3599</v>
      </c>
      <c r="G146" t="str">
        <f>IF(RIGHT(tblTargets[[#This Row],[TargetID]],5)="maxed","",IF(tblTargets[[#This Row],[TargetType]]="BUILDING",_xlfn.XLOOKUP(tblTargets[[#This Row],[TargetID]],Targets!$Q$2:$Q$101,Targets!$O$2:$O$101),"Not a building"))</f>
        <v>Not a building</v>
      </c>
      <c r="H146" t="str">
        <f>IF(RIGHT(tblTargets[[#This Row],[TargetID]],5)="maxed","",IF(tblTargets[[#This Row],[TargetType]]="BUILDING",_xlfn.XLOOKUP(tblTargets[[#This Row],[TargetID]],Targets!$M$2:$M$101,Targets!$K$2:$K$101),"Not a building"))</f>
        <v>Not a building</v>
      </c>
    </row>
    <row r="147" spans="1:8">
      <c r="A147" s="5" t="s">
        <v>5750</v>
      </c>
      <c r="B147" t="s">
        <v>5620</v>
      </c>
      <c r="C147" t="s">
        <v>2578</v>
      </c>
      <c r="D147" t="str">
        <f>IF(tblTargets[[#This Row],[TargetType]]="state",UPPER(_xlfn.TEXTBEFORE(_xlfn.TEXTAFTER(tblTargets[[#This Row],[TargetID]],"state."),"_")),"")</f>
        <v/>
      </c>
      <c r="E147" t="b">
        <v>1</v>
      </c>
      <c r="F147" t="s">
        <v>3599</v>
      </c>
      <c r="G147" t="str">
        <f>IF(RIGHT(tblTargets[[#This Row],[TargetID]],5)="maxed","",IF(tblTargets[[#This Row],[TargetType]]="BUILDING",_xlfn.XLOOKUP(tblTargets[[#This Row],[TargetID]],Targets!$Q$2:$Q$101,Targets!$O$2:$O$101),"Not a building"))</f>
        <v>Not a building</v>
      </c>
      <c r="H147" t="str">
        <f>IF(RIGHT(tblTargets[[#This Row],[TargetID]],5)="maxed","",IF(tblTargets[[#This Row],[TargetType]]="BUILDING",_xlfn.XLOOKUP(tblTargets[[#This Row],[TargetID]],Targets!$M$2:$M$101,Targets!$K$2:$K$101),"Not a building"))</f>
        <v>Not a building</v>
      </c>
    </row>
    <row r="148" spans="1:8">
      <c r="A148" s="5" t="s">
        <v>5751</v>
      </c>
      <c r="B148" t="s">
        <v>5619</v>
      </c>
      <c r="C148" t="s">
        <v>2578</v>
      </c>
      <c r="D148" t="str">
        <f>IF(tblTargets[[#This Row],[TargetType]]="state",UPPER(_xlfn.TEXTBEFORE(_xlfn.TEXTAFTER(tblTargets[[#This Row],[TargetID]],"state."),"_")),"")</f>
        <v/>
      </c>
      <c r="E148" t="b">
        <v>1</v>
      </c>
      <c r="F148" t="s">
        <v>3599</v>
      </c>
      <c r="G148" t="str">
        <f>IF(RIGHT(tblTargets[[#This Row],[TargetID]],5)="maxed","",IF(tblTargets[[#This Row],[TargetType]]="BUILDING",_xlfn.XLOOKUP(tblTargets[[#This Row],[TargetID]],Targets!$Q$2:$Q$101,Targets!$O$2:$O$101),"Not a building"))</f>
        <v>Not a building</v>
      </c>
      <c r="H148" t="str">
        <f>IF(RIGHT(tblTargets[[#This Row],[TargetID]],5)="maxed","",IF(tblTargets[[#This Row],[TargetType]]="BUILDING",_xlfn.XLOOKUP(tblTargets[[#This Row],[TargetID]],Targets!$M$2:$M$101,Targets!$K$2:$K$101),"Not a building"))</f>
        <v>Not a building</v>
      </c>
    </row>
    <row r="149" spans="1:8">
      <c r="A149" s="5" t="s">
        <v>5752</v>
      </c>
      <c r="B149" t="s">
        <v>5620</v>
      </c>
      <c r="C149" t="s">
        <v>2578</v>
      </c>
      <c r="D149" t="str">
        <f>IF(tblTargets[[#This Row],[TargetType]]="state",UPPER(_xlfn.TEXTBEFORE(_xlfn.TEXTAFTER(tblTargets[[#This Row],[TargetID]],"state."),"_")),"")</f>
        <v/>
      </c>
      <c r="E149" t="b">
        <v>1</v>
      </c>
      <c r="F149" t="s">
        <v>3599</v>
      </c>
      <c r="G149" t="str">
        <f>IF(RIGHT(tblTargets[[#This Row],[TargetID]],5)="maxed","",IF(tblTargets[[#This Row],[TargetType]]="BUILDING",_xlfn.XLOOKUP(tblTargets[[#This Row],[TargetID]],Targets!$Q$2:$Q$101,Targets!$O$2:$O$101),"Not a building"))</f>
        <v>Not a building</v>
      </c>
      <c r="H149" t="str">
        <f>IF(RIGHT(tblTargets[[#This Row],[TargetID]],5)="maxed","",IF(tblTargets[[#This Row],[TargetType]]="BUILDING",_xlfn.XLOOKUP(tblTargets[[#This Row],[TargetID]],Targets!$M$2:$M$101,Targets!$K$2:$K$101),"Not a building"))</f>
        <v>Not a building</v>
      </c>
    </row>
    <row r="150" spans="1:8">
      <c r="A150" s="5" t="s">
        <v>5753</v>
      </c>
      <c r="B150" t="s">
        <v>5619</v>
      </c>
      <c r="C150" t="s">
        <v>2578</v>
      </c>
      <c r="D150" t="str">
        <f>IF(tblTargets[[#This Row],[TargetType]]="state",UPPER(_xlfn.TEXTBEFORE(_xlfn.TEXTAFTER(tblTargets[[#This Row],[TargetID]],"state."),"_")),"")</f>
        <v/>
      </c>
      <c r="E150" t="b">
        <v>1</v>
      </c>
      <c r="F150" t="s">
        <v>3599</v>
      </c>
      <c r="G150" t="str">
        <f>IF(RIGHT(tblTargets[[#This Row],[TargetID]],5)="maxed","",IF(tblTargets[[#This Row],[TargetType]]="BUILDING",_xlfn.XLOOKUP(tblTargets[[#This Row],[TargetID]],Targets!$Q$2:$Q$101,Targets!$O$2:$O$101),"Not a building"))</f>
        <v>Not a building</v>
      </c>
      <c r="H150" t="str">
        <f>IF(RIGHT(tblTargets[[#This Row],[TargetID]],5)="maxed","",IF(tblTargets[[#This Row],[TargetType]]="BUILDING",_xlfn.XLOOKUP(tblTargets[[#This Row],[TargetID]],Targets!$M$2:$M$101,Targets!$K$2:$K$101),"Not a building"))</f>
        <v>Not a building</v>
      </c>
    </row>
    <row r="151" spans="1:8">
      <c r="A151" s="5" t="s">
        <v>5754</v>
      </c>
      <c r="B151" t="s">
        <v>5620</v>
      </c>
      <c r="C151" t="s">
        <v>2578</v>
      </c>
      <c r="D151" t="str">
        <f>IF(tblTargets[[#This Row],[TargetType]]="state",UPPER(_xlfn.TEXTBEFORE(_xlfn.TEXTAFTER(tblTargets[[#This Row],[TargetID]],"state."),"_")),"")</f>
        <v/>
      </c>
      <c r="E151" t="b">
        <v>1</v>
      </c>
      <c r="F151" t="s">
        <v>3599</v>
      </c>
      <c r="G151" t="str">
        <f>IF(RIGHT(tblTargets[[#This Row],[TargetID]],5)="maxed","",IF(tblTargets[[#This Row],[TargetType]]="BUILDING",_xlfn.XLOOKUP(tblTargets[[#This Row],[TargetID]],Targets!$Q$2:$Q$101,Targets!$O$2:$O$101),"Not a building"))</f>
        <v>Not a building</v>
      </c>
      <c r="H151" t="str">
        <f>IF(RIGHT(tblTargets[[#This Row],[TargetID]],5)="maxed","",IF(tblTargets[[#This Row],[TargetType]]="BUILDING",_xlfn.XLOOKUP(tblTargets[[#This Row],[TargetID]],Targets!$M$2:$M$101,Targets!$K$2:$K$101),"Not a building"))</f>
        <v>Not a building</v>
      </c>
    </row>
    <row r="152" spans="1:8">
      <c r="A152" t="s">
        <v>2577</v>
      </c>
      <c r="B152" t="s">
        <v>1922</v>
      </c>
      <c r="C152" t="s">
        <v>2578</v>
      </c>
      <c r="D152" t="str">
        <f>IF(tblTargets[[#This Row],[TargetType]]="state",UPPER(_xlfn.TEXTBEFORE(_xlfn.TEXTAFTER(tblTargets[[#This Row],[TargetID]],"state."),"_")),"")</f>
        <v/>
      </c>
      <c r="E152" t="b">
        <v>1</v>
      </c>
      <c r="F152" t="s">
        <v>3599</v>
      </c>
      <c r="G152" t="str">
        <f>IF(RIGHT(tblTargets[[#This Row],[TargetID]],5)="maxed","",IF(tblTargets[[#This Row],[TargetType]]="BUILDING",_xlfn.XLOOKUP(tblTargets[[#This Row],[TargetID]],Targets!$Q$2:$Q$101,Targets!$O$2:$O$101),"Not a building"))</f>
        <v>Not a building</v>
      </c>
      <c r="H152" t="str">
        <f>IF(RIGHT(tblTargets[[#This Row],[TargetID]],5)="maxed","",IF(tblTargets[[#This Row],[TargetType]]="BUILDING",_xlfn.XLOOKUP(tblTargets[[#This Row],[TargetID]],Targets!$M$2:$M$101,Targets!$K$2:$K$101),"Not a building"))</f>
        <v>Not a building</v>
      </c>
    </row>
    <row r="153" spans="1:8">
      <c r="A153" t="s">
        <v>2579</v>
      </c>
      <c r="B153" t="s">
        <v>1923</v>
      </c>
      <c r="C153" t="s">
        <v>2578</v>
      </c>
      <c r="D153" t="str">
        <f>IF(tblTargets[[#This Row],[TargetType]]="state",UPPER(_xlfn.TEXTBEFORE(_xlfn.TEXTAFTER(tblTargets[[#This Row],[TargetID]],"state."),"_")),"")</f>
        <v/>
      </c>
      <c r="E153" t="b">
        <v>1</v>
      </c>
      <c r="F153" t="s">
        <v>3599</v>
      </c>
      <c r="G153" t="str">
        <f>IF(RIGHT(tblTargets[[#This Row],[TargetID]],5)="maxed","",IF(tblTargets[[#This Row],[TargetType]]="BUILDING",_xlfn.XLOOKUP(tblTargets[[#This Row],[TargetID]],Targets!$Q$2:$Q$101,Targets!$O$2:$O$101),"Not a building"))</f>
        <v>Not a building</v>
      </c>
      <c r="H153" t="str">
        <f>IF(RIGHT(tblTargets[[#This Row],[TargetID]],5)="maxed","",IF(tblTargets[[#This Row],[TargetType]]="BUILDING",_xlfn.XLOOKUP(tblTargets[[#This Row],[TargetID]],Targets!$M$2:$M$101,Targets!$K$2:$K$101),"Not a building"))</f>
        <v>Not a building</v>
      </c>
    </row>
    <row r="154" spans="1:8">
      <c r="A154" t="s">
        <v>2580</v>
      </c>
      <c r="B154" t="s">
        <v>1924</v>
      </c>
      <c r="C154" t="s">
        <v>2578</v>
      </c>
      <c r="D154" t="str">
        <f>IF(tblTargets[[#This Row],[TargetType]]="state",UPPER(_xlfn.TEXTBEFORE(_xlfn.TEXTAFTER(tblTargets[[#This Row],[TargetID]],"state."),"_")),"")</f>
        <v/>
      </c>
      <c r="E154" t="b">
        <v>1</v>
      </c>
      <c r="F154" t="s">
        <v>3599</v>
      </c>
      <c r="G154" t="str">
        <f>IF(RIGHT(tblTargets[[#This Row],[TargetID]],5)="maxed","",IF(tblTargets[[#This Row],[TargetType]]="BUILDING",_xlfn.XLOOKUP(tblTargets[[#This Row],[TargetID]],Targets!$Q$2:$Q$101,Targets!$O$2:$O$101),"Not a building"))</f>
        <v>Not a building</v>
      </c>
      <c r="H154" t="str">
        <f>IF(RIGHT(tblTargets[[#This Row],[TargetID]],5)="maxed","",IF(tblTargets[[#This Row],[TargetType]]="BUILDING",_xlfn.XLOOKUP(tblTargets[[#This Row],[TargetID]],Targets!$M$2:$M$101,Targets!$K$2:$K$101),"Not a building"))</f>
        <v>Not a building</v>
      </c>
    </row>
    <row r="155" spans="1:8">
      <c r="A155" t="s">
        <v>2581</v>
      </c>
      <c r="B155" t="s">
        <v>1925</v>
      </c>
      <c r="C155" t="s">
        <v>2578</v>
      </c>
      <c r="D155" t="str">
        <f>IF(tblTargets[[#This Row],[TargetType]]="state",UPPER(_xlfn.TEXTBEFORE(_xlfn.TEXTAFTER(tblTargets[[#This Row],[TargetID]],"state."),"_")),"")</f>
        <v/>
      </c>
      <c r="E155" t="b">
        <v>1</v>
      </c>
      <c r="F155" t="s">
        <v>3599</v>
      </c>
      <c r="G155" t="str">
        <f>IF(RIGHT(tblTargets[[#This Row],[TargetID]],5)="maxed","",IF(tblTargets[[#This Row],[TargetType]]="BUILDING",_xlfn.XLOOKUP(tblTargets[[#This Row],[TargetID]],Targets!$Q$2:$Q$101,Targets!$O$2:$O$101),"Not a building"))</f>
        <v>Not a building</v>
      </c>
      <c r="H155" t="str">
        <f>IF(RIGHT(tblTargets[[#This Row],[TargetID]],5)="maxed","",IF(tblTargets[[#This Row],[TargetType]]="BUILDING",_xlfn.XLOOKUP(tblTargets[[#This Row],[TargetID]],Targets!$M$2:$M$101,Targets!$K$2:$K$101),"Not a building"))</f>
        <v>Not a building</v>
      </c>
    </row>
    <row r="156" spans="1:8">
      <c r="A156" t="s">
        <v>2582</v>
      </c>
      <c r="B156" t="s">
        <v>1926</v>
      </c>
      <c r="C156" t="s">
        <v>2578</v>
      </c>
      <c r="D156" t="str">
        <f>IF(tblTargets[[#This Row],[TargetType]]="state",UPPER(_xlfn.TEXTBEFORE(_xlfn.TEXTAFTER(tblTargets[[#This Row],[TargetID]],"state."),"_")),"")</f>
        <v/>
      </c>
      <c r="E156" t="b">
        <v>1</v>
      </c>
      <c r="F156" t="s">
        <v>3599</v>
      </c>
      <c r="G156" t="str">
        <f>IF(RIGHT(tblTargets[[#This Row],[TargetID]],5)="maxed","",IF(tblTargets[[#This Row],[TargetType]]="BUILDING",_xlfn.XLOOKUP(tblTargets[[#This Row],[TargetID]],Targets!$Q$2:$Q$101,Targets!$O$2:$O$101),"Not a building"))</f>
        <v>Not a building</v>
      </c>
      <c r="H156" t="str">
        <f>IF(RIGHT(tblTargets[[#This Row],[TargetID]],5)="maxed","",IF(tblTargets[[#This Row],[TargetType]]="BUILDING",_xlfn.XLOOKUP(tblTargets[[#This Row],[TargetID]],Targets!$M$2:$M$101,Targets!$K$2:$K$101),"Not a building"))</f>
        <v>Not a building</v>
      </c>
    </row>
    <row r="157" spans="1:8">
      <c r="A157" t="s">
        <v>2583</v>
      </c>
      <c r="B157" t="s">
        <v>1927</v>
      </c>
      <c r="C157" t="s">
        <v>2578</v>
      </c>
      <c r="D157" t="str">
        <f>IF(tblTargets[[#This Row],[TargetType]]="state",UPPER(_xlfn.TEXTBEFORE(_xlfn.TEXTAFTER(tblTargets[[#This Row],[TargetID]],"state."),"_")),"")</f>
        <v/>
      </c>
      <c r="E157" t="b">
        <v>1</v>
      </c>
      <c r="F157" t="s">
        <v>3599</v>
      </c>
      <c r="G157" t="str">
        <f>IF(RIGHT(tblTargets[[#This Row],[TargetID]],5)="maxed","",IF(tblTargets[[#This Row],[TargetType]]="BUILDING",_xlfn.XLOOKUP(tblTargets[[#This Row],[TargetID]],Targets!$Q$2:$Q$101,Targets!$O$2:$O$101),"Not a building"))</f>
        <v>Not a building</v>
      </c>
      <c r="H157" t="str">
        <f>IF(RIGHT(tblTargets[[#This Row],[TargetID]],5)="maxed","",IF(tblTargets[[#This Row],[TargetType]]="BUILDING",_xlfn.XLOOKUP(tblTargets[[#This Row],[TargetID]],Targets!$M$2:$M$101,Targets!$K$2:$K$101),"Not a building"))</f>
        <v>Not a building</v>
      </c>
    </row>
    <row r="158" spans="1:8">
      <c r="A158" t="s">
        <v>2584</v>
      </c>
      <c r="B158" t="s">
        <v>1928</v>
      </c>
      <c r="C158" t="s">
        <v>2578</v>
      </c>
      <c r="D158" t="str">
        <f>IF(tblTargets[[#This Row],[TargetType]]="state",UPPER(_xlfn.TEXTBEFORE(_xlfn.TEXTAFTER(tblTargets[[#This Row],[TargetID]],"state."),"_")),"")</f>
        <v/>
      </c>
      <c r="E158" t="b">
        <v>1</v>
      </c>
      <c r="F158" t="s">
        <v>3599</v>
      </c>
      <c r="G158" t="str">
        <f>IF(RIGHT(tblTargets[[#This Row],[TargetID]],5)="maxed","",IF(tblTargets[[#This Row],[TargetType]]="BUILDING",_xlfn.XLOOKUP(tblTargets[[#This Row],[TargetID]],Targets!$Q$2:$Q$101,Targets!$O$2:$O$101),"Not a building"))</f>
        <v>Not a building</v>
      </c>
      <c r="H158" t="str">
        <f>IF(RIGHT(tblTargets[[#This Row],[TargetID]],5)="maxed","",IF(tblTargets[[#This Row],[TargetType]]="BUILDING",_xlfn.XLOOKUP(tblTargets[[#This Row],[TargetID]],Targets!$M$2:$M$101,Targets!$K$2:$K$101),"Not a building"))</f>
        <v>Not a building</v>
      </c>
    </row>
    <row r="159" spans="1:8">
      <c r="A159" t="s">
        <v>2585</v>
      </c>
      <c r="B159" t="s">
        <v>1929</v>
      </c>
      <c r="C159" t="s">
        <v>2578</v>
      </c>
      <c r="D159" t="str">
        <f>IF(tblTargets[[#This Row],[TargetType]]="state",UPPER(_xlfn.TEXTBEFORE(_xlfn.TEXTAFTER(tblTargets[[#This Row],[TargetID]],"state."),"_")),"")</f>
        <v/>
      </c>
      <c r="E159" t="b">
        <v>1</v>
      </c>
      <c r="F159" t="s">
        <v>3599</v>
      </c>
      <c r="G159" t="str">
        <f>IF(RIGHT(tblTargets[[#This Row],[TargetID]],5)="maxed","",IF(tblTargets[[#This Row],[TargetType]]="BUILDING",_xlfn.XLOOKUP(tblTargets[[#This Row],[TargetID]],Targets!$Q$2:$Q$101,Targets!$O$2:$O$101),"Not a building"))</f>
        <v>Not a building</v>
      </c>
      <c r="H159" t="str">
        <f>IF(RIGHT(tblTargets[[#This Row],[TargetID]],5)="maxed","",IF(tblTargets[[#This Row],[TargetType]]="BUILDING",_xlfn.XLOOKUP(tblTargets[[#This Row],[TargetID]],Targets!$M$2:$M$101,Targets!$K$2:$K$101),"Not a building"))</f>
        <v>Not a building</v>
      </c>
    </row>
    <row r="160" spans="1:8">
      <c r="A160" t="s">
        <v>2586</v>
      </c>
      <c r="B160" t="s">
        <v>1930</v>
      </c>
      <c r="C160" t="s">
        <v>2578</v>
      </c>
      <c r="D160" t="str">
        <f>IF(tblTargets[[#This Row],[TargetType]]="state",UPPER(_xlfn.TEXTBEFORE(_xlfn.TEXTAFTER(tblTargets[[#This Row],[TargetID]],"state."),"_")),"")</f>
        <v/>
      </c>
      <c r="E160" t="b">
        <v>1</v>
      </c>
      <c r="F160" t="s">
        <v>3599</v>
      </c>
      <c r="G160" t="str">
        <f>IF(RIGHT(tblTargets[[#This Row],[TargetID]],5)="maxed","",IF(tblTargets[[#This Row],[TargetType]]="BUILDING",_xlfn.XLOOKUP(tblTargets[[#This Row],[TargetID]],Targets!$Q$2:$Q$101,Targets!$O$2:$O$101),"Not a building"))</f>
        <v>Not a building</v>
      </c>
      <c r="H160" t="str">
        <f>IF(RIGHT(tblTargets[[#This Row],[TargetID]],5)="maxed","",IF(tblTargets[[#This Row],[TargetType]]="BUILDING",_xlfn.XLOOKUP(tblTargets[[#This Row],[TargetID]],Targets!$M$2:$M$101,Targets!$K$2:$K$101),"Not a building"))</f>
        <v>Not a building</v>
      </c>
    </row>
    <row r="161" spans="1:8">
      <c r="A161" t="s">
        <v>5631</v>
      </c>
      <c r="B161" t="s">
        <v>5617</v>
      </c>
      <c r="C161" t="s">
        <v>2578</v>
      </c>
      <c r="D161" t="str">
        <f>IF(tblTargets[[#This Row],[TargetType]]="state",UPPER(_xlfn.TEXTBEFORE(_xlfn.TEXTAFTER(tblTargets[[#This Row],[TargetID]],"state."),"_")),"")</f>
        <v/>
      </c>
      <c r="E161" t="b">
        <v>1</v>
      </c>
      <c r="F161" t="s">
        <v>3599</v>
      </c>
      <c r="G161" t="str">
        <f>IF(RIGHT(tblTargets[[#This Row],[TargetID]],5)="maxed","",IF(tblTargets[[#This Row],[TargetType]]="BUILDING",_xlfn.XLOOKUP(tblTargets[[#This Row],[TargetID]],Targets!$Q$2:$Q$101,Targets!$O$2:$O$101),"Not a building"))</f>
        <v>Not a building</v>
      </c>
      <c r="H161" t="str">
        <f>IF(RIGHT(tblTargets[[#This Row],[TargetID]],5)="maxed","",IF(tblTargets[[#This Row],[TargetType]]="BUILDING",_xlfn.XLOOKUP(tblTargets[[#This Row],[TargetID]],Targets!$M$2:$M$101,Targets!$K$2:$K$101),"Not a building"))</f>
        <v>Not a building</v>
      </c>
    </row>
    <row r="162" spans="1:8">
      <c r="A162" t="s">
        <v>5632</v>
      </c>
      <c r="B162" t="s">
        <v>5618</v>
      </c>
      <c r="C162" t="s">
        <v>2578</v>
      </c>
      <c r="D162" t="str">
        <f>IF(tblTargets[[#This Row],[TargetType]]="state",UPPER(_xlfn.TEXTBEFORE(_xlfn.TEXTAFTER(tblTargets[[#This Row],[TargetID]],"state."),"_")),"")</f>
        <v/>
      </c>
      <c r="E162" t="b">
        <v>1</v>
      </c>
      <c r="F162" t="s">
        <v>3599</v>
      </c>
      <c r="G162" t="str">
        <f>IF(RIGHT(tblTargets[[#This Row],[TargetID]],5)="maxed","",IF(tblTargets[[#This Row],[TargetType]]="BUILDING",_xlfn.XLOOKUP(tblTargets[[#This Row],[TargetID]],Targets!$Q$2:$Q$101,Targets!$O$2:$O$101),"Not a building"))</f>
        <v>Not a building</v>
      </c>
      <c r="H162" t="str">
        <f>IF(RIGHT(tblTargets[[#This Row],[TargetID]],5)="maxed","",IF(tblTargets[[#This Row],[TargetType]]="BUILDING",_xlfn.XLOOKUP(tblTargets[[#This Row],[TargetID]],Targets!$M$2:$M$101,Targets!$K$2:$K$101),"Not a building"))</f>
        <v>Not a building</v>
      </c>
    </row>
    <row r="163" spans="1:8">
      <c r="A163" t="s">
        <v>5573</v>
      </c>
      <c r="B163" t="s">
        <v>5574</v>
      </c>
      <c r="C163" t="s">
        <v>2578</v>
      </c>
      <c r="D163" t="str">
        <f>IF(tblTargets[[#This Row],[TargetType]]="state",UPPER(_xlfn.TEXTBEFORE(_xlfn.TEXTAFTER(tblTargets[[#This Row],[TargetID]],"state."),"_")),"")</f>
        <v/>
      </c>
      <c r="E163" t="b">
        <v>1</v>
      </c>
      <c r="F163" t="s">
        <v>3599</v>
      </c>
      <c r="G163" t="str">
        <f>IF(RIGHT(tblTargets[[#This Row],[TargetID]],5)="maxed","",IF(tblTargets[[#This Row],[TargetType]]="BUILDING",_xlfn.XLOOKUP(tblTargets[[#This Row],[TargetID]],Targets!$Q$2:$Q$101,Targets!$O$2:$O$101),"Not a building"))</f>
        <v>Not a building</v>
      </c>
      <c r="H163" t="str">
        <f>IF(RIGHT(tblTargets[[#This Row],[TargetID]],5)="maxed","",IF(tblTargets[[#This Row],[TargetType]]="BUILDING",_xlfn.XLOOKUP(tblTargets[[#This Row],[TargetID]],Targets!$M$2:$M$101,Targets!$K$2:$K$101),"Not a building"))</f>
        <v>Not a building</v>
      </c>
    </row>
    <row r="164" spans="1:8">
      <c r="A164" t="s">
        <v>5655</v>
      </c>
      <c r="B164" t="s">
        <v>5593</v>
      </c>
      <c r="C164" t="s">
        <v>2578</v>
      </c>
      <c r="D164" t="str">
        <f>IF(tblTargets[[#This Row],[TargetType]]="state",UPPER(_xlfn.TEXTBEFORE(_xlfn.TEXTAFTER(tblTargets[[#This Row],[TargetID]],"state."),"_")),"")</f>
        <v/>
      </c>
      <c r="E164" t="b">
        <v>1</v>
      </c>
      <c r="F164" t="s">
        <v>3599</v>
      </c>
      <c r="G164" t="str">
        <f>IF(RIGHT(tblTargets[[#This Row],[TargetID]],5)="maxed","",IF(tblTargets[[#This Row],[TargetType]]="BUILDING",_xlfn.XLOOKUP(tblTargets[[#This Row],[TargetID]],Targets!$Q$2:$Q$101,Targets!$O$2:$O$101),"Not a building"))</f>
        <v>Not a building</v>
      </c>
      <c r="H164" t="str">
        <f>IF(RIGHT(tblTargets[[#This Row],[TargetID]],5)="maxed","",IF(tblTargets[[#This Row],[TargetType]]="BUILDING",_xlfn.XLOOKUP(tblTargets[[#This Row],[TargetID]],Targets!$M$2:$M$101,Targets!$K$2:$K$101),"Not a building"))</f>
        <v>Not a building</v>
      </c>
    </row>
    <row r="165" spans="1:8">
      <c r="A165" t="s">
        <v>5767</v>
      </c>
      <c r="B165" t="s">
        <v>5596</v>
      </c>
      <c r="C165" t="s">
        <v>2578</v>
      </c>
      <c r="D165" t="str">
        <f>IF(tblTargets[[#This Row],[TargetType]]="state",UPPER(_xlfn.TEXTBEFORE(_xlfn.TEXTAFTER(tblTargets[[#This Row],[TargetID]],"state."),"_")),"")</f>
        <v/>
      </c>
      <c r="E165" t="b">
        <v>1</v>
      </c>
      <c r="F165" t="s">
        <v>3599</v>
      </c>
      <c r="G165" t="str">
        <f>IF(RIGHT(tblTargets[[#This Row],[TargetID]],5)="maxed","",IF(tblTargets[[#This Row],[TargetType]]="BUILDING",_xlfn.XLOOKUP(tblTargets[[#This Row],[TargetID]],Targets!$Q$2:$Q$101,Targets!$O$2:$O$101),"Not a building"))</f>
        <v>Not a building</v>
      </c>
      <c r="H165" t="str">
        <f>IF(RIGHT(tblTargets[[#This Row],[TargetID]],5)="maxed","",IF(tblTargets[[#This Row],[TargetType]]="BUILDING",_xlfn.XLOOKUP(tblTargets[[#This Row],[TargetID]],Targets!$M$2:$M$101,Targets!$K$2:$K$101),"Not a building"))</f>
        <v>Not a building</v>
      </c>
    </row>
    <row r="166" spans="1:8">
      <c r="A166" s="5" t="s">
        <v>5654</v>
      </c>
      <c r="B166" t="s">
        <v>5595</v>
      </c>
      <c r="C166" t="s">
        <v>2578</v>
      </c>
      <c r="D166" t="str">
        <f>IF(tblTargets[[#This Row],[TargetType]]="state",UPPER(_xlfn.TEXTBEFORE(_xlfn.TEXTAFTER(tblTargets[[#This Row],[TargetID]],"state."),"_")),"")</f>
        <v/>
      </c>
      <c r="E166" t="b">
        <v>1</v>
      </c>
      <c r="F166" t="s">
        <v>3599</v>
      </c>
      <c r="G166" t="str">
        <f>IF(RIGHT(tblTargets[[#This Row],[TargetID]],5)="maxed","",IF(tblTargets[[#This Row],[TargetType]]="BUILDING",_xlfn.XLOOKUP(tblTargets[[#This Row],[TargetID]],Targets!$Q$2:$Q$101,Targets!$O$2:$O$101),"Not a building"))</f>
        <v>Not a building</v>
      </c>
      <c r="H166" t="str">
        <f>IF(RIGHT(tblTargets[[#This Row],[TargetID]],5)="maxed","",IF(tblTargets[[#This Row],[TargetType]]="BUILDING",_xlfn.XLOOKUP(tblTargets[[#This Row],[TargetID]],Targets!$M$2:$M$101,Targets!$K$2:$K$101),"Not a building"))</f>
        <v>Not a building</v>
      </c>
    </row>
    <row r="167" spans="1:8">
      <c r="A167" s="5" t="s">
        <v>5652</v>
      </c>
      <c r="B167" t="s">
        <v>5591</v>
      </c>
      <c r="C167" t="s">
        <v>2578</v>
      </c>
      <c r="D167" t="str">
        <f>IF(tblTargets[[#This Row],[TargetType]]="state",UPPER(_xlfn.TEXTBEFORE(_xlfn.TEXTAFTER(tblTargets[[#This Row],[TargetID]],"state."),"_")),"")</f>
        <v/>
      </c>
      <c r="E167" t="b">
        <v>1</v>
      </c>
      <c r="F167" t="s">
        <v>3599</v>
      </c>
      <c r="G167" t="str">
        <f>IF(RIGHT(tblTargets[[#This Row],[TargetID]],5)="maxed","",IF(tblTargets[[#This Row],[TargetType]]="BUILDING",_xlfn.XLOOKUP(tblTargets[[#This Row],[TargetID]],Targets!$Q$2:$Q$101,Targets!$O$2:$O$101),"Not a building"))</f>
        <v>Not a building</v>
      </c>
      <c r="H167" t="str">
        <f>IF(RIGHT(tblTargets[[#This Row],[TargetID]],5)="maxed","",IF(tblTargets[[#This Row],[TargetType]]="BUILDING",_xlfn.XLOOKUP(tblTargets[[#This Row],[TargetID]],Targets!$M$2:$M$101,Targets!$K$2:$K$101),"Not a building"))</f>
        <v>Not a building</v>
      </c>
    </row>
    <row r="168" spans="1:8">
      <c r="A168" t="s">
        <v>2587</v>
      </c>
      <c r="B168" t="s">
        <v>1931</v>
      </c>
      <c r="C168" t="s">
        <v>2578</v>
      </c>
      <c r="D168" t="str">
        <f>IF(tblTargets[[#This Row],[TargetType]]="state",UPPER(_xlfn.TEXTBEFORE(_xlfn.TEXTAFTER(tblTargets[[#This Row],[TargetID]],"state."),"_")),"")</f>
        <v/>
      </c>
      <c r="E168" t="b">
        <v>1</v>
      </c>
      <c r="F168" t="s">
        <v>3599</v>
      </c>
      <c r="G168" t="str">
        <f>IF(RIGHT(tblTargets[[#This Row],[TargetID]],5)="maxed","",IF(tblTargets[[#This Row],[TargetType]]="BUILDING",_xlfn.XLOOKUP(tblTargets[[#This Row],[TargetID]],Targets!$Q$2:$Q$101,Targets!$O$2:$O$101),"Not a building"))</f>
        <v>Not a building</v>
      </c>
      <c r="H168" t="str">
        <f>IF(RIGHT(tblTargets[[#This Row],[TargetID]],5)="maxed","",IF(tblTargets[[#This Row],[TargetType]]="BUILDING",_xlfn.XLOOKUP(tblTargets[[#This Row],[TargetID]],Targets!$M$2:$M$101,Targets!$K$2:$K$101),"Not a building"))</f>
        <v>Not a building</v>
      </c>
    </row>
    <row r="169" spans="1:8">
      <c r="A169" t="s">
        <v>2588</v>
      </c>
      <c r="B169" t="s">
        <v>1932</v>
      </c>
      <c r="C169" t="s">
        <v>2578</v>
      </c>
      <c r="D169" t="str">
        <f>IF(tblTargets[[#This Row],[TargetType]]="state",UPPER(_xlfn.TEXTBEFORE(_xlfn.TEXTAFTER(tblTargets[[#This Row],[TargetID]],"state."),"_")),"")</f>
        <v/>
      </c>
      <c r="E169" t="b">
        <v>1</v>
      </c>
      <c r="F169" t="s">
        <v>3599</v>
      </c>
      <c r="G169" t="str">
        <f>IF(RIGHT(tblTargets[[#This Row],[TargetID]],5)="maxed","",IF(tblTargets[[#This Row],[TargetType]]="BUILDING",_xlfn.XLOOKUP(tblTargets[[#This Row],[TargetID]],Targets!$Q$2:$Q$101,Targets!$O$2:$O$101),"Not a building"))</f>
        <v>Not a building</v>
      </c>
      <c r="H169" t="str">
        <f>IF(RIGHT(tblTargets[[#This Row],[TargetID]],5)="maxed","",IF(tblTargets[[#This Row],[TargetType]]="BUILDING",_xlfn.XLOOKUP(tblTargets[[#This Row],[TargetID]],Targets!$M$2:$M$101,Targets!$K$2:$K$101),"Not a building"))</f>
        <v>Not a building</v>
      </c>
    </row>
    <row r="170" spans="1:8">
      <c r="A170" t="s">
        <v>2589</v>
      </c>
      <c r="B170" t="s">
        <v>1933</v>
      </c>
      <c r="C170" t="s">
        <v>2578</v>
      </c>
      <c r="D170" t="str">
        <f>IF(tblTargets[[#This Row],[TargetType]]="state",UPPER(_xlfn.TEXTBEFORE(_xlfn.TEXTAFTER(tblTargets[[#This Row],[TargetID]],"state."),"_")),"")</f>
        <v/>
      </c>
      <c r="E170" t="b">
        <v>1</v>
      </c>
      <c r="F170" t="s">
        <v>3599</v>
      </c>
      <c r="G170" t="str">
        <f>IF(RIGHT(tblTargets[[#This Row],[TargetID]],5)="maxed","",IF(tblTargets[[#This Row],[TargetType]]="BUILDING",_xlfn.XLOOKUP(tblTargets[[#This Row],[TargetID]],Targets!$Q$2:$Q$101,Targets!$O$2:$O$101),"Not a building"))</f>
        <v>Not a building</v>
      </c>
      <c r="H170" t="str">
        <f>IF(RIGHT(tblTargets[[#This Row],[TargetID]],5)="maxed","",IF(tblTargets[[#This Row],[TargetType]]="BUILDING",_xlfn.XLOOKUP(tblTargets[[#This Row],[TargetID]],Targets!$M$2:$M$101,Targets!$K$2:$K$101),"Not a building"))</f>
        <v>Not a building</v>
      </c>
    </row>
    <row r="171" spans="1:8">
      <c r="A171" s="5" t="s">
        <v>5926</v>
      </c>
      <c r="B171" t="s">
        <v>5594</v>
      </c>
      <c r="C171" t="s">
        <v>2578</v>
      </c>
      <c r="D171" t="str">
        <f>IF(tblTargets[[#This Row],[TargetType]]="state",UPPER(_xlfn.TEXTBEFORE(_xlfn.TEXTAFTER(tblTargets[[#This Row],[TargetID]],"state."),"_")),"")</f>
        <v/>
      </c>
      <c r="E171" t="b">
        <v>1</v>
      </c>
      <c r="F171" t="s">
        <v>3599</v>
      </c>
      <c r="G171" t="str">
        <f>IF(RIGHT(tblTargets[[#This Row],[TargetID]],5)="maxed","",IF(tblTargets[[#This Row],[TargetType]]="BUILDING",_xlfn.XLOOKUP(tblTargets[[#This Row],[TargetID]],Targets!$Q$2:$Q$101,Targets!$O$2:$O$101),"Not a building"))</f>
        <v>Not a building</v>
      </c>
      <c r="H171" t="str">
        <f>IF(RIGHT(tblTargets[[#This Row],[TargetID]],5)="maxed","",IF(tblTargets[[#This Row],[TargetType]]="BUILDING",_xlfn.XLOOKUP(tblTargets[[#This Row],[TargetID]],Targets!$M$2:$M$101,Targets!$K$2:$K$101),"Not a building"))</f>
        <v>Not a building</v>
      </c>
    </row>
    <row r="172" spans="1:8">
      <c r="A172" t="s">
        <v>2590</v>
      </c>
      <c r="B172" t="s">
        <v>1934</v>
      </c>
      <c r="C172" t="s">
        <v>2578</v>
      </c>
      <c r="D172" t="str">
        <f>IF(tblTargets[[#This Row],[TargetType]]="state",UPPER(_xlfn.TEXTBEFORE(_xlfn.TEXTAFTER(tblTargets[[#This Row],[TargetID]],"state."),"_")),"")</f>
        <v/>
      </c>
      <c r="E172" t="b">
        <v>1</v>
      </c>
      <c r="F172" t="s">
        <v>3599</v>
      </c>
      <c r="G172" t="str">
        <f>IF(RIGHT(tblTargets[[#This Row],[TargetID]],5)="maxed","",IF(tblTargets[[#This Row],[TargetType]]="BUILDING",_xlfn.XLOOKUP(tblTargets[[#This Row],[TargetID]],Targets!$Q$2:$Q$101,Targets!$O$2:$O$101),"Not a building"))</f>
        <v>Not a building</v>
      </c>
      <c r="H172" t="str">
        <f>IF(RIGHT(tblTargets[[#This Row],[TargetID]],5)="maxed","",IF(tblTargets[[#This Row],[TargetType]]="BUILDING",_xlfn.XLOOKUP(tblTargets[[#This Row],[TargetID]],Targets!$M$2:$M$101,Targets!$K$2:$K$101),"Not a building"))</f>
        <v>Not a building</v>
      </c>
    </row>
    <row r="173" spans="1:8">
      <c r="A173" t="s">
        <v>2591</v>
      </c>
      <c r="B173" t="s">
        <v>1935</v>
      </c>
      <c r="C173" t="s">
        <v>2578</v>
      </c>
      <c r="D173" t="str">
        <f>IF(tblTargets[[#This Row],[TargetType]]="state",UPPER(_xlfn.TEXTBEFORE(_xlfn.TEXTAFTER(tblTargets[[#This Row],[TargetID]],"state."),"_")),"")</f>
        <v/>
      </c>
      <c r="E173" t="b">
        <v>1</v>
      </c>
      <c r="F173" t="s">
        <v>3599</v>
      </c>
      <c r="G173" t="str">
        <f>IF(RIGHT(tblTargets[[#This Row],[TargetID]],5)="maxed","",IF(tblTargets[[#This Row],[TargetType]]="BUILDING",_xlfn.XLOOKUP(tblTargets[[#This Row],[TargetID]],Targets!$Q$2:$Q$101,Targets!$O$2:$O$101),"Not a building"))</f>
        <v>Not a building</v>
      </c>
      <c r="H173" t="str">
        <f>IF(RIGHT(tblTargets[[#This Row],[TargetID]],5)="maxed","",IF(tblTargets[[#This Row],[TargetType]]="BUILDING",_xlfn.XLOOKUP(tblTargets[[#This Row],[TargetID]],Targets!$M$2:$M$101,Targets!$K$2:$K$101),"Not a building"))</f>
        <v>Not a building</v>
      </c>
    </row>
    <row r="174" spans="1:8">
      <c r="A174" t="s">
        <v>2592</v>
      </c>
      <c r="B174" t="s">
        <v>1936</v>
      </c>
      <c r="C174" t="s">
        <v>2578</v>
      </c>
      <c r="D174" t="str">
        <f>IF(tblTargets[[#This Row],[TargetType]]="state",UPPER(_xlfn.TEXTBEFORE(_xlfn.TEXTAFTER(tblTargets[[#This Row],[TargetID]],"state."),"_")),"")</f>
        <v/>
      </c>
      <c r="E174" t="b">
        <v>1</v>
      </c>
      <c r="F174" t="s">
        <v>3599</v>
      </c>
      <c r="G174" t="str">
        <f>IF(RIGHT(tblTargets[[#This Row],[TargetID]],5)="maxed","",IF(tblTargets[[#This Row],[TargetType]]="BUILDING",_xlfn.XLOOKUP(tblTargets[[#This Row],[TargetID]],Targets!$Q$2:$Q$101,Targets!$O$2:$O$101),"Not a building"))</f>
        <v>Not a building</v>
      </c>
      <c r="H174" t="str">
        <f>IF(RIGHT(tblTargets[[#This Row],[TargetID]],5)="maxed","",IF(tblTargets[[#This Row],[TargetType]]="BUILDING",_xlfn.XLOOKUP(tblTargets[[#This Row],[TargetID]],Targets!$M$2:$M$101,Targets!$K$2:$K$101),"Not a building"))</f>
        <v>Not a building</v>
      </c>
    </row>
    <row r="175" spans="1:8">
      <c r="A175" t="s">
        <v>2593</v>
      </c>
      <c r="B175" t="s">
        <v>1937</v>
      </c>
      <c r="C175" t="s">
        <v>2578</v>
      </c>
      <c r="D175" t="str">
        <f>IF(tblTargets[[#This Row],[TargetType]]="state",UPPER(_xlfn.TEXTBEFORE(_xlfn.TEXTAFTER(tblTargets[[#This Row],[TargetID]],"state."),"_")),"")</f>
        <v/>
      </c>
      <c r="E175" t="b">
        <v>1</v>
      </c>
      <c r="F175" t="s">
        <v>3599</v>
      </c>
      <c r="G175" t="str">
        <f>IF(RIGHT(tblTargets[[#This Row],[TargetID]],5)="maxed","",IF(tblTargets[[#This Row],[TargetType]]="BUILDING",_xlfn.XLOOKUP(tblTargets[[#This Row],[TargetID]],Targets!$Q$2:$Q$101,Targets!$O$2:$O$101),"Not a building"))</f>
        <v>Not a building</v>
      </c>
      <c r="H175" t="str">
        <f>IF(RIGHT(tblTargets[[#This Row],[TargetID]],5)="maxed","",IF(tblTargets[[#This Row],[TargetType]]="BUILDING",_xlfn.XLOOKUP(tblTargets[[#This Row],[TargetID]],Targets!$M$2:$M$101,Targets!$K$2:$K$101),"Not a building"))</f>
        <v>Not a building</v>
      </c>
    </row>
    <row r="176" spans="1:8">
      <c r="A176" t="s">
        <v>2594</v>
      </c>
      <c r="B176" t="s">
        <v>1938</v>
      </c>
      <c r="C176" t="s">
        <v>2578</v>
      </c>
      <c r="D176" t="str">
        <f>IF(tblTargets[[#This Row],[TargetType]]="state",UPPER(_xlfn.TEXTBEFORE(_xlfn.TEXTAFTER(tblTargets[[#This Row],[TargetID]],"state."),"_")),"")</f>
        <v/>
      </c>
      <c r="E176" t="b">
        <v>1</v>
      </c>
      <c r="F176" t="s">
        <v>3599</v>
      </c>
      <c r="G176" t="str">
        <f>IF(RIGHT(tblTargets[[#This Row],[TargetID]],5)="maxed","",IF(tblTargets[[#This Row],[TargetType]]="BUILDING",_xlfn.XLOOKUP(tblTargets[[#This Row],[TargetID]],Targets!$Q$2:$Q$101,Targets!$O$2:$O$101),"Not a building"))</f>
        <v>Not a building</v>
      </c>
      <c r="H176" t="str">
        <f>IF(RIGHT(tblTargets[[#This Row],[TargetID]],5)="maxed","",IF(tblTargets[[#This Row],[TargetType]]="BUILDING",_xlfn.XLOOKUP(tblTargets[[#This Row],[TargetID]],Targets!$M$2:$M$101,Targets!$K$2:$K$101),"Not a building"))</f>
        <v>Not a building</v>
      </c>
    </row>
    <row r="177" spans="1:8">
      <c r="A177" t="s">
        <v>2595</v>
      </c>
      <c r="B177" t="s">
        <v>1939</v>
      </c>
      <c r="C177" t="s">
        <v>2578</v>
      </c>
      <c r="D177" t="str">
        <f>IF(tblTargets[[#This Row],[TargetType]]="state",UPPER(_xlfn.TEXTBEFORE(_xlfn.TEXTAFTER(tblTargets[[#This Row],[TargetID]],"state."),"_")),"")</f>
        <v/>
      </c>
      <c r="E177" t="b">
        <v>1</v>
      </c>
      <c r="F177" t="s">
        <v>3599</v>
      </c>
      <c r="G177" t="str">
        <f>IF(RIGHT(tblTargets[[#This Row],[TargetID]],5)="maxed","",IF(tblTargets[[#This Row],[TargetType]]="BUILDING",_xlfn.XLOOKUP(tblTargets[[#This Row],[TargetID]],Targets!$Q$2:$Q$101,Targets!$O$2:$O$101),"Not a building"))</f>
        <v>Not a building</v>
      </c>
      <c r="H177" t="str">
        <f>IF(RIGHT(tblTargets[[#This Row],[TargetID]],5)="maxed","",IF(tblTargets[[#This Row],[TargetType]]="BUILDING",_xlfn.XLOOKUP(tblTargets[[#This Row],[TargetID]],Targets!$M$2:$M$101,Targets!$K$2:$K$101),"Not a building"))</f>
        <v>Not a building</v>
      </c>
    </row>
    <row r="178" spans="1:8">
      <c r="A178" t="s">
        <v>2596</v>
      </c>
      <c r="B178" t="s">
        <v>1940</v>
      </c>
      <c r="C178" t="s">
        <v>2578</v>
      </c>
      <c r="D178" t="str">
        <f>IF(tblTargets[[#This Row],[TargetType]]="state",UPPER(_xlfn.TEXTBEFORE(_xlfn.TEXTAFTER(tblTargets[[#This Row],[TargetID]],"state."),"_")),"")</f>
        <v/>
      </c>
      <c r="E178" t="b">
        <v>1</v>
      </c>
      <c r="F178" t="s">
        <v>3599</v>
      </c>
      <c r="G178" t="str">
        <f>IF(RIGHT(tblTargets[[#This Row],[TargetID]],5)="maxed","",IF(tblTargets[[#This Row],[TargetType]]="BUILDING",_xlfn.XLOOKUP(tblTargets[[#This Row],[TargetID]],Targets!$Q$2:$Q$101,Targets!$O$2:$O$101),"Not a building"))</f>
        <v>Not a building</v>
      </c>
      <c r="H178" t="str">
        <f>IF(RIGHT(tblTargets[[#This Row],[TargetID]],5)="maxed","",IF(tblTargets[[#This Row],[TargetType]]="BUILDING",_xlfn.XLOOKUP(tblTargets[[#This Row],[TargetID]],Targets!$M$2:$M$101,Targets!$K$2:$K$101),"Not a building"))</f>
        <v>Not a building</v>
      </c>
    </row>
    <row r="179" spans="1:8">
      <c r="A179" t="s">
        <v>2597</v>
      </c>
      <c r="B179" t="s">
        <v>1941</v>
      </c>
      <c r="C179" t="s">
        <v>2578</v>
      </c>
      <c r="D179" t="str">
        <f>IF(tblTargets[[#This Row],[TargetType]]="state",UPPER(_xlfn.TEXTBEFORE(_xlfn.TEXTAFTER(tblTargets[[#This Row],[TargetID]],"state."),"_")),"")</f>
        <v/>
      </c>
      <c r="E179" t="b">
        <v>1</v>
      </c>
      <c r="F179" t="s">
        <v>3599</v>
      </c>
      <c r="G179" t="str">
        <f>IF(RIGHT(tblTargets[[#This Row],[TargetID]],5)="maxed","",IF(tblTargets[[#This Row],[TargetType]]="BUILDING",_xlfn.XLOOKUP(tblTargets[[#This Row],[TargetID]],Targets!$Q$2:$Q$101,Targets!$O$2:$O$101),"Not a building"))</f>
        <v>Not a building</v>
      </c>
      <c r="H179" t="str">
        <f>IF(RIGHT(tblTargets[[#This Row],[TargetID]],5)="maxed","",IF(tblTargets[[#This Row],[TargetType]]="BUILDING",_xlfn.XLOOKUP(tblTargets[[#This Row],[TargetID]],Targets!$M$2:$M$101,Targets!$K$2:$K$101),"Not a building"))</f>
        <v>Not a building</v>
      </c>
    </row>
    <row r="180" spans="1:8">
      <c r="A180" t="s">
        <v>2598</v>
      </c>
      <c r="B180" t="s">
        <v>1942</v>
      </c>
      <c r="C180" t="s">
        <v>2578</v>
      </c>
      <c r="D180" t="str">
        <f>IF(tblTargets[[#This Row],[TargetType]]="state",UPPER(_xlfn.TEXTBEFORE(_xlfn.TEXTAFTER(tblTargets[[#This Row],[TargetID]],"state."),"_")),"")</f>
        <v/>
      </c>
      <c r="E180" t="b">
        <v>1</v>
      </c>
      <c r="F180" t="s">
        <v>3599</v>
      </c>
      <c r="G180" t="str">
        <f>IF(RIGHT(tblTargets[[#This Row],[TargetID]],5)="maxed","",IF(tblTargets[[#This Row],[TargetType]]="BUILDING",_xlfn.XLOOKUP(tblTargets[[#This Row],[TargetID]],Targets!$Q$2:$Q$101,Targets!$O$2:$O$101),"Not a building"))</f>
        <v>Not a building</v>
      </c>
      <c r="H180" t="str">
        <f>IF(RIGHT(tblTargets[[#This Row],[TargetID]],5)="maxed","",IF(tblTargets[[#This Row],[TargetType]]="BUILDING",_xlfn.XLOOKUP(tblTargets[[#This Row],[TargetID]],Targets!$M$2:$M$101,Targets!$K$2:$K$101),"Not a building"))</f>
        <v>Not a building</v>
      </c>
    </row>
    <row r="181" spans="1:8">
      <c r="A181" t="s">
        <v>2599</v>
      </c>
      <c r="B181" t="s">
        <v>1943</v>
      </c>
      <c r="C181" t="s">
        <v>2578</v>
      </c>
      <c r="D181" t="str">
        <f>IF(tblTargets[[#This Row],[TargetType]]="state",UPPER(_xlfn.TEXTBEFORE(_xlfn.TEXTAFTER(tblTargets[[#This Row],[TargetID]],"state."),"_")),"")</f>
        <v/>
      </c>
      <c r="E181" t="b">
        <v>1</v>
      </c>
      <c r="F181" t="s">
        <v>3599</v>
      </c>
      <c r="G181" t="str">
        <f>IF(RIGHT(tblTargets[[#This Row],[TargetID]],5)="maxed","",IF(tblTargets[[#This Row],[TargetType]]="BUILDING",_xlfn.XLOOKUP(tblTargets[[#This Row],[TargetID]],Targets!$Q$2:$Q$101,Targets!$O$2:$O$101),"Not a building"))</f>
        <v>Not a building</v>
      </c>
      <c r="H181" t="str">
        <f>IF(RIGHT(tblTargets[[#This Row],[TargetID]],5)="maxed","",IF(tblTargets[[#This Row],[TargetType]]="BUILDING",_xlfn.XLOOKUP(tblTargets[[#This Row],[TargetID]],Targets!$M$2:$M$101,Targets!$K$2:$K$101),"Not a building"))</f>
        <v>Not a building</v>
      </c>
    </row>
    <row r="182" spans="1:8">
      <c r="A182" t="s">
        <v>2600</v>
      </c>
      <c r="B182" t="s">
        <v>1944</v>
      </c>
      <c r="C182" t="s">
        <v>2578</v>
      </c>
      <c r="D182" t="str">
        <f>IF(tblTargets[[#This Row],[TargetType]]="state",UPPER(_xlfn.TEXTBEFORE(_xlfn.TEXTAFTER(tblTargets[[#This Row],[TargetID]],"state."),"_")),"")</f>
        <v/>
      </c>
      <c r="E182" t="b">
        <v>1</v>
      </c>
      <c r="F182" t="s">
        <v>3599</v>
      </c>
      <c r="G182" t="str">
        <f>IF(RIGHT(tblTargets[[#This Row],[TargetID]],5)="maxed","",IF(tblTargets[[#This Row],[TargetType]]="BUILDING",_xlfn.XLOOKUP(tblTargets[[#This Row],[TargetID]],Targets!$Q$2:$Q$101,Targets!$O$2:$O$101),"Not a building"))</f>
        <v>Not a building</v>
      </c>
      <c r="H182" t="str">
        <f>IF(RIGHT(tblTargets[[#This Row],[TargetID]],5)="maxed","",IF(tblTargets[[#This Row],[TargetType]]="BUILDING",_xlfn.XLOOKUP(tblTargets[[#This Row],[TargetID]],Targets!$M$2:$M$101,Targets!$K$2:$K$101),"Not a building"))</f>
        <v>Not a building</v>
      </c>
    </row>
    <row r="183" spans="1:8">
      <c r="A183" t="s">
        <v>2601</v>
      </c>
      <c r="B183" t="s">
        <v>1945</v>
      </c>
      <c r="C183" t="s">
        <v>2578</v>
      </c>
      <c r="D183" t="str">
        <f>IF(tblTargets[[#This Row],[TargetType]]="state",UPPER(_xlfn.TEXTBEFORE(_xlfn.TEXTAFTER(tblTargets[[#This Row],[TargetID]],"state."),"_")),"")</f>
        <v/>
      </c>
      <c r="E183" t="b">
        <v>1</v>
      </c>
      <c r="F183" t="s">
        <v>3599</v>
      </c>
      <c r="G183" t="str">
        <f>IF(RIGHT(tblTargets[[#This Row],[TargetID]],5)="maxed","",IF(tblTargets[[#This Row],[TargetType]]="BUILDING",_xlfn.XLOOKUP(tblTargets[[#This Row],[TargetID]],Targets!$Q$2:$Q$101,Targets!$O$2:$O$101),"Not a building"))</f>
        <v>Not a building</v>
      </c>
      <c r="H183" t="str">
        <f>IF(RIGHT(tblTargets[[#This Row],[TargetID]],5)="maxed","",IF(tblTargets[[#This Row],[TargetType]]="BUILDING",_xlfn.XLOOKUP(tblTargets[[#This Row],[TargetID]],Targets!$M$2:$M$101,Targets!$K$2:$K$101),"Not a building"))</f>
        <v>Not a building</v>
      </c>
    </row>
    <row r="184" spans="1:8">
      <c r="A184" t="s">
        <v>2602</v>
      </c>
      <c r="B184" t="s">
        <v>1946</v>
      </c>
      <c r="C184" t="s">
        <v>2578</v>
      </c>
      <c r="D184" t="str">
        <f>IF(tblTargets[[#This Row],[TargetType]]="state",UPPER(_xlfn.TEXTBEFORE(_xlfn.TEXTAFTER(tblTargets[[#This Row],[TargetID]],"state."),"_")),"")</f>
        <v/>
      </c>
      <c r="E184" t="b">
        <v>1</v>
      </c>
      <c r="F184" t="s">
        <v>3599</v>
      </c>
      <c r="G184" t="str">
        <f>IF(RIGHT(tblTargets[[#This Row],[TargetID]],5)="maxed","",IF(tblTargets[[#This Row],[TargetType]]="BUILDING",_xlfn.XLOOKUP(tblTargets[[#This Row],[TargetID]],Targets!$Q$2:$Q$101,Targets!$O$2:$O$101),"Not a building"))</f>
        <v>Not a building</v>
      </c>
      <c r="H184" t="str">
        <f>IF(RIGHT(tblTargets[[#This Row],[TargetID]],5)="maxed","",IF(tblTargets[[#This Row],[TargetType]]="BUILDING",_xlfn.XLOOKUP(tblTargets[[#This Row],[TargetID]],Targets!$M$2:$M$101,Targets!$K$2:$K$101),"Not a building"))</f>
        <v>Not a building</v>
      </c>
    </row>
    <row r="185" spans="1:8">
      <c r="A185" t="s">
        <v>2603</v>
      </c>
      <c r="B185" t="s">
        <v>1947</v>
      </c>
      <c r="C185" t="s">
        <v>2578</v>
      </c>
      <c r="D185" t="str">
        <f>IF(tblTargets[[#This Row],[TargetType]]="state",UPPER(_xlfn.TEXTBEFORE(_xlfn.TEXTAFTER(tblTargets[[#This Row],[TargetID]],"state."),"_")),"")</f>
        <v/>
      </c>
      <c r="E185" t="b">
        <v>1</v>
      </c>
      <c r="F185" t="s">
        <v>3599</v>
      </c>
      <c r="G185" t="str">
        <f>IF(RIGHT(tblTargets[[#This Row],[TargetID]],5)="maxed","",IF(tblTargets[[#This Row],[TargetType]]="BUILDING",_xlfn.XLOOKUP(tblTargets[[#This Row],[TargetID]],Targets!$Q$2:$Q$101,Targets!$O$2:$O$101),"Not a building"))</f>
        <v>Not a building</v>
      </c>
      <c r="H185" t="str">
        <f>IF(RIGHT(tblTargets[[#This Row],[TargetID]],5)="maxed","",IF(tblTargets[[#This Row],[TargetType]]="BUILDING",_xlfn.XLOOKUP(tblTargets[[#This Row],[TargetID]],Targets!$M$2:$M$101,Targets!$K$2:$K$101),"Not a building"))</f>
        <v>Not a building</v>
      </c>
    </row>
    <row r="186" spans="1:8">
      <c r="A186" t="s">
        <v>2604</v>
      </c>
      <c r="B186" t="s">
        <v>1948</v>
      </c>
      <c r="C186" t="s">
        <v>2578</v>
      </c>
      <c r="D186" t="str">
        <f>IF(tblTargets[[#This Row],[TargetType]]="state",UPPER(_xlfn.TEXTBEFORE(_xlfn.TEXTAFTER(tblTargets[[#This Row],[TargetID]],"state."),"_")),"")</f>
        <v/>
      </c>
      <c r="E186" t="b">
        <v>1</v>
      </c>
      <c r="F186" t="s">
        <v>3599</v>
      </c>
      <c r="G186" t="str">
        <f>IF(RIGHT(tblTargets[[#This Row],[TargetID]],5)="maxed","",IF(tblTargets[[#This Row],[TargetType]]="BUILDING",_xlfn.XLOOKUP(tblTargets[[#This Row],[TargetID]],Targets!$Q$2:$Q$101,Targets!$O$2:$O$101),"Not a building"))</f>
        <v>Not a building</v>
      </c>
      <c r="H186" t="str">
        <f>IF(RIGHT(tblTargets[[#This Row],[TargetID]],5)="maxed","",IF(tblTargets[[#This Row],[TargetType]]="BUILDING",_xlfn.XLOOKUP(tblTargets[[#This Row],[TargetID]],Targets!$M$2:$M$101,Targets!$K$2:$K$101),"Not a building"))</f>
        <v>Not a building</v>
      </c>
    </row>
    <row r="187" spans="1:8">
      <c r="A187" t="s">
        <v>2605</v>
      </c>
      <c r="B187" t="s">
        <v>1949</v>
      </c>
      <c r="C187" t="s">
        <v>2578</v>
      </c>
      <c r="D187" t="str">
        <f>IF(tblTargets[[#This Row],[TargetType]]="state",UPPER(_xlfn.TEXTBEFORE(_xlfn.TEXTAFTER(tblTargets[[#This Row],[TargetID]],"state."),"_")),"")</f>
        <v/>
      </c>
      <c r="E187" t="b">
        <v>1</v>
      </c>
      <c r="F187" t="s">
        <v>3599</v>
      </c>
      <c r="G187" t="str">
        <f>IF(RIGHT(tblTargets[[#This Row],[TargetID]],5)="maxed","",IF(tblTargets[[#This Row],[TargetType]]="BUILDING",_xlfn.XLOOKUP(tblTargets[[#This Row],[TargetID]],Targets!$Q$2:$Q$101,Targets!$O$2:$O$101),"Not a building"))</f>
        <v>Not a building</v>
      </c>
      <c r="H187" t="str">
        <f>IF(RIGHT(tblTargets[[#This Row],[TargetID]],5)="maxed","",IF(tblTargets[[#This Row],[TargetType]]="BUILDING",_xlfn.XLOOKUP(tblTargets[[#This Row],[TargetID]],Targets!$M$2:$M$101,Targets!$K$2:$K$101),"Not a building"))</f>
        <v>Not a building</v>
      </c>
    </row>
    <row r="188" spans="1:8">
      <c r="A188" t="s">
        <v>2606</v>
      </c>
      <c r="B188" t="s">
        <v>1950</v>
      </c>
      <c r="C188" t="s">
        <v>2578</v>
      </c>
      <c r="D188" t="str">
        <f>IF(tblTargets[[#This Row],[TargetType]]="state",UPPER(_xlfn.TEXTBEFORE(_xlfn.TEXTAFTER(tblTargets[[#This Row],[TargetID]],"state."),"_")),"")</f>
        <v/>
      </c>
      <c r="E188" t="b">
        <v>1</v>
      </c>
      <c r="F188" t="s">
        <v>3599</v>
      </c>
      <c r="G188" t="str">
        <f>IF(RIGHT(tblTargets[[#This Row],[TargetID]],5)="maxed","",IF(tblTargets[[#This Row],[TargetType]]="BUILDING",_xlfn.XLOOKUP(tblTargets[[#This Row],[TargetID]],Targets!$Q$2:$Q$101,Targets!$O$2:$O$101),"Not a building"))</f>
        <v>Not a building</v>
      </c>
      <c r="H188" t="str">
        <f>IF(RIGHT(tblTargets[[#This Row],[TargetID]],5)="maxed","",IF(tblTargets[[#This Row],[TargetType]]="BUILDING",_xlfn.XLOOKUP(tblTargets[[#This Row],[TargetID]],Targets!$M$2:$M$101,Targets!$K$2:$K$101),"Not a building"))</f>
        <v>Not a building</v>
      </c>
    </row>
    <row r="189" spans="1:8">
      <c r="A189" t="s">
        <v>2607</v>
      </c>
      <c r="B189" t="s">
        <v>1951</v>
      </c>
      <c r="C189" t="s">
        <v>2578</v>
      </c>
      <c r="D189" t="str">
        <f>IF(tblTargets[[#This Row],[TargetType]]="state",UPPER(_xlfn.TEXTBEFORE(_xlfn.TEXTAFTER(tblTargets[[#This Row],[TargetID]],"state."),"_")),"")</f>
        <v/>
      </c>
      <c r="E189" t="b">
        <v>1</v>
      </c>
      <c r="F189" t="s">
        <v>3599</v>
      </c>
      <c r="G189" t="str">
        <f>IF(RIGHT(tblTargets[[#This Row],[TargetID]],5)="maxed","",IF(tblTargets[[#This Row],[TargetType]]="BUILDING",_xlfn.XLOOKUP(tblTargets[[#This Row],[TargetID]],Targets!$Q$2:$Q$101,Targets!$O$2:$O$101),"Not a building"))</f>
        <v>Not a building</v>
      </c>
      <c r="H189" t="str">
        <f>IF(RIGHT(tblTargets[[#This Row],[TargetID]],5)="maxed","",IF(tblTargets[[#This Row],[TargetType]]="BUILDING",_xlfn.XLOOKUP(tblTargets[[#This Row],[TargetID]],Targets!$M$2:$M$101,Targets!$K$2:$K$101),"Not a building"))</f>
        <v>Not a building</v>
      </c>
    </row>
    <row r="190" spans="1:8">
      <c r="A190" t="s">
        <v>2608</v>
      </c>
      <c r="B190" t="s">
        <v>1952</v>
      </c>
      <c r="C190" t="s">
        <v>2578</v>
      </c>
      <c r="D190" t="str">
        <f>IF(tblTargets[[#This Row],[TargetType]]="state",UPPER(_xlfn.TEXTBEFORE(_xlfn.TEXTAFTER(tblTargets[[#This Row],[TargetID]],"state."),"_")),"")</f>
        <v/>
      </c>
      <c r="E190" t="b">
        <v>1</v>
      </c>
      <c r="F190" t="s">
        <v>3599</v>
      </c>
      <c r="G190" t="str">
        <f>IF(RIGHT(tblTargets[[#This Row],[TargetID]],5)="maxed","",IF(tblTargets[[#This Row],[TargetType]]="BUILDING",_xlfn.XLOOKUP(tblTargets[[#This Row],[TargetID]],Targets!$Q$2:$Q$101,Targets!$O$2:$O$101),"Not a building"))</f>
        <v>Not a building</v>
      </c>
      <c r="H190" t="str">
        <f>IF(RIGHT(tblTargets[[#This Row],[TargetID]],5)="maxed","",IF(tblTargets[[#This Row],[TargetType]]="BUILDING",_xlfn.XLOOKUP(tblTargets[[#This Row],[TargetID]],Targets!$M$2:$M$101,Targets!$K$2:$K$101),"Not a building"))</f>
        <v>Not a building</v>
      </c>
    </row>
    <row r="191" spans="1:8">
      <c r="A191" t="s">
        <v>2609</v>
      </c>
      <c r="B191" t="s">
        <v>1953</v>
      </c>
      <c r="C191" t="s">
        <v>2578</v>
      </c>
      <c r="D191" t="str">
        <f>IF(tblTargets[[#This Row],[TargetType]]="state",UPPER(_xlfn.TEXTBEFORE(_xlfn.TEXTAFTER(tblTargets[[#This Row],[TargetID]],"state."),"_")),"")</f>
        <v/>
      </c>
      <c r="E191" t="b">
        <v>1</v>
      </c>
      <c r="F191" t="s">
        <v>3599</v>
      </c>
      <c r="G191" t="str">
        <f>IF(RIGHT(tblTargets[[#This Row],[TargetID]],5)="maxed","",IF(tblTargets[[#This Row],[TargetType]]="BUILDING",_xlfn.XLOOKUP(tblTargets[[#This Row],[TargetID]],Targets!$Q$2:$Q$101,Targets!$O$2:$O$101),"Not a building"))</f>
        <v>Not a building</v>
      </c>
      <c r="H191" t="str">
        <f>IF(RIGHT(tblTargets[[#This Row],[TargetID]],5)="maxed","",IF(tblTargets[[#This Row],[TargetType]]="BUILDING",_xlfn.XLOOKUP(tblTargets[[#This Row],[TargetID]],Targets!$M$2:$M$101,Targets!$K$2:$K$101),"Not a building"))</f>
        <v>Not a building</v>
      </c>
    </row>
    <row r="192" spans="1:8">
      <c r="A192" t="s">
        <v>2610</v>
      </c>
      <c r="B192" t="s">
        <v>1954</v>
      </c>
      <c r="C192" t="s">
        <v>2578</v>
      </c>
      <c r="D192" t="str">
        <f>IF(tblTargets[[#This Row],[TargetType]]="state",UPPER(_xlfn.TEXTBEFORE(_xlfn.TEXTAFTER(tblTargets[[#This Row],[TargetID]],"state."),"_")),"")</f>
        <v/>
      </c>
      <c r="E192" t="b">
        <v>1</v>
      </c>
      <c r="F192" t="s">
        <v>3599</v>
      </c>
      <c r="G192" t="str">
        <f>IF(RIGHT(tblTargets[[#This Row],[TargetID]],5)="maxed","",IF(tblTargets[[#This Row],[TargetType]]="BUILDING",_xlfn.XLOOKUP(tblTargets[[#This Row],[TargetID]],Targets!$Q$2:$Q$101,Targets!$O$2:$O$101),"Not a building"))</f>
        <v>Not a building</v>
      </c>
      <c r="H192" t="str">
        <f>IF(RIGHT(tblTargets[[#This Row],[TargetID]],5)="maxed","",IF(tblTargets[[#This Row],[TargetType]]="BUILDING",_xlfn.XLOOKUP(tblTargets[[#This Row],[TargetID]],Targets!$M$2:$M$101,Targets!$K$2:$K$101),"Not a building"))</f>
        <v>Not a building</v>
      </c>
    </row>
    <row r="193" spans="1:8">
      <c r="A193" t="s">
        <v>2611</v>
      </c>
      <c r="B193" t="s">
        <v>1955</v>
      </c>
      <c r="C193" t="s">
        <v>2578</v>
      </c>
      <c r="D193" t="str">
        <f>IF(tblTargets[[#This Row],[TargetType]]="state",UPPER(_xlfn.TEXTBEFORE(_xlfn.TEXTAFTER(tblTargets[[#This Row],[TargetID]],"state."),"_")),"")</f>
        <v/>
      </c>
      <c r="E193" t="b">
        <v>1</v>
      </c>
      <c r="F193" t="s">
        <v>3599</v>
      </c>
      <c r="G193" t="str">
        <f>IF(RIGHT(tblTargets[[#This Row],[TargetID]],5)="maxed","",IF(tblTargets[[#This Row],[TargetType]]="BUILDING",_xlfn.XLOOKUP(tblTargets[[#This Row],[TargetID]],Targets!$Q$2:$Q$101,Targets!$O$2:$O$101),"Not a building"))</f>
        <v>Not a building</v>
      </c>
      <c r="H193" t="str">
        <f>IF(RIGHT(tblTargets[[#This Row],[TargetID]],5)="maxed","",IF(tblTargets[[#This Row],[TargetType]]="BUILDING",_xlfn.XLOOKUP(tblTargets[[#This Row],[TargetID]],Targets!$M$2:$M$101,Targets!$K$2:$K$101),"Not a building"))</f>
        <v>Not a building</v>
      </c>
    </row>
    <row r="194" spans="1:8">
      <c r="A194" t="s">
        <v>2612</v>
      </c>
      <c r="B194" t="s">
        <v>1956</v>
      </c>
      <c r="C194" t="s">
        <v>2578</v>
      </c>
      <c r="D194" t="str">
        <f>IF(tblTargets[[#This Row],[TargetType]]="state",UPPER(_xlfn.TEXTBEFORE(_xlfn.TEXTAFTER(tblTargets[[#This Row],[TargetID]],"state."),"_")),"")</f>
        <v/>
      </c>
      <c r="E194" t="b">
        <v>1</v>
      </c>
      <c r="F194" t="s">
        <v>3599</v>
      </c>
      <c r="G194" t="str">
        <f>IF(RIGHT(tblTargets[[#This Row],[TargetID]],5)="maxed","",IF(tblTargets[[#This Row],[TargetType]]="BUILDING",_xlfn.XLOOKUP(tblTargets[[#This Row],[TargetID]],Targets!$Q$2:$Q$101,Targets!$O$2:$O$101),"Not a building"))</f>
        <v>Not a building</v>
      </c>
      <c r="H194" t="str">
        <f>IF(RIGHT(tblTargets[[#This Row],[TargetID]],5)="maxed","",IF(tblTargets[[#This Row],[TargetType]]="BUILDING",_xlfn.XLOOKUP(tblTargets[[#This Row],[TargetID]],Targets!$M$2:$M$101,Targets!$K$2:$K$101),"Not a building"))</f>
        <v>Not a building</v>
      </c>
    </row>
    <row r="195" spans="1:8">
      <c r="A195" t="s">
        <v>2613</v>
      </c>
      <c r="B195" t="s">
        <v>1957</v>
      </c>
      <c r="C195" t="s">
        <v>2578</v>
      </c>
      <c r="D195" t="str">
        <f>IF(tblTargets[[#This Row],[TargetType]]="state",UPPER(_xlfn.TEXTBEFORE(_xlfn.TEXTAFTER(tblTargets[[#This Row],[TargetID]],"state."),"_")),"")</f>
        <v/>
      </c>
      <c r="E195" t="b">
        <v>1</v>
      </c>
      <c r="F195" t="s">
        <v>3599</v>
      </c>
      <c r="G195" t="str">
        <f>IF(RIGHT(tblTargets[[#This Row],[TargetID]],5)="maxed","",IF(tblTargets[[#This Row],[TargetType]]="BUILDING",_xlfn.XLOOKUP(tblTargets[[#This Row],[TargetID]],Targets!$Q$2:$Q$101,Targets!$O$2:$O$101),"Not a building"))</f>
        <v>Not a building</v>
      </c>
      <c r="H195" t="str">
        <f>IF(RIGHT(tblTargets[[#This Row],[TargetID]],5)="maxed","",IF(tblTargets[[#This Row],[TargetType]]="BUILDING",_xlfn.XLOOKUP(tblTargets[[#This Row],[TargetID]],Targets!$M$2:$M$101,Targets!$K$2:$K$101),"Not a building"))</f>
        <v>Not a building</v>
      </c>
    </row>
    <row r="196" spans="1:8">
      <c r="A196" t="s">
        <v>2614</v>
      </c>
      <c r="B196" t="s">
        <v>1958</v>
      </c>
      <c r="C196" t="s">
        <v>2578</v>
      </c>
      <c r="D196" t="str">
        <f>IF(tblTargets[[#This Row],[TargetType]]="state",UPPER(_xlfn.TEXTBEFORE(_xlfn.TEXTAFTER(tblTargets[[#This Row],[TargetID]],"state."),"_")),"")</f>
        <v/>
      </c>
      <c r="E196" t="b">
        <v>1</v>
      </c>
      <c r="F196" t="s">
        <v>3599</v>
      </c>
      <c r="G196" t="str">
        <f>IF(RIGHT(tblTargets[[#This Row],[TargetID]],5)="maxed","",IF(tblTargets[[#This Row],[TargetType]]="BUILDING",_xlfn.XLOOKUP(tblTargets[[#This Row],[TargetID]],Targets!$Q$2:$Q$101,Targets!$O$2:$O$101),"Not a building"))</f>
        <v>Not a building</v>
      </c>
      <c r="H196" t="str">
        <f>IF(RIGHT(tblTargets[[#This Row],[TargetID]],5)="maxed","",IF(tblTargets[[#This Row],[TargetType]]="BUILDING",_xlfn.XLOOKUP(tblTargets[[#This Row],[TargetID]],Targets!$M$2:$M$101,Targets!$K$2:$K$101),"Not a building"))</f>
        <v>Not a building</v>
      </c>
    </row>
    <row r="197" spans="1:8">
      <c r="A197" t="s">
        <v>2615</v>
      </c>
      <c r="B197" t="s">
        <v>1959</v>
      </c>
      <c r="C197" t="s">
        <v>2578</v>
      </c>
      <c r="D197" t="str">
        <f>IF(tblTargets[[#This Row],[TargetType]]="state",UPPER(_xlfn.TEXTBEFORE(_xlfn.TEXTAFTER(tblTargets[[#This Row],[TargetID]],"state."),"_")),"")</f>
        <v/>
      </c>
      <c r="E197" t="b">
        <v>1</v>
      </c>
      <c r="F197" t="s">
        <v>3599</v>
      </c>
      <c r="G197" t="str">
        <f>IF(RIGHT(tblTargets[[#This Row],[TargetID]],5)="maxed","",IF(tblTargets[[#This Row],[TargetType]]="BUILDING",_xlfn.XLOOKUP(tblTargets[[#This Row],[TargetID]],Targets!$Q$2:$Q$101,Targets!$O$2:$O$101),"Not a building"))</f>
        <v>Not a building</v>
      </c>
      <c r="H197" t="str">
        <f>IF(RIGHT(tblTargets[[#This Row],[TargetID]],5)="maxed","",IF(tblTargets[[#This Row],[TargetType]]="BUILDING",_xlfn.XLOOKUP(tblTargets[[#This Row],[TargetID]],Targets!$M$2:$M$101,Targets!$K$2:$K$101),"Not a building"))</f>
        <v>Not a building</v>
      </c>
    </row>
    <row r="198" spans="1:8">
      <c r="A198" t="s">
        <v>2616</v>
      </c>
      <c r="B198" t="s">
        <v>1960</v>
      </c>
      <c r="C198" t="s">
        <v>2578</v>
      </c>
      <c r="D198" t="str">
        <f>IF(tblTargets[[#This Row],[TargetType]]="state",UPPER(_xlfn.TEXTBEFORE(_xlfn.TEXTAFTER(tblTargets[[#This Row],[TargetID]],"state."),"_")),"")</f>
        <v/>
      </c>
      <c r="E198" t="b">
        <v>1</v>
      </c>
      <c r="F198" t="s">
        <v>3599</v>
      </c>
      <c r="G198" t="str">
        <f>IF(RIGHT(tblTargets[[#This Row],[TargetID]],5)="maxed","",IF(tblTargets[[#This Row],[TargetType]]="BUILDING",_xlfn.XLOOKUP(tblTargets[[#This Row],[TargetID]],Targets!$Q$2:$Q$101,Targets!$O$2:$O$101),"Not a building"))</f>
        <v>Not a building</v>
      </c>
      <c r="H198" t="str">
        <f>IF(RIGHT(tblTargets[[#This Row],[TargetID]],5)="maxed","",IF(tblTargets[[#This Row],[TargetType]]="BUILDING",_xlfn.XLOOKUP(tblTargets[[#This Row],[TargetID]],Targets!$M$2:$M$101,Targets!$K$2:$K$101),"Not a building"))</f>
        <v>Not a building</v>
      </c>
    </row>
    <row r="199" spans="1:8">
      <c r="A199" t="s">
        <v>2617</v>
      </c>
      <c r="B199" t="s">
        <v>1961</v>
      </c>
      <c r="C199" t="s">
        <v>2578</v>
      </c>
      <c r="D199" t="str">
        <f>IF(tblTargets[[#This Row],[TargetType]]="state",UPPER(_xlfn.TEXTBEFORE(_xlfn.TEXTAFTER(tblTargets[[#This Row],[TargetID]],"state."),"_")),"")</f>
        <v/>
      </c>
      <c r="E199" t="b">
        <v>1</v>
      </c>
      <c r="F199" t="s">
        <v>3599</v>
      </c>
      <c r="G199" t="str">
        <f>IF(RIGHT(tblTargets[[#This Row],[TargetID]],5)="maxed","",IF(tblTargets[[#This Row],[TargetType]]="BUILDING",_xlfn.XLOOKUP(tblTargets[[#This Row],[TargetID]],Targets!$Q$2:$Q$101,Targets!$O$2:$O$101),"Not a building"))</f>
        <v>Not a building</v>
      </c>
      <c r="H199" t="str">
        <f>IF(RIGHT(tblTargets[[#This Row],[TargetID]],5)="maxed","",IF(tblTargets[[#This Row],[TargetType]]="BUILDING",_xlfn.XLOOKUP(tblTargets[[#This Row],[TargetID]],Targets!$M$2:$M$101,Targets!$K$2:$K$101),"Not a building"))</f>
        <v>Not a building</v>
      </c>
    </row>
    <row r="200" spans="1:8">
      <c r="A200" t="s">
        <v>2618</v>
      </c>
      <c r="B200" t="s">
        <v>1962</v>
      </c>
      <c r="C200" t="s">
        <v>2578</v>
      </c>
      <c r="D200" t="str">
        <f>IF(tblTargets[[#This Row],[TargetType]]="state",UPPER(_xlfn.TEXTBEFORE(_xlfn.TEXTAFTER(tblTargets[[#This Row],[TargetID]],"state."),"_")),"")</f>
        <v/>
      </c>
      <c r="E200" t="b">
        <v>1</v>
      </c>
      <c r="F200" t="s">
        <v>3599</v>
      </c>
      <c r="G200" t="str">
        <f>IF(RIGHT(tblTargets[[#This Row],[TargetID]],5)="maxed","",IF(tblTargets[[#This Row],[TargetType]]="BUILDING",_xlfn.XLOOKUP(tblTargets[[#This Row],[TargetID]],Targets!$Q$2:$Q$101,Targets!$O$2:$O$101),"Not a building"))</f>
        <v>Not a building</v>
      </c>
      <c r="H200" t="str">
        <f>IF(RIGHT(tblTargets[[#This Row],[TargetID]],5)="maxed","",IF(tblTargets[[#This Row],[TargetType]]="BUILDING",_xlfn.XLOOKUP(tblTargets[[#This Row],[TargetID]],Targets!$M$2:$M$101,Targets!$K$2:$K$101),"Not a building"))</f>
        <v>Not a building</v>
      </c>
    </row>
    <row r="201" spans="1:8">
      <c r="A201" t="s">
        <v>2619</v>
      </c>
      <c r="B201" t="s">
        <v>1963</v>
      </c>
      <c r="C201" t="s">
        <v>2578</v>
      </c>
      <c r="D201" t="str">
        <f>IF(tblTargets[[#This Row],[TargetType]]="state",UPPER(_xlfn.TEXTBEFORE(_xlfn.TEXTAFTER(tblTargets[[#This Row],[TargetID]],"state."),"_")),"")</f>
        <v/>
      </c>
      <c r="E201" t="b">
        <v>1</v>
      </c>
      <c r="F201" t="s">
        <v>3599</v>
      </c>
      <c r="G201" t="str">
        <f>IF(RIGHT(tblTargets[[#This Row],[TargetID]],5)="maxed","",IF(tblTargets[[#This Row],[TargetType]]="BUILDING",_xlfn.XLOOKUP(tblTargets[[#This Row],[TargetID]],Targets!$Q$2:$Q$101,Targets!$O$2:$O$101),"Not a building"))</f>
        <v>Not a building</v>
      </c>
      <c r="H201" t="str">
        <f>IF(RIGHT(tblTargets[[#This Row],[TargetID]],5)="maxed","",IF(tblTargets[[#This Row],[TargetType]]="BUILDING",_xlfn.XLOOKUP(tblTargets[[#This Row],[TargetID]],Targets!$M$2:$M$101,Targets!$K$2:$K$101),"Not a building"))</f>
        <v>Not a building</v>
      </c>
    </row>
    <row r="202" spans="1:8">
      <c r="A202" t="s">
        <v>2620</v>
      </c>
      <c r="B202" t="s">
        <v>1964</v>
      </c>
      <c r="C202" t="s">
        <v>2578</v>
      </c>
      <c r="D202" t="str">
        <f>IF(tblTargets[[#This Row],[TargetType]]="state",UPPER(_xlfn.TEXTBEFORE(_xlfn.TEXTAFTER(tblTargets[[#This Row],[TargetID]],"state."),"_")),"")</f>
        <v/>
      </c>
      <c r="E202" t="b">
        <v>1</v>
      </c>
      <c r="F202" t="s">
        <v>3599</v>
      </c>
      <c r="G202" t="str">
        <f>IF(RIGHT(tblTargets[[#This Row],[TargetID]],5)="maxed","",IF(tblTargets[[#This Row],[TargetType]]="BUILDING",_xlfn.XLOOKUP(tblTargets[[#This Row],[TargetID]],Targets!$Q$2:$Q$101,Targets!$O$2:$O$101),"Not a building"))</f>
        <v>Not a building</v>
      </c>
      <c r="H202" t="str">
        <f>IF(RIGHT(tblTargets[[#This Row],[TargetID]],5)="maxed","",IF(tblTargets[[#This Row],[TargetType]]="BUILDING",_xlfn.XLOOKUP(tblTargets[[#This Row],[TargetID]],Targets!$M$2:$M$101,Targets!$K$2:$K$101),"Not a building"))</f>
        <v>Not a building</v>
      </c>
    </row>
    <row r="203" spans="1:8">
      <c r="A203" t="s">
        <v>2621</v>
      </c>
      <c r="B203" t="s">
        <v>1965</v>
      </c>
      <c r="C203" t="s">
        <v>2578</v>
      </c>
      <c r="D203" t="str">
        <f>IF(tblTargets[[#This Row],[TargetType]]="state",UPPER(_xlfn.TEXTBEFORE(_xlfn.TEXTAFTER(tblTargets[[#This Row],[TargetID]],"state."),"_")),"")</f>
        <v/>
      </c>
      <c r="E203" t="b">
        <v>1</v>
      </c>
      <c r="F203" t="s">
        <v>3599</v>
      </c>
      <c r="G203" t="str">
        <f>IF(RIGHT(tblTargets[[#This Row],[TargetID]],5)="maxed","",IF(tblTargets[[#This Row],[TargetType]]="BUILDING",_xlfn.XLOOKUP(tblTargets[[#This Row],[TargetID]],Targets!$Q$2:$Q$101,Targets!$O$2:$O$101),"Not a building"))</f>
        <v>Not a building</v>
      </c>
      <c r="H203" t="str">
        <f>IF(RIGHT(tblTargets[[#This Row],[TargetID]],5)="maxed","",IF(tblTargets[[#This Row],[TargetType]]="BUILDING",_xlfn.XLOOKUP(tblTargets[[#This Row],[TargetID]],Targets!$M$2:$M$101,Targets!$K$2:$K$101),"Not a building"))</f>
        <v>Not a building</v>
      </c>
    </row>
    <row r="204" spans="1:8">
      <c r="A204" t="s">
        <v>2622</v>
      </c>
      <c r="B204" t="s">
        <v>1966</v>
      </c>
      <c r="C204" t="s">
        <v>2578</v>
      </c>
      <c r="D204" t="str">
        <f>IF(tblTargets[[#This Row],[TargetType]]="state",UPPER(_xlfn.TEXTBEFORE(_xlfn.TEXTAFTER(tblTargets[[#This Row],[TargetID]],"state."),"_")),"")</f>
        <v/>
      </c>
      <c r="E204" t="b">
        <v>1</v>
      </c>
      <c r="F204" t="s">
        <v>3599</v>
      </c>
      <c r="G204" t="str">
        <f>IF(RIGHT(tblTargets[[#This Row],[TargetID]],5)="maxed","",IF(tblTargets[[#This Row],[TargetType]]="BUILDING",_xlfn.XLOOKUP(tblTargets[[#This Row],[TargetID]],Targets!$Q$2:$Q$101,Targets!$O$2:$O$101),"Not a building"))</f>
        <v>Not a building</v>
      </c>
      <c r="H204" t="str">
        <f>IF(RIGHT(tblTargets[[#This Row],[TargetID]],5)="maxed","",IF(tblTargets[[#This Row],[TargetType]]="BUILDING",_xlfn.XLOOKUP(tblTargets[[#This Row],[TargetID]],Targets!$M$2:$M$101,Targets!$K$2:$K$101),"Not a building"))</f>
        <v>Not a building</v>
      </c>
    </row>
    <row r="205" spans="1:8">
      <c r="A205" t="s">
        <v>2623</v>
      </c>
      <c r="B205" t="s">
        <v>1967</v>
      </c>
      <c r="C205" t="s">
        <v>2578</v>
      </c>
      <c r="D205" t="str">
        <f>IF(tblTargets[[#This Row],[TargetType]]="state",UPPER(_xlfn.TEXTBEFORE(_xlfn.TEXTAFTER(tblTargets[[#This Row],[TargetID]],"state."),"_")),"")</f>
        <v/>
      </c>
      <c r="E205" t="b">
        <v>1</v>
      </c>
      <c r="F205" t="s">
        <v>3599</v>
      </c>
      <c r="G205" t="str">
        <f>IF(RIGHT(tblTargets[[#This Row],[TargetID]],5)="maxed","",IF(tblTargets[[#This Row],[TargetType]]="BUILDING",_xlfn.XLOOKUP(tblTargets[[#This Row],[TargetID]],Targets!$Q$2:$Q$101,Targets!$O$2:$O$101),"Not a building"))</f>
        <v>Not a building</v>
      </c>
      <c r="H205" t="str">
        <f>IF(RIGHT(tblTargets[[#This Row],[TargetID]],5)="maxed","",IF(tblTargets[[#This Row],[TargetType]]="BUILDING",_xlfn.XLOOKUP(tblTargets[[#This Row],[TargetID]],Targets!$M$2:$M$101,Targets!$K$2:$K$101),"Not a building"))</f>
        <v>Not a building</v>
      </c>
    </row>
    <row r="206" spans="1:8">
      <c r="A206" t="s">
        <v>2624</v>
      </c>
      <c r="B206" t="s">
        <v>1968</v>
      </c>
      <c r="C206" t="s">
        <v>2578</v>
      </c>
      <c r="D206" t="str">
        <f>IF(tblTargets[[#This Row],[TargetType]]="state",UPPER(_xlfn.TEXTBEFORE(_xlfn.TEXTAFTER(tblTargets[[#This Row],[TargetID]],"state."),"_")),"")</f>
        <v/>
      </c>
      <c r="E206" t="b">
        <v>1</v>
      </c>
      <c r="F206" t="s">
        <v>3599</v>
      </c>
      <c r="G206" t="str">
        <f>IF(RIGHT(tblTargets[[#This Row],[TargetID]],5)="maxed","",IF(tblTargets[[#This Row],[TargetType]]="BUILDING",_xlfn.XLOOKUP(tblTargets[[#This Row],[TargetID]],Targets!$Q$2:$Q$101,Targets!$O$2:$O$101),"Not a building"))</f>
        <v>Not a building</v>
      </c>
      <c r="H206" t="str">
        <f>IF(RIGHT(tblTargets[[#This Row],[TargetID]],5)="maxed","",IF(tblTargets[[#This Row],[TargetType]]="BUILDING",_xlfn.XLOOKUP(tblTargets[[#This Row],[TargetID]],Targets!$M$2:$M$101,Targets!$K$2:$K$101),"Not a building"))</f>
        <v>Not a building</v>
      </c>
    </row>
    <row r="207" spans="1:8">
      <c r="A207" t="s">
        <v>2625</v>
      </c>
      <c r="B207" t="s">
        <v>1969</v>
      </c>
      <c r="C207" t="s">
        <v>2578</v>
      </c>
      <c r="D207" t="str">
        <f>IF(tblTargets[[#This Row],[TargetType]]="state",UPPER(_xlfn.TEXTBEFORE(_xlfn.TEXTAFTER(tblTargets[[#This Row],[TargetID]],"state."),"_")),"")</f>
        <v/>
      </c>
      <c r="E207" t="b">
        <v>1</v>
      </c>
      <c r="F207" t="s">
        <v>3599</v>
      </c>
      <c r="G207" t="str">
        <f>IF(RIGHT(tblTargets[[#This Row],[TargetID]],5)="maxed","",IF(tblTargets[[#This Row],[TargetType]]="BUILDING",_xlfn.XLOOKUP(tblTargets[[#This Row],[TargetID]],Targets!$Q$2:$Q$101,Targets!$O$2:$O$101),"Not a building"))</f>
        <v>Not a building</v>
      </c>
      <c r="H207" t="str">
        <f>IF(RIGHT(tblTargets[[#This Row],[TargetID]],5)="maxed","",IF(tblTargets[[#This Row],[TargetType]]="BUILDING",_xlfn.XLOOKUP(tblTargets[[#This Row],[TargetID]],Targets!$M$2:$M$101,Targets!$K$2:$K$101),"Not a building"))</f>
        <v>Not a building</v>
      </c>
    </row>
    <row r="208" spans="1:8">
      <c r="A208" t="s">
        <v>2626</v>
      </c>
      <c r="B208" t="s">
        <v>1970</v>
      </c>
      <c r="C208" t="s">
        <v>2578</v>
      </c>
      <c r="D208" t="str">
        <f>IF(tblTargets[[#This Row],[TargetType]]="state",UPPER(_xlfn.TEXTBEFORE(_xlfn.TEXTAFTER(tblTargets[[#This Row],[TargetID]],"state."),"_")),"")</f>
        <v/>
      </c>
      <c r="E208" t="b">
        <v>1</v>
      </c>
      <c r="F208" t="s">
        <v>3599</v>
      </c>
      <c r="G208" t="str">
        <f>IF(RIGHT(tblTargets[[#This Row],[TargetID]],5)="maxed","",IF(tblTargets[[#This Row],[TargetType]]="BUILDING",_xlfn.XLOOKUP(tblTargets[[#This Row],[TargetID]],Targets!$Q$2:$Q$101,Targets!$O$2:$O$101),"Not a building"))</f>
        <v>Not a building</v>
      </c>
      <c r="H208" t="str">
        <f>IF(RIGHT(tblTargets[[#This Row],[TargetID]],5)="maxed","",IF(tblTargets[[#This Row],[TargetType]]="BUILDING",_xlfn.XLOOKUP(tblTargets[[#This Row],[TargetID]],Targets!$M$2:$M$101,Targets!$K$2:$K$101),"Not a building"))</f>
        <v>Not a building</v>
      </c>
    </row>
    <row r="209" spans="1:8">
      <c r="A209" t="s">
        <v>2627</v>
      </c>
      <c r="B209" t="s">
        <v>1971</v>
      </c>
      <c r="C209" t="s">
        <v>2578</v>
      </c>
      <c r="D209" t="str">
        <f>IF(tblTargets[[#This Row],[TargetType]]="state",UPPER(_xlfn.TEXTBEFORE(_xlfn.TEXTAFTER(tblTargets[[#This Row],[TargetID]],"state."),"_")),"")</f>
        <v/>
      </c>
      <c r="E209" t="b">
        <v>1</v>
      </c>
      <c r="F209" t="s">
        <v>3599</v>
      </c>
      <c r="G209" t="str">
        <f>IF(RIGHT(tblTargets[[#This Row],[TargetID]],5)="maxed","",IF(tblTargets[[#This Row],[TargetType]]="BUILDING",_xlfn.XLOOKUP(tblTargets[[#This Row],[TargetID]],Targets!$Q$2:$Q$101,Targets!$O$2:$O$101),"Not a building"))</f>
        <v>Not a building</v>
      </c>
      <c r="H209" t="str">
        <f>IF(RIGHT(tblTargets[[#This Row],[TargetID]],5)="maxed","",IF(tblTargets[[#This Row],[TargetType]]="BUILDING",_xlfn.XLOOKUP(tblTargets[[#This Row],[TargetID]],Targets!$M$2:$M$101,Targets!$K$2:$K$101),"Not a building"))</f>
        <v>Not a building</v>
      </c>
    </row>
    <row r="210" spans="1:8">
      <c r="A210" t="s">
        <v>2628</v>
      </c>
      <c r="B210" t="s">
        <v>1972</v>
      </c>
      <c r="C210" t="s">
        <v>2578</v>
      </c>
      <c r="D210" t="str">
        <f>IF(tblTargets[[#This Row],[TargetType]]="state",UPPER(_xlfn.TEXTBEFORE(_xlfn.TEXTAFTER(tblTargets[[#This Row],[TargetID]],"state."),"_")),"")</f>
        <v/>
      </c>
      <c r="E210" t="b">
        <v>1</v>
      </c>
      <c r="F210" t="s">
        <v>3599</v>
      </c>
      <c r="G210" t="str">
        <f>IF(RIGHT(tblTargets[[#This Row],[TargetID]],5)="maxed","",IF(tblTargets[[#This Row],[TargetType]]="BUILDING",_xlfn.XLOOKUP(tblTargets[[#This Row],[TargetID]],Targets!$Q$2:$Q$101,Targets!$O$2:$O$101),"Not a building"))</f>
        <v>Not a building</v>
      </c>
      <c r="H210" t="str">
        <f>IF(RIGHT(tblTargets[[#This Row],[TargetID]],5)="maxed","",IF(tblTargets[[#This Row],[TargetType]]="BUILDING",_xlfn.XLOOKUP(tblTargets[[#This Row],[TargetID]],Targets!$M$2:$M$101,Targets!$K$2:$K$101),"Not a building"))</f>
        <v>Not a building</v>
      </c>
    </row>
    <row r="211" spans="1:8">
      <c r="A211" t="s">
        <v>2629</v>
      </c>
      <c r="B211" t="s">
        <v>1973</v>
      </c>
      <c r="C211" t="s">
        <v>2578</v>
      </c>
      <c r="D211" t="str">
        <f>IF(tblTargets[[#This Row],[TargetType]]="state",UPPER(_xlfn.TEXTBEFORE(_xlfn.TEXTAFTER(tblTargets[[#This Row],[TargetID]],"state."),"_")),"")</f>
        <v/>
      </c>
      <c r="E211" t="b">
        <v>1</v>
      </c>
      <c r="F211" t="s">
        <v>3599</v>
      </c>
      <c r="G211" t="str">
        <f>IF(RIGHT(tblTargets[[#This Row],[TargetID]],5)="maxed","",IF(tblTargets[[#This Row],[TargetType]]="BUILDING",_xlfn.XLOOKUP(tblTargets[[#This Row],[TargetID]],Targets!$Q$2:$Q$101,Targets!$O$2:$O$101),"Not a building"))</f>
        <v>Not a building</v>
      </c>
      <c r="H211" t="str">
        <f>IF(RIGHT(tblTargets[[#This Row],[TargetID]],5)="maxed","",IF(tblTargets[[#This Row],[TargetType]]="BUILDING",_xlfn.XLOOKUP(tblTargets[[#This Row],[TargetID]],Targets!$M$2:$M$101,Targets!$K$2:$K$101),"Not a building"))</f>
        <v>Not a building</v>
      </c>
    </row>
    <row r="212" spans="1:8">
      <c r="A212" t="s">
        <v>2630</v>
      </c>
      <c r="B212" t="s">
        <v>1974</v>
      </c>
      <c r="C212" t="s">
        <v>2578</v>
      </c>
      <c r="D212" t="str">
        <f>IF(tblTargets[[#This Row],[TargetType]]="state",UPPER(_xlfn.TEXTBEFORE(_xlfn.TEXTAFTER(tblTargets[[#This Row],[TargetID]],"state."),"_")),"")</f>
        <v/>
      </c>
      <c r="E212" t="b">
        <v>1</v>
      </c>
      <c r="F212" t="s">
        <v>3599</v>
      </c>
      <c r="G212" t="str">
        <f>IF(RIGHT(tblTargets[[#This Row],[TargetID]],5)="maxed","",IF(tblTargets[[#This Row],[TargetType]]="BUILDING",_xlfn.XLOOKUP(tblTargets[[#This Row],[TargetID]],Targets!$Q$2:$Q$101,Targets!$O$2:$O$101),"Not a building"))</f>
        <v>Not a building</v>
      </c>
      <c r="H212" t="str">
        <f>IF(RIGHT(tblTargets[[#This Row],[TargetID]],5)="maxed","",IF(tblTargets[[#This Row],[TargetType]]="BUILDING",_xlfn.XLOOKUP(tblTargets[[#This Row],[TargetID]],Targets!$M$2:$M$101,Targets!$K$2:$K$101),"Not a building"))</f>
        <v>Not a building</v>
      </c>
    </row>
    <row r="213" spans="1:8">
      <c r="A213" t="s">
        <v>2631</v>
      </c>
      <c r="B213" t="s">
        <v>1975</v>
      </c>
      <c r="C213" t="s">
        <v>2578</v>
      </c>
      <c r="D213" t="str">
        <f>IF(tblTargets[[#This Row],[TargetType]]="state",UPPER(_xlfn.TEXTBEFORE(_xlfn.TEXTAFTER(tblTargets[[#This Row],[TargetID]],"state."),"_")),"")</f>
        <v/>
      </c>
      <c r="E213" t="b">
        <v>1</v>
      </c>
      <c r="F213" t="s">
        <v>3599</v>
      </c>
      <c r="G213" t="str">
        <f>IF(RIGHT(tblTargets[[#This Row],[TargetID]],5)="maxed","",IF(tblTargets[[#This Row],[TargetType]]="BUILDING",_xlfn.XLOOKUP(tblTargets[[#This Row],[TargetID]],Targets!$Q$2:$Q$101,Targets!$O$2:$O$101),"Not a building"))</f>
        <v>Not a building</v>
      </c>
      <c r="H213" t="str">
        <f>IF(RIGHT(tblTargets[[#This Row],[TargetID]],5)="maxed","",IF(tblTargets[[#This Row],[TargetType]]="BUILDING",_xlfn.XLOOKUP(tblTargets[[#This Row],[TargetID]],Targets!$M$2:$M$101,Targets!$K$2:$K$101),"Not a building"))</f>
        <v>Not a building</v>
      </c>
    </row>
    <row r="214" spans="1:8">
      <c r="A214" t="s">
        <v>2632</v>
      </c>
      <c r="B214" t="s">
        <v>1976</v>
      </c>
      <c r="C214" t="s">
        <v>2578</v>
      </c>
      <c r="D214" t="str">
        <f>IF(tblTargets[[#This Row],[TargetType]]="state",UPPER(_xlfn.TEXTBEFORE(_xlfn.TEXTAFTER(tblTargets[[#This Row],[TargetID]],"state."),"_")),"")</f>
        <v/>
      </c>
      <c r="E214" t="b">
        <v>1</v>
      </c>
      <c r="F214" t="s">
        <v>3599</v>
      </c>
      <c r="G214" t="str">
        <f>IF(RIGHT(tblTargets[[#This Row],[TargetID]],5)="maxed","",IF(tblTargets[[#This Row],[TargetType]]="BUILDING",_xlfn.XLOOKUP(tblTargets[[#This Row],[TargetID]],Targets!$Q$2:$Q$101,Targets!$O$2:$O$101),"Not a building"))</f>
        <v>Not a building</v>
      </c>
      <c r="H214" t="str">
        <f>IF(RIGHT(tblTargets[[#This Row],[TargetID]],5)="maxed","",IF(tblTargets[[#This Row],[TargetType]]="BUILDING",_xlfn.XLOOKUP(tblTargets[[#This Row],[TargetID]],Targets!$M$2:$M$101,Targets!$K$2:$K$101),"Not a building"))</f>
        <v>Not a building</v>
      </c>
    </row>
    <row r="215" spans="1:8">
      <c r="A215" t="s">
        <v>2633</v>
      </c>
      <c r="B215" t="s">
        <v>1977</v>
      </c>
      <c r="C215" t="s">
        <v>2578</v>
      </c>
      <c r="D215" t="str">
        <f>IF(tblTargets[[#This Row],[TargetType]]="state",UPPER(_xlfn.TEXTBEFORE(_xlfn.TEXTAFTER(tblTargets[[#This Row],[TargetID]],"state."),"_")),"")</f>
        <v/>
      </c>
      <c r="E215" t="b">
        <v>1</v>
      </c>
      <c r="F215" t="s">
        <v>3599</v>
      </c>
      <c r="G215" t="str">
        <f>IF(RIGHT(tblTargets[[#This Row],[TargetID]],5)="maxed","",IF(tblTargets[[#This Row],[TargetType]]="BUILDING",_xlfn.XLOOKUP(tblTargets[[#This Row],[TargetID]],Targets!$Q$2:$Q$101,Targets!$O$2:$O$101),"Not a building"))</f>
        <v>Not a building</v>
      </c>
      <c r="H215" t="str">
        <f>IF(RIGHT(tblTargets[[#This Row],[TargetID]],5)="maxed","",IF(tblTargets[[#This Row],[TargetType]]="BUILDING",_xlfn.XLOOKUP(tblTargets[[#This Row],[TargetID]],Targets!$M$2:$M$101,Targets!$K$2:$K$101),"Not a building"))</f>
        <v>Not a building</v>
      </c>
    </row>
    <row r="216" spans="1:8">
      <c r="A216" t="s">
        <v>2634</v>
      </c>
      <c r="B216" t="s">
        <v>1978</v>
      </c>
      <c r="C216" t="s">
        <v>2578</v>
      </c>
      <c r="D216" t="str">
        <f>IF(tblTargets[[#This Row],[TargetType]]="state",UPPER(_xlfn.TEXTBEFORE(_xlfn.TEXTAFTER(tblTargets[[#This Row],[TargetID]],"state."),"_")),"")</f>
        <v/>
      </c>
      <c r="E216" t="b">
        <v>1</v>
      </c>
      <c r="F216" t="s">
        <v>3599</v>
      </c>
      <c r="G216" t="str">
        <f>IF(RIGHT(tblTargets[[#This Row],[TargetID]],5)="maxed","",IF(tblTargets[[#This Row],[TargetType]]="BUILDING",_xlfn.XLOOKUP(tblTargets[[#This Row],[TargetID]],Targets!$Q$2:$Q$101,Targets!$O$2:$O$101),"Not a building"))</f>
        <v>Not a building</v>
      </c>
      <c r="H216" t="str">
        <f>IF(RIGHT(tblTargets[[#This Row],[TargetID]],5)="maxed","",IF(tblTargets[[#This Row],[TargetType]]="BUILDING",_xlfn.XLOOKUP(tblTargets[[#This Row],[TargetID]],Targets!$M$2:$M$101,Targets!$K$2:$K$101),"Not a building"))</f>
        <v>Not a building</v>
      </c>
    </row>
    <row r="217" spans="1:8">
      <c r="A217" t="s">
        <v>2635</v>
      </c>
      <c r="B217" t="s">
        <v>1979</v>
      </c>
      <c r="C217" t="s">
        <v>2578</v>
      </c>
      <c r="D217" t="str">
        <f>IF(tblTargets[[#This Row],[TargetType]]="state",UPPER(_xlfn.TEXTBEFORE(_xlfn.TEXTAFTER(tblTargets[[#This Row],[TargetID]],"state."),"_")),"")</f>
        <v/>
      </c>
      <c r="E217" t="b">
        <v>1</v>
      </c>
      <c r="F217" t="s">
        <v>3599</v>
      </c>
      <c r="G217" t="str">
        <f>IF(RIGHT(tblTargets[[#This Row],[TargetID]],5)="maxed","",IF(tblTargets[[#This Row],[TargetType]]="BUILDING",_xlfn.XLOOKUP(tblTargets[[#This Row],[TargetID]],Targets!$Q$2:$Q$101,Targets!$O$2:$O$101),"Not a building"))</f>
        <v>Not a building</v>
      </c>
      <c r="H217" t="str">
        <f>IF(RIGHT(tblTargets[[#This Row],[TargetID]],5)="maxed","",IF(tblTargets[[#This Row],[TargetType]]="BUILDING",_xlfn.XLOOKUP(tblTargets[[#This Row],[TargetID]],Targets!$M$2:$M$101,Targets!$K$2:$K$101),"Not a building"))</f>
        <v>Not a building</v>
      </c>
    </row>
    <row r="218" spans="1:8">
      <c r="A218" t="s">
        <v>2636</v>
      </c>
      <c r="B218" t="s">
        <v>1980</v>
      </c>
      <c r="C218" t="s">
        <v>2578</v>
      </c>
      <c r="D218" t="str">
        <f>IF(tblTargets[[#This Row],[TargetType]]="state",UPPER(_xlfn.TEXTBEFORE(_xlfn.TEXTAFTER(tblTargets[[#This Row],[TargetID]],"state."),"_")),"")</f>
        <v/>
      </c>
      <c r="E218" t="b">
        <v>1</v>
      </c>
      <c r="F218" t="s">
        <v>3599</v>
      </c>
      <c r="G218" t="str">
        <f>IF(RIGHT(tblTargets[[#This Row],[TargetID]],5)="maxed","",IF(tblTargets[[#This Row],[TargetType]]="BUILDING",_xlfn.XLOOKUP(tblTargets[[#This Row],[TargetID]],Targets!$Q$2:$Q$101,Targets!$O$2:$O$101),"Not a building"))</f>
        <v>Not a building</v>
      </c>
      <c r="H218" t="str">
        <f>IF(RIGHT(tblTargets[[#This Row],[TargetID]],5)="maxed","",IF(tblTargets[[#This Row],[TargetType]]="BUILDING",_xlfn.XLOOKUP(tblTargets[[#This Row],[TargetID]],Targets!$M$2:$M$101,Targets!$K$2:$K$101),"Not a building"))</f>
        <v>Not a building</v>
      </c>
    </row>
    <row r="219" spans="1:8">
      <c r="A219" t="s">
        <v>2637</v>
      </c>
      <c r="B219" t="s">
        <v>1981</v>
      </c>
      <c r="C219" t="s">
        <v>2578</v>
      </c>
      <c r="D219" t="str">
        <f>IF(tblTargets[[#This Row],[TargetType]]="state",UPPER(_xlfn.TEXTBEFORE(_xlfn.TEXTAFTER(tblTargets[[#This Row],[TargetID]],"state."),"_")),"")</f>
        <v/>
      </c>
      <c r="E219" t="b">
        <v>1</v>
      </c>
      <c r="F219" t="s">
        <v>3599</v>
      </c>
      <c r="G219" t="str">
        <f>IF(RIGHT(tblTargets[[#This Row],[TargetID]],5)="maxed","",IF(tblTargets[[#This Row],[TargetType]]="BUILDING",_xlfn.XLOOKUP(tblTargets[[#This Row],[TargetID]],Targets!$Q$2:$Q$101,Targets!$O$2:$O$101),"Not a building"))</f>
        <v>Not a building</v>
      </c>
      <c r="H219" t="str">
        <f>IF(RIGHT(tblTargets[[#This Row],[TargetID]],5)="maxed","",IF(tblTargets[[#This Row],[TargetType]]="BUILDING",_xlfn.XLOOKUP(tblTargets[[#This Row],[TargetID]],Targets!$M$2:$M$101,Targets!$K$2:$K$101),"Not a building"))</f>
        <v>Not a building</v>
      </c>
    </row>
    <row r="220" spans="1:8">
      <c r="A220" t="s">
        <v>5653</v>
      </c>
      <c r="B220" t="s">
        <v>5592</v>
      </c>
      <c r="C220" t="s">
        <v>2578</v>
      </c>
      <c r="D220" t="str">
        <f>IF(tblTargets[[#This Row],[TargetType]]="state",UPPER(_xlfn.TEXTBEFORE(_xlfn.TEXTAFTER(tblTargets[[#This Row],[TargetID]],"state."),"_")),"")</f>
        <v/>
      </c>
      <c r="E220" t="b">
        <v>1</v>
      </c>
      <c r="F220" t="s">
        <v>3599</v>
      </c>
      <c r="G220" t="str">
        <f>IF(RIGHT(tblTargets[[#This Row],[TargetID]],5)="maxed","",IF(tblTargets[[#This Row],[TargetType]]="BUILDING",_xlfn.XLOOKUP(tblTargets[[#This Row],[TargetID]],Targets!$Q$2:$Q$101,Targets!$O$2:$O$101),"Not a building"))</f>
        <v>Not a building</v>
      </c>
      <c r="H220" t="str">
        <f>IF(RIGHT(tblTargets[[#This Row],[TargetID]],5)="maxed","",IF(tblTargets[[#This Row],[TargetType]]="BUILDING",_xlfn.XLOOKUP(tblTargets[[#This Row],[TargetID]],Targets!$M$2:$M$101,Targets!$K$2:$K$101),"Not a building"))</f>
        <v>Not a building</v>
      </c>
    </row>
    <row r="221" spans="1:8">
      <c r="A221" s="5" t="s">
        <v>5925</v>
      </c>
      <c r="B221" t="s">
        <v>5600</v>
      </c>
      <c r="C221" t="s">
        <v>2578</v>
      </c>
      <c r="D221" t="str">
        <f>IF(tblTargets[[#This Row],[TargetType]]="state",UPPER(_xlfn.TEXTBEFORE(_xlfn.TEXTAFTER(tblTargets[[#This Row],[TargetID]],"state."),"_")),"")</f>
        <v/>
      </c>
      <c r="E221" t="b">
        <v>1</v>
      </c>
      <c r="F221" t="s">
        <v>3599</v>
      </c>
      <c r="G221" t="str">
        <f>IF(RIGHT(tblTargets[[#This Row],[TargetID]],5)="maxed","",IF(tblTargets[[#This Row],[TargetType]]="BUILDING",_xlfn.XLOOKUP(tblTargets[[#This Row],[TargetID]],Targets!$Q$2:$Q$101,Targets!$O$2:$O$101),"Not a building"))</f>
        <v>Not a building</v>
      </c>
      <c r="H221" t="str">
        <f>IF(RIGHT(tblTargets[[#This Row],[TargetID]],5)="maxed","",IF(tblTargets[[#This Row],[TargetType]]="BUILDING",_xlfn.XLOOKUP(tblTargets[[#This Row],[TargetID]],Targets!$M$2:$M$101,Targets!$K$2:$K$101),"Not a building"))</f>
        <v>Not a building</v>
      </c>
    </row>
    <row r="222" spans="1:8">
      <c r="A222" t="s">
        <v>2638</v>
      </c>
      <c r="B222" t="s">
        <v>1982</v>
      </c>
      <c r="C222" t="s">
        <v>2578</v>
      </c>
      <c r="D222" t="str">
        <f>IF(tblTargets[[#This Row],[TargetType]]="state",UPPER(_xlfn.TEXTBEFORE(_xlfn.TEXTAFTER(tblTargets[[#This Row],[TargetID]],"state."),"_")),"")</f>
        <v/>
      </c>
      <c r="E222" t="b">
        <v>1</v>
      </c>
      <c r="F222" t="s">
        <v>3599</v>
      </c>
      <c r="G222" t="str">
        <f>IF(RIGHT(tblTargets[[#This Row],[TargetID]],5)="maxed","",IF(tblTargets[[#This Row],[TargetType]]="BUILDING",_xlfn.XLOOKUP(tblTargets[[#This Row],[TargetID]],Targets!$Q$2:$Q$101,Targets!$O$2:$O$101),"Not a building"))</f>
        <v>Not a building</v>
      </c>
      <c r="H222" t="str">
        <f>IF(RIGHT(tblTargets[[#This Row],[TargetID]],5)="maxed","",IF(tblTargets[[#This Row],[TargetType]]="BUILDING",_xlfn.XLOOKUP(tblTargets[[#This Row],[TargetID]],Targets!$M$2:$M$101,Targets!$K$2:$K$101),"Not a building"))</f>
        <v>Not a building</v>
      </c>
    </row>
    <row r="223" spans="1:8">
      <c r="A223" t="s">
        <v>2639</v>
      </c>
      <c r="B223" t="s">
        <v>1983</v>
      </c>
      <c r="C223" t="s">
        <v>2578</v>
      </c>
      <c r="D223" t="str">
        <f>IF(tblTargets[[#This Row],[TargetType]]="state",UPPER(_xlfn.TEXTBEFORE(_xlfn.TEXTAFTER(tblTargets[[#This Row],[TargetID]],"state."),"_")),"")</f>
        <v/>
      </c>
      <c r="E223" t="b">
        <v>1</v>
      </c>
      <c r="F223" t="s">
        <v>3599</v>
      </c>
      <c r="G223" t="str">
        <f>IF(RIGHT(tblTargets[[#This Row],[TargetID]],5)="maxed","",IF(tblTargets[[#This Row],[TargetType]]="BUILDING",_xlfn.XLOOKUP(tblTargets[[#This Row],[TargetID]],Targets!$Q$2:$Q$101,Targets!$O$2:$O$101),"Not a building"))</f>
        <v>Not a building</v>
      </c>
      <c r="H223" t="str">
        <f>IF(RIGHT(tblTargets[[#This Row],[TargetID]],5)="maxed","",IF(tblTargets[[#This Row],[TargetType]]="BUILDING",_xlfn.XLOOKUP(tblTargets[[#This Row],[TargetID]],Targets!$M$2:$M$101,Targets!$K$2:$K$101),"Not a building"))</f>
        <v>Not a building</v>
      </c>
    </row>
    <row r="224" spans="1:8">
      <c r="A224" t="s">
        <v>2640</v>
      </c>
      <c r="B224" t="s">
        <v>1984</v>
      </c>
      <c r="C224" t="s">
        <v>2578</v>
      </c>
      <c r="D224" t="str">
        <f>IF(tblTargets[[#This Row],[TargetType]]="state",UPPER(_xlfn.TEXTBEFORE(_xlfn.TEXTAFTER(tblTargets[[#This Row],[TargetID]],"state."),"_")),"")</f>
        <v/>
      </c>
      <c r="E224" t="b">
        <v>1</v>
      </c>
      <c r="F224" t="s">
        <v>3599</v>
      </c>
      <c r="G224" t="str">
        <f>IF(RIGHT(tblTargets[[#This Row],[TargetID]],5)="maxed","",IF(tblTargets[[#This Row],[TargetType]]="BUILDING",_xlfn.XLOOKUP(tblTargets[[#This Row],[TargetID]],Targets!$Q$2:$Q$101,Targets!$O$2:$O$101),"Not a building"))</f>
        <v>Not a building</v>
      </c>
      <c r="H224" t="str">
        <f>IF(RIGHT(tblTargets[[#This Row],[TargetID]],5)="maxed","",IF(tblTargets[[#This Row],[TargetType]]="BUILDING",_xlfn.XLOOKUP(tblTargets[[#This Row],[TargetID]],Targets!$M$2:$M$101,Targets!$K$2:$K$101),"Not a building"))</f>
        <v>Not a building</v>
      </c>
    </row>
    <row r="225" spans="1:8">
      <c r="A225" t="s">
        <v>2641</v>
      </c>
      <c r="B225" t="s">
        <v>1985</v>
      </c>
      <c r="C225" t="s">
        <v>2578</v>
      </c>
      <c r="D225" t="str">
        <f>IF(tblTargets[[#This Row],[TargetType]]="state",UPPER(_xlfn.TEXTBEFORE(_xlfn.TEXTAFTER(tblTargets[[#This Row],[TargetID]],"state."),"_")),"")</f>
        <v/>
      </c>
      <c r="E225" t="b">
        <v>1</v>
      </c>
      <c r="F225" t="s">
        <v>3599</v>
      </c>
      <c r="G225" t="str">
        <f>IF(RIGHT(tblTargets[[#This Row],[TargetID]],5)="maxed","",IF(tblTargets[[#This Row],[TargetType]]="BUILDING",_xlfn.XLOOKUP(tblTargets[[#This Row],[TargetID]],Targets!$Q$2:$Q$101,Targets!$O$2:$O$101),"Not a building"))</f>
        <v>Not a building</v>
      </c>
      <c r="H225" t="str">
        <f>IF(RIGHT(tblTargets[[#This Row],[TargetID]],5)="maxed","",IF(tblTargets[[#This Row],[TargetType]]="BUILDING",_xlfn.XLOOKUP(tblTargets[[#This Row],[TargetID]],Targets!$M$2:$M$101,Targets!$K$2:$K$101),"Not a building"))</f>
        <v>Not a building</v>
      </c>
    </row>
    <row r="226" spans="1:8">
      <c r="A226" t="s">
        <v>2642</v>
      </c>
      <c r="B226" t="s">
        <v>1986</v>
      </c>
      <c r="C226" t="s">
        <v>2578</v>
      </c>
      <c r="D226" t="str">
        <f>IF(tblTargets[[#This Row],[TargetType]]="state",UPPER(_xlfn.TEXTBEFORE(_xlfn.TEXTAFTER(tblTargets[[#This Row],[TargetID]],"state."),"_")),"")</f>
        <v/>
      </c>
      <c r="E226" t="b">
        <v>1</v>
      </c>
      <c r="F226" t="s">
        <v>3599</v>
      </c>
      <c r="G226" t="str">
        <f>IF(RIGHT(tblTargets[[#This Row],[TargetID]],5)="maxed","",IF(tblTargets[[#This Row],[TargetType]]="BUILDING",_xlfn.XLOOKUP(tblTargets[[#This Row],[TargetID]],Targets!$Q$2:$Q$101,Targets!$O$2:$O$101),"Not a building"))</f>
        <v>Not a building</v>
      </c>
      <c r="H226" t="str">
        <f>IF(RIGHT(tblTargets[[#This Row],[TargetID]],5)="maxed","",IF(tblTargets[[#This Row],[TargetType]]="BUILDING",_xlfn.XLOOKUP(tblTargets[[#This Row],[TargetID]],Targets!$M$2:$M$101,Targets!$K$2:$K$101),"Not a building"))</f>
        <v>Not a building</v>
      </c>
    </row>
    <row r="227" spans="1:8">
      <c r="A227" t="s">
        <v>2643</v>
      </c>
      <c r="B227" t="s">
        <v>1987</v>
      </c>
      <c r="C227" t="s">
        <v>2578</v>
      </c>
      <c r="D227" t="str">
        <f>IF(tblTargets[[#This Row],[TargetType]]="state",UPPER(_xlfn.TEXTBEFORE(_xlfn.TEXTAFTER(tblTargets[[#This Row],[TargetID]],"state."),"_")),"")</f>
        <v/>
      </c>
      <c r="E227" t="b">
        <v>1</v>
      </c>
      <c r="F227" t="s">
        <v>3599</v>
      </c>
      <c r="G227" t="str">
        <f>IF(RIGHT(tblTargets[[#This Row],[TargetID]],5)="maxed","",IF(tblTargets[[#This Row],[TargetType]]="BUILDING",_xlfn.XLOOKUP(tblTargets[[#This Row],[TargetID]],Targets!$Q$2:$Q$101,Targets!$O$2:$O$101),"Not a building"))</f>
        <v>Not a building</v>
      </c>
      <c r="H227" t="str">
        <f>IF(RIGHT(tblTargets[[#This Row],[TargetID]],5)="maxed","",IF(tblTargets[[#This Row],[TargetType]]="BUILDING",_xlfn.XLOOKUP(tblTargets[[#This Row],[TargetID]],Targets!$M$2:$M$101,Targets!$K$2:$K$101),"Not a building"))</f>
        <v>Not a building</v>
      </c>
    </row>
    <row r="228" spans="1:8">
      <c r="A228" t="s">
        <v>2644</v>
      </c>
      <c r="B228" t="s">
        <v>1988</v>
      </c>
      <c r="C228" t="s">
        <v>2578</v>
      </c>
      <c r="D228" t="str">
        <f>IF(tblTargets[[#This Row],[TargetType]]="state",UPPER(_xlfn.TEXTBEFORE(_xlfn.TEXTAFTER(tblTargets[[#This Row],[TargetID]],"state."),"_")),"")</f>
        <v/>
      </c>
      <c r="E228" t="b">
        <v>1</v>
      </c>
      <c r="F228" t="s">
        <v>3599</v>
      </c>
      <c r="G228" t="str">
        <f>IF(RIGHT(tblTargets[[#This Row],[TargetID]],5)="maxed","",IF(tblTargets[[#This Row],[TargetType]]="BUILDING",_xlfn.XLOOKUP(tblTargets[[#This Row],[TargetID]],Targets!$Q$2:$Q$101,Targets!$O$2:$O$101),"Not a building"))</f>
        <v>Not a building</v>
      </c>
      <c r="H228" t="str">
        <f>IF(RIGHT(tblTargets[[#This Row],[TargetID]],5)="maxed","",IF(tblTargets[[#This Row],[TargetType]]="BUILDING",_xlfn.XLOOKUP(tblTargets[[#This Row],[TargetID]],Targets!$M$2:$M$101,Targets!$K$2:$K$101),"Not a building"))</f>
        <v>Not a building</v>
      </c>
    </row>
    <row r="229" spans="1:8">
      <c r="A229" t="s">
        <v>2645</v>
      </c>
      <c r="B229" t="s">
        <v>1989</v>
      </c>
      <c r="C229" t="s">
        <v>2578</v>
      </c>
      <c r="D229" t="str">
        <f>IF(tblTargets[[#This Row],[TargetType]]="state",UPPER(_xlfn.TEXTBEFORE(_xlfn.TEXTAFTER(tblTargets[[#This Row],[TargetID]],"state."),"_")),"")</f>
        <v/>
      </c>
      <c r="E229" t="b">
        <v>1</v>
      </c>
      <c r="F229" t="s">
        <v>3599</v>
      </c>
      <c r="G229" t="str">
        <f>IF(RIGHT(tblTargets[[#This Row],[TargetID]],5)="maxed","",IF(tblTargets[[#This Row],[TargetType]]="BUILDING",_xlfn.XLOOKUP(tblTargets[[#This Row],[TargetID]],Targets!$Q$2:$Q$101,Targets!$O$2:$O$101),"Not a building"))</f>
        <v>Not a building</v>
      </c>
      <c r="H229" t="str">
        <f>IF(RIGHT(tblTargets[[#This Row],[TargetID]],5)="maxed","",IF(tblTargets[[#This Row],[TargetType]]="BUILDING",_xlfn.XLOOKUP(tblTargets[[#This Row],[TargetID]],Targets!$M$2:$M$101,Targets!$K$2:$K$101),"Not a building"))</f>
        <v>Not a building</v>
      </c>
    </row>
    <row r="230" spans="1:8">
      <c r="A230" t="s">
        <v>2646</v>
      </c>
      <c r="B230" t="s">
        <v>1990</v>
      </c>
      <c r="C230" t="s">
        <v>2578</v>
      </c>
      <c r="D230" t="str">
        <f>IF(tblTargets[[#This Row],[TargetType]]="state",UPPER(_xlfn.TEXTBEFORE(_xlfn.TEXTAFTER(tblTargets[[#This Row],[TargetID]],"state."),"_")),"")</f>
        <v/>
      </c>
      <c r="E230" t="b">
        <v>1</v>
      </c>
      <c r="F230" t="s">
        <v>3599</v>
      </c>
      <c r="G230" t="str">
        <f>IF(RIGHT(tblTargets[[#This Row],[TargetID]],5)="maxed","",IF(tblTargets[[#This Row],[TargetType]]="BUILDING",_xlfn.XLOOKUP(tblTargets[[#This Row],[TargetID]],Targets!$Q$2:$Q$101,Targets!$O$2:$O$101),"Not a building"))</f>
        <v>Not a building</v>
      </c>
      <c r="H230" t="str">
        <f>IF(RIGHT(tblTargets[[#This Row],[TargetID]],5)="maxed","",IF(tblTargets[[#This Row],[TargetType]]="BUILDING",_xlfn.XLOOKUP(tblTargets[[#This Row],[TargetID]],Targets!$M$2:$M$101,Targets!$K$2:$K$101),"Not a building"))</f>
        <v>Not a building</v>
      </c>
    </row>
    <row r="231" spans="1:8">
      <c r="A231" t="s">
        <v>2647</v>
      </c>
      <c r="B231" t="s">
        <v>1991</v>
      </c>
      <c r="C231" t="s">
        <v>2578</v>
      </c>
      <c r="D231" t="str">
        <f>IF(tblTargets[[#This Row],[TargetType]]="state",UPPER(_xlfn.TEXTBEFORE(_xlfn.TEXTAFTER(tblTargets[[#This Row],[TargetID]],"state."),"_")),"")</f>
        <v/>
      </c>
      <c r="E231" t="b">
        <v>1</v>
      </c>
      <c r="F231" t="s">
        <v>3599</v>
      </c>
      <c r="G231" t="str">
        <f>IF(RIGHT(tblTargets[[#This Row],[TargetID]],5)="maxed","",IF(tblTargets[[#This Row],[TargetType]]="BUILDING",_xlfn.XLOOKUP(tblTargets[[#This Row],[TargetID]],Targets!$Q$2:$Q$101,Targets!$O$2:$O$101),"Not a building"))</f>
        <v>Not a building</v>
      </c>
      <c r="H231" t="str">
        <f>IF(RIGHT(tblTargets[[#This Row],[TargetID]],5)="maxed","",IF(tblTargets[[#This Row],[TargetType]]="BUILDING",_xlfn.XLOOKUP(tblTargets[[#This Row],[TargetID]],Targets!$M$2:$M$101,Targets!$K$2:$K$101),"Not a building"))</f>
        <v>Not a building</v>
      </c>
    </row>
    <row r="232" spans="1:8">
      <c r="A232" t="s">
        <v>2648</v>
      </c>
      <c r="B232" t="s">
        <v>1992</v>
      </c>
      <c r="C232" t="s">
        <v>2578</v>
      </c>
      <c r="D232" t="str">
        <f>IF(tblTargets[[#This Row],[TargetType]]="state",UPPER(_xlfn.TEXTBEFORE(_xlfn.TEXTAFTER(tblTargets[[#This Row],[TargetID]],"state."),"_")),"")</f>
        <v/>
      </c>
      <c r="E232" t="b">
        <v>1</v>
      </c>
      <c r="F232" t="s">
        <v>3599</v>
      </c>
      <c r="G232" t="str">
        <f>IF(RIGHT(tblTargets[[#This Row],[TargetID]],5)="maxed","",IF(tblTargets[[#This Row],[TargetType]]="BUILDING",_xlfn.XLOOKUP(tblTargets[[#This Row],[TargetID]],Targets!$Q$2:$Q$101,Targets!$O$2:$O$101),"Not a building"))</f>
        <v>Not a building</v>
      </c>
      <c r="H232" t="str">
        <f>IF(RIGHT(tblTargets[[#This Row],[TargetID]],5)="maxed","",IF(tblTargets[[#This Row],[TargetType]]="BUILDING",_xlfn.XLOOKUP(tblTargets[[#This Row],[TargetID]],Targets!$M$2:$M$101,Targets!$K$2:$K$101),"Not a building"))</f>
        <v>Not a building</v>
      </c>
    </row>
    <row r="233" spans="1:8">
      <c r="A233" t="s">
        <v>2649</v>
      </c>
      <c r="B233" t="s">
        <v>1993</v>
      </c>
      <c r="C233" t="s">
        <v>2578</v>
      </c>
      <c r="D233" t="str">
        <f>IF(tblTargets[[#This Row],[TargetType]]="state",UPPER(_xlfn.TEXTBEFORE(_xlfn.TEXTAFTER(tblTargets[[#This Row],[TargetID]],"state."),"_")),"")</f>
        <v/>
      </c>
      <c r="E233" t="b">
        <v>1</v>
      </c>
      <c r="F233" t="s">
        <v>3599</v>
      </c>
      <c r="G233" t="str">
        <f>IF(RIGHT(tblTargets[[#This Row],[TargetID]],5)="maxed","",IF(tblTargets[[#This Row],[TargetType]]="BUILDING",_xlfn.XLOOKUP(tblTargets[[#This Row],[TargetID]],Targets!$Q$2:$Q$101,Targets!$O$2:$O$101),"Not a building"))</f>
        <v>Not a building</v>
      </c>
      <c r="H233" t="str">
        <f>IF(RIGHT(tblTargets[[#This Row],[TargetID]],5)="maxed","",IF(tblTargets[[#This Row],[TargetType]]="BUILDING",_xlfn.XLOOKUP(tblTargets[[#This Row],[TargetID]],Targets!$M$2:$M$101,Targets!$K$2:$K$101),"Not a building"))</f>
        <v>Not a building</v>
      </c>
    </row>
    <row r="234" spans="1:8">
      <c r="A234" t="s">
        <v>2650</v>
      </c>
      <c r="B234" t="s">
        <v>2026</v>
      </c>
      <c r="C234" t="s">
        <v>2651</v>
      </c>
      <c r="D234" t="str">
        <f>IF(tblTargets[[#This Row],[TargetType]]="state",UPPER(_xlfn.TEXTBEFORE(_xlfn.TEXTAFTER(tblTargets[[#This Row],[TargetID]],"state."),"_")),"")</f>
        <v/>
      </c>
      <c r="E234" t="b">
        <v>1</v>
      </c>
      <c r="F234" t="s">
        <v>3599</v>
      </c>
      <c r="G234" t="str">
        <f>IF(RIGHT(tblTargets[[#This Row],[TargetID]],5)="maxed","",IF(tblTargets[[#This Row],[TargetType]]="BUILDING",_xlfn.XLOOKUP(tblTargets[[#This Row],[TargetID]],Targets!$Q$2:$Q$101,Targets!$O$2:$O$101),"Not a building"))</f>
        <v>Not a building</v>
      </c>
      <c r="H234" t="str">
        <f>IF(RIGHT(tblTargets[[#This Row],[TargetID]],5)="maxed","",IF(tblTargets[[#This Row],[TargetType]]="BUILDING",_xlfn.XLOOKUP(tblTargets[[#This Row],[TargetID]],Targets!$M$2:$M$101,Targets!$K$2:$K$101),"Not a building"))</f>
        <v>Not a building</v>
      </c>
    </row>
    <row r="235" spans="1:8">
      <c r="A235" t="s">
        <v>2652</v>
      </c>
      <c r="B235" t="s">
        <v>2027</v>
      </c>
      <c r="C235" t="s">
        <v>2651</v>
      </c>
      <c r="D235" t="str">
        <f>IF(tblTargets[[#This Row],[TargetType]]="state",UPPER(_xlfn.TEXTBEFORE(_xlfn.TEXTAFTER(tblTargets[[#This Row],[TargetID]],"state."),"_")),"")</f>
        <v/>
      </c>
      <c r="E235" t="b">
        <v>1</v>
      </c>
      <c r="F235" t="s">
        <v>3599</v>
      </c>
      <c r="G235" t="str">
        <f>IF(RIGHT(tblTargets[[#This Row],[TargetID]],5)="maxed","",IF(tblTargets[[#This Row],[TargetType]]="BUILDING",_xlfn.XLOOKUP(tblTargets[[#This Row],[TargetID]],Targets!$Q$2:$Q$101,Targets!$O$2:$O$101),"Not a building"))</f>
        <v>Not a building</v>
      </c>
      <c r="H235" t="str">
        <f>IF(RIGHT(tblTargets[[#This Row],[TargetID]],5)="maxed","",IF(tblTargets[[#This Row],[TargetType]]="BUILDING",_xlfn.XLOOKUP(tblTargets[[#This Row],[TargetID]],Targets!$M$2:$M$101,Targets!$K$2:$K$101),"Not a building"))</f>
        <v>Not a building</v>
      </c>
    </row>
    <row r="236" spans="1:8">
      <c r="A236" t="s">
        <v>2653</v>
      </c>
      <c r="B236" t="s">
        <v>2028</v>
      </c>
      <c r="C236" t="s">
        <v>2651</v>
      </c>
      <c r="D236" t="str">
        <f>IF(tblTargets[[#This Row],[TargetType]]="state",UPPER(_xlfn.TEXTBEFORE(_xlfn.TEXTAFTER(tblTargets[[#This Row],[TargetID]],"state."),"_")),"")</f>
        <v/>
      </c>
      <c r="E236" t="b">
        <v>1</v>
      </c>
      <c r="F236" t="s">
        <v>3599</v>
      </c>
      <c r="G236" t="str">
        <f>IF(RIGHT(tblTargets[[#This Row],[TargetID]],5)="maxed","",IF(tblTargets[[#This Row],[TargetType]]="BUILDING",_xlfn.XLOOKUP(tblTargets[[#This Row],[TargetID]],Targets!$Q$2:$Q$101,Targets!$O$2:$O$101),"Not a building"))</f>
        <v>Not a building</v>
      </c>
      <c r="H236" t="str">
        <f>IF(RIGHT(tblTargets[[#This Row],[TargetID]],5)="maxed","",IF(tblTargets[[#This Row],[TargetType]]="BUILDING",_xlfn.XLOOKUP(tblTargets[[#This Row],[TargetID]],Targets!$M$2:$M$101,Targets!$K$2:$K$101),"Not a building"))</f>
        <v>Not a building</v>
      </c>
    </row>
    <row r="237" spans="1:8">
      <c r="A237" t="s">
        <v>2654</v>
      </c>
      <c r="B237" t="s">
        <v>2029</v>
      </c>
      <c r="C237" t="s">
        <v>2651</v>
      </c>
      <c r="D237" t="str">
        <f>IF(tblTargets[[#This Row],[TargetType]]="state",UPPER(_xlfn.TEXTBEFORE(_xlfn.TEXTAFTER(tblTargets[[#This Row],[TargetID]],"state."),"_")),"")</f>
        <v/>
      </c>
      <c r="E237" t="b">
        <v>1</v>
      </c>
      <c r="F237" t="s">
        <v>3599</v>
      </c>
      <c r="G237" t="str">
        <f>IF(RIGHT(tblTargets[[#This Row],[TargetID]],5)="maxed","",IF(tblTargets[[#This Row],[TargetType]]="BUILDING",_xlfn.XLOOKUP(tblTargets[[#This Row],[TargetID]],Targets!$Q$2:$Q$101,Targets!$O$2:$O$101),"Not a building"))</f>
        <v>Not a building</v>
      </c>
      <c r="H237" t="str">
        <f>IF(RIGHT(tblTargets[[#This Row],[TargetID]],5)="maxed","",IF(tblTargets[[#This Row],[TargetType]]="BUILDING",_xlfn.XLOOKUP(tblTargets[[#This Row],[TargetID]],Targets!$M$2:$M$101,Targets!$K$2:$K$101),"Not a building"))</f>
        <v>Not a building</v>
      </c>
    </row>
    <row r="238" spans="1:8">
      <c r="A238" t="s">
        <v>2655</v>
      </c>
      <c r="B238" t="s">
        <v>2030</v>
      </c>
      <c r="C238" t="s">
        <v>2651</v>
      </c>
      <c r="D238" t="str">
        <f>IF(tblTargets[[#This Row],[TargetType]]="state",UPPER(_xlfn.TEXTBEFORE(_xlfn.TEXTAFTER(tblTargets[[#This Row],[TargetID]],"state."),"_")),"")</f>
        <v/>
      </c>
      <c r="E238" t="b">
        <v>1</v>
      </c>
      <c r="F238" t="s">
        <v>3599</v>
      </c>
      <c r="G238" t="str">
        <f>IF(RIGHT(tblTargets[[#This Row],[TargetID]],5)="maxed","",IF(tblTargets[[#This Row],[TargetType]]="BUILDING",_xlfn.XLOOKUP(tblTargets[[#This Row],[TargetID]],Targets!$Q$2:$Q$101,Targets!$O$2:$O$101),"Not a building"))</f>
        <v>Not a building</v>
      </c>
      <c r="H238" t="str">
        <f>IF(RIGHT(tblTargets[[#This Row],[TargetID]],5)="maxed","",IF(tblTargets[[#This Row],[TargetType]]="BUILDING",_xlfn.XLOOKUP(tblTargets[[#This Row],[TargetID]],Targets!$M$2:$M$101,Targets!$K$2:$K$101),"Not a building"))</f>
        <v>Not a building</v>
      </c>
    </row>
    <row r="239" spans="1:8">
      <c r="A239" t="s">
        <v>2656</v>
      </c>
      <c r="B239" t="s">
        <v>2031</v>
      </c>
      <c r="C239" t="s">
        <v>2651</v>
      </c>
      <c r="D239" t="str">
        <f>IF(tblTargets[[#This Row],[TargetType]]="state",UPPER(_xlfn.TEXTBEFORE(_xlfn.TEXTAFTER(tblTargets[[#This Row],[TargetID]],"state."),"_")),"")</f>
        <v/>
      </c>
      <c r="E239" t="b">
        <v>1</v>
      </c>
      <c r="F239" t="s">
        <v>3599</v>
      </c>
      <c r="G239" t="str">
        <f>IF(RIGHT(tblTargets[[#This Row],[TargetID]],5)="maxed","",IF(tblTargets[[#This Row],[TargetType]]="BUILDING",_xlfn.XLOOKUP(tblTargets[[#This Row],[TargetID]],Targets!$Q$2:$Q$101,Targets!$O$2:$O$101),"Not a building"))</f>
        <v>Not a building</v>
      </c>
      <c r="H239" t="str">
        <f>IF(RIGHT(tblTargets[[#This Row],[TargetID]],5)="maxed","",IF(tblTargets[[#This Row],[TargetType]]="BUILDING",_xlfn.XLOOKUP(tblTargets[[#This Row],[TargetID]],Targets!$M$2:$M$101,Targets!$K$2:$K$101),"Not a building"))</f>
        <v>Not a building</v>
      </c>
    </row>
    <row r="240" spans="1:8">
      <c r="A240" t="s">
        <v>2657</v>
      </c>
      <c r="B240" t="s">
        <v>2032</v>
      </c>
      <c r="C240" t="s">
        <v>2651</v>
      </c>
      <c r="D240" t="str">
        <f>IF(tblTargets[[#This Row],[TargetType]]="state",UPPER(_xlfn.TEXTBEFORE(_xlfn.TEXTAFTER(tblTargets[[#This Row],[TargetID]],"state."),"_")),"")</f>
        <v/>
      </c>
      <c r="E240" t="b">
        <v>1</v>
      </c>
      <c r="F240" t="s">
        <v>3599</v>
      </c>
      <c r="G240" t="str">
        <f>IF(RIGHT(tblTargets[[#This Row],[TargetID]],5)="maxed","",IF(tblTargets[[#This Row],[TargetType]]="BUILDING",_xlfn.XLOOKUP(tblTargets[[#This Row],[TargetID]],Targets!$Q$2:$Q$101,Targets!$O$2:$O$101),"Not a building"))</f>
        <v>Not a building</v>
      </c>
      <c r="H240" t="str">
        <f>IF(RIGHT(tblTargets[[#This Row],[TargetID]],5)="maxed","",IF(tblTargets[[#This Row],[TargetType]]="BUILDING",_xlfn.XLOOKUP(tblTargets[[#This Row],[TargetID]],Targets!$M$2:$M$101,Targets!$K$2:$K$101),"Not a building"))</f>
        <v>Not a building</v>
      </c>
    </row>
    <row r="241" spans="1:8">
      <c r="A241" t="s">
        <v>2658</v>
      </c>
      <c r="B241" t="s">
        <v>2033</v>
      </c>
      <c r="C241" t="s">
        <v>2651</v>
      </c>
      <c r="D241" t="str">
        <f>IF(tblTargets[[#This Row],[TargetType]]="state",UPPER(_xlfn.TEXTBEFORE(_xlfn.TEXTAFTER(tblTargets[[#This Row],[TargetID]],"state."),"_")),"")</f>
        <v/>
      </c>
      <c r="E241" t="b">
        <v>1</v>
      </c>
      <c r="F241" t="s">
        <v>3599</v>
      </c>
      <c r="G241" t="str">
        <f>IF(RIGHT(tblTargets[[#This Row],[TargetID]],5)="maxed","",IF(tblTargets[[#This Row],[TargetType]]="BUILDING",_xlfn.XLOOKUP(tblTargets[[#This Row],[TargetID]],Targets!$Q$2:$Q$101,Targets!$O$2:$O$101),"Not a building"))</f>
        <v>Not a building</v>
      </c>
      <c r="H241" t="str">
        <f>IF(RIGHT(tblTargets[[#This Row],[TargetID]],5)="maxed","",IF(tblTargets[[#This Row],[TargetType]]="BUILDING",_xlfn.XLOOKUP(tblTargets[[#This Row],[TargetID]],Targets!$M$2:$M$101,Targets!$K$2:$K$101),"Not a building"))</f>
        <v>Not a building</v>
      </c>
    </row>
    <row r="242" spans="1:8">
      <c r="A242" t="s">
        <v>2659</v>
      </c>
      <c r="B242" t="s">
        <v>2034</v>
      </c>
      <c r="C242" t="s">
        <v>2651</v>
      </c>
      <c r="D242" t="str">
        <f>IF(tblTargets[[#This Row],[TargetType]]="state",UPPER(_xlfn.TEXTBEFORE(_xlfn.TEXTAFTER(tblTargets[[#This Row],[TargetID]],"state."),"_")),"")</f>
        <v/>
      </c>
      <c r="E242" t="b">
        <v>1</v>
      </c>
      <c r="F242" t="s">
        <v>3599</v>
      </c>
      <c r="G242" t="str">
        <f>IF(RIGHT(tblTargets[[#This Row],[TargetID]],5)="maxed","",IF(tblTargets[[#This Row],[TargetType]]="BUILDING",_xlfn.XLOOKUP(tblTargets[[#This Row],[TargetID]],Targets!$Q$2:$Q$101,Targets!$O$2:$O$101),"Not a building"))</f>
        <v>Not a building</v>
      </c>
      <c r="H242" t="str">
        <f>IF(RIGHT(tblTargets[[#This Row],[TargetID]],5)="maxed","",IF(tblTargets[[#This Row],[TargetType]]="BUILDING",_xlfn.XLOOKUP(tblTargets[[#This Row],[TargetID]],Targets!$M$2:$M$101,Targets!$K$2:$K$101),"Not a building"))</f>
        <v>Not a building</v>
      </c>
    </row>
    <row r="243" spans="1:8">
      <c r="A243" t="s">
        <v>2660</v>
      </c>
      <c r="B243" t="s">
        <v>2035</v>
      </c>
      <c r="C243" t="s">
        <v>2651</v>
      </c>
      <c r="D243" t="str">
        <f>IF(tblTargets[[#This Row],[TargetType]]="state",UPPER(_xlfn.TEXTBEFORE(_xlfn.TEXTAFTER(tblTargets[[#This Row],[TargetID]],"state."),"_")),"")</f>
        <v/>
      </c>
      <c r="E243" t="b">
        <v>1</v>
      </c>
      <c r="F243" t="s">
        <v>3599</v>
      </c>
      <c r="G243" t="str">
        <f>IF(RIGHT(tblTargets[[#This Row],[TargetID]],5)="maxed","",IF(tblTargets[[#This Row],[TargetType]]="BUILDING",_xlfn.XLOOKUP(tblTargets[[#This Row],[TargetID]],Targets!$Q$2:$Q$101,Targets!$O$2:$O$101),"Not a building"))</f>
        <v>Not a building</v>
      </c>
      <c r="H243" t="str">
        <f>IF(RIGHT(tblTargets[[#This Row],[TargetID]],5)="maxed","",IF(tblTargets[[#This Row],[TargetType]]="BUILDING",_xlfn.XLOOKUP(tblTargets[[#This Row],[TargetID]],Targets!$M$2:$M$101,Targets!$K$2:$K$101),"Not a building"))</f>
        <v>Not a building</v>
      </c>
    </row>
    <row r="244" spans="1:8">
      <c r="A244" t="s">
        <v>2661</v>
      </c>
      <c r="B244" t="s">
        <v>2036</v>
      </c>
      <c r="C244" t="s">
        <v>2651</v>
      </c>
      <c r="D244" t="str">
        <f>IF(tblTargets[[#This Row],[TargetType]]="state",UPPER(_xlfn.TEXTBEFORE(_xlfn.TEXTAFTER(tblTargets[[#This Row],[TargetID]],"state."),"_")),"")</f>
        <v/>
      </c>
      <c r="E244" t="b">
        <v>1</v>
      </c>
      <c r="F244" t="s">
        <v>3599</v>
      </c>
      <c r="G244" t="str">
        <f>IF(RIGHT(tblTargets[[#This Row],[TargetID]],5)="maxed","",IF(tblTargets[[#This Row],[TargetType]]="BUILDING",_xlfn.XLOOKUP(tblTargets[[#This Row],[TargetID]],Targets!$Q$2:$Q$101,Targets!$O$2:$O$101),"Not a building"))</f>
        <v>Not a building</v>
      </c>
      <c r="H244" t="str">
        <f>IF(RIGHT(tblTargets[[#This Row],[TargetID]],5)="maxed","",IF(tblTargets[[#This Row],[TargetType]]="BUILDING",_xlfn.XLOOKUP(tblTargets[[#This Row],[TargetID]],Targets!$M$2:$M$101,Targets!$K$2:$K$101),"Not a building"))</f>
        <v>Not a building</v>
      </c>
    </row>
    <row r="245" spans="1:8">
      <c r="A245" t="s">
        <v>2662</v>
      </c>
      <c r="B245" t="s">
        <v>2037</v>
      </c>
      <c r="C245" t="s">
        <v>2651</v>
      </c>
      <c r="D245" t="str">
        <f>IF(tblTargets[[#This Row],[TargetType]]="state",UPPER(_xlfn.TEXTBEFORE(_xlfn.TEXTAFTER(tblTargets[[#This Row],[TargetID]],"state."),"_")),"")</f>
        <v/>
      </c>
      <c r="E245" t="b">
        <v>1</v>
      </c>
      <c r="F245" t="s">
        <v>3599</v>
      </c>
      <c r="G245" t="str">
        <f>IF(RIGHT(tblTargets[[#This Row],[TargetID]],5)="maxed","",IF(tblTargets[[#This Row],[TargetType]]="BUILDING",_xlfn.XLOOKUP(tblTargets[[#This Row],[TargetID]],Targets!$Q$2:$Q$101,Targets!$O$2:$O$101),"Not a building"))</f>
        <v>Not a building</v>
      </c>
      <c r="H245" t="str">
        <f>IF(RIGHT(tblTargets[[#This Row],[TargetID]],5)="maxed","",IF(tblTargets[[#This Row],[TargetType]]="BUILDING",_xlfn.XLOOKUP(tblTargets[[#This Row],[TargetID]],Targets!$M$2:$M$101,Targets!$K$2:$K$101),"Not a building"))</f>
        <v>Not a building</v>
      </c>
    </row>
    <row r="246" spans="1:8">
      <c r="A246" t="s">
        <v>2663</v>
      </c>
      <c r="B246" t="s">
        <v>2038</v>
      </c>
      <c r="C246" t="s">
        <v>2651</v>
      </c>
      <c r="D246" t="str">
        <f>IF(tblTargets[[#This Row],[TargetType]]="state",UPPER(_xlfn.TEXTBEFORE(_xlfn.TEXTAFTER(tblTargets[[#This Row],[TargetID]],"state."),"_")),"")</f>
        <v/>
      </c>
      <c r="E246" t="b">
        <v>1</v>
      </c>
      <c r="F246" t="s">
        <v>3599</v>
      </c>
      <c r="G246" t="str">
        <f>IF(RIGHT(tblTargets[[#This Row],[TargetID]],5)="maxed","",IF(tblTargets[[#This Row],[TargetType]]="BUILDING",_xlfn.XLOOKUP(tblTargets[[#This Row],[TargetID]],Targets!$Q$2:$Q$101,Targets!$O$2:$O$101),"Not a building"))</f>
        <v>Not a building</v>
      </c>
      <c r="H246" t="str">
        <f>IF(RIGHT(tblTargets[[#This Row],[TargetID]],5)="maxed","",IF(tblTargets[[#This Row],[TargetType]]="BUILDING",_xlfn.XLOOKUP(tblTargets[[#This Row],[TargetID]],Targets!$M$2:$M$101,Targets!$K$2:$K$101),"Not a building"))</f>
        <v>Not a building</v>
      </c>
    </row>
    <row r="247" spans="1:8">
      <c r="A247" t="s">
        <v>2664</v>
      </c>
      <c r="B247" t="s">
        <v>2039</v>
      </c>
      <c r="C247" t="s">
        <v>2651</v>
      </c>
      <c r="D247" t="str">
        <f>IF(tblTargets[[#This Row],[TargetType]]="state",UPPER(_xlfn.TEXTBEFORE(_xlfn.TEXTAFTER(tblTargets[[#This Row],[TargetID]],"state."),"_")),"")</f>
        <v/>
      </c>
      <c r="E247" t="b">
        <v>1</v>
      </c>
      <c r="F247" t="s">
        <v>3599</v>
      </c>
      <c r="G247" t="str">
        <f>IF(RIGHT(tblTargets[[#This Row],[TargetID]],5)="maxed","",IF(tblTargets[[#This Row],[TargetType]]="BUILDING",_xlfn.XLOOKUP(tblTargets[[#This Row],[TargetID]],Targets!$Q$2:$Q$101,Targets!$O$2:$O$101),"Not a building"))</f>
        <v>Not a building</v>
      </c>
      <c r="H247" t="str">
        <f>IF(RIGHT(tblTargets[[#This Row],[TargetID]],5)="maxed","",IF(tblTargets[[#This Row],[TargetType]]="BUILDING",_xlfn.XLOOKUP(tblTargets[[#This Row],[TargetID]],Targets!$M$2:$M$101,Targets!$K$2:$K$101),"Not a building"))</f>
        <v>Not a building</v>
      </c>
    </row>
    <row r="248" spans="1:8">
      <c r="A248" t="s">
        <v>2665</v>
      </c>
      <c r="B248" t="s">
        <v>2040</v>
      </c>
      <c r="C248" t="s">
        <v>2651</v>
      </c>
      <c r="D248" t="str">
        <f>IF(tblTargets[[#This Row],[TargetType]]="state",UPPER(_xlfn.TEXTBEFORE(_xlfn.TEXTAFTER(tblTargets[[#This Row],[TargetID]],"state."),"_")),"")</f>
        <v/>
      </c>
      <c r="E248" t="b">
        <v>1</v>
      </c>
      <c r="F248" t="s">
        <v>3599</v>
      </c>
      <c r="G248" t="str">
        <f>IF(RIGHT(tblTargets[[#This Row],[TargetID]],5)="maxed","",IF(tblTargets[[#This Row],[TargetType]]="BUILDING",_xlfn.XLOOKUP(tblTargets[[#This Row],[TargetID]],Targets!$Q$2:$Q$101,Targets!$O$2:$O$101),"Not a building"))</f>
        <v>Not a building</v>
      </c>
      <c r="H248" t="str">
        <f>IF(RIGHT(tblTargets[[#This Row],[TargetID]],5)="maxed","",IF(tblTargets[[#This Row],[TargetType]]="BUILDING",_xlfn.XLOOKUP(tblTargets[[#This Row],[TargetID]],Targets!$M$2:$M$101,Targets!$K$2:$K$101),"Not a building"))</f>
        <v>Not a building</v>
      </c>
    </row>
    <row r="249" spans="1:8">
      <c r="A249" t="s">
        <v>2666</v>
      </c>
      <c r="B249" t="s">
        <v>2041</v>
      </c>
      <c r="C249" t="s">
        <v>2651</v>
      </c>
      <c r="D249" t="str">
        <f>IF(tblTargets[[#This Row],[TargetType]]="state",UPPER(_xlfn.TEXTBEFORE(_xlfn.TEXTAFTER(tblTargets[[#This Row],[TargetID]],"state."),"_")),"")</f>
        <v/>
      </c>
      <c r="E249" t="b">
        <v>1</v>
      </c>
      <c r="F249" t="s">
        <v>3599</v>
      </c>
      <c r="G249" t="str">
        <f>IF(RIGHT(tblTargets[[#This Row],[TargetID]],5)="maxed","",IF(tblTargets[[#This Row],[TargetType]]="BUILDING",_xlfn.XLOOKUP(tblTargets[[#This Row],[TargetID]],Targets!$Q$2:$Q$101,Targets!$O$2:$O$101),"Not a building"))</f>
        <v>Not a building</v>
      </c>
      <c r="H249" t="str">
        <f>IF(RIGHT(tblTargets[[#This Row],[TargetID]],5)="maxed","",IF(tblTargets[[#This Row],[TargetType]]="BUILDING",_xlfn.XLOOKUP(tblTargets[[#This Row],[TargetID]],Targets!$M$2:$M$101,Targets!$K$2:$K$101),"Not a building"))</f>
        <v>Not a building</v>
      </c>
    </row>
    <row r="250" spans="1:8">
      <c r="A250" t="s">
        <v>2667</v>
      </c>
      <c r="B250" t="s">
        <v>2042</v>
      </c>
      <c r="C250" t="s">
        <v>2651</v>
      </c>
      <c r="D250" t="str">
        <f>IF(tblTargets[[#This Row],[TargetType]]="state",UPPER(_xlfn.TEXTBEFORE(_xlfn.TEXTAFTER(tblTargets[[#This Row],[TargetID]],"state."),"_")),"")</f>
        <v/>
      </c>
      <c r="E250" t="b">
        <v>1</v>
      </c>
      <c r="F250" t="s">
        <v>3599</v>
      </c>
      <c r="G250" t="str">
        <f>IF(RIGHT(tblTargets[[#This Row],[TargetID]],5)="maxed","",IF(tblTargets[[#This Row],[TargetType]]="BUILDING",_xlfn.XLOOKUP(tblTargets[[#This Row],[TargetID]],Targets!$Q$2:$Q$101,Targets!$O$2:$O$101),"Not a building"))</f>
        <v>Not a building</v>
      </c>
      <c r="H250" t="str">
        <f>IF(RIGHT(tblTargets[[#This Row],[TargetID]],5)="maxed","",IF(tblTargets[[#This Row],[TargetType]]="BUILDING",_xlfn.XLOOKUP(tblTargets[[#This Row],[TargetID]],Targets!$M$2:$M$101,Targets!$K$2:$K$101),"Not a building"))</f>
        <v>Not a building</v>
      </c>
    </row>
    <row r="251" spans="1:8">
      <c r="A251" t="s">
        <v>2668</v>
      </c>
      <c r="B251" t="s">
        <v>2043</v>
      </c>
      <c r="C251" t="s">
        <v>2651</v>
      </c>
      <c r="D251" t="str">
        <f>IF(tblTargets[[#This Row],[TargetType]]="state",UPPER(_xlfn.TEXTBEFORE(_xlfn.TEXTAFTER(tblTargets[[#This Row],[TargetID]],"state."),"_")),"")</f>
        <v/>
      </c>
      <c r="E251" t="b">
        <v>1</v>
      </c>
      <c r="F251" t="s">
        <v>3599</v>
      </c>
      <c r="G251" t="str">
        <f>IF(RIGHT(tblTargets[[#This Row],[TargetID]],5)="maxed","",IF(tblTargets[[#This Row],[TargetType]]="BUILDING",_xlfn.XLOOKUP(tblTargets[[#This Row],[TargetID]],Targets!$Q$2:$Q$101,Targets!$O$2:$O$101),"Not a building"))</f>
        <v>Not a building</v>
      </c>
      <c r="H251" t="str">
        <f>IF(RIGHT(tblTargets[[#This Row],[TargetID]],5)="maxed","",IF(tblTargets[[#This Row],[TargetType]]="BUILDING",_xlfn.XLOOKUP(tblTargets[[#This Row],[TargetID]],Targets!$M$2:$M$101,Targets!$K$2:$K$101),"Not a building"))</f>
        <v>Not a building</v>
      </c>
    </row>
    <row r="252" spans="1:8">
      <c r="A252" t="s">
        <v>2669</v>
      </c>
      <c r="B252" t="s">
        <v>2044</v>
      </c>
      <c r="C252" t="s">
        <v>2651</v>
      </c>
      <c r="D252" t="str">
        <f>IF(tblTargets[[#This Row],[TargetType]]="state",UPPER(_xlfn.TEXTBEFORE(_xlfn.TEXTAFTER(tblTargets[[#This Row],[TargetID]],"state."),"_")),"")</f>
        <v/>
      </c>
      <c r="E252" t="b">
        <v>1</v>
      </c>
      <c r="F252" t="s">
        <v>3599</v>
      </c>
      <c r="G252" t="str">
        <f>IF(RIGHT(tblTargets[[#This Row],[TargetID]],5)="maxed","",IF(tblTargets[[#This Row],[TargetType]]="BUILDING",_xlfn.XLOOKUP(tblTargets[[#This Row],[TargetID]],Targets!$Q$2:$Q$101,Targets!$O$2:$O$101),"Not a building"))</f>
        <v>Not a building</v>
      </c>
      <c r="H252" t="str">
        <f>IF(RIGHT(tblTargets[[#This Row],[TargetID]],5)="maxed","",IF(tblTargets[[#This Row],[TargetType]]="BUILDING",_xlfn.XLOOKUP(tblTargets[[#This Row],[TargetID]],Targets!$M$2:$M$101,Targets!$K$2:$K$101),"Not a building"))</f>
        <v>Not a building</v>
      </c>
    </row>
    <row r="253" spans="1:8">
      <c r="A253" t="s">
        <v>2670</v>
      </c>
      <c r="B253" t="s">
        <v>2045</v>
      </c>
      <c r="C253" t="s">
        <v>2651</v>
      </c>
      <c r="D253" t="str">
        <f>IF(tblTargets[[#This Row],[TargetType]]="state",UPPER(_xlfn.TEXTBEFORE(_xlfn.TEXTAFTER(tblTargets[[#This Row],[TargetID]],"state."),"_")),"")</f>
        <v/>
      </c>
      <c r="E253" t="b">
        <v>1</v>
      </c>
      <c r="F253" t="s">
        <v>3599</v>
      </c>
      <c r="G253" t="str">
        <f>IF(RIGHT(tblTargets[[#This Row],[TargetID]],5)="maxed","",IF(tblTargets[[#This Row],[TargetType]]="BUILDING",_xlfn.XLOOKUP(tblTargets[[#This Row],[TargetID]],Targets!$Q$2:$Q$101,Targets!$O$2:$O$101),"Not a building"))</f>
        <v>Not a building</v>
      </c>
      <c r="H253" t="str">
        <f>IF(RIGHT(tblTargets[[#This Row],[TargetID]],5)="maxed","",IF(tblTargets[[#This Row],[TargetType]]="BUILDING",_xlfn.XLOOKUP(tblTargets[[#This Row],[TargetID]],Targets!$M$2:$M$101,Targets!$K$2:$K$101),"Not a building"))</f>
        <v>Not a building</v>
      </c>
    </row>
    <row r="254" spans="1:8">
      <c r="A254" t="s">
        <v>2281</v>
      </c>
      <c r="B254" t="s">
        <v>2284</v>
      </c>
      <c r="C254" t="s">
        <v>2282</v>
      </c>
      <c r="D254" t="str">
        <f>IF(tblTargets[[#This Row],[TargetType]]="state",UPPER(_xlfn.TEXTBEFORE(_xlfn.TEXTAFTER(tblTargets[[#This Row],[TargetID]],"state."),"_")),"")</f>
        <v/>
      </c>
      <c r="E254" t="b">
        <v>1</v>
      </c>
      <c r="F254" t="s">
        <v>3599</v>
      </c>
      <c r="G254" t="str">
        <f>IF(RIGHT(tblTargets[[#This Row],[TargetID]],5)="maxed","",IF(tblTargets[[#This Row],[TargetType]]="BUILDING",_xlfn.XLOOKUP(tblTargets[[#This Row],[TargetID]],Targets!$Q$2:$Q$101,Targets!$O$2:$O$101),"Not a building"))</f>
        <v>Not a building</v>
      </c>
      <c r="H254" t="str">
        <f>IF(RIGHT(tblTargets[[#This Row],[TargetID]],5)="maxed","",IF(tblTargets[[#This Row],[TargetType]]="BUILDING",_xlfn.XLOOKUP(tblTargets[[#This Row],[TargetID]],Targets!$M$2:$M$101,Targets!$K$2:$K$101),"Not a building"))</f>
        <v>Not a building</v>
      </c>
    </row>
    <row r="255" spans="1:8">
      <c r="A255" t="s">
        <v>2450</v>
      </c>
      <c r="B255" t="s">
        <v>2451</v>
      </c>
      <c r="C255" t="s">
        <v>2282</v>
      </c>
      <c r="D255" t="str">
        <f>IF(tblTargets[[#This Row],[TargetType]]="state",UPPER(_xlfn.TEXTBEFORE(_xlfn.TEXTAFTER(tblTargets[[#This Row],[TargetID]],"state."),"_")),"")</f>
        <v/>
      </c>
      <c r="E255" t="b">
        <v>1</v>
      </c>
      <c r="F255" t="s">
        <v>3599</v>
      </c>
      <c r="G255" t="str">
        <f>IF(RIGHT(tblTargets[[#This Row],[TargetID]],5)="maxed","",IF(tblTargets[[#This Row],[TargetType]]="BUILDING",_xlfn.XLOOKUP(tblTargets[[#This Row],[TargetID]],Targets!$Q$2:$Q$101,Targets!$O$2:$O$101),"Not a building"))</f>
        <v>Not a building</v>
      </c>
      <c r="H255" t="str">
        <f>IF(RIGHT(tblTargets[[#This Row],[TargetID]],5)="maxed","",IF(tblTargets[[#This Row],[TargetType]]="BUILDING",_xlfn.XLOOKUP(tblTargets[[#This Row],[TargetID]],Targets!$M$2:$M$101,Targets!$K$2:$K$101),"Not a building"))</f>
        <v>Not a building</v>
      </c>
    </row>
    <row r="256" spans="1:8">
      <c r="A256" t="s">
        <v>2285</v>
      </c>
      <c r="B256" t="s">
        <v>2287</v>
      </c>
      <c r="C256" t="s">
        <v>2282</v>
      </c>
      <c r="D256" t="str">
        <f>IF(tblTargets[[#This Row],[TargetType]]="state",UPPER(_xlfn.TEXTBEFORE(_xlfn.TEXTAFTER(tblTargets[[#This Row],[TargetID]],"state."),"_")),"")</f>
        <v/>
      </c>
      <c r="E256" t="b">
        <v>1</v>
      </c>
      <c r="F256" t="s">
        <v>3599</v>
      </c>
      <c r="G256" t="str">
        <f>IF(RIGHT(tblTargets[[#This Row],[TargetID]],5)="maxed","",IF(tblTargets[[#This Row],[TargetType]]="BUILDING",_xlfn.XLOOKUP(tblTargets[[#This Row],[TargetID]],Targets!$Q$2:$Q$101,Targets!$O$2:$O$101),"Not a building"))</f>
        <v>Not a building</v>
      </c>
      <c r="H256" t="str">
        <f>IF(RIGHT(tblTargets[[#This Row],[TargetID]],5)="maxed","",IF(tblTargets[[#This Row],[TargetType]]="BUILDING",_xlfn.XLOOKUP(tblTargets[[#This Row],[TargetID]],Targets!$M$2:$M$101,Targets!$K$2:$K$101),"Not a building"))</f>
        <v>Not a building</v>
      </c>
    </row>
    <row r="257" spans="1:8">
      <c r="A257" t="s">
        <v>2452</v>
      </c>
      <c r="B257" t="s">
        <v>2453</v>
      </c>
      <c r="C257" t="s">
        <v>2282</v>
      </c>
      <c r="D257" t="str">
        <f>IF(tblTargets[[#This Row],[TargetType]]="state",UPPER(_xlfn.TEXTBEFORE(_xlfn.TEXTAFTER(tblTargets[[#This Row],[TargetID]],"state."),"_")),"")</f>
        <v/>
      </c>
      <c r="E257" t="b">
        <v>1</v>
      </c>
      <c r="F257" t="s">
        <v>3599</v>
      </c>
      <c r="G257" t="str">
        <f>IF(RIGHT(tblTargets[[#This Row],[TargetID]],5)="maxed","",IF(tblTargets[[#This Row],[TargetType]]="BUILDING",_xlfn.XLOOKUP(tblTargets[[#This Row],[TargetID]],Targets!$Q$2:$Q$101,Targets!$O$2:$O$101),"Not a building"))</f>
        <v>Not a building</v>
      </c>
      <c r="H257" t="str">
        <f>IF(RIGHT(tblTargets[[#This Row],[TargetID]],5)="maxed","",IF(tblTargets[[#This Row],[TargetType]]="BUILDING",_xlfn.XLOOKUP(tblTargets[[#This Row],[TargetID]],Targets!$M$2:$M$101,Targets!$K$2:$K$101),"Not a building"))</f>
        <v>Not a building</v>
      </c>
    </row>
    <row r="258" spans="1:8">
      <c r="A258" t="s">
        <v>2288</v>
      </c>
      <c r="B258" t="s">
        <v>2290</v>
      </c>
      <c r="C258" t="s">
        <v>2282</v>
      </c>
      <c r="D258" t="str">
        <f>IF(tblTargets[[#This Row],[TargetType]]="state",UPPER(_xlfn.TEXTBEFORE(_xlfn.TEXTAFTER(tblTargets[[#This Row],[TargetID]],"state."),"_")),"")</f>
        <v/>
      </c>
      <c r="E258" t="b">
        <v>1</v>
      </c>
      <c r="F258" t="s">
        <v>3599</v>
      </c>
      <c r="G258" t="str">
        <f>IF(RIGHT(tblTargets[[#This Row],[TargetID]],5)="maxed","",IF(tblTargets[[#This Row],[TargetType]]="BUILDING",_xlfn.XLOOKUP(tblTargets[[#This Row],[TargetID]],Targets!$Q$2:$Q$101,Targets!$O$2:$O$101),"Not a building"))</f>
        <v>Not a building</v>
      </c>
      <c r="H258" t="str">
        <f>IF(RIGHT(tblTargets[[#This Row],[TargetID]],5)="maxed","",IF(tblTargets[[#This Row],[TargetType]]="BUILDING",_xlfn.XLOOKUP(tblTargets[[#This Row],[TargetID]],Targets!$M$2:$M$101,Targets!$K$2:$K$101),"Not a building"))</f>
        <v>Not a building</v>
      </c>
    </row>
    <row r="259" spans="1:8">
      <c r="A259" t="s">
        <v>2454</v>
      </c>
      <c r="B259" t="s">
        <v>2455</v>
      </c>
      <c r="C259" t="s">
        <v>2282</v>
      </c>
      <c r="D259" t="str">
        <f>IF(tblTargets[[#This Row],[TargetType]]="state",UPPER(_xlfn.TEXTBEFORE(_xlfn.TEXTAFTER(tblTargets[[#This Row],[TargetID]],"state."),"_")),"")</f>
        <v/>
      </c>
      <c r="E259" t="b">
        <v>1</v>
      </c>
      <c r="F259" t="s">
        <v>3599</v>
      </c>
      <c r="G259" t="str">
        <f>IF(RIGHT(tblTargets[[#This Row],[TargetID]],5)="maxed","",IF(tblTargets[[#This Row],[TargetType]]="BUILDING",_xlfn.XLOOKUP(tblTargets[[#This Row],[TargetID]],Targets!$Q$2:$Q$101,Targets!$O$2:$O$101),"Not a building"))</f>
        <v>Not a building</v>
      </c>
      <c r="H259" t="str">
        <f>IF(RIGHT(tblTargets[[#This Row],[TargetID]],5)="maxed","",IF(tblTargets[[#This Row],[TargetType]]="BUILDING",_xlfn.XLOOKUP(tblTargets[[#This Row],[TargetID]],Targets!$M$2:$M$101,Targets!$K$2:$K$101),"Not a building"))</f>
        <v>Not a building</v>
      </c>
    </row>
    <row r="260" spans="1:8">
      <c r="A260" t="s">
        <v>2291</v>
      </c>
      <c r="B260" t="s">
        <v>2293</v>
      </c>
      <c r="C260" t="s">
        <v>2282</v>
      </c>
      <c r="D260" t="str">
        <f>IF(tblTargets[[#This Row],[TargetType]]="state",UPPER(_xlfn.TEXTBEFORE(_xlfn.TEXTAFTER(tblTargets[[#This Row],[TargetID]],"state."),"_")),"")</f>
        <v/>
      </c>
      <c r="E260" t="b">
        <v>1</v>
      </c>
      <c r="F260" t="s">
        <v>3599</v>
      </c>
      <c r="G260" t="str">
        <f>IF(RIGHT(tblTargets[[#This Row],[TargetID]],5)="maxed","",IF(tblTargets[[#This Row],[TargetType]]="BUILDING",_xlfn.XLOOKUP(tblTargets[[#This Row],[TargetID]],Targets!$Q$2:$Q$101,Targets!$O$2:$O$101),"Not a building"))</f>
        <v>Not a building</v>
      </c>
      <c r="H260" t="str">
        <f>IF(RIGHT(tblTargets[[#This Row],[TargetID]],5)="maxed","",IF(tblTargets[[#This Row],[TargetType]]="BUILDING",_xlfn.XLOOKUP(tblTargets[[#This Row],[TargetID]],Targets!$M$2:$M$101,Targets!$K$2:$K$101),"Not a building"))</f>
        <v>Not a building</v>
      </c>
    </row>
    <row r="261" spans="1:8">
      <c r="A261" t="s">
        <v>2456</v>
      </c>
      <c r="B261" t="s">
        <v>2457</v>
      </c>
      <c r="C261" t="s">
        <v>2282</v>
      </c>
      <c r="D261" t="str">
        <f>IF(tblTargets[[#This Row],[TargetType]]="state",UPPER(_xlfn.TEXTBEFORE(_xlfn.TEXTAFTER(tblTargets[[#This Row],[TargetID]],"state."),"_")),"")</f>
        <v/>
      </c>
      <c r="E261" t="b">
        <v>1</v>
      </c>
      <c r="F261" t="s">
        <v>3599</v>
      </c>
      <c r="G261" t="str">
        <f>IF(RIGHT(tblTargets[[#This Row],[TargetID]],5)="maxed","",IF(tblTargets[[#This Row],[TargetType]]="BUILDING",_xlfn.XLOOKUP(tblTargets[[#This Row],[TargetID]],Targets!$Q$2:$Q$101,Targets!$O$2:$O$101),"Not a building"))</f>
        <v>Not a building</v>
      </c>
      <c r="H261" t="str">
        <f>IF(RIGHT(tblTargets[[#This Row],[TargetID]],5)="maxed","",IF(tblTargets[[#This Row],[TargetType]]="BUILDING",_xlfn.XLOOKUP(tblTargets[[#This Row],[TargetID]],Targets!$M$2:$M$101,Targets!$K$2:$K$101),"Not a building"))</f>
        <v>Not a building</v>
      </c>
    </row>
    <row r="262" spans="1:8">
      <c r="A262" t="s">
        <v>2294</v>
      </c>
      <c r="B262" t="s">
        <v>2296</v>
      </c>
      <c r="C262" t="s">
        <v>2282</v>
      </c>
      <c r="D262" t="str">
        <f>IF(tblTargets[[#This Row],[TargetType]]="state",UPPER(_xlfn.TEXTBEFORE(_xlfn.TEXTAFTER(tblTargets[[#This Row],[TargetID]],"state."),"_")),"")</f>
        <v/>
      </c>
      <c r="E262" t="b">
        <v>1</v>
      </c>
      <c r="F262" t="s">
        <v>3599</v>
      </c>
      <c r="G262" t="str">
        <f>IF(RIGHT(tblTargets[[#This Row],[TargetID]],5)="maxed","",IF(tblTargets[[#This Row],[TargetType]]="BUILDING",_xlfn.XLOOKUP(tblTargets[[#This Row],[TargetID]],Targets!$Q$2:$Q$101,Targets!$O$2:$O$101),"Not a building"))</f>
        <v>Not a building</v>
      </c>
      <c r="H262" t="str">
        <f>IF(RIGHT(tblTargets[[#This Row],[TargetID]],5)="maxed","",IF(tblTargets[[#This Row],[TargetType]]="BUILDING",_xlfn.XLOOKUP(tblTargets[[#This Row],[TargetID]],Targets!$M$2:$M$101,Targets!$K$2:$K$101),"Not a building"))</f>
        <v>Not a building</v>
      </c>
    </row>
    <row r="263" spans="1:8">
      <c r="A263" t="s">
        <v>2458</v>
      </c>
      <c r="B263" t="s">
        <v>2459</v>
      </c>
      <c r="C263" t="s">
        <v>2282</v>
      </c>
      <c r="D263" t="str">
        <f>IF(tblTargets[[#This Row],[TargetType]]="state",UPPER(_xlfn.TEXTBEFORE(_xlfn.TEXTAFTER(tblTargets[[#This Row],[TargetID]],"state."),"_")),"")</f>
        <v/>
      </c>
      <c r="E263" t="b">
        <v>1</v>
      </c>
      <c r="F263" t="s">
        <v>3599</v>
      </c>
      <c r="G263" t="str">
        <f>IF(RIGHT(tblTargets[[#This Row],[TargetID]],5)="maxed","",IF(tblTargets[[#This Row],[TargetType]]="BUILDING",_xlfn.XLOOKUP(tblTargets[[#This Row],[TargetID]],Targets!$Q$2:$Q$101,Targets!$O$2:$O$101),"Not a building"))</f>
        <v>Not a building</v>
      </c>
      <c r="H263" t="str">
        <f>IF(RIGHT(tblTargets[[#This Row],[TargetID]],5)="maxed","",IF(tblTargets[[#This Row],[TargetType]]="BUILDING",_xlfn.XLOOKUP(tblTargets[[#This Row],[TargetID]],Targets!$M$2:$M$101,Targets!$K$2:$K$101),"Not a building"))</f>
        <v>Not a building</v>
      </c>
    </row>
    <row r="264" spans="1:8">
      <c r="A264" t="s">
        <v>2297</v>
      </c>
      <c r="B264" t="s">
        <v>2299</v>
      </c>
      <c r="C264" t="s">
        <v>2282</v>
      </c>
      <c r="D264" t="str">
        <f>IF(tblTargets[[#This Row],[TargetType]]="state",UPPER(_xlfn.TEXTBEFORE(_xlfn.TEXTAFTER(tblTargets[[#This Row],[TargetID]],"state."),"_")),"")</f>
        <v/>
      </c>
      <c r="E264" t="b">
        <v>1</v>
      </c>
      <c r="F264" t="s">
        <v>3599</v>
      </c>
      <c r="G264" t="str">
        <f>IF(RIGHT(tblTargets[[#This Row],[TargetID]],5)="maxed","",IF(tblTargets[[#This Row],[TargetType]]="BUILDING",_xlfn.XLOOKUP(tblTargets[[#This Row],[TargetID]],Targets!$Q$2:$Q$101,Targets!$O$2:$O$101),"Not a building"))</f>
        <v>Not a building</v>
      </c>
      <c r="H264" t="str">
        <f>IF(RIGHT(tblTargets[[#This Row],[TargetID]],5)="maxed","",IF(tblTargets[[#This Row],[TargetType]]="BUILDING",_xlfn.XLOOKUP(tblTargets[[#This Row],[TargetID]],Targets!$M$2:$M$101,Targets!$K$2:$K$101),"Not a building"))</f>
        <v>Not a building</v>
      </c>
    </row>
    <row r="265" spans="1:8">
      <c r="A265" t="s">
        <v>2460</v>
      </c>
      <c r="B265" t="s">
        <v>2461</v>
      </c>
      <c r="C265" t="s">
        <v>2282</v>
      </c>
      <c r="D265" t="str">
        <f>IF(tblTargets[[#This Row],[TargetType]]="state",UPPER(_xlfn.TEXTBEFORE(_xlfn.TEXTAFTER(tblTargets[[#This Row],[TargetID]],"state."),"_")),"")</f>
        <v/>
      </c>
      <c r="E265" t="b">
        <v>1</v>
      </c>
      <c r="F265" t="s">
        <v>3599</v>
      </c>
      <c r="G265" t="str">
        <f>IF(RIGHT(tblTargets[[#This Row],[TargetID]],5)="maxed","",IF(tblTargets[[#This Row],[TargetType]]="BUILDING",_xlfn.XLOOKUP(tblTargets[[#This Row],[TargetID]],Targets!$Q$2:$Q$101,Targets!$O$2:$O$101),"Not a building"))</f>
        <v>Not a building</v>
      </c>
      <c r="H265" t="str">
        <f>IF(RIGHT(tblTargets[[#This Row],[TargetID]],5)="maxed","",IF(tblTargets[[#This Row],[TargetType]]="BUILDING",_xlfn.XLOOKUP(tblTargets[[#This Row],[TargetID]],Targets!$M$2:$M$101,Targets!$K$2:$K$101),"Not a building"))</f>
        <v>Not a building</v>
      </c>
    </row>
    <row r="266" spans="1:8">
      <c r="A266" t="s">
        <v>2300</v>
      </c>
      <c r="B266" t="s">
        <v>2302</v>
      </c>
      <c r="C266" t="s">
        <v>2282</v>
      </c>
      <c r="D266" t="str">
        <f>IF(tblTargets[[#This Row],[TargetType]]="state",UPPER(_xlfn.TEXTBEFORE(_xlfn.TEXTAFTER(tblTargets[[#This Row],[TargetID]],"state."),"_")),"")</f>
        <v/>
      </c>
      <c r="E266" t="b">
        <v>1</v>
      </c>
      <c r="F266" t="s">
        <v>3599</v>
      </c>
      <c r="G266" t="str">
        <f>IF(RIGHT(tblTargets[[#This Row],[TargetID]],5)="maxed","",IF(tblTargets[[#This Row],[TargetType]]="BUILDING",_xlfn.XLOOKUP(tblTargets[[#This Row],[TargetID]],Targets!$Q$2:$Q$101,Targets!$O$2:$O$101),"Not a building"))</f>
        <v>Not a building</v>
      </c>
      <c r="H266" t="str">
        <f>IF(RIGHT(tblTargets[[#This Row],[TargetID]],5)="maxed","",IF(tblTargets[[#This Row],[TargetType]]="BUILDING",_xlfn.XLOOKUP(tblTargets[[#This Row],[TargetID]],Targets!$M$2:$M$101,Targets!$K$2:$K$101),"Not a building"))</f>
        <v>Not a building</v>
      </c>
    </row>
    <row r="267" spans="1:8">
      <c r="A267" t="s">
        <v>2462</v>
      </c>
      <c r="B267" t="s">
        <v>2463</v>
      </c>
      <c r="C267" t="s">
        <v>2282</v>
      </c>
      <c r="D267" t="str">
        <f>IF(tblTargets[[#This Row],[TargetType]]="state",UPPER(_xlfn.TEXTBEFORE(_xlfn.TEXTAFTER(tblTargets[[#This Row],[TargetID]],"state."),"_")),"")</f>
        <v/>
      </c>
      <c r="E267" t="b">
        <v>1</v>
      </c>
      <c r="F267" t="s">
        <v>3599</v>
      </c>
      <c r="G267" t="str">
        <f>IF(RIGHT(tblTargets[[#This Row],[TargetID]],5)="maxed","",IF(tblTargets[[#This Row],[TargetType]]="BUILDING",_xlfn.XLOOKUP(tblTargets[[#This Row],[TargetID]],Targets!$Q$2:$Q$101,Targets!$O$2:$O$101),"Not a building"))</f>
        <v>Not a building</v>
      </c>
      <c r="H267" t="str">
        <f>IF(RIGHT(tblTargets[[#This Row],[TargetID]],5)="maxed","",IF(tblTargets[[#This Row],[TargetType]]="BUILDING",_xlfn.XLOOKUP(tblTargets[[#This Row],[TargetID]],Targets!$M$2:$M$101,Targets!$K$2:$K$101),"Not a building"))</f>
        <v>Not a building</v>
      </c>
    </row>
    <row r="268" spans="1:8">
      <c r="A268" t="s">
        <v>2303</v>
      </c>
      <c r="B268" t="s">
        <v>2305</v>
      </c>
      <c r="C268" t="s">
        <v>2282</v>
      </c>
      <c r="D268" t="str">
        <f>IF(tblTargets[[#This Row],[TargetType]]="state",UPPER(_xlfn.TEXTBEFORE(_xlfn.TEXTAFTER(tblTargets[[#This Row],[TargetID]],"state."),"_")),"")</f>
        <v/>
      </c>
      <c r="E268" t="b">
        <v>1</v>
      </c>
      <c r="F268" t="s">
        <v>3599</v>
      </c>
      <c r="G268" t="str">
        <f>IF(RIGHT(tblTargets[[#This Row],[TargetID]],5)="maxed","",IF(tblTargets[[#This Row],[TargetType]]="BUILDING",_xlfn.XLOOKUP(tblTargets[[#This Row],[TargetID]],Targets!$Q$2:$Q$101,Targets!$O$2:$O$101),"Not a building"))</f>
        <v>Not a building</v>
      </c>
      <c r="H268" t="str">
        <f>IF(RIGHT(tblTargets[[#This Row],[TargetID]],5)="maxed","",IF(tblTargets[[#This Row],[TargetType]]="BUILDING",_xlfn.XLOOKUP(tblTargets[[#This Row],[TargetID]],Targets!$M$2:$M$101,Targets!$K$2:$K$101),"Not a building"))</f>
        <v>Not a building</v>
      </c>
    </row>
    <row r="269" spans="1:8">
      <c r="A269" t="s">
        <v>2464</v>
      </c>
      <c r="B269" t="s">
        <v>2465</v>
      </c>
      <c r="C269" t="s">
        <v>2282</v>
      </c>
      <c r="D269" t="str">
        <f>IF(tblTargets[[#This Row],[TargetType]]="state",UPPER(_xlfn.TEXTBEFORE(_xlfn.TEXTAFTER(tblTargets[[#This Row],[TargetID]],"state."),"_")),"")</f>
        <v/>
      </c>
      <c r="E269" t="b">
        <v>1</v>
      </c>
      <c r="F269" t="s">
        <v>3599</v>
      </c>
      <c r="G269" t="str">
        <f>IF(RIGHT(tblTargets[[#This Row],[TargetID]],5)="maxed","",IF(tblTargets[[#This Row],[TargetType]]="BUILDING",_xlfn.XLOOKUP(tblTargets[[#This Row],[TargetID]],Targets!$Q$2:$Q$101,Targets!$O$2:$O$101),"Not a building"))</f>
        <v>Not a building</v>
      </c>
      <c r="H269" t="str">
        <f>IF(RIGHT(tblTargets[[#This Row],[TargetID]],5)="maxed","",IF(tblTargets[[#This Row],[TargetType]]="BUILDING",_xlfn.XLOOKUP(tblTargets[[#This Row],[TargetID]],Targets!$M$2:$M$101,Targets!$K$2:$K$101),"Not a building"))</f>
        <v>Not a building</v>
      </c>
    </row>
    <row r="270" spans="1:8">
      <c r="A270" t="s">
        <v>2306</v>
      </c>
      <c r="B270" t="s">
        <v>2308</v>
      </c>
      <c r="C270" t="s">
        <v>2282</v>
      </c>
      <c r="D270" t="str">
        <f>IF(tblTargets[[#This Row],[TargetType]]="state",UPPER(_xlfn.TEXTBEFORE(_xlfn.TEXTAFTER(tblTargets[[#This Row],[TargetID]],"state."),"_")),"")</f>
        <v/>
      </c>
      <c r="E270" t="b">
        <v>1</v>
      </c>
      <c r="F270" t="s">
        <v>3599</v>
      </c>
      <c r="G270" t="str">
        <f>IF(RIGHT(tblTargets[[#This Row],[TargetID]],5)="maxed","",IF(tblTargets[[#This Row],[TargetType]]="BUILDING",_xlfn.XLOOKUP(tblTargets[[#This Row],[TargetID]],Targets!$Q$2:$Q$101,Targets!$O$2:$O$101),"Not a building"))</f>
        <v>Not a building</v>
      </c>
      <c r="H270" t="str">
        <f>IF(RIGHT(tblTargets[[#This Row],[TargetID]],5)="maxed","",IF(tblTargets[[#This Row],[TargetType]]="BUILDING",_xlfn.XLOOKUP(tblTargets[[#This Row],[TargetID]],Targets!$M$2:$M$101,Targets!$K$2:$K$101),"Not a building"))</f>
        <v>Not a building</v>
      </c>
    </row>
    <row r="271" spans="1:8">
      <c r="A271" t="s">
        <v>2466</v>
      </c>
      <c r="B271" t="s">
        <v>2467</v>
      </c>
      <c r="C271" t="s">
        <v>2282</v>
      </c>
      <c r="D271" t="str">
        <f>IF(tblTargets[[#This Row],[TargetType]]="state",UPPER(_xlfn.TEXTBEFORE(_xlfn.TEXTAFTER(tblTargets[[#This Row],[TargetID]],"state."),"_")),"")</f>
        <v/>
      </c>
      <c r="E271" t="b">
        <v>1</v>
      </c>
      <c r="F271" t="s">
        <v>3599</v>
      </c>
      <c r="G271" t="str">
        <f>IF(RIGHT(tblTargets[[#This Row],[TargetID]],5)="maxed","",IF(tblTargets[[#This Row],[TargetType]]="BUILDING",_xlfn.XLOOKUP(tblTargets[[#This Row],[TargetID]],Targets!$Q$2:$Q$101,Targets!$O$2:$O$101),"Not a building"))</f>
        <v>Not a building</v>
      </c>
      <c r="H271" t="str">
        <f>IF(RIGHT(tblTargets[[#This Row],[TargetID]],5)="maxed","",IF(tblTargets[[#This Row],[TargetType]]="BUILDING",_xlfn.XLOOKUP(tblTargets[[#This Row],[TargetID]],Targets!$M$2:$M$101,Targets!$K$2:$K$101),"Not a building"))</f>
        <v>Not a building</v>
      </c>
    </row>
    <row r="272" spans="1:8">
      <c r="A272" t="s">
        <v>2309</v>
      </c>
      <c r="B272" t="s">
        <v>2311</v>
      </c>
      <c r="C272" t="s">
        <v>2282</v>
      </c>
      <c r="D272" t="str">
        <f>IF(tblTargets[[#This Row],[TargetType]]="state",UPPER(_xlfn.TEXTBEFORE(_xlfn.TEXTAFTER(tblTargets[[#This Row],[TargetID]],"state."),"_")),"")</f>
        <v/>
      </c>
      <c r="E272" t="b">
        <v>1</v>
      </c>
      <c r="F272" t="s">
        <v>3599</v>
      </c>
      <c r="G272" t="str">
        <f>IF(RIGHT(tblTargets[[#This Row],[TargetID]],5)="maxed","",IF(tblTargets[[#This Row],[TargetType]]="BUILDING",_xlfn.XLOOKUP(tblTargets[[#This Row],[TargetID]],Targets!$Q$2:$Q$101,Targets!$O$2:$O$101),"Not a building"))</f>
        <v>Not a building</v>
      </c>
      <c r="H272" t="str">
        <f>IF(RIGHT(tblTargets[[#This Row],[TargetID]],5)="maxed","",IF(tblTargets[[#This Row],[TargetType]]="BUILDING",_xlfn.XLOOKUP(tblTargets[[#This Row],[TargetID]],Targets!$M$2:$M$101,Targets!$K$2:$K$101),"Not a building"))</f>
        <v>Not a building</v>
      </c>
    </row>
    <row r="273" spans="1:8">
      <c r="A273" t="s">
        <v>2468</v>
      </c>
      <c r="B273" t="s">
        <v>2469</v>
      </c>
      <c r="C273" t="s">
        <v>2282</v>
      </c>
      <c r="D273" t="str">
        <f>IF(tblTargets[[#This Row],[TargetType]]="state",UPPER(_xlfn.TEXTBEFORE(_xlfn.TEXTAFTER(tblTargets[[#This Row],[TargetID]],"state."),"_")),"")</f>
        <v/>
      </c>
      <c r="E273" t="b">
        <v>1</v>
      </c>
      <c r="F273" t="s">
        <v>3599</v>
      </c>
      <c r="G273" t="str">
        <f>IF(RIGHT(tblTargets[[#This Row],[TargetID]],5)="maxed","",IF(tblTargets[[#This Row],[TargetType]]="BUILDING",_xlfn.XLOOKUP(tblTargets[[#This Row],[TargetID]],Targets!$Q$2:$Q$101,Targets!$O$2:$O$101),"Not a building"))</f>
        <v>Not a building</v>
      </c>
      <c r="H273" t="str">
        <f>IF(RIGHT(tblTargets[[#This Row],[TargetID]],5)="maxed","",IF(tblTargets[[#This Row],[TargetType]]="BUILDING",_xlfn.XLOOKUP(tblTargets[[#This Row],[TargetID]],Targets!$M$2:$M$101,Targets!$K$2:$K$101),"Not a building"))</f>
        <v>Not a building</v>
      </c>
    </row>
    <row r="274" spans="1:8">
      <c r="A274" t="s">
        <v>2315</v>
      </c>
      <c r="B274" t="s">
        <v>2317</v>
      </c>
      <c r="C274" t="s">
        <v>2282</v>
      </c>
      <c r="D274" t="str">
        <f>IF(tblTargets[[#This Row],[TargetType]]="state",UPPER(_xlfn.TEXTBEFORE(_xlfn.TEXTAFTER(tblTargets[[#This Row],[TargetID]],"state."),"_")),"")</f>
        <v/>
      </c>
      <c r="E274" t="b">
        <v>1</v>
      </c>
      <c r="F274" t="s">
        <v>3599</v>
      </c>
      <c r="G274" t="str">
        <f>IF(RIGHT(tblTargets[[#This Row],[TargetID]],5)="maxed","",IF(tblTargets[[#This Row],[TargetType]]="BUILDING",_xlfn.XLOOKUP(tblTargets[[#This Row],[TargetID]],Targets!$Q$2:$Q$101,Targets!$O$2:$O$101),"Not a building"))</f>
        <v>Not a building</v>
      </c>
      <c r="H274" t="str">
        <f>IF(RIGHT(tblTargets[[#This Row],[TargetID]],5)="maxed","",IF(tblTargets[[#This Row],[TargetType]]="BUILDING",_xlfn.XLOOKUP(tblTargets[[#This Row],[TargetID]],Targets!$M$2:$M$101,Targets!$K$2:$K$101),"Not a building"))</f>
        <v>Not a building</v>
      </c>
    </row>
    <row r="275" spans="1:8">
      <c r="A275" t="s">
        <v>2472</v>
      </c>
      <c r="B275" t="s">
        <v>2473</v>
      </c>
      <c r="C275" t="s">
        <v>2282</v>
      </c>
      <c r="D275" t="str">
        <f>IF(tblTargets[[#This Row],[TargetType]]="state",UPPER(_xlfn.TEXTBEFORE(_xlfn.TEXTAFTER(tblTargets[[#This Row],[TargetID]],"state."),"_")),"")</f>
        <v/>
      </c>
      <c r="E275" t="b">
        <v>1</v>
      </c>
      <c r="F275" t="s">
        <v>3599</v>
      </c>
      <c r="G275" t="str">
        <f>IF(RIGHT(tblTargets[[#This Row],[TargetID]],5)="maxed","",IF(tblTargets[[#This Row],[TargetType]]="BUILDING",_xlfn.XLOOKUP(tblTargets[[#This Row],[TargetID]],Targets!$Q$2:$Q$101,Targets!$O$2:$O$101),"Not a building"))</f>
        <v>Not a building</v>
      </c>
      <c r="H275" t="str">
        <f>IF(RIGHT(tblTargets[[#This Row],[TargetID]],5)="maxed","",IF(tblTargets[[#This Row],[TargetType]]="BUILDING",_xlfn.XLOOKUP(tblTargets[[#This Row],[TargetID]],Targets!$M$2:$M$101,Targets!$K$2:$K$101),"Not a building"))</f>
        <v>Not a building</v>
      </c>
    </row>
    <row r="276" spans="1:8">
      <c r="A276" t="s">
        <v>2312</v>
      </c>
      <c r="B276" t="s">
        <v>2314</v>
      </c>
      <c r="C276" t="s">
        <v>2282</v>
      </c>
      <c r="D276" t="str">
        <f>IF(tblTargets[[#This Row],[TargetType]]="state",UPPER(_xlfn.TEXTBEFORE(_xlfn.TEXTAFTER(tblTargets[[#This Row],[TargetID]],"state."),"_")),"")</f>
        <v/>
      </c>
      <c r="E276" t="b">
        <v>1</v>
      </c>
      <c r="F276" t="s">
        <v>3599</v>
      </c>
      <c r="G276" t="str">
        <f>IF(RIGHT(tblTargets[[#This Row],[TargetID]],5)="maxed","",IF(tblTargets[[#This Row],[TargetType]]="BUILDING",_xlfn.XLOOKUP(tblTargets[[#This Row],[TargetID]],Targets!$Q$2:$Q$101,Targets!$O$2:$O$101),"Not a building"))</f>
        <v>Not a building</v>
      </c>
      <c r="H276" t="str">
        <f>IF(RIGHT(tblTargets[[#This Row],[TargetID]],5)="maxed","",IF(tblTargets[[#This Row],[TargetType]]="BUILDING",_xlfn.XLOOKUP(tblTargets[[#This Row],[TargetID]],Targets!$M$2:$M$101,Targets!$K$2:$K$101),"Not a building"))</f>
        <v>Not a building</v>
      </c>
    </row>
    <row r="277" spans="1:8">
      <c r="A277" t="s">
        <v>2470</v>
      </c>
      <c r="B277" t="s">
        <v>2471</v>
      </c>
      <c r="C277" t="s">
        <v>2282</v>
      </c>
      <c r="D277" t="str">
        <f>IF(tblTargets[[#This Row],[TargetType]]="state",UPPER(_xlfn.TEXTBEFORE(_xlfn.TEXTAFTER(tblTargets[[#This Row],[TargetID]],"state."),"_")),"")</f>
        <v/>
      </c>
      <c r="E277" t="b">
        <v>1</v>
      </c>
      <c r="F277" t="s">
        <v>3599</v>
      </c>
      <c r="G277" t="str">
        <f>IF(RIGHT(tblTargets[[#This Row],[TargetID]],5)="maxed","",IF(tblTargets[[#This Row],[TargetType]]="BUILDING",_xlfn.XLOOKUP(tblTargets[[#This Row],[TargetID]],Targets!$Q$2:$Q$101,Targets!$O$2:$O$101),"Not a building"))</f>
        <v>Not a building</v>
      </c>
      <c r="H277" t="str">
        <f>IF(RIGHT(tblTargets[[#This Row],[TargetID]],5)="maxed","",IF(tblTargets[[#This Row],[TargetType]]="BUILDING",_xlfn.XLOOKUP(tblTargets[[#This Row],[TargetID]],Targets!$M$2:$M$101,Targets!$K$2:$K$101),"Not a building"))</f>
        <v>Not a building</v>
      </c>
    </row>
    <row r="278" spans="1:8">
      <c r="A278" t="s">
        <v>2318</v>
      </c>
      <c r="B278" t="s">
        <v>2320</v>
      </c>
      <c r="C278" t="s">
        <v>2282</v>
      </c>
      <c r="D278" t="str">
        <f>IF(tblTargets[[#This Row],[TargetType]]="state",UPPER(_xlfn.TEXTBEFORE(_xlfn.TEXTAFTER(tblTargets[[#This Row],[TargetID]],"state."),"_")),"")</f>
        <v/>
      </c>
      <c r="E278" t="b">
        <v>1</v>
      </c>
      <c r="F278" t="s">
        <v>3599</v>
      </c>
      <c r="G278" t="str">
        <f>IF(RIGHT(tblTargets[[#This Row],[TargetID]],5)="maxed","",IF(tblTargets[[#This Row],[TargetType]]="BUILDING",_xlfn.XLOOKUP(tblTargets[[#This Row],[TargetID]],Targets!$Q$2:$Q$101,Targets!$O$2:$O$101),"Not a building"))</f>
        <v>Not a building</v>
      </c>
      <c r="H278" t="str">
        <f>IF(RIGHT(tblTargets[[#This Row],[TargetID]],5)="maxed","",IF(tblTargets[[#This Row],[TargetType]]="BUILDING",_xlfn.XLOOKUP(tblTargets[[#This Row],[TargetID]],Targets!$M$2:$M$101,Targets!$K$2:$K$101),"Not a building"))</f>
        <v>Not a building</v>
      </c>
    </row>
    <row r="279" spans="1:8">
      <c r="A279" t="s">
        <v>2474</v>
      </c>
      <c r="B279" t="s">
        <v>2475</v>
      </c>
      <c r="C279" t="s">
        <v>2282</v>
      </c>
      <c r="D279" t="str">
        <f>IF(tblTargets[[#This Row],[TargetType]]="state",UPPER(_xlfn.TEXTBEFORE(_xlfn.TEXTAFTER(tblTargets[[#This Row],[TargetID]],"state."),"_")),"")</f>
        <v/>
      </c>
      <c r="E279" t="b">
        <v>1</v>
      </c>
      <c r="F279" t="s">
        <v>3599</v>
      </c>
      <c r="G279" t="str">
        <f>IF(RIGHT(tblTargets[[#This Row],[TargetID]],5)="maxed","",IF(tblTargets[[#This Row],[TargetType]]="BUILDING",_xlfn.XLOOKUP(tblTargets[[#This Row],[TargetID]],Targets!$Q$2:$Q$101,Targets!$O$2:$O$101),"Not a building"))</f>
        <v>Not a building</v>
      </c>
      <c r="H279" t="str">
        <f>IF(RIGHT(tblTargets[[#This Row],[TargetID]],5)="maxed","",IF(tblTargets[[#This Row],[TargetType]]="BUILDING",_xlfn.XLOOKUP(tblTargets[[#This Row],[TargetID]],Targets!$M$2:$M$101,Targets!$K$2:$K$101),"Not a building"))</f>
        <v>Not a building</v>
      </c>
    </row>
    <row r="280" spans="1:8">
      <c r="A280" t="s">
        <v>2321</v>
      </c>
      <c r="B280" t="s">
        <v>2323</v>
      </c>
      <c r="C280" t="s">
        <v>2282</v>
      </c>
      <c r="D280" t="str">
        <f>IF(tblTargets[[#This Row],[TargetType]]="state",UPPER(_xlfn.TEXTBEFORE(_xlfn.TEXTAFTER(tblTargets[[#This Row],[TargetID]],"state."),"_")),"")</f>
        <v/>
      </c>
      <c r="E280" t="b">
        <v>1</v>
      </c>
      <c r="F280" t="s">
        <v>3599</v>
      </c>
      <c r="G280" t="str">
        <f>IF(RIGHT(tblTargets[[#This Row],[TargetID]],5)="maxed","",IF(tblTargets[[#This Row],[TargetType]]="BUILDING",_xlfn.XLOOKUP(tblTargets[[#This Row],[TargetID]],Targets!$Q$2:$Q$101,Targets!$O$2:$O$101),"Not a building"))</f>
        <v>Not a building</v>
      </c>
      <c r="H280" t="str">
        <f>IF(RIGHT(tblTargets[[#This Row],[TargetID]],5)="maxed","",IF(tblTargets[[#This Row],[TargetType]]="BUILDING",_xlfn.XLOOKUP(tblTargets[[#This Row],[TargetID]],Targets!$M$2:$M$101,Targets!$K$2:$K$101),"Not a building"))</f>
        <v>Not a building</v>
      </c>
    </row>
    <row r="281" spans="1:8">
      <c r="A281" t="s">
        <v>2476</v>
      </c>
      <c r="B281" t="s">
        <v>2477</v>
      </c>
      <c r="C281" t="s">
        <v>2282</v>
      </c>
      <c r="D281" t="str">
        <f>IF(tblTargets[[#This Row],[TargetType]]="state",UPPER(_xlfn.TEXTBEFORE(_xlfn.TEXTAFTER(tblTargets[[#This Row],[TargetID]],"state."),"_")),"")</f>
        <v/>
      </c>
      <c r="E281" t="b">
        <v>1</v>
      </c>
      <c r="F281" t="s">
        <v>3599</v>
      </c>
      <c r="G281" t="str">
        <f>IF(RIGHT(tblTargets[[#This Row],[TargetID]],5)="maxed","",IF(tblTargets[[#This Row],[TargetType]]="BUILDING",_xlfn.XLOOKUP(tblTargets[[#This Row],[TargetID]],Targets!$Q$2:$Q$101,Targets!$O$2:$O$101),"Not a building"))</f>
        <v>Not a building</v>
      </c>
      <c r="H281" t="str">
        <f>IF(RIGHT(tblTargets[[#This Row],[TargetID]],5)="maxed","",IF(tblTargets[[#This Row],[TargetType]]="BUILDING",_xlfn.XLOOKUP(tblTargets[[#This Row],[TargetID]],Targets!$M$2:$M$101,Targets!$K$2:$K$101),"Not a building"))</f>
        <v>Not a building</v>
      </c>
    </row>
    <row r="282" spans="1:8">
      <c r="A282" t="s">
        <v>2324</v>
      </c>
      <c r="B282" t="s">
        <v>2326</v>
      </c>
      <c r="C282" t="s">
        <v>2282</v>
      </c>
      <c r="D282" t="str">
        <f>IF(tblTargets[[#This Row],[TargetType]]="state",UPPER(_xlfn.TEXTBEFORE(_xlfn.TEXTAFTER(tblTargets[[#This Row],[TargetID]],"state."),"_")),"")</f>
        <v/>
      </c>
      <c r="E282" t="b">
        <v>1</v>
      </c>
      <c r="F282" t="s">
        <v>3599</v>
      </c>
      <c r="G282" t="str">
        <f>IF(RIGHT(tblTargets[[#This Row],[TargetID]],5)="maxed","",IF(tblTargets[[#This Row],[TargetType]]="BUILDING",_xlfn.XLOOKUP(tblTargets[[#This Row],[TargetID]],Targets!$Q$2:$Q$101,Targets!$O$2:$O$101),"Not a building"))</f>
        <v>Not a building</v>
      </c>
      <c r="H282" t="str">
        <f>IF(RIGHT(tblTargets[[#This Row],[TargetID]],5)="maxed","",IF(tblTargets[[#This Row],[TargetType]]="BUILDING",_xlfn.XLOOKUP(tblTargets[[#This Row],[TargetID]],Targets!$M$2:$M$101,Targets!$K$2:$K$101),"Not a building"))</f>
        <v>Not a building</v>
      </c>
    </row>
    <row r="283" spans="1:8">
      <c r="A283" t="s">
        <v>2478</v>
      </c>
      <c r="B283" t="s">
        <v>2479</v>
      </c>
      <c r="C283" t="s">
        <v>2282</v>
      </c>
      <c r="D283" t="str">
        <f>IF(tblTargets[[#This Row],[TargetType]]="state",UPPER(_xlfn.TEXTBEFORE(_xlfn.TEXTAFTER(tblTargets[[#This Row],[TargetID]],"state."),"_")),"")</f>
        <v/>
      </c>
      <c r="E283" t="b">
        <v>1</v>
      </c>
      <c r="F283" t="s">
        <v>3599</v>
      </c>
      <c r="G283" t="str">
        <f>IF(RIGHT(tblTargets[[#This Row],[TargetID]],5)="maxed","",IF(tblTargets[[#This Row],[TargetType]]="BUILDING",_xlfn.XLOOKUP(tblTargets[[#This Row],[TargetID]],Targets!$Q$2:$Q$101,Targets!$O$2:$O$101),"Not a building"))</f>
        <v>Not a building</v>
      </c>
      <c r="H283" t="str">
        <f>IF(RIGHT(tblTargets[[#This Row],[TargetID]],5)="maxed","",IF(tblTargets[[#This Row],[TargetType]]="BUILDING",_xlfn.XLOOKUP(tblTargets[[#This Row],[TargetID]],Targets!$M$2:$M$101,Targets!$K$2:$K$101),"Not a building"))</f>
        <v>Not a building</v>
      </c>
    </row>
    <row r="284" spans="1:8">
      <c r="A284" s="5" t="s">
        <v>5588</v>
      </c>
      <c r="B284" t="s">
        <v>5622</v>
      </c>
      <c r="C284" t="s">
        <v>2282</v>
      </c>
      <c r="D284" t="str">
        <f>IF(tblTargets[[#This Row],[TargetType]]="state",UPPER(_xlfn.TEXTBEFORE(_xlfn.TEXTAFTER(tblTargets[[#This Row],[TargetID]],"state."),"_")),"")</f>
        <v/>
      </c>
      <c r="E284" t="b">
        <v>1</v>
      </c>
      <c r="F284" t="s">
        <v>3599</v>
      </c>
      <c r="G284" t="str">
        <f>IF(RIGHT(tblTargets[[#This Row],[TargetID]],5)="maxed","",IF(tblTargets[[#This Row],[TargetType]]="BUILDING",_xlfn.XLOOKUP(tblTargets[[#This Row],[TargetID]],Targets!$Q$2:$Q$101,Targets!$O$2:$O$101),"Not a building"))</f>
        <v>Not a building</v>
      </c>
      <c r="H284" t="str">
        <f>IF(RIGHT(tblTargets[[#This Row],[TargetID]],5)="maxed","",IF(tblTargets[[#This Row],[TargetType]]="BUILDING",_xlfn.XLOOKUP(tblTargets[[#This Row],[TargetID]],Targets!$M$2:$M$101,Targets!$K$2:$K$101),"Not a building"))</f>
        <v>Not a building</v>
      </c>
    </row>
    <row r="285" spans="1:8">
      <c r="A285" s="5" t="s">
        <v>5587</v>
      </c>
      <c r="B285" t="s">
        <v>5793</v>
      </c>
      <c r="C285" t="s">
        <v>2282</v>
      </c>
      <c r="D285" t="str">
        <f>IF(tblTargets[[#This Row],[TargetType]]="state",UPPER(_xlfn.TEXTBEFORE(_xlfn.TEXTAFTER(tblTargets[[#This Row],[TargetID]],"state."),"_")),"")</f>
        <v/>
      </c>
      <c r="E285" t="b">
        <v>1</v>
      </c>
      <c r="F285" t="s">
        <v>3599</v>
      </c>
      <c r="G285" t="str">
        <f>IF(RIGHT(tblTargets[[#This Row],[TargetID]],5)="maxed","",IF(tblTargets[[#This Row],[TargetType]]="BUILDING",_xlfn.XLOOKUP(tblTargets[[#This Row],[TargetID]],Targets!$Q$2:$Q$101,Targets!$O$2:$O$101),"Not a building"))</f>
        <v>Not a building</v>
      </c>
      <c r="H285" t="str">
        <f>IF(RIGHT(tblTargets[[#This Row],[TargetID]],5)="maxed","",IF(tblTargets[[#This Row],[TargetType]]="BUILDING",_xlfn.XLOOKUP(tblTargets[[#This Row],[TargetID]],Targets!$M$2:$M$101,Targets!$K$2:$K$101),"Not a building"))</f>
        <v>Not a building</v>
      </c>
    </row>
    <row r="286" spans="1:8">
      <c r="A286" t="s">
        <v>2327</v>
      </c>
      <c r="B286" t="s">
        <v>2329</v>
      </c>
      <c r="C286" t="s">
        <v>2282</v>
      </c>
      <c r="D286" t="str">
        <f>IF(tblTargets[[#This Row],[TargetType]]="state",UPPER(_xlfn.TEXTBEFORE(_xlfn.TEXTAFTER(tblTargets[[#This Row],[TargetID]],"state."),"_")),"")</f>
        <v/>
      </c>
      <c r="E286" t="b">
        <v>1</v>
      </c>
      <c r="F286" t="s">
        <v>3599</v>
      </c>
      <c r="G286" t="str">
        <f>IF(RIGHT(tblTargets[[#This Row],[TargetID]],5)="maxed","",IF(tblTargets[[#This Row],[TargetType]]="BUILDING",_xlfn.XLOOKUP(tblTargets[[#This Row],[TargetID]],Targets!$Q$2:$Q$101,Targets!$O$2:$O$101),"Not a building"))</f>
        <v>Not a building</v>
      </c>
      <c r="H286" t="str">
        <f>IF(RIGHT(tblTargets[[#This Row],[TargetID]],5)="maxed","",IF(tblTargets[[#This Row],[TargetType]]="BUILDING",_xlfn.XLOOKUP(tblTargets[[#This Row],[TargetID]],Targets!$M$2:$M$101,Targets!$K$2:$K$101),"Not a building"))</f>
        <v>Not a building</v>
      </c>
    </row>
    <row r="287" spans="1:8">
      <c r="A287" t="s">
        <v>2480</v>
      </c>
      <c r="B287" t="s">
        <v>2481</v>
      </c>
      <c r="C287" t="s">
        <v>2282</v>
      </c>
      <c r="D287" t="str">
        <f>IF(tblTargets[[#This Row],[TargetType]]="state",UPPER(_xlfn.TEXTBEFORE(_xlfn.TEXTAFTER(tblTargets[[#This Row],[TargetID]],"state."),"_")),"")</f>
        <v/>
      </c>
      <c r="E287" t="b">
        <v>1</v>
      </c>
      <c r="F287" t="s">
        <v>3599</v>
      </c>
      <c r="G287" t="str">
        <f>IF(RIGHT(tblTargets[[#This Row],[TargetID]],5)="maxed","",IF(tblTargets[[#This Row],[TargetType]]="BUILDING",_xlfn.XLOOKUP(tblTargets[[#This Row],[TargetID]],Targets!$Q$2:$Q$101,Targets!$O$2:$O$101),"Not a building"))</f>
        <v>Not a building</v>
      </c>
      <c r="H287" t="str">
        <f>IF(RIGHT(tblTargets[[#This Row],[TargetID]],5)="maxed","",IF(tblTargets[[#This Row],[TargetType]]="BUILDING",_xlfn.XLOOKUP(tblTargets[[#This Row],[TargetID]],Targets!$M$2:$M$101,Targets!$K$2:$K$101),"Not a building"))</f>
        <v>Not a building</v>
      </c>
    </row>
    <row r="288" spans="1:8">
      <c r="A288" t="s">
        <v>2330</v>
      </c>
      <c r="B288" t="s">
        <v>2332</v>
      </c>
      <c r="C288" t="s">
        <v>2282</v>
      </c>
      <c r="D288" t="str">
        <f>IF(tblTargets[[#This Row],[TargetType]]="state",UPPER(_xlfn.TEXTBEFORE(_xlfn.TEXTAFTER(tblTargets[[#This Row],[TargetID]],"state."),"_")),"")</f>
        <v/>
      </c>
      <c r="E288" t="b">
        <v>1</v>
      </c>
      <c r="F288" t="s">
        <v>3599</v>
      </c>
      <c r="G288" t="str">
        <f>IF(RIGHT(tblTargets[[#This Row],[TargetID]],5)="maxed","",IF(tblTargets[[#This Row],[TargetType]]="BUILDING",_xlfn.XLOOKUP(tblTargets[[#This Row],[TargetID]],Targets!$Q$2:$Q$101,Targets!$O$2:$O$101),"Not a building"))</f>
        <v>Not a building</v>
      </c>
      <c r="H288" t="str">
        <f>IF(RIGHT(tblTargets[[#This Row],[TargetID]],5)="maxed","",IF(tblTargets[[#This Row],[TargetType]]="BUILDING",_xlfn.XLOOKUP(tblTargets[[#This Row],[TargetID]],Targets!$M$2:$M$101,Targets!$K$2:$K$101),"Not a building"))</f>
        <v>Not a building</v>
      </c>
    </row>
    <row r="289" spans="1:8">
      <c r="A289" t="s">
        <v>2482</v>
      </c>
      <c r="B289" t="s">
        <v>2483</v>
      </c>
      <c r="C289" t="s">
        <v>2282</v>
      </c>
      <c r="D289" t="str">
        <f>IF(tblTargets[[#This Row],[TargetType]]="state",UPPER(_xlfn.TEXTBEFORE(_xlfn.TEXTAFTER(tblTargets[[#This Row],[TargetID]],"state."),"_")),"")</f>
        <v/>
      </c>
      <c r="E289" t="b">
        <v>1</v>
      </c>
      <c r="F289" t="s">
        <v>3599</v>
      </c>
      <c r="G289" t="str">
        <f>IF(RIGHT(tblTargets[[#This Row],[TargetID]],5)="maxed","",IF(tblTargets[[#This Row],[TargetType]]="BUILDING",_xlfn.XLOOKUP(tblTargets[[#This Row],[TargetID]],Targets!$Q$2:$Q$101,Targets!$O$2:$O$101),"Not a building"))</f>
        <v>Not a building</v>
      </c>
      <c r="H289" t="str">
        <f>IF(RIGHT(tblTargets[[#This Row],[TargetID]],5)="maxed","",IF(tblTargets[[#This Row],[TargetType]]="BUILDING",_xlfn.XLOOKUP(tblTargets[[#This Row],[TargetID]],Targets!$M$2:$M$101,Targets!$K$2:$K$101),"Not a building"))</f>
        <v>Not a building</v>
      </c>
    </row>
    <row r="290" spans="1:8">
      <c r="A290" t="s">
        <v>2357</v>
      </c>
      <c r="B290" t="s">
        <v>2359</v>
      </c>
      <c r="C290" t="s">
        <v>2282</v>
      </c>
      <c r="D290" t="str">
        <f>IF(tblTargets[[#This Row],[TargetType]]="state",UPPER(_xlfn.TEXTBEFORE(_xlfn.TEXTAFTER(tblTargets[[#This Row],[TargetID]],"state."),"_")),"")</f>
        <v/>
      </c>
      <c r="E290" t="b">
        <v>1</v>
      </c>
      <c r="F290" t="s">
        <v>3599</v>
      </c>
      <c r="G290" t="str">
        <f>IF(RIGHT(tblTargets[[#This Row],[TargetID]],5)="maxed","",IF(tblTargets[[#This Row],[TargetType]]="BUILDING",_xlfn.XLOOKUP(tblTargets[[#This Row],[TargetID]],Targets!$Q$2:$Q$101,Targets!$O$2:$O$101),"Not a building"))</f>
        <v>Not a building</v>
      </c>
      <c r="H290" t="str">
        <f>IF(RIGHT(tblTargets[[#This Row],[TargetID]],5)="maxed","",IF(tblTargets[[#This Row],[TargetType]]="BUILDING",_xlfn.XLOOKUP(tblTargets[[#This Row],[TargetID]],Targets!$M$2:$M$101,Targets!$K$2:$K$101),"Not a building"))</f>
        <v>Not a building</v>
      </c>
    </row>
    <row r="291" spans="1:8">
      <c r="A291" t="s">
        <v>2500</v>
      </c>
      <c r="B291" t="s">
        <v>2501</v>
      </c>
      <c r="C291" t="s">
        <v>2282</v>
      </c>
      <c r="D291" t="str">
        <f>IF(tblTargets[[#This Row],[TargetType]]="state",UPPER(_xlfn.TEXTBEFORE(_xlfn.TEXTAFTER(tblTargets[[#This Row],[TargetID]],"state."),"_")),"")</f>
        <v/>
      </c>
      <c r="E291" t="b">
        <v>1</v>
      </c>
      <c r="F291" t="s">
        <v>3599</v>
      </c>
      <c r="G291" t="str">
        <f>IF(RIGHT(tblTargets[[#This Row],[TargetID]],5)="maxed","",IF(tblTargets[[#This Row],[TargetType]]="BUILDING",_xlfn.XLOOKUP(tblTargets[[#This Row],[TargetID]],Targets!$Q$2:$Q$101,Targets!$O$2:$O$101),"Not a building"))</f>
        <v>Not a building</v>
      </c>
      <c r="H291" t="str">
        <f>IF(RIGHT(tblTargets[[#This Row],[TargetID]],5)="maxed","",IF(tblTargets[[#This Row],[TargetType]]="BUILDING",_xlfn.XLOOKUP(tblTargets[[#This Row],[TargetID]],Targets!$M$2:$M$101,Targets!$K$2:$K$101),"Not a building"))</f>
        <v>Not a building</v>
      </c>
    </row>
    <row r="292" spans="1:8">
      <c r="A292" t="s">
        <v>2360</v>
      </c>
      <c r="B292" t="s">
        <v>2362</v>
      </c>
      <c r="C292" t="s">
        <v>2282</v>
      </c>
      <c r="D292" t="str">
        <f>IF(tblTargets[[#This Row],[TargetType]]="state",UPPER(_xlfn.TEXTBEFORE(_xlfn.TEXTAFTER(tblTargets[[#This Row],[TargetID]],"state."),"_")),"")</f>
        <v/>
      </c>
      <c r="E292" t="b">
        <v>1</v>
      </c>
      <c r="F292" t="s">
        <v>3599</v>
      </c>
      <c r="G292" t="str">
        <f>IF(RIGHT(tblTargets[[#This Row],[TargetID]],5)="maxed","",IF(tblTargets[[#This Row],[TargetType]]="BUILDING",_xlfn.XLOOKUP(tblTargets[[#This Row],[TargetID]],Targets!$Q$2:$Q$101,Targets!$O$2:$O$101),"Not a building"))</f>
        <v>Not a building</v>
      </c>
      <c r="H292" t="str">
        <f>IF(RIGHT(tblTargets[[#This Row],[TargetID]],5)="maxed","",IF(tblTargets[[#This Row],[TargetType]]="BUILDING",_xlfn.XLOOKUP(tblTargets[[#This Row],[TargetID]],Targets!$M$2:$M$101,Targets!$K$2:$K$101),"Not a building"))</f>
        <v>Not a building</v>
      </c>
    </row>
    <row r="293" spans="1:8">
      <c r="A293" t="s">
        <v>2502</v>
      </c>
      <c r="B293" t="s">
        <v>2503</v>
      </c>
      <c r="C293" t="s">
        <v>2282</v>
      </c>
      <c r="D293" t="str">
        <f>IF(tblTargets[[#This Row],[TargetType]]="state",UPPER(_xlfn.TEXTBEFORE(_xlfn.TEXTAFTER(tblTargets[[#This Row],[TargetID]],"state."),"_")),"")</f>
        <v/>
      </c>
      <c r="E293" t="b">
        <v>1</v>
      </c>
      <c r="F293" t="s">
        <v>3599</v>
      </c>
      <c r="G293" t="str">
        <f>IF(RIGHT(tblTargets[[#This Row],[TargetID]],5)="maxed","",IF(tblTargets[[#This Row],[TargetType]]="BUILDING",_xlfn.XLOOKUP(tblTargets[[#This Row],[TargetID]],Targets!$Q$2:$Q$101,Targets!$O$2:$O$101),"Not a building"))</f>
        <v>Not a building</v>
      </c>
      <c r="H293" t="str">
        <f>IF(RIGHT(tblTargets[[#This Row],[TargetID]],5)="maxed","",IF(tblTargets[[#This Row],[TargetType]]="BUILDING",_xlfn.XLOOKUP(tblTargets[[#This Row],[TargetID]],Targets!$M$2:$M$101,Targets!$K$2:$K$101),"Not a building"))</f>
        <v>Not a building</v>
      </c>
    </row>
    <row r="294" spans="1:8">
      <c r="A294" t="s">
        <v>2363</v>
      </c>
      <c r="B294" t="s">
        <v>2365</v>
      </c>
      <c r="C294" t="s">
        <v>2282</v>
      </c>
      <c r="D294" t="str">
        <f>IF(tblTargets[[#This Row],[TargetType]]="state",UPPER(_xlfn.TEXTBEFORE(_xlfn.TEXTAFTER(tblTargets[[#This Row],[TargetID]],"state."),"_")),"")</f>
        <v/>
      </c>
      <c r="E294" t="b">
        <v>1</v>
      </c>
      <c r="F294" t="s">
        <v>3599</v>
      </c>
      <c r="G294" t="str">
        <f>IF(RIGHT(tblTargets[[#This Row],[TargetID]],5)="maxed","",IF(tblTargets[[#This Row],[TargetType]]="BUILDING",_xlfn.XLOOKUP(tblTargets[[#This Row],[TargetID]],Targets!$Q$2:$Q$101,Targets!$O$2:$O$101),"Not a building"))</f>
        <v>Not a building</v>
      </c>
      <c r="H294" t="str">
        <f>IF(RIGHT(tblTargets[[#This Row],[TargetID]],5)="maxed","",IF(tblTargets[[#This Row],[TargetType]]="BUILDING",_xlfn.XLOOKUP(tblTargets[[#This Row],[TargetID]],Targets!$M$2:$M$101,Targets!$K$2:$K$101),"Not a building"))</f>
        <v>Not a building</v>
      </c>
    </row>
    <row r="295" spans="1:8">
      <c r="A295" t="s">
        <v>2504</v>
      </c>
      <c r="B295" t="s">
        <v>2505</v>
      </c>
      <c r="C295" t="s">
        <v>2282</v>
      </c>
      <c r="D295" t="str">
        <f>IF(tblTargets[[#This Row],[TargetType]]="state",UPPER(_xlfn.TEXTBEFORE(_xlfn.TEXTAFTER(tblTargets[[#This Row],[TargetID]],"state."),"_")),"")</f>
        <v/>
      </c>
      <c r="E295" t="b">
        <v>1</v>
      </c>
      <c r="F295" t="s">
        <v>3599</v>
      </c>
      <c r="G295" t="str">
        <f>IF(RIGHT(tblTargets[[#This Row],[TargetID]],5)="maxed","",IF(tblTargets[[#This Row],[TargetType]]="BUILDING",_xlfn.XLOOKUP(tblTargets[[#This Row],[TargetID]],Targets!$Q$2:$Q$101,Targets!$O$2:$O$101),"Not a building"))</f>
        <v>Not a building</v>
      </c>
      <c r="H295" t="str">
        <f>IF(RIGHT(tblTargets[[#This Row],[TargetID]],5)="maxed","",IF(tblTargets[[#This Row],[TargetType]]="BUILDING",_xlfn.XLOOKUP(tblTargets[[#This Row],[TargetID]],Targets!$M$2:$M$101,Targets!$K$2:$K$101),"Not a building"))</f>
        <v>Not a building</v>
      </c>
    </row>
    <row r="296" spans="1:8">
      <c r="A296" t="s">
        <v>2366</v>
      </c>
      <c r="B296" t="s">
        <v>2368</v>
      </c>
      <c r="C296" t="s">
        <v>2282</v>
      </c>
      <c r="D296" t="str">
        <f>IF(tblTargets[[#This Row],[TargetType]]="state",UPPER(_xlfn.TEXTBEFORE(_xlfn.TEXTAFTER(tblTargets[[#This Row],[TargetID]],"state."),"_")),"")</f>
        <v/>
      </c>
      <c r="E296" t="b">
        <v>1</v>
      </c>
      <c r="F296" t="s">
        <v>3599</v>
      </c>
      <c r="G296" t="str">
        <f>IF(RIGHT(tblTargets[[#This Row],[TargetID]],5)="maxed","",IF(tblTargets[[#This Row],[TargetType]]="BUILDING",_xlfn.XLOOKUP(tblTargets[[#This Row],[TargetID]],Targets!$Q$2:$Q$101,Targets!$O$2:$O$101),"Not a building"))</f>
        <v>Not a building</v>
      </c>
      <c r="H296" t="str">
        <f>IF(RIGHT(tblTargets[[#This Row],[TargetID]],5)="maxed","",IF(tblTargets[[#This Row],[TargetType]]="BUILDING",_xlfn.XLOOKUP(tblTargets[[#This Row],[TargetID]],Targets!$M$2:$M$101,Targets!$K$2:$K$101),"Not a building"))</f>
        <v>Not a building</v>
      </c>
    </row>
    <row r="297" spans="1:8">
      <c r="A297" t="s">
        <v>2506</v>
      </c>
      <c r="B297" t="s">
        <v>2507</v>
      </c>
      <c r="C297" t="s">
        <v>2282</v>
      </c>
      <c r="D297" t="str">
        <f>IF(tblTargets[[#This Row],[TargetType]]="state",UPPER(_xlfn.TEXTBEFORE(_xlfn.TEXTAFTER(tblTargets[[#This Row],[TargetID]],"state."),"_")),"")</f>
        <v/>
      </c>
      <c r="E297" t="b">
        <v>1</v>
      </c>
      <c r="F297" t="s">
        <v>3599</v>
      </c>
      <c r="G297" t="str">
        <f>IF(RIGHT(tblTargets[[#This Row],[TargetID]],5)="maxed","",IF(tblTargets[[#This Row],[TargetType]]="BUILDING",_xlfn.XLOOKUP(tblTargets[[#This Row],[TargetID]],Targets!$Q$2:$Q$101,Targets!$O$2:$O$101),"Not a building"))</f>
        <v>Not a building</v>
      </c>
      <c r="H297" t="str">
        <f>IF(RIGHT(tblTargets[[#This Row],[TargetID]],5)="maxed","",IF(tblTargets[[#This Row],[TargetType]]="BUILDING",_xlfn.XLOOKUP(tblTargets[[#This Row],[TargetID]],Targets!$M$2:$M$101,Targets!$K$2:$K$101),"Not a building"))</f>
        <v>Not a building</v>
      </c>
    </row>
    <row r="298" spans="1:8">
      <c r="A298" t="s">
        <v>2369</v>
      </c>
      <c r="B298" t="s">
        <v>2371</v>
      </c>
      <c r="C298" t="s">
        <v>2282</v>
      </c>
      <c r="D298" t="str">
        <f>IF(tblTargets[[#This Row],[TargetType]]="state",UPPER(_xlfn.TEXTBEFORE(_xlfn.TEXTAFTER(tblTargets[[#This Row],[TargetID]],"state."),"_")),"")</f>
        <v/>
      </c>
      <c r="E298" t="b">
        <v>1</v>
      </c>
      <c r="F298" t="s">
        <v>3599</v>
      </c>
      <c r="G298" t="str">
        <f>IF(RIGHT(tblTargets[[#This Row],[TargetID]],5)="maxed","",IF(tblTargets[[#This Row],[TargetType]]="BUILDING",_xlfn.XLOOKUP(tblTargets[[#This Row],[TargetID]],Targets!$Q$2:$Q$101,Targets!$O$2:$O$101),"Not a building"))</f>
        <v>Not a building</v>
      </c>
      <c r="H298" t="str">
        <f>IF(RIGHT(tblTargets[[#This Row],[TargetID]],5)="maxed","",IF(tblTargets[[#This Row],[TargetType]]="BUILDING",_xlfn.XLOOKUP(tblTargets[[#This Row],[TargetID]],Targets!$M$2:$M$101,Targets!$K$2:$K$101),"Not a building"))</f>
        <v>Not a building</v>
      </c>
    </row>
    <row r="299" spans="1:8">
      <c r="A299" t="s">
        <v>2508</v>
      </c>
      <c r="B299" t="s">
        <v>2509</v>
      </c>
      <c r="C299" t="s">
        <v>2282</v>
      </c>
      <c r="D299" t="str">
        <f>IF(tblTargets[[#This Row],[TargetType]]="state",UPPER(_xlfn.TEXTBEFORE(_xlfn.TEXTAFTER(tblTargets[[#This Row],[TargetID]],"state."),"_")),"")</f>
        <v/>
      </c>
      <c r="E299" t="b">
        <v>1</v>
      </c>
      <c r="F299" t="s">
        <v>3599</v>
      </c>
      <c r="G299" t="str">
        <f>IF(RIGHT(tblTargets[[#This Row],[TargetID]],5)="maxed","",IF(tblTargets[[#This Row],[TargetType]]="BUILDING",_xlfn.XLOOKUP(tblTargets[[#This Row],[TargetID]],Targets!$Q$2:$Q$101,Targets!$O$2:$O$101),"Not a building"))</f>
        <v>Not a building</v>
      </c>
      <c r="H299" t="str">
        <f>IF(RIGHT(tblTargets[[#This Row],[TargetID]],5)="maxed","",IF(tblTargets[[#This Row],[TargetType]]="BUILDING",_xlfn.XLOOKUP(tblTargets[[#This Row],[TargetID]],Targets!$M$2:$M$101,Targets!$K$2:$K$101),"Not a building"))</f>
        <v>Not a building</v>
      </c>
    </row>
    <row r="300" spans="1:8">
      <c r="A300" t="s">
        <v>2372</v>
      </c>
      <c r="B300" t="s">
        <v>2374</v>
      </c>
      <c r="C300" t="s">
        <v>2282</v>
      </c>
      <c r="D300" t="str">
        <f>IF(tblTargets[[#This Row],[TargetType]]="state",UPPER(_xlfn.TEXTBEFORE(_xlfn.TEXTAFTER(tblTargets[[#This Row],[TargetID]],"state."),"_")),"")</f>
        <v/>
      </c>
      <c r="E300" t="b">
        <v>1</v>
      </c>
      <c r="F300" t="s">
        <v>3599</v>
      </c>
      <c r="G300" t="str">
        <f>IF(RIGHT(tblTargets[[#This Row],[TargetID]],5)="maxed","",IF(tblTargets[[#This Row],[TargetType]]="BUILDING",_xlfn.XLOOKUP(tblTargets[[#This Row],[TargetID]],Targets!$Q$2:$Q$101,Targets!$O$2:$O$101),"Not a building"))</f>
        <v>Not a building</v>
      </c>
      <c r="H300" t="str">
        <f>IF(RIGHT(tblTargets[[#This Row],[TargetID]],5)="maxed","",IF(tblTargets[[#This Row],[TargetType]]="BUILDING",_xlfn.XLOOKUP(tblTargets[[#This Row],[TargetID]],Targets!$M$2:$M$101,Targets!$K$2:$K$101),"Not a building"))</f>
        <v>Not a building</v>
      </c>
    </row>
    <row r="301" spans="1:8">
      <c r="A301" t="s">
        <v>2510</v>
      </c>
      <c r="B301" t="s">
        <v>2511</v>
      </c>
      <c r="C301" t="s">
        <v>2282</v>
      </c>
      <c r="D301" t="str">
        <f>IF(tblTargets[[#This Row],[TargetType]]="state",UPPER(_xlfn.TEXTBEFORE(_xlfn.TEXTAFTER(tblTargets[[#This Row],[TargetID]],"state."),"_")),"")</f>
        <v/>
      </c>
      <c r="E301" t="b">
        <v>1</v>
      </c>
      <c r="F301" t="s">
        <v>3599</v>
      </c>
      <c r="G301" t="str">
        <f>IF(RIGHT(tblTargets[[#This Row],[TargetID]],5)="maxed","",IF(tblTargets[[#This Row],[TargetType]]="BUILDING",_xlfn.XLOOKUP(tblTargets[[#This Row],[TargetID]],Targets!$Q$2:$Q$101,Targets!$O$2:$O$101),"Not a building"))</f>
        <v>Not a building</v>
      </c>
      <c r="H301" t="str">
        <f>IF(RIGHT(tblTargets[[#This Row],[TargetID]],5)="maxed","",IF(tblTargets[[#This Row],[TargetType]]="BUILDING",_xlfn.XLOOKUP(tblTargets[[#This Row],[TargetID]],Targets!$M$2:$M$101,Targets!$K$2:$K$101),"Not a building"))</f>
        <v>Not a building</v>
      </c>
    </row>
    <row r="302" spans="1:8">
      <c r="A302" t="s">
        <v>2333</v>
      </c>
      <c r="B302" t="s">
        <v>2335</v>
      </c>
      <c r="C302" t="s">
        <v>2282</v>
      </c>
      <c r="D302" t="str">
        <f>IF(tblTargets[[#This Row],[TargetType]]="state",UPPER(_xlfn.TEXTBEFORE(_xlfn.TEXTAFTER(tblTargets[[#This Row],[TargetID]],"state."),"_")),"")</f>
        <v/>
      </c>
      <c r="E302" t="b">
        <v>1</v>
      </c>
      <c r="F302" t="s">
        <v>3599</v>
      </c>
      <c r="G302" t="str">
        <f>IF(RIGHT(tblTargets[[#This Row],[TargetID]],5)="maxed","",IF(tblTargets[[#This Row],[TargetType]]="BUILDING",_xlfn.XLOOKUP(tblTargets[[#This Row],[TargetID]],Targets!$Q$2:$Q$101,Targets!$O$2:$O$101),"Not a building"))</f>
        <v>Not a building</v>
      </c>
      <c r="H302" t="str">
        <f>IF(RIGHT(tblTargets[[#This Row],[TargetID]],5)="maxed","",IF(tblTargets[[#This Row],[TargetType]]="BUILDING",_xlfn.XLOOKUP(tblTargets[[#This Row],[TargetID]],Targets!$M$2:$M$101,Targets!$K$2:$K$101),"Not a building"))</f>
        <v>Not a building</v>
      </c>
    </row>
    <row r="303" spans="1:8">
      <c r="A303" t="s">
        <v>2484</v>
      </c>
      <c r="B303" t="s">
        <v>2485</v>
      </c>
      <c r="C303" t="s">
        <v>2282</v>
      </c>
      <c r="D303" t="str">
        <f>IF(tblTargets[[#This Row],[TargetType]]="state",UPPER(_xlfn.TEXTBEFORE(_xlfn.TEXTAFTER(tblTargets[[#This Row],[TargetID]],"state."),"_")),"")</f>
        <v/>
      </c>
      <c r="E303" t="b">
        <v>1</v>
      </c>
      <c r="F303" t="s">
        <v>3599</v>
      </c>
      <c r="G303" t="str">
        <f>IF(RIGHT(tblTargets[[#This Row],[TargetID]],5)="maxed","",IF(tblTargets[[#This Row],[TargetType]]="BUILDING",_xlfn.XLOOKUP(tblTargets[[#This Row],[TargetID]],Targets!$Q$2:$Q$101,Targets!$O$2:$O$101),"Not a building"))</f>
        <v>Not a building</v>
      </c>
      <c r="H303" t="str">
        <f>IF(RIGHT(tblTargets[[#This Row],[TargetID]],5)="maxed","",IF(tblTargets[[#This Row],[TargetType]]="BUILDING",_xlfn.XLOOKUP(tblTargets[[#This Row],[TargetID]],Targets!$M$2:$M$101,Targets!$K$2:$K$101),"Not a building"))</f>
        <v>Not a building</v>
      </c>
    </row>
    <row r="304" spans="1:8">
      <c r="A304" t="s">
        <v>2336</v>
      </c>
      <c r="B304" t="s">
        <v>2338</v>
      </c>
      <c r="C304" t="s">
        <v>2282</v>
      </c>
      <c r="D304" t="str">
        <f>IF(tblTargets[[#This Row],[TargetType]]="state",UPPER(_xlfn.TEXTBEFORE(_xlfn.TEXTAFTER(tblTargets[[#This Row],[TargetID]],"state."),"_")),"")</f>
        <v/>
      </c>
      <c r="E304" t="b">
        <v>1</v>
      </c>
      <c r="F304" t="s">
        <v>3599</v>
      </c>
      <c r="G304" t="str">
        <f>IF(RIGHT(tblTargets[[#This Row],[TargetID]],5)="maxed","",IF(tblTargets[[#This Row],[TargetType]]="BUILDING",_xlfn.XLOOKUP(tblTargets[[#This Row],[TargetID]],Targets!$Q$2:$Q$101,Targets!$O$2:$O$101),"Not a building"))</f>
        <v>Not a building</v>
      </c>
      <c r="H304" t="str">
        <f>IF(RIGHT(tblTargets[[#This Row],[TargetID]],5)="maxed","",IF(tblTargets[[#This Row],[TargetType]]="BUILDING",_xlfn.XLOOKUP(tblTargets[[#This Row],[TargetID]],Targets!$M$2:$M$101,Targets!$K$2:$K$101),"Not a building"))</f>
        <v>Not a building</v>
      </c>
    </row>
    <row r="305" spans="1:8">
      <c r="A305" t="s">
        <v>2486</v>
      </c>
      <c r="B305" t="s">
        <v>2487</v>
      </c>
      <c r="C305" t="s">
        <v>2282</v>
      </c>
      <c r="D305" t="str">
        <f>IF(tblTargets[[#This Row],[TargetType]]="state",UPPER(_xlfn.TEXTBEFORE(_xlfn.TEXTAFTER(tblTargets[[#This Row],[TargetID]],"state."),"_")),"")</f>
        <v/>
      </c>
      <c r="E305" t="b">
        <v>1</v>
      </c>
      <c r="F305" t="s">
        <v>3599</v>
      </c>
      <c r="G305" t="str">
        <f>IF(RIGHT(tblTargets[[#This Row],[TargetID]],5)="maxed","",IF(tblTargets[[#This Row],[TargetType]]="BUILDING",_xlfn.XLOOKUP(tblTargets[[#This Row],[TargetID]],Targets!$Q$2:$Q$101,Targets!$O$2:$O$101),"Not a building"))</f>
        <v>Not a building</v>
      </c>
      <c r="H305" t="str">
        <f>IF(RIGHT(tblTargets[[#This Row],[TargetID]],5)="maxed","",IF(tblTargets[[#This Row],[TargetType]]="BUILDING",_xlfn.XLOOKUP(tblTargets[[#This Row],[TargetID]],Targets!$M$2:$M$101,Targets!$K$2:$K$101),"Not a building"))</f>
        <v>Not a building</v>
      </c>
    </row>
    <row r="306" spans="1:8">
      <c r="A306" t="s">
        <v>2339</v>
      </c>
      <c r="B306" t="s">
        <v>2341</v>
      </c>
      <c r="C306" t="s">
        <v>2282</v>
      </c>
      <c r="D306" t="str">
        <f>IF(tblTargets[[#This Row],[TargetType]]="state",UPPER(_xlfn.TEXTBEFORE(_xlfn.TEXTAFTER(tblTargets[[#This Row],[TargetID]],"state."),"_")),"")</f>
        <v/>
      </c>
      <c r="E306" t="b">
        <v>1</v>
      </c>
      <c r="F306" t="s">
        <v>3599</v>
      </c>
      <c r="G306" t="str">
        <f>IF(RIGHT(tblTargets[[#This Row],[TargetID]],5)="maxed","",IF(tblTargets[[#This Row],[TargetType]]="BUILDING",_xlfn.XLOOKUP(tblTargets[[#This Row],[TargetID]],Targets!$Q$2:$Q$101,Targets!$O$2:$O$101),"Not a building"))</f>
        <v>Not a building</v>
      </c>
      <c r="H306" t="str">
        <f>IF(RIGHT(tblTargets[[#This Row],[TargetID]],5)="maxed","",IF(tblTargets[[#This Row],[TargetType]]="BUILDING",_xlfn.XLOOKUP(tblTargets[[#This Row],[TargetID]],Targets!$M$2:$M$101,Targets!$K$2:$K$101),"Not a building"))</f>
        <v>Not a building</v>
      </c>
    </row>
    <row r="307" spans="1:8">
      <c r="A307" t="s">
        <v>2488</v>
      </c>
      <c r="B307" t="s">
        <v>2489</v>
      </c>
      <c r="C307" t="s">
        <v>2282</v>
      </c>
      <c r="D307" t="str">
        <f>IF(tblTargets[[#This Row],[TargetType]]="state",UPPER(_xlfn.TEXTBEFORE(_xlfn.TEXTAFTER(tblTargets[[#This Row],[TargetID]],"state."),"_")),"")</f>
        <v/>
      </c>
      <c r="E307" t="b">
        <v>1</v>
      </c>
      <c r="F307" t="s">
        <v>3599</v>
      </c>
      <c r="G307" t="str">
        <f>IF(RIGHT(tblTargets[[#This Row],[TargetID]],5)="maxed","",IF(tblTargets[[#This Row],[TargetType]]="BUILDING",_xlfn.XLOOKUP(tblTargets[[#This Row],[TargetID]],Targets!$Q$2:$Q$101,Targets!$O$2:$O$101),"Not a building"))</f>
        <v>Not a building</v>
      </c>
      <c r="H307" t="str">
        <f>IF(RIGHT(tblTargets[[#This Row],[TargetID]],5)="maxed","",IF(tblTargets[[#This Row],[TargetType]]="BUILDING",_xlfn.XLOOKUP(tblTargets[[#This Row],[TargetID]],Targets!$M$2:$M$101,Targets!$K$2:$K$101),"Not a building"))</f>
        <v>Not a building</v>
      </c>
    </row>
    <row r="308" spans="1:8">
      <c r="A308" t="s">
        <v>2342</v>
      </c>
      <c r="B308" t="s">
        <v>2344</v>
      </c>
      <c r="C308" t="s">
        <v>2282</v>
      </c>
      <c r="D308" t="str">
        <f>IF(tblTargets[[#This Row],[TargetType]]="state",UPPER(_xlfn.TEXTBEFORE(_xlfn.TEXTAFTER(tblTargets[[#This Row],[TargetID]],"state."),"_")),"")</f>
        <v/>
      </c>
      <c r="E308" t="b">
        <v>1</v>
      </c>
      <c r="F308" t="s">
        <v>3599</v>
      </c>
      <c r="G308" t="str">
        <f>IF(RIGHT(tblTargets[[#This Row],[TargetID]],5)="maxed","",IF(tblTargets[[#This Row],[TargetType]]="BUILDING",_xlfn.XLOOKUP(tblTargets[[#This Row],[TargetID]],Targets!$Q$2:$Q$101,Targets!$O$2:$O$101),"Not a building"))</f>
        <v>Not a building</v>
      </c>
      <c r="H308" t="str">
        <f>IF(RIGHT(tblTargets[[#This Row],[TargetID]],5)="maxed","",IF(tblTargets[[#This Row],[TargetType]]="BUILDING",_xlfn.XLOOKUP(tblTargets[[#This Row],[TargetID]],Targets!$M$2:$M$101,Targets!$K$2:$K$101),"Not a building"))</f>
        <v>Not a building</v>
      </c>
    </row>
    <row r="309" spans="1:8">
      <c r="A309" t="s">
        <v>2490</v>
      </c>
      <c r="B309" t="s">
        <v>2491</v>
      </c>
      <c r="C309" t="s">
        <v>2282</v>
      </c>
      <c r="D309" t="str">
        <f>IF(tblTargets[[#This Row],[TargetType]]="state",UPPER(_xlfn.TEXTBEFORE(_xlfn.TEXTAFTER(tblTargets[[#This Row],[TargetID]],"state."),"_")),"")</f>
        <v/>
      </c>
      <c r="E309" t="b">
        <v>1</v>
      </c>
      <c r="F309" t="s">
        <v>3599</v>
      </c>
      <c r="G309" t="str">
        <f>IF(RIGHT(tblTargets[[#This Row],[TargetID]],5)="maxed","",IF(tblTargets[[#This Row],[TargetType]]="BUILDING",_xlfn.XLOOKUP(tblTargets[[#This Row],[TargetID]],Targets!$Q$2:$Q$101,Targets!$O$2:$O$101),"Not a building"))</f>
        <v>Not a building</v>
      </c>
      <c r="H309" t="str">
        <f>IF(RIGHT(tblTargets[[#This Row],[TargetID]],5)="maxed","",IF(tblTargets[[#This Row],[TargetType]]="BUILDING",_xlfn.XLOOKUP(tblTargets[[#This Row],[TargetID]],Targets!$M$2:$M$101,Targets!$K$2:$K$101),"Not a building"))</f>
        <v>Not a building</v>
      </c>
    </row>
    <row r="310" spans="1:8">
      <c r="A310" t="s">
        <v>2345</v>
      </c>
      <c r="B310" t="s">
        <v>2347</v>
      </c>
      <c r="C310" t="s">
        <v>2282</v>
      </c>
      <c r="D310" t="str">
        <f>IF(tblTargets[[#This Row],[TargetType]]="state",UPPER(_xlfn.TEXTBEFORE(_xlfn.TEXTAFTER(tblTargets[[#This Row],[TargetID]],"state."),"_")),"")</f>
        <v/>
      </c>
      <c r="E310" t="b">
        <v>1</v>
      </c>
      <c r="F310" t="s">
        <v>3599</v>
      </c>
      <c r="G310" t="str">
        <f>IF(RIGHT(tblTargets[[#This Row],[TargetID]],5)="maxed","",IF(tblTargets[[#This Row],[TargetType]]="BUILDING",_xlfn.XLOOKUP(tblTargets[[#This Row],[TargetID]],Targets!$Q$2:$Q$101,Targets!$O$2:$O$101),"Not a building"))</f>
        <v>Not a building</v>
      </c>
      <c r="H310" t="str">
        <f>IF(RIGHT(tblTargets[[#This Row],[TargetID]],5)="maxed","",IF(tblTargets[[#This Row],[TargetType]]="BUILDING",_xlfn.XLOOKUP(tblTargets[[#This Row],[TargetID]],Targets!$M$2:$M$101,Targets!$K$2:$K$101),"Not a building"))</f>
        <v>Not a building</v>
      </c>
    </row>
    <row r="311" spans="1:8">
      <c r="A311" t="s">
        <v>2492</v>
      </c>
      <c r="B311" t="s">
        <v>2493</v>
      </c>
      <c r="C311" t="s">
        <v>2282</v>
      </c>
      <c r="D311" t="str">
        <f>IF(tblTargets[[#This Row],[TargetType]]="state",UPPER(_xlfn.TEXTBEFORE(_xlfn.TEXTAFTER(tblTargets[[#This Row],[TargetID]],"state."),"_")),"")</f>
        <v/>
      </c>
      <c r="E311" t="b">
        <v>1</v>
      </c>
      <c r="F311" t="s">
        <v>3599</v>
      </c>
      <c r="G311" t="str">
        <f>IF(RIGHT(tblTargets[[#This Row],[TargetID]],5)="maxed","",IF(tblTargets[[#This Row],[TargetType]]="BUILDING",_xlfn.XLOOKUP(tblTargets[[#This Row],[TargetID]],Targets!$Q$2:$Q$101,Targets!$O$2:$O$101),"Not a building"))</f>
        <v>Not a building</v>
      </c>
      <c r="H311" t="str">
        <f>IF(RIGHT(tblTargets[[#This Row],[TargetID]],5)="maxed","",IF(tblTargets[[#This Row],[TargetType]]="BUILDING",_xlfn.XLOOKUP(tblTargets[[#This Row],[TargetID]],Targets!$M$2:$M$101,Targets!$K$2:$K$101),"Not a building"))</f>
        <v>Not a building</v>
      </c>
    </row>
    <row r="312" spans="1:8">
      <c r="A312" t="s">
        <v>2348</v>
      </c>
      <c r="B312" t="s">
        <v>2350</v>
      </c>
      <c r="C312" t="s">
        <v>2282</v>
      </c>
      <c r="D312" t="str">
        <f>IF(tblTargets[[#This Row],[TargetType]]="state",UPPER(_xlfn.TEXTBEFORE(_xlfn.TEXTAFTER(tblTargets[[#This Row],[TargetID]],"state."),"_")),"")</f>
        <v/>
      </c>
      <c r="E312" t="b">
        <v>1</v>
      </c>
      <c r="F312" t="s">
        <v>3599</v>
      </c>
      <c r="G312" t="str">
        <f>IF(RIGHT(tblTargets[[#This Row],[TargetID]],5)="maxed","",IF(tblTargets[[#This Row],[TargetType]]="BUILDING",_xlfn.XLOOKUP(tblTargets[[#This Row],[TargetID]],Targets!$Q$2:$Q$101,Targets!$O$2:$O$101),"Not a building"))</f>
        <v>Not a building</v>
      </c>
      <c r="H312" t="str">
        <f>IF(RIGHT(tblTargets[[#This Row],[TargetID]],5)="maxed","",IF(tblTargets[[#This Row],[TargetType]]="BUILDING",_xlfn.XLOOKUP(tblTargets[[#This Row],[TargetID]],Targets!$M$2:$M$101,Targets!$K$2:$K$101),"Not a building"))</f>
        <v>Not a building</v>
      </c>
    </row>
    <row r="313" spans="1:8">
      <c r="A313" t="s">
        <v>2494</v>
      </c>
      <c r="B313" t="s">
        <v>2495</v>
      </c>
      <c r="C313" t="s">
        <v>2282</v>
      </c>
      <c r="D313" t="str">
        <f>IF(tblTargets[[#This Row],[TargetType]]="state",UPPER(_xlfn.TEXTBEFORE(_xlfn.TEXTAFTER(tblTargets[[#This Row],[TargetID]],"state."),"_")),"")</f>
        <v/>
      </c>
      <c r="E313" t="b">
        <v>1</v>
      </c>
      <c r="F313" t="s">
        <v>3599</v>
      </c>
      <c r="G313" t="str">
        <f>IF(RIGHT(tblTargets[[#This Row],[TargetID]],5)="maxed","",IF(tblTargets[[#This Row],[TargetType]]="BUILDING",_xlfn.XLOOKUP(tblTargets[[#This Row],[TargetID]],Targets!$Q$2:$Q$101,Targets!$O$2:$O$101),"Not a building"))</f>
        <v>Not a building</v>
      </c>
      <c r="H313" t="str">
        <f>IF(RIGHT(tblTargets[[#This Row],[TargetID]],5)="maxed","",IF(tblTargets[[#This Row],[TargetType]]="BUILDING",_xlfn.XLOOKUP(tblTargets[[#This Row],[TargetID]],Targets!$M$2:$M$101,Targets!$K$2:$K$101),"Not a building"))</f>
        <v>Not a building</v>
      </c>
    </row>
    <row r="314" spans="1:8">
      <c r="A314" t="s">
        <v>2351</v>
      </c>
      <c r="B314" t="s">
        <v>2353</v>
      </c>
      <c r="C314" t="s">
        <v>2282</v>
      </c>
      <c r="D314" t="str">
        <f>IF(tblTargets[[#This Row],[TargetType]]="state",UPPER(_xlfn.TEXTBEFORE(_xlfn.TEXTAFTER(tblTargets[[#This Row],[TargetID]],"state."),"_")),"")</f>
        <v/>
      </c>
      <c r="E314" t="b">
        <v>1</v>
      </c>
      <c r="F314" t="s">
        <v>3599</v>
      </c>
      <c r="G314" t="str">
        <f>IF(RIGHT(tblTargets[[#This Row],[TargetID]],5)="maxed","",IF(tblTargets[[#This Row],[TargetType]]="BUILDING",_xlfn.XLOOKUP(tblTargets[[#This Row],[TargetID]],Targets!$Q$2:$Q$101,Targets!$O$2:$O$101),"Not a building"))</f>
        <v>Not a building</v>
      </c>
      <c r="H314" t="str">
        <f>IF(RIGHT(tblTargets[[#This Row],[TargetID]],5)="maxed","",IF(tblTargets[[#This Row],[TargetType]]="BUILDING",_xlfn.XLOOKUP(tblTargets[[#This Row],[TargetID]],Targets!$M$2:$M$101,Targets!$K$2:$K$101),"Not a building"))</f>
        <v>Not a building</v>
      </c>
    </row>
    <row r="315" spans="1:8">
      <c r="A315" t="s">
        <v>2496</v>
      </c>
      <c r="B315" t="s">
        <v>2497</v>
      </c>
      <c r="C315" t="s">
        <v>2282</v>
      </c>
      <c r="D315" t="str">
        <f>IF(tblTargets[[#This Row],[TargetType]]="state",UPPER(_xlfn.TEXTBEFORE(_xlfn.TEXTAFTER(tblTargets[[#This Row],[TargetID]],"state."),"_")),"")</f>
        <v/>
      </c>
      <c r="E315" t="b">
        <v>1</v>
      </c>
      <c r="F315" t="s">
        <v>3599</v>
      </c>
      <c r="G315" t="str">
        <f>IF(RIGHT(tblTargets[[#This Row],[TargetID]],5)="maxed","",IF(tblTargets[[#This Row],[TargetType]]="BUILDING",_xlfn.XLOOKUP(tblTargets[[#This Row],[TargetID]],Targets!$Q$2:$Q$101,Targets!$O$2:$O$101),"Not a building"))</f>
        <v>Not a building</v>
      </c>
      <c r="H315" t="str">
        <f>IF(RIGHT(tblTargets[[#This Row],[TargetID]],5)="maxed","",IF(tblTargets[[#This Row],[TargetType]]="BUILDING",_xlfn.XLOOKUP(tblTargets[[#This Row],[TargetID]],Targets!$M$2:$M$101,Targets!$K$2:$K$101),"Not a building"))</f>
        <v>Not a building</v>
      </c>
    </row>
    <row r="316" spans="1:8">
      <c r="A316" t="s">
        <v>2354</v>
      </c>
      <c r="B316" t="s">
        <v>2356</v>
      </c>
      <c r="C316" t="s">
        <v>2282</v>
      </c>
      <c r="D316" t="str">
        <f>IF(tblTargets[[#This Row],[TargetType]]="state",UPPER(_xlfn.TEXTBEFORE(_xlfn.TEXTAFTER(tblTargets[[#This Row],[TargetID]],"state."),"_")),"")</f>
        <v/>
      </c>
      <c r="E316" t="b">
        <v>1</v>
      </c>
      <c r="F316" t="s">
        <v>3599</v>
      </c>
      <c r="G316" t="str">
        <f>IF(RIGHT(tblTargets[[#This Row],[TargetID]],5)="maxed","",IF(tblTargets[[#This Row],[TargetType]]="BUILDING",_xlfn.XLOOKUP(tblTargets[[#This Row],[TargetID]],Targets!$Q$2:$Q$101,Targets!$O$2:$O$101),"Not a building"))</f>
        <v>Not a building</v>
      </c>
      <c r="H316" t="str">
        <f>IF(RIGHT(tblTargets[[#This Row],[TargetID]],5)="maxed","",IF(tblTargets[[#This Row],[TargetType]]="BUILDING",_xlfn.XLOOKUP(tblTargets[[#This Row],[TargetID]],Targets!$M$2:$M$101,Targets!$K$2:$K$101),"Not a building"))</f>
        <v>Not a building</v>
      </c>
    </row>
    <row r="317" spans="1:8">
      <c r="A317" t="s">
        <v>2498</v>
      </c>
      <c r="B317" t="s">
        <v>2499</v>
      </c>
      <c r="C317" t="s">
        <v>2282</v>
      </c>
      <c r="D317" t="str">
        <f>IF(tblTargets[[#This Row],[TargetType]]="state",UPPER(_xlfn.TEXTBEFORE(_xlfn.TEXTAFTER(tblTargets[[#This Row],[TargetID]],"state."),"_")),"")</f>
        <v/>
      </c>
      <c r="E317" t="b">
        <v>1</v>
      </c>
      <c r="F317" t="s">
        <v>3599</v>
      </c>
      <c r="G317" t="str">
        <f>IF(RIGHT(tblTargets[[#This Row],[TargetID]],5)="maxed","",IF(tblTargets[[#This Row],[TargetType]]="BUILDING",_xlfn.XLOOKUP(tblTargets[[#This Row],[TargetID]],Targets!$Q$2:$Q$101,Targets!$O$2:$O$101),"Not a building"))</f>
        <v>Not a building</v>
      </c>
      <c r="H317" t="str">
        <f>IF(RIGHT(tblTargets[[#This Row],[TargetID]],5)="maxed","",IF(tblTargets[[#This Row],[TargetType]]="BUILDING",_xlfn.XLOOKUP(tblTargets[[#This Row],[TargetID]],Targets!$M$2:$M$101,Targets!$K$2:$K$101),"Not a building"))</f>
        <v>Not a building</v>
      </c>
    </row>
    <row r="318" spans="1:8">
      <c r="A318" t="s">
        <v>2375</v>
      </c>
      <c r="B318" t="s">
        <v>2377</v>
      </c>
      <c r="C318" t="s">
        <v>2282</v>
      </c>
      <c r="D318" t="str">
        <f>IF(tblTargets[[#This Row],[TargetType]]="state",UPPER(_xlfn.TEXTBEFORE(_xlfn.TEXTAFTER(tblTargets[[#This Row],[TargetID]],"state."),"_")),"")</f>
        <v/>
      </c>
      <c r="E318" t="b">
        <v>1</v>
      </c>
      <c r="F318" t="s">
        <v>3599</v>
      </c>
      <c r="G318" t="str">
        <f>IF(RIGHT(tblTargets[[#This Row],[TargetID]],5)="maxed","",IF(tblTargets[[#This Row],[TargetType]]="BUILDING",_xlfn.XLOOKUP(tblTargets[[#This Row],[TargetID]],Targets!$Q$2:$Q$101,Targets!$O$2:$O$101),"Not a building"))</f>
        <v>Not a building</v>
      </c>
      <c r="H318" t="str">
        <f>IF(RIGHT(tblTargets[[#This Row],[TargetID]],5)="maxed","",IF(tblTargets[[#This Row],[TargetType]]="BUILDING",_xlfn.XLOOKUP(tblTargets[[#This Row],[TargetID]],Targets!$M$2:$M$101,Targets!$K$2:$K$101),"Not a building"))</f>
        <v>Not a building</v>
      </c>
    </row>
    <row r="319" spans="1:8">
      <c r="A319" t="s">
        <v>2512</v>
      </c>
      <c r="B319" t="s">
        <v>2513</v>
      </c>
      <c r="C319" t="s">
        <v>2282</v>
      </c>
      <c r="D319" t="str">
        <f>IF(tblTargets[[#This Row],[TargetType]]="state",UPPER(_xlfn.TEXTBEFORE(_xlfn.TEXTAFTER(tblTargets[[#This Row],[TargetID]],"state."),"_")),"")</f>
        <v/>
      </c>
      <c r="E319" t="b">
        <v>1</v>
      </c>
      <c r="F319" t="s">
        <v>3599</v>
      </c>
      <c r="G319" t="str">
        <f>IF(RIGHT(tblTargets[[#This Row],[TargetID]],5)="maxed","",IF(tblTargets[[#This Row],[TargetType]]="BUILDING",_xlfn.XLOOKUP(tblTargets[[#This Row],[TargetID]],Targets!$Q$2:$Q$101,Targets!$O$2:$O$101),"Not a building"))</f>
        <v>Not a building</v>
      </c>
      <c r="H319" t="str">
        <f>IF(RIGHT(tblTargets[[#This Row],[TargetID]],5)="maxed","",IF(tblTargets[[#This Row],[TargetType]]="BUILDING",_xlfn.XLOOKUP(tblTargets[[#This Row],[TargetID]],Targets!$M$2:$M$101,Targets!$K$2:$K$101),"Not a building"))</f>
        <v>Not a building</v>
      </c>
    </row>
    <row r="320" spans="1:8">
      <c r="A320" t="s">
        <v>2378</v>
      </c>
      <c r="B320" t="s">
        <v>2380</v>
      </c>
      <c r="C320" t="s">
        <v>2282</v>
      </c>
      <c r="D320" t="str">
        <f>IF(tblTargets[[#This Row],[TargetType]]="state",UPPER(_xlfn.TEXTBEFORE(_xlfn.TEXTAFTER(tblTargets[[#This Row],[TargetID]],"state."),"_")),"")</f>
        <v/>
      </c>
      <c r="E320" t="b">
        <v>1</v>
      </c>
      <c r="F320" t="s">
        <v>3599</v>
      </c>
      <c r="G320" t="str">
        <f>IF(RIGHT(tblTargets[[#This Row],[TargetID]],5)="maxed","",IF(tblTargets[[#This Row],[TargetType]]="BUILDING",_xlfn.XLOOKUP(tblTargets[[#This Row],[TargetID]],Targets!$Q$2:$Q$101,Targets!$O$2:$O$101),"Not a building"))</f>
        <v>Not a building</v>
      </c>
      <c r="H320" t="str">
        <f>IF(RIGHT(tblTargets[[#This Row],[TargetID]],5)="maxed","",IF(tblTargets[[#This Row],[TargetType]]="BUILDING",_xlfn.XLOOKUP(tblTargets[[#This Row],[TargetID]],Targets!$M$2:$M$101,Targets!$K$2:$K$101),"Not a building"))</f>
        <v>Not a building</v>
      </c>
    </row>
    <row r="321" spans="1:8">
      <c r="A321" t="s">
        <v>2514</v>
      </c>
      <c r="B321" t="s">
        <v>2515</v>
      </c>
      <c r="C321" t="s">
        <v>2282</v>
      </c>
      <c r="D321" t="str">
        <f>IF(tblTargets[[#This Row],[TargetType]]="state",UPPER(_xlfn.TEXTBEFORE(_xlfn.TEXTAFTER(tblTargets[[#This Row],[TargetID]],"state."),"_")),"")</f>
        <v/>
      </c>
      <c r="E321" t="b">
        <v>1</v>
      </c>
      <c r="F321" t="s">
        <v>3599</v>
      </c>
      <c r="G321" t="str">
        <f>IF(RIGHT(tblTargets[[#This Row],[TargetID]],5)="maxed","",IF(tblTargets[[#This Row],[TargetType]]="BUILDING",_xlfn.XLOOKUP(tblTargets[[#This Row],[TargetID]],Targets!$Q$2:$Q$101,Targets!$O$2:$O$101),"Not a building"))</f>
        <v>Not a building</v>
      </c>
      <c r="H321" t="str">
        <f>IF(RIGHT(tblTargets[[#This Row],[TargetID]],5)="maxed","",IF(tblTargets[[#This Row],[TargetType]]="BUILDING",_xlfn.XLOOKUP(tblTargets[[#This Row],[TargetID]],Targets!$M$2:$M$101,Targets!$K$2:$K$101),"Not a building"))</f>
        <v>Not a building</v>
      </c>
    </row>
    <row r="322" spans="1:8">
      <c r="A322" t="s">
        <v>2381</v>
      </c>
      <c r="B322" t="s">
        <v>2383</v>
      </c>
      <c r="C322" t="s">
        <v>2282</v>
      </c>
      <c r="D322" t="str">
        <f>IF(tblTargets[[#This Row],[TargetType]]="state",UPPER(_xlfn.TEXTBEFORE(_xlfn.TEXTAFTER(tblTargets[[#This Row],[TargetID]],"state."),"_")),"")</f>
        <v/>
      </c>
      <c r="E322" t="b">
        <v>1</v>
      </c>
      <c r="F322" t="s">
        <v>3599</v>
      </c>
      <c r="G322" t="str">
        <f>IF(RIGHT(tblTargets[[#This Row],[TargetID]],5)="maxed","",IF(tblTargets[[#This Row],[TargetType]]="BUILDING",_xlfn.XLOOKUP(tblTargets[[#This Row],[TargetID]],Targets!$Q$2:$Q$101,Targets!$O$2:$O$101),"Not a building"))</f>
        <v>Not a building</v>
      </c>
      <c r="H322" t="str">
        <f>IF(RIGHT(tblTargets[[#This Row],[TargetID]],5)="maxed","",IF(tblTargets[[#This Row],[TargetType]]="BUILDING",_xlfn.XLOOKUP(tblTargets[[#This Row],[TargetID]],Targets!$M$2:$M$101,Targets!$K$2:$K$101),"Not a building"))</f>
        <v>Not a building</v>
      </c>
    </row>
    <row r="323" spans="1:8">
      <c r="A323" t="s">
        <v>2516</v>
      </c>
      <c r="B323" t="s">
        <v>2517</v>
      </c>
      <c r="C323" t="s">
        <v>2282</v>
      </c>
      <c r="D323" t="str">
        <f>IF(tblTargets[[#This Row],[TargetType]]="state",UPPER(_xlfn.TEXTBEFORE(_xlfn.TEXTAFTER(tblTargets[[#This Row],[TargetID]],"state."),"_")),"")</f>
        <v/>
      </c>
      <c r="E323" t="b">
        <v>1</v>
      </c>
      <c r="F323" t="s">
        <v>3599</v>
      </c>
      <c r="G323" t="str">
        <f>IF(RIGHT(tblTargets[[#This Row],[TargetID]],5)="maxed","",IF(tblTargets[[#This Row],[TargetType]]="BUILDING",_xlfn.XLOOKUP(tblTargets[[#This Row],[TargetID]],Targets!$Q$2:$Q$101,Targets!$O$2:$O$101),"Not a building"))</f>
        <v>Not a building</v>
      </c>
      <c r="H323" t="str">
        <f>IF(RIGHT(tblTargets[[#This Row],[TargetID]],5)="maxed","",IF(tblTargets[[#This Row],[TargetType]]="BUILDING",_xlfn.XLOOKUP(tblTargets[[#This Row],[TargetID]],Targets!$M$2:$M$101,Targets!$K$2:$K$101),"Not a building"))</f>
        <v>Not a building</v>
      </c>
    </row>
    <row r="324" spans="1:8">
      <c r="A324" t="s">
        <v>2384</v>
      </c>
      <c r="B324" t="s">
        <v>2386</v>
      </c>
      <c r="C324" t="s">
        <v>2282</v>
      </c>
      <c r="D324" t="str">
        <f>IF(tblTargets[[#This Row],[TargetType]]="state",UPPER(_xlfn.TEXTBEFORE(_xlfn.TEXTAFTER(tblTargets[[#This Row],[TargetID]],"state."),"_")),"")</f>
        <v/>
      </c>
      <c r="E324" t="b">
        <v>1</v>
      </c>
      <c r="F324" t="s">
        <v>3599</v>
      </c>
      <c r="G324" t="str">
        <f>IF(RIGHT(tblTargets[[#This Row],[TargetID]],5)="maxed","",IF(tblTargets[[#This Row],[TargetType]]="BUILDING",_xlfn.XLOOKUP(tblTargets[[#This Row],[TargetID]],Targets!$Q$2:$Q$101,Targets!$O$2:$O$101),"Not a building"))</f>
        <v>Not a building</v>
      </c>
      <c r="H324" t="str">
        <f>IF(RIGHT(tblTargets[[#This Row],[TargetID]],5)="maxed","",IF(tblTargets[[#This Row],[TargetType]]="BUILDING",_xlfn.XLOOKUP(tblTargets[[#This Row],[TargetID]],Targets!$M$2:$M$101,Targets!$K$2:$K$101),"Not a building"))</f>
        <v>Not a building</v>
      </c>
    </row>
    <row r="325" spans="1:8">
      <c r="A325" t="s">
        <v>2518</v>
      </c>
      <c r="B325" t="s">
        <v>2519</v>
      </c>
      <c r="C325" t="s">
        <v>2282</v>
      </c>
      <c r="D325" t="str">
        <f>IF(tblTargets[[#This Row],[TargetType]]="state",UPPER(_xlfn.TEXTBEFORE(_xlfn.TEXTAFTER(tblTargets[[#This Row],[TargetID]],"state."),"_")),"")</f>
        <v/>
      </c>
      <c r="E325" t="b">
        <v>1</v>
      </c>
      <c r="F325" t="s">
        <v>3599</v>
      </c>
      <c r="G325" t="str">
        <f>IF(RIGHT(tblTargets[[#This Row],[TargetID]],5)="maxed","",IF(tblTargets[[#This Row],[TargetType]]="BUILDING",_xlfn.XLOOKUP(tblTargets[[#This Row],[TargetID]],Targets!$Q$2:$Q$101,Targets!$O$2:$O$101),"Not a building"))</f>
        <v>Not a building</v>
      </c>
      <c r="H325" t="str">
        <f>IF(RIGHT(tblTargets[[#This Row],[TargetID]],5)="maxed","",IF(tblTargets[[#This Row],[TargetType]]="BUILDING",_xlfn.XLOOKUP(tblTargets[[#This Row],[TargetID]],Targets!$M$2:$M$101,Targets!$K$2:$K$101),"Not a building"))</f>
        <v>Not a building</v>
      </c>
    </row>
    <row r="326" spans="1:8">
      <c r="A326" t="s">
        <v>2387</v>
      </c>
      <c r="B326" t="s">
        <v>2389</v>
      </c>
      <c r="C326" t="s">
        <v>2282</v>
      </c>
      <c r="D326" t="str">
        <f>IF(tblTargets[[#This Row],[TargetType]]="state",UPPER(_xlfn.TEXTBEFORE(_xlfn.TEXTAFTER(tblTargets[[#This Row],[TargetID]],"state."),"_")),"")</f>
        <v/>
      </c>
      <c r="E326" t="b">
        <v>1</v>
      </c>
      <c r="F326" t="s">
        <v>3599</v>
      </c>
      <c r="G326" t="str">
        <f>IF(RIGHT(tblTargets[[#This Row],[TargetID]],5)="maxed","",IF(tblTargets[[#This Row],[TargetType]]="BUILDING",_xlfn.XLOOKUP(tblTargets[[#This Row],[TargetID]],Targets!$Q$2:$Q$101,Targets!$O$2:$O$101),"Not a building"))</f>
        <v>Not a building</v>
      </c>
      <c r="H326" t="str">
        <f>IF(RIGHT(tblTargets[[#This Row],[TargetID]],5)="maxed","",IF(tblTargets[[#This Row],[TargetType]]="BUILDING",_xlfn.XLOOKUP(tblTargets[[#This Row],[TargetID]],Targets!$M$2:$M$101,Targets!$K$2:$K$101),"Not a building"))</f>
        <v>Not a building</v>
      </c>
    </row>
    <row r="327" spans="1:8">
      <c r="A327" t="s">
        <v>2520</v>
      </c>
      <c r="B327" t="s">
        <v>2521</v>
      </c>
      <c r="C327" t="s">
        <v>2282</v>
      </c>
      <c r="D327" t="str">
        <f>IF(tblTargets[[#This Row],[TargetType]]="state",UPPER(_xlfn.TEXTBEFORE(_xlfn.TEXTAFTER(tblTargets[[#This Row],[TargetID]],"state."),"_")),"")</f>
        <v/>
      </c>
      <c r="E327" t="b">
        <v>1</v>
      </c>
      <c r="F327" t="s">
        <v>3599</v>
      </c>
      <c r="G327" t="str">
        <f>IF(RIGHT(tblTargets[[#This Row],[TargetID]],5)="maxed","",IF(tblTargets[[#This Row],[TargetType]]="BUILDING",_xlfn.XLOOKUP(tblTargets[[#This Row],[TargetID]],Targets!$Q$2:$Q$101,Targets!$O$2:$O$101),"Not a building"))</f>
        <v>Not a building</v>
      </c>
      <c r="H327" t="str">
        <f>IF(RIGHT(tblTargets[[#This Row],[TargetID]],5)="maxed","",IF(tblTargets[[#This Row],[TargetType]]="BUILDING",_xlfn.XLOOKUP(tblTargets[[#This Row],[TargetID]],Targets!$M$2:$M$101,Targets!$K$2:$K$101),"Not a building"))</f>
        <v>Not a building</v>
      </c>
    </row>
    <row r="328" spans="1:8">
      <c r="A328" t="s">
        <v>2390</v>
      </c>
      <c r="B328" t="s">
        <v>2392</v>
      </c>
      <c r="C328" t="s">
        <v>2282</v>
      </c>
      <c r="D328" t="str">
        <f>IF(tblTargets[[#This Row],[TargetType]]="state",UPPER(_xlfn.TEXTBEFORE(_xlfn.TEXTAFTER(tblTargets[[#This Row],[TargetID]],"state."),"_")),"")</f>
        <v/>
      </c>
      <c r="E328" t="b">
        <v>1</v>
      </c>
      <c r="F328" t="s">
        <v>3599</v>
      </c>
      <c r="G328" t="str">
        <f>IF(RIGHT(tblTargets[[#This Row],[TargetID]],5)="maxed","",IF(tblTargets[[#This Row],[TargetType]]="BUILDING",_xlfn.XLOOKUP(tblTargets[[#This Row],[TargetID]],Targets!$Q$2:$Q$101,Targets!$O$2:$O$101),"Not a building"))</f>
        <v>Not a building</v>
      </c>
      <c r="H328" t="str">
        <f>IF(RIGHT(tblTargets[[#This Row],[TargetID]],5)="maxed","",IF(tblTargets[[#This Row],[TargetType]]="BUILDING",_xlfn.XLOOKUP(tblTargets[[#This Row],[TargetID]],Targets!$M$2:$M$101,Targets!$K$2:$K$101),"Not a building"))</f>
        <v>Not a building</v>
      </c>
    </row>
    <row r="329" spans="1:8">
      <c r="A329" t="s">
        <v>2522</v>
      </c>
      <c r="B329" t="s">
        <v>2523</v>
      </c>
      <c r="C329" t="s">
        <v>2282</v>
      </c>
      <c r="D329" t="str">
        <f>IF(tblTargets[[#This Row],[TargetType]]="state",UPPER(_xlfn.TEXTBEFORE(_xlfn.TEXTAFTER(tblTargets[[#This Row],[TargetID]],"state."),"_")),"")</f>
        <v/>
      </c>
      <c r="E329" t="b">
        <v>1</v>
      </c>
      <c r="F329" t="s">
        <v>3599</v>
      </c>
      <c r="G329" t="str">
        <f>IF(RIGHT(tblTargets[[#This Row],[TargetID]],5)="maxed","",IF(tblTargets[[#This Row],[TargetType]]="BUILDING",_xlfn.XLOOKUP(tblTargets[[#This Row],[TargetID]],Targets!$Q$2:$Q$101,Targets!$O$2:$O$101),"Not a building"))</f>
        <v>Not a building</v>
      </c>
      <c r="H329" t="str">
        <f>IF(RIGHT(tblTargets[[#This Row],[TargetID]],5)="maxed","",IF(tblTargets[[#This Row],[TargetType]]="BUILDING",_xlfn.XLOOKUP(tblTargets[[#This Row],[TargetID]],Targets!$M$2:$M$101,Targets!$K$2:$K$101),"Not a building"))</f>
        <v>Not a building</v>
      </c>
    </row>
    <row r="330" spans="1:8">
      <c r="A330" t="s">
        <v>2393</v>
      </c>
      <c r="B330" t="s">
        <v>2395</v>
      </c>
      <c r="C330" t="s">
        <v>2282</v>
      </c>
      <c r="D330" t="str">
        <f>IF(tblTargets[[#This Row],[TargetType]]="state",UPPER(_xlfn.TEXTBEFORE(_xlfn.TEXTAFTER(tblTargets[[#This Row],[TargetID]],"state."),"_")),"")</f>
        <v/>
      </c>
      <c r="E330" t="b">
        <v>1</v>
      </c>
      <c r="F330" t="s">
        <v>3599</v>
      </c>
      <c r="G330" t="str">
        <f>IF(RIGHT(tblTargets[[#This Row],[TargetID]],5)="maxed","",IF(tblTargets[[#This Row],[TargetType]]="BUILDING",_xlfn.XLOOKUP(tblTargets[[#This Row],[TargetID]],Targets!$Q$2:$Q$101,Targets!$O$2:$O$101),"Not a building"))</f>
        <v>Not a building</v>
      </c>
      <c r="H330" t="str">
        <f>IF(RIGHT(tblTargets[[#This Row],[TargetID]],5)="maxed","",IF(tblTargets[[#This Row],[TargetType]]="BUILDING",_xlfn.XLOOKUP(tblTargets[[#This Row],[TargetID]],Targets!$M$2:$M$101,Targets!$K$2:$K$101),"Not a building"))</f>
        <v>Not a building</v>
      </c>
    </row>
    <row r="331" spans="1:8">
      <c r="A331" t="s">
        <v>2524</v>
      </c>
      <c r="B331" t="s">
        <v>2525</v>
      </c>
      <c r="C331" t="s">
        <v>2282</v>
      </c>
      <c r="D331" t="str">
        <f>IF(tblTargets[[#This Row],[TargetType]]="state",UPPER(_xlfn.TEXTBEFORE(_xlfn.TEXTAFTER(tblTargets[[#This Row],[TargetID]],"state."),"_")),"")</f>
        <v/>
      </c>
      <c r="E331" t="b">
        <v>1</v>
      </c>
      <c r="F331" t="s">
        <v>3599</v>
      </c>
      <c r="G331" t="str">
        <f>IF(RIGHT(tblTargets[[#This Row],[TargetID]],5)="maxed","",IF(tblTargets[[#This Row],[TargetType]]="BUILDING",_xlfn.XLOOKUP(tblTargets[[#This Row],[TargetID]],Targets!$Q$2:$Q$101,Targets!$O$2:$O$101),"Not a building"))</f>
        <v>Not a building</v>
      </c>
      <c r="H331" t="str">
        <f>IF(RIGHT(tblTargets[[#This Row],[TargetID]],5)="maxed","",IF(tblTargets[[#This Row],[TargetType]]="BUILDING",_xlfn.XLOOKUP(tblTargets[[#This Row],[TargetID]],Targets!$M$2:$M$101,Targets!$K$2:$K$101),"Not a building"))</f>
        <v>Not a building</v>
      </c>
    </row>
    <row r="332" spans="1:8">
      <c r="A332" t="s">
        <v>2396</v>
      </c>
      <c r="B332" t="s">
        <v>2398</v>
      </c>
      <c r="C332" t="s">
        <v>2282</v>
      </c>
      <c r="D332" t="str">
        <f>IF(tblTargets[[#This Row],[TargetType]]="state",UPPER(_xlfn.TEXTBEFORE(_xlfn.TEXTAFTER(tblTargets[[#This Row],[TargetID]],"state."),"_")),"")</f>
        <v/>
      </c>
      <c r="E332" t="b">
        <v>1</v>
      </c>
      <c r="F332" t="s">
        <v>3599</v>
      </c>
      <c r="G332" t="str">
        <f>IF(RIGHT(tblTargets[[#This Row],[TargetID]],5)="maxed","",IF(tblTargets[[#This Row],[TargetType]]="BUILDING",_xlfn.XLOOKUP(tblTargets[[#This Row],[TargetID]],Targets!$Q$2:$Q$101,Targets!$O$2:$O$101),"Not a building"))</f>
        <v>Not a building</v>
      </c>
      <c r="H332" t="str">
        <f>IF(RIGHT(tblTargets[[#This Row],[TargetID]],5)="maxed","",IF(tblTargets[[#This Row],[TargetType]]="BUILDING",_xlfn.XLOOKUP(tblTargets[[#This Row],[TargetID]],Targets!$M$2:$M$101,Targets!$K$2:$K$101),"Not a building"))</f>
        <v>Not a building</v>
      </c>
    </row>
    <row r="333" spans="1:8">
      <c r="A333" t="s">
        <v>2526</v>
      </c>
      <c r="B333" t="s">
        <v>2527</v>
      </c>
      <c r="C333" t="s">
        <v>2282</v>
      </c>
      <c r="D333" t="str">
        <f>IF(tblTargets[[#This Row],[TargetType]]="state",UPPER(_xlfn.TEXTBEFORE(_xlfn.TEXTAFTER(tblTargets[[#This Row],[TargetID]],"state."),"_")),"")</f>
        <v/>
      </c>
      <c r="E333" t="b">
        <v>1</v>
      </c>
      <c r="F333" t="s">
        <v>3599</v>
      </c>
      <c r="G333" t="str">
        <f>IF(RIGHT(tblTargets[[#This Row],[TargetID]],5)="maxed","",IF(tblTargets[[#This Row],[TargetType]]="BUILDING",_xlfn.XLOOKUP(tblTargets[[#This Row],[TargetID]],Targets!$Q$2:$Q$101,Targets!$O$2:$O$101),"Not a building"))</f>
        <v>Not a building</v>
      </c>
      <c r="H333" t="str">
        <f>IF(RIGHT(tblTargets[[#This Row],[TargetID]],5)="maxed","",IF(tblTargets[[#This Row],[TargetType]]="BUILDING",_xlfn.XLOOKUP(tblTargets[[#This Row],[TargetID]],Targets!$M$2:$M$101,Targets!$K$2:$K$101),"Not a building"))</f>
        <v>Not a building</v>
      </c>
    </row>
    <row r="334" spans="1:8">
      <c r="A334" t="s">
        <v>2399</v>
      </c>
      <c r="B334" t="s">
        <v>2401</v>
      </c>
      <c r="C334" t="s">
        <v>2282</v>
      </c>
      <c r="D334" t="str">
        <f>IF(tblTargets[[#This Row],[TargetType]]="state",UPPER(_xlfn.TEXTBEFORE(_xlfn.TEXTAFTER(tblTargets[[#This Row],[TargetID]],"state."),"_")),"")</f>
        <v/>
      </c>
      <c r="E334" t="b">
        <v>1</v>
      </c>
      <c r="F334" t="s">
        <v>3599</v>
      </c>
      <c r="G334" t="str">
        <f>IF(RIGHT(tblTargets[[#This Row],[TargetID]],5)="maxed","",IF(tblTargets[[#This Row],[TargetType]]="BUILDING",_xlfn.XLOOKUP(tblTargets[[#This Row],[TargetID]],Targets!$Q$2:$Q$101,Targets!$O$2:$O$101),"Not a building"))</f>
        <v>Not a building</v>
      </c>
      <c r="H334" t="str">
        <f>IF(RIGHT(tblTargets[[#This Row],[TargetID]],5)="maxed","",IF(tblTargets[[#This Row],[TargetType]]="BUILDING",_xlfn.XLOOKUP(tblTargets[[#This Row],[TargetID]],Targets!$M$2:$M$101,Targets!$K$2:$K$101),"Not a building"))</f>
        <v>Not a building</v>
      </c>
    </row>
    <row r="335" spans="1:8">
      <c r="A335" t="s">
        <v>2528</v>
      </c>
      <c r="B335" t="s">
        <v>2529</v>
      </c>
      <c r="C335" t="s">
        <v>2282</v>
      </c>
      <c r="D335" t="str">
        <f>IF(tblTargets[[#This Row],[TargetType]]="state",UPPER(_xlfn.TEXTBEFORE(_xlfn.TEXTAFTER(tblTargets[[#This Row],[TargetID]],"state."),"_")),"")</f>
        <v/>
      </c>
      <c r="E335" t="b">
        <v>1</v>
      </c>
      <c r="F335" t="s">
        <v>3599</v>
      </c>
      <c r="G335" t="str">
        <f>IF(RIGHT(tblTargets[[#This Row],[TargetID]],5)="maxed","",IF(tblTargets[[#This Row],[TargetType]]="BUILDING",_xlfn.XLOOKUP(tblTargets[[#This Row],[TargetID]],Targets!$Q$2:$Q$101,Targets!$O$2:$O$101),"Not a building"))</f>
        <v>Not a building</v>
      </c>
      <c r="H335" t="str">
        <f>IF(RIGHT(tblTargets[[#This Row],[TargetID]],5)="maxed","",IF(tblTargets[[#This Row],[TargetType]]="BUILDING",_xlfn.XLOOKUP(tblTargets[[#This Row],[TargetID]],Targets!$M$2:$M$101,Targets!$K$2:$K$101),"Not a building"))</f>
        <v>Not a building</v>
      </c>
    </row>
    <row r="336" spans="1:8">
      <c r="A336" t="s">
        <v>2402</v>
      </c>
      <c r="B336" t="s">
        <v>2404</v>
      </c>
      <c r="C336" t="s">
        <v>2282</v>
      </c>
      <c r="D336" t="str">
        <f>IF(tblTargets[[#This Row],[TargetType]]="state",UPPER(_xlfn.TEXTBEFORE(_xlfn.TEXTAFTER(tblTargets[[#This Row],[TargetID]],"state."),"_")),"")</f>
        <v/>
      </c>
      <c r="E336" t="b">
        <v>1</v>
      </c>
      <c r="F336" t="s">
        <v>3599</v>
      </c>
      <c r="G336" t="str">
        <f>IF(RIGHT(tblTargets[[#This Row],[TargetID]],5)="maxed","",IF(tblTargets[[#This Row],[TargetType]]="BUILDING",_xlfn.XLOOKUP(tblTargets[[#This Row],[TargetID]],Targets!$Q$2:$Q$101,Targets!$O$2:$O$101),"Not a building"))</f>
        <v>Not a building</v>
      </c>
      <c r="H336" t="str">
        <f>IF(RIGHT(tblTargets[[#This Row],[TargetID]],5)="maxed","",IF(tblTargets[[#This Row],[TargetType]]="BUILDING",_xlfn.XLOOKUP(tblTargets[[#This Row],[TargetID]],Targets!$M$2:$M$101,Targets!$K$2:$K$101),"Not a building"))</f>
        <v>Not a building</v>
      </c>
    </row>
    <row r="337" spans="1:8">
      <c r="A337" t="s">
        <v>2530</v>
      </c>
      <c r="B337" t="s">
        <v>2531</v>
      </c>
      <c r="C337" t="s">
        <v>2282</v>
      </c>
      <c r="D337" t="str">
        <f>IF(tblTargets[[#This Row],[TargetType]]="state",UPPER(_xlfn.TEXTBEFORE(_xlfn.TEXTAFTER(tblTargets[[#This Row],[TargetID]],"state."),"_")),"")</f>
        <v/>
      </c>
      <c r="E337" t="b">
        <v>1</v>
      </c>
      <c r="F337" t="s">
        <v>3599</v>
      </c>
      <c r="G337" t="str">
        <f>IF(RIGHT(tblTargets[[#This Row],[TargetID]],5)="maxed","",IF(tblTargets[[#This Row],[TargetType]]="BUILDING",_xlfn.XLOOKUP(tblTargets[[#This Row],[TargetID]],Targets!$Q$2:$Q$101,Targets!$O$2:$O$101),"Not a building"))</f>
        <v>Not a building</v>
      </c>
      <c r="H337" t="str">
        <f>IF(RIGHT(tblTargets[[#This Row],[TargetID]],5)="maxed","",IF(tblTargets[[#This Row],[TargetType]]="BUILDING",_xlfn.XLOOKUP(tblTargets[[#This Row],[TargetID]],Targets!$M$2:$M$101,Targets!$K$2:$K$101),"Not a building"))</f>
        <v>Not a building</v>
      </c>
    </row>
    <row r="338" spans="1:8">
      <c r="A338" t="s">
        <v>2405</v>
      </c>
      <c r="B338" t="s">
        <v>2407</v>
      </c>
      <c r="C338" t="s">
        <v>2282</v>
      </c>
      <c r="D338" t="str">
        <f>IF(tblTargets[[#This Row],[TargetType]]="state",UPPER(_xlfn.TEXTBEFORE(_xlfn.TEXTAFTER(tblTargets[[#This Row],[TargetID]],"state."),"_")),"")</f>
        <v/>
      </c>
      <c r="E338" t="b">
        <v>1</v>
      </c>
      <c r="F338" t="s">
        <v>3599</v>
      </c>
      <c r="G338" t="str">
        <f>IF(RIGHT(tblTargets[[#This Row],[TargetID]],5)="maxed","",IF(tblTargets[[#This Row],[TargetType]]="BUILDING",_xlfn.XLOOKUP(tblTargets[[#This Row],[TargetID]],Targets!$Q$2:$Q$101,Targets!$O$2:$O$101),"Not a building"))</f>
        <v>Not a building</v>
      </c>
      <c r="H338" t="str">
        <f>IF(RIGHT(tblTargets[[#This Row],[TargetID]],5)="maxed","",IF(tblTargets[[#This Row],[TargetType]]="BUILDING",_xlfn.XLOOKUP(tblTargets[[#This Row],[TargetID]],Targets!$M$2:$M$101,Targets!$K$2:$K$101),"Not a building"))</f>
        <v>Not a building</v>
      </c>
    </row>
    <row r="339" spans="1:8">
      <c r="A339" t="s">
        <v>2532</v>
      </c>
      <c r="B339" t="s">
        <v>2533</v>
      </c>
      <c r="C339" t="s">
        <v>2282</v>
      </c>
      <c r="D339" t="str">
        <f>IF(tblTargets[[#This Row],[TargetType]]="state",UPPER(_xlfn.TEXTBEFORE(_xlfn.TEXTAFTER(tblTargets[[#This Row],[TargetID]],"state."),"_")),"")</f>
        <v/>
      </c>
      <c r="E339" t="b">
        <v>1</v>
      </c>
      <c r="F339" t="s">
        <v>3599</v>
      </c>
      <c r="G339" t="str">
        <f>IF(RIGHT(tblTargets[[#This Row],[TargetID]],5)="maxed","",IF(tblTargets[[#This Row],[TargetType]]="BUILDING",_xlfn.XLOOKUP(tblTargets[[#This Row],[TargetID]],Targets!$Q$2:$Q$101,Targets!$O$2:$O$101),"Not a building"))</f>
        <v>Not a building</v>
      </c>
      <c r="H339" t="str">
        <f>IF(RIGHT(tblTargets[[#This Row],[TargetID]],5)="maxed","",IF(tblTargets[[#This Row],[TargetType]]="BUILDING",_xlfn.XLOOKUP(tblTargets[[#This Row],[TargetID]],Targets!$M$2:$M$101,Targets!$K$2:$K$101),"Not a building"))</f>
        <v>Not a building</v>
      </c>
    </row>
    <row r="340" spans="1:8">
      <c r="A340" t="s">
        <v>2408</v>
      </c>
      <c r="B340" t="s">
        <v>2410</v>
      </c>
      <c r="C340" t="s">
        <v>2282</v>
      </c>
      <c r="D340" t="str">
        <f>IF(tblTargets[[#This Row],[TargetType]]="state",UPPER(_xlfn.TEXTBEFORE(_xlfn.TEXTAFTER(tblTargets[[#This Row],[TargetID]],"state."),"_")),"")</f>
        <v/>
      </c>
      <c r="E340" t="b">
        <v>1</v>
      </c>
      <c r="F340" t="s">
        <v>3599</v>
      </c>
      <c r="G340" t="str">
        <f>IF(RIGHT(tblTargets[[#This Row],[TargetID]],5)="maxed","",IF(tblTargets[[#This Row],[TargetType]]="BUILDING",_xlfn.XLOOKUP(tblTargets[[#This Row],[TargetID]],Targets!$Q$2:$Q$101,Targets!$O$2:$O$101),"Not a building"))</f>
        <v>Not a building</v>
      </c>
      <c r="H340" t="str">
        <f>IF(RIGHT(tblTargets[[#This Row],[TargetID]],5)="maxed","",IF(tblTargets[[#This Row],[TargetType]]="BUILDING",_xlfn.XLOOKUP(tblTargets[[#This Row],[TargetID]],Targets!$M$2:$M$101,Targets!$K$2:$K$101),"Not a building"))</f>
        <v>Not a building</v>
      </c>
    </row>
    <row r="341" spans="1:8">
      <c r="A341" t="s">
        <v>2534</v>
      </c>
      <c r="B341" t="s">
        <v>2535</v>
      </c>
      <c r="C341" t="s">
        <v>2282</v>
      </c>
      <c r="D341" t="str">
        <f>IF(tblTargets[[#This Row],[TargetType]]="state",UPPER(_xlfn.TEXTBEFORE(_xlfn.TEXTAFTER(tblTargets[[#This Row],[TargetID]],"state."),"_")),"")</f>
        <v/>
      </c>
      <c r="E341" t="b">
        <v>1</v>
      </c>
      <c r="F341" t="s">
        <v>3599</v>
      </c>
      <c r="G341" t="str">
        <f>IF(RIGHT(tblTargets[[#This Row],[TargetID]],5)="maxed","",IF(tblTargets[[#This Row],[TargetType]]="BUILDING",_xlfn.XLOOKUP(tblTargets[[#This Row],[TargetID]],Targets!$Q$2:$Q$101,Targets!$O$2:$O$101),"Not a building"))</f>
        <v>Not a building</v>
      </c>
      <c r="H341" t="str">
        <f>IF(RIGHT(tblTargets[[#This Row],[TargetID]],5)="maxed","",IF(tblTargets[[#This Row],[TargetType]]="BUILDING",_xlfn.XLOOKUP(tblTargets[[#This Row],[TargetID]],Targets!$M$2:$M$101,Targets!$K$2:$K$101),"Not a building"))</f>
        <v>Not a building</v>
      </c>
    </row>
    <row r="342" spans="1:8">
      <c r="A342" t="s">
        <v>2411</v>
      </c>
      <c r="B342" t="s">
        <v>2413</v>
      </c>
      <c r="C342" t="s">
        <v>2282</v>
      </c>
      <c r="D342" t="str">
        <f>IF(tblTargets[[#This Row],[TargetType]]="state",UPPER(_xlfn.TEXTBEFORE(_xlfn.TEXTAFTER(tblTargets[[#This Row],[TargetID]],"state."),"_")),"")</f>
        <v/>
      </c>
      <c r="E342" t="b">
        <v>1</v>
      </c>
      <c r="F342" t="s">
        <v>3599</v>
      </c>
      <c r="G342" t="str">
        <f>IF(RIGHT(tblTargets[[#This Row],[TargetID]],5)="maxed","",IF(tblTargets[[#This Row],[TargetType]]="BUILDING",_xlfn.XLOOKUP(tblTargets[[#This Row],[TargetID]],Targets!$Q$2:$Q$101,Targets!$O$2:$O$101),"Not a building"))</f>
        <v>Not a building</v>
      </c>
      <c r="H342" t="str">
        <f>IF(RIGHT(tblTargets[[#This Row],[TargetID]],5)="maxed","",IF(tblTargets[[#This Row],[TargetType]]="BUILDING",_xlfn.XLOOKUP(tblTargets[[#This Row],[TargetID]],Targets!$M$2:$M$101,Targets!$K$2:$K$101),"Not a building"))</f>
        <v>Not a building</v>
      </c>
    </row>
    <row r="343" spans="1:8">
      <c r="A343" t="s">
        <v>2536</v>
      </c>
      <c r="B343" t="s">
        <v>2537</v>
      </c>
      <c r="C343" t="s">
        <v>2282</v>
      </c>
      <c r="D343" t="str">
        <f>IF(tblTargets[[#This Row],[TargetType]]="state",UPPER(_xlfn.TEXTBEFORE(_xlfn.TEXTAFTER(tblTargets[[#This Row],[TargetID]],"state."),"_")),"")</f>
        <v/>
      </c>
      <c r="E343" t="b">
        <v>1</v>
      </c>
      <c r="F343" t="s">
        <v>3599</v>
      </c>
      <c r="G343" t="str">
        <f>IF(RIGHT(tblTargets[[#This Row],[TargetID]],5)="maxed","",IF(tblTargets[[#This Row],[TargetType]]="BUILDING",_xlfn.XLOOKUP(tblTargets[[#This Row],[TargetID]],Targets!$Q$2:$Q$101,Targets!$O$2:$O$101),"Not a building"))</f>
        <v>Not a building</v>
      </c>
      <c r="H343" t="str">
        <f>IF(RIGHT(tblTargets[[#This Row],[TargetID]],5)="maxed","",IF(tblTargets[[#This Row],[TargetType]]="BUILDING",_xlfn.XLOOKUP(tblTargets[[#This Row],[TargetID]],Targets!$M$2:$M$101,Targets!$K$2:$K$101),"Not a building"))</f>
        <v>Not a building</v>
      </c>
    </row>
    <row r="344" spans="1:8">
      <c r="A344" t="s">
        <v>2414</v>
      </c>
      <c r="B344" t="s">
        <v>2416</v>
      </c>
      <c r="C344" t="s">
        <v>2282</v>
      </c>
      <c r="D344" t="str">
        <f>IF(tblTargets[[#This Row],[TargetType]]="state",UPPER(_xlfn.TEXTBEFORE(_xlfn.TEXTAFTER(tblTargets[[#This Row],[TargetID]],"state."),"_")),"")</f>
        <v/>
      </c>
      <c r="E344" t="b">
        <v>1</v>
      </c>
      <c r="F344" t="s">
        <v>3599</v>
      </c>
      <c r="G344" t="str">
        <f>IF(RIGHT(tblTargets[[#This Row],[TargetID]],5)="maxed","",IF(tblTargets[[#This Row],[TargetType]]="BUILDING",_xlfn.XLOOKUP(tblTargets[[#This Row],[TargetID]],Targets!$Q$2:$Q$101,Targets!$O$2:$O$101),"Not a building"))</f>
        <v>Not a building</v>
      </c>
      <c r="H344" t="str">
        <f>IF(RIGHT(tblTargets[[#This Row],[TargetID]],5)="maxed","",IF(tblTargets[[#This Row],[TargetType]]="BUILDING",_xlfn.XLOOKUP(tblTargets[[#This Row],[TargetID]],Targets!$M$2:$M$101,Targets!$K$2:$K$101),"Not a building"))</f>
        <v>Not a building</v>
      </c>
    </row>
    <row r="345" spans="1:8">
      <c r="A345" t="s">
        <v>2538</v>
      </c>
      <c r="B345" t="s">
        <v>2539</v>
      </c>
      <c r="C345" t="s">
        <v>2282</v>
      </c>
      <c r="D345" t="str">
        <f>IF(tblTargets[[#This Row],[TargetType]]="state",UPPER(_xlfn.TEXTBEFORE(_xlfn.TEXTAFTER(tblTargets[[#This Row],[TargetID]],"state."),"_")),"")</f>
        <v/>
      </c>
      <c r="E345" t="b">
        <v>1</v>
      </c>
      <c r="F345" t="s">
        <v>3599</v>
      </c>
      <c r="G345" t="str">
        <f>IF(RIGHT(tblTargets[[#This Row],[TargetID]],5)="maxed","",IF(tblTargets[[#This Row],[TargetType]]="BUILDING",_xlfn.XLOOKUP(tblTargets[[#This Row],[TargetID]],Targets!$Q$2:$Q$101,Targets!$O$2:$O$101),"Not a building"))</f>
        <v>Not a building</v>
      </c>
      <c r="H345" t="str">
        <f>IF(RIGHT(tblTargets[[#This Row],[TargetID]],5)="maxed","",IF(tblTargets[[#This Row],[TargetType]]="BUILDING",_xlfn.XLOOKUP(tblTargets[[#This Row],[TargetID]],Targets!$M$2:$M$101,Targets!$K$2:$K$101),"Not a building"))</f>
        <v>Not a building</v>
      </c>
    </row>
    <row r="346" spans="1:8">
      <c r="A346" t="s">
        <v>2417</v>
      </c>
      <c r="B346" t="s">
        <v>2419</v>
      </c>
      <c r="C346" t="s">
        <v>2282</v>
      </c>
      <c r="D346" t="str">
        <f>IF(tblTargets[[#This Row],[TargetType]]="state",UPPER(_xlfn.TEXTBEFORE(_xlfn.TEXTAFTER(tblTargets[[#This Row],[TargetID]],"state."),"_")),"")</f>
        <v/>
      </c>
      <c r="E346" t="b">
        <v>1</v>
      </c>
      <c r="F346" t="s">
        <v>3599</v>
      </c>
      <c r="G346" t="str">
        <f>IF(RIGHT(tblTargets[[#This Row],[TargetID]],5)="maxed","",IF(tblTargets[[#This Row],[TargetType]]="BUILDING",_xlfn.XLOOKUP(tblTargets[[#This Row],[TargetID]],Targets!$Q$2:$Q$101,Targets!$O$2:$O$101),"Not a building"))</f>
        <v>Not a building</v>
      </c>
      <c r="H346" t="str">
        <f>IF(RIGHT(tblTargets[[#This Row],[TargetID]],5)="maxed","",IF(tblTargets[[#This Row],[TargetType]]="BUILDING",_xlfn.XLOOKUP(tblTargets[[#This Row],[TargetID]],Targets!$M$2:$M$101,Targets!$K$2:$K$101),"Not a building"))</f>
        <v>Not a building</v>
      </c>
    </row>
    <row r="347" spans="1:8">
      <c r="A347" t="s">
        <v>2540</v>
      </c>
      <c r="B347" t="s">
        <v>2541</v>
      </c>
      <c r="C347" t="s">
        <v>2282</v>
      </c>
      <c r="D347" t="str">
        <f>IF(tblTargets[[#This Row],[TargetType]]="state",UPPER(_xlfn.TEXTBEFORE(_xlfn.TEXTAFTER(tblTargets[[#This Row],[TargetID]],"state."),"_")),"")</f>
        <v/>
      </c>
      <c r="E347" t="b">
        <v>1</v>
      </c>
      <c r="F347" t="s">
        <v>3599</v>
      </c>
      <c r="G347" t="str">
        <f>IF(RIGHT(tblTargets[[#This Row],[TargetID]],5)="maxed","",IF(tblTargets[[#This Row],[TargetType]]="BUILDING",_xlfn.XLOOKUP(tblTargets[[#This Row],[TargetID]],Targets!$Q$2:$Q$101,Targets!$O$2:$O$101),"Not a building"))</f>
        <v>Not a building</v>
      </c>
      <c r="H347" t="str">
        <f>IF(RIGHT(tblTargets[[#This Row],[TargetID]],5)="maxed","",IF(tblTargets[[#This Row],[TargetType]]="BUILDING",_xlfn.XLOOKUP(tblTargets[[#This Row],[TargetID]],Targets!$M$2:$M$101,Targets!$K$2:$K$101),"Not a building"))</f>
        <v>Not a building</v>
      </c>
    </row>
    <row r="348" spans="1:8">
      <c r="A348" t="s">
        <v>2420</v>
      </c>
      <c r="B348" t="s">
        <v>2422</v>
      </c>
      <c r="C348" t="s">
        <v>2282</v>
      </c>
      <c r="D348" t="str">
        <f>IF(tblTargets[[#This Row],[TargetType]]="state",UPPER(_xlfn.TEXTBEFORE(_xlfn.TEXTAFTER(tblTargets[[#This Row],[TargetID]],"state."),"_")),"")</f>
        <v/>
      </c>
      <c r="E348" t="b">
        <v>1</v>
      </c>
      <c r="F348" t="s">
        <v>3599</v>
      </c>
      <c r="G348" t="str">
        <f>IF(RIGHT(tblTargets[[#This Row],[TargetID]],5)="maxed","",IF(tblTargets[[#This Row],[TargetType]]="BUILDING",_xlfn.XLOOKUP(tblTargets[[#This Row],[TargetID]],Targets!$Q$2:$Q$101,Targets!$O$2:$O$101),"Not a building"))</f>
        <v>Not a building</v>
      </c>
      <c r="H348" t="str">
        <f>IF(RIGHT(tblTargets[[#This Row],[TargetID]],5)="maxed","",IF(tblTargets[[#This Row],[TargetType]]="BUILDING",_xlfn.XLOOKUP(tblTargets[[#This Row],[TargetID]],Targets!$M$2:$M$101,Targets!$K$2:$K$101),"Not a building"))</f>
        <v>Not a building</v>
      </c>
    </row>
    <row r="349" spans="1:8">
      <c r="A349" t="s">
        <v>2542</v>
      </c>
      <c r="B349" t="s">
        <v>2543</v>
      </c>
      <c r="C349" t="s">
        <v>2282</v>
      </c>
      <c r="D349" t="str">
        <f>IF(tblTargets[[#This Row],[TargetType]]="state",UPPER(_xlfn.TEXTBEFORE(_xlfn.TEXTAFTER(tblTargets[[#This Row],[TargetID]],"state."),"_")),"")</f>
        <v/>
      </c>
      <c r="E349" t="b">
        <v>1</v>
      </c>
      <c r="F349" t="s">
        <v>3599</v>
      </c>
      <c r="G349" t="str">
        <f>IF(RIGHT(tblTargets[[#This Row],[TargetID]],5)="maxed","",IF(tblTargets[[#This Row],[TargetType]]="BUILDING",_xlfn.XLOOKUP(tblTargets[[#This Row],[TargetID]],Targets!$Q$2:$Q$101,Targets!$O$2:$O$101),"Not a building"))</f>
        <v>Not a building</v>
      </c>
      <c r="H349" t="str">
        <f>IF(RIGHT(tblTargets[[#This Row],[TargetID]],5)="maxed","",IF(tblTargets[[#This Row],[TargetType]]="BUILDING",_xlfn.XLOOKUP(tblTargets[[#This Row],[TargetID]],Targets!$M$2:$M$101,Targets!$K$2:$K$101),"Not a building"))</f>
        <v>Not a building</v>
      </c>
    </row>
    <row r="350" spans="1:8">
      <c r="A350" t="s">
        <v>2423</v>
      </c>
      <c r="B350" t="s">
        <v>2425</v>
      </c>
      <c r="C350" t="s">
        <v>2282</v>
      </c>
      <c r="D350" t="str">
        <f>IF(tblTargets[[#This Row],[TargetType]]="state",UPPER(_xlfn.TEXTBEFORE(_xlfn.TEXTAFTER(tblTargets[[#This Row],[TargetID]],"state."),"_")),"")</f>
        <v/>
      </c>
      <c r="E350" t="b">
        <v>1</v>
      </c>
      <c r="F350" t="s">
        <v>3599</v>
      </c>
      <c r="G350" t="str">
        <f>IF(RIGHT(tblTargets[[#This Row],[TargetID]],5)="maxed","",IF(tblTargets[[#This Row],[TargetType]]="BUILDING",_xlfn.XLOOKUP(tblTargets[[#This Row],[TargetID]],Targets!$Q$2:$Q$101,Targets!$O$2:$O$101),"Not a building"))</f>
        <v>Not a building</v>
      </c>
      <c r="H350" t="str">
        <f>IF(RIGHT(tblTargets[[#This Row],[TargetID]],5)="maxed","",IF(tblTargets[[#This Row],[TargetType]]="BUILDING",_xlfn.XLOOKUP(tblTargets[[#This Row],[TargetID]],Targets!$M$2:$M$101,Targets!$K$2:$K$101),"Not a building"))</f>
        <v>Not a building</v>
      </c>
    </row>
    <row r="351" spans="1:8">
      <c r="A351" t="s">
        <v>2544</v>
      </c>
      <c r="B351" t="s">
        <v>2545</v>
      </c>
      <c r="C351" t="s">
        <v>2282</v>
      </c>
      <c r="D351" t="str">
        <f>IF(tblTargets[[#This Row],[TargetType]]="state",UPPER(_xlfn.TEXTBEFORE(_xlfn.TEXTAFTER(tblTargets[[#This Row],[TargetID]],"state."),"_")),"")</f>
        <v/>
      </c>
      <c r="E351" t="b">
        <v>1</v>
      </c>
      <c r="F351" t="s">
        <v>3599</v>
      </c>
      <c r="G351" t="str">
        <f>IF(RIGHT(tblTargets[[#This Row],[TargetID]],5)="maxed","",IF(tblTargets[[#This Row],[TargetType]]="BUILDING",_xlfn.XLOOKUP(tblTargets[[#This Row],[TargetID]],Targets!$Q$2:$Q$101,Targets!$O$2:$O$101),"Not a building"))</f>
        <v>Not a building</v>
      </c>
      <c r="H351" t="str">
        <f>IF(RIGHT(tblTargets[[#This Row],[TargetID]],5)="maxed","",IF(tblTargets[[#This Row],[TargetType]]="BUILDING",_xlfn.XLOOKUP(tblTargets[[#This Row],[TargetID]],Targets!$M$2:$M$101,Targets!$K$2:$K$101),"Not a building"))</f>
        <v>Not a building</v>
      </c>
    </row>
    <row r="352" spans="1:8">
      <c r="A352" t="s">
        <v>2426</v>
      </c>
      <c r="B352" t="s">
        <v>2428</v>
      </c>
      <c r="C352" t="s">
        <v>2282</v>
      </c>
      <c r="D352" t="str">
        <f>IF(tblTargets[[#This Row],[TargetType]]="state",UPPER(_xlfn.TEXTBEFORE(_xlfn.TEXTAFTER(tblTargets[[#This Row],[TargetID]],"state."),"_")),"")</f>
        <v/>
      </c>
      <c r="E352" t="b">
        <v>1</v>
      </c>
      <c r="F352" t="s">
        <v>3599</v>
      </c>
      <c r="G352" t="str">
        <f>IF(RIGHT(tblTargets[[#This Row],[TargetID]],5)="maxed","",IF(tblTargets[[#This Row],[TargetType]]="BUILDING",_xlfn.XLOOKUP(tblTargets[[#This Row],[TargetID]],Targets!$Q$2:$Q$101,Targets!$O$2:$O$101),"Not a building"))</f>
        <v>Not a building</v>
      </c>
      <c r="H352" t="str">
        <f>IF(RIGHT(tblTargets[[#This Row],[TargetID]],5)="maxed","",IF(tblTargets[[#This Row],[TargetType]]="BUILDING",_xlfn.XLOOKUP(tblTargets[[#This Row],[TargetID]],Targets!$M$2:$M$101,Targets!$K$2:$K$101),"Not a building"))</f>
        <v>Not a building</v>
      </c>
    </row>
    <row r="353" spans="1:8">
      <c r="A353" t="s">
        <v>2546</v>
      </c>
      <c r="B353" t="s">
        <v>2547</v>
      </c>
      <c r="C353" t="s">
        <v>2282</v>
      </c>
      <c r="D353" t="str">
        <f>IF(tblTargets[[#This Row],[TargetType]]="state",UPPER(_xlfn.TEXTBEFORE(_xlfn.TEXTAFTER(tblTargets[[#This Row],[TargetID]],"state."),"_")),"")</f>
        <v/>
      </c>
      <c r="E353" t="b">
        <v>1</v>
      </c>
      <c r="F353" t="s">
        <v>3599</v>
      </c>
      <c r="G353" t="str">
        <f>IF(RIGHT(tblTargets[[#This Row],[TargetID]],5)="maxed","",IF(tblTargets[[#This Row],[TargetType]]="BUILDING",_xlfn.XLOOKUP(tblTargets[[#This Row],[TargetID]],Targets!$Q$2:$Q$101,Targets!$O$2:$O$101),"Not a building"))</f>
        <v>Not a building</v>
      </c>
      <c r="H353" t="str">
        <f>IF(RIGHT(tblTargets[[#This Row],[TargetID]],5)="maxed","",IF(tblTargets[[#This Row],[TargetType]]="BUILDING",_xlfn.XLOOKUP(tblTargets[[#This Row],[TargetID]],Targets!$M$2:$M$101,Targets!$K$2:$K$101),"Not a building"))</f>
        <v>Not a building</v>
      </c>
    </row>
    <row r="354" spans="1:8">
      <c r="A354" t="s">
        <v>2429</v>
      </c>
      <c r="B354" t="s">
        <v>2431</v>
      </c>
      <c r="C354" t="s">
        <v>2282</v>
      </c>
      <c r="D354" t="str">
        <f>IF(tblTargets[[#This Row],[TargetType]]="state",UPPER(_xlfn.TEXTBEFORE(_xlfn.TEXTAFTER(tblTargets[[#This Row],[TargetID]],"state."),"_")),"")</f>
        <v/>
      </c>
      <c r="E354" t="b">
        <v>1</v>
      </c>
      <c r="F354" t="s">
        <v>3599</v>
      </c>
      <c r="G354" t="str">
        <f>IF(RIGHT(tblTargets[[#This Row],[TargetID]],5)="maxed","",IF(tblTargets[[#This Row],[TargetType]]="BUILDING",_xlfn.XLOOKUP(tblTargets[[#This Row],[TargetID]],Targets!$Q$2:$Q$101,Targets!$O$2:$O$101),"Not a building"))</f>
        <v>Not a building</v>
      </c>
      <c r="H354" t="str">
        <f>IF(RIGHT(tblTargets[[#This Row],[TargetID]],5)="maxed","",IF(tblTargets[[#This Row],[TargetType]]="BUILDING",_xlfn.XLOOKUP(tblTargets[[#This Row],[TargetID]],Targets!$M$2:$M$101,Targets!$K$2:$K$101),"Not a building"))</f>
        <v>Not a building</v>
      </c>
    </row>
    <row r="355" spans="1:8">
      <c r="A355" t="s">
        <v>2548</v>
      </c>
      <c r="B355" t="s">
        <v>2549</v>
      </c>
      <c r="C355" t="s">
        <v>2282</v>
      </c>
      <c r="D355" t="str">
        <f>IF(tblTargets[[#This Row],[TargetType]]="state",UPPER(_xlfn.TEXTBEFORE(_xlfn.TEXTAFTER(tblTargets[[#This Row],[TargetID]],"state."),"_")),"")</f>
        <v/>
      </c>
      <c r="E355" t="b">
        <v>1</v>
      </c>
      <c r="F355" t="s">
        <v>3599</v>
      </c>
      <c r="G355" t="str">
        <f>IF(RIGHT(tblTargets[[#This Row],[TargetID]],5)="maxed","",IF(tblTargets[[#This Row],[TargetType]]="BUILDING",_xlfn.XLOOKUP(tblTargets[[#This Row],[TargetID]],Targets!$Q$2:$Q$101,Targets!$O$2:$O$101),"Not a building"))</f>
        <v>Not a building</v>
      </c>
      <c r="H355" t="str">
        <f>IF(RIGHT(tblTargets[[#This Row],[TargetID]],5)="maxed","",IF(tblTargets[[#This Row],[TargetType]]="BUILDING",_xlfn.XLOOKUP(tblTargets[[#This Row],[TargetID]],Targets!$M$2:$M$101,Targets!$K$2:$K$101),"Not a building"))</f>
        <v>Not a building</v>
      </c>
    </row>
    <row r="356" spans="1:8">
      <c r="A356" t="s">
        <v>2432</v>
      </c>
      <c r="B356" t="s">
        <v>2434</v>
      </c>
      <c r="C356" t="s">
        <v>2282</v>
      </c>
      <c r="D356" t="str">
        <f>IF(tblTargets[[#This Row],[TargetType]]="state",UPPER(_xlfn.TEXTBEFORE(_xlfn.TEXTAFTER(tblTargets[[#This Row],[TargetID]],"state."),"_")),"")</f>
        <v/>
      </c>
      <c r="E356" t="b">
        <v>1</v>
      </c>
      <c r="F356" t="s">
        <v>3599</v>
      </c>
      <c r="G356" t="str">
        <f>IF(RIGHT(tblTargets[[#This Row],[TargetID]],5)="maxed","",IF(tblTargets[[#This Row],[TargetType]]="BUILDING",_xlfn.XLOOKUP(tblTargets[[#This Row],[TargetID]],Targets!$Q$2:$Q$101,Targets!$O$2:$O$101),"Not a building"))</f>
        <v>Not a building</v>
      </c>
      <c r="H356" t="str">
        <f>IF(RIGHT(tblTargets[[#This Row],[TargetID]],5)="maxed","",IF(tblTargets[[#This Row],[TargetType]]="BUILDING",_xlfn.XLOOKUP(tblTargets[[#This Row],[TargetID]],Targets!$M$2:$M$101,Targets!$K$2:$K$101),"Not a building"))</f>
        <v>Not a building</v>
      </c>
    </row>
    <row r="357" spans="1:8">
      <c r="A357" t="s">
        <v>2550</v>
      </c>
      <c r="B357" t="s">
        <v>2551</v>
      </c>
      <c r="C357" t="s">
        <v>2282</v>
      </c>
      <c r="D357" t="str">
        <f>IF(tblTargets[[#This Row],[TargetType]]="state",UPPER(_xlfn.TEXTBEFORE(_xlfn.TEXTAFTER(tblTargets[[#This Row],[TargetID]],"state."),"_")),"")</f>
        <v/>
      </c>
      <c r="E357" t="b">
        <v>1</v>
      </c>
      <c r="F357" t="s">
        <v>3599</v>
      </c>
      <c r="G357" t="str">
        <f>IF(RIGHT(tblTargets[[#This Row],[TargetID]],5)="maxed","",IF(tblTargets[[#This Row],[TargetType]]="BUILDING",_xlfn.XLOOKUP(tblTargets[[#This Row],[TargetID]],Targets!$Q$2:$Q$101,Targets!$O$2:$O$101),"Not a building"))</f>
        <v>Not a building</v>
      </c>
      <c r="H357" t="str">
        <f>IF(RIGHT(tblTargets[[#This Row],[TargetID]],5)="maxed","",IF(tblTargets[[#This Row],[TargetType]]="BUILDING",_xlfn.XLOOKUP(tblTargets[[#This Row],[TargetID]],Targets!$M$2:$M$101,Targets!$K$2:$K$101),"Not a building"))</f>
        <v>Not a building</v>
      </c>
    </row>
    <row r="358" spans="1:8">
      <c r="A358" t="s">
        <v>2435</v>
      </c>
      <c r="B358" t="s">
        <v>2437</v>
      </c>
      <c r="C358" t="s">
        <v>2282</v>
      </c>
      <c r="D358" t="str">
        <f>IF(tblTargets[[#This Row],[TargetType]]="state",UPPER(_xlfn.TEXTBEFORE(_xlfn.TEXTAFTER(tblTargets[[#This Row],[TargetID]],"state."),"_")),"")</f>
        <v/>
      </c>
      <c r="E358" t="b">
        <v>1</v>
      </c>
      <c r="F358" t="s">
        <v>3599</v>
      </c>
      <c r="G358" t="str">
        <f>IF(RIGHT(tblTargets[[#This Row],[TargetID]],5)="maxed","",IF(tblTargets[[#This Row],[TargetType]]="BUILDING",_xlfn.XLOOKUP(tblTargets[[#This Row],[TargetID]],Targets!$Q$2:$Q$101,Targets!$O$2:$O$101),"Not a building"))</f>
        <v>Not a building</v>
      </c>
      <c r="H358" t="str">
        <f>IF(RIGHT(tblTargets[[#This Row],[TargetID]],5)="maxed","",IF(tblTargets[[#This Row],[TargetType]]="BUILDING",_xlfn.XLOOKUP(tblTargets[[#This Row],[TargetID]],Targets!$M$2:$M$101,Targets!$K$2:$K$101),"Not a building"))</f>
        <v>Not a building</v>
      </c>
    </row>
    <row r="359" spans="1:8">
      <c r="A359" t="s">
        <v>2552</v>
      </c>
      <c r="B359" t="s">
        <v>2553</v>
      </c>
      <c r="C359" t="s">
        <v>2282</v>
      </c>
      <c r="D359" t="str">
        <f>IF(tblTargets[[#This Row],[TargetType]]="state",UPPER(_xlfn.TEXTBEFORE(_xlfn.TEXTAFTER(tblTargets[[#This Row],[TargetID]],"state."),"_")),"")</f>
        <v/>
      </c>
      <c r="E359" t="b">
        <v>1</v>
      </c>
      <c r="F359" t="s">
        <v>3599</v>
      </c>
      <c r="G359" t="str">
        <f>IF(RIGHT(tblTargets[[#This Row],[TargetID]],5)="maxed","",IF(tblTargets[[#This Row],[TargetType]]="BUILDING",_xlfn.XLOOKUP(tblTargets[[#This Row],[TargetID]],Targets!$Q$2:$Q$101,Targets!$O$2:$O$101),"Not a building"))</f>
        <v>Not a building</v>
      </c>
      <c r="H359" t="str">
        <f>IF(RIGHT(tblTargets[[#This Row],[TargetID]],5)="maxed","",IF(tblTargets[[#This Row],[TargetType]]="BUILDING",_xlfn.XLOOKUP(tblTargets[[#This Row],[TargetID]],Targets!$M$2:$M$101,Targets!$K$2:$K$101),"Not a building"))</f>
        <v>Not a building</v>
      </c>
    </row>
    <row r="360" spans="1:8">
      <c r="A360" t="s">
        <v>2438</v>
      </c>
      <c r="B360" t="s">
        <v>2440</v>
      </c>
      <c r="C360" t="s">
        <v>2282</v>
      </c>
      <c r="D360" t="str">
        <f>IF(tblTargets[[#This Row],[TargetType]]="state",UPPER(_xlfn.TEXTBEFORE(_xlfn.TEXTAFTER(tblTargets[[#This Row],[TargetID]],"state."),"_")),"")</f>
        <v/>
      </c>
      <c r="E360" t="b">
        <v>1</v>
      </c>
      <c r="F360" t="s">
        <v>3599</v>
      </c>
      <c r="G360" t="str">
        <f>IF(RIGHT(tblTargets[[#This Row],[TargetID]],5)="maxed","",IF(tblTargets[[#This Row],[TargetType]]="BUILDING",_xlfn.XLOOKUP(tblTargets[[#This Row],[TargetID]],Targets!$Q$2:$Q$101,Targets!$O$2:$O$101),"Not a building"))</f>
        <v>Not a building</v>
      </c>
      <c r="H360" t="str">
        <f>IF(RIGHT(tblTargets[[#This Row],[TargetID]],5)="maxed","",IF(tblTargets[[#This Row],[TargetType]]="BUILDING",_xlfn.XLOOKUP(tblTargets[[#This Row],[TargetID]],Targets!$M$2:$M$101,Targets!$K$2:$K$101),"Not a building"))</f>
        <v>Not a building</v>
      </c>
    </row>
    <row r="361" spans="1:8">
      <c r="A361" t="s">
        <v>2554</v>
      </c>
      <c r="B361" t="s">
        <v>2555</v>
      </c>
      <c r="C361" t="s">
        <v>2282</v>
      </c>
      <c r="D361" t="str">
        <f>IF(tblTargets[[#This Row],[TargetType]]="state",UPPER(_xlfn.TEXTBEFORE(_xlfn.TEXTAFTER(tblTargets[[#This Row],[TargetID]],"state."),"_")),"")</f>
        <v/>
      </c>
      <c r="E361" t="b">
        <v>1</v>
      </c>
      <c r="F361" t="s">
        <v>3599</v>
      </c>
      <c r="G361" t="str">
        <f>IF(RIGHT(tblTargets[[#This Row],[TargetID]],5)="maxed","",IF(tblTargets[[#This Row],[TargetType]]="BUILDING",_xlfn.XLOOKUP(tblTargets[[#This Row],[TargetID]],Targets!$Q$2:$Q$101,Targets!$O$2:$O$101),"Not a building"))</f>
        <v>Not a building</v>
      </c>
      <c r="H361" t="str">
        <f>IF(RIGHT(tblTargets[[#This Row],[TargetID]],5)="maxed","",IF(tblTargets[[#This Row],[TargetType]]="BUILDING",_xlfn.XLOOKUP(tblTargets[[#This Row],[TargetID]],Targets!$M$2:$M$101,Targets!$K$2:$K$101),"Not a building"))</f>
        <v>Not a building</v>
      </c>
    </row>
    <row r="362" spans="1:8">
      <c r="A362" t="s">
        <v>2441</v>
      </c>
      <c r="B362" t="s">
        <v>2443</v>
      </c>
      <c r="C362" t="s">
        <v>2282</v>
      </c>
      <c r="D362" t="str">
        <f>IF(tblTargets[[#This Row],[TargetType]]="state",UPPER(_xlfn.TEXTBEFORE(_xlfn.TEXTAFTER(tblTargets[[#This Row],[TargetID]],"state."),"_")),"")</f>
        <v/>
      </c>
      <c r="E362" t="b">
        <v>1</v>
      </c>
      <c r="F362" t="s">
        <v>3599</v>
      </c>
      <c r="G362" t="str">
        <f>IF(RIGHT(tblTargets[[#This Row],[TargetID]],5)="maxed","",IF(tblTargets[[#This Row],[TargetType]]="BUILDING",_xlfn.XLOOKUP(tblTargets[[#This Row],[TargetID]],Targets!$Q$2:$Q$101,Targets!$O$2:$O$101),"Not a building"))</f>
        <v>Not a building</v>
      </c>
      <c r="H362" t="str">
        <f>IF(RIGHT(tblTargets[[#This Row],[TargetID]],5)="maxed","",IF(tblTargets[[#This Row],[TargetType]]="BUILDING",_xlfn.XLOOKUP(tblTargets[[#This Row],[TargetID]],Targets!$M$2:$M$101,Targets!$K$2:$K$101),"Not a building"))</f>
        <v>Not a building</v>
      </c>
    </row>
    <row r="363" spans="1:8">
      <c r="A363" t="s">
        <v>2556</v>
      </c>
      <c r="B363" t="s">
        <v>2557</v>
      </c>
      <c r="C363" t="s">
        <v>2282</v>
      </c>
      <c r="D363" t="str">
        <f>IF(tblTargets[[#This Row],[TargetType]]="state",UPPER(_xlfn.TEXTBEFORE(_xlfn.TEXTAFTER(tblTargets[[#This Row],[TargetID]],"state."),"_")),"")</f>
        <v/>
      </c>
      <c r="E363" t="b">
        <v>1</v>
      </c>
      <c r="F363" t="s">
        <v>3599</v>
      </c>
      <c r="G363" t="str">
        <f>IF(RIGHT(tblTargets[[#This Row],[TargetID]],5)="maxed","",IF(tblTargets[[#This Row],[TargetType]]="BUILDING",_xlfn.XLOOKUP(tblTargets[[#This Row],[TargetID]],Targets!$Q$2:$Q$101,Targets!$O$2:$O$101),"Not a building"))</f>
        <v>Not a building</v>
      </c>
      <c r="H363" t="str">
        <f>IF(RIGHT(tblTargets[[#This Row],[TargetID]],5)="maxed","",IF(tblTargets[[#This Row],[TargetType]]="BUILDING",_xlfn.XLOOKUP(tblTargets[[#This Row],[TargetID]],Targets!$M$2:$M$101,Targets!$K$2:$K$101),"Not a building"))</f>
        <v>Not a building</v>
      </c>
    </row>
    <row r="364" spans="1:8">
      <c r="A364" t="s">
        <v>2444</v>
      </c>
      <c r="B364" t="s">
        <v>2446</v>
      </c>
      <c r="C364" t="s">
        <v>2282</v>
      </c>
      <c r="D364" t="str">
        <f>IF(tblTargets[[#This Row],[TargetType]]="state",UPPER(_xlfn.TEXTBEFORE(_xlfn.TEXTAFTER(tblTargets[[#This Row],[TargetID]],"state."),"_")),"")</f>
        <v/>
      </c>
      <c r="E364" t="b">
        <v>1</v>
      </c>
      <c r="F364" t="s">
        <v>3599</v>
      </c>
      <c r="G364" t="str">
        <f>IF(RIGHT(tblTargets[[#This Row],[TargetID]],5)="maxed","",IF(tblTargets[[#This Row],[TargetType]]="BUILDING",_xlfn.XLOOKUP(tblTargets[[#This Row],[TargetID]],Targets!$Q$2:$Q$101,Targets!$O$2:$O$101),"Not a building"))</f>
        <v>Not a building</v>
      </c>
      <c r="H364" t="str">
        <f>IF(RIGHT(tblTargets[[#This Row],[TargetID]],5)="maxed","",IF(tblTargets[[#This Row],[TargetType]]="BUILDING",_xlfn.XLOOKUP(tblTargets[[#This Row],[TargetID]],Targets!$M$2:$M$101,Targets!$K$2:$K$101),"Not a building"))</f>
        <v>Not a building</v>
      </c>
    </row>
    <row r="365" spans="1:8">
      <c r="A365" t="s">
        <v>2558</v>
      </c>
      <c r="B365" t="s">
        <v>2559</v>
      </c>
      <c r="C365" t="s">
        <v>2282</v>
      </c>
      <c r="D365" t="str">
        <f>IF(tblTargets[[#This Row],[TargetType]]="state",UPPER(_xlfn.TEXTBEFORE(_xlfn.TEXTAFTER(tblTargets[[#This Row],[TargetID]],"state."),"_")),"")</f>
        <v/>
      </c>
      <c r="E365" t="b">
        <v>1</v>
      </c>
      <c r="F365" t="s">
        <v>3599</v>
      </c>
      <c r="G365" t="str">
        <f>IF(RIGHT(tblTargets[[#This Row],[TargetID]],5)="maxed","",IF(tblTargets[[#This Row],[TargetType]]="BUILDING",_xlfn.XLOOKUP(tblTargets[[#This Row],[TargetID]],Targets!$Q$2:$Q$101,Targets!$O$2:$O$101),"Not a building"))</f>
        <v>Not a building</v>
      </c>
      <c r="H365" t="str">
        <f>IF(RIGHT(tblTargets[[#This Row],[TargetID]],5)="maxed","",IF(tblTargets[[#This Row],[TargetType]]="BUILDING",_xlfn.XLOOKUP(tblTargets[[#This Row],[TargetID]],Targets!$M$2:$M$101,Targets!$K$2:$K$101),"Not a building"))</f>
        <v>Not a building</v>
      </c>
    </row>
    <row r="366" spans="1:8">
      <c r="A366" t="s">
        <v>2447</v>
      </c>
      <c r="B366" t="s">
        <v>2449</v>
      </c>
      <c r="C366" t="s">
        <v>2282</v>
      </c>
      <c r="D366" t="str">
        <f>IF(tblTargets[[#This Row],[TargetType]]="state",UPPER(_xlfn.TEXTBEFORE(_xlfn.TEXTAFTER(tblTargets[[#This Row],[TargetID]],"state."),"_")),"")</f>
        <v/>
      </c>
      <c r="E366" t="b">
        <v>1</v>
      </c>
      <c r="F366" t="s">
        <v>3599</v>
      </c>
      <c r="G366" t="str">
        <f>IF(RIGHT(tblTargets[[#This Row],[TargetID]],5)="maxed","",IF(tblTargets[[#This Row],[TargetType]]="BUILDING",_xlfn.XLOOKUP(tblTargets[[#This Row],[TargetID]],Targets!$Q$2:$Q$101,Targets!$O$2:$O$101),"Not a building"))</f>
        <v>Not a building</v>
      </c>
      <c r="H366" t="str">
        <f>IF(RIGHT(tblTargets[[#This Row],[TargetID]],5)="maxed","",IF(tblTargets[[#This Row],[TargetType]]="BUILDING",_xlfn.XLOOKUP(tblTargets[[#This Row],[TargetID]],Targets!$M$2:$M$101,Targets!$K$2:$K$101),"Not a building"))</f>
        <v>Not a building</v>
      </c>
    </row>
    <row r="367" spans="1:8">
      <c r="A367" t="s">
        <v>2560</v>
      </c>
      <c r="B367" t="s">
        <v>2561</v>
      </c>
      <c r="C367" t="s">
        <v>2282</v>
      </c>
      <c r="D367" t="str">
        <f>IF(tblTargets[[#This Row],[TargetType]]="state",UPPER(_xlfn.TEXTBEFORE(_xlfn.TEXTAFTER(tblTargets[[#This Row],[TargetID]],"state."),"_")),"")</f>
        <v/>
      </c>
      <c r="E367" t="b">
        <v>1</v>
      </c>
      <c r="F367" t="s">
        <v>3599</v>
      </c>
      <c r="G367" t="str">
        <f>IF(RIGHT(tblTargets[[#This Row],[TargetID]],5)="maxed","",IF(tblTargets[[#This Row],[TargetType]]="BUILDING",_xlfn.XLOOKUP(tblTargets[[#This Row],[TargetID]],Targets!$Q$2:$Q$101,Targets!$O$2:$O$101),"Not a building"))</f>
        <v>Not a building</v>
      </c>
      <c r="H367" t="str">
        <f>IF(RIGHT(tblTargets[[#This Row],[TargetID]],5)="maxed","",IF(tblTargets[[#This Row],[TargetType]]="BUILDING",_xlfn.XLOOKUP(tblTargets[[#This Row],[TargetID]],Targets!$M$2:$M$101,Targets!$K$2:$K$101),"Not a building"))</f>
        <v>Not a building</v>
      </c>
    </row>
    <row r="368" spans="1:8">
      <c r="A368" t="s">
        <v>6098</v>
      </c>
      <c r="B368" t="s">
        <v>5797</v>
      </c>
      <c r="C368" t="s">
        <v>5565</v>
      </c>
      <c r="D368" t="str">
        <f>IF(tblTargets[[#This Row],[TargetType]]="state",UPPER(_xlfn.TEXTBEFORE(_xlfn.TEXTAFTER(tblTargets[[#This Row],[TargetID]],"state."),"_")),"")</f>
        <v>ACTION</v>
      </c>
      <c r="E368" t="b">
        <v>1</v>
      </c>
      <c r="F368" t="s">
        <v>3599</v>
      </c>
      <c r="G368" t="str">
        <f>IF(RIGHT(tblTargets[[#This Row],[TargetID]],5)="maxed","",IF(tblTargets[[#This Row],[TargetType]]="BUILDING",_xlfn.XLOOKUP(tblTargets[[#This Row],[TargetID]],Targets!$Q$2:$Q$101,Targets!$O$2:$O$101),"Not a building"))</f>
        <v>Not a building</v>
      </c>
      <c r="H368" t="str">
        <f>IF(RIGHT(tblTargets[[#This Row],[TargetID]],5)="maxed","",IF(tblTargets[[#This Row],[TargetType]]="BUILDING",_xlfn.XLOOKUP(tblTargets[[#This Row],[TargetID]],Targets!$M$2:$M$101,Targets!$K$2:$K$101),"Not a building"))</f>
        <v>Not a building</v>
      </c>
    </row>
    <row r="369" spans="1:8">
      <c r="A369" t="s">
        <v>3500</v>
      </c>
      <c r="B369" t="s">
        <v>5559</v>
      </c>
      <c r="C369" t="s">
        <v>5565</v>
      </c>
      <c r="D369" t="str">
        <f>IF(tblTargets[[#This Row],[TargetType]]="state",UPPER(_xlfn.TEXTBEFORE(_xlfn.TEXTAFTER(tblTargets[[#This Row],[TargetID]],"state."),"_")),"")</f>
        <v>ACTION</v>
      </c>
      <c r="E369" t="b">
        <v>1</v>
      </c>
      <c r="F369" t="s">
        <v>3599</v>
      </c>
      <c r="G369" t="str">
        <f>IF(RIGHT(tblTargets[[#This Row],[TargetID]],5)="maxed","",IF(tblTargets[[#This Row],[TargetType]]="BUILDING",_xlfn.XLOOKUP(tblTargets[[#This Row],[TargetID]],Targets!$Q$2:$Q$101,Targets!$O$2:$O$101),"Not a building"))</f>
        <v>Not a building</v>
      </c>
      <c r="H369" t="str">
        <f>IF(RIGHT(tblTargets[[#This Row],[TargetID]],5)="maxed","",IF(tblTargets[[#This Row],[TargetType]]="BUILDING",_xlfn.XLOOKUP(tblTargets[[#This Row],[TargetID]],Targets!$M$2:$M$101,Targets!$K$2:$K$101),"Not a building"))</f>
        <v>Not a building</v>
      </c>
    </row>
    <row r="370" spans="1:8">
      <c r="A370" t="s">
        <v>5668</v>
      </c>
      <c r="B370" t="s">
        <v>5669</v>
      </c>
      <c r="C370" t="s">
        <v>5565</v>
      </c>
      <c r="D370" t="str">
        <f>IF(tblTargets[[#This Row],[TargetType]]="state",UPPER(_xlfn.TEXTBEFORE(_xlfn.TEXTAFTER(tblTargets[[#This Row],[TargetID]],"state."),"_")),"")</f>
        <v>ACTION</v>
      </c>
      <c r="E370" t="b">
        <v>1</v>
      </c>
      <c r="F370" t="s">
        <v>3599</v>
      </c>
      <c r="G370" t="str">
        <f>IF(RIGHT(tblTargets[[#This Row],[TargetID]],5)="maxed","",IF(tblTargets[[#This Row],[TargetType]]="BUILDING",_xlfn.XLOOKUP(tblTargets[[#This Row],[TargetID]],Targets!$Q$2:$Q$101,Targets!$O$2:$O$101),"Not a building"))</f>
        <v>Not a building</v>
      </c>
      <c r="H370" t="str">
        <f>IF(RIGHT(tblTargets[[#This Row],[TargetID]],5)="maxed","",IF(tblTargets[[#This Row],[TargetType]]="BUILDING",_xlfn.XLOOKUP(tblTargets[[#This Row],[TargetID]],Targets!$M$2:$M$101,Targets!$K$2:$K$101),"Not a building"))</f>
        <v>Not a building</v>
      </c>
    </row>
    <row r="371" spans="1:8">
      <c r="A371" t="s">
        <v>6099</v>
      </c>
      <c r="B371" t="s">
        <v>5537</v>
      </c>
      <c r="C371" t="s">
        <v>5565</v>
      </c>
      <c r="D371" t="str">
        <f>IF(tblTargets[[#This Row],[TargetType]]="state",UPPER(_xlfn.TEXTBEFORE(_xlfn.TEXTAFTER(tblTargets[[#This Row],[TargetID]],"state."),"_")),"")</f>
        <v>ACTION</v>
      </c>
      <c r="E371" t="b">
        <v>1</v>
      </c>
      <c r="F371" t="s">
        <v>3599</v>
      </c>
      <c r="G371" t="str">
        <f>IF(RIGHT(tblTargets[[#This Row],[TargetID]],5)="maxed","",IF(tblTargets[[#This Row],[TargetType]]="BUILDING",_xlfn.XLOOKUP(tblTargets[[#This Row],[TargetID]],Targets!$Q$2:$Q$101,Targets!$O$2:$O$101),"Not a building"))</f>
        <v>Not a building</v>
      </c>
      <c r="H371" t="str">
        <f>IF(RIGHT(tblTargets[[#This Row],[TargetID]],5)="maxed","",IF(tblTargets[[#This Row],[TargetType]]="BUILDING",_xlfn.XLOOKUP(tblTargets[[#This Row],[TargetID]],Targets!$M$2:$M$101,Targets!$K$2:$K$101),"Not a building"))</f>
        <v>Not a building</v>
      </c>
    </row>
    <row r="372" spans="1:8">
      <c r="A372" t="s">
        <v>6087</v>
      </c>
      <c r="B372" t="s">
        <v>6047</v>
      </c>
      <c r="C372" t="s">
        <v>5565</v>
      </c>
      <c r="D372" t="str">
        <f>IF(tblTargets[[#This Row],[TargetType]]="state",UPPER(_xlfn.TEXTBEFORE(_xlfn.TEXTAFTER(tblTargets[[#This Row],[TargetID]],"state."),"_")),"")</f>
        <v>CHARACTER</v>
      </c>
      <c r="E372" t="b">
        <v>1</v>
      </c>
      <c r="F372" t="s">
        <v>3599</v>
      </c>
      <c r="G372" t="str">
        <f>IF(RIGHT(tblTargets[[#This Row],[TargetID]],5)="maxed","",IF(tblTargets[[#This Row],[TargetType]]="BUILDING",_xlfn.XLOOKUP(tblTargets[[#This Row],[TargetID]],Targets!$Q$2:$Q$101,Targets!$O$2:$O$101),"Not a building"))</f>
        <v>Not a building</v>
      </c>
      <c r="H372" t="str">
        <f>IF(RIGHT(tblTargets[[#This Row],[TargetID]],5)="maxed","",IF(tblTargets[[#This Row],[TargetType]]="BUILDING",_xlfn.XLOOKUP(tblTargets[[#This Row],[TargetID]],Targets!$M$2:$M$101,Targets!$K$2:$K$101),"Not a building"))</f>
        <v>Not a building</v>
      </c>
    </row>
    <row r="373" spans="1:8">
      <c r="A373" t="s">
        <v>6086</v>
      </c>
      <c r="B373" t="s">
        <v>5718</v>
      </c>
      <c r="C373" t="s">
        <v>5565</v>
      </c>
      <c r="D373" t="str">
        <f>IF(tblTargets[[#This Row],[TargetType]]="state",UPPER(_xlfn.TEXTBEFORE(_xlfn.TEXTAFTER(tblTargets[[#This Row],[TargetID]],"state."),"_")),"")</f>
        <v>CHARACTER</v>
      </c>
      <c r="E373" t="b">
        <v>1</v>
      </c>
      <c r="F373" t="s">
        <v>3599</v>
      </c>
      <c r="G373" t="str">
        <f>IF(RIGHT(tblTargets[[#This Row],[TargetID]],5)="maxed","",IF(tblTargets[[#This Row],[TargetType]]="BUILDING",_xlfn.XLOOKUP(tblTargets[[#This Row],[TargetID]],Targets!$Q$2:$Q$101,Targets!$O$2:$O$101),"Not a building"))</f>
        <v>Not a building</v>
      </c>
      <c r="H373" t="str">
        <f>IF(RIGHT(tblTargets[[#This Row],[TargetID]],5)="maxed","",IF(tblTargets[[#This Row],[TargetType]]="BUILDING",_xlfn.XLOOKUP(tblTargets[[#This Row],[TargetID]],Targets!$M$2:$M$101,Targets!$K$2:$K$101),"Not a building"))</f>
        <v>Not a building</v>
      </c>
    </row>
    <row r="374" spans="1:8">
      <c r="A374" t="s">
        <v>6088</v>
      </c>
      <c r="B374" t="s">
        <v>6046</v>
      </c>
      <c r="C374" t="s">
        <v>5565</v>
      </c>
      <c r="D374" t="str">
        <f>IF(tblTargets[[#This Row],[TargetType]]="state",UPPER(_xlfn.TEXTBEFORE(_xlfn.TEXTAFTER(tblTargets[[#This Row],[TargetID]],"state."),"_")),"")</f>
        <v>CHARACTER</v>
      </c>
      <c r="E374" t="b">
        <v>1</v>
      </c>
      <c r="F374" t="s">
        <v>3599</v>
      </c>
      <c r="G374" t="str">
        <f>IF(RIGHT(tblTargets[[#This Row],[TargetID]],5)="maxed","",IF(tblTargets[[#This Row],[TargetType]]="BUILDING",_xlfn.XLOOKUP(tblTargets[[#This Row],[TargetID]],Targets!$Q$2:$Q$101,Targets!$O$2:$O$101),"Not a building"))</f>
        <v>Not a building</v>
      </c>
      <c r="H374" t="str">
        <f>IF(RIGHT(tblTargets[[#This Row],[TargetID]],5)="maxed","",IF(tblTargets[[#This Row],[TargetType]]="BUILDING",_xlfn.XLOOKUP(tblTargets[[#This Row],[TargetID]],Targets!$M$2:$M$101,Targets!$K$2:$K$101),"Not a building"))</f>
        <v>Not a building</v>
      </c>
    </row>
    <row r="375" spans="1:8">
      <c r="A375" t="s">
        <v>6085</v>
      </c>
      <c r="B375" t="s">
        <v>5781</v>
      </c>
      <c r="C375" t="s">
        <v>5565</v>
      </c>
      <c r="D375" t="str">
        <f>IF(tblTargets[[#This Row],[TargetType]]="state",UPPER(_xlfn.TEXTBEFORE(_xlfn.TEXTAFTER(tblTargets[[#This Row],[TargetID]],"state."),"_")),"")</f>
        <v>CHARACTER</v>
      </c>
      <c r="E375" t="b">
        <v>1</v>
      </c>
      <c r="F375" t="s">
        <v>3599</v>
      </c>
      <c r="G375" t="str">
        <f>IF(RIGHT(tblTargets[[#This Row],[TargetID]],5)="maxed","",IF(tblTargets[[#This Row],[TargetType]]="BUILDING",_xlfn.XLOOKUP(tblTargets[[#This Row],[TargetID]],Targets!$Q$2:$Q$101,Targets!$O$2:$O$101),"Not a building"))</f>
        <v>Not a building</v>
      </c>
      <c r="H375" t="str">
        <f>IF(RIGHT(tblTargets[[#This Row],[TargetID]],5)="maxed","",IF(tblTargets[[#This Row],[TargetType]]="BUILDING",_xlfn.XLOOKUP(tblTargets[[#This Row],[TargetID]],Targets!$M$2:$M$101,Targets!$K$2:$K$101),"Not a building"))</f>
        <v>Not a building</v>
      </c>
    </row>
    <row r="376" spans="1:8">
      <c r="A376" t="s">
        <v>6092</v>
      </c>
      <c r="B376" t="s">
        <v>6048</v>
      </c>
      <c r="C376" t="s">
        <v>5565</v>
      </c>
      <c r="D376" t="str">
        <f>IF(tblTargets[[#This Row],[TargetType]]="state",UPPER(_xlfn.TEXTBEFORE(_xlfn.TEXTAFTER(tblTargets[[#This Row],[TargetID]],"state."),"_")),"")</f>
        <v>CHARACTER</v>
      </c>
      <c r="E376" t="b">
        <v>1</v>
      </c>
      <c r="F376" t="s">
        <v>3599</v>
      </c>
      <c r="G376" t="str">
        <f>IF(RIGHT(tblTargets[[#This Row],[TargetID]],5)="maxed","",IF(tblTargets[[#This Row],[TargetType]]="BUILDING",_xlfn.XLOOKUP(tblTargets[[#This Row],[TargetID]],Targets!$Q$2:$Q$101,Targets!$O$2:$O$101),"Not a building"))</f>
        <v>Not a building</v>
      </c>
      <c r="H376" t="str">
        <f>IF(RIGHT(tblTargets[[#This Row],[TargetID]],5)="maxed","",IF(tblTargets[[#This Row],[TargetType]]="BUILDING",_xlfn.XLOOKUP(tblTargets[[#This Row],[TargetID]],Targets!$M$2:$M$101,Targets!$K$2:$K$101),"Not a building"))</f>
        <v>Not a building</v>
      </c>
    </row>
    <row r="377" spans="1:8">
      <c r="A377" t="s">
        <v>6093</v>
      </c>
      <c r="B377" t="s">
        <v>6049</v>
      </c>
      <c r="C377" t="s">
        <v>5565</v>
      </c>
      <c r="D377" t="str">
        <f>IF(tblTargets[[#This Row],[TargetType]]="state",UPPER(_xlfn.TEXTBEFORE(_xlfn.TEXTAFTER(tblTargets[[#This Row],[TargetID]],"state."),"_")),"")</f>
        <v>CHARACTER</v>
      </c>
      <c r="E377" t="b">
        <v>1</v>
      </c>
      <c r="F377" t="s">
        <v>3599</v>
      </c>
      <c r="G377" t="str">
        <f>IF(RIGHT(tblTargets[[#This Row],[TargetID]],5)="maxed","",IF(tblTargets[[#This Row],[TargetType]]="BUILDING",_xlfn.XLOOKUP(tblTargets[[#This Row],[TargetID]],Targets!$Q$2:$Q$101,Targets!$O$2:$O$101),"Not a building"))</f>
        <v>Not a building</v>
      </c>
      <c r="H377" t="str">
        <f>IF(RIGHT(tblTargets[[#This Row],[TargetID]],5)="maxed","",IF(tblTargets[[#This Row],[TargetType]]="BUILDING",_xlfn.XLOOKUP(tblTargets[[#This Row],[TargetID]],Targets!$M$2:$M$101,Targets!$K$2:$K$101),"Not a building"))</f>
        <v>Not a building</v>
      </c>
    </row>
    <row r="378" spans="1:8">
      <c r="A378" t="s">
        <v>6089</v>
      </c>
      <c r="B378" t="s">
        <v>6050</v>
      </c>
      <c r="C378" t="s">
        <v>5565</v>
      </c>
      <c r="D378" t="str">
        <f>IF(tblTargets[[#This Row],[TargetType]]="state",UPPER(_xlfn.TEXTBEFORE(_xlfn.TEXTAFTER(tblTargets[[#This Row],[TargetID]],"state."),"_")),"")</f>
        <v>CHARACTER</v>
      </c>
      <c r="E378" t="b">
        <v>1</v>
      </c>
      <c r="F378" t="s">
        <v>3599</v>
      </c>
      <c r="G378" t="str">
        <f>IF(RIGHT(tblTargets[[#This Row],[TargetID]],5)="maxed","",IF(tblTargets[[#This Row],[TargetType]]="BUILDING",_xlfn.XLOOKUP(tblTargets[[#This Row],[TargetID]],Targets!$Q$2:$Q$101,Targets!$O$2:$O$101),"Not a building"))</f>
        <v>Not a building</v>
      </c>
      <c r="H378" t="str">
        <f>IF(RIGHT(tblTargets[[#This Row],[TargetID]],5)="maxed","",IF(tblTargets[[#This Row],[TargetType]]="BUILDING",_xlfn.XLOOKUP(tblTargets[[#This Row],[TargetID]],Targets!$M$2:$M$101,Targets!$K$2:$K$101),"Not a building"))</f>
        <v>Not a building</v>
      </c>
    </row>
    <row r="379" spans="1:8">
      <c r="A379" t="s">
        <v>6090</v>
      </c>
      <c r="B379" t="s">
        <v>5783</v>
      </c>
      <c r="C379" t="s">
        <v>5565</v>
      </c>
      <c r="D379" t="str">
        <f>IF(tblTargets[[#This Row],[TargetType]]="state",UPPER(_xlfn.TEXTBEFORE(_xlfn.TEXTAFTER(tblTargets[[#This Row],[TargetID]],"state."),"_")),"")</f>
        <v>CHARACTER</v>
      </c>
      <c r="E379" t="b">
        <v>1</v>
      </c>
      <c r="F379" t="s">
        <v>3599</v>
      </c>
      <c r="G379" t="str">
        <f>IF(RIGHT(tblTargets[[#This Row],[TargetID]],5)="maxed","",IF(tblTargets[[#This Row],[TargetType]]="BUILDING",_xlfn.XLOOKUP(tblTargets[[#This Row],[TargetID]],Targets!$Q$2:$Q$101,Targets!$O$2:$O$101),"Not a building"))</f>
        <v>Not a building</v>
      </c>
      <c r="H379" t="str">
        <f>IF(RIGHT(tblTargets[[#This Row],[TargetID]],5)="maxed","",IF(tblTargets[[#This Row],[TargetType]]="BUILDING",_xlfn.XLOOKUP(tblTargets[[#This Row],[TargetID]],Targets!$M$2:$M$101,Targets!$K$2:$K$101),"Not a building"))</f>
        <v>Not a building</v>
      </c>
    </row>
    <row r="380" spans="1:8">
      <c r="A380" t="s">
        <v>6091</v>
      </c>
      <c r="B380" t="s">
        <v>5784</v>
      </c>
      <c r="C380" t="s">
        <v>5565</v>
      </c>
      <c r="D380" t="str">
        <f>IF(tblTargets[[#This Row],[TargetType]]="state",UPPER(_xlfn.TEXTBEFORE(_xlfn.TEXTAFTER(tblTargets[[#This Row],[TargetID]],"state."),"_")),"")</f>
        <v>CHARACTER</v>
      </c>
      <c r="E380" t="b">
        <v>1</v>
      </c>
      <c r="F380" t="s">
        <v>3599</v>
      </c>
      <c r="G380" t="str">
        <f>IF(RIGHT(tblTargets[[#This Row],[TargetID]],5)="maxed","",IF(tblTargets[[#This Row],[TargetType]]="BUILDING",_xlfn.XLOOKUP(tblTargets[[#This Row],[TargetID]],Targets!$Q$2:$Q$101,Targets!$O$2:$O$101),"Not a building"))</f>
        <v>Not a building</v>
      </c>
      <c r="H380" t="str">
        <f>IF(RIGHT(tblTargets[[#This Row],[TargetID]],5)="maxed","",IF(tblTargets[[#This Row],[TargetType]]="BUILDING",_xlfn.XLOOKUP(tblTargets[[#This Row],[TargetID]],Targets!$M$2:$M$101,Targets!$K$2:$K$101),"Not a building"))</f>
        <v>Not a building</v>
      </c>
    </row>
    <row r="381" spans="1:8">
      <c r="A381" t="s">
        <v>3311</v>
      </c>
      <c r="B381" t="s">
        <v>5515</v>
      </c>
      <c r="C381" t="s">
        <v>5565</v>
      </c>
      <c r="D381" t="str">
        <f>IF(tblTargets[[#This Row],[TargetType]]="state",UPPER(_xlfn.TEXTBEFORE(_xlfn.TEXTAFTER(tblTargets[[#This Row],[TargetID]],"state."),"_")),"")</f>
        <v>CHARACTER</v>
      </c>
      <c r="E381" t="b">
        <v>1</v>
      </c>
      <c r="F381" t="s">
        <v>3599</v>
      </c>
      <c r="G381" t="str">
        <f>IF(RIGHT(tblTargets[[#This Row],[TargetID]],5)="maxed","",IF(tblTargets[[#This Row],[TargetType]]="BUILDING",_xlfn.XLOOKUP(tblTargets[[#This Row],[TargetID]],Targets!$Q$2:$Q$101,Targets!$O$2:$O$101),"Not a building"))</f>
        <v>Not a building</v>
      </c>
      <c r="H381" t="str">
        <f>IF(RIGHT(tblTargets[[#This Row],[TargetID]],5)="maxed","",IF(tblTargets[[#This Row],[TargetType]]="BUILDING",_xlfn.XLOOKUP(tblTargets[[#This Row],[TargetID]],Targets!$M$2:$M$101,Targets!$K$2:$K$101),"Not a building"))</f>
        <v>Not a building</v>
      </c>
    </row>
    <row r="382" spans="1:8">
      <c r="A382" t="s">
        <v>3333</v>
      </c>
      <c r="B382" t="s">
        <v>5524</v>
      </c>
      <c r="C382" t="s">
        <v>5565</v>
      </c>
      <c r="D382" t="str">
        <f>IF(tblTargets[[#This Row],[TargetType]]="state",UPPER(_xlfn.TEXTBEFORE(_xlfn.TEXTAFTER(tblTargets[[#This Row],[TargetID]],"state."),"_")),"")</f>
        <v>CHARACTER</v>
      </c>
      <c r="E382" t="b">
        <v>1</v>
      </c>
      <c r="F382" t="s">
        <v>3599</v>
      </c>
      <c r="G382" t="str">
        <f>IF(RIGHT(tblTargets[[#This Row],[TargetID]],5)="maxed","",IF(tblTargets[[#This Row],[TargetType]]="BUILDING",_xlfn.XLOOKUP(tblTargets[[#This Row],[TargetID]],Targets!$Q$2:$Q$101,Targets!$O$2:$O$101),"Not a building"))</f>
        <v>Not a building</v>
      </c>
      <c r="H382" t="str">
        <f>IF(RIGHT(tblTargets[[#This Row],[TargetID]],5)="maxed","",IF(tblTargets[[#This Row],[TargetType]]="BUILDING",_xlfn.XLOOKUP(tblTargets[[#This Row],[TargetID]],Targets!$M$2:$M$101,Targets!$K$2:$K$101),"Not a building"))</f>
        <v>Not a building</v>
      </c>
    </row>
    <row r="383" spans="1:8">
      <c r="A383" t="s">
        <v>3321</v>
      </c>
      <c r="B383" t="s">
        <v>5522</v>
      </c>
      <c r="C383" t="s">
        <v>5565</v>
      </c>
      <c r="D383" t="str">
        <f>IF(tblTargets[[#This Row],[TargetType]]="state",UPPER(_xlfn.TEXTBEFORE(_xlfn.TEXTAFTER(tblTargets[[#This Row],[TargetID]],"state."),"_")),"")</f>
        <v>CHARACTER</v>
      </c>
      <c r="E383" t="b">
        <v>1</v>
      </c>
      <c r="F383" t="s">
        <v>3599</v>
      </c>
      <c r="G383" t="str">
        <f>IF(RIGHT(tblTargets[[#This Row],[TargetID]],5)="maxed","",IF(tblTargets[[#This Row],[TargetType]]="BUILDING",_xlfn.XLOOKUP(tblTargets[[#This Row],[TargetID]],Targets!$Q$2:$Q$101,Targets!$O$2:$O$101),"Not a building"))</f>
        <v>Not a building</v>
      </c>
      <c r="H383" t="str">
        <f>IF(RIGHT(tblTargets[[#This Row],[TargetID]],5)="maxed","",IF(tblTargets[[#This Row],[TargetType]]="BUILDING",_xlfn.XLOOKUP(tblTargets[[#This Row],[TargetID]],Targets!$M$2:$M$101,Targets!$K$2:$K$101),"Not a building"))</f>
        <v>Not a building</v>
      </c>
    </row>
    <row r="384" spans="1:8">
      <c r="A384" t="s">
        <v>3341</v>
      </c>
      <c r="B384" t="s">
        <v>5532</v>
      </c>
      <c r="C384" t="s">
        <v>5565</v>
      </c>
      <c r="D384" t="str">
        <f>IF(tblTargets[[#This Row],[TargetType]]="state",UPPER(_xlfn.TEXTBEFORE(_xlfn.TEXTAFTER(tblTargets[[#This Row],[TargetID]],"state."),"_")),"")</f>
        <v>CHARACTER</v>
      </c>
      <c r="E384" t="b">
        <v>1</v>
      </c>
      <c r="F384" t="s">
        <v>3599</v>
      </c>
      <c r="G384" t="str">
        <f>IF(RIGHT(tblTargets[[#This Row],[TargetID]],5)="maxed","",IF(tblTargets[[#This Row],[TargetType]]="BUILDING",_xlfn.XLOOKUP(tblTargets[[#This Row],[TargetID]],Targets!$Q$2:$Q$101,Targets!$O$2:$O$101),"Not a building"))</f>
        <v>Not a building</v>
      </c>
      <c r="H384" t="str">
        <f>IF(RIGHT(tblTargets[[#This Row],[TargetID]],5)="maxed","",IF(tblTargets[[#This Row],[TargetType]]="BUILDING",_xlfn.XLOOKUP(tblTargets[[#This Row],[TargetID]],Targets!$M$2:$M$101,Targets!$K$2:$K$101),"Not a building"))</f>
        <v>Not a building</v>
      </c>
    </row>
    <row r="385" spans="1:8">
      <c r="A385" t="s">
        <v>3336</v>
      </c>
      <c r="B385" t="s">
        <v>5527</v>
      </c>
      <c r="C385" t="s">
        <v>5565</v>
      </c>
      <c r="D385" t="str">
        <f>IF(tblTargets[[#This Row],[TargetType]]="state",UPPER(_xlfn.TEXTBEFORE(_xlfn.TEXTAFTER(tblTargets[[#This Row],[TargetID]],"state."),"_")),"")</f>
        <v>CHARACTER</v>
      </c>
      <c r="E385" t="b">
        <v>1</v>
      </c>
      <c r="F385" t="s">
        <v>3599</v>
      </c>
      <c r="G385" t="str">
        <f>IF(RIGHT(tblTargets[[#This Row],[TargetID]],5)="maxed","",IF(tblTargets[[#This Row],[TargetType]]="BUILDING",_xlfn.XLOOKUP(tblTargets[[#This Row],[TargetID]],Targets!$Q$2:$Q$101,Targets!$O$2:$O$101),"Not a building"))</f>
        <v>Not a building</v>
      </c>
      <c r="H385" t="str">
        <f>IF(RIGHT(tblTargets[[#This Row],[TargetID]],5)="maxed","",IF(tblTargets[[#This Row],[TargetType]]="BUILDING",_xlfn.XLOOKUP(tblTargets[[#This Row],[TargetID]],Targets!$M$2:$M$101,Targets!$K$2:$K$101),"Not a building"))</f>
        <v>Not a building</v>
      </c>
    </row>
    <row r="386" spans="1:8">
      <c r="A386" t="s">
        <v>3306</v>
      </c>
      <c r="B386" t="s">
        <v>5514</v>
      </c>
      <c r="C386" t="s">
        <v>5565</v>
      </c>
      <c r="D386" t="str">
        <f>IF(tblTargets[[#This Row],[TargetType]]="state",UPPER(_xlfn.TEXTBEFORE(_xlfn.TEXTAFTER(tblTargets[[#This Row],[TargetID]],"state."),"_")),"")</f>
        <v>CHARACTER</v>
      </c>
      <c r="E386" t="b">
        <v>1</v>
      </c>
      <c r="F386" t="s">
        <v>3599</v>
      </c>
      <c r="G386" t="str">
        <f>IF(RIGHT(tblTargets[[#This Row],[TargetID]],5)="maxed","",IF(tblTargets[[#This Row],[TargetType]]="BUILDING",_xlfn.XLOOKUP(tblTargets[[#This Row],[TargetID]],Targets!$Q$2:$Q$101,Targets!$O$2:$O$101),"Not a building"))</f>
        <v>Not a building</v>
      </c>
      <c r="H386" t="str">
        <f>IF(RIGHT(tblTargets[[#This Row],[TargetID]],5)="maxed","",IF(tblTargets[[#This Row],[TargetType]]="BUILDING",_xlfn.XLOOKUP(tblTargets[[#This Row],[TargetID]],Targets!$M$2:$M$101,Targets!$K$2:$K$101),"Not a building"))</f>
        <v>Not a building</v>
      </c>
    </row>
    <row r="387" spans="1:8">
      <c r="A387" t="s">
        <v>3337</v>
      </c>
      <c r="B387" t="s">
        <v>5528</v>
      </c>
      <c r="C387" t="s">
        <v>5565</v>
      </c>
      <c r="D387" t="str">
        <f>IF(tblTargets[[#This Row],[TargetType]]="state",UPPER(_xlfn.TEXTBEFORE(_xlfn.TEXTAFTER(tblTargets[[#This Row],[TargetID]],"state."),"_")),"")</f>
        <v>CHARACTER</v>
      </c>
      <c r="E387" t="b">
        <v>1</v>
      </c>
      <c r="F387" t="s">
        <v>3599</v>
      </c>
      <c r="G387" t="str">
        <f>IF(RIGHT(tblTargets[[#This Row],[TargetID]],5)="maxed","",IF(tblTargets[[#This Row],[TargetType]]="BUILDING",_xlfn.XLOOKUP(tblTargets[[#This Row],[TargetID]],Targets!$Q$2:$Q$101,Targets!$O$2:$O$101),"Not a building"))</f>
        <v>Not a building</v>
      </c>
      <c r="H387" t="str">
        <f>IF(RIGHT(tblTargets[[#This Row],[TargetID]],5)="maxed","",IF(tblTargets[[#This Row],[TargetType]]="BUILDING",_xlfn.XLOOKUP(tblTargets[[#This Row],[TargetID]],Targets!$M$2:$M$101,Targets!$K$2:$K$101),"Not a building"))</f>
        <v>Not a building</v>
      </c>
    </row>
    <row r="388" spans="1:8">
      <c r="A388" t="s">
        <v>3351</v>
      </c>
      <c r="B388" t="s">
        <v>5536</v>
      </c>
      <c r="C388" t="s">
        <v>5565</v>
      </c>
      <c r="D388" t="str">
        <f>IF(tblTargets[[#This Row],[TargetType]]="state",UPPER(_xlfn.TEXTBEFORE(_xlfn.TEXTAFTER(tblTargets[[#This Row],[TargetID]],"state."),"_")),"")</f>
        <v>CHARACTER</v>
      </c>
      <c r="E388" t="b">
        <v>1</v>
      </c>
      <c r="F388" t="s">
        <v>3599</v>
      </c>
      <c r="G388" t="str">
        <f>IF(RIGHT(tblTargets[[#This Row],[TargetID]],5)="maxed","",IF(tblTargets[[#This Row],[TargetType]]="BUILDING",_xlfn.XLOOKUP(tblTargets[[#This Row],[TargetID]],Targets!$Q$2:$Q$101,Targets!$O$2:$O$101),"Not a building"))</f>
        <v>Not a building</v>
      </c>
      <c r="H388" t="str">
        <f>IF(RIGHT(tblTargets[[#This Row],[TargetID]],5)="maxed","",IF(tblTargets[[#This Row],[TargetType]]="BUILDING",_xlfn.XLOOKUP(tblTargets[[#This Row],[TargetID]],Targets!$M$2:$M$101,Targets!$K$2:$K$101),"Not a building"))</f>
        <v>Not a building</v>
      </c>
    </row>
    <row r="389" spans="1:8">
      <c r="A389" t="s">
        <v>3312</v>
      </c>
      <c r="B389" t="s">
        <v>5516</v>
      </c>
      <c r="C389" t="s">
        <v>5565</v>
      </c>
      <c r="D389" t="str">
        <f>IF(tblTargets[[#This Row],[TargetType]]="state",UPPER(_xlfn.TEXTBEFORE(_xlfn.TEXTAFTER(tblTargets[[#This Row],[TargetID]],"state."),"_")),"")</f>
        <v>CHARACTER</v>
      </c>
      <c r="E389" t="b">
        <v>1</v>
      </c>
      <c r="F389" t="s">
        <v>3599</v>
      </c>
      <c r="G389" t="str">
        <f>IF(RIGHT(tblTargets[[#This Row],[TargetID]],5)="maxed","",IF(tblTargets[[#This Row],[TargetType]]="BUILDING",_xlfn.XLOOKUP(tblTargets[[#This Row],[TargetID]],Targets!$Q$2:$Q$101,Targets!$O$2:$O$101),"Not a building"))</f>
        <v>Not a building</v>
      </c>
      <c r="H389" t="str">
        <f>IF(RIGHT(tblTargets[[#This Row],[TargetID]],5)="maxed","",IF(tblTargets[[#This Row],[TargetType]]="BUILDING",_xlfn.XLOOKUP(tblTargets[[#This Row],[TargetID]],Targets!$M$2:$M$101,Targets!$K$2:$K$101),"Not a building"))</f>
        <v>Not a building</v>
      </c>
    </row>
    <row r="390" spans="1:8">
      <c r="A390" t="s">
        <v>3304</v>
      </c>
      <c r="B390" t="s">
        <v>5512</v>
      </c>
      <c r="C390" t="s">
        <v>5565</v>
      </c>
      <c r="D390" t="str">
        <f>IF(tblTargets[[#This Row],[TargetType]]="state",UPPER(_xlfn.TEXTBEFORE(_xlfn.TEXTAFTER(tblTargets[[#This Row],[TargetID]],"state."),"_")),"")</f>
        <v>CHARACTER</v>
      </c>
      <c r="E390" t="b">
        <v>1</v>
      </c>
      <c r="F390" t="s">
        <v>3599</v>
      </c>
      <c r="G390" t="str">
        <f>IF(RIGHT(tblTargets[[#This Row],[TargetID]],5)="maxed","",IF(tblTargets[[#This Row],[TargetType]]="BUILDING",_xlfn.XLOOKUP(tblTargets[[#This Row],[TargetID]],Targets!$Q$2:$Q$101,Targets!$O$2:$O$101),"Not a building"))</f>
        <v>Not a building</v>
      </c>
      <c r="H390" t="str">
        <f>IF(RIGHT(tblTargets[[#This Row],[TargetID]],5)="maxed","",IF(tblTargets[[#This Row],[TargetType]]="BUILDING",_xlfn.XLOOKUP(tblTargets[[#This Row],[TargetID]],Targets!$M$2:$M$101,Targets!$K$2:$K$101),"Not a building"))</f>
        <v>Not a building</v>
      </c>
    </row>
    <row r="391" spans="1:8">
      <c r="A391" t="s">
        <v>3340</v>
      </c>
      <c r="B391" t="s">
        <v>5531</v>
      </c>
      <c r="C391" t="s">
        <v>5565</v>
      </c>
      <c r="D391" t="str">
        <f>IF(tblTargets[[#This Row],[TargetType]]="state",UPPER(_xlfn.TEXTBEFORE(_xlfn.TEXTAFTER(tblTargets[[#This Row],[TargetID]],"state."),"_")),"")</f>
        <v>CHARACTER</v>
      </c>
      <c r="E391" t="b">
        <v>1</v>
      </c>
      <c r="F391" t="s">
        <v>3599</v>
      </c>
      <c r="G391" t="str">
        <f>IF(RIGHT(tblTargets[[#This Row],[TargetID]],5)="maxed","",IF(tblTargets[[#This Row],[TargetType]]="BUILDING",_xlfn.XLOOKUP(tblTargets[[#This Row],[TargetID]],Targets!$Q$2:$Q$101,Targets!$O$2:$O$101),"Not a building"))</f>
        <v>Not a building</v>
      </c>
      <c r="H391" t="str">
        <f>IF(RIGHT(tblTargets[[#This Row],[TargetID]],5)="maxed","",IF(tblTargets[[#This Row],[TargetType]]="BUILDING",_xlfn.XLOOKUP(tblTargets[[#This Row],[TargetID]],Targets!$M$2:$M$101,Targets!$K$2:$K$101),"Not a building"))</f>
        <v>Not a building</v>
      </c>
    </row>
    <row r="392" spans="1:8">
      <c r="A392" t="s">
        <v>3338</v>
      </c>
      <c r="B392" t="s">
        <v>5529</v>
      </c>
      <c r="C392" t="s">
        <v>5565</v>
      </c>
      <c r="D392" t="str">
        <f>IF(tblTargets[[#This Row],[TargetType]]="state",UPPER(_xlfn.TEXTBEFORE(_xlfn.TEXTAFTER(tblTargets[[#This Row],[TargetID]],"state."),"_")),"")</f>
        <v>CHARACTER</v>
      </c>
      <c r="E392" t="b">
        <v>1</v>
      </c>
      <c r="F392" t="s">
        <v>3599</v>
      </c>
      <c r="G392" t="str">
        <f>IF(RIGHT(tblTargets[[#This Row],[TargetID]],5)="maxed","",IF(tblTargets[[#This Row],[TargetType]]="BUILDING",_xlfn.XLOOKUP(tblTargets[[#This Row],[TargetID]],Targets!$Q$2:$Q$101,Targets!$O$2:$O$101),"Not a building"))</f>
        <v>Not a building</v>
      </c>
      <c r="H392" t="str">
        <f>IF(RIGHT(tblTargets[[#This Row],[TargetID]],5)="maxed","",IF(tblTargets[[#This Row],[TargetType]]="BUILDING",_xlfn.XLOOKUP(tblTargets[[#This Row],[TargetID]],Targets!$M$2:$M$101,Targets!$K$2:$K$101),"Not a building"))</f>
        <v>Not a building</v>
      </c>
    </row>
    <row r="393" spans="1:8">
      <c r="A393" t="s">
        <v>3319</v>
      </c>
      <c r="B393" t="s">
        <v>5521</v>
      </c>
      <c r="C393" t="s">
        <v>5565</v>
      </c>
      <c r="D393" t="str">
        <f>IF(tblTargets[[#This Row],[TargetType]]="state",UPPER(_xlfn.TEXTBEFORE(_xlfn.TEXTAFTER(tblTargets[[#This Row],[TargetID]],"state."),"_")),"")</f>
        <v>CHARACTER</v>
      </c>
      <c r="E393" t="b">
        <v>1</v>
      </c>
      <c r="F393" t="s">
        <v>3599</v>
      </c>
      <c r="G393" t="str">
        <f>IF(RIGHT(tblTargets[[#This Row],[TargetID]],5)="maxed","",IF(tblTargets[[#This Row],[TargetType]]="BUILDING",_xlfn.XLOOKUP(tblTargets[[#This Row],[TargetID]],Targets!$Q$2:$Q$101,Targets!$O$2:$O$101),"Not a building"))</f>
        <v>Not a building</v>
      </c>
      <c r="H393" t="str">
        <f>IF(RIGHT(tblTargets[[#This Row],[TargetID]],5)="maxed","",IF(tblTargets[[#This Row],[TargetType]]="BUILDING",_xlfn.XLOOKUP(tblTargets[[#This Row],[TargetID]],Targets!$M$2:$M$101,Targets!$K$2:$K$101),"Not a building"))</f>
        <v>Not a building</v>
      </c>
    </row>
    <row r="394" spans="1:8">
      <c r="A394" t="s">
        <v>3339</v>
      </c>
      <c r="B394" t="s">
        <v>5530</v>
      </c>
      <c r="C394" t="s">
        <v>5565</v>
      </c>
      <c r="D394" t="str">
        <f>IF(tblTargets[[#This Row],[TargetType]]="state",UPPER(_xlfn.TEXTBEFORE(_xlfn.TEXTAFTER(tblTargets[[#This Row],[TargetID]],"state."),"_")),"")</f>
        <v>CHARACTER</v>
      </c>
      <c r="E394" t="b">
        <v>1</v>
      </c>
      <c r="F394" t="s">
        <v>3599</v>
      </c>
      <c r="G394" t="str">
        <f>IF(RIGHT(tblTargets[[#This Row],[TargetID]],5)="maxed","",IF(tblTargets[[#This Row],[TargetType]]="BUILDING",_xlfn.XLOOKUP(tblTargets[[#This Row],[TargetID]],Targets!$Q$2:$Q$101,Targets!$O$2:$O$101),"Not a building"))</f>
        <v>Not a building</v>
      </c>
      <c r="H394" t="str">
        <f>IF(RIGHT(tblTargets[[#This Row],[TargetID]],5)="maxed","",IF(tblTargets[[#This Row],[TargetType]]="BUILDING",_xlfn.XLOOKUP(tblTargets[[#This Row],[TargetID]],Targets!$M$2:$M$101,Targets!$K$2:$K$101),"Not a building"))</f>
        <v>Not a building</v>
      </c>
    </row>
    <row r="395" spans="1:8">
      <c r="A395" t="s">
        <v>3345</v>
      </c>
      <c r="B395" t="s">
        <v>5533</v>
      </c>
      <c r="C395" t="s">
        <v>5565</v>
      </c>
      <c r="D395" t="str">
        <f>IF(tblTargets[[#This Row],[TargetType]]="state",UPPER(_xlfn.TEXTBEFORE(_xlfn.TEXTAFTER(tblTargets[[#This Row],[TargetID]],"state."),"_")),"")</f>
        <v>CHARACTER</v>
      </c>
      <c r="E395" t="b">
        <v>1</v>
      </c>
      <c r="F395" t="s">
        <v>3599</v>
      </c>
      <c r="G395" t="str">
        <f>IF(RIGHT(tblTargets[[#This Row],[TargetID]],5)="maxed","",IF(tblTargets[[#This Row],[TargetType]]="BUILDING",_xlfn.XLOOKUP(tblTargets[[#This Row],[TargetID]],Targets!$Q$2:$Q$101,Targets!$O$2:$O$101),"Not a building"))</f>
        <v>Not a building</v>
      </c>
      <c r="H395" t="str">
        <f>IF(RIGHT(tblTargets[[#This Row],[TargetID]],5)="maxed","",IF(tblTargets[[#This Row],[TargetType]]="BUILDING",_xlfn.XLOOKUP(tblTargets[[#This Row],[TargetID]],Targets!$M$2:$M$101,Targets!$K$2:$K$101),"Not a building"))</f>
        <v>Not a building</v>
      </c>
    </row>
    <row r="396" spans="1:8">
      <c r="A396" t="s">
        <v>3305</v>
      </c>
      <c r="B396" t="s">
        <v>5513</v>
      </c>
      <c r="C396" t="s">
        <v>5565</v>
      </c>
      <c r="D396" t="str">
        <f>IF(tblTargets[[#This Row],[TargetType]]="state",UPPER(_xlfn.TEXTBEFORE(_xlfn.TEXTAFTER(tblTargets[[#This Row],[TargetID]],"state."),"_")),"")</f>
        <v>CHARACTER</v>
      </c>
      <c r="E396" t="b">
        <v>1</v>
      </c>
      <c r="F396" t="s">
        <v>3599</v>
      </c>
      <c r="G396" t="str">
        <f>IF(RIGHT(tblTargets[[#This Row],[TargetID]],5)="maxed","",IF(tblTargets[[#This Row],[TargetType]]="BUILDING",_xlfn.XLOOKUP(tblTargets[[#This Row],[TargetID]],Targets!$Q$2:$Q$101,Targets!$O$2:$O$101),"Not a building"))</f>
        <v>Not a building</v>
      </c>
      <c r="H396" t="str">
        <f>IF(RIGHT(tblTargets[[#This Row],[TargetID]],5)="maxed","",IF(tblTargets[[#This Row],[TargetType]]="BUILDING",_xlfn.XLOOKUP(tblTargets[[#This Row],[TargetID]],Targets!$M$2:$M$101,Targets!$K$2:$K$101),"Not a building"))</f>
        <v>Not a building</v>
      </c>
    </row>
    <row r="397" spans="1:8">
      <c r="A397" t="s">
        <v>3334</v>
      </c>
      <c r="B397" t="s">
        <v>5525</v>
      </c>
      <c r="C397" t="s">
        <v>5565</v>
      </c>
      <c r="D397" t="str">
        <f>IF(tblTargets[[#This Row],[TargetType]]="state",UPPER(_xlfn.TEXTBEFORE(_xlfn.TEXTAFTER(tblTargets[[#This Row],[TargetID]],"state."),"_")),"")</f>
        <v>CHARACTER</v>
      </c>
      <c r="E397" t="b">
        <v>1</v>
      </c>
      <c r="F397" t="s">
        <v>3599</v>
      </c>
      <c r="G397" t="str">
        <f>IF(RIGHT(tblTargets[[#This Row],[TargetID]],5)="maxed","",IF(tblTargets[[#This Row],[TargetType]]="BUILDING",_xlfn.XLOOKUP(tblTargets[[#This Row],[TargetID]],Targets!$Q$2:$Q$101,Targets!$O$2:$O$101),"Not a building"))</f>
        <v>Not a building</v>
      </c>
      <c r="H397" t="str">
        <f>IF(RIGHT(tblTargets[[#This Row],[TargetID]],5)="maxed","",IF(tblTargets[[#This Row],[TargetType]]="BUILDING",_xlfn.XLOOKUP(tblTargets[[#This Row],[TargetID]],Targets!$M$2:$M$101,Targets!$K$2:$K$101),"Not a building"))</f>
        <v>Not a building</v>
      </c>
    </row>
    <row r="398" spans="1:8">
      <c r="A398" t="s">
        <v>3303</v>
      </c>
      <c r="B398" t="s">
        <v>5511</v>
      </c>
      <c r="C398" t="s">
        <v>5565</v>
      </c>
      <c r="D398" t="str">
        <f>IF(tblTargets[[#This Row],[TargetType]]="state",UPPER(_xlfn.TEXTBEFORE(_xlfn.TEXTAFTER(tblTargets[[#This Row],[TargetID]],"state."),"_")),"")</f>
        <v>CHARACTER</v>
      </c>
      <c r="E398" t="b">
        <v>1</v>
      </c>
      <c r="F398" t="s">
        <v>3599</v>
      </c>
      <c r="G398" t="str">
        <f>IF(RIGHT(tblTargets[[#This Row],[TargetID]],5)="maxed","",IF(tblTargets[[#This Row],[TargetType]]="BUILDING",_xlfn.XLOOKUP(tblTargets[[#This Row],[TargetID]],Targets!$Q$2:$Q$101,Targets!$O$2:$O$101),"Not a building"))</f>
        <v>Not a building</v>
      </c>
      <c r="H398" t="str">
        <f>IF(RIGHT(tblTargets[[#This Row],[TargetID]],5)="maxed","",IF(tblTargets[[#This Row],[TargetType]]="BUILDING",_xlfn.XLOOKUP(tblTargets[[#This Row],[TargetID]],Targets!$M$2:$M$101,Targets!$K$2:$K$101),"Not a building"))</f>
        <v>Not a building</v>
      </c>
    </row>
    <row r="399" spans="1:8">
      <c r="A399" t="s">
        <v>3335</v>
      </c>
      <c r="B399" t="s">
        <v>5526</v>
      </c>
      <c r="C399" t="s">
        <v>5565</v>
      </c>
      <c r="D399" t="str">
        <f>IF(tblTargets[[#This Row],[TargetType]]="state",UPPER(_xlfn.TEXTBEFORE(_xlfn.TEXTAFTER(tblTargets[[#This Row],[TargetID]],"state."),"_")),"")</f>
        <v>CHARACTER</v>
      </c>
      <c r="E399" t="b">
        <v>1</v>
      </c>
      <c r="F399" t="s">
        <v>3599</v>
      </c>
      <c r="G399" t="str">
        <f>IF(RIGHT(tblTargets[[#This Row],[TargetID]],5)="maxed","",IF(tblTargets[[#This Row],[TargetType]]="BUILDING",_xlfn.XLOOKUP(tblTargets[[#This Row],[TargetID]],Targets!$Q$2:$Q$101,Targets!$O$2:$O$101),"Not a building"))</f>
        <v>Not a building</v>
      </c>
      <c r="H399" t="str">
        <f>IF(RIGHT(tblTargets[[#This Row],[TargetID]],5)="maxed","",IF(tblTargets[[#This Row],[TargetType]]="BUILDING",_xlfn.XLOOKUP(tblTargets[[#This Row],[TargetID]],Targets!$M$2:$M$101,Targets!$K$2:$K$101),"Not a building"))</f>
        <v>Not a building</v>
      </c>
    </row>
    <row r="400" spans="1:8">
      <c r="A400" t="s">
        <v>3296</v>
      </c>
      <c r="B400" t="s">
        <v>5509</v>
      </c>
      <c r="C400" t="s">
        <v>5565</v>
      </c>
      <c r="D400" t="str">
        <f>IF(tblTargets[[#This Row],[TargetType]]="state",UPPER(_xlfn.TEXTBEFORE(_xlfn.TEXTAFTER(tblTargets[[#This Row],[TargetID]],"state."),"_")),"")</f>
        <v>CHARACTER</v>
      </c>
      <c r="E400" t="b">
        <v>1</v>
      </c>
      <c r="F400" t="s">
        <v>3599</v>
      </c>
      <c r="G400" t="str">
        <f>IF(RIGHT(tblTargets[[#This Row],[TargetID]],5)="maxed","",IF(tblTargets[[#This Row],[TargetType]]="BUILDING",_xlfn.XLOOKUP(tblTargets[[#This Row],[TargetID]],Targets!$Q$2:$Q$101,Targets!$O$2:$O$101),"Not a building"))</f>
        <v>Not a building</v>
      </c>
      <c r="H400" t="str">
        <f>IF(RIGHT(tblTargets[[#This Row],[TargetID]],5)="maxed","",IF(tblTargets[[#This Row],[TargetType]]="BUILDING",_xlfn.XLOOKUP(tblTargets[[#This Row],[TargetID]],Targets!$M$2:$M$101,Targets!$K$2:$K$101),"Not a building"))</f>
        <v>Not a building</v>
      </c>
    </row>
    <row r="401" spans="1:8">
      <c r="A401" t="s">
        <v>3350</v>
      </c>
      <c r="B401" t="s">
        <v>5535</v>
      </c>
      <c r="C401" t="s">
        <v>5565</v>
      </c>
      <c r="D401" t="str">
        <f>IF(tblTargets[[#This Row],[TargetType]]="state",UPPER(_xlfn.TEXTBEFORE(_xlfn.TEXTAFTER(tblTargets[[#This Row],[TargetID]],"state."),"_")),"")</f>
        <v>CHARACTER</v>
      </c>
      <c r="E401" t="b">
        <v>1</v>
      </c>
      <c r="F401" t="s">
        <v>3599</v>
      </c>
      <c r="G401" t="str">
        <f>IF(RIGHT(tblTargets[[#This Row],[TargetID]],5)="maxed","",IF(tblTargets[[#This Row],[TargetType]]="BUILDING",_xlfn.XLOOKUP(tblTargets[[#This Row],[TargetID]],Targets!$Q$2:$Q$101,Targets!$O$2:$O$101),"Not a building"))</f>
        <v>Not a building</v>
      </c>
      <c r="H401" t="str">
        <f>IF(RIGHT(tblTargets[[#This Row],[TargetID]],5)="maxed","",IF(tblTargets[[#This Row],[TargetType]]="BUILDING",_xlfn.XLOOKUP(tblTargets[[#This Row],[TargetID]],Targets!$M$2:$M$101,Targets!$K$2:$K$101),"Not a building"))</f>
        <v>Not a building</v>
      </c>
    </row>
    <row r="402" spans="1:8">
      <c r="A402" t="s">
        <v>3313</v>
      </c>
      <c r="B402" t="s">
        <v>5517</v>
      </c>
      <c r="C402" t="s">
        <v>5565</v>
      </c>
      <c r="D402" t="str">
        <f>IF(tblTargets[[#This Row],[TargetType]]="state",UPPER(_xlfn.TEXTBEFORE(_xlfn.TEXTAFTER(tblTargets[[#This Row],[TargetID]],"state."),"_")),"")</f>
        <v>CHARACTER</v>
      </c>
      <c r="E402" t="b">
        <v>1</v>
      </c>
      <c r="F402" t="s">
        <v>3599</v>
      </c>
      <c r="G402" t="str">
        <f>IF(RIGHT(tblTargets[[#This Row],[TargetID]],5)="maxed","",IF(tblTargets[[#This Row],[TargetType]]="BUILDING",_xlfn.XLOOKUP(tblTargets[[#This Row],[TargetID]],Targets!$Q$2:$Q$101,Targets!$O$2:$O$101),"Not a building"))</f>
        <v>Not a building</v>
      </c>
      <c r="H402" t="str">
        <f>IF(RIGHT(tblTargets[[#This Row],[TargetID]],5)="maxed","",IF(tblTargets[[#This Row],[TargetType]]="BUILDING",_xlfn.XLOOKUP(tblTargets[[#This Row],[TargetID]],Targets!$M$2:$M$101,Targets!$K$2:$K$101),"Not a building"))</f>
        <v>Not a building</v>
      </c>
    </row>
    <row r="403" spans="1:8">
      <c r="A403" t="s">
        <v>3315</v>
      </c>
      <c r="B403" t="s">
        <v>5518</v>
      </c>
      <c r="C403" t="s">
        <v>5565</v>
      </c>
      <c r="D403" t="str">
        <f>IF(tblTargets[[#This Row],[TargetType]]="state",UPPER(_xlfn.TEXTBEFORE(_xlfn.TEXTAFTER(tblTargets[[#This Row],[TargetID]],"state."),"_")),"")</f>
        <v>CHARACTER</v>
      </c>
      <c r="E403" t="b">
        <v>1</v>
      </c>
      <c r="F403" t="s">
        <v>3599</v>
      </c>
      <c r="G403" t="str">
        <f>IF(RIGHT(tblTargets[[#This Row],[TargetID]],5)="maxed","",IF(tblTargets[[#This Row],[TargetType]]="BUILDING",_xlfn.XLOOKUP(tblTargets[[#This Row],[TargetID]],Targets!$Q$2:$Q$101,Targets!$O$2:$O$101),"Not a building"))</f>
        <v>Not a building</v>
      </c>
      <c r="H403" t="str">
        <f>IF(RIGHT(tblTargets[[#This Row],[TargetID]],5)="maxed","",IF(tblTargets[[#This Row],[TargetType]]="BUILDING",_xlfn.XLOOKUP(tblTargets[[#This Row],[TargetID]],Targets!$M$2:$M$101,Targets!$K$2:$K$101),"Not a building"))</f>
        <v>Not a building</v>
      </c>
    </row>
    <row r="404" spans="1:8">
      <c r="A404" t="s">
        <v>3297</v>
      </c>
      <c r="B404" t="s">
        <v>5510</v>
      </c>
      <c r="C404" t="s">
        <v>5565</v>
      </c>
      <c r="D404" t="str">
        <f>IF(tblTargets[[#This Row],[TargetType]]="state",UPPER(_xlfn.TEXTBEFORE(_xlfn.TEXTAFTER(tblTargets[[#This Row],[TargetID]],"state."),"_")),"")</f>
        <v>CHARACTER</v>
      </c>
      <c r="E404" t="b">
        <v>1</v>
      </c>
      <c r="F404" t="s">
        <v>3599</v>
      </c>
      <c r="G404" t="str">
        <f>IF(RIGHT(tblTargets[[#This Row],[TargetID]],5)="maxed","",IF(tblTargets[[#This Row],[TargetType]]="BUILDING",_xlfn.XLOOKUP(tblTargets[[#This Row],[TargetID]],Targets!$Q$2:$Q$101,Targets!$O$2:$O$101),"Not a building"))</f>
        <v>Not a building</v>
      </c>
      <c r="H404" t="str">
        <f>IF(RIGHT(tblTargets[[#This Row],[TargetID]],5)="maxed","",IF(tblTargets[[#This Row],[TargetType]]="BUILDING",_xlfn.XLOOKUP(tblTargets[[#This Row],[TargetID]],Targets!$M$2:$M$101,Targets!$K$2:$K$101),"Not a building"))</f>
        <v>Not a building</v>
      </c>
    </row>
    <row r="405" spans="1:8">
      <c r="A405" t="s">
        <v>3316</v>
      </c>
      <c r="B405" t="s">
        <v>5519</v>
      </c>
      <c r="C405" t="s">
        <v>5565</v>
      </c>
      <c r="D405" t="str">
        <f>IF(tblTargets[[#This Row],[TargetType]]="state",UPPER(_xlfn.TEXTBEFORE(_xlfn.TEXTAFTER(tblTargets[[#This Row],[TargetID]],"state."),"_")),"")</f>
        <v>CHARACTER</v>
      </c>
      <c r="E405" t="b">
        <v>1</v>
      </c>
      <c r="F405" t="s">
        <v>3599</v>
      </c>
      <c r="G405" t="str">
        <f>IF(RIGHT(tblTargets[[#This Row],[TargetID]],5)="maxed","",IF(tblTargets[[#This Row],[TargetType]]="BUILDING",_xlfn.XLOOKUP(tblTargets[[#This Row],[TargetID]],Targets!$Q$2:$Q$101,Targets!$O$2:$O$101),"Not a building"))</f>
        <v>Not a building</v>
      </c>
      <c r="H405" t="str">
        <f>IF(RIGHT(tblTargets[[#This Row],[TargetID]],5)="maxed","",IF(tblTargets[[#This Row],[TargetType]]="BUILDING",_xlfn.XLOOKUP(tblTargets[[#This Row],[TargetID]],Targets!$M$2:$M$101,Targets!$K$2:$K$101),"Not a building"))</f>
        <v>Not a building</v>
      </c>
    </row>
    <row r="406" spans="1:8">
      <c r="A406" t="s">
        <v>3317</v>
      </c>
      <c r="B406" t="s">
        <v>5520</v>
      </c>
      <c r="C406" t="s">
        <v>5565</v>
      </c>
      <c r="D406" t="str">
        <f>IF(tblTargets[[#This Row],[TargetType]]="state",UPPER(_xlfn.TEXTBEFORE(_xlfn.TEXTAFTER(tblTargets[[#This Row],[TargetID]],"state."),"_")),"")</f>
        <v>CHARACTER</v>
      </c>
      <c r="E406" t="b">
        <v>1</v>
      </c>
      <c r="F406" t="s">
        <v>3599</v>
      </c>
      <c r="G406" t="str">
        <f>IF(RIGHT(tblTargets[[#This Row],[TargetID]],5)="maxed","",IF(tblTargets[[#This Row],[TargetType]]="BUILDING",_xlfn.XLOOKUP(tblTargets[[#This Row],[TargetID]],Targets!$Q$2:$Q$101,Targets!$O$2:$O$101),"Not a building"))</f>
        <v>Not a building</v>
      </c>
      <c r="H406" t="str">
        <f>IF(RIGHT(tblTargets[[#This Row],[TargetID]],5)="maxed","",IF(tblTargets[[#This Row],[TargetType]]="BUILDING",_xlfn.XLOOKUP(tblTargets[[#This Row],[TargetID]],Targets!$M$2:$M$101,Targets!$K$2:$K$101),"Not a building"))</f>
        <v>Not a building</v>
      </c>
    </row>
    <row r="407" spans="1:8">
      <c r="A407" t="s">
        <v>3328</v>
      </c>
      <c r="B407" t="s">
        <v>5523</v>
      </c>
      <c r="C407" t="s">
        <v>5565</v>
      </c>
      <c r="D407" t="str">
        <f>IF(tblTargets[[#This Row],[TargetType]]="state",UPPER(_xlfn.TEXTBEFORE(_xlfn.TEXTAFTER(tblTargets[[#This Row],[TargetID]],"state."),"_")),"")</f>
        <v>CHARACTER</v>
      </c>
      <c r="E407" t="b">
        <v>1</v>
      </c>
      <c r="F407" t="s">
        <v>3599</v>
      </c>
      <c r="G407" t="str">
        <f>IF(RIGHT(tblTargets[[#This Row],[TargetID]],5)="maxed","",IF(tblTargets[[#This Row],[TargetType]]="BUILDING",_xlfn.XLOOKUP(tblTargets[[#This Row],[TargetID]],Targets!$Q$2:$Q$101,Targets!$O$2:$O$101),"Not a building"))</f>
        <v>Not a building</v>
      </c>
      <c r="H407" t="str">
        <f>IF(RIGHT(tblTargets[[#This Row],[TargetID]],5)="maxed","",IF(tblTargets[[#This Row],[TargetType]]="BUILDING",_xlfn.XLOOKUP(tblTargets[[#This Row],[TargetID]],Targets!$M$2:$M$101,Targets!$K$2:$K$101),"Not a building"))</f>
        <v>Not a building</v>
      </c>
    </row>
    <row r="408" spans="1:8">
      <c r="A408" t="s">
        <v>3346</v>
      </c>
      <c r="B408" t="s">
        <v>5534</v>
      </c>
      <c r="C408" t="s">
        <v>5565</v>
      </c>
      <c r="D408" t="str">
        <f>IF(tblTargets[[#This Row],[TargetType]]="state",UPPER(_xlfn.TEXTBEFORE(_xlfn.TEXTAFTER(tblTargets[[#This Row],[TargetID]],"state."),"_")),"")</f>
        <v>CHARACTER</v>
      </c>
      <c r="E408" t="b">
        <v>1</v>
      </c>
      <c r="F408" t="s">
        <v>3599</v>
      </c>
      <c r="G408" t="str">
        <f>IF(RIGHT(tblTargets[[#This Row],[TargetID]],5)="maxed","",IF(tblTargets[[#This Row],[TargetType]]="BUILDING",_xlfn.XLOOKUP(tblTargets[[#This Row],[TargetID]],Targets!$Q$2:$Q$101,Targets!$O$2:$O$101),"Not a building"))</f>
        <v>Not a building</v>
      </c>
      <c r="H408" t="str">
        <f>IF(RIGHT(tblTargets[[#This Row],[TargetID]],5)="maxed","",IF(tblTargets[[#This Row],[TargetType]]="BUILDING",_xlfn.XLOOKUP(tblTargets[[#This Row],[TargetID]],Targets!$M$2:$M$101,Targets!$K$2:$K$101),"Not a building"))</f>
        <v>Not a building</v>
      </c>
    </row>
    <row r="409" spans="1:8">
      <c r="A409" t="s">
        <v>3512</v>
      </c>
      <c r="B409" t="s">
        <v>5563</v>
      </c>
      <c r="C409" t="s">
        <v>5565</v>
      </c>
      <c r="D409" t="str">
        <f>IF(tblTargets[[#This Row],[TargetType]]="state",UPPER(_xlfn.TEXTBEFORE(_xlfn.TEXTAFTER(tblTargets[[#This Row],[TargetID]],"state."),"_")),"")</f>
        <v>COMPLETE</v>
      </c>
      <c r="E409" t="b">
        <v>1</v>
      </c>
      <c r="F409" t="s">
        <v>3599</v>
      </c>
      <c r="G409" t="str">
        <f>IF(RIGHT(tblTargets[[#This Row],[TargetID]],5)="maxed","",IF(tblTargets[[#This Row],[TargetType]]="BUILDING",_xlfn.XLOOKUP(tblTargets[[#This Row],[TargetID]],Targets!$Q$2:$Q$101,Targets!$O$2:$O$101),"Not a building"))</f>
        <v>Not a building</v>
      </c>
      <c r="H409" t="str">
        <f>IF(RIGHT(tblTargets[[#This Row],[TargetID]],5)="maxed","",IF(tblTargets[[#This Row],[TargetType]]="BUILDING",_xlfn.XLOOKUP(tblTargets[[#This Row],[TargetID]],Targets!$M$2:$M$101,Targets!$K$2:$K$101),"Not a building"))</f>
        <v>Not a building</v>
      </c>
    </row>
    <row r="410" spans="1:8">
      <c r="A410" t="s">
        <v>5685</v>
      </c>
      <c r="B410" t="s">
        <v>5686</v>
      </c>
      <c r="C410" t="s">
        <v>5565</v>
      </c>
      <c r="D410" t="str">
        <f>IF(tblTargets[[#This Row],[TargetType]]="state",UPPER(_xlfn.TEXTBEFORE(_xlfn.TEXTAFTER(tblTargets[[#This Row],[TargetID]],"state."),"_")),"")</f>
        <v>COMPLETE</v>
      </c>
      <c r="E410" t="b">
        <v>1</v>
      </c>
      <c r="F410" t="s">
        <v>3599</v>
      </c>
      <c r="G410" t="str">
        <f>IF(RIGHT(tblTargets[[#This Row],[TargetID]],5)="maxed","",IF(tblTargets[[#This Row],[TargetType]]="BUILDING",_xlfn.XLOOKUP(tblTargets[[#This Row],[TargetID]],Targets!$Q$2:$Q$101,Targets!$O$2:$O$101),"Not a building"))</f>
        <v>Not a building</v>
      </c>
      <c r="H410" t="str">
        <f>IF(RIGHT(tblTargets[[#This Row],[TargetID]],5)="maxed","",IF(tblTargets[[#This Row],[TargetType]]="BUILDING",_xlfn.XLOOKUP(tblTargets[[#This Row],[TargetID]],Targets!$M$2:$M$101,Targets!$K$2:$K$101),"Not a building"))</f>
        <v>Not a building</v>
      </c>
    </row>
    <row r="411" spans="1:8">
      <c r="A411" t="s">
        <v>5774</v>
      </c>
      <c r="B411" t="s">
        <v>5779</v>
      </c>
      <c r="C411" t="s">
        <v>5565</v>
      </c>
      <c r="D411" t="str">
        <f>IF(tblTargets[[#This Row],[TargetType]]="state",UPPER(_xlfn.TEXTBEFORE(_xlfn.TEXTAFTER(tblTargets[[#This Row],[TargetID]],"state."),"_")),"")</f>
        <v>COMPLETE</v>
      </c>
      <c r="E411" t="b">
        <v>1</v>
      </c>
      <c r="F411" t="s">
        <v>3599</v>
      </c>
      <c r="G411" t="str">
        <f>IF(RIGHT(tblTargets[[#This Row],[TargetID]],5)="maxed","",IF(tblTargets[[#This Row],[TargetType]]="BUILDING",_xlfn.XLOOKUP(tblTargets[[#This Row],[TargetID]],Targets!$Q$2:$Q$101,Targets!$O$2:$O$101),"Not a building"))</f>
        <v>Not a building</v>
      </c>
      <c r="H411" t="str">
        <f>IF(RIGHT(tblTargets[[#This Row],[TargetID]],5)="maxed","",IF(tblTargets[[#This Row],[TargetType]]="BUILDING",_xlfn.XLOOKUP(tblTargets[[#This Row],[TargetID]],Targets!$M$2:$M$101,Targets!$K$2:$K$101),"Not a building"))</f>
        <v>Not a building</v>
      </c>
    </row>
    <row r="412" spans="1:8">
      <c r="A412" t="s">
        <v>5775</v>
      </c>
      <c r="B412" t="s">
        <v>5707</v>
      </c>
      <c r="C412" t="s">
        <v>5565</v>
      </c>
      <c r="D412" t="str">
        <f>IF(tblTargets[[#This Row],[TargetType]]="state",UPPER(_xlfn.TEXTBEFORE(_xlfn.TEXTAFTER(tblTargets[[#This Row],[TargetID]],"state."),"_")),"")</f>
        <v>COMPLETE</v>
      </c>
      <c r="E412" t="b">
        <v>1</v>
      </c>
      <c r="F412" t="s">
        <v>3599</v>
      </c>
      <c r="G412" t="str">
        <f>IF(RIGHT(tblTargets[[#This Row],[TargetID]],5)="maxed","",IF(tblTargets[[#This Row],[TargetType]]="BUILDING",_xlfn.XLOOKUP(tblTargets[[#This Row],[TargetID]],Targets!$Q$2:$Q$101,Targets!$O$2:$O$101),"Not a building"))</f>
        <v>Not a building</v>
      </c>
      <c r="H412" t="str">
        <f>IF(RIGHT(tblTargets[[#This Row],[TargetID]],5)="maxed","",IF(tblTargets[[#This Row],[TargetType]]="BUILDING",_xlfn.XLOOKUP(tblTargets[[#This Row],[TargetID]],Targets!$M$2:$M$101,Targets!$K$2:$K$101),"Not a building"))</f>
        <v>Not a building</v>
      </c>
    </row>
    <row r="413" spans="1:8">
      <c r="A413" t="s">
        <v>5776</v>
      </c>
      <c r="B413" t="s">
        <v>5708</v>
      </c>
      <c r="C413" t="s">
        <v>5565</v>
      </c>
      <c r="D413" t="str">
        <f>IF(tblTargets[[#This Row],[TargetType]]="state",UPPER(_xlfn.TEXTBEFORE(_xlfn.TEXTAFTER(tblTargets[[#This Row],[TargetID]],"state."),"_")),"")</f>
        <v>COMPLETE</v>
      </c>
      <c r="E413" t="b">
        <v>1</v>
      </c>
      <c r="F413" t="s">
        <v>3599</v>
      </c>
      <c r="G413" t="str">
        <f>IF(RIGHT(tblTargets[[#This Row],[TargetID]],5)="maxed","",IF(tblTargets[[#This Row],[TargetType]]="BUILDING",_xlfn.XLOOKUP(tblTargets[[#This Row],[TargetID]],Targets!$Q$2:$Q$101,Targets!$O$2:$O$101),"Not a building"))</f>
        <v>Not a building</v>
      </c>
      <c r="H413" t="str">
        <f>IF(RIGHT(tblTargets[[#This Row],[TargetID]],5)="maxed","",IF(tblTargets[[#This Row],[TargetType]]="BUILDING",_xlfn.XLOOKUP(tblTargets[[#This Row],[TargetID]],Targets!$M$2:$M$101,Targets!$K$2:$K$101),"Not a building"))</f>
        <v>Not a building</v>
      </c>
    </row>
    <row r="414" spans="1:8">
      <c r="A414" t="s">
        <v>5777</v>
      </c>
      <c r="B414" t="s">
        <v>5709</v>
      </c>
      <c r="C414" t="s">
        <v>5565</v>
      </c>
      <c r="D414" t="str">
        <f>IF(tblTargets[[#This Row],[TargetType]]="state",UPPER(_xlfn.TEXTBEFORE(_xlfn.TEXTAFTER(tblTargets[[#This Row],[TargetID]],"state."),"_")),"")</f>
        <v>COMPLETE</v>
      </c>
      <c r="E414" t="b">
        <v>1</v>
      </c>
      <c r="F414" t="s">
        <v>3599</v>
      </c>
      <c r="G414" t="str">
        <f>IF(RIGHT(tblTargets[[#This Row],[TargetID]],5)="maxed","",IF(tblTargets[[#This Row],[TargetType]]="BUILDING",_xlfn.XLOOKUP(tblTargets[[#This Row],[TargetID]],Targets!$Q$2:$Q$101,Targets!$O$2:$O$101),"Not a building"))</f>
        <v>Not a building</v>
      </c>
      <c r="H414" t="str">
        <f>IF(RIGHT(tblTargets[[#This Row],[TargetID]],5)="maxed","",IF(tblTargets[[#This Row],[TargetType]]="BUILDING",_xlfn.XLOOKUP(tblTargets[[#This Row],[TargetID]],Targets!$M$2:$M$101,Targets!$K$2:$K$101),"Not a building"))</f>
        <v>Not a building</v>
      </c>
    </row>
    <row r="415" spans="1:8">
      <c r="A415" t="s">
        <v>5778</v>
      </c>
      <c r="B415" t="s">
        <v>5710</v>
      </c>
      <c r="C415" t="s">
        <v>5565</v>
      </c>
      <c r="D415" t="str">
        <f>IF(tblTargets[[#This Row],[TargetType]]="state",UPPER(_xlfn.TEXTBEFORE(_xlfn.TEXTAFTER(tblTargets[[#This Row],[TargetID]],"state."),"_")),"")</f>
        <v>COMPLETE</v>
      </c>
      <c r="E415" t="b">
        <v>1</v>
      </c>
      <c r="F415" t="s">
        <v>3599</v>
      </c>
      <c r="G415" t="str">
        <f>IF(RIGHT(tblTargets[[#This Row],[TargetID]],5)="maxed","",IF(tblTargets[[#This Row],[TargetType]]="BUILDING",_xlfn.XLOOKUP(tblTargets[[#This Row],[TargetID]],Targets!$Q$2:$Q$101,Targets!$O$2:$O$101),"Not a building"))</f>
        <v>Not a building</v>
      </c>
      <c r="H415" t="str">
        <f>IF(RIGHT(tblTargets[[#This Row],[TargetID]],5)="maxed","",IF(tblTargets[[#This Row],[TargetType]]="BUILDING",_xlfn.XLOOKUP(tblTargets[[#This Row],[TargetID]],Targets!$M$2:$M$101,Targets!$K$2:$K$101),"Not a building"))</f>
        <v>Not a building</v>
      </c>
    </row>
    <row r="416" spans="1:8">
      <c r="A416" t="s">
        <v>5798</v>
      </c>
      <c r="B416" t="s">
        <v>5799</v>
      </c>
      <c r="C416" t="s">
        <v>5565</v>
      </c>
      <c r="D416" t="str">
        <f>IF(tblTargets[[#This Row],[TargetType]]="state",UPPER(_xlfn.TEXTBEFORE(_xlfn.TEXTAFTER(tblTargets[[#This Row],[TargetID]],"state."),"_")),"")</f>
        <v>COMPLETE</v>
      </c>
      <c r="E416" t="b">
        <v>1</v>
      </c>
      <c r="F416" t="s">
        <v>3599</v>
      </c>
      <c r="G416" t="str">
        <f>IF(RIGHT(tblTargets[[#This Row],[TargetID]],5)="maxed","",IF(tblTargets[[#This Row],[TargetType]]="BUILDING",_xlfn.XLOOKUP(tblTargets[[#This Row],[TargetID]],Targets!$Q$2:$Q$101,Targets!$O$2:$O$101),"Not a building"))</f>
        <v>Not a building</v>
      </c>
      <c r="H416" t="str">
        <f>IF(RIGHT(tblTargets[[#This Row],[TargetID]],5)="maxed","",IF(tblTargets[[#This Row],[TargetType]]="BUILDING",_xlfn.XLOOKUP(tblTargets[[#This Row],[TargetID]],Targets!$M$2:$M$101,Targets!$K$2:$K$101),"Not a building"))</f>
        <v>Not a building</v>
      </c>
    </row>
    <row r="417" spans="1:8">
      <c r="A417" t="s">
        <v>5805</v>
      </c>
      <c r="B417" t="s">
        <v>5699</v>
      </c>
      <c r="C417" t="s">
        <v>5565</v>
      </c>
      <c r="D417" t="str">
        <f>IF(tblTargets[[#This Row],[TargetType]]="state",UPPER(_xlfn.TEXTBEFORE(_xlfn.TEXTAFTER(tblTargets[[#This Row],[TargetID]],"state."),"_")),"")</f>
        <v>DELIVER</v>
      </c>
      <c r="E417" t="b">
        <v>1</v>
      </c>
      <c r="F417" t="s">
        <v>3599</v>
      </c>
      <c r="G417" t="str">
        <f>IF(RIGHT(tblTargets[[#This Row],[TargetID]],5)="maxed","",IF(tblTargets[[#This Row],[TargetType]]="BUILDING",_xlfn.XLOOKUP(tblTargets[[#This Row],[TargetID]],Targets!$Q$2:$Q$101,Targets!$O$2:$O$101),"Not a building"))</f>
        <v>Not a building</v>
      </c>
      <c r="H417" t="str">
        <f>IF(RIGHT(tblTargets[[#This Row],[TargetID]],5)="maxed","",IF(tblTargets[[#This Row],[TargetType]]="BUILDING",_xlfn.XLOOKUP(tblTargets[[#This Row],[TargetID]],Targets!$M$2:$M$101,Targets!$K$2:$K$101),"Not a building"))</f>
        <v>Not a building</v>
      </c>
    </row>
    <row r="418" spans="1:8">
      <c r="A418" t="s">
        <v>5771</v>
      </c>
      <c r="B418" t="s">
        <v>5913</v>
      </c>
      <c r="C418" t="s">
        <v>5565</v>
      </c>
      <c r="D418" t="str">
        <f>IF(tblTargets[[#This Row],[TargetType]]="state",UPPER(_xlfn.TEXTBEFORE(_xlfn.TEXTAFTER(tblTargets[[#This Row],[TargetID]],"state."),"_")),"")</f>
        <v>DELIVER</v>
      </c>
      <c r="E418" t="b">
        <v>1</v>
      </c>
      <c r="F418" t="s">
        <v>3599</v>
      </c>
      <c r="G418" t="str">
        <f>IF(RIGHT(tblTargets[[#This Row],[TargetID]],5)="maxed","",IF(tblTargets[[#This Row],[TargetType]]="BUILDING",_xlfn.XLOOKUP(tblTargets[[#This Row],[TargetID]],Targets!$Q$2:$Q$101,Targets!$O$2:$O$101),"Not a building"))</f>
        <v>Not a building</v>
      </c>
      <c r="H418" t="str">
        <f>IF(RIGHT(tblTargets[[#This Row],[TargetID]],5)="maxed","",IF(tblTargets[[#This Row],[TargetType]]="BUILDING",_xlfn.XLOOKUP(tblTargets[[#This Row],[TargetID]],Targets!$M$2:$M$101,Targets!$K$2:$K$101),"Not a building"))</f>
        <v>Not a building</v>
      </c>
    </row>
    <row r="419" spans="1:8">
      <c r="A419" t="s">
        <v>5923</v>
      </c>
      <c r="B419" t="s">
        <v>5661</v>
      </c>
      <c r="C419" t="s">
        <v>5565</v>
      </c>
      <c r="D419" t="str">
        <f>IF(tblTargets[[#This Row],[TargetType]]="state",UPPER(_xlfn.TEXTBEFORE(_xlfn.TEXTAFTER(tblTargets[[#This Row],[TargetID]],"state."),"_")),"")</f>
        <v>DELIVER</v>
      </c>
      <c r="E419" t="b">
        <v>1</v>
      </c>
      <c r="F419" t="s">
        <v>3599</v>
      </c>
      <c r="G419" t="str">
        <f>IF(RIGHT(tblTargets[[#This Row],[TargetID]],5)="maxed","",IF(tblTargets[[#This Row],[TargetType]]="BUILDING",_xlfn.XLOOKUP(tblTargets[[#This Row],[TargetID]],Targets!$Q$2:$Q$101,Targets!$O$2:$O$101),"Not a building"))</f>
        <v>Not a building</v>
      </c>
      <c r="H419" t="str">
        <f>IF(RIGHT(tblTargets[[#This Row],[TargetID]],5)="maxed","",IF(tblTargets[[#This Row],[TargetType]]="BUILDING",_xlfn.XLOOKUP(tblTargets[[#This Row],[TargetID]],Targets!$M$2:$M$101,Targets!$K$2:$K$101),"Not a building"))</f>
        <v>Not a building</v>
      </c>
    </row>
    <row r="420" spans="1:8">
      <c r="A420" t="s">
        <v>5680</v>
      </c>
      <c r="B420" t="s">
        <v>5681</v>
      </c>
      <c r="C420" t="s">
        <v>5565</v>
      </c>
      <c r="D420" t="str">
        <f>IF(tblTargets[[#This Row],[TargetType]]="state",UPPER(_xlfn.TEXTBEFORE(_xlfn.TEXTAFTER(tblTargets[[#This Row],[TargetID]],"state."),"_")),"")</f>
        <v>DELIVER</v>
      </c>
      <c r="E420" t="b">
        <v>1</v>
      </c>
      <c r="F420" t="s">
        <v>3599</v>
      </c>
      <c r="G420" t="str">
        <f>IF(RIGHT(tblTargets[[#This Row],[TargetID]],5)="maxed","",IF(tblTargets[[#This Row],[TargetType]]="BUILDING",_xlfn.XLOOKUP(tblTargets[[#This Row],[TargetID]],Targets!$Q$2:$Q$101,Targets!$O$2:$O$101),"Not a building"))</f>
        <v>Not a building</v>
      </c>
      <c r="H420" t="str">
        <f>IF(RIGHT(tblTargets[[#This Row],[TargetID]],5)="maxed","",IF(tblTargets[[#This Row],[TargetType]]="BUILDING",_xlfn.XLOOKUP(tblTargets[[#This Row],[TargetID]],Targets!$M$2:$M$101,Targets!$K$2:$K$101),"Not a building"))</f>
        <v>Not a building</v>
      </c>
    </row>
    <row r="421" spans="1:8">
      <c r="A421" t="s">
        <v>5800</v>
      </c>
      <c r="B421" t="s">
        <v>5658</v>
      </c>
      <c r="C421" t="s">
        <v>5565</v>
      </c>
      <c r="D421" t="str">
        <f>IF(tblTargets[[#This Row],[TargetType]]="state",UPPER(_xlfn.TEXTBEFORE(_xlfn.TEXTAFTER(tblTargets[[#This Row],[TargetID]],"state."),"_")),"")</f>
        <v>DELIVER</v>
      </c>
      <c r="E421" t="b">
        <v>1</v>
      </c>
      <c r="F421" t="s">
        <v>3599</v>
      </c>
      <c r="G421" t="str">
        <f>IF(RIGHT(tblTargets[[#This Row],[TargetID]],5)="maxed","",IF(tblTargets[[#This Row],[TargetType]]="BUILDING",_xlfn.XLOOKUP(tblTargets[[#This Row],[TargetID]],Targets!$Q$2:$Q$101,Targets!$O$2:$O$101),"Not a building"))</f>
        <v>Not a building</v>
      </c>
      <c r="H421" t="str">
        <f>IF(RIGHT(tblTargets[[#This Row],[TargetID]],5)="maxed","",IF(tblTargets[[#This Row],[TargetType]]="BUILDING",_xlfn.XLOOKUP(tblTargets[[#This Row],[TargetID]],Targets!$M$2:$M$101,Targets!$K$2:$K$101),"Not a building"))</f>
        <v>Not a building</v>
      </c>
    </row>
    <row r="422" spans="1:8">
      <c r="A422" t="s">
        <v>5768</v>
      </c>
      <c r="B422" t="s">
        <v>5651</v>
      </c>
      <c r="C422" t="s">
        <v>5565</v>
      </c>
      <c r="D422" t="str">
        <f>IF(tblTargets[[#This Row],[TargetType]]="state",UPPER(_xlfn.TEXTBEFORE(_xlfn.TEXTAFTER(tblTargets[[#This Row],[TargetID]],"state."),"_")),"")</f>
        <v>DELIVER</v>
      </c>
      <c r="E422" t="b">
        <v>1</v>
      </c>
      <c r="F422" t="s">
        <v>3599</v>
      </c>
      <c r="G422" t="str">
        <f>IF(RIGHT(tblTargets[[#This Row],[TargetID]],5)="maxed","",IF(tblTargets[[#This Row],[TargetType]]="BUILDING",_xlfn.XLOOKUP(tblTargets[[#This Row],[TargetID]],Targets!$Q$2:$Q$101,Targets!$O$2:$O$101),"Not a building"))</f>
        <v>Not a building</v>
      </c>
      <c r="H422" t="str">
        <f>IF(RIGHT(tblTargets[[#This Row],[TargetID]],5)="maxed","",IF(tblTargets[[#This Row],[TargetType]]="BUILDING",_xlfn.XLOOKUP(tblTargets[[#This Row],[TargetID]],Targets!$M$2:$M$101,Targets!$K$2:$K$101),"Not a building"))</f>
        <v>Not a building</v>
      </c>
    </row>
    <row r="423" spans="1:8">
      <c r="A423" t="s">
        <v>5801</v>
      </c>
      <c r="B423" t="s">
        <v>5663</v>
      </c>
      <c r="C423" t="s">
        <v>5565</v>
      </c>
      <c r="D423" t="str">
        <f>IF(tblTargets[[#This Row],[TargetType]]="state",UPPER(_xlfn.TEXTBEFORE(_xlfn.TEXTAFTER(tblTargets[[#This Row],[TargetID]],"state."),"_")),"")</f>
        <v>DELIVER</v>
      </c>
      <c r="E423" t="b">
        <v>1</v>
      </c>
      <c r="F423" t="s">
        <v>3599</v>
      </c>
      <c r="G423" t="str">
        <f>IF(RIGHT(tblTargets[[#This Row],[TargetID]],5)="maxed","",IF(tblTargets[[#This Row],[TargetType]]="BUILDING",_xlfn.XLOOKUP(tblTargets[[#This Row],[TargetID]],Targets!$Q$2:$Q$101,Targets!$O$2:$O$101),"Not a building"))</f>
        <v>Not a building</v>
      </c>
      <c r="H423" t="str">
        <f>IF(RIGHT(tblTargets[[#This Row],[TargetID]],5)="maxed","",IF(tblTargets[[#This Row],[TargetType]]="BUILDING",_xlfn.XLOOKUP(tblTargets[[#This Row],[TargetID]],Targets!$M$2:$M$101,Targets!$K$2:$K$101),"Not a building"))</f>
        <v>Not a building</v>
      </c>
    </row>
    <row r="424" spans="1:8">
      <c r="A424" t="s">
        <v>5802</v>
      </c>
      <c r="B424" t="s">
        <v>5664</v>
      </c>
      <c r="C424" t="s">
        <v>5565</v>
      </c>
      <c r="D424" t="str">
        <f>IF(tblTargets[[#This Row],[TargetType]]="state",UPPER(_xlfn.TEXTBEFORE(_xlfn.TEXTAFTER(tblTargets[[#This Row],[TargetID]],"state."),"_")),"")</f>
        <v>DELIVER</v>
      </c>
      <c r="E424" t="b">
        <v>1</v>
      </c>
      <c r="F424" t="s">
        <v>3599</v>
      </c>
      <c r="G424" t="str">
        <f>IF(RIGHT(tblTargets[[#This Row],[TargetID]],5)="maxed","",IF(tblTargets[[#This Row],[TargetType]]="BUILDING",_xlfn.XLOOKUP(tblTargets[[#This Row],[TargetID]],Targets!$Q$2:$Q$101,Targets!$O$2:$O$101),"Not a building"))</f>
        <v>Not a building</v>
      </c>
      <c r="H424" t="str">
        <f>IF(RIGHT(tblTargets[[#This Row],[TargetID]],5)="maxed","",IF(tblTargets[[#This Row],[TargetType]]="BUILDING",_xlfn.XLOOKUP(tblTargets[[#This Row],[TargetID]],Targets!$M$2:$M$101,Targets!$K$2:$K$101),"Not a building"))</f>
        <v>Not a building</v>
      </c>
    </row>
    <row r="425" spans="1:8">
      <c r="A425" t="s">
        <v>5803</v>
      </c>
      <c r="B425" t="s">
        <v>5660</v>
      </c>
      <c r="C425" t="s">
        <v>5565</v>
      </c>
      <c r="D425" t="str">
        <f>IF(tblTargets[[#This Row],[TargetType]]="state",UPPER(_xlfn.TEXTBEFORE(_xlfn.TEXTAFTER(tblTargets[[#This Row],[TargetID]],"state."),"_")),"")</f>
        <v>DELIVER</v>
      </c>
      <c r="E425" t="b">
        <v>1</v>
      </c>
      <c r="F425" t="s">
        <v>3599</v>
      </c>
      <c r="G425" t="str">
        <f>IF(RIGHT(tblTargets[[#This Row],[TargetID]],5)="maxed","",IF(tblTargets[[#This Row],[TargetType]]="BUILDING",_xlfn.XLOOKUP(tblTargets[[#This Row],[TargetID]],Targets!$Q$2:$Q$101,Targets!$O$2:$O$101),"Not a building"))</f>
        <v>Not a building</v>
      </c>
      <c r="H425" t="str">
        <f>IF(RIGHT(tblTargets[[#This Row],[TargetID]],5)="maxed","",IF(tblTargets[[#This Row],[TargetType]]="BUILDING",_xlfn.XLOOKUP(tblTargets[[#This Row],[TargetID]],Targets!$M$2:$M$101,Targets!$K$2:$K$101),"Not a building"))</f>
        <v>Not a building</v>
      </c>
    </row>
    <row r="426" spans="1:8">
      <c r="A426" t="s">
        <v>5804</v>
      </c>
      <c r="B426" t="s">
        <v>5659</v>
      </c>
      <c r="C426" t="s">
        <v>5565</v>
      </c>
      <c r="D426" t="str">
        <f>IF(tblTargets[[#This Row],[TargetType]]="state",UPPER(_xlfn.TEXTBEFORE(_xlfn.TEXTAFTER(tblTargets[[#This Row],[TargetID]],"state."),"_")),"")</f>
        <v>DELIVER</v>
      </c>
      <c r="E426" t="b">
        <v>1</v>
      </c>
      <c r="F426" t="s">
        <v>3599</v>
      </c>
      <c r="G426" t="str">
        <f>IF(RIGHT(tblTargets[[#This Row],[TargetID]],5)="maxed","",IF(tblTargets[[#This Row],[TargetType]]="BUILDING",_xlfn.XLOOKUP(tblTargets[[#This Row],[TargetID]],Targets!$Q$2:$Q$101,Targets!$O$2:$O$101),"Not a building"))</f>
        <v>Not a building</v>
      </c>
      <c r="H426" t="str">
        <f>IF(RIGHT(tblTargets[[#This Row],[TargetID]],5)="maxed","",IF(tblTargets[[#This Row],[TargetType]]="BUILDING",_xlfn.XLOOKUP(tblTargets[[#This Row],[TargetID]],Targets!$M$2:$M$101,Targets!$K$2:$K$101),"Not a building"))</f>
        <v>Not a building</v>
      </c>
    </row>
    <row r="427" spans="1:8">
      <c r="A427" t="s">
        <v>5782</v>
      </c>
      <c r="B427" t="s">
        <v>5657</v>
      </c>
      <c r="C427" t="s">
        <v>5565</v>
      </c>
      <c r="D427" t="str">
        <f>IF(tblTargets[[#This Row],[TargetType]]="state",UPPER(_xlfn.TEXTBEFORE(_xlfn.TEXTAFTER(tblTargets[[#This Row],[TargetID]],"state."),"_")),"")</f>
        <v>DELIVER</v>
      </c>
      <c r="E427" t="b">
        <v>1</v>
      </c>
      <c r="F427" t="s">
        <v>3599</v>
      </c>
      <c r="G427" t="str">
        <f>IF(RIGHT(tblTargets[[#This Row],[TargetID]],5)="maxed","",IF(tblTargets[[#This Row],[TargetType]]="BUILDING",_xlfn.XLOOKUP(tblTargets[[#This Row],[TargetID]],Targets!$Q$2:$Q$101,Targets!$O$2:$O$101),"Not a building"))</f>
        <v>Not a building</v>
      </c>
      <c r="H427" t="str">
        <f>IF(RIGHT(tblTargets[[#This Row],[TargetID]],5)="maxed","",IF(tblTargets[[#This Row],[TargetType]]="BUILDING",_xlfn.XLOOKUP(tblTargets[[#This Row],[TargetID]],Targets!$M$2:$M$101,Targets!$K$2:$K$101),"Not a building"))</f>
        <v>Not a building</v>
      </c>
    </row>
    <row r="428" spans="1:8">
      <c r="A428" t="s">
        <v>5921</v>
      </c>
      <c r="B428" t="s">
        <v>5910</v>
      </c>
      <c r="C428" t="s">
        <v>5565</v>
      </c>
      <c r="D428" t="str">
        <f>IF(tblTargets[[#This Row],[TargetType]]="state",UPPER(_xlfn.TEXTBEFORE(_xlfn.TEXTAFTER(tblTargets[[#This Row],[TargetID]],"state."),"_")),"")</f>
        <v>DELIVER</v>
      </c>
      <c r="E428" t="b">
        <v>1</v>
      </c>
      <c r="F428" t="s">
        <v>3599</v>
      </c>
      <c r="G428" t="str">
        <f>IF(RIGHT(tblTargets[[#This Row],[TargetID]],5)="maxed","",IF(tblTargets[[#This Row],[TargetType]]="BUILDING",_xlfn.XLOOKUP(tblTargets[[#This Row],[TargetID]],Targets!$Q$2:$Q$101,Targets!$O$2:$O$101),"Not a building"))</f>
        <v>Not a building</v>
      </c>
      <c r="H428" t="str">
        <f>IF(RIGHT(tblTargets[[#This Row],[TargetID]],5)="maxed","",IF(tblTargets[[#This Row],[TargetType]]="BUILDING",_xlfn.XLOOKUP(tblTargets[[#This Row],[TargetID]],Targets!$M$2:$M$101,Targets!$K$2:$K$101),"Not a building"))</f>
        <v>Not a building</v>
      </c>
    </row>
    <row r="429" spans="1:8">
      <c r="A429" t="s">
        <v>6097</v>
      </c>
      <c r="B429" t="s">
        <v>5639</v>
      </c>
      <c r="C429" t="s">
        <v>5565</v>
      </c>
      <c r="D429" t="str">
        <f>IF(tblTargets[[#This Row],[TargetType]]="state",UPPER(_xlfn.TEXTBEFORE(_xlfn.TEXTAFTER(tblTargets[[#This Row],[TargetID]],"state."),"_")),"")</f>
        <v>DELIVER</v>
      </c>
      <c r="E429" t="b">
        <v>1</v>
      </c>
      <c r="F429" t="s">
        <v>3599</v>
      </c>
      <c r="G429" t="str">
        <f>IF(RIGHT(tblTargets[[#This Row],[TargetID]],5)="maxed","",IF(tblTargets[[#This Row],[TargetType]]="BUILDING",_xlfn.XLOOKUP(tblTargets[[#This Row],[TargetID]],Targets!$Q$2:$Q$101,Targets!$O$2:$O$101),"Not a building"))</f>
        <v>Not a building</v>
      </c>
      <c r="H429" t="str">
        <f>IF(RIGHT(tblTargets[[#This Row],[TargetID]],5)="maxed","",IF(tblTargets[[#This Row],[TargetType]]="BUILDING",_xlfn.XLOOKUP(tblTargets[[#This Row],[TargetID]],Targets!$M$2:$M$101,Targets!$K$2:$K$101),"Not a building"))</f>
        <v>Not a building</v>
      </c>
    </row>
    <row r="430" spans="1:8">
      <c r="A430" t="s">
        <v>5769</v>
      </c>
      <c r="B430" t="s">
        <v>5665</v>
      </c>
      <c r="C430" t="s">
        <v>5565</v>
      </c>
      <c r="D430" t="str">
        <f>IF(tblTargets[[#This Row],[TargetType]]="state",UPPER(_xlfn.TEXTBEFORE(_xlfn.TEXTAFTER(tblTargets[[#This Row],[TargetID]],"state."),"_")),"")</f>
        <v>DELIVER</v>
      </c>
      <c r="E430" t="b">
        <v>1</v>
      </c>
      <c r="F430" t="s">
        <v>3599</v>
      </c>
      <c r="G430" t="str">
        <f>IF(RIGHT(tblTargets[[#This Row],[TargetID]],5)="maxed","",IF(tblTargets[[#This Row],[TargetType]]="BUILDING",_xlfn.XLOOKUP(tblTargets[[#This Row],[TargetID]],Targets!$Q$2:$Q$101,Targets!$O$2:$O$101),"Not a building"))</f>
        <v>Not a building</v>
      </c>
      <c r="H430" t="str">
        <f>IF(RIGHT(tblTargets[[#This Row],[TargetID]],5)="maxed","",IF(tblTargets[[#This Row],[TargetType]]="BUILDING",_xlfn.XLOOKUP(tblTargets[[#This Row],[TargetID]],Targets!$M$2:$M$101,Targets!$K$2:$K$101),"Not a building"))</f>
        <v>Not a building</v>
      </c>
    </row>
    <row r="431" spans="1:8">
      <c r="A431" t="s">
        <v>5770</v>
      </c>
      <c r="B431" t="s">
        <v>5650</v>
      </c>
      <c r="C431" t="s">
        <v>5565</v>
      </c>
      <c r="D431" t="str">
        <f>IF(tblTargets[[#This Row],[TargetType]]="state",UPPER(_xlfn.TEXTBEFORE(_xlfn.TEXTAFTER(tblTargets[[#This Row],[TargetID]],"state."),"_")),"")</f>
        <v>DELIVER</v>
      </c>
      <c r="E431" t="b">
        <v>1</v>
      </c>
      <c r="F431" t="s">
        <v>3599</v>
      </c>
      <c r="G431" t="str">
        <f>IF(RIGHT(tblTargets[[#This Row],[TargetID]],5)="maxed","",IF(tblTargets[[#This Row],[TargetType]]="BUILDING",_xlfn.XLOOKUP(tblTargets[[#This Row],[TargetID]],Targets!$Q$2:$Q$101,Targets!$O$2:$O$101),"Not a building"))</f>
        <v>Not a building</v>
      </c>
      <c r="H431" t="str">
        <f>IF(RIGHT(tblTargets[[#This Row],[TargetID]],5)="maxed","",IF(tblTargets[[#This Row],[TargetType]]="BUILDING",_xlfn.XLOOKUP(tblTargets[[#This Row],[TargetID]],Targets!$M$2:$M$101,Targets!$K$2:$K$101),"Not a building"))</f>
        <v>Not a building</v>
      </c>
    </row>
    <row r="432" spans="1:8">
      <c r="A432" t="s">
        <v>5757</v>
      </c>
      <c r="B432" t="s">
        <v>5662</v>
      </c>
      <c r="C432" t="s">
        <v>5565</v>
      </c>
      <c r="D432" t="str">
        <f>IF(tblTargets[[#This Row],[TargetType]]="state",UPPER(_xlfn.TEXTBEFORE(_xlfn.TEXTAFTER(tblTargets[[#This Row],[TargetID]],"state."),"_")),"")</f>
        <v>DELIVER</v>
      </c>
      <c r="E432" t="b">
        <v>1</v>
      </c>
      <c r="F432" t="s">
        <v>3599</v>
      </c>
      <c r="G432" t="str">
        <f>IF(RIGHT(tblTargets[[#This Row],[TargetID]],5)="maxed","",IF(tblTargets[[#This Row],[TargetType]]="BUILDING",_xlfn.XLOOKUP(tblTargets[[#This Row],[TargetID]],Targets!$Q$2:$Q$101,Targets!$O$2:$O$101),"Not a building"))</f>
        <v>Not a building</v>
      </c>
      <c r="H432" t="str">
        <f>IF(RIGHT(tblTargets[[#This Row],[TargetID]],5)="maxed","",IF(tblTargets[[#This Row],[TargetType]]="BUILDING",_xlfn.XLOOKUP(tblTargets[[#This Row],[TargetID]],Targets!$M$2:$M$101,Targets!$K$2:$K$101),"Not a building"))</f>
        <v>Not a building</v>
      </c>
    </row>
    <row r="433" spans="1:8">
      <c r="A433" t="s">
        <v>6100</v>
      </c>
      <c r="B433" t="s">
        <v>5694</v>
      </c>
      <c r="C433" t="s">
        <v>5565</v>
      </c>
      <c r="D433" t="str">
        <f>IF(tblTargets[[#This Row],[TargetType]]="state",UPPER(_xlfn.TEXTBEFORE(_xlfn.TEXTAFTER(tblTargets[[#This Row],[TargetID]],"state."),"_")),"")</f>
        <v>FIND</v>
      </c>
      <c r="E433" t="b">
        <v>1</v>
      </c>
      <c r="F433" t="s">
        <v>3599</v>
      </c>
      <c r="G433" t="str">
        <f>IF(RIGHT(tblTargets[[#This Row],[TargetID]],5)="maxed","",IF(tblTargets[[#This Row],[TargetType]]="BUILDING",_xlfn.XLOOKUP(tblTargets[[#This Row],[TargetID]],Targets!$Q$2:$Q$101,Targets!$O$2:$O$101),"Not a building"))</f>
        <v>Not a building</v>
      </c>
      <c r="H433" t="str">
        <f>IF(RIGHT(tblTargets[[#This Row],[TargetID]],5)="maxed","",IF(tblTargets[[#This Row],[TargetType]]="BUILDING",_xlfn.XLOOKUP(tblTargets[[#This Row],[TargetID]],Targets!$M$2:$M$101,Targets!$K$2:$K$101),"Not a building"))</f>
        <v>Not a building</v>
      </c>
    </row>
    <row r="434" spans="1:8">
      <c r="A434" t="s">
        <v>6101</v>
      </c>
      <c r="B434" t="s">
        <v>5695</v>
      </c>
      <c r="C434" t="s">
        <v>5565</v>
      </c>
      <c r="D434" t="str">
        <f>IF(tblTargets[[#This Row],[TargetType]]="state",UPPER(_xlfn.TEXTBEFORE(_xlfn.TEXTAFTER(tblTargets[[#This Row],[TargetID]],"state."),"_")),"")</f>
        <v>FIND</v>
      </c>
      <c r="E434" t="b">
        <v>1</v>
      </c>
      <c r="F434" t="s">
        <v>3599</v>
      </c>
      <c r="G434" t="str">
        <f>IF(RIGHT(tblTargets[[#This Row],[TargetID]],5)="maxed","",IF(tblTargets[[#This Row],[TargetType]]="BUILDING",_xlfn.XLOOKUP(tblTargets[[#This Row],[TargetID]],Targets!$Q$2:$Q$101,Targets!$O$2:$O$101),"Not a building"))</f>
        <v>Not a building</v>
      </c>
      <c r="H434" t="str">
        <f>IF(RIGHT(tblTargets[[#This Row],[TargetID]],5)="maxed","",IF(tblTargets[[#This Row],[TargetType]]="BUILDING",_xlfn.XLOOKUP(tblTargets[[#This Row],[TargetID]],Targets!$M$2:$M$101,Targets!$K$2:$K$101),"Not a building"))</f>
        <v>Not a building</v>
      </c>
    </row>
    <row r="435" spans="1:8">
      <c r="A435" t="s">
        <v>6102</v>
      </c>
      <c r="B435" t="s">
        <v>5696</v>
      </c>
      <c r="C435" t="s">
        <v>5565</v>
      </c>
      <c r="D435" t="str">
        <f>IF(tblTargets[[#This Row],[TargetType]]="state",UPPER(_xlfn.TEXTBEFORE(_xlfn.TEXTAFTER(tblTargets[[#This Row],[TargetID]],"state."),"_")),"")</f>
        <v>FIND</v>
      </c>
      <c r="E435" t="b">
        <v>1</v>
      </c>
      <c r="F435" t="s">
        <v>3599</v>
      </c>
      <c r="G435" t="str">
        <f>IF(RIGHT(tblTargets[[#This Row],[TargetID]],5)="maxed","",IF(tblTargets[[#This Row],[TargetType]]="BUILDING",_xlfn.XLOOKUP(tblTargets[[#This Row],[TargetID]],Targets!$Q$2:$Q$101,Targets!$O$2:$O$101),"Not a building"))</f>
        <v>Not a building</v>
      </c>
      <c r="H435" t="str">
        <f>IF(RIGHT(tblTargets[[#This Row],[TargetID]],5)="maxed","",IF(tblTargets[[#This Row],[TargetType]]="BUILDING",_xlfn.XLOOKUP(tblTargets[[#This Row],[TargetID]],Targets!$M$2:$M$101,Targets!$K$2:$K$101),"Not a building"))</f>
        <v>Not a building</v>
      </c>
    </row>
    <row r="436" spans="1:8">
      <c r="A436" t="s">
        <v>5772</v>
      </c>
      <c r="B436" t="s">
        <v>5670</v>
      </c>
      <c r="C436" t="s">
        <v>5565</v>
      </c>
      <c r="D436" t="str">
        <f>IF(tblTargets[[#This Row],[TargetType]]="state",UPPER(_xlfn.TEXTBEFORE(_xlfn.TEXTAFTER(tblTargets[[#This Row],[TargetID]],"state."),"_")),"")</f>
        <v>FIND</v>
      </c>
      <c r="E436" t="b">
        <v>1</v>
      </c>
      <c r="F436" t="s">
        <v>3599</v>
      </c>
      <c r="G436" t="str">
        <f>IF(RIGHT(tblTargets[[#This Row],[TargetID]],5)="maxed","",IF(tblTargets[[#This Row],[TargetType]]="BUILDING",_xlfn.XLOOKUP(tblTargets[[#This Row],[TargetID]],Targets!$Q$2:$Q$101,Targets!$O$2:$O$101),"Not a building"))</f>
        <v>Not a building</v>
      </c>
      <c r="H436" t="str">
        <f>IF(RIGHT(tblTargets[[#This Row],[TargetID]],5)="maxed","",IF(tblTargets[[#This Row],[TargetType]]="BUILDING",_xlfn.XLOOKUP(tblTargets[[#This Row],[TargetID]],Targets!$M$2:$M$101,Targets!$K$2:$K$101),"Not a building"))</f>
        <v>Not a building</v>
      </c>
    </row>
    <row r="437" spans="1:8">
      <c r="A437" t="s">
        <v>5690</v>
      </c>
      <c r="B437" t="s">
        <v>5911</v>
      </c>
      <c r="C437" t="s">
        <v>5565</v>
      </c>
      <c r="D437" t="str">
        <f>IF(tblTargets[[#This Row],[TargetType]]="state",UPPER(_xlfn.TEXTBEFORE(_xlfn.TEXTAFTER(tblTargets[[#This Row],[TargetID]],"state."),"_")),"")</f>
        <v>FIND</v>
      </c>
      <c r="E437" t="b">
        <v>1</v>
      </c>
      <c r="F437" t="s">
        <v>3599</v>
      </c>
      <c r="G437" t="str">
        <f>IF(RIGHT(tblTargets[[#This Row],[TargetID]],5)="maxed","",IF(tblTargets[[#This Row],[TargetType]]="BUILDING",_xlfn.XLOOKUP(tblTargets[[#This Row],[TargetID]],Targets!$Q$2:$Q$101,Targets!$O$2:$O$101),"Not a building"))</f>
        <v>Not a building</v>
      </c>
      <c r="H437" t="str">
        <f>IF(RIGHT(tblTargets[[#This Row],[TargetID]],5)="maxed","",IF(tblTargets[[#This Row],[TargetType]]="BUILDING",_xlfn.XLOOKUP(tblTargets[[#This Row],[TargetID]],Targets!$M$2:$M$101,Targets!$K$2:$K$101),"Not a building"))</f>
        <v>Not a building</v>
      </c>
    </row>
    <row r="438" spans="1:8">
      <c r="A438" t="s">
        <v>5758</v>
      </c>
      <c r="B438" t="s">
        <v>5667</v>
      </c>
      <c r="C438" t="s">
        <v>5565</v>
      </c>
      <c r="D438" t="str">
        <f>IF(tblTargets[[#This Row],[TargetType]]="state",UPPER(_xlfn.TEXTBEFORE(_xlfn.TEXTAFTER(tblTargets[[#This Row],[TargetID]],"state."),"_")),"")</f>
        <v>MEET</v>
      </c>
      <c r="E438" t="b">
        <v>1</v>
      </c>
      <c r="F438" t="s">
        <v>3599</v>
      </c>
      <c r="G438" t="str">
        <f>IF(RIGHT(tblTargets[[#This Row],[TargetID]],5)="maxed","",IF(tblTargets[[#This Row],[TargetType]]="BUILDING",_xlfn.XLOOKUP(tblTargets[[#This Row],[TargetID]],Targets!$Q$2:$Q$101,Targets!$O$2:$O$101),"Not a building"))</f>
        <v>Not a building</v>
      </c>
      <c r="H438" t="str">
        <f>IF(RIGHT(tblTargets[[#This Row],[TargetID]],5)="maxed","",IF(tblTargets[[#This Row],[TargetType]]="BUILDING",_xlfn.XLOOKUP(tblTargets[[#This Row],[TargetID]],Targets!$M$2:$M$101,Targets!$K$2:$K$101),"Not a building"))</f>
        <v>Not a building</v>
      </c>
    </row>
    <row r="439" spans="1:8">
      <c r="A439" t="s">
        <v>3504</v>
      </c>
      <c r="B439" t="s">
        <v>5560</v>
      </c>
      <c r="C439" t="s">
        <v>5565</v>
      </c>
      <c r="D439" t="str">
        <f>IF(tblTargets[[#This Row],[TargetType]]="state",UPPER(_xlfn.TEXTBEFORE(_xlfn.TEXTAFTER(tblTargets[[#This Row],[TargetID]],"state."),"_")),"")</f>
        <v>MEET</v>
      </c>
      <c r="E439" t="b">
        <v>1</v>
      </c>
      <c r="F439" t="s">
        <v>3599</v>
      </c>
      <c r="G439" t="str">
        <f>IF(RIGHT(tblTargets[[#This Row],[TargetID]],5)="maxed","",IF(tblTargets[[#This Row],[TargetType]]="BUILDING",_xlfn.XLOOKUP(tblTargets[[#This Row],[TargetID]],Targets!$Q$2:$Q$101,Targets!$O$2:$O$101),"Not a building"))</f>
        <v>Not a building</v>
      </c>
      <c r="H439" t="str">
        <f>IF(RIGHT(tblTargets[[#This Row],[TargetID]],5)="maxed","",IF(tblTargets[[#This Row],[TargetType]]="BUILDING",_xlfn.XLOOKUP(tblTargets[[#This Row],[TargetID]],Targets!$M$2:$M$101,Targets!$K$2:$K$101),"Not a building"))</f>
        <v>Not a building</v>
      </c>
    </row>
    <row r="440" spans="1:8">
      <c r="A440" t="s">
        <v>3494</v>
      </c>
      <c r="B440" t="s">
        <v>5557</v>
      </c>
      <c r="C440" t="s">
        <v>5565</v>
      </c>
      <c r="D440" t="str">
        <f>IF(tblTargets[[#This Row],[TargetType]]="state",UPPER(_xlfn.TEXTBEFORE(_xlfn.TEXTAFTER(tblTargets[[#This Row],[TargetID]],"state."),"_")),"")</f>
        <v>MEET</v>
      </c>
      <c r="E440" t="b">
        <v>1</v>
      </c>
      <c r="F440" t="s">
        <v>3599</v>
      </c>
      <c r="G440" t="str">
        <f>IF(RIGHT(tblTargets[[#This Row],[TargetID]],5)="maxed","",IF(tblTargets[[#This Row],[TargetType]]="BUILDING",_xlfn.XLOOKUP(tblTargets[[#This Row],[TargetID]],Targets!$Q$2:$Q$101,Targets!$O$2:$O$101),"Not a building"))</f>
        <v>Not a building</v>
      </c>
      <c r="H440" t="str">
        <f>IF(RIGHT(tblTargets[[#This Row],[TargetID]],5)="maxed","",IF(tblTargets[[#This Row],[TargetType]]="BUILDING",_xlfn.XLOOKUP(tblTargets[[#This Row],[TargetID]],Targets!$M$2:$M$101,Targets!$K$2:$K$101),"Not a building"))</f>
        <v>Not a building</v>
      </c>
    </row>
    <row r="441" spans="1:8">
      <c r="A441" t="s">
        <v>3497</v>
      </c>
      <c r="B441" t="s">
        <v>5558</v>
      </c>
      <c r="C441" t="s">
        <v>5565</v>
      </c>
      <c r="D441" t="str">
        <f>IF(tblTargets[[#This Row],[TargetType]]="state",UPPER(_xlfn.TEXTBEFORE(_xlfn.TEXTAFTER(tblTargets[[#This Row],[TargetID]],"state."),"_")),"")</f>
        <v>MEET</v>
      </c>
      <c r="E441" t="b">
        <v>1</v>
      </c>
      <c r="F441" t="s">
        <v>3599</v>
      </c>
      <c r="G441" t="str">
        <f>IF(RIGHT(tblTargets[[#This Row],[TargetID]],5)="maxed","",IF(tblTargets[[#This Row],[TargetType]]="BUILDING",_xlfn.XLOOKUP(tblTargets[[#This Row],[TargetID]],Targets!$Q$2:$Q$101,Targets!$O$2:$O$101),"Not a building"))</f>
        <v>Not a building</v>
      </c>
      <c r="H441" t="str">
        <f>IF(RIGHT(tblTargets[[#This Row],[TargetID]],5)="maxed","",IF(tblTargets[[#This Row],[TargetType]]="BUILDING",_xlfn.XLOOKUP(tblTargets[[#This Row],[TargetID]],Targets!$M$2:$M$101,Targets!$K$2:$K$101),"Not a building"))</f>
        <v>Not a building</v>
      </c>
    </row>
    <row r="442" spans="1:8">
      <c r="A442" t="s">
        <v>3460</v>
      </c>
      <c r="B442" t="s">
        <v>5550</v>
      </c>
      <c r="C442" t="s">
        <v>5565</v>
      </c>
      <c r="D442" t="str">
        <f>IF(tblTargets[[#This Row],[TargetType]]="state",UPPER(_xlfn.TEXTBEFORE(_xlfn.TEXTAFTER(tblTargets[[#This Row],[TargetID]],"state."),"_")),"")</f>
        <v>MEET</v>
      </c>
      <c r="E442" t="b">
        <v>1</v>
      </c>
      <c r="F442" t="s">
        <v>3599</v>
      </c>
      <c r="G442" t="str">
        <f>IF(RIGHT(tblTargets[[#This Row],[TargetID]],5)="maxed","",IF(tblTargets[[#This Row],[TargetType]]="BUILDING",_xlfn.XLOOKUP(tblTargets[[#This Row],[TargetID]],Targets!$Q$2:$Q$101,Targets!$O$2:$O$101),"Not a building"))</f>
        <v>Not a building</v>
      </c>
      <c r="H442" t="str">
        <f>IF(RIGHT(tblTargets[[#This Row],[TargetID]],5)="maxed","",IF(tblTargets[[#This Row],[TargetType]]="BUILDING",_xlfn.XLOOKUP(tblTargets[[#This Row],[TargetID]],Targets!$M$2:$M$101,Targets!$K$2:$K$101),"Not a building"))</f>
        <v>Not a building</v>
      </c>
    </row>
    <row r="443" spans="1:8">
      <c r="A443" t="s">
        <v>5759</v>
      </c>
      <c r="B443" t="s">
        <v>5666</v>
      </c>
      <c r="C443" t="s">
        <v>5565</v>
      </c>
      <c r="D443" t="str">
        <f>IF(tblTargets[[#This Row],[TargetType]]="state",UPPER(_xlfn.TEXTBEFORE(_xlfn.TEXTAFTER(tblTargets[[#This Row],[TargetID]],"state."),"_")),"")</f>
        <v>MEET</v>
      </c>
      <c r="E443" t="b">
        <v>1</v>
      </c>
      <c r="F443" t="s">
        <v>3599</v>
      </c>
      <c r="G443" t="str">
        <f>IF(RIGHT(tblTargets[[#This Row],[TargetID]],5)="maxed","",IF(tblTargets[[#This Row],[TargetType]]="BUILDING",_xlfn.XLOOKUP(tblTargets[[#This Row],[TargetID]],Targets!$Q$2:$Q$101,Targets!$O$2:$O$101),"Not a building"))</f>
        <v>Not a building</v>
      </c>
      <c r="H443" t="str">
        <f>IF(RIGHT(tblTargets[[#This Row],[TargetID]],5)="maxed","",IF(tblTargets[[#This Row],[TargetType]]="BUILDING",_xlfn.XLOOKUP(tblTargets[[#This Row],[TargetID]],Targets!$M$2:$M$101,Targets!$K$2:$K$101),"Not a building"))</f>
        <v>Not a building</v>
      </c>
    </row>
    <row r="444" spans="1:8">
      <c r="A444" t="s">
        <v>3438</v>
      </c>
      <c r="B444" t="s">
        <v>5539</v>
      </c>
      <c r="C444" t="s">
        <v>5565</v>
      </c>
      <c r="D444" t="str">
        <f>IF(tblTargets[[#This Row],[TargetType]]="state",UPPER(_xlfn.TEXTBEFORE(_xlfn.TEXTAFTER(tblTargets[[#This Row],[TargetID]],"state."),"_")),"")</f>
        <v>MEET</v>
      </c>
      <c r="E444" t="b">
        <v>1</v>
      </c>
      <c r="F444" t="s">
        <v>3599</v>
      </c>
      <c r="G444" t="str">
        <f>IF(RIGHT(tblTargets[[#This Row],[TargetID]],5)="maxed","",IF(tblTargets[[#This Row],[TargetType]]="BUILDING",_xlfn.XLOOKUP(tblTargets[[#This Row],[TargetID]],Targets!$Q$2:$Q$101,Targets!$O$2:$O$101),"Not a building"))</f>
        <v>Not a building</v>
      </c>
      <c r="H444" t="str">
        <f>IF(RIGHT(tblTargets[[#This Row],[TargetID]],5)="maxed","",IF(tblTargets[[#This Row],[TargetType]]="BUILDING",_xlfn.XLOOKUP(tblTargets[[#This Row],[TargetID]],Targets!$M$2:$M$101,Targets!$K$2:$K$101),"Not a building"))</f>
        <v>Not a building</v>
      </c>
    </row>
    <row r="445" spans="1:8">
      <c r="A445" s="24" t="s">
        <v>3474</v>
      </c>
      <c r="B445" t="s">
        <v>5547</v>
      </c>
      <c r="C445" t="s">
        <v>5565</v>
      </c>
      <c r="D445" t="str">
        <f>IF(tblTargets[[#This Row],[TargetType]]="state",UPPER(_xlfn.TEXTBEFORE(_xlfn.TEXTAFTER(tblTargets[[#This Row],[TargetID]],"state."),"_")),"")</f>
        <v>MEET</v>
      </c>
      <c r="E445" t="b">
        <v>1</v>
      </c>
      <c r="F445" t="s">
        <v>3599</v>
      </c>
      <c r="G445" t="str">
        <f>IF(RIGHT(tblTargets[[#This Row],[TargetID]],5)="maxed","",IF(tblTargets[[#This Row],[TargetType]]="BUILDING",_xlfn.XLOOKUP(tblTargets[[#This Row],[TargetID]],Targets!$Q$2:$Q$101,Targets!$O$2:$O$101),"Not a building"))</f>
        <v>Not a building</v>
      </c>
      <c r="H445" t="str">
        <f>IF(RIGHT(tblTargets[[#This Row],[TargetID]],5)="maxed","",IF(tblTargets[[#This Row],[TargetType]]="BUILDING",_xlfn.XLOOKUP(tblTargets[[#This Row],[TargetID]],Targets!$M$2:$M$101,Targets!$K$2:$K$101),"Not a building"))</f>
        <v>Not a building</v>
      </c>
    </row>
    <row r="446" spans="1:8">
      <c r="A446" t="s">
        <v>6039</v>
      </c>
      <c r="B446" t="s">
        <v>6052</v>
      </c>
      <c r="C446" t="s">
        <v>5565</v>
      </c>
      <c r="D446" t="str">
        <f>IF(tblTargets[[#This Row],[TargetType]]="state",UPPER(_xlfn.TEXTBEFORE(_xlfn.TEXTAFTER(tblTargets[[#This Row],[TargetID]],"state."),"_")),"")</f>
        <v>MEET</v>
      </c>
      <c r="E446" t="b">
        <v>1</v>
      </c>
      <c r="F446" t="s">
        <v>3599</v>
      </c>
      <c r="G446" t="str">
        <f>IF(RIGHT(tblTargets[[#This Row],[TargetID]],5)="maxed","",IF(tblTargets[[#This Row],[TargetType]]="BUILDING",_xlfn.XLOOKUP(tblTargets[[#This Row],[TargetID]],Targets!$Q$2:$Q$101,Targets!$O$2:$O$101),"Not a building"))</f>
        <v>Not a building</v>
      </c>
      <c r="H446" t="str">
        <f>IF(RIGHT(tblTargets[[#This Row],[TargetID]],5)="maxed","",IF(tblTargets[[#This Row],[TargetType]]="BUILDING",_xlfn.XLOOKUP(tblTargets[[#This Row],[TargetID]],Targets!$M$2:$M$101,Targets!$K$2:$K$101),"Not a building"))</f>
        <v>Not a building</v>
      </c>
    </row>
    <row r="447" spans="1:8">
      <c r="A447" t="s">
        <v>6105</v>
      </c>
      <c r="B447" t="s">
        <v>5544</v>
      </c>
      <c r="C447" t="s">
        <v>5565</v>
      </c>
      <c r="D447" t="str">
        <f>IF(tblTargets[[#This Row],[TargetType]]="state",UPPER(_xlfn.TEXTBEFORE(_xlfn.TEXTAFTER(tblTargets[[#This Row],[TargetID]],"state."),"_")),"")</f>
        <v>MEET</v>
      </c>
      <c r="E447" t="b">
        <v>1</v>
      </c>
      <c r="F447" t="s">
        <v>3599</v>
      </c>
      <c r="G447" t="str">
        <f>IF(RIGHT(tblTargets[[#This Row],[TargetID]],5)="maxed","",IF(tblTargets[[#This Row],[TargetType]]="BUILDING",_xlfn.XLOOKUP(tblTargets[[#This Row],[TargetID]],Targets!$Q$2:$Q$101,Targets!$O$2:$O$101),"Not a building"))</f>
        <v>Not a building</v>
      </c>
      <c r="H447" t="str">
        <f>IF(RIGHT(tblTargets[[#This Row],[TargetID]],5)="maxed","",IF(tblTargets[[#This Row],[TargetType]]="BUILDING",_xlfn.XLOOKUP(tblTargets[[#This Row],[TargetID]],Targets!$M$2:$M$101,Targets!$K$2:$K$101),"Not a building"))</f>
        <v>Not a building</v>
      </c>
    </row>
    <row r="448" spans="1:8">
      <c r="A448" t="s">
        <v>3453</v>
      </c>
      <c r="B448" t="s">
        <v>5552</v>
      </c>
      <c r="C448" t="s">
        <v>5565</v>
      </c>
      <c r="D448" t="str">
        <f>IF(tblTargets[[#This Row],[TargetType]]="state",UPPER(_xlfn.TEXTBEFORE(_xlfn.TEXTAFTER(tblTargets[[#This Row],[TargetID]],"state."),"_")),"")</f>
        <v>MEET</v>
      </c>
      <c r="E448" t="b">
        <v>1</v>
      </c>
      <c r="F448" t="s">
        <v>3599</v>
      </c>
      <c r="G448" t="str">
        <f>IF(RIGHT(tblTargets[[#This Row],[TargetID]],5)="maxed","",IF(tblTargets[[#This Row],[TargetType]]="BUILDING",_xlfn.XLOOKUP(tblTargets[[#This Row],[TargetID]],Targets!$Q$2:$Q$101,Targets!$O$2:$O$101),"Not a building"))</f>
        <v>Not a building</v>
      </c>
      <c r="H448" t="str">
        <f>IF(RIGHT(tblTargets[[#This Row],[TargetID]],5)="maxed","",IF(tblTargets[[#This Row],[TargetType]]="BUILDING",_xlfn.XLOOKUP(tblTargets[[#This Row],[TargetID]],Targets!$M$2:$M$101,Targets!$K$2:$K$101),"Not a building"))</f>
        <v>Not a building</v>
      </c>
    </row>
    <row r="449" spans="1:8">
      <c r="A449" t="s">
        <v>3448</v>
      </c>
      <c r="B449" t="s">
        <v>5543</v>
      </c>
      <c r="C449" t="s">
        <v>5565</v>
      </c>
      <c r="D449" t="str">
        <f>IF(tblTargets[[#This Row],[TargetType]]="state",UPPER(_xlfn.TEXTBEFORE(_xlfn.TEXTAFTER(tblTargets[[#This Row],[TargetID]],"state."),"_")),"")</f>
        <v>MEET</v>
      </c>
      <c r="E449" t="b">
        <v>1</v>
      </c>
      <c r="F449" t="s">
        <v>3599</v>
      </c>
      <c r="G449" t="str">
        <f>IF(RIGHT(tblTargets[[#This Row],[TargetID]],5)="maxed","",IF(tblTargets[[#This Row],[TargetType]]="BUILDING",_xlfn.XLOOKUP(tblTargets[[#This Row],[TargetID]],Targets!$Q$2:$Q$101,Targets!$O$2:$O$101),"Not a building"))</f>
        <v>Not a building</v>
      </c>
      <c r="H449" t="str">
        <f>IF(RIGHT(tblTargets[[#This Row],[TargetID]],5)="maxed","",IF(tblTargets[[#This Row],[TargetType]]="BUILDING",_xlfn.XLOOKUP(tblTargets[[#This Row],[TargetID]],Targets!$M$2:$M$101,Targets!$K$2:$K$101),"Not a building"))</f>
        <v>Not a building</v>
      </c>
    </row>
    <row r="450" spans="1:8">
      <c r="A450" t="s">
        <v>5755</v>
      </c>
      <c r="B450" t="s">
        <v>5656</v>
      </c>
      <c r="C450" t="s">
        <v>5565</v>
      </c>
      <c r="D450" t="str">
        <f>IF(tblTargets[[#This Row],[TargetType]]="state",UPPER(_xlfn.TEXTBEFORE(_xlfn.TEXTAFTER(tblTargets[[#This Row],[TargetID]],"state."),"_")),"")</f>
        <v>MEET</v>
      </c>
      <c r="E450" t="b">
        <v>1</v>
      </c>
      <c r="F450" t="s">
        <v>3599</v>
      </c>
      <c r="G450" t="str">
        <f>IF(RIGHT(tblTargets[[#This Row],[TargetID]],5)="maxed","",IF(tblTargets[[#This Row],[TargetType]]="BUILDING",_xlfn.XLOOKUP(tblTargets[[#This Row],[TargetID]],Targets!$Q$2:$Q$101,Targets!$O$2:$O$101),"Not a building"))</f>
        <v>Not a building</v>
      </c>
      <c r="H450" t="str">
        <f>IF(RIGHT(tblTargets[[#This Row],[TargetID]],5)="maxed","",IF(tblTargets[[#This Row],[TargetType]]="BUILDING",_xlfn.XLOOKUP(tblTargets[[#This Row],[TargetID]],Targets!$M$2:$M$101,Targets!$K$2:$K$101),"Not a building"))</f>
        <v>Not a building</v>
      </c>
    </row>
    <row r="451" spans="1:8">
      <c r="A451" t="s">
        <v>5692</v>
      </c>
      <c r="B451" t="s">
        <v>5693</v>
      </c>
      <c r="C451" t="s">
        <v>5565</v>
      </c>
      <c r="D451" t="str">
        <f>IF(tblTargets[[#This Row],[TargetType]]="state",UPPER(_xlfn.TEXTBEFORE(_xlfn.TEXTAFTER(tblTargets[[#This Row],[TargetID]],"state."),"_")),"")</f>
        <v>MEET</v>
      </c>
      <c r="E451" t="b">
        <v>1</v>
      </c>
      <c r="F451" t="s">
        <v>3599</v>
      </c>
      <c r="G451" t="str">
        <f>IF(RIGHT(tblTargets[[#This Row],[TargetID]],5)="maxed","",IF(tblTargets[[#This Row],[TargetType]]="BUILDING",_xlfn.XLOOKUP(tblTargets[[#This Row],[TargetID]],Targets!$Q$2:$Q$101,Targets!$O$2:$O$101),"Not a building"))</f>
        <v>Not a building</v>
      </c>
      <c r="H451" t="str">
        <f>IF(RIGHT(tblTargets[[#This Row],[TargetID]],5)="maxed","",IF(tblTargets[[#This Row],[TargetType]]="BUILDING",_xlfn.XLOOKUP(tblTargets[[#This Row],[TargetID]],Targets!$M$2:$M$101,Targets!$K$2:$K$101),"Not a building"))</f>
        <v>Not a building</v>
      </c>
    </row>
    <row r="452" spans="1:8">
      <c r="A452" t="s">
        <v>3489</v>
      </c>
      <c r="B452" t="s">
        <v>5555</v>
      </c>
      <c r="C452" t="s">
        <v>5565</v>
      </c>
      <c r="D452" t="str">
        <f>IF(tblTargets[[#This Row],[TargetType]]="state",UPPER(_xlfn.TEXTBEFORE(_xlfn.TEXTAFTER(tblTargets[[#This Row],[TargetID]],"state."),"_")),"")</f>
        <v>MEET</v>
      </c>
      <c r="E452" t="b">
        <v>1</v>
      </c>
      <c r="F452" t="s">
        <v>3599</v>
      </c>
      <c r="G452" t="str">
        <f>IF(RIGHT(tblTargets[[#This Row],[TargetID]],5)="maxed","",IF(tblTargets[[#This Row],[TargetType]]="BUILDING",_xlfn.XLOOKUP(tblTargets[[#This Row],[TargetID]],Targets!$Q$2:$Q$101,Targets!$O$2:$O$101),"Not a building"))</f>
        <v>Not a building</v>
      </c>
      <c r="H452" t="str">
        <f>IF(RIGHT(tblTargets[[#This Row],[TargetID]],5)="maxed","",IF(tblTargets[[#This Row],[TargetType]]="BUILDING",_xlfn.XLOOKUP(tblTargets[[#This Row],[TargetID]],Targets!$M$2:$M$101,Targets!$K$2:$K$101),"Not a building"))</f>
        <v>Not a building</v>
      </c>
    </row>
    <row r="453" spans="1:8">
      <c r="A453" t="s">
        <v>3471</v>
      </c>
      <c r="B453" t="s">
        <v>5546</v>
      </c>
      <c r="C453" t="s">
        <v>5565</v>
      </c>
      <c r="D453" t="str">
        <f>IF(tblTargets[[#This Row],[TargetType]]="state",UPPER(_xlfn.TEXTBEFORE(_xlfn.TEXTAFTER(tblTargets[[#This Row],[TargetID]],"state."),"_")),"")</f>
        <v>MEET</v>
      </c>
      <c r="E453" t="b">
        <v>1</v>
      </c>
      <c r="F453" t="s">
        <v>3599</v>
      </c>
      <c r="G453" t="str">
        <f>IF(RIGHT(tblTargets[[#This Row],[TargetID]],5)="maxed","",IF(tblTargets[[#This Row],[TargetType]]="BUILDING",_xlfn.XLOOKUP(tblTargets[[#This Row],[TargetID]],Targets!$Q$2:$Q$101,Targets!$O$2:$O$101),"Not a building"))</f>
        <v>Not a building</v>
      </c>
      <c r="H453" t="str">
        <f>IF(RIGHT(tblTargets[[#This Row],[TargetID]],5)="maxed","",IF(tblTargets[[#This Row],[TargetType]]="BUILDING",_xlfn.XLOOKUP(tblTargets[[#This Row],[TargetID]],Targets!$M$2:$M$101,Targets!$K$2:$K$101),"Not a building"))</f>
        <v>Not a building</v>
      </c>
    </row>
    <row r="454" spans="1:8">
      <c r="A454" t="s">
        <v>3456</v>
      </c>
      <c r="B454" t="s">
        <v>5549</v>
      </c>
      <c r="C454" t="s">
        <v>5565</v>
      </c>
      <c r="D454" t="str">
        <f>IF(tblTargets[[#This Row],[TargetType]]="state",UPPER(_xlfn.TEXTBEFORE(_xlfn.TEXTAFTER(tblTargets[[#This Row],[TargetID]],"state."),"_")),"")</f>
        <v>MEET</v>
      </c>
      <c r="E454" t="b">
        <v>1</v>
      </c>
      <c r="F454" t="s">
        <v>3599</v>
      </c>
      <c r="G454" t="str">
        <f>IF(RIGHT(tblTargets[[#This Row],[TargetID]],5)="maxed","",IF(tblTargets[[#This Row],[TargetType]]="BUILDING",_xlfn.XLOOKUP(tblTargets[[#This Row],[TargetID]],Targets!$Q$2:$Q$101,Targets!$O$2:$O$101),"Not a building"))</f>
        <v>Not a building</v>
      </c>
      <c r="H454" t="str">
        <f>IF(RIGHT(tblTargets[[#This Row],[TargetID]],5)="maxed","",IF(tblTargets[[#This Row],[TargetType]]="BUILDING",_xlfn.XLOOKUP(tblTargets[[#This Row],[TargetID]],Targets!$M$2:$M$101,Targets!$K$2:$K$101),"Not a building"))</f>
        <v>Not a building</v>
      </c>
    </row>
    <row r="455" spans="1:8">
      <c r="A455" t="s">
        <v>3440</v>
      </c>
      <c r="B455" t="s">
        <v>5540</v>
      </c>
      <c r="C455" t="s">
        <v>5565</v>
      </c>
      <c r="D455" t="str">
        <f>IF(tblTargets[[#This Row],[TargetType]]="state",UPPER(_xlfn.TEXTBEFORE(_xlfn.TEXTAFTER(tblTargets[[#This Row],[TargetID]],"state."),"_")),"")</f>
        <v>MEET</v>
      </c>
      <c r="E455" t="b">
        <v>1</v>
      </c>
      <c r="F455" t="s">
        <v>3599</v>
      </c>
      <c r="G455" t="str">
        <f>IF(RIGHT(tblTargets[[#This Row],[TargetID]],5)="maxed","",IF(tblTargets[[#This Row],[TargetType]]="BUILDING",_xlfn.XLOOKUP(tblTargets[[#This Row],[TargetID]],Targets!$Q$2:$Q$101,Targets!$O$2:$O$101),"Not a building"))</f>
        <v>Not a building</v>
      </c>
      <c r="H455" t="str">
        <f>IF(RIGHT(tblTargets[[#This Row],[TargetID]],5)="maxed","",IF(tblTargets[[#This Row],[TargetType]]="BUILDING",_xlfn.XLOOKUP(tblTargets[[#This Row],[TargetID]],Targets!$M$2:$M$101,Targets!$K$2:$K$101),"Not a building"))</f>
        <v>Not a building</v>
      </c>
    </row>
    <row r="456" spans="1:8">
      <c r="A456" t="s">
        <v>3468</v>
      </c>
      <c r="B456" t="s">
        <v>5545</v>
      </c>
      <c r="C456" t="s">
        <v>5565</v>
      </c>
      <c r="D456" t="str">
        <f>IF(tblTargets[[#This Row],[TargetType]]="state",UPPER(_xlfn.TEXTBEFORE(_xlfn.TEXTAFTER(tblTargets[[#This Row],[TargetID]],"state."),"_")),"")</f>
        <v>MEET</v>
      </c>
      <c r="E456" t="b">
        <v>1</v>
      </c>
      <c r="F456" t="s">
        <v>3599</v>
      </c>
      <c r="G456" t="str">
        <f>IF(RIGHT(tblTargets[[#This Row],[TargetID]],5)="maxed","",IF(tblTargets[[#This Row],[TargetType]]="BUILDING",_xlfn.XLOOKUP(tblTargets[[#This Row],[TargetID]],Targets!$Q$2:$Q$101,Targets!$O$2:$O$101),"Not a building"))</f>
        <v>Not a building</v>
      </c>
      <c r="H456" t="str">
        <f>IF(RIGHT(tblTargets[[#This Row],[TargetID]],5)="maxed","",IF(tblTargets[[#This Row],[TargetType]]="BUILDING",_xlfn.XLOOKUP(tblTargets[[#This Row],[TargetID]],Targets!$M$2:$M$101,Targets!$K$2:$K$101),"Not a building"))</f>
        <v>Not a building</v>
      </c>
    </row>
    <row r="457" spans="1:8">
      <c r="A457" t="s">
        <v>3508</v>
      </c>
      <c r="B457" t="s">
        <v>5561</v>
      </c>
      <c r="C457" t="s">
        <v>5565</v>
      </c>
      <c r="D457" t="str">
        <f>IF(tblTargets[[#This Row],[TargetType]]="state",UPPER(_xlfn.TEXTBEFORE(_xlfn.TEXTAFTER(tblTargets[[#This Row],[TargetID]],"state."),"_")),"")</f>
        <v>MEET</v>
      </c>
      <c r="E457" t="b">
        <v>1</v>
      </c>
      <c r="F457" t="s">
        <v>3599</v>
      </c>
      <c r="G457" t="str">
        <f>IF(RIGHT(tblTargets[[#This Row],[TargetID]],5)="maxed","",IF(tblTargets[[#This Row],[TargetType]]="BUILDING",_xlfn.XLOOKUP(tblTargets[[#This Row],[TargetID]],Targets!$Q$2:$Q$101,Targets!$O$2:$O$101),"Not a building"))</f>
        <v>Not a building</v>
      </c>
      <c r="H457" t="str">
        <f>IF(RIGHT(tblTargets[[#This Row],[TargetID]],5)="maxed","",IF(tblTargets[[#This Row],[TargetType]]="BUILDING",_xlfn.XLOOKUP(tblTargets[[#This Row],[TargetID]],Targets!$M$2:$M$101,Targets!$K$2:$K$101),"Not a building"))</f>
        <v>Not a building</v>
      </c>
    </row>
    <row r="458" spans="1:8">
      <c r="A458" t="s">
        <v>6040</v>
      </c>
      <c r="B458" t="s">
        <v>6041</v>
      </c>
      <c r="C458" t="s">
        <v>5565</v>
      </c>
      <c r="D458" t="str">
        <f>IF(tblTargets[[#This Row],[TargetType]]="state",UPPER(_xlfn.TEXTBEFORE(_xlfn.TEXTAFTER(tblTargets[[#This Row],[TargetID]],"state."),"_")),"")</f>
        <v>MEET</v>
      </c>
      <c r="E458" t="b">
        <v>1</v>
      </c>
      <c r="F458" t="s">
        <v>3599</v>
      </c>
      <c r="G458" t="str">
        <f>IF(RIGHT(tblTargets[[#This Row],[TargetID]],5)="maxed","",IF(tblTargets[[#This Row],[TargetType]]="BUILDING",_xlfn.XLOOKUP(tblTargets[[#This Row],[TargetID]],Targets!$Q$2:$Q$101,Targets!$O$2:$O$101),"Not a building"))</f>
        <v>Not a building</v>
      </c>
      <c r="H458" t="str">
        <f>IF(RIGHT(tblTargets[[#This Row],[TargetID]],5)="maxed","",IF(tblTargets[[#This Row],[TargetType]]="BUILDING",_xlfn.XLOOKUP(tblTargets[[#This Row],[TargetID]],Targets!$M$2:$M$101,Targets!$K$2:$K$101),"Not a building"))</f>
        <v>Not a building</v>
      </c>
    </row>
    <row r="459" spans="1:8">
      <c r="A459" t="s">
        <v>6103</v>
      </c>
      <c r="B459" t="s">
        <v>6051</v>
      </c>
      <c r="C459" t="s">
        <v>5565</v>
      </c>
      <c r="D459" t="str">
        <f>IF(tblTargets[[#This Row],[TargetType]]="state",UPPER(_xlfn.TEXTBEFORE(_xlfn.TEXTAFTER(tblTargets[[#This Row],[TargetID]],"state."),"_")),"")</f>
        <v>MEET</v>
      </c>
      <c r="E459" t="b">
        <v>1</v>
      </c>
      <c r="F459" t="s">
        <v>3599</v>
      </c>
      <c r="G459" t="str">
        <f>IF(RIGHT(tblTargets[[#This Row],[TargetID]],5)="maxed","",IF(tblTargets[[#This Row],[TargetType]]="BUILDING",_xlfn.XLOOKUP(tblTargets[[#This Row],[TargetID]],Targets!$Q$2:$Q$101,Targets!$O$2:$O$101),"Not a building"))</f>
        <v>Not a building</v>
      </c>
      <c r="H459" t="str">
        <f>IF(RIGHT(tblTargets[[#This Row],[TargetID]],5)="maxed","",IF(tblTargets[[#This Row],[TargetType]]="BUILDING",_xlfn.XLOOKUP(tblTargets[[#This Row],[TargetID]],Targets!$M$2:$M$101,Targets!$K$2:$K$101),"Not a building"))</f>
        <v>Not a building</v>
      </c>
    </row>
    <row r="460" spans="1:8">
      <c r="A460" t="s">
        <v>6104</v>
      </c>
      <c r="B460" t="s">
        <v>5548</v>
      </c>
      <c r="C460" t="s">
        <v>5565</v>
      </c>
      <c r="D460" t="str">
        <f>IF(tblTargets[[#This Row],[TargetType]]="state",UPPER(_xlfn.TEXTBEFORE(_xlfn.TEXTAFTER(tblTargets[[#This Row],[TargetID]],"state."),"_")),"")</f>
        <v>MEET</v>
      </c>
      <c r="E460" t="b">
        <v>1</v>
      </c>
      <c r="F460" t="s">
        <v>3599</v>
      </c>
      <c r="G460" t="str">
        <f>IF(RIGHT(tblTargets[[#This Row],[TargetID]],5)="maxed","",IF(tblTargets[[#This Row],[TargetType]]="BUILDING",_xlfn.XLOOKUP(tblTargets[[#This Row],[TargetID]],Targets!$Q$2:$Q$101,Targets!$O$2:$O$101),"Not a building"))</f>
        <v>Not a building</v>
      </c>
      <c r="H460" t="str">
        <f>IF(RIGHT(tblTargets[[#This Row],[TargetID]],5)="maxed","",IF(tblTargets[[#This Row],[TargetType]]="BUILDING",_xlfn.XLOOKUP(tblTargets[[#This Row],[TargetID]],Targets!$M$2:$M$101,Targets!$K$2:$K$101),"Not a building"))</f>
        <v>Not a building</v>
      </c>
    </row>
    <row r="461" spans="1:8">
      <c r="A461" t="s">
        <v>5920</v>
      </c>
      <c r="B461" t="s">
        <v>5711</v>
      </c>
      <c r="C461" t="s">
        <v>5565</v>
      </c>
      <c r="D461" t="str">
        <f>IF(tblTargets[[#This Row],[TargetType]]="state",UPPER(_xlfn.TEXTBEFORE(_xlfn.TEXTAFTER(tblTargets[[#This Row],[TargetID]],"state."),"_")),"")</f>
        <v>MEET</v>
      </c>
      <c r="E461" t="b">
        <v>1</v>
      </c>
      <c r="F461" t="s">
        <v>3599</v>
      </c>
      <c r="G461" t="str">
        <f>IF(RIGHT(tblTargets[[#This Row],[TargetID]],5)="maxed","",IF(tblTargets[[#This Row],[TargetType]]="BUILDING",_xlfn.XLOOKUP(tblTargets[[#This Row],[TargetID]],Targets!$Q$2:$Q$101,Targets!$O$2:$O$101),"Not a building"))</f>
        <v>Not a building</v>
      </c>
      <c r="H461" t="str">
        <f>IF(RIGHT(tblTargets[[#This Row],[TargetID]],5)="maxed","",IF(tblTargets[[#This Row],[TargetType]]="BUILDING",_xlfn.XLOOKUP(tblTargets[[#This Row],[TargetID]],Targets!$M$2:$M$101,Targets!$K$2:$K$101),"Not a building"))</f>
        <v>Not a building</v>
      </c>
    </row>
    <row r="462" spans="1:8">
      <c r="A462" t="s">
        <v>3463</v>
      </c>
      <c r="B462" t="s">
        <v>5551</v>
      </c>
      <c r="C462" t="s">
        <v>5565</v>
      </c>
      <c r="D462" t="str">
        <f>IF(tblTargets[[#This Row],[TargetType]]="state",UPPER(_xlfn.TEXTBEFORE(_xlfn.TEXTAFTER(tblTargets[[#This Row],[TargetID]],"state."),"_")),"")</f>
        <v>MEET</v>
      </c>
      <c r="E462" t="b">
        <v>1</v>
      </c>
      <c r="F462" t="s">
        <v>3599</v>
      </c>
      <c r="G462" t="str">
        <f>IF(RIGHT(tblTargets[[#This Row],[TargetID]],5)="maxed","",IF(tblTargets[[#This Row],[TargetType]]="BUILDING",_xlfn.XLOOKUP(tblTargets[[#This Row],[TargetID]],Targets!$Q$2:$Q$101,Targets!$O$2:$O$101),"Not a building"))</f>
        <v>Not a building</v>
      </c>
      <c r="H462" t="str">
        <f>IF(RIGHT(tblTargets[[#This Row],[TargetID]],5)="maxed","",IF(tblTargets[[#This Row],[TargetType]]="BUILDING",_xlfn.XLOOKUP(tblTargets[[#This Row],[TargetID]],Targets!$M$2:$M$101,Targets!$K$2:$K$101),"Not a building"))</f>
        <v>Not a building</v>
      </c>
    </row>
    <row r="463" spans="1:8">
      <c r="A463" t="s">
        <v>3491</v>
      </c>
      <c r="B463" t="s">
        <v>5556</v>
      </c>
      <c r="C463" t="s">
        <v>5565</v>
      </c>
      <c r="D463" t="str">
        <f>IF(tblTargets[[#This Row],[TargetType]]="state",UPPER(_xlfn.TEXTBEFORE(_xlfn.TEXTAFTER(tblTargets[[#This Row],[TargetID]],"state."),"_")),"")</f>
        <v>MEET</v>
      </c>
      <c r="E463" t="b">
        <v>1</v>
      </c>
      <c r="F463" t="s">
        <v>3599</v>
      </c>
      <c r="G463" t="str">
        <f>IF(RIGHT(tblTargets[[#This Row],[TargetID]],5)="maxed","",IF(tblTargets[[#This Row],[TargetType]]="BUILDING",_xlfn.XLOOKUP(tblTargets[[#This Row],[TargetID]],Targets!$Q$2:$Q$101,Targets!$O$2:$O$101),"Not a building"))</f>
        <v>Not a building</v>
      </c>
      <c r="H463" t="str">
        <f>IF(RIGHT(tblTargets[[#This Row],[TargetID]],5)="maxed","",IF(tblTargets[[#This Row],[TargetType]]="BUILDING",_xlfn.XLOOKUP(tblTargets[[#This Row],[TargetID]],Targets!$M$2:$M$101,Targets!$K$2:$K$101),"Not a building"))</f>
        <v>Not a building</v>
      </c>
    </row>
    <row r="464" spans="1:8">
      <c r="A464" t="s">
        <v>5756</v>
      </c>
      <c r="B464" t="s">
        <v>5541</v>
      </c>
      <c r="C464" t="s">
        <v>5565</v>
      </c>
      <c r="D464" t="str">
        <f>IF(tblTargets[[#This Row],[TargetType]]="state",UPPER(_xlfn.TEXTBEFORE(_xlfn.TEXTAFTER(tblTargets[[#This Row],[TargetID]],"state."),"_")),"")</f>
        <v>MEET</v>
      </c>
      <c r="E464" t="b">
        <v>1</v>
      </c>
      <c r="F464" t="s">
        <v>3599</v>
      </c>
      <c r="G464" t="str">
        <f>IF(RIGHT(tblTargets[[#This Row],[TargetID]],5)="maxed","",IF(tblTargets[[#This Row],[TargetType]]="BUILDING",_xlfn.XLOOKUP(tblTargets[[#This Row],[TargetID]],Targets!$Q$2:$Q$101,Targets!$O$2:$O$101),"Not a building"))</f>
        <v>Not a building</v>
      </c>
      <c r="H464" t="str">
        <f>IF(RIGHT(tblTargets[[#This Row],[TargetID]],5)="maxed","",IF(tblTargets[[#This Row],[TargetType]]="BUILDING",_xlfn.XLOOKUP(tblTargets[[#This Row],[TargetID]],Targets!$M$2:$M$101,Targets!$K$2:$K$101),"Not a building"))</f>
        <v>Not a building</v>
      </c>
    </row>
    <row r="465" spans="1:8">
      <c r="A465" t="s">
        <v>5691</v>
      </c>
      <c r="B465" t="s">
        <v>5912</v>
      </c>
      <c r="C465" t="s">
        <v>5565</v>
      </c>
      <c r="D465" t="str">
        <f>IF(tblTargets[[#This Row],[TargetType]]="state",UPPER(_xlfn.TEXTBEFORE(_xlfn.TEXTAFTER(tblTargets[[#This Row],[TargetID]],"state."),"_")),"")</f>
        <v>OBTAIN</v>
      </c>
      <c r="E465" t="b">
        <v>1</v>
      </c>
      <c r="F465" t="s">
        <v>3599</v>
      </c>
      <c r="G465" t="str">
        <f>IF(RIGHT(tblTargets[[#This Row],[TargetID]],5)="maxed","",IF(tblTargets[[#This Row],[TargetType]]="BUILDING",_xlfn.XLOOKUP(tblTargets[[#This Row],[TargetID]],Targets!$Q$2:$Q$101,Targets!$O$2:$O$101),"Not a building"))</f>
        <v>Not a building</v>
      </c>
      <c r="H465" t="str">
        <f>IF(RIGHT(tblTargets[[#This Row],[TargetID]],5)="maxed","",IF(tblTargets[[#This Row],[TargetType]]="BUILDING",_xlfn.XLOOKUP(tblTargets[[#This Row],[TargetID]],Targets!$M$2:$M$101,Targets!$K$2:$K$101),"Not a building"))</f>
        <v>Not a building</v>
      </c>
    </row>
    <row r="466" spans="1:8">
      <c r="A466" t="s">
        <v>5712</v>
      </c>
      <c r="B466" t="s">
        <v>5713</v>
      </c>
      <c r="C466" t="s">
        <v>5565</v>
      </c>
      <c r="D466" t="str">
        <f>IF(tblTargets[[#This Row],[TargetType]]="state",UPPER(_xlfn.TEXTBEFORE(_xlfn.TEXTAFTER(tblTargets[[#This Row],[TargetID]],"state."),"_")),"")</f>
        <v>OBTAIN</v>
      </c>
      <c r="E466" t="b">
        <v>1</v>
      </c>
      <c r="F466" t="s">
        <v>3599</v>
      </c>
      <c r="G466" t="str">
        <f>IF(RIGHT(tblTargets[[#This Row],[TargetID]],5)="maxed","",IF(tblTargets[[#This Row],[TargetType]]="BUILDING",_xlfn.XLOOKUP(tblTargets[[#This Row],[TargetID]],Targets!$Q$2:$Q$101,Targets!$O$2:$O$101),"Not a building"))</f>
        <v>Not a building</v>
      </c>
      <c r="H466" t="str">
        <f>IF(RIGHT(tblTargets[[#This Row],[TargetID]],5)="maxed","",IF(tblTargets[[#This Row],[TargetType]]="BUILDING",_xlfn.XLOOKUP(tblTargets[[#This Row],[TargetID]],Targets!$M$2:$M$101,Targets!$K$2:$K$101),"Not a building"))</f>
        <v>Not a building</v>
      </c>
    </row>
    <row r="467" spans="1:8">
      <c r="A467" t="s">
        <v>3479</v>
      </c>
      <c r="B467" t="s">
        <v>5554</v>
      </c>
      <c r="C467" t="s">
        <v>5565</v>
      </c>
      <c r="D467" t="str">
        <f>IF(tblTargets[[#This Row],[TargetType]]="state",UPPER(_xlfn.TEXTBEFORE(_xlfn.TEXTAFTER(tblTargets[[#This Row],[TargetID]],"state."),"_")),"")</f>
        <v>OBTAIN</v>
      </c>
      <c r="E467" t="b">
        <v>1</v>
      </c>
      <c r="F467" t="s">
        <v>3599</v>
      </c>
      <c r="G467" t="str">
        <f>IF(RIGHT(tblTargets[[#This Row],[TargetID]],5)="maxed","",IF(tblTargets[[#This Row],[TargetType]]="BUILDING",_xlfn.XLOOKUP(tblTargets[[#This Row],[TargetID]],Targets!$Q$2:$Q$101,Targets!$O$2:$O$101),"Not a building"))</f>
        <v>Not a building</v>
      </c>
      <c r="H467" t="str">
        <f>IF(RIGHT(tblTargets[[#This Row],[TargetID]],5)="maxed","",IF(tblTargets[[#This Row],[TargetType]]="BUILDING",_xlfn.XLOOKUP(tblTargets[[#This Row],[TargetID]],Targets!$M$2:$M$101,Targets!$K$2:$K$101),"Not a building"))</f>
        <v>Not a building</v>
      </c>
    </row>
    <row r="468" spans="1:8">
      <c r="A468" t="s">
        <v>5780</v>
      </c>
      <c r="B468" t="s">
        <v>5702</v>
      </c>
      <c r="C468" t="s">
        <v>5565</v>
      </c>
      <c r="D468" t="str">
        <f>IF(tblTargets[[#This Row],[TargetType]]="state",UPPER(_xlfn.TEXTBEFORE(_xlfn.TEXTAFTER(tblTargets[[#This Row],[TargetID]],"state."),"_")),"")</f>
        <v>OBTAIN</v>
      </c>
      <c r="E468" t="b">
        <v>1</v>
      </c>
      <c r="F468" t="s">
        <v>3599</v>
      </c>
      <c r="G468" t="str">
        <f>IF(RIGHT(tblTargets[[#This Row],[TargetID]],5)="maxed","",IF(tblTargets[[#This Row],[TargetType]]="BUILDING",_xlfn.XLOOKUP(tblTargets[[#This Row],[TargetID]],Targets!$Q$2:$Q$101,Targets!$O$2:$O$101),"Not a building"))</f>
        <v>Not a building</v>
      </c>
      <c r="H468" t="str">
        <f>IF(RIGHT(tblTargets[[#This Row],[TargetID]],5)="maxed","",IF(tblTargets[[#This Row],[TargetType]]="BUILDING",_xlfn.XLOOKUP(tblTargets[[#This Row],[TargetID]],Targets!$M$2:$M$101,Targets!$K$2:$K$101),"Not a building"))</f>
        <v>Not a building</v>
      </c>
    </row>
    <row r="469" spans="1:8">
      <c r="A469" t="s">
        <v>5679</v>
      </c>
      <c r="B469" t="s">
        <v>5684</v>
      </c>
      <c r="C469" t="s">
        <v>5565</v>
      </c>
      <c r="D469" t="str">
        <f>IF(tblTargets[[#This Row],[TargetType]]="state",UPPER(_xlfn.TEXTBEFORE(_xlfn.TEXTAFTER(tblTargets[[#This Row],[TargetID]],"state."),"_")),"")</f>
        <v>OBTAIN</v>
      </c>
      <c r="E469" t="b">
        <v>1</v>
      </c>
      <c r="F469" t="s">
        <v>3599</v>
      </c>
      <c r="G469" t="str">
        <f>IF(RIGHT(tblTargets[[#This Row],[TargetID]],5)="maxed","",IF(tblTargets[[#This Row],[TargetType]]="BUILDING",_xlfn.XLOOKUP(tblTargets[[#This Row],[TargetID]],Targets!$Q$2:$Q$101,Targets!$O$2:$O$101),"Not a building"))</f>
        <v>Not a building</v>
      </c>
      <c r="H469" t="str">
        <f>IF(RIGHT(tblTargets[[#This Row],[TargetID]],5)="maxed","",IF(tblTargets[[#This Row],[TargetType]]="BUILDING",_xlfn.XLOOKUP(tblTargets[[#This Row],[TargetID]],Targets!$M$2:$M$101,Targets!$K$2:$K$101),"Not a building"))</f>
        <v>Not a building</v>
      </c>
    </row>
    <row r="470" spans="1:8">
      <c r="A470" t="s">
        <v>5641</v>
      </c>
      <c r="B470" t="s">
        <v>5642</v>
      </c>
      <c r="C470" t="s">
        <v>5565</v>
      </c>
      <c r="D470" t="str">
        <f>IF(tblTargets[[#This Row],[TargetType]]="state",UPPER(_xlfn.TEXTBEFORE(_xlfn.TEXTAFTER(tblTargets[[#This Row],[TargetID]],"state."),"_")),"")</f>
        <v>OBTAIN</v>
      </c>
      <c r="E470" t="b">
        <v>1</v>
      </c>
      <c r="F470" t="s">
        <v>3599</v>
      </c>
      <c r="G470" t="str">
        <f>IF(RIGHT(tblTargets[[#This Row],[TargetID]],5)="maxed","",IF(tblTargets[[#This Row],[TargetType]]="BUILDING",_xlfn.XLOOKUP(tblTargets[[#This Row],[TargetID]],Targets!$Q$2:$Q$101,Targets!$O$2:$O$101),"Not a building"))</f>
        <v>Not a building</v>
      </c>
      <c r="H470" t="str">
        <f>IF(RIGHT(tblTargets[[#This Row],[TargetID]],5)="maxed","",IF(tblTargets[[#This Row],[TargetType]]="BUILDING",_xlfn.XLOOKUP(tblTargets[[#This Row],[TargetID]],Targets!$M$2:$M$101,Targets!$K$2:$K$101),"Not a building"))</f>
        <v>Not a building</v>
      </c>
    </row>
    <row r="471" spans="1:8">
      <c r="A471" t="s">
        <v>5700</v>
      </c>
      <c r="B471" t="s">
        <v>5703</v>
      </c>
      <c r="C471" t="s">
        <v>5565</v>
      </c>
      <c r="D471" t="str">
        <f>IF(tblTargets[[#This Row],[TargetType]]="state",UPPER(_xlfn.TEXTBEFORE(_xlfn.TEXTAFTER(tblTargets[[#This Row],[TargetID]],"state."),"_")),"")</f>
        <v>OBTAIN</v>
      </c>
      <c r="E471" t="b">
        <v>1</v>
      </c>
      <c r="F471" t="s">
        <v>3599</v>
      </c>
      <c r="G471" t="str">
        <f>IF(RIGHT(tblTargets[[#This Row],[TargetID]],5)="maxed","",IF(tblTargets[[#This Row],[TargetType]]="BUILDING",_xlfn.XLOOKUP(tblTargets[[#This Row],[TargetID]],Targets!$Q$2:$Q$101,Targets!$O$2:$O$101),"Not a building"))</f>
        <v>Not a building</v>
      </c>
      <c r="H471" t="str">
        <f>IF(RIGHT(tblTargets[[#This Row],[TargetID]],5)="maxed","",IF(tblTargets[[#This Row],[TargetType]]="BUILDING",_xlfn.XLOOKUP(tblTargets[[#This Row],[TargetID]],Targets!$M$2:$M$101,Targets!$K$2:$K$101),"Not a building"))</f>
        <v>Not a building</v>
      </c>
    </row>
    <row r="472" spans="1:8">
      <c r="A472" t="s">
        <v>5720</v>
      </c>
      <c r="B472" t="s">
        <v>5738</v>
      </c>
      <c r="C472" t="s">
        <v>5565</v>
      </c>
      <c r="D472" t="str">
        <f>IF(tblTargets[[#This Row],[TargetType]]="state",UPPER(_xlfn.TEXTBEFORE(_xlfn.TEXTAFTER(tblTargets[[#This Row],[TargetID]],"state."),"_")),"")</f>
        <v>OBTAIN</v>
      </c>
      <c r="E472" t="b">
        <v>1</v>
      </c>
      <c r="F472" t="s">
        <v>3599</v>
      </c>
      <c r="G472" t="str">
        <f>IF(RIGHT(tblTargets[[#This Row],[TargetID]],5)="maxed","",IF(tblTargets[[#This Row],[TargetType]]="BUILDING",_xlfn.XLOOKUP(tblTargets[[#This Row],[TargetID]],Targets!$Q$2:$Q$101,Targets!$O$2:$O$101),"Not a building"))</f>
        <v>Not a building</v>
      </c>
      <c r="H472" t="str">
        <f>IF(RIGHT(tblTargets[[#This Row],[TargetID]],5)="maxed","",IF(tblTargets[[#This Row],[TargetType]]="BUILDING",_xlfn.XLOOKUP(tblTargets[[#This Row],[TargetID]],Targets!$M$2:$M$101,Targets!$K$2:$K$101),"Not a building"))</f>
        <v>Not a building</v>
      </c>
    </row>
    <row r="473" spans="1:8">
      <c r="A473" t="s">
        <v>5719</v>
      </c>
      <c r="B473" t="s">
        <v>5737</v>
      </c>
      <c r="C473" t="s">
        <v>5565</v>
      </c>
      <c r="D473" t="str">
        <f>IF(tblTargets[[#This Row],[TargetType]]="state",UPPER(_xlfn.TEXTBEFORE(_xlfn.TEXTAFTER(tblTargets[[#This Row],[TargetID]],"state."),"_")),"")</f>
        <v>OBTAIN</v>
      </c>
      <c r="E473" t="b">
        <v>1</v>
      </c>
      <c r="F473" t="s">
        <v>3599</v>
      </c>
      <c r="G473" t="str">
        <f>IF(RIGHT(tblTargets[[#This Row],[TargetID]],5)="maxed","",IF(tblTargets[[#This Row],[TargetType]]="BUILDING",_xlfn.XLOOKUP(tblTargets[[#This Row],[TargetID]],Targets!$Q$2:$Q$101,Targets!$O$2:$O$101),"Not a building"))</f>
        <v>Not a building</v>
      </c>
      <c r="H473" t="str">
        <f>IF(RIGHT(tblTargets[[#This Row],[TargetID]],5)="maxed","",IF(tblTargets[[#This Row],[TargetType]]="BUILDING",_xlfn.XLOOKUP(tblTargets[[#This Row],[TargetID]],Targets!$M$2:$M$101,Targets!$K$2:$K$101),"Not a building"))</f>
        <v>Not a building</v>
      </c>
    </row>
    <row r="474" spans="1:8">
      <c r="A474" t="s">
        <v>5721</v>
      </c>
      <c r="B474" t="s">
        <v>5739</v>
      </c>
      <c r="C474" t="s">
        <v>5565</v>
      </c>
      <c r="D474" t="str">
        <f>IF(tblTargets[[#This Row],[TargetType]]="state",UPPER(_xlfn.TEXTBEFORE(_xlfn.TEXTAFTER(tblTargets[[#This Row],[TargetID]],"state."),"_")),"")</f>
        <v>OBTAIN</v>
      </c>
      <c r="E474" t="b">
        <v>1</v>
      </c>
      <c r="F474" t="s">
        <v>3599</v>
      </c>
      <c r="G474" t="str">
        <f>IF(RIGHT(tblTargets[[#This Row],[TargetID]],5)="maxed","",IF(tblTargets[[#This Row],[TargetType]]="BUILDING",_xlfn.XLOOKUP(tblTargets[[#This Row],[TargetID]],Targets!$Q$2:$Q$101,Targets!$O$2:$O$101),"Not a building"))</f>
        <v>Not a building</v>
      </c>
      <c r="H474" t="str">
        <f>IF(RIGHT(tblTargets[[#This Row],[TargetID]],5)="maxed","",IF(tblTargets[[#This Row],[TargetType]]="BUILDING",_xlfn.XLOOKUP(tblTargets[[#This Row],[TargetID]],Targets!$M$2:$M$101,Targets!$K$2:$K$101),"Not a building"))</f>
        <v>Not a building</v>
      </c>
    </row>
    <row r="475" spans="1:8">
      <c r="A475" t="s">
        <v>6038</v>
      </c>
      <c r="B475" t="s">
        <v>5553</v>
      </c>
      <c r="C475" t="s">
        <v>5565</v>
      </c>
      <c r="D475" t="str">
        <f>IF(tblTargets[[#This Row],[TargetType]]="state",UPPER(_xlfn.TEXTBEFORE(_xlfn.TEXTAFTER(tblTargets[[#This Row],[TargetID]],"state."),"_")),"")</f>
        <v>OBTAIN</v>
      </c>
      <c r="E475" t="b">
        <v>1</v>
      </c>
      <c r="F475" t="s">
        <v>3599</v>
      </c>
      <c r="G475" t="str">
        <f>IF(RIGHT(tblTargets[[#This Row],[TargetID]],5)="maxed","",IF(tblTargets[[#This Row],[TargetType]]="BUILDING",_xlfn.XLOOKUP(tblTargets[[#This Row],[TargetID]],Targets!$Q$2:$Q$101,Targets!$O$2:$O$101),"Not a building"))</f>
        <v>Not a building</v>
      </c>
      <c r="H475" t="str">
        <f>IF(RIGHT(tblTargets[[#This Row],[TargetID]],5)="maxed","",IF(tblTargets[[#This Row],[TargetType]]="BUILDING",_xlfn.XLOOKUP(tblTargets[[#This Row],[TargetID]],Targets!$M$2:$M$101,Targets!$K$2:$K$101),"Not a building"))</f>
        <v>Not a building</v>
      </c>
    </row>
    <row r="476" spans="1:8">
      <c r="A476" t="s">
        <v>5727</v>
      </c>
      <c r="B476" t="s">
        <v>5728</v>
      </c>
      <c r="C476" t="s">
        <v>5565</v>
      </c>
      <c r="D476" t="str">
        <f>IF(tblTargets[[#This Row],[TargetType]]="state",UPPER(_xlfn.TEXTBEFORE(_xlfn.TEXTAFTER(tblTargets[[#This Row],[TargetID]],"state."),"_")),"")</f>
        <v>OBTAIN</v>
      </c>
      <c r="E476" t="b">
        <v>1</v>
      </c>
      <c r="F476" t="s">
        <v>3599</v>
      </c>
      <c r="G476" t="str">
        <f>IF(RIGHT(tblTargets[[#This Row],[TargetID]],5)="maxed","",IF(tblTargets[[#This Row],[TargetType]]="BUILDING",_xlfn.XLOOKUP(tblTargets[[#This Row],[TargetID]],Targets!$Q$2:$Q$101,Targets!$O$2:$O$101),"Not a building"))</f>
        <v>Not a building</v>
      </c>
      <c r="H476" t="str">
        <f>IF(RIGHT(tblTargets[[#This Row],[TargetID]],5)="maxed","",IF(tblTargets[[#This Row],[TargetType]]="BUILDING",_xlfn.XLOOKUP(tblTargets[[#This Row],[TargetID]],Targets!$M$2:$M$101,Targets!$K$2:$K$101),"Not a building"))</f>
        <v>Not a building</v>
      </c>
    </row>
    <row r="477" spans="1:8">
      <c r="A477" t="s">
        <v>5729</v>
      </c>
      <c r="B477" t="s">
        <v>5730</v>
      </c>
      <c r="C477" t="s">
        <v>5565</v>
      </c>
      <c r="D477" t="str">
        <f>IF(tblTargets[[#This Row],[TargetType]]="state",UPPER(_xlfn.TEXTBEFORE(_xlfn.TEXTAFTER(tblTargets[[#This Row],[TargetID]],"state."),"_")),"")</f>
        <v>OBTAIN</v>
      </c>
      <c r="E477" t="b">
        <v>1</v>
      </c>
      <c r="F477" t="s">
        <v>3599</v>
      </c>
      <c r="G477" t="str">
        <f>IF(RIGHT(tblTargets[[#This Row],[TargetID]],5)="maxed","",IF(tblTargets[[#This Row],[TargetType]]="BUILDING",_xlfn.XLOOKUP(tblTargets[[#This Row],[TargetID]],Targets!$Q$2:$Q$101,Targets!$O$2:$O$101),"Not a building"))</f>
        <v>Not a building</v>
      </c>
      <c r="H477" t="str">
        <f>IF(RIGHT(tblTargets[[#This Row],[TargetID]],5)="maxed","",IF(tblTargets[[#This Row],[TargetType]]="BUILDING",_xlfn.XLOOKUP(tblTargets[[#This Row],[TargetID]],Targets!$M$2:$M$101,Targets!$K$2:$K$101),"Not a building"))</f>
        <v>Not a building</v>
      </c>
    </row>
    <row r="478" spans="1:8">
      <c r="A478" t="s">
        <v>5714</v>
      </c>
      <c r="B478" t="s">
        <v>5716</v>
      </c>
      <c r="C478" t="s">
        <v>5565</v>
      </c>
      <c r="D478" t="str">
        <f>IF(tblTargets[[#This Row],[TargetType]]="state",UPPER(_xlfn.TEXTBEFORE(_xlfn.TEXTAFTER(tblTargets[[#This Row],[TargetID]],"state."),"_")),"")</f>
        <v>OBTAIN</v>
      </c>
      <c r="E478" t="b">
        <v>1</v>
      </c>
      <c r="F478" t="s">
        <v>3599</v>
      </c>
      <c r="G478" t="str">
        <f>IF(RIGHT(tblTargets[[#This Row],[TargetID]],5)="maxed","",IF(tblTargets[[#This Row],[TargetType]]="BUILDING",_xlfn.XLOOKUP(tblTargets[[#This Row],[TargetID]],Targets!$Q$2:$Q$101,Targets!$O$2:$O$101),"Not a building"))</f>
        <v>Not a building</v>
      </c>
      <c r="H478" t="str">
        <f>IF(RIGHT(tblTargets[[#This Row],[TargetID]],5)="maxed","",IF(tblTargets[[#This Row],[TargetType]]="BUILDING",_xlfn.XLOOKUP(tblTargets[[#This Row],[TargetID]],Targets!$M$2:$M$101,Targets!$K$2:$K$101),"Not a building"))</f>
        <v>Not a building</v>
      </c>
    </row>
    <row r="479" spans="1:8">
      <c r="A479" t="s">
        <v>5697</v>
      </c>
      <c r="B479" t="s">
        <v>5698</v>
      </c>
      <c r="C479" t="s">
        <v>5565</v>
      </c>
      <c r="D479" t="str">
        <f>IF(tblTargets[[#This Row],[TargetType]]="state",UPPER(_xlfn.TEXTBEFORE(_xlfn.TEXTAFTER(tblTargets[[#This Row],[TargetID]],"state."),"_")),"")</f>
        <v>OBTAIN</v>
      </c>
      <c r="E479" t="b">
        <v>1</v>
      </c>
      <c r="F479" t="s">
        <v>3599</v>
      </c>
      <c r="G479" t="str">
        <f>IF(RIGHT(tblTargets[[#This Row],[TargetID]],5)="maxed","",IF(tblTargets[[#This Row],[TargetType]]="BUILDING",_xlfn.XLOOKUP(tblTargets[[#This Row],[TargetID]],Targets!$Q$2:$Q$101,Targets!$O$2:$O$101),"Not a building"))</f>
        <v>Not a building</v>
      </c>
      <c r="H479" t="str">
        <f>IF(RIGHT(tblTargets[[#This Row],[TargetID]],5)="maxed","",IF(tblTargets[[#This Row],[TargetType]]="BUILDING",_xlfn.XLOOKUP(tblTargets[[#This Row],[TargetID]],Targets!$M$2:$M$101,Targets!$K$2:$K$101),"Not a building"))</f>
        <v>Not a building</v>
      </c>
    </row>
    <row r="480" spans="1:8">
      <c r="A480" t="s">
        <v>5722</v>
      </c>
      <c r="B480" t="s">
        <v>5640</v>
      </c>
      <c r="C480" t="s">
        <v>5565</v>
      </c>
      <c r="D480" t="str">
        <f>IF(tblTargets[[#This Row],[TargetType]]="state",UPPER(_xlfn.TEXTBEFORE(_xlfn.TEXTAFTER(tblTargets[[#This Row],[TargetID]],"state."),"_")),"")</f>
        <v>OBTAIN</v>
      </c>
      <c r="E480" t="b">
        <v>1</v>
      </c>
      <c r="F480" t="s">
        <v>3599</v>
      </c>
      <c r="G480" t="str">
        <f>IF(RIGHT(tblTargets[[#This Row],[TargetID]],5)="maxed","",IF(tblTargets[[#This Row],[TargetType]]="BUILDING",_xlfn.XLOOKUP(tblTargets[[#This Row],[TargetID]],Targets!$Q$2:$Q$101,Targets!$O$2:$O$101),"Not a building"))</f>
        <v>Not a building</v>
      </c>
      <c r="H480" t="str">
        <f>IF(RIGHT(tblTargets[[#This Row],[TargetID]],5)="maxed","",IF(tblTargets[[#This Row],[TargetType]]="BUILDING",_xlfn.XLOOKUP(tblTargets[[#This Row],[TargetID]],Targets!$M$2:$M$101,Targets!$K$2:$K$101),"Not a building"))</f>
        <v>Not a building</v>
      </c>
    </row>
    <row r="481" spans="1:8">
      <c r="A481" t="s">
        <v>5671</v>
      </c>
      <c r="B481" t="s">
        <v>5674</v>
      </c>
      <c r="C481" t="s">
        <v>5565</v>
      </c>
      <c r="D481" t="str">
        <f>IF(tblTargets[[#This Row],[TargetType]]="state",UPPER(_xlfn.TEXTBEFORE(_xlfn.TEXTAFTER(tblTargets[[#This Row],[TargetID]],"state."),"_")),"")</f>
        <v>OBTAIN</v>
      </c>
      <c r="E481" t="b">
        <v>1</v>
      </c>
      <c r="F481" t="s">
        <v>3599</v>
      </c>
      <c r="G481" t="str">
        <f>IF(RIGHT(tblTargets[[#This Row],[TargetID]],5)="maxed","",IF(tblTargets[[#This Row],[TargetType]]="BUILDING",_xlfn.XLOOKUP(tblTargets[[#This Row],[TargetID]],Targets!$Q$2:$Q$101,Targets!$O$2:$O$101),"Not a building"))</f>
        <v>Not a building</v>
      </c>
      <c r="H481" t="str">
        <f>IF(RIGHT(tblTargets[[#This Row],[TargetID]],5)="maxed","",IF(tblTargets[[#This Row],[TargetType]]="BUILDING",_xlfn.XLOOKUP(tblTargets[[#This Row],[TargetID]],Targets!$M$2:$M$101,Targets!$K$2:$K$101),"Not a building"))</f>
        <v>Not a building</v>
      </c>
    </row>
    <row r="482" spans="1:8">
      <c r="A482" t="s">
        <v>5672</v>
      </c>
      <c r="B482" t="s">
        <v>5675</v>
      </c>
      <c r="C482" t="s">
        <v>5565</v>
      </c>
      <c r="D482" t="str">
        <f>IF(tblTargets[[#This Row],[TargetType]]="state",UPPER(_xlfn.TEXTBEFORE(_xlfn.TEXTAFTER(tblTargets[[#This Row],[TargetID]],"state."),"_")),"")</f>
        <v>OBTAIN</v>
      </c>
      <c r="E482" t="b">
        <v>1</v>
      </c>
      <c r="F482" t="s">
        <v>3599</v>
      </c>
      <c r="G482" t="str">
        <f>IF(RIGHT(tblTargets[[#This Row],[TargetID]],5)="maxed","",IF(tblTargets[[#This Row],[TargetType]]="BUILDING",_xlfn.XLOOKUP(tblTargets[[#This Row],[TargetID]],Targets!$Q$2:$Q$101,Targets!$O$2:$O$101),"Not a building"))</f>
        <v>Not a building</v>
      </c>
      <c r="H482" t="str">
        <f>IF(RIGHT(tblTargets[[#This Row],[TargetID]],5)="maxed","",IF(tblTargets[[#This Row],[TargetType]]="BUILDING",_xlfn.XLOOKUP(tblTargets[[#This Row],[TargetID]],Targets!$M$2:$M$101,Targets!$K$2:$K$101),"Not a building"))</f>
        <v>Not a building</v>
      </c>
    </row>
    <row r="483" spans="1:8">
      <c r="A483" t="s">
        <v>5673</v>
      </c>
      <c r="B483" t="s">
        <v>5676</v>
      </c>
      <c r="C483" t="s">
        <v>5565</v>
      </c>
      <c r="D483" t="str">
        <f>IF(tblTargets[[#This Row],[TargetType]]="state",UPPER(_xlfn.TEXTBEFORE(_xlfn.TEXTAFTER(tblTargets[[#This Row],[TargetID]],"state."),"_")),"")</f>
        <v>OBTAIN</v>
      </c>
      <c r="E483" t="b">
        <v>1</v>
      </c>
      <c r="F483" t="s">
        <v>3599</v>
      </c>
      <c r="G483" t="str">
        <f>IF(RIGHT(tblTargets[[#This Row],[TargetID]],5)="maxed","",IF(tblTargets[[#This Row],[TargetType]]="BUILDING",_xlfn.XLOOKUP(tblTargets[[#This Row],[TargetID]],Targets!$Q$2:$Q$101,Targets!$O$2:$O$101),"Not a building"))</f>
        <v>Not a building</v>
      </c>
      <c r="H483" t="str">
        <f>IF(RIGHT(tblTargets[[#This Row],[TargetID]],5)="maxed","",IF(tblTargets[[#This Row],[TargetType]]="BUILDING",_xlfn.XLOOKUP(tblTargets[[#This Row],[TargetID]],Targets!$M$2:$M$101,Targets!$K$2:$K$101),"Not a building"))</f>
        <v>Not a building</v>
      </c>
    </row>
    <row r="484" spans="1:8">
      <c r="A484" t="s">
        <v>5678</v>
      </c>
      <c r="B484" t="s">
        <v>5683</v>
      </c>
      <c r="C484" t="s">
        <v>5565</v>
      </c>
      <c r="D484" t="str">
        <f>IF(tblTargets[[#This Row],[TargetType]]="state",UPPER(_xlfn.TEXTBEFORE(_xlfn.TEXTAFTER(tblTargets[[#This Row],[TargetID]],"state."),"_")),"")</f>
        <v>OBTAIN</v>
      </c>
      <c r="E484" t="b">
        <v>1</v>
      </c>
      <c r="F484" t="s">
        <v>3599</v>
      </c>
      <c r="G484" t="str">
        <f>IF(RIGHT(tblTargets[[#This Row],[TargetID]],5)="maxed","",IF(tblTargets[[#This Row],[TargetType]]="BUILDING",_xlfn.XLOOKUP(tblTargets[[#This Row],[TargetID]],Targets!$Q$2:$Q$101,Targets!$O$2:$O$101),"Not a building"))</f>
        <v>Not a building</v>
      </c>
      <c r="H484" t="str">
        <f>IF(RIGHT(tblTargets[[#This Row],[TargetID]],5)="maxed","",IF(tblTargets[[#This Row],[TargetType]]="BUILDING",_xlfn.XLOOKUP(tblTargets[[#This Row],[TargetID]],Targets!$M$2:$M$101,Targets!$K$2:$K$101),"Not a building"))</f>
        <v>Not a building</v>
      </c>
    </row>
    <row r="485" spans="1:8">
      <c r="A485" t="s">
        <v>5723</v>
      </c>
      <c r="B485" t="s">
        <v>5736</v>
      </c>
      <c r="C485" t="s">
        <v>5565</v>
      </c>
      <c r="D485" t="str">
        <f>IF(tblTargets[[#This Row],[TargetType]]="state",UPPER(_xlfn.TEXTBEFORE(_xlfn.TEXTAFTER(tblTargets[[#This Row],[TargetID]],"state."),"_")),"")</f>
        <v>OBTAIN</v>
      </c>
      <c r="E485" t="b">
        <v>1</v>
      </c>
      <c r="F485" t="s">
        <v>3599</v>
      </c>
      <c r="G485" t="str">
        <f>IF(RIGHT(tblTargets[[#This Row],[TargetID]],5)="maxed","",IF(tblTargets[[#This Row],[TargetType]]="BUILDING",_xlfn.XLOOKUP(tblTargets[[#This Row],[TargetID]],Targets!$Q$2:$Q$101,Targets!$O$2:$O$101),"Not a building"))</f>
        <v>Not a building</v>
      </c>
      <c r="H485" t="str">
        <f>IF(RIGHT(tblTargets[[#This Row],[TargetID]],5)="maxed","",IF(tblTargets[[#This Row],[TargetType]]="BUILDING",_xlfn.XLOOKUP(tblTargets[[#This Row],[TargetID]],Targets!$M$2:$M$101,Targets!$K$2:$K$101),"Not a building"))</f>
        <v>Not a building</v>
      </c>
    </row>
    <row r="486" spans="1:8">
      <c r="A486" t="s">
        <v>5731</v>
      </c>
      <c r="B486" t="s">
        <v>5732</v>
      </c>
      <c r="C486" t="s">
        <v>5565</v>
      </c>
      <c r="D486" t="str">
        <f>IF(tblTargets[[#This Row],[TargetType]]="state",UPPER(_xlfn.TEXTBEFORE(_xlfn.TEXTAFTER(tblTargets[[#This Row],[TargetID]],"state."),"_")),"")</f>
        <v>OBTAIN</v>
      </c>
      <c r="E486" t="b">
        <v>1</v>
      </c>
      <c r="F486" t="s">
        <v>3599</v>
      </c>
      <c r="G486" t="str">
        <f>IF(RIGHT(tblTargets[[#This Row],[TargetID]],5)="maxed","",IF(tblTargets[[#This Row],[TargetType]]="BUILDING",_xlfn.XLOOKUP(tblTargets[[#This Row],[TargetID]],Targets!$Q$2:$Q$101,Targets!$O$2:$O$101),"Not a building"))</f>
        <v>Not a building</v>
      </c>
      <c r="H486" t="str">
        <f>IF(RIGHT(tblTargets[[#This Row],[TargetID]],5)="maxed","",IF(tblTargets[[#This Row],[TargetType]]="BUILDING",_xlfn.XLOOKUP(tblTargets[[#This Row],[TargetID]],Targets!$M$2:$M$101,Targets!$K$2:$K$101),"Not a building"))</f>
        <v>Not a building</v>
      </c>
    </row>
    <row r="487" spans="1:8">
      <c r="A487" t="s">
        <v>5725</v>
      </c>
      <c r="B487" t="s">
        <v>5734</v>
      </c>
      <c r="C487" t="s">
        <v>5565</v>
      </c>
      <c r="D487" t="str">
        <f>IF(tblTargets[[#This Row],[TargetType]]="state",UPPER(_xlfn.TEXTBEFORE(_xlfn.TEXTAFTER(tblTargets[[#This Row],[TargetID]],"state."),"_")),"")</f>
        <v>OBTAIN</v>
      </c>
      <c r="E487" t="b">
        <v>1</v>
      </c>
      <c r="F487" t="s">
        <v>3599</v>
      </c>
      <c r="G487" t="str">
        <f>IF(RIGHT(tblTargets[[#This Row],[TargetID]],5)="maxed","",IF(tblTargets[[#This Row],[TargetType]]="BUILDING",_xlfn.XLOOKUP(tblTargets[[#This Row],[TargetID]],Targets!$Q$2:$Q$101,Targets!$O$2:$O$101),"Not a building"))</f>
        <v>Not a building</v>
      </c>
      <c r="H487" t="str">
        <f>IF(RIGHT(tblTargets[[#This Row],[TargetID]],5)="maxed","",IF(tblTargets[[#This Row],[TargetType]]="BUILDING",_xlfn.XLOOKUP(tblTargets[[#This Row],[TargetID]],Targets!$M$2:$M$101,Targets!$K$2:$K$101),"Not a building"))</f>
        <v>Not a building</v>
      </c>
    </row>
    <row r="488" spans="1:8">
      <c r="A488" t="s">
        <v>5724</v>
      </c>
      <c r="B488" t="s">
        <v>5735</v>
      </c>
      <c r="C488" t="s">
        <v>5565</v>
      </c>
      <c r="D488" t="str">
        <f>IF(tblTargets[[#This Row],[TargetType]]="state",UPPER(_xlfn.TEXTBEFORE(_xlfn.TEXTAFTER(tblTargets[[#This Row],[TargetID]],"state."),"_")),"")</f>
        <v>OBTAIN</v>
      </c>
      <c r="E488" t="b">
        <v>1</v>
      </c>
      <c r="F488" t="s">
        <v>3599</v>
      </c>
      <c r="G488" t="str">
        <f>IF(RIGHT(tblTargets[[#This Row],[TargetID]],5)="maxed","",IF(tblTargets[[#This Row],[TargetType]]="BUILDING",_xlfn.XLOOKUP(tblTargets[[#This Row],[TargetID]],Targets!$Q$2:$Q$101,Targets!$O$2:$O$101),"Not a building"))</f>
        <v>Not a building</v>
      </c>
      <c r="H488" t="str">
        <f>IF(RIGHT(tblTargets[[#This Row],[TargetID]],5)="maxed","",IF(tblTargets[[#This Row],[TargetType]]="BUILDING",_xlfn.XLOOKUP(tblTargets[[#This Row],[TargetID]],Targets!$M$2:$M$101,Targets!$K$2:$K$101),"Not a building"))</f>
        <v>Not a building</v>
      </c>
    </row>
    <row r="489" spans="1:8">
      <c r="A489" t="s">
        <v>5726</v>
      </c>
      <c r="B489" t="s">
        <v>5733</v>
      </c>
      <c r="C489" t="s">
        <v>5565</v>
      </c>
      <c r="D489" t="str">
        <f>IF(tblTargets[[#This Row],[TargetType]]="state",UPPER(_xlfn.TEXTBEFORE(_xlfn.TEXTAFTER(tblTargets[[#This Row],[TargetID]],"state."),"_")),"")</f>
        <v>OBTAIN</v>
      </c>
      <c r="E489" t="b">
        <v>1</v>
      </c>
      <c r="F489" t="s">
        <v>3599</v>
      </c>
      <c r="G489" t="str">
        <f>IF(RIGHT(tblTargets[[#This Row],[TargetID]],5)="maxed","",IF(tblTargets[[#This Row],[TargetType]]="BUILDING",_xlfn.XLOOKUP(tblTargets[[#This Row],[TargetID]],Targets!$Q$2:$Q$101,Targets!$O$2:$O$101),"Not a building"))</f>
        <v>Not a building</v>
      </c>
      <c r="H489" t="str">
        <f>IF(RIGHT(tblTargets[[#This Row],[TargetID]],5)="maxed","",IF(tblTargets[[#This Row],[TargetType]]="BUILDING",_xlfn.XLOOKUP(tblTargets[[#This Row],[TargetID]],Targets!$M$2:$M$101,Targets!$K$2:$K$101),"Not a building"))</f>
        <v>Not a building</v>
      </c>
    </row>
    <row r="490" spans="1:8">
      <c r="A490" t="s">
        <v>5630</v>
      </c>
      <c r="B490" t="s">
        <v>6029</v>
      </c>
      <c r="C490" t="s">
        <v>5565</v>
      </c>
      <c r="D490" t="str">
        <f>IF(tblTargets[[#This Row],[TargetType]]="state",UPPER(_xlfn.TEXTBEFORE(_xlfn.TEXTAFTER(tblTargets[[#This Row],[TargetID]],"state."),"_")),"")</f>
        <v>OBTAIN</v>
      </c>
      <c r="E490" t="b">
        <v>1</v>
      </c>
      <c r="F490" t="s">
        <v>3599</v>
      </c>
      <c r="G490" t="str">
        <f>IF(RIGHT(tblTargets[[#This Row],[TargetID]],5)="maxed","",IF(tblTargets[[#This Row],[TargetType]]="BUILDING",_xlfn.XLOOKUP(tblTargets[[#This Row],[TargetID]],Targets!$Q$2:$Q$101,Targets!$O$2:$O$101),"Not a building"))</f>
        <v>Not a building</v>
      </c>
      <c r="H490" t="str">
        <f>IF(RIGHT(tblTargets[[#This Row],[TargetID]],5)="maxed","",IF(tblTargets[[#This Row],[TargetType]]="BUILDING",_xlfn.XLOOKUP(tblTargets[[#This Row],[TargetID]],Targets!$M$2:$M$101,Targets!$K$2:$K$101),"Not a building"))</f>
        <v>Not a building</v>
      </c>
    </row>
    <row r="491" spans="1:8">
      <c r="A491" t="s">
        <v>5715</v>
      </c>
      <c r="B491" t="s">
        <v>5717</v>
      </c>
      <c r="C491" t="s">
        <v>5565</v>
      </c>
      <c r="D491" t="str">
        <f>IF(tblTargets[[#This Row],[TargetType]]="state",UPPER(_xlfn.TEXTBEFORE(_xlfn.TEXTAFTER(tblTargets[[#This Row],[TargetID]],"state."),"_")),"")</f>
        <v>OBTAIN</v>
      </c>
      <c r="E491" t="b">
        <v>1</v>
      </c>
      <c r="F491" t="s">
        <v>3599</v>
      </c>
      <c r="G491" t="str">
        <f>IF(RIGHT(tblTargets[[#This Row],[TargetID]],5)="maxed","",IF(tblTargets[[#This Row],[TargetType]]="BUILDING",_xlfn.XLOOKUP(tblTargets[[#This Row],[TargetID]],Targets!$Q$2:$Q$101,Targets!$O$2:$O$101),"Not a building"))</f>
        <v>Not a building</v>
      </c>
      <c r="H491" t="str">
        <f>IF(RIGHT(tblTargets[[#This Row],[TargetID]],5)="maxed","",IF(tblTargets[[#This Row],[TargetType]]="BUILDING",_xlfn.XLOOKUP(tblTargets[[#This Row],[TargetID]],Targets!$M$2:$M$101,Targets!$K$2:$K$101),"Not a building"))</f>
        <v>Not a building</v>
      </c>
    </row>
    <row r="492" spans="1:8">
      <c r="A492" t="s">
        <v>5794</v>
      </c>
      <c r="B492" t="s">
        <v>5564</v>
      </c>
      <c r="C492" t="s">
        <v>5565</v>
      </c>
      <c r="D492" t="str">
        <f>IF(tblTargets[[#This Row],[TargetType]]="state",UPPER(_xlfn.TEXTBEFORE(_xlfn.TEXTAFTER(tblTargets[[#This Row],[TargetID]],"state."),"_")),"")</f>
        <v>OBTAIN</v>
      </c>
      <c r="E492" t="b">
        <v>1</v>
      </c>
      <c r="F492" t="s">
        <v>3599</v>
      </c>
      <c r="G492" t="str">
        <f>IF(RIGHT(tblTargets[[#This Row],[TargetID]],5)="maxed","",IF(tblTargets[[#This Row],[TargetType]]="BUILDING",_xlfn.XLOOKUP(tblTargets[[#This Row],[TargetID]],Targets!$Q$2:$Q$101,Targets!$O$2:$O$101),"Not a building"))</f>
        <v>Not a building</v>
      </c>
      <c r="H492" t="str">
        <f>IF(RIGHT(tblTargets[[#This Row],[TargetID]],5)="maxed","",IF(tblTargets[[#This Row],[TargetType]]="BUILDING",_xlfn.XLOOKUP(tblTargets[[#This Row],[TargetID]],Targets!$M$2:$M$101,Targets!$K$2:$K$101),"Not a building"))</f>
        <v>Not a building</v>
      </c>
    </row>
    <row r="493" spans="1:8">
      <c r="A493" t="s">
        <v>5638</v>
      </c>
      <c r="B493" t="s">
        <v>5689</v>
      </c>
      <c r="C493" t="s">
        <v>5565</v>
      </c>
      <c r="D493" t="str">
        <f>IF(tblTargets[[#This Row],[TargetType]]="state",UPPER(_xlfn.TEXTBEFORE(_xlfn.TEXTAFTER(tblTargets[[#This Row],[TargetID]],"state."),"_")),"")</f>
        <v>OBTAIN</v>
      </c>
      <c r="E493" t="b">
        <v>1</v>
      </c>
      <c r="F493" t="s">
        <v>3599</v>
      </c>
      <c r="G493" t="str">
        <f>IF(RIGHT(tblTargets[[#This Row],[TargetID]],5)="maxed","",IF(tblTargets[[#This Row],[TargetType]]="BUILDING",_xlfn.XLOOKUP(tblTargets[[#This Row],[TargetID]],Targets!$Q$2:$Q$101,Targets!$O$2:$O$101),"Not a building"))</f>
        <v>Not a building</v>
      </c>
      <c r="H493" t="str">
        <f>IF(RIGHT(tblTargets[[#This Row],[TargetID]],5)="maxed","",IF(tblTargets[[#This Row],[TargetType]]="BUILDING",_xlfn.XLOOKUP(tblTargets[[#This Row],[TargetID]],Targets!$M$2:$M$101,Targets!$K$2:$K$101),"Not a building"))</f>
        <v>Not a building</v>
      </c>
    </row>
    <row r="494" spans="1:8">
      <c r="A494" t="s">
        <v>5677</v>
      </c>
      <c r="B494" t="s">
        <v>5682</v>
      </c>
      <c r="C494" t="s">
        <v>5565</v>
      </c>
      <c r="D494" t="str">
        <f>IF(tblTargets[[#This Row],[TargetType]]="state",UPPER(_xlfn.TEXTBEFORE(_xlfn.TEXTAFTER(tblTargets[[#This Row],[TargetID]],"state."),"_")),"")</f>
        <v>OBTAIN</v>
      </c>
      <c r="E494" t="b">
        <v>1</v>
      </c>
      <c r="F494" t="s">
        <v>3599</v>
      </c>
      <c r="G494" t="str">
        <f>IF(RIGHT(tblTargets[[#This Row],[TargetID]],5)="maxed","",IF(tblTargets[[#This Row],[TargetType]]="BUILDING",_xlfn.XLOOKUP(tblTargets[[#This Row],[TargetID]],Targets!$Q$2:$Q$101,Targets!$O$2:$O$101),"Not a building"))</f>
        <v>Not a building</v>
      </c>
      <c r="H494" t="str">
        <f>IF(RIGHT(tblTargets[[#This Row],[TargetID]],5)="maxed","",IF(tblTargets[[#This Row],[TargetType]]="BUILDING",_xlfn.XLOOKUP(tblTargets[[#This Row],[TargetID]],Targets!$M$2:$M$101,Targets!$K$2:$K$101),"Not a building"))</f>
        <v>Not a building</v>
      </c>
    </row>
    <row r="495" spans="1:8">
      <c r="A495" t="s">
        <v>5701</v>
      </c>
      <c r="B495" t="s">
        <v>5704</v>
      </c>
      <c r="C495" t="s">
        <v>5565</v>
      </c>
      <c r="D495" t="str">
        <f>IF(tblTargets[[#This Row],[TargetType]]="state",UPPER(_xlfn.TEXTBEFORE(_xlfn.TEXTAFTER(tblTargets[[#This Row],[TargetID]],"state."),"_")),"")</f>
        <v>OBTAIN</v>
      </c>
      <c r="E495" t="b">
        <v>1</v>
      </c>
      <c r="F495" t="s">
        <v>3599</v>
      </c>
      <c r="G495" t="str">
        <f>IF(RIGHT(tblTargets[[#This Row],[TargetID]],5)="maxed","",IF(tblTargets[[#This Row],[TargetType]]="BUILDING",_xlfn.XLOOKUP(tblTargets[[#This Row],[TargetID]],Targets!$Q$2:$Q$101,Targets!$O$2:$O$101),"Not a building"))</f>
        <v>Not a building</v>
      </c>
      <c r="H495" t="str">
        <f>IF(RIGHT(tblTargets[[#This Row],[TargetID]],5)="maxed","",IF(tblTargets[[#This Row],[TargetType]]="BUILDING",_xlfn.XLOOKUP(tblTargets[[#This Row],[TargetID]],Targets!$M$2:$M$101,Targets!$K$2:$K$101),"Not a building"))</f>
        <v>Not a building</v>
      </c>
    </row>
    <row r="496" spans="1:8">
      <c r="A496" t="s">
        <v>3510</v>
      </c>
      <c r="B496" t="s">
        <v>5562</v>
      </c>
      <c r="C496" t="s">
        <v>5565</v>
      </c>
      <c r="D496" t="str">
        <f>IF(tblTargets[[#This Row],[TargetType]]="state",UPPER(_xlfn.TEXTBEFORE(_xlfn.TEXTAFTER(tblTargets[[#This Row],[TargetID]],"state."),"_")),"")</f>
        <v>OBTAIN</v>
      </c>
      <c r="E496" t="b">
        <v>1</v>
      </c>
      <c r="F496" t="s">
        <v>3599</v>
      </c>
      <c r="G496" t="str">
        <f>IF(RIGHT(tblTargets[[#This Row],[TargetID]],5)="maxed","",IF(tblTargets[[#This Row],[TargetType]]="BUILDING",_xlfn.XLOOKUP(tblTargets[[#This Row],[TargetID]],Targets!$Q$2:$Q$101,Targets!$O$2:$O$101),"Not a building"))</f>
        <v>Not a building</v>
      </c>
      <c r="H496" t="str">
        <f>IF(RIGHT(tblTargets[[#This Row],[TargetID]],5)="maxed","",IF(tblTargets[[#This Row],[TargetType]]="BUILDING",_xlfn.XLOOKUP(tblTargets[[#This Row],[TargetID]],Targets!$M$2:$M$101,Targets!$K$2:$K$101),"Not a building"))</f>
        <v>Not a building</v>
      </c>
    </row>
    <row r="497" spans="1:8">
      <c r="A497" t="s">
        <v>5760</v>
      </c>
      <c r="B497" t="s">
        <v>5649</v>
      </c>
      <c r="C497" t="s">
        <v>5565</v>
      </c>
      <c r="D497" t="str">
        <f>IF(tblTargets[[#This Row],[TargetType]]="state",UPPER(_xlfn.TEXTBEFORE(_xlfn.TEXTAFTER(tblTargets[[#This Row],[TargetID]],"state."),"_")),"")</f>
        <v>VISIT</v>
      </c>
      <c r="E497" t="b">
        <v>1</v>
      </c>
      <c r="F497" t="s">
        <v>3599</v>
      </c>
      <c r="G497" t="str">
        <f>IF(RIGHT(tblTargets[[#This Row],[TargetID]],5)="maxed","",IF(tblTargets[[#This Row],[TargetType]]="BUILDING",_xlfn.XLOOKUP(tblTargets[[#This Row],[TargetID]],Targets!$Q$2:$Q$101,Targets!$O$2:$O$101),"Not a building"))</f>
        <v>Not a building</v>
      </c>
      <c r="H497" t="str">
        <f>IF(RIGHT(tblTargets[[#This Row],[TargetID]],5)="maxed","",IF(tblTargets[[#This Row],[TargetType]]="BUILDING",_xlfn.XLOOKUP(tblTargets[[#This Row],[TargetID]],Targets!$M$2:$M$101,Targets!$K$2:$K$101),"Not a building"))</f>
        <v>Not a building</v>
      </c>
    </row>
    <row r="498" spans="1:8">
      <c r="A498" s="5" t="s">
        <v>5741</v>
      </c>
      <c r="B498" t="s">
        <v>5790</v>
      </c>
      <c r="C498" t="s">
        <v>5565</v>
      </c>
      <c r="D498" t="str">
        <f>IF(tblTargets[[#This Row],[TargetType]]="state",UPPER(_xlfn.TEXTBEFORE(_xlfn.TEXTAFTER(tblTargets[[#This Row],[TargetID]],"state."),"_")),"")</f>
        <v>VISIT</v>
      </c>
      <c r="E498" t="b">
        <v>1</v>
      </c>
      <c r="F498" t="s">
        <v>3599</v>
      </c>
      <c r="G498" t="str">
        <f>IF(RIGHT(tblTargets[[#This Row],[TargetID]],5)="maxed","",IF(tblTargets[[#This Row],[TargetType]]="BUILDING",_xlfn.XLOOKUP(tblTargets[[#This Row],[TargetID]],Targets!$Q$2:$Q$101,Targets!$O$2:$O$101),"Not a building"))</f>
        <v>Not a building</v>
      </c>
      <c r="H498" t="str">
        <f>IF(RIGHT(tblTargets[[#This Row],[TargetID]],5)="maxed","",IF(tblTargets[[#This Row],[TargetType]]="BUILDING",_xlfn.XLOOKUP(tblTargets[[#This Row],[TargetID]],Targets!$M$2:$M$101,Targets!$K$2:$K$101),"Not a building"))</f>
        <v>Not a building</v>
      </c>
    </row>
    <row r="499" spans="1:8">
      <c r="A499" s="5" t="s">
        <v>5742</v>
      </c>
      <c r="B499" t="s">
        <v>5788</v>
      </c>
      <c r="C499" t="s">
        <v>5565</v>
      </c>
      <c r="D499" t="str">
        <f>IF(tblTargets[[#This Row],[TargetType]]="state",UPPER(_xlfn.TEXTBEFORE(_xlfn.TEXTAFTER(tblTargets[[#This Row],[TargetID]],"state."),"_")),"")</f>
        <v>VISIT</v>
      </c>
      <c r="E499" t="b">
        <v>1</v>
      </c>
      <c r="F499" t="s">
        <v>3599</v>
      </c>
      <c r="G499" t="str">
        <f>IF(RIGHT(tblTargets[[#This Row],[TargetID]],5)="maxed","",IF(tblTargets[[#This Row],[TargetType]]="BUILDING",_xlfn.XLOOKUP(tblTargets[[#This Row],[TargetID]],Targets!$Q$2:$Q$101,Targets!$O$2:$O$101),"Not a building"))</f>
        <v>Not a building</v>
      </c>
      <c r="H499" t="str">
        <f>IF(RIGHT(tblTargets[[#This Row],[TargetID]],5)="maxed","",IF(tblTargets[[#This Row],[TargetType]]="BUILDING",_xlfn.XLOOKUP(tblTargets[[#This Row],[TargetID]],Targets!$M$2:$M$101,Targets!$K$2:$K$101),"Not a building"))</f>
        <v>Not a building</v>
      </c>
    </row>
    <row r="500" spans="1:8">
      <c r="A500" s="5" t="s">
        <v>5743</v>
      </c>
      <c r="B500" t="s">
        <v>5785</v>
      </c>
      <c r="C500" t="s">
        <v>5565</v>
      </c>
      <c r="D500" t="str">
        <f>IF(tblTargets[[#This Row],[TargetType]]="state",UPPER(_xlfn.TEXTBEFORE(_xlfn.TEXTAFTER(tblTargets[[#This Row],[TargetID]],"state."),"_")),"")</f>
        <v>VISIT</v>
      </c>
      <c r="E500" t="b">
        <v>1</v>
      </c>
      <c r="F500" t="s">
        <v>3599</v>
      </c>
      <c r="G500" t="str">
        <f>IF(RIGHT(tblTargets[[#This Row],[TargetID]],5)="maxed","",IF(tblTargets[[#This Row],[TargetType]]="BUILDING",_xlfn.XLOOKUP(tblTargets[[#This Row],[TargetID]],Targets!$Q$2:$Q$101,Targets!$O$2:$O$101),"Not a building"))</f>
        <v>Not a building</v>
      </c>
      <c r="H500" t="str">
        <f>IF(RIGHT(tblTargets[[#This Row],[TargetID]],5)="maxed","",IF(tblTargets[[#This Row],[TargetType]]="BUILDING",_xlfn.XLOOKUP(tblTargets[[#This Row],[TargetID]],Targets!$M$2:$M$101,Targets!$K$2:$K$101),"Not a building"))</f>
        <v>Not a building</v>
      </c>
    </row>
    <row r="501" spans="1:8">
      <c r="A501" s="5" t="s">
        <v>5744</v>
      </c>
      <c r="B501" t="s">
        <v>5789</v>
      </c>
      <c r="C501" t="s">
        <v>5565</v>
      </c>
      <c r="D501" t="str">
        <f>IF(tblTargets[[#This Row],[TargetType]]="state",UPPER(_xlfn.TEXTBEFORE(_xlfn.TEXTAFTER(tblTargets[[#This Row],[TargetID]],"state."),"_")),"")</f>
        <v>VISIT</v>
      </c>
      <c r="E501" t="b">
        <v>1</v>
      </c>
      <c r="F501" t="s">
        <v>3599</v>
      </c>
      <c r="G501" t="str">
        <f>IF(RIGHT(tblTargets[[#This Row],[TargetID]],5)="maxed","",IF(tblTargets[[#This Row],[TargetType]]="BUILDING",_xlfn.XLOOKUP(tblTargets[[#This Row],[TargetID]],Targets!$Q$2:$Q$101,Targets!$O$2:$O$101),"Not a building"))</f>
        <v>Not a building</v>
      </c>
      <c r="H501" t="str">
        <f>IF(RIGHT(tblTargets[[#This Row],[TargetID]],5)="maxed","",IF(tblTargets[[#This Row],[TargetType]]="BUILDING",_xlfn.XLOOKUP(tblTargets[[#This Row],[TargetID]],Targets!$M$2:$M$101,Targets!$K$2:$K$101),"Not a building"))</f>
        <v>Not a building</v>
      </c>
    </row>
    <row r="502" spans="1:8">
      <c r="A502" s="5" t="s">
        <v>5745</v>
      </c>
      <c r="B502" t="s">
        <v>5787</v>
      </c>
      <c r="C502" t="s">
        <v>5565</v>
      </c>
      <c r="D502" t="str">
        <f>IF(tblTargets[[#This Row],[TargetType]]="state",UPPER(_xlfn.TEXTBEFORE(_xlfn.TEXTAFTER(tblTargets[[#This Row],[TargetID]],"state."),"_")),"")</f>
        <v>VISIT</v>
      </c>
      <c r="E502" t="b">
        <v>1</v>
      </c>
      <c r="F502" t="s">
        <v>3599</v>
      </c>
      <c r="G502" t="str">
        <f>IF(RIGHT(tblTargets[[#This Row],[TargetID]],5)="maxed","",IF(tblTargets[[#This Row],[TargetType]]="BUILDING",_xlfn.XLOOKUP(tblTargets[[#This Row],[TargetID]],Targets!$Q$2:$Q$101,Targets!$O$2:$O$101),"Not a building"))</f>
        <v>Not a building</v>
      </c>
      <c r="H502" t="str">
        <f>IF(RIGHT(tblTargets[[#This Row],[TargetID]],5)="maxed","",IF(tblTargets[[#This Row],[TargetType]]="BUILDING",_xlfn.XLOOKUP(tblTargets[[#This Row],[TargetID]],Targets!$M$2:$M$101,Targets!$K$2:$K$101),"Not a building"))</f>
        <v>Not a building</v>
      </c>
    </row>
    <row r="503" spans="1:8">
      <c r="A503" t="s">
        <v>3446</v>
      </c>
      <c r="B503" t="s">
        <v>5542</v>
      </c>
      <c r="C503" t="s">
        <v>5565</v>
      </c>
      <c r="D503" t="str">
        <f>IF(tblTargets[[#This Row],[TargetType]]="state",UPPER(_xlfn.TEXTBEFORE(_xlfn.TEXTAFTER(tblTargets[[#This Row],[TargetID]],"state."),"_")),"")</f>
        <v>VISIT</v>
      </c>
      <c r="E503" t="b">
        <v>1</v>
      </c>
      <c r="F503" t="s">
        <v>3599</v>
      </c>
      <c r="G503" t="str">
        <f>IF(RIGHT(tblTargets[[#This Row],[TargetID]],5)="maxed","",IF(tblTargets[[#This Row],[TargetType]]="BUILDING",_xlfn.XLOOKUP(tblTargets[[#This Row],[TargetID]],Targets!$Q$2:$Q$101,Targets!$O$2:$O$101),"Not a building"))</f>
        <v>Not a building</v>
      </c>
      <c r="H503" t="str">
        <f>IF(RIGHT(tblTargets[[#This Row],[TargetID]],5)="maxed","",IF(tblTargets[[#This Row],[TargetType]]="BUILDING",_xlfn.XLOOKUP(tblTargets[[#This Row],[TargetID]],Targets!$M$2:$M$101,Targets!$K$2:$K$101),"Not a building"))</f>
        <v>Not a building</v>
      </c>
    </row>
    <row r="504" spans="1:8">
      <c r="A504" t="s">
        <v>6042</v>
      </c>
      <c r="B504" t="s">
        <v>6043</v>
      </c>
      <c r="C504" t="s">
        <v>5565</v>
      </c>
      <c r="D504" t="str">
        <f>IF(tblTargets[[#This Row],[TargetType]]="state",UPPER(_xlfn.TEXTBEFORE(_xlfn.TEXTAFTER(tblTargets[[#This Row],[TargetID]],"state."),"_")),"")</f>
        <v>VISIT</v>
      </c>
      <c r="E504" t="b">
        <v>1</v>
      </c>
      <c r="F504" t="s">
        <v>3599</v>
      </c>
      <c r="G504" t="str">
        <f>IF(RIGHT(tblTargets[[#This Row],[TargetID]],5)="maxed","",IF(tblTargets[[#This Row],[TargetType]]="BUILDING",_xlfn.XLOOKUP(tblTargets[[#This Row],[TargetID]],Targets!$Q$2:$Q$101,Targets!$O$2:$O$101),"Not a building"))</f>
        <v>Not a building</v>
      </c>
      <c r="H504" t="str">
        <f>IF(RIGHT(tblTargets[[#This Row],[TargetID]],5)="maxed","",IF(tblTargets[[#This Row],[TargetType]]="BUILDING",_xlfn.XLOOKUP(tblTargets[[#This Row],[TargetID]],Targets!$M$2:$M$101,Targets!$K$2:$K$101),"Not a building"))</f>
        <v>Not a building</v>
      </c>
    </row>
    <row r="505" spans="1:8">
      <c r="A505" t="s">
        <v>3434</v>
      </c>
      <c r="B505" t="s">
        <v>5538</v>
      </c>
      <c r="C505" t="s">
        <v>5565</v>
      </c>
      <c r="D505" t="str">
        <f>IF(tblTargets[[#This Row],[TargetType]]="state",UPPER(_xlfn.TEXTBEFORE(_xlfn.TEXTAFTER(tblTargets[[#This Row],[TargetID]],"state."),"_")),"")</f>
        <v>VISIT</v>
      </c>
      <c r="E505" t="b">
        <v>1</v>
      </c>
      <c r="F505" t="s">
        <v>3599</v>
      </c>
      <c r="G505" t="str">
        <f>IF(RIGHT(tblTargets[[#This Row],[TargetID]],5)="maxed","",IF(tblTargets[[#This Row],[TargetType]]="BUILDING",_xlfn.XLOOKUP(tblTargets[[#This Row],[TargetID]],Targets!$Q$2:$Q$101,Targets!$O$2:$O$101),"Not a building"))</f>
        <v>Not a building</v>
      </c>
      <c r="H505" t="str">
        <f>IF(RIGHT(tblTargets[[#This Row],[TargetID]],5)="maxed","",IF(tblTargets[[#This Row],[TargetType]]="BUILDING",_xlfn.XLOOKUP(tblTargets[[#This Row],[TargetID]],Targets!$M$2:$M$101,Targets!$K$2:$K$101),"Not a building"))</f>
        <v>Not a building</v>
      </c>
    </row>
    <row r="506" spans="1:8">
      <c r="A506" t="s">
        <v>6266</v>
      </c>
      <c r="B506" t="s">
        <v>6044</v>
      </c>
      <c r="C506" t="s">
        <v>5565</v>
      </c>
      <c r="D506" t="str">
        <f>IF(tblTargets[[#This Row],[TargetType]]="state",UPPER(_xlfn.TEXTBEFORE(_xlfn.TEXTAFTER(tblTargets[[#This Row],[TargetID]],"state."),"_")),"")</f>
        <v>MEET</v>
      </c>
      <c r="E506" t="b">
        <v>1</v>
      </c>
      <c r="F506" t="s">
        <v>3599</v>
      </c>
      <c r="G506" t="str">
        <f>IF(RIGHT(tblTargets[[#This Row],[TargetID]],5)="maxed","",IF(tblTargets[[#This Row],[TargetType]]="BUILDING",_xlfn.XLOOKUP(tblTargets[[#This Row],[TargetID]],Targets!$Q$2:$Q$101,Targets!$O$2:$O$101),"Not a building"))</f>
        <v>Not a building</v>
      </c>
      <c r="H506" t="str">
        <f>IF(RIGHT(tblTargets[[#This Row],[TargetID]],5)="maxed","",IF(tblTargets[[#This Row],[TargetType]]="BUILDING",_xlfn.XLOOKUP(tblTargets[[#This Row],[TargetID]],Targets!$M$2:$M$101,Targets!$K$2:$K$101),"Not a building"))</f>
        <v>Not a building</v>
      </c>
    </row>
    <row r="507" spans="1:8">
      <c r="A507" t="s">
        <v>5761</v>
      </c>
      <c r="B507" t="s">
        <v>5648</v>
      </c>
      <c r="C507" t="s">
        <v>5565</v>
      </c>
      <c r="D507" t="str">
        <f>IF(tblTargets[[#This Row],[TargetType]]="state",UPPER(_xlfn.TEXTBEFORE(_xlfn.TEXTAFTER(tblTargets[[#This Row],[TargetID]],"state."),"_")),"")</f>
        <v>VISIT</v>
      </c>
      <c r="E507" t="b">
        <v>1</v>
      </c>
      <c r="F507" t="s">
        <v>3599</v>
      </c>
      <c r="G507" t="str">
        <f>IF(RIGHT(tblTargets[[#This Row],[TargetID]],5)="maxed","",IF(tblTargets[[#This Row],[TargetType]]="BUILDING",_xlfn.XLOOKUP(tblTargets[[#This Row],[TargetID]],Targets!$Q$2:$Q$101,Targets!$O$2:$O$101),"Not a building"))</f>
        <v>Not a building</v>
      </c>
      <c r="H507" t="str">
        <f>IF(RIGHT(tblTargets[[#This Row],[TargetID]],5)="maxed","",IF(tblTargets[[#This Row],[TargetType]]="BUILDING",_xlfn.XLOOKUP(tblTargets[[#This Row],[TargetID]],Targets!$M$2:$M$101,Targets!$K$2:$K$101),"Not a building"))</f>
        <v>Not a building</v>
      </c>
    </row>
    <row r="508" spans="1:8">
      <c r="A508" s="5" t="s">
        <v>5746</v>
      </c>
      <c r="B508" t="s">
        <v>5792</v>
      </c>
      <c r="C508" t="s">
        <v>5565</v>
      </c>
      <c r="D508" t="str">
        <f>IF(tblTargets[[#This Row],[TargetType]]="state",UPPER(_xlfn.TEXTBEFORE(_xlfn.TEXTAFTER(tblTargets[[#This Row],[TargetID]],"state."),"_")),"")</f>
        <v>VISIT</v>
      </c>
      <c r="E508" t="b">
        <v>1</v>
      </c>
      <c r="F508" t="s">
        <v>3599</v>
      </c>
      <c r="G508" t="str">
        <f>IF(RIGHT(tblTargets[[#This Row],[TargetID]],5)="maxed","",IF(tblTargets[[#This Row],[TargetType]]="BUILDING",_xlfn.XLOOKUP(tblTargets[[#This Row],[TargetID]],Targets!$Q$2:$Q$101,Targets!$O$2:$O$101),"Not a building"))</f>
        <v>Not a building</v>
      </c>
      <c r="H508" t="str">
        <f>IF(RIGHT(tblTargets[[#This Row],[TargetID]],5)="maxed","",IF(tblTargets[[#This Row],[TargetType]]="BUILDING",_xlfn.XLOOKUP(tblTargets[[#This Row],[TargetID]],Targets!$M$2:$M$101,Targets!$K$2:$K$101),"Not a building"))</f>
        <v>Not a building</v>
      </c>
    </row>
    <row r="509" spans="1:8">
      <c r="A509" s="2" t="s">
        <v>5762</v>
      </c>
      <c r="B509" t="s">
        <v>5646</v>
      </c>
      <c r="C509" t="s">
        <v>5565</v>
      </c>
      <c r="D509" t="str">
        <f>IF(tblTargets[[#This Row],[TargetType]]="state",UPPER(_xlfn.TEXTBEFORE(_xlfn.TEXTAFTER(tblTargets[[#This Row],[TargetID]],"state."),"_")),"")</f>
        <v>VISIT</v>
      </c>
      <c r="E509" t="b">
        <v>1</v>
      </c>
      <c r="F509" t="s">
        <v>3599</v>
      </c>
      <c r="G509" t="str">
        <f>IF(RIGHT(tblTargets[[#This Row],[TargetID]],5)="maxed","",IF(tblTargets[[#This Row],[TargetType]]="BUILDING",_xlfn.XLOOKUP(tblTargets[[#This Row],[TargetID]],Targets!$Q$2:$Q$101,Targets!$O$2:$O$101),"Not a building"))</f>
        <v>Not a building</v>
      </c>
      <c r="H509" t="str">
        <f>IF(RIGHT(tblTargets[[#This Row],[TargetID]],5)="maxed","",IF(tblTargets[[#This Row],[TargetType]]="BUILDING",_xlfn.XLOOKUP(tblTargets[[#This Row],[TargetID]],Targets!$M$2:$M$101,Targets!$K$2:$K$101),"Not a building"))</f>
        <v>Not a building</v>
      </c>
    </row>
    <row r="510" spans="1:8">
      <c r="A510" t="s">
        <v>5705</v>
      </c>
      <c r="B510" t="s">
        <v>5706</v>
      </c>
      <c r="C510" t="s">
        <v>5565</v>
      </c>
      <c r="D510" t="str">
        <f>IF(tblTargets[[#This Row],[TargetType]]="state",UPPER(_xlfn.TEXTBEFORE(_xlfn.TEXTAFTER(tblTargets[[#This Row],[TargetID]],"state."),"_")),"")</f>
        <v>VISIT</v>
      </c>
      <c r="E510" t="b">
        <v>1</v>
      </c>
      <c r="F510" t="s">
        <v>3599</v>
      </c>
      <c r="G510" t="str">
        <f>IF(RIGHT(tblTargets[[#This Row],[TargetID]],5)="maxed","",IF(tblTargets[[#This Row],[TargetType]]="BUILDING",_xlfn.XLOOKUP(tblTargets[[#This Row],[TargetID]],Targets!$Q$2:$Q$101,Targets!$O$2:$O$101),"Not a building"))</f>
        <v>Not a building</v>
      </c>
      <c r="H510" t="str">
        <f>IF(RIGHT(tblTargets[[#This Row],[TargetID]],5)="maxed","",IF(tblTargets[[#This Row],[TargetType]]="BUILDING",_xlfn.XLOOKUP(tblTargets[[#This Row],[TargetID]],Targets!$M$2:$M$101,Targets!$K$2:$K$101),"Not a building"))</f>
        <v>Not a building</v>
      </c>
    </row>
    <row r="511" spans="1:8">
      <c r="A511" s="2" t="s">
        <v>5763</v>
      </c>
      <c r="B511" t="s">
        <v>5643</v>
      </c>
      <c r="C511" t="s">
        <v>5565</v>
      </c>
      <c r="D511" t="str">
        <f>IF(tblTargets[[#This Row],[TargetType]]="state",UPPER(_xlfn.TEXTBEFORE(_xlfn.TEXTAFTER(tblTargets[[#This Row],[TargetID]],"state."),"_")),"")</f>
        <v>VISIT</v>
      </c>
      <c r="E511" t="b">
        <v>1</v>
      </c>
      <c r="F511" t="s">
        <v>3599</v>
      </c>
      <c r="G511" t="str">
        <f>IF(RIGHT(tblTargets[[#This Row],[TargetID]],5)="maxed","",IF(tblTargets[[#This Row],[TargetType]]="BUILDING",_xlfn.XLOOKUP(tblTargets[[#This Row],[TargetID]],Targets!$Q$2:$Q$101,Targets!$O$2:$O$101),"Not a building"))</f>
        <v>Not a building</v>
      </c>
      <c r="H511" t="str">
        <f>IF(RIGHT(tblTargets[[#This Row],[TargetID]],5)="maxed","",IF(tblTargets[[#This Row],[TargetType]]="BUILDING",_xlfn.XLOOKUP(tblTargets[[#This Row],[TargetID]],Targets!$M$2:$M$101,Targets!$K$2:$K$101),"Not a building"))</f>
        <v>Not a building</v>
      </c>
    </row>
    <row r="512" spans="1:8">
      <c r="A512" s="2" t="s">
        <v>5764</v>
      </c>
      <c r="B512" t="s">
        <v>5644</v>
      </c>
      <c r="C512" t="s">
        <v>5565</v>
      </c>
      <c r="D512" t="str">
        <f>IF(tblTargets[[#This Row],[TargetType]]="state",UPPER(_xlfn.TEXTBEFORE(_xlfn.TEXTAFTER(tblTargets[[#This Row],[TargetID]],"state."),"_")),"")</f>
        <v>VISIT</v>
      </c>
      <c r="E512" t="b">
        <v>1</v>
      </c>
      <c r="F512" t="s">
        <v>3599</v>
      </c>
      <c r="G512" t="str">
        <f>IF(RIGHT(tblTargets[[#This Row],[TargetID]],5)="maxed","",IF(tblTargets[[#This Row],[TargetType]]="BUILDING",_xlfn.XLOOKUP(tblTargets[[#This Row],[TargetID]],Targets!$Q$2:$Q$101,Targets!$O$2:$O$101),"Not a building"))</f>
        <v>Not a building</v>
      </c>
      <c r="H512" t="str">
        <f>IF(RIGHT(tblTargets[[#This Row],[TargetID]],5)="maxed","",IF(tblTargets[[#This Row],[TargetType]]="BUILDING",_xlfn.XLOOKUP(tblTargets[[#This Row],[TargetID]],Targets!$M$2:$M$101,Targets!$K$2:$K$101),"Not a building"))</f>
        <v>Not a building</v>
      </c>
    </row>
    <row r="513" spans="1:8">
      <c r="A513" t="s">
        <v>5688</v>
      </c>
      <c r="B513" t="s">
        <v>5687</v>
      </c>
      <c r="C513" t="s">
        <v>5565</v>
      </c>
      <c r="D513" t="str">
        <f>IF(tblTargets[[#This Row],[TargetType]]="state",UPPER(_xlfn.TEXTBEFORE(_xlfn.TEXTAFTER(tblTargets[[#This Row],[TargetID]],"state."),"_")),"")</f>
        <v>VISIT</v>
      </c>
      <c r="E513" t="b">
        <v>1</v>
      </c>
      <c r="F513" t="s">
        <v>3599</v>
      </c>
      <c r="G513" t="str">
        <f>IF(RIGHT(tblTargets[[#This Row],[TargetID]],5)="maxed","",IF(tblTargets[[#This Row],[TargetType]]="BUILDING",_xlfn.XLOOKUP(tblTargets[[#This Row],[TargetID]],Targets!$Q$2:$Q$101,Targets!$O$2:$O$101),"Not a building"))</f>
        <v>Not a building</v>
      </c>
      <c r="H513" t="str">
        <f>IF(RIGHT(tblTargets[[#This Row],[TargetID]],5)="maxed","",IF(tblTargets[[#This Row],[TargetType]]="BUILDING",_xlfn.XLOOKUP(tblTargets[[#This Row],[TargetID]],Targets!$M$2:$M$101,Targets!$K$2:$K$101),"Not a building"))</f>
        <v>Not a building</v>
      </c>
    </row>
    <row r="514" spans="1:8">
      <c r="A514" s="5" t="s">
        <v>5747</v>
      </c>
      <c r="B514" t="s">
        <v>5791</v>
      </c>
      <c r="C514" t="s">
        <v>5565</v>
      </c>
      <c r="D514" t="str">
        <f>IF(tblTargets[[#This Row],[TargetType]]="state",UPPER(_xlfn.TEXTBEFORE(_xlfn.TEXTAFTER(tblTargets[[#This Row],[TargetID]],"state."),"_")),"")</f>
        <v>VISIT</v>
      </c>
      <c r="E514" t="b">
        <v>1</v>
      </c>
      <c r="F514" t="s">
        <v>3599</v>
      </c>
      <c r="G514" t="str">
        <f>IF(RIGHT(tblTargets[[#This Row],[TargetID]],5)="maxed","",IF(tblTargets[[#This Row],[TargetType]]="BUILDING",_xlfn.XLOOKUP(tblTargets[[#This Row],[TargetID]],Targets!$Q$2:$Q$101,Targets!$O$2:$O$101),"Not a building"))</f>
        <v>Not a building</v>
      </c>
      <c r="H514" t="str">
        <f>IF(RIGHT(tblTargets[[#This Row],[TargetID]],5)="maxed","",IF(tblTargets[[#This Row],[TargetType]]="BUILDING",_xlfn.XLOOKUP(tblTargets[[#This Row],[TargetID]],Targets!$M$2:$M$101,Targets!$K$2:$K$101),"Not a building"))</f>
        <v>Not a building</v>
      </c>
    </row>
    <row r="515" spans="1:8">
      <c r="A515" t="s">
        <v>5765</v>
      </c>
      <c r="B515" t="s">
        <v>5647</v>
      </c>
      <c r="C515" t="s">
        <v>5565</v>
      </c>
      <c r="D515" t="str">
        <f>IF(tblTargets[[#This Row],[TargetType]]="state",UPPER(_xlfn.TEXTBEFORE(_xlfn.TEXTAFTER(tblTargets[[#This Row],[TargetID]],"state."),"_")),"")</f>
        <v>VISIT</v>
      </c>
      <c r="E515" t="b">
        <v>1</v>
      </c>
      <c r="F515" t="s">
        <v>3599</v>
      </c>
      <c r="G515" t="str">
        <f>IF(RIGHT(tblTargets[[#This Row],[TargetID]],5)="maxed","",IF(tblTargets[[#This Row],[TargetType]]="BUILDING",_xlfn.XLOOKUP(tblTargets[[#This Row],[TargetID]],Targets!$Q$2:$Q$101,Targets!$O$2:$O$101),"Not a building"))</f>
        <v>Not a building</v>
      </c>
      <c r="H515" t="str">
        <f>IF(RIGHT(tblTargets[[#This Row],[TargetID]],5)="maxed","",IF(tblTargets[[#This Row],[TargetType]]="BUILDING",_xlfn.XLOOKUP(tblTargets[[#This Row],[TargetID]],Targets!$M$2:$M$101,Targets!$K$2:$K$101),"Not a building"))</f>
        <v>Not a building</v>
      </c>
    </row>
    <row r="516" spans="1:8">
      <c r="A516" s="2" t="s">
        <v>5766</v>
      </c>
      <c r="B516" t="s">
        <v>5645</v>
      </c>
      <c r="C516" t="s">
        <v>5565</v>
      </c>
      <c r="D516" t="str">
        <f>IF(tblTargets[[#This Row],[TargetType]]="state",UPPER(_xlfn.TEXTBEFORE(_xlfn.TEXTAFTER(tblTargets[[#This Row],[TargetID]],"state."),"_")),"")</f>
        <v>VISIT</v>
      </c>
      <c r="E516" t="b">
        <v>1</v>
      </c>
      <c r="F516" t="s">
        <v>3599</v>
      </c>
      <c r="G516" t="str">
        <f>IF(RIGHT(tblTargets[[#This Row],[TargetID]],5)="maxed","",IF(tblTargets[[#This Row],[TargetType]]="BUILDING",_xlfn.XLOOKUP(tblTargets[[#This Row],[TargetID]],Targets!$Q$2:$Q$101,Targets!$O$2:$O$101),"Not a building"))</f>
        <v>Not a building</v>
      </c>
      <c r="H516" t="str">
        <f>IF(RIGHT(tblTargets[[#This Row],[TargetID]],5)="maxed","",IF(tblTargets[[#This Row],[TargetType]]="BUILDING",_xlfn.XLOOKUP(tblTargets[[#This Row],[TargetID]],Targets!$M$2:$M$101,Targets!$K$2:$K$101),"Not a building"))</f>
        <v>Not a building</v>
      </c>
    </row>
    <row r="517" spans="1:8">
      <c r="A517" s="5" t="s">
        <v>5748</v>
      </c>
      <c r="B517" t="s">
        <v>5786</v>
      </c>
      <c r="C517" t="s">
        <v>5565</v>
      </c>
      <c r="D517" t="str">
        <f>IF(tblTargets[[#This Row],[TargetType]]="state",UPPER(_xlfn.TEXTBEFORE(_xlfn.TEXTAFTER(tblTargets[[#This Row],[TargetID]],"state."),"_")),"")</f>
        <v>VISIT</v>
      </c>
      <c r="E517" t="b">
        <v>1</v>
      </c>
      <c r="F517" t="s">
        <v>3599</v>
      </c>
      <c r="G517" t="str">
        <f>IF(RIGHT(tblTargets[[#This Row],[TargetID]],5)="maxed","",IF(tblTargets[[#This Row],[TargetType]]="BUILDING",_xlfn.XLOOKUP(tblTargets[[#This Row],[TargetID]],Targets!$Q$2:$Q$101,Targets!$O$2:$O$101),"Not a building"))</f>
        <v>Not a building</v>
      </c>
      <c r="H517" t="str">
        <f>IF(RIGHT(tblTargets[[#This Row],[TargetID]],5)="maxed","",IF(tblTargets[[#This Row],[TargetType]]="BUILDING",_xlfn.XLOOKUP(tblTargets[[#This Row],[TargetID]],Targets!$M$2:$M$101,Targets!$K$2:$K$101),"Not a building"))</f>
        <v>Not a building</v>
      </c>
    </row>
    <row r="518" spans="1:8">
      <c r="A518" t="s">
        <v>2093</v>
      </c>
      <c r="B518" t="s">
        <v>2095</v>
      </c>
      <c r="C518" t="s">
        <v>2094</v>
      </c>
      <c r="D518" t="str">
        <f>IF(tblTargets[[#This Row],[TargetType]]="state",UPPER(_xlfn.TEXTBEFORE(_xlfn.TEXTAFTER(tblTargets[[#This Row],[TargetID]],"state."),"_")),"")</f>
        <v/>
      </c>
      <c r="E518" t="b">
        <v>1</v>
      </c>
      <c r="F518" t="s">
        <v>3599</v>
      </c>
      <c r="G518" t="str">
        <f>IF(RIGHT(tblTargets[[#This Row],[TargetID]],5)="maxed","",IF(tblTargets[[#This Row],[TargetType]]="BUILDING",_xlfn.XLOOKUP(tblTargets[[#This Row],[TargetID]],Targets!$Q$2:$Q$101,Targets!$O$2:$O$101),"Not a building"))</f>
        <v>Not a building</v>
      </c>
      <c r="H518" t="str">
        <f>IF(RIGHT(tblTargets[[#This Row],[TargetID]],5)="maxed","",IF(tblTargets[[#This Row],[TargetType]]="BUILDING",_xlfn.XLOOKUP(tblTargets[[#This Row],[TargetID]],Targets!$M$2:$M$101,Targets!$K$2:$K$101),"Not a building"))</f>
        <v>Not a building</v>
      </c>
    </row>
    <row r="519" spans="1:8">
      <c r="A519" t="s">
        <v>2128</v>
      </c>
      <c r="B519" t="s">
        <v>2129</v>
      </c>
      <c r="C519" t="s">
        <v>2094</v>
      </c>
      <c r="D519" t="str">
        <f>IF(tblTargets[[#This Row],[TargetType]]="state",UPPER(_xlfn.TEXTBEFORE(_xlfn.TEXTAFTER(tblTargets[[#This Row],[TargetID]],"state."),"_")),"")</f>
        <v/>
      </c>
      <c r="E519" t="b">
        <v>1</v>
      </c>
      <c r="F519" t="s">
        <v>3599</v>
      </c>
      <c r="G519" t="str">
        <f>IF(RIGHT(tblTargets[[#This Row],[TargetID]],5)="maxed","",IF(tblTargets[[#This Row],[TargetType]]="BUILDING",_xlfn.XLOOKUP(tblTargets[[#This Row],[TargetID]],Targets!$Q$2:$Q$101,Targets!$O$2:$O$101),"Not a building"))</f>
        <v>Not a building</v>
      </c>
      <c r="H519" t="str">
        <f>IF(RIGHT(tblTargets[[#This Row],[TargetID]],5)="maxed","",IF(tblTargets[[#This Row],[TargetType]]="BUILDING",_xlfn.XLOOKUP(tblTargets[[#This Row],[TargetID]],Targets!$M$2:$M$101,Targets!$K$2:$K$101),"Not a building"))</f>
        <v>Not a building</v>
      </c>
    </row>
    <row r="520" spans="1:8">
      <c r="A520" t="s">
        <v>2100</v>
      </c>
      <c r="B520" t="s">
        <v>2101</v>
      </c>
      <c r="C520" t="s">
        <v>2094</v>
      </c>
      <c r="D520" t="str">
        <f>IF(tblTargets[[#This Row],[TargetType]]="state",UPPER(_xlfn.TEXTBEFORE(_xlfn.TEXTAFTER(tblTargets[[#This Row],[TargetID]],"state."),"_")),"")</f>
        <v/>
      </c>
      <c r="E520" t="b">
        <v>1</v>
      </c>
      <c r="F520" t="s">
        <v>3599</v>
      </c>
      <c r="G520" t="str">
        <f>IF(RIGHT(tblTargets[[#This Row],[TargetID]],5)="maxed","",IF(tblTargets[[#This Row],[TargetType]]="BUILDING",_xlfn.XLOOKUP(tblTargets[[#This Row],[TargetID]],Targets!$Q$2:$Q$101,Targets!$O$2:$O$101),"Not a building"))</f>
        <v>Not a building</v>
      </c>
      <c r="H520" t="str">
        <f>IF(RIGHT(tblTargets[[#This Row],[TargetID]],5)="maxed","",IF(tblTargets[[#This Row],[TargetType]]="BUILDING",_xlfn.XLOOKUP(tblTargets[[#This Row],[TargetID]],Targets!$M$2:$M$101,Targets!$K$2:$K$101),"Not a building"))</f>
        <v>Not a building</v>
      </c>
    </row>
    <row r="521" spans="1:8">
      <c r="A521" t="s">
        <v>2120</v>
      </c>
      <c r="B521" t="s">
        <v>2121</v>
      </c>
      <c r="C521" t="s">
        <v>2094</v>
      </c>
      <c r="D521" t="str">
        <f>IF(tblTargets[[#This Row],[TargetType]]="state",UPPER(_xlfn.TEXTBEFORE(_xlfn.TEXTAFTER(tblTargets[[#This Row],[TargetID]],"state."),"_")),"")</f>
        <v/>
      </c>
      <c r="E521" t="b">
        <v>1</v>
      </c>
      <c r="F521" t="s">
        <v>3599</v>
      </c>
      <c r="G521" t="str">
        <f>IF(RIGHT(tblTargets[[#This Row],[TargetID]],5)="maxed","",IF(tblTargets[[#This Row],[TargetType]]="BUILDING",_xlfn.XLOOKUP(tblTargets[[#This Row],[TargetID]],Targets!$Q$2:$Q$101,Targets!$O$2:$O$101),"Not a building"))</f>
        <v>Not a building</v>
      </c>
      <c r="H521" t="str">
        <f>IF(RIGHT(tblTargets[[#This Row],[TargetID]],5)="maxed","",IF(tblTargets[[#This Row],[TargetType]]="BUILDING",_xlfn.XLOOKUP(tblTargets[[#This Row],[TargetID]],Targets!$M$2:$M$101,Targets!$K$2:$K$101),"Not a building"))</f>
        <v>Not a building</v>
      </c>
    </row>
    <row r="522" spans="1:8">
      <c r="A522" t="s">
        <v>2122</v>
      </c>
      <c r="B522" t="s">
        <v>2123</v>
      </c>
      <c r="C522" t="s">
        <v>2094</v>
      </c>
      <c r="D522" t="str">
        <f>IF(tblTargets[[#This Row],[TargetType]]="state",UPPER(_xlfn.TEXTBEFORE(_xlfn.TEXTAFTER(tblTargets[[#This Row],[TargetID]],"state."),"_")),"")</f>
        <v/>
      </c>
      <c r="E522" t="b">
        <v>1</v>
      </c>
      <c r="F522" t="s">
        <v>3599</v>
      </c>
      <c r="G522" t="str">
        <f>IF(RIGHT(tblTargets[[#This Row],[TargetID]],5)="maxed","",IF(tblTargets[[#This Row],[TargetType]]="BUILDING",_xlfn.XLOOKUP(tblTargets[[#This Row],[TargetID]],Targets!$Q$2:$Q$101,Targets!$O$2:$O$101),"Not a building"))</f>
        <v>Not a building</v>
      </c>
      <c r="H522" t="str">
        <f>IF(RIGHT(tblTargets[[#This Row],[TargetID]],5)="maxed","",IF(tblTargets[[#This Row],[TargetType]]="BUILDING",_xlfn.XLOOKUP(tblTargets[[#This Row],[TargetID]],Targets!$M$2:$M$101,Targets!$K$2:$K$101),"Not a building"))</f>
        <v>Not a building</v>
      </c>
    </row>
    <row r="523" spans="1:8">
      <c r="A523" t="s">
        <v>2124</v>
      </c>
      <c r="B523" t="s">
        <v>2125</v>
      </c>
      <c r="C523" t="s">
        <v>2094</v>
      </c>
      <c r="D523" t="str">
        <f>IF(tblTargets[[#This Row],[TargetType]]="state",UPPER(_xlfn.TEXTBEFORE(_xlfn.TEXTAFTER(tblTargets[[#This Row],[TargetID]],"state."),"_")),"")</f>
        <v/>
      </c>
      <c r="E523" t="b">
        <v>1</v>
      </c>
      <c r="F523" t="s">
        <v>3599</v>
      </c>
      <c r="G523" t="str">
        <f>IF(RIGHT(tblTargets[[#This Row],[TargetID]],5)="maxed","",IF(tblTargets[[#This Row],[TargetType]]="BUILDING",_xlfn.XLOOKUP(tblTargets[[#This Row],[TargetID]],Targets!$Q$2:$Q$101,Targets!$O$2:$O$101),"Not a building"))</f>
        <v>Not a building</v>
      </c>
      <c r="H523" t="str">
        <f>IF(RIGHT(tblTargets[[#This Row],[TargetID]],5)="maxed","",IF(tblTargets[[#This Row],[TargetType]]="BUILDING",_xlfn.XLOOKUP(tblTargets[[#This Row],[TargetID]],Targets!$M$2:$M$101,Targets!$K$2:$K$101),"Not a building"))</f>
        <v>Not a building</v>
      </c>
    </row>
    <row r="524" spans="1:8">
      <c r="A524" t="s">
        <v>2106</v>
      </c>
      <c r="B524" t="s">
        <v>2107</v>
      </c>
      <c r="C524" t="s">
        <v>2094</v>
      </c>
      <c r="D524" t="str">
        <f>IF(tblTargets[[#This Row],[TargetType]]="state",UPPER(_xlfn.TEXTBEFORE(_xlfn.TEXTAFTER(tblTargets[[#This Row],[TargetID]],"state."),"_")),"")</f>
        <v/>
      </c>
      <c r="E524" t="b">
        <v>1</v>
      </c>
      <c r="F524" t="s">
        <v>3599</v>
      </c>
      <c r="G524" t="str">
        <f>IF(RIGHT(tblTargets[[#This Row],[TargetID]],5)="maxed","",IF(tblTargets[[#This Row],[TargetType]]="BUILDING",_xlfn.XLOOKUP(tblTargets[[#This Row],[TargetID]],Targets!$Q$2:$Q$101,Targets!$O$2:$O$101),"Not a building"))</f>
        <v>Not a building</v>
      </c>
      <c r="H524" t="str">
        <f>IF(RIGHT(tblTargets[[#This Row],[TargetID]],5)="maxed","",IF(tblTargets[[#This Row],[TargetType]]="BUILDING",_xlfn.XLOOKUP(tblTargets[[#This Row],[TargetID]],Targets!$M$2:$M$101,Targets!$K$2:$K$101),"Not a building"))</f>
        <v>Not a building</v>
      </c>
    </row>
    <row r="525" spans="1:8">
      <c r="A525" t="s">
        <v>2096</v>
      </c>
      <c r="B525" t="s">
        <v>2097</v>
      </c>
      <c r="C525" t="s">
        <v>2094</v>
      </c>
      <c r="D525" t="str">
        <f>IF(tblTargets[[#This Row],[TargetType]]="state",UPPER(_xlfn.TEXTBEFORE(_xlfn.TEXTAFTER(tblTargets[[#This Row],[TargetID]],"state."),"_")),"")</f>
        <v/>
      </c>
      <c r="E525" t="b">
        <v>1</v>
      </c>
      <c r="F525" t="s">
        <v>3599</v>
      </c>
      <c r="G525" t="str">
        <f>IF(RIGHT(tblTargets[[#This Row],[TargetID]],5)="maxed","",IF(tblTargets[[#This Row],[TargetType]]="BUILDING",_xlfn.XLOOKUP(tblTargets[[#This Row],[TargetID]],Targets!$Q$2:$Q$101,Targets!$O$2:$O$101),"Not a building"))</f>
        <v>Not a building</v>
      </c>
      <c r="H525" t="str">
        <f>IF(RIGHT(tblTargets[[#This Row],[TargetID]],5)="maxed","",IF(tblTargets[[#This Row],[TargetType]]="BUILDING",_xlfn.XLOOKUP(tblTargets[[#This Row],[TargetID]],Targets!$M$2:$M$101,Targets!$K$2:$K$101),"Not a building"))</f>
        <v>Not a building</v>
      </c>
    </row>
    <row r="526" spans="1:8">
      <c r="A526" t="s">
        <v>2108</v>
      </c>
      <c r="B526" t="s">
        <v>2109</v>
      </c>
      <c r="C526" t="s">
        <v>2094</v>
      </c>
      <c r="D526" t="str">
        <f>IF(tblTargets[[#This Row],[TargetType]]="state",UPPER(_xlfn.TEXTBEFORE(_xlfn.TEXTAFTER(tblTargets[[#This Row],[TargetID]],"state."),"_")),"")</f>
        <v/>
      </c>
      <c r="E526" t="b">
        <v>1</v>
      </c>
      <c r="F526" t="s">
        <v>3599</v>
      </c>
      <c r="G526" t="str">
        <f>IF(RIGHT(tblTargets[[#This Row],[TargetID]],5)="maxed","",IF(tblTargets[[#This Row],[TargetType]]="BUILDING",_xlfn.XLOOKUP(tblTargets[[#This Row],[TargetID]],Targets!$Q$2:$Q$101,Targets!$O$2:$O$101),"Not a building"))</f>
        <v>Not a building</v>
      </c>
      <c r="H526" t="str">
        <f>IF(RIGHT(tblTargets[[#This Row],[TargetID]],5)="maxed","",IF(tblTargets[[#This Row],[TargetType]]="BUILDING",_xlfn.XLOOKUP(tblTargets[[#This Row],[TargetID]],Targets!$M$2:$M$101,Targets!$K$2:$K$101),"Not a building"))</f>
        <v>Not a building</v>
      </c>
    </row>
    <row r="527" spans="1:8">
      <c r="A527" t="s">
        <v>2104</v>
      </c>
      <c r="B527" t="s">
        <v>2105</v>
      </c>
      <c r="C527" t="s">
        <v>2094</v>
      </c>
      <c r="D527" t="str">
        <f>IF(tblTargets[[#This Row],[TargetType]]="state",UPPER(_xlfn.TEXTBEFORE(_xlfn.TEXTAFTER(tblTargets[[#This Row],[TargetID]],"state."),"_")),"")</f>
        <v/>
      </c>
      <c r="E527" t="b">
        <v>1</v>
      </c>
      <c r="F527" t="s">
        <v>3599</v>
      </c>
      <c r="G527" t="str">
        <f>IF(RIGHT(tblTargets[[#This Row],[TargetID]],5)="maxed","",IF(tblTargets[[#This Row],[TargetType]]="BUILDING",_xlfn.XLOOKUP(tblTargets[[#This Row],[TargetID]],Targets!$Q$2:$Q$101,Targets!$O$2:$O$101),"Not a building"))</f>
        <v>Not a building</v>
      </c>
      <c r="H527" t="str">
        <f>IF(RIGHT(tblTargets[[#This Row],[TargetID]],5)="maxed","",IF(tblTargets[[#This Row],[TargetType]]="BUILDING",_xlfn.XLOOKUP(tblTargets[[#This Row],[TargetID]],Targets!$M$2:$M$101,Targets!$K$2:$K$101),"Not a building"))</f>
        <v>Not a building</v>
      </c>
    </row>
    <row r="528" spans="1:8">
      <c r="A528" t="s">
        <v>2126</v>
      </c>
      <c r="B528" t="s">
        <v>2127</v>
      </c>
      <c r="C528" t="s">
        <v>2094</v>
      </c>
      <c r="D528" t="str">
        <f>IF(tblTargets[[#This Row],[TargetType]]="state",UPPER(_xlfn.TEXTBEFORE(_xlfn.TEXTAFTER(tblTargets[[#This Row],[TargetID]],"state."),"_")),"")</f>
        <v/>
      </c>
      <c r="E528" t="b">
        <v>1</v>
      </c>
      <c r="F528" t="s">
        <v>3599</v>
      </c>
      <c r="G528" t="str">
        <f>IF(RIGHT(tblTargets[[#This Row],[TargetID]],5)="maxed","",IF(tblTargets[[#This Row],[TargetType]]="BUILDING",_xlfn.XLOOKUP(tblTargets[[#This Row],[TargetID]],Targets!$Q$2:$Q$101,Targets!$O$2:$O$101),"Not a building"))</f>
        <v>Not a building</v>
      </c>
      <c r="H528" t="str">
        <f>IF(RIGHT(tblTargets[[#This Row],[TargetID]],5)="maxed","",IF(tblTargets[[#This Row],[TargetType]]="BUILDING",_xlfn.XLOOKUP(tblTargets[[#This Row],[TargetID]],Targets!$M$2:$M$101,Targets!$K$2:$K$101),"Not a building"))</f>
        <v>Not a building</v>
      </c>
    </row>
    <row r="529" spans="1:8">
      <c r="A529" t="s">
        <v>3608</v>
      </c>
      <c r="B529" t="s">
        <v>3607</v>
      </c>
      <c r="C529" t="s">
        <v>2094</v>
      </c>
      <c r="D529" t="str">
        <f>IF(tblTargets[[#This Row],[TargetType]]="state",UPPER(_xlfn.TEXTBEFORE(_xlfn.TEXTAFTER(tblTargets[[#This Row],[TargetID]],"state."),"_")),"")</f>
        <v/>
      </c>
      <c r="E529" t="b">
        <v>1</v>
      </c>
      <c r="F529" t="s">
        <v>3599</v>
      </c>
      <c r="G529" t="str">
        <f>IF(RIGHT(tblTargets[[#This Row],[TargetID]],5)="maxed","",IF(tblTargets[[#This Row],[TargetType]]="BUILDING",_xlfn.XLOOKUP(tblTargets[[#This Row],[TargetID]],Targets!$Q$2:$Q$101,Targets!$O$2:$O$101),"Not a building"))</f>
        <v>Not a building</v>
      </c>
      <c r="H529" t="str">
        <f>IF(RIGHT(tblTargets[[#This Row],[TargetID]],5)="maxed","",IF(tblTargets[[#This Row],[TargetType]]="BUILDING",_xlfn.XLOOKUP(tblTargets[[#This Row],[TargetID]],Targets!$M$2:$M$101,Targets!$K$2:$K$101),"Not a building"))</f>
        <v>Not a building</v>
      </c>
    </row>
    <row r="530" spans="1:8">
      <c r="A530" t="s">
        <v>2118</v>
      </c>
      <c r="B530" t="s">
        <v>2119</v>
      </c>
      <c r="C530" t="s">
        <v>2094</v>
      </c>
      <c r="D530" t="str">
        <f>IF(tblTargets[[#This Row],[TargetType]]="state",UPPER(_xlfn.TEXTBEFORE(_xlfn.TEXTAFTER(tblTargets[[#This Row],[TargetID]],"state."),"_")),"")</f>
        <v/>
      </c>
      <c r="E530" t="b">
        <v>1</v>
      </c>
      <c r="F530" t="s">
        <v>3599</v>
      </c>
      <c r="G530" t="str">
        <f>IF(RIGHT(tblTargets[[#This Row],[TargetID]],5)="maxed","",IF(tblTargets[[#This Row],[TargetType]]="BUILDING",_xlfn.XLOOKUP(tblTargets[[#This Row],[TargetID]],Targets!$Q$2:$Q$101,Targets!$O$2:$O$101),"Not a building"))</f>
        <v>Not a building</v>
      </c>
      <c r="H530" t="str">
        <f>IF(RIGHT(tblTargets[[#This Row],[TargetID]],5)="maxed","",IF(tblTargets[[#This Row],[TargetType]]="BUILDING",_xlfn.XLOOKUP(tblTargets[[#This Row],[TargetID]],Targets!$M$2:$M$101,Targets!$K$2:$K$101),"Not a building"))</f>
        <v>Not a building</v>
      </c>
    </row>
    <row r="531" spans="1:8">
      <c r="A531" t="s">
        <v>2114</v>
      </c>
      <c r="B531" t="s">
        <v>2115</v>
      </c>
      <c r="C531" t="s">
        <v>2094</v>
      </c>
      <c r="D531" t="str">
        <f>IF(tblTargets[[#This Row],[TargetType]]="state",UPPER(_xlfn.TEXTBEFORE(_xlfn.TEXTAFTER(tblTargets[[#This Row],[TargetID]],"state."),"_")),"")</f>
        <v/>
      </c>
      <c r="E531" t="b">
        <v>1</v>
      </c>
      <c r="F531" t="s">
        <v>3599</v>
      </c>
      <c r="G531" t="str">
        <f>IF(RIGHT(tblTargets[[#This Row],[TargetID]],5)="maxed","",IF(tblTargets[[#This Row],[TargetType]]="BUILDING",_xlfn.XLOOKUP(tblTargets[[#This Row],[TargetID]],Targets!$Q$2:$Q$101,Targets!$O$2:$O$101),"Not a building"))</f>
        <v>Not a building</v>
      </c>
      <c r="H531" t="str">
        <f>IF(RIGHT(tblTargets[[#This Row],[TargetID]],5)="maxed","",IF(tblTargets[[#This Row],[TargetType]]="BUILDING",_xlfn.XLOOKUP(tblTargets[[#This Row],[TargetID]],Targets!$M$2:$M$101,Targets!$K$2:$K$101),"Not a building"))</f>
        <v>Not a building</v>
      </c>
    </row>
    <row r="532" spans="1:8">
      <c r="A532" t="s">
        <v>2112</v>
      </c>
      <c r="B532" t="s">
        <v>2113</v>
      </c>
      <c r="C532" t="s">
        <v>2094</v>
      </c>
      <c r="D532" t="str">
        <f>IF(tblTargets[[#This Row],[TargetType]]="state",UPPER(_xlfn.TEXTBEFORE(_xlfn.TEXTAFTER(tblTargets[[#This Row],[TargetID]],"state."),"_")),"")</f>
        <v/>
      </c>
      <c r="E532" t="b">
        <v>1</v>
      </c>
      <c r="F532" t="s">
        <v>3599</v>
      </c>
      <c r="G532" t="str">
        <f>IF(RIGHT(tblTargets[[#This Row],[TargetID]],5)="maxed","",IF(tblTargets[[#This Row],[TargetType]]="BUILDING",_xlfn.XLOOKUP(tblTargets[[#This Row],[TargetID]],Targets!$Q$2:$Q$101,Targets!$O$2:$O$101),"Not a building"))</f>
        <v>Not a building</v>
      </c>
      <c r="H532" t="str">
        <f>IF(RIGHT(tblTargets[[#This Row],[TargetID]],5)="maxed","",IF(tblTargets[[#This Row],[TargetType]]="BUILDING",_xlfn.XLOOKUP(tblTargets[[#This Row],[TargetID]],Targets!$M$2:$M$101,Targets!$K$2:$K$101),"Not a building"))</f>
        <v>Not a building</v>
      </c>
    </row>
    <row r="533" spans="1:8">
      <c r="A533" t="s">
        <v>2110</v>
      </c>
      <c r="B533" t="s">
        <v>2111</v>
      </c>
      <c r="C533" t="s">
        <v>2094</v>
      </c>
      <c r="D533" t="str">
        <f>IF(tblTargets[[#This Row],[TargetType]]="state",UPPER(_xlfn.TEXTBEFORE(_xlfn.TEXTAFTER(tblTargets[[#This Row],[TargetID]],"state."),"_")),"")</f>
        <v/>
      </c>
      <c r="E533" t="b">
        <v>1</v>
      </c>
      <c r="F533" t="s">
        <v>3599</v>
      </c>
      <c r="G533" t="str">
        <f>IF(RIGHT(tblTargets[[#This Row],[TargetID]],5)="maxed","",IF(tblTargets[[#This Row],[TargetType]]="BUILDING",_xlfn.XLOOKUP(tblTargets[[#This Row],[TargetID]],Targets!$Q$2:$Q$101,Targets!$O$2:$O$101),"Not a building"))</f>
        <v>Not a building</v>
      </c>
      <c r="H533" t="str">
        <f>IF(RIGHT(tblTargets[[#This Row],[TargetID]],5)="maxed","",IF(tblTargets[[#This Row],[TargetType]]="BUILDING",_xlfn.XLOOKUP(tblTargets[[#This Row],[TargetID]],Targets!$M$2:$M$101,Targets!$K$2:$K$101),"Not a building"))</f>
        <v>Not a building</v>
      </c>
    </row>
    <row r="534" spans="1:8">
      <c r="A534" t="s">
        <v>2116</v>
      </c>
      <c r="B534" t="s">
        <v>2117</v>
      </c>
      <c r="C534" t="s">
        <v>2094</v>
      </c>
      <c r="D534" t="str">
        <f>IF(tblTargets[[#This Row],[TargetType]]="state",UPPER(_xlfn.TEXTBEFORE(_xlfn.TEXTAFTER(tblTargets[[#This Row],[TargetID]],"state."),"_")),"")</f>
        <v/>
      </c>
      <c r="E534" t="b">
        <v>1</v>
      </c>
      <c r="F534" t="s">
        <v>3599</v>
      </c>
      <c r="G534" t="str">
        <f>IF(RIGHT(tblTargets[[#This Row],[TargetID]],5)="maxed","",IF(tblTargets[[#This Row],[TargetType]]="BUILDING",_xlfn.XLOOKUP(tblTargets[[#This Row],[TargetID]],Targets!$Q$2:$Q$101,Targets!$O$2:$O$101),"Not a building"))</f>
        <v>Not a building</v>
      </c>
      <c r="H534" t="str">
        <f>IF(RIGHT(tblTargets[[#This Row],[TargetID]],5)="maxed","",IF(tblTargets[[#This Row],[TargetType]]="BUILDING",_xlfn.XLOOKUP(tblTargets[[#This Row],[TargetID]],Targets!$M$2:$M$101,Targets!$K$2:$K$101),"Not a building"))</f>
        <v>Not a building</v>
      </c>
    </row>
    <row r="535" spans="1:8">
      <c r="A535" t="s">
        <v>2102</v>
      </c>
      <c r="B535" t="s">
        <v>2103</v>
      </c>
      <c r="C535" t="s">
        <v>2094</v>
      </c>
      <c r="D535" t="str">
        <f>IF(tblTargets[[#This Row],[TargetType]]="state",UPPER(_xlfn.TEXTBEFORE(_xlfn.TEXTAFTER(tblTargets[[#This Row],[TargetID]],"state."),"_")),"")</f>
        <v/>
      </c>
      <c r="E535" t="b">
        <v>1</v>
      </c>
      <c r="F535" t="s">
        <v>3599</v>
      </c>
      <c r="G535" t="str">
        <f>IF(RIGHT(tblTargets[[#This Row],[TargetID]],5)="maxed","",IF(tblTargets[[#This Row],[TargetType]]="BUILDING",_xlfn.XLOOKUP(tblTargets[[#This Row],[TargetID]],Targets!$Q$2:$Q$101,Targets!$O$2:$O$101),"Not a building"))</f>
        <v>Not a building</v>
      </c>
      <c r="H535" t="str">
        <f>IF(RIGHT(tblTargets[[#This Row],[TargetID]],5)="maxed","",IF(tblTargets[[#This Row],[TargetType]]="BUILDING",_xlfn.XLOOKUP(tblTargets[[#This Row],[TargetID]],Targets!$M$2:$M$101,Targets!$K$2:$K$101),"Not a building"))</f>
        <v>Not a building</v>
      </c>
    </row>
    <row r="536" spans="1:8">
      <c r="A536" t="s">
        <v>2098</v>
      </c>
      <c r="B536" t="s">
        <v>2099</v>
      </c>
      <c r="C536" t="s">
        <v>2094</v>
      </c>
      <c r="D536" t="str">
        <f>IF(tblTargets[[#This Row],[TargetType]]="state",UPPER(_xlfn.TEXTBEFORE(_xlfn.TEXTAFTER(tblTargets[[#This Row],[TargetID]],"state."),"_")),"")</f>
        <v/>
      </c>
      <c r="E536" t="b">
        <v>1</v>
      </c>
      <c r="F536" t="s">
        <v>3599</v>
      </c>
      <c r="G536" t="str">
        <f>IF(RIGHT(tblTargets[[#This Row],[TargetID]],5)="maxed","",IF(tblTargets[[#This Row],[TargetType]]="BUILDING",_xlfn.XLOOKUP(tblTargets[[#This Row],[TargetID]],Targets!$Q$2:$Q$101,Targets!$O$2:$O$101),"Not a building"))</f>
        <v>Not a building</v>
      </c>
      <c r="H536" t="str">
        <f>IF(RIGHT(tblTargets[[#This Row],[TargetID]],5)="maxed","",IF(tblTargets[[#This Row],[TargetType]]="BUILDING",_xlfn.XLOOKUP(tblTargets[[#This Row],[TargetID]],Targets!$M$2:$M$101,Targets!$K$2:$K$101),"Not a building"))</f>
        <v>Not a building</v>
      </c>
    </row>
    <row r="537" spans="1:8">
      <c r="A537" t="s">
        <v>2130</v>
      </c>
      <c r="B537" t="s">
        <v>2131</v>
      </c>
      <c r="C537" t="s">
        <v>2094</v>
      </c>
      <c r="D537" t="str">
        <f>IF(tblTargets[[#This Row],[TargetType]]="state",UPPER(_xlfn.TEXTBEFORE(_xlfn.TEXTAFTER(tblTargets[[#This Row],[TargetID]],"state."),"_")),"")</f>
        <v/>
      </c>
      <c r="E537" t="b">
        <v>1</v>
      </c>
      <c r="F537" t="s">
        <v>3599</v>
      </c>
      <c r="G537" t="str">
        <f>IF(RIGHT(tblTargets[[#This Row],[TargetID]],5)="maxed","",IF(tblTargets[[#This Row],[TargetType]]="BUILDING",_xlfn.XLOOKUP(tblTargets[[#This Row],[TargetID]],Targets!$Q$2:$Q$101,Targets!$O$2:$O$101),"Not a building"))</f>
        <v>Not a building</v>
      </c>
      <c r="H537" t="str">
        <f>IF(RIGHT(tblTargets[[#This Row],[TargetID]],5)="maxed","",IF(tblTargets[[#This Row],[TargetType]]="BUILDING",_xlfn.XLOOKUP(tblTargets[[#This Row],[TargetID]],Targets!$M$2:$M$101,Targets!$K$2:$K$101),"Not a building"))</f>
        <v>Not a building</v>
      </c>
    </row>
    <row r="538" spans="1:8">
      <c r="A538" t="s">
        <v>2132</v>
      </c>
      <c r="B538" t="s">
        <v>2133</v>
      </c>
      <c r="C538" t="s">
        <v>2094</v>
      </c>
      <c r="D538" t="str">
        <f>IF(tblTargets[[#This Row],[TargetType]]="state",UPPER(_xlfn.TEXTBEFORE(_xlfn.TEXTAFTER(tblTargets[[#This Row],[TargetID]],"state."),"_")),"")</f>
        <v/>
      </c>
      <c r="E538" t="b">
        <v>1</v>
      </c>
      <c r="F538" t="s">
        <v>3599</v>
      </c>
      <c r="G538" t="str">
        <f>IF(RIGHT(tblTargets[[#This Row],[TargetID]],5)="maxed","",IF(tblTargets[[#This Row],[TargetType]]="BUILDING",_xlfn.XLOOKUP(tblTargets[[#This Row],[TargetID]],Targets!$Q$2:$Q$101,Targets!$O$2:$O$101),"Not a building"))</f>
        <v>Not a building</v>
      </c>
      <c r="H538" t="str">
        <f>IF(RIGHT(tblTargets[[#This Row],[TargetID]],5)="maxed","",IF(tblTargets[[#This Row],[TargetType]]="BUILDING",_xlfn.XLOOKUP(tblTargets[[#This Row],[TargetID]],Targets!$M$2:$M$101,Targets!$K$2:$K$101),"Not a building"))</f>
        <v>Not a building</v>
      </c>
    </row>
    <row r="539" spans="1:8">
      <c r="A539" t="s">
        <v>2136</v>
      </c>
      <c r="B539" t="s">
        <v>2137</v>
      </c>
      <c r="C539" t="s">
        <v>2094</v>
      </c>
      <c r="D539" t="str">
        <f>IF(tblTargets[[#This Row],[TargetType]]="state",UPPER(_xlfn.TEXTBEFORE(_xlfn.TEXTAFTER(tblTargets[[#This Row],[TargetID]],"state."),"_")),"")</f>
        <v/>
      </c>
      <c r="E539" t="b">
        <v>1</v>
      </c>
      <c r="F539" t="s">
        <v>3599</v>
      </c>
      <c r="G539" t="str">
        <f>IF(RIGHT(tblTargets[[#This Row],[TargetID]],5)="maxed","",IF(tblTargets[[#This Row],[TargetType]]="BUILDING",_xlfn.XLOOKUP(tblTargets[[#This Row],[TargetID]],Targets!$Q$2:$Q$101,Targets!$O$2:$O$101),"Not a building"))</f>
        <v>Not a building</v>
      </c>
      <c r="H539" t="str">
        <f>IF(RIGHT(tblTargets[[#This Row],[TargetID]],5)="maxed","",IF(tblTargets[[#This Row],[TargetType]]="BUILDING",_xlfn.XLOOKUP(tblTargets[[#This Row],[TargetID]],Targets!$M$2:$M$101,Targets!$K$2:$K$101),"Not a building"))</f>
        <v>Not a building</v>
      </c>
    </row>
    <row r="540" spans="1:8">
      <c r="A540" t="s">
        <v>2134</v>
      </c>
      <c r="B540" t="s">
        <v>2135</v>
      </c>
      <c r="C540" t="s">
        <v>2094</v>
      </c>
      <c r="D540" t="str">
        <f>IF(tblTargets[[#This Row],[TargetType]]="state",UPPER(_xlfn.TEXTBEFORE(_xlfn.TEXTAFTER(tblTargets[[#This Row],[TargetID]],"state."),"_")),"")</f>
        <v/>
      </c>
      <c r="E540" t="b">
        <v>1</v>
      </c>
      <c r="F540" t="s">
        <v>3599</v>
      </c>
      <c r="G540" t="str">
        <f>IF(RIGHT(tblTargets[[#This Row],[TargetID]],5)="maxed","",IF(tblTargets[[#This Row],[TargetType]]="BUILDING",_xlfn.XLOOKUP(tblTargets[[#This Row],[TargetID]],Targets!$Q$2:$Q$101,Targets!$O$2:$O$101),"Not a building"))</f>
        <v>Not a building</v>
      </c>
      <c r="H540" t="str">
        <f>IF(RIGHT(tblTargets[[#This Row],[TargetID]],5)="maxed","",IF(tblTargets[[#This Row],[TargetType]]="BUILDING",_xlfn.XLOOKUP(tblTargets[[#This Row],[TargetID]],Targets!$M$2:$M$101,Targets!$K$2:$K$101),"Not a building"))</f>
        <v>Not a building</v>
      </c>
    </row>
    <row r="541" spans="1:8">
      <c r="A541" t="s">
        <v>2138</v>
      </c>
      <c r="B541" t="s">
        <v>2139</v>
      </c>
      <c r="C541" t="s">
        <v>2094</v>
      </c>
      <c r="D541" t="str">
        <f>IF(tblTargets[[#This Row],[TargetType]]="state",UPPER(_xlfn.TEXTBEFORE(_xlfn.TEXTAFTER(tblTargets[[#This Row],[TargetID]],"state."),"_")),"")</f>
        <v/>
      </c>
      <c r="E541" t="b">
        <v>1</v>
      </c>
      <c r="F541" t="s">
        <v>3599</v>
      </c>
      <c r="G541" t="str">
        <f>IF(RIGHT(tblTargets[[#This Row],[TargetID]],5)="maxed","",IF(tblTargets[[#This Row],[TargetType]]="BUILDING",_xlfn.XLOOKUP(tblTargets[[#This Row],[TargetID]],Targets!$Q$2:$Q$101,Targets!$O$2:$O$101),"Not a building"))</f>
        <v>Not a building</v>
      </c>
      <c r="H541" t="str">
        <f>IF(RIGHT(tblTargets[[#This Row],[TargetID]],5)="maxed","",IF(tblTargets[[#This Row],[TargetType]]="BUILDING",_xlfn.XLOOKUP(tblTargets[[#This Row],[TargetID]],Targets!$M$2:$M$101,Targets!$K$2:$K$101),"Not a building"))</f>
        <v>Not a building</v>
      </c>
    </row>
    <row r="542" spans="1:8">
      <c r="A542" t="s">
        <v>2140</v>
      </c>
      <c r="B542" t="s">
        <v>2141</v>
      </c>
      <c r="C542" t="s">
        <v>2094</v>
      </c>
      <c r="D542" t="str">
        <f>IF(tblTargets[[#This Row],[TargetType]]="state",UPPER(_xlfn.TEXTBEFORE(_xlfn.TEXTAFTER(tblTargets[[#This Row],[TargetID]],"state."),"_")),"")</f>
        <v/>
      </c>
      <c r="E542" t="b">
        <v>1</v>
      </c>
      <c r="F542" t="s">
        <v>3599</v>
      </c>
      <c r="G542" t="str">
        <f>IF(RIGHT(tblTargets[[#This Row],[TargetID]],5)="maxed","",IF(tblTargets[[#This Row],[TargetType]]="BUILDING",_xlfn.XLOOKUP(tblTargets[[#This Row],[TargetID]],Targets!$Q$2:$Q$101,Targets!$O$2:$O$101),"Not a building"))</f>
        <v>Not a building</v>
      </c>
      <c r="H542" t="str">
        <f>IF(RIGHT(tblTargets[[#This Row],[TargetID]],5)="maxed","",IF(tblTargets[[#This Row],[TargetType]]="BUILDING",_xlfn.XLOOKUP(tblTargets[[#This Row],[TargetID]],Targets!$M$2:$M$101,Targets!$K$2:$K$101),"Not a building"))</f>
        <v>Not a building</v>
      </c>
    </row>
    <row r="543" spans="1:8">
      <c r="A543" t="s">
        <v>2144</v>
      </c>
      <c r="B543" t="s">
        <v>2145</v>
      </c>
      <c r="C543" t="s">
        <v>2094</v>
      </c>
      <c r="D543" t="str">
        <f>IF(tblTargets[[#This Row],[TargetType]]="state",UPPER(_xlfn.TEXTBEFORE(_xlfn.TEXTAFTER(tblTargets[[#This Row],[TargetID]],"state."),"_")),"")</f>
        <v/>
      </c>
      <c r="E543" t="b">
        <v>1</v>
      </c>
      <c r="F543" t="s">
        <v>3599</v>
      </c>
      <c r="G543" t="str">
        <f>IF(RIGHT(tblTargets[[#This Row],[TargetID]],5)="maxed","",IF(tblTargets[[#This Row],[TargetType]]="BUILDING",_xlfn.XLOOKUP(tblTargets[[#This Row],[TargetID]],Targets!$Q$2:$Q$101,Targets!$O$2:$O$101),"Not a building"))</f>
        <v>Not a building</v>
      </c>
      <c r="H543" t="str">
        <f>IF(RIGHT(tblTargets[[#This Row],[TargetID]],5)="maxed","",IF(tblTargets[[#This Row],[TargetType]]="BUILDING",_xlfn.XLOOKUP(tblTargets[[#This Row],[TargetID]],Targets!$M$2:$M$101,Targets!$K$2:$K$101),"Not a building"))</f>
        <v>Not a building</v>
      </c>
    </row>
    <row r="544" spans="1:8">
      <c r="A544" t="s">
        <v>2142</v>
      </c>
      <c r="B544" t="s">
        <v>2143</v>
      </c>
      <c r="C544" t="s">
        <v>2094</v>
      </c>
      <c r="D544" t="str">
        <f>IF(tblTargets[[#This Row],[TargetType]]="state",UPPER(_xlfn.TEXTBEFORE(_xlfn.TEXTAFTER(tblTargets[[#This Row],[TargetID]],"state."),"_")),"")</f>
        <v/>
      </c>
      <c r="E544" t="b">
        <v>1</v>
      </c>
      <c r="F544" t="s">
        <v>3599</v>
      </c>
      <c r="G544" t="str">
        <f>IF(RIGHT(tblTargets[[#This Row],[TargetID]],5)="maxed","",IF(tblTargets[[#This Row],[TargetType]]="BUILDING",_xlfn.XLOOKUP(tblTargets[[#This Row],[TargetID]],Targets!$Q$2:$Q$101,Targets!$O$2:$O$101),"Not a building"))</f>
        <v>Not a building</v>
      </c>
      <c r="H544" t="str">
        <f>IF(RIGHT(tblTargets[[#This Row],[TargetID]],5)="maxed","",IF(tblTargets[[#This Row],[TargetType]]="BUILDING",_xlfn.XLOOKUP(tblTargets[[#This Row],[TargetID]],Targets!$M$2:$M$101,Targets!$K$2:$K$101),"Not a building"))</f>
        <v>Not a building</v>
      </c>
    </row>
    <row r="545" spans="1:8">
      <c r="A545" t="s">
        <v>2146</v>
      </c>
      <c r="B545" t="s">
        <v>2147</v>
      </c>
      <c r="C545" t="s">
        <v>2094</v>
      </c>
      <c r="D545" t="str">
        <f>IF(tblTargets[[#This Row],[TargetType]]="state",UPPER(_xlfn.TEXTBEFORE(_xlfn.TEXTAFTER(tblTargets[[#This Row],[TargetID]],"state."),"_")),"")</f>
        <v/>
      </c>
      <c r="E545" t="b">
        <v>1</v>
      </c>
      <c r="F545" t="s">
        <v>3599</v>
      </c>
      <c r="G545" t="str">
        <f>IF(RIGHT(tblTargets[[#This Row],[TargetID]],5)="maxed","",IF(tblTargets[[#This Row],[TargetType]]="BUILDING",_xlfn.XLOOKUP(tblTargets[[#This Row],[TargetID]],Targets!$Q$2:$Q$101,Targets!$O$2:$O$101),"Not a building"))</f>
        <v>Not a building</v>
      </c>
      <c r="H545" t="str">
        <f>IF(RIGHT(tblTargets[[#This Row],[TargetID]],5)="maxed","",IF(tblTargets[[#This Row],[TargetType]]="BUILDING",_xlfn.XLOOKUP(tblTargets[[#This Row],[TargetID]],Targets!$M$2:$M$101,Targets!$K$2:$K$101),"Not a building"))</f>
        <v>Not a building</v>
      </c>
    </row>
    <row r="546" spans="1:8">
      <c r="A546" t="s">
        <v>2158</v>
      </c>
      <c r="B546" t="s">
        <v>2159</v>
      </c>
      <c r="C546" t="s">
        <v>2094</v>
      </c>
      <c r="D546" t="str">
        <f>IF(tblTargets[[#This Row],[TargetType]]="state",UPPER(_xlfn.TEXTBEFORE(_xlfn.TEXTAFTER(tblTargets[[#This Row],[TargetID]],"state."),"_")),"")</f>
        <v/>
      </c>
      <c r="E546" t="b">
        <v>1</v>
      </c>
      <c r="F546" t="s">
        <v>3599</v>
      </c>
      <c r="G546" t="str">
        <f>IF(RIGHT(tblTargets[[#This Row],[TargetID]],5)="maxed","",IF(tblTargets[[#This Row],[TargetType]]="BUILDING",_xlfn.XLOOKUP(tblTargets[[#This Row],[TargetID]],Targets!$Q$2:$Q$101,Targets!$O$2:$O$101),"Not a building"))</f>
        <v>Not a building</v>
      </c>
      <c r="H546" t="str">
        <f>IF(RIGHT(tblTargets[[#This Row],[TargetID]],5)="maxed","",IF(tblTargets[[#This Row],[TargetType]]="BUILDING",_xlfn.XLOOKUP(tblTargets[[#This Row],[TargetID]],Targets!$M$2:$M$101,Targets!$K$2:$K$101),"Not a building"))</f>
        <v>Not a building</v>
      </c>
    </row>
    <row r="547" spans="1:8">
      <c r="A547" t="s">
        <v>2156</v>
      </c>
      <c r="B547" t="s">
        <v>2157</v>
      </c>
      <c r="C547" t="s">
        <v>2094</v>
      </c>
      <c r="D547" t="str">
        <f>IF(tblTargets[[#This Row],[TargetType]]="state",UPPER(_xlfn.TEXTBEFORE(_xlfn.TEXTAFTER(tblTargets[[#This Row],[TargetID]],"state."),"_")),"")</f>
        <v/>
      </c>
      <c r="E547" t="b">
        <v>1</v>
      </c>
      <c r="F547" t="s">
        <v>3599</v>
      </c>
      <c r="G547" t="str">
        <f>IF(RIGHT(tblTargets[[#This Row],[TargetID]],5)="maxed","",IF(tblTargets[[#This Row],[TargetType]]="BUILDING",_xlfn.XLOOKUP(tblTargets[[#This Row],[TargetID]],Targets!$Q$2:$Q$101,Targets!$O$2:$O$101),"Not a building"))</f>
        <v>Not a building</v>
      </c>
      <c r="H547" t="str">
        <f>IF(RIGHT(tblTargets[[#This Row],[TargetID]],5)="maxed","",IF(tblTargets[[#This Row],[TargetType]]="BUILDING",_xlfn.XLOOKUP(tblTargets[[#This Row],[TargetID]],Targets!$M$2:$M$101,Targets!$K$2:$K$101),"Not a building"))</f>
        <v>Not a building</v>
      </c>
    </row>
    <row r="548" spans="1:8">
      <c r="A548" t="s">
        <v>2150</v>
      </c>
      <c r="B548" t="s">
        <v>2151</v>
      </c>
      <c r="C548" t="s">
        <v>2094</v>
      </c>
      <c r="D548" t="str">
        <f>IF(tblTargets[[#This Row],[TargetType]]="state",UPPER(_xlfn.TEXTBEFORE(_xlfn.TEXTAFTER(tblTargets[[#This Row],[TargetID]],"state."),"_")),"")</f>
        <v/>
      </c>
      <c r="E548" t="b">
        <v>1</v>
      </c>
      <c r="F548" t="s">
        <v>3599</v>
      </c>
      <c r="G548" t="str">
        <f>IF(RIGHT(tblTargets[[#This Row],[TargetID]],5)="maxed","",IF(tblTargets[[#This Row],[TargetType]]="BUILDING",_xlfn.XLOOKUP(tblTargets[[#This Row],[TargetID]],Targets!$Q$2:$Q$101,Targets!$O$2:$O$101),"Not a building"))</f>
        <v>Not a building</v>
      </c>
      <c r="H548" t="str">
        <f>IF(RIGHT(tblTargets[[#This Row],[TargetID]],5)="maxed","",IF(tblTargets[[#This Row],[TargetType]]="BUILDING",_xlfn.XLOOKUP(tblTargets[[#This Row],[TargetID]],Targets!$M$2:$M$101,Targets!$K$2:$K$101),"Not a building"))</f>
        <v>Not a building</v>
      </c>
    </row>
    <row r="549" spans="1:8">
      <c r="A549" t="s">
        <v>2154</v>
      </c>
      <c r="B549" t="s">
        <v>2155</v>
      </c>
      <c r="C549" t="s">
        <v>2094</v>
      </c>
      <c r="D549" t="str">
        <f>IF(tblTargets[[#This Row],[TargetType]]="state",UPPER(_xlfn.TEXTBEFORE(_xlfn.TEXTAFTER(tblTargets[[#This Row],[TargetID]],"state."),"_")),"")</f>
        <v/>
      </c>
      <c r="E549" t="b">
        <v>1</v>
      </c>
      <c r="F549" t="s">
        <v>3599</v>
      </c>
      <c r="G549" t="str">
        <f>IF(RIGHT(tblTargets[[#This Row],[TargetID]],5)="maxed","",IF(tblTargets[[#This Row],[TargetType]]="BUILDING",_xlfn.XLOOKUP(tblTargets[[#This Row],[TargetID]],Targets!$Q$2:$Q$101,Targets!$O$2:$O$101),"Not a building"))</f>
        <v>Not a building</v>
      </c>
      <c r="H549" t="str">
        <f>IF(RIGHT(tblTargets[[#This Row],[TargetID]],5)="maxed","",IF(tblTargets[[#This Row],[TargetType]]="BUILDING",_xlfn.XLOOKUP(tblTargets[[#This Row],[TargetID]],Targets!$M$2:$M$101,Targets!$K$2:$K$101),"Not a building"))</f>
        <v>Not a building</v>
      </c>
    </row>
    <row r="550" spans="1:8">
      <c r="A550" t="s">
        <v>2152</v>
      </c>
      <c r="B550" t="s">
        <v>2153</v>
      </c>
      <c r="C550" t="s">
        <v>2094</v>
      </c>
      <c r="D550" t="str">
        <f>IF(tblTargets[[#This Row],[TargetType]]="state",UPPER(_xlfn.TEXTBEFORE(_xlfn.TEXTAFTER(tblTargets[[#This Row],[TargetID]],"state."),"_")),"")</f>
        <v/>
      </c>
      <c r="E550" t="b">
        <v>1</v>
      </c>
      <c r="F550" t="s">
        <v>3599</v>
      </c>
      <c r="G550" t="str">
        <f>IF(RIGHT(tblTargets[[#This Row],[TargetID]],5)="maxed","",IF(tblTargets[[#This Row],[TargetType]]="BUILDING",_xlfn.XLOOKUP(tblTargets[[#This Row],[TargetID]],Targets!$Q$2:$Q$101,Targets!$O$2:$O$101),"Not a building"))</f>
        <v>Not a building</v>
      </c>
      <c r="H550" t="str">
        <f>IF(RIGHT(tblTargets[[#This Row],[TargetID]],5)="maxed","",IF(tblTargets[[#This Row],[TargetType]]="BUILDING",_xlfn.XLOOKUP(tblTargets[[#This Row],[TargetID]],Targets!$M$2:$M$101,Targets!$K$2:$K$101),"Not a building"))</f>
        <v>Not a building</v>
      </c>
    </row>
    <row r="551" spans="1:8">
      <c r="A551" t="s">
        <v>2160</v>
      </c>
      <c r="B551" t="s">
        <v>2161</v>
      </c>
      <c r="C551" t="s">
        <v>2094</v>
      </c>
      <c r="D551" t="str">
        <f>IF(tblTargets[[#This Row],[TargetType]]="state",UPPER(_xlfn.TEXTBEFORE(_xlfn.TEXTAFTER(tblTargets[[#This Row],[TargetID]],"state."),"_")),"")</f>
        <v/>
      </c>
      <c r="E551" t="b">
        <v>1</v>
      </c>
      <c r="F551" t="s">
        <v>3599</v>
      </c>
      <c r="G551" t="str">
        <f>IF(RIGHT(tblTargets[[#This Row],[TargetID]],5)="maxed","",IF(tblTargets[[#This Row],[TargetType]]="BUILDING",_xlfn.XLOOKUP(tblTargets[[#This Row],[TargetID]],Targets!$Q$2:$Q$101,Targets!$O$2:$O$101),"Not a building"))</f>
        <v>Not a building</v>
      </c>
      <c r="H551" t="str">
        <f>IF(RIGHT(tblTargets[[#This Row],[TargetID]],5)="maxed","",IF(tblTargets[[#This Row],[TargetType]]="BUILDING",_xlfn.XLOOKUP(tblTargets[[#This Row],[TargetID]],Targets!$M$2:$M$101,Targets!$K$2:$K$101),"Not a building"))</f>
        <v>Not a building</v>
      </c>
    </row>
    <row r="552" spans="1:8">
      <c r="A552" t="s">
        <v>2148</v>
      </c>
      <c r="B552" t="s">
        <v>2149</v>
      </c>
      <c r="C552" t="s">
        <v>2094</v>
      </c>
      <c r="D552" t="str">
        <f>IF(tblTargets[[#This Row],[TargetType]]="state",UPPER(_xlfn.TEXTBEFORE(_xlfn.TEXTAFTER(tblTargets[[#This Row],[TargetID]],"state."),"_")),"")</f>
        <v/>
      </c>
      <c r="E552" t="b">
        <v>1</v>
      </c>
      <c r="F552" t="s">
        <v>3599</v>
      </c>
      <c r="G552" t="str">
        <f>IF(RIGHT(tblTargets[[#This Row],[TargetID]],5)="maxed","",IF(tblTargets[[#This Row],[TargetType]]="BUILDING",_xlfn.XLOOKUP(tblTargets[[#This Row],[TargetID]],Targets!$Q$2:$Q$101,Targets!$O$2:$O$101),"Not a building"))</f>
        <v>Not a building</v>
      </c>
      <c r="H552" t="str">
        <f>IF(RIGHT(tblTargets[[#This Row],[TargetID]],5)="maxed","",IF(tblTargets[[#This Row],[TargetType]]="BUILDING",_xlfn.XLOOKUP(tblTargets[[#This Row],[TargetID]],Targets!$M$2:$M$101,Targets!$K$2:$K$101),"Not a building"))</f>
        <v>Not a building</v>
      </c>
    </row>
    <row r="553" spans="1:8">
      <c r="A553" t="s">
        <v>2168</v>
      </c>
      <c r="B553" t="s">
        <v>2169</v>
      </c>
      <c r="C553" t="s">
        <v>2094</v>
      </c>
      <c r="D553" t="str">
        <f>IF(tblTargets[[#This Row],[TargetType]]="state",UPPER(_xlfn.TEXTBEFORE(_xlfn.TEXTAFTER(tblTargets[[#This Row],[TargetID]],"state."),"_")),"")</f>
        <v/>
      </c>
      <c r="E553" t="b">
        <v>1</v>
      </c>
      <c r="F553" t="s">
        <v>3599</v>
      </c>
      <c r="G553" t="str">
        <f>IF(RIGHT(tblTargets[[#This Row],[TargetID]],5)="maxed","",IF(tblTargets[[#This Row],[TargetType]]="BUILDING",_xlfn.XLOOKUP(tblTargets[[#This Row],[TargetID]],Targets!$Q$2:$Q$101,Targets!$O$2:$O$101),"Not a building"))</f>
        <v>Not a building</v>
      </c>
      <c r="H553" t="str">
        <f>IF(RIGHT(tblTargets[[#This Row],[TargetID]],5)="maxed","",IF(tblTargets[[#This Row],[TargetType]]="BUILDING",_xlfn.XLOOKUP(tblTargets[[#This Row],[TargetID]],Targets!$M$2:$M$101,Targets!$K$2:$K$101),"Not a building"))</f>
        <v>Not a building</v>
      </c>
    </row>
    <row r="554" spans="1:8">
      <c r="A554" t="s">
        <v>2166</v>
      </c>
      <c r="B554" t="s">
        <v>2167</v>
      </c>
      <c r="C554" t="s">
        <v>2094</v>
      </c>
      <c r="D554" t="str">
        <f>IF(tblTargets[[#This Row],[TargetType]]="state",UPPER(_xlfn.TEXTBEFORE(_xlfn.TEXTAFTER(tblTargets[[#This Row],[TargetID]],"state."),"_")),"")</f>
        <v/>
      </c>
      <c r="E554" t="b">
        <v>1</v>
      </c>
      <c r="F554" t="s">
        <v>3599</v>
      </c>
      <c r="G554" t="str">
        <f>IF(RIGHT(tblTargets[[#This Row],[TargetID]],5)="maxed","",IF(tblTargets[[#This Row],[TargetType]]="BUILDING",_xlfn.XLOOKUP(tblTargets[[#This Row],[TargetID]],Targets!$Q$2:$Q$101,Targets!$O$2:$O$101),"Not a building"))</f>
        <v>Not a building</v>
      </c>
      <c r="H554" t="str">
        <f>IF(RIGHT(tblTargets[[#This Row],[TargetID]],5)="maxed","",IF(tblTargets[[#This Row],[TargetType]]="BUILDING",_xlfn.XLOOKUP(tblTargets[[#This Row],[TargetID]],Targets!$M$2:$M$101,Targets!$K$2:$K$101),"Not a building"))</f>
        <v>Not a building</v>
      </c>
    </row>
    <row r="555" spans="1:8">
      <c r="A555" t="s">
        <v>2162</v>
      </c>
      <c r="B555" t="s">
        <v>2163</v>
      </c>
      <c r="C555" t="s">
        <v>2094</v>
      </c>
      <c r="D555" t="str">
        <f>IF(tblTargets[[#This Row],[TargetType]]="state",UPPER(_xlfn.TEXTBEFORE(_xlfn.TEXTAFTER(tblTargets[[#This Row],[TargetID]],"state."),"_")),"")</f>
        <v/>
      </c>
      <c r="E555" t="b">
        <v>1</v>
      </c>
      <c r="F555" t="s">
        <v>3599</v>
      </c>
      <c r="G555" t="str">
        <f>IF(RIGHT(tblTargets[[#This Row],[TargetID]],5)="maxed","",IF(tblTargets[[#This Row],[TargetType]]="BUILDING",_xlfn.XLOOKUP(tblTargets[[#This Row],[TargetID]],Targets!$Q$2:$Q$101,Targets!$O$2:$O$101),"Not a building"))</f>
        <v>Not a building</v>
      </c>
      <c r="H555" t="str">
        <f>IF(RIGHT(tblTargets[[#This Row],[TargetID]],5)="maxed","",IF(tblTargets[[#This Row],[TargetType]]="BUILDING",_xlfn.XLOOKUP(tblTargets[[#This Row],[TargetID]],Targets!$M$2:$M$101,Targets!$K$2:$K$101),"Not a building"))</f>
        <v>Not a building</v>
      </c>
    </row>
    <row r="556" spans="1:8">
      <c r="A556" t="s">
        <v>2164</v>
      </c>
      <c r="B556" t="s">
        <v>2165</v>
      </c>
      <c r="C556" t="s">
        <v>2094</v>
      </c>
      <c r="D556" t="str">
        <f>IF(tblTargets[[#This Row],[TargetType]]="state",UPPER(_xlfn.TEXTBEFORE(_xlfn.TEXTAFTER(tblTargets[[#This Row],[TargetID]],"state."),"_")),"")</f>
        <v/>
      </c>
      <c r="E556" t="b">
        <v>1</v>
      </c>
      <c r="F556" t="s">
        <v>3599</v>
      </c>
      <c r="G556" t="str">
        <f>IF(RIGHT(tblTargets[[#This Row],[TargetID]],5)="maxed","",IF(tblTargets[[#This Row],[TargetType]]="BUILDING",_xlfn.XLOOKUP(tblTargets[[#This Row],[TargetID]],Targets!$Q$2:$Q$101,Targets!$O$2:$O$101),"Not a building"))</f>
        <v>Not a building</v>
      </c>
      <c r="H556" t="str">
        <f>IF(RIGHT(tblTargets[[#This Row],[TargetID]],5)="maxed","",IF(tblTargets[[#This Row],[TargetType]]="BUILDING",_xlfn.XLOOKUP(tblTargets[[#This Row],[TargetID]],Targets!$M$2:$M$101,Targets!$K$2:$K$101),"Not a building"))</f>
        <v>Not a building</v>
      </c>
    </row>
    <row r="557" spans="1:8">
      <c r="A557" t="s">
        <v>2170</v>
      </c>
      <c r="B557" t="s">
        <v>2171</v>
      </c>
      <c r="C557" t="s">
        <v>2094</v>
      </c>
      <c r="D557" t="str">
        <f>IF(tblTargets[[#This Row],[TargetType]]="state",UPPER(_xlfn.TEXTBEFORE(_xlfn.TEXTAFTER(tblTargets[[#This Row],[TargetID]],"state."),"_")),"")</f>
        <v/>
      </c>
      <c r="E557" t="b">
        <v>1</v>
      </c>
      <c r="F557" t="s">
        <v>3599</v>
      </c>
      <c r="G557" t="str">
        <f>IF(RIGHT(tblTargets[[#This Row],[TargetID]],5)="maxed","",IF(tblTargets[[#This Row],[TargetType]]="BUILDING",_xlfn.XLOOKUP(tblTargets[[#This Row],[TargetID]],Targets!$Q$2:$Q$101,Targets!$O$2:$O$101),"Not a building"))</f>
        <v>Not a building</v>
      </c>
      <c r="H557" t="str">
        <f>IF(RIGHT(tblTargets[[#This Row],[TargetID]],5)="maxed","",IF(tblTargets[[#This Row],[TargetType]]="BUILDING",_xlfn.XLOOKUP(tblTargets[[#This Row],[TargetID]],Targets!$M$2:$M$101,Targets!$K$2:$K$101),"Not a building"))</f>
        <v>Not a building</v>
      </c>
    </row>
    <row r="558" spans="1:8">
      <c r="A558" t="s">
        <v>2174</v>
      </c>
      <c r="B558" t="s">
        <v>2175</v>
      </c>
      <c r="C558" t="s">
        <v>2094</v>
      </c>
      <c r="D558" t="str">
        <f>IF(tblTargets[[#This Row],[TargetType]]="state",UPPER(_xlfn.TEXTBEFORE(_xlfn.TEXTAFTER(tblTargets[[#This Row],[TargetID]],"state."),"_")),"")</f>
        <v/>
      </c>
      <c r="E558" t="b">
        <v>1</v>
      </c>
      <c r="F558" t="s">
        <v>3599</v>
      </c>
      <c r="G558" t="str">
        <f>IF(RIGHT(tblTargets[[#This Row],[TargetID]],5)="maxed","",IF(tblTargets[[#This Row],[TargetType]]="BUILDING",_xlfn.XLOOKUP(tblTargets[[#This Row],[TargetID]],Targets!$Q$2:$Q$101,Targets!$O$2:$O$101),"Not a building"))</f>
        <v>Not a building</v>
      </c>
      <c r="H558" t="str">
        <f>IF(RIGHT(tblTargets[[#This Row],[TargetID]],5)="maxed","",IF(tblTargets[[#This Row],[TargetType]]="BUILDING",_xlfn.XLOOKUP(tblTargets[[#This Row],[TargetID]],Targets!$M$2:$M$101,Targets!$K$2:$K$101),"Not a building"))</f>
        <v>Not a building</v>
      </c>
    </row>
    <row r="559" spans="1:8">
      <c r="A559" t="s">
        <v>2176</v>
      </c>
      <c r="B559" t="s">
        <v>2177</v>
      </c>
      <c r="C559" t="s">
        <v>2094</v>
      </c>
      <c r="D559" t="str">
        <f>IF(tblTargets[[#This Row],[TargetType]]="state",UPPER(_xlfn.TEXTBEFORE(_xlfn.TEXTAFTER(tblTargets[[#This Row],[TargetID]],"state."),"_")),"")</f>
        <v/>
      </c>
      <c r="E559" t="b">
        <v>1</v>
      </c>
      <c r="F559" t="s">
        <v>3599</v>
      </c>
      <c r="G559" t="str">
        <f>IF(RIGHT(tblTargets[[#This Row],[TargetID]],5)="maxed","",IF(tblTargets[[#This Row],[TargetType]]="BUILDING",_xlfn.XLOOKUP(tblTargets[[#This Row],[TargetID]],Targets!$Q$2:$Q$101,Targets!$O$2:$O$101),"Not a building"))</f>
        <v>Not a building</v>
      </c>
      <c r="H559" t="str">
        <f>IF(RIGHT(tblTargets[[#This Row],[TargetID]],5)="maxed","",IF(tblTargets[[#This Row],[TargetType]]="BUILDING",_xlfn.XLOOKUP(tblTargets[[#This Row],[TargetID]],Targets!$M$2:$M$101,Targets!$K$2:$K$101),"Not a building"))</f>
        <v>Not a building</v>
      </c>
    </row>
    <row r="560" spans="1:8">
      <c r="A560" t="s">
        <v>2172</v>
      </c>
      <c r="B560" t="s">
        <v>2173</v>
      </c>
      <c r="C560" t="s">
        <v>2094</v>
      </c>
      <c r="D560" t="str">
        <f>IF(tblTargets[[#This Row],[TargetType]]="state",UPPER(_xlfn.TEXTBEFORE(_xlfn.TEXTAFTER(tblTargets[[#This Row],[TargetID]],"state."),"_")),"")</f>
        <v/>
      </c>
      <c r="E560" t="b">
        <v>1</v>
      </c>
      <c r="F560" t="s">
        <v>3599</v>
      </c>
      <c r="G560" t="str">
        <f>IF(RIGHT(tblTargets[[#This Row],[TargetID]],5)="maxed","",IF(tblTargets[[#This Row],[TargetType]]="BUILDING",_xlfn.XLOOKUP(tblTargets[[#This Row],[TargetID]],Targets!$Q$2:$Q$101,Targets!$O$2:$O$101),"Not a building"))</f>
        <v>Not a building</v>
      </c>
      <c r="H560" t="str">
        <f>IF(RIGHT(tblTargets[[#This Row],[TargetID]],5)="maxed","",IF(tblTargets[[#This Row],[TargetType]]="BUILDING",_xlfn.XLOOKUP(tblTargets[[#This Row],[TargetID]],Targets!$M$2:$M$101,Targets!$K$2:$K$101),"Not a building"))</f>
        <v>Not a building</v>
      </c>
    </row>
    <row r="561" spans="1:8">
      <c r="A561" s="24" t="s">
        <v>2180</v>
      </c>
      <c r="B561" t="s">
        <v>2181</v>
      </c>
      <c r="C561" t="s">
        <v>2094</v>
      </c>
      <c r="D561" t="str">
        <f>IF(tblTargets[[#This Row],[TargetType]]="state",UPPER(_xlfn.TEXTBEFORE(_xlfn.TEXTAFTER(tblTargets[[#This Row],[TargetID]],"state."),"_")),"")</f>
        <v/>
      </c>
      <c r="E561" t="b">
        <v>1</v>
      </c>
      <c r="F561" t="s">
        <v>3599</v>
      </c>
      <c r="G561" t="str">
        <f>IF(RIGHT(tblTargets[[#This Row],[TargetID]],5)="maxed","",IF(tblTargets[[#This Row],[TargetType]]="BUILDING",_xlfn.XLOOKUP(tblTargets[[#This Row],[TargetID]],Targets!$Q$2:$Q$101,Targets!$O$2:$O$101),"Not a building"))</f>
        <v>Not a building</v>
      </c>
      <c r="H561" t="str">
        <f>IF(RIGHT(tblTargets[[#This Row],[TargetID]],5)="maxed","",IF(tblTargets[[#This Row],[TargetType]]="BUILDING",_xlfn.XLOOKUP(tblTargets[[#This Row],[TargetID]],Targets!$M$2:$M$101,Targets!$K$2:$K$101),"Not a building"))</f>
        <v>Not a building</v>
      </c>
    </row>
    <row r="562" spans="1:8">
      <c r="A562" s="24" t="s">
        <v>2182</v>
      </c>
      <c r="B562" t="s">
        <v>2183</v>
      </c>
      <c r="C562" t="s">
        <v>2094</v>
      </c>
      <c r="D562" t="str">
        <f>IF(tblTargets[[#This Row],[TargetType]]="state",UPPER(_xlfn.TEXTBEFORE(_xlfn.TEXTAFTER(tblTargets[[#This Row],[TargetID]],"state."),"_")),"")</f>
        <v/>
      </c>
      <c r="E562" t="b">
        <v>1</v>
      </c>
      <c r="F562" t="s">
        <v>3599</v>
      </c>
      <c r="G562" t="str">
        <f>IF(RIGHT(tblTargets[[#This Row],[TargetID]],5)="maxed","",IF(tblTargets[[#This Row],[TargetType]]="BUILDING",_xlfn.XLOOKUP(tblTargets[[#This Row],[TargetID]],Targets!$Q$2:$Q$101,Targets!$O$2:$O$101),"Not a building"))</f>
        <v>Not a building</v>
      </c>
      <c r="H562" t="str">
        <f>IF(RIGHT(tblTargets[[#This Row],[TargetID]],5)="maxed","",IF(tblTargets[[#This Row],[TargetType]]="BUILDING",_xlfn.XLOOKUP(tblTargets[[#This Row],[TargetID]],Targets!$M$2:$M$101,Targets!$K$2:$K$101),"Not a building"))</f>
        <v>Not a building</v>
      </c>
    </row>
    <row r="563" spans="1:8">
      <c r="A563" s="24" t="s">
        <v>2186</v>
      </c>
      <c r="B563" t="s">
        <v>2187</v>
      </c>
      <c r="C563" t="s">
        <v>2094</v>
      </c>
      <c r="D563" t="str">
        <f>IF(tblTargets[[#This Row],[TargetType]]="state",UPPER(_xlfn.TEXTBEFORE(_xlfn.TEXTAFTER(tblTargets[[#This Row],[TargetID]],"state."),"_")),"")</f>
        <v/>
      </c>
      <c r="E563" t="b">
        <v>1</v>
      </c>
      <c r="F563" t="s">
        <v>3599</v>
      </c>
      <c r="G563" t="str">
        <f>IF(RIGHT(tblTargets[[#This Row],[TargetID]],5)="maxed","",IF(tblTargets[[#This Row],[TargetType]]="BUILDING",_xlfn.XLOOKUP(tblTargets[[#This Row],[TargetID]],Targets!$Q$2:$Q$101,Targets!$O$2:$O$101),"Not a building"))</f>
        <v>Not a building</v>
      </c>
      <c r="H563" t="str">
        <f>IF(RIGHT(tblTargets[[#This Row],[TargetID]],5)="maxed","",IF(tblTargets[[#This Row],[TargetType]]="BUILDING",_xlfn.XLOOKUP(tblTargets[[#This Row],[TargetID]],Targets!$M$2:$M$101,Targets!$K$2:$K$101),"Not a building"))</f>
        <v>Not a building</v>
      </c>
    </row>
    <row r="564" spans="1:8">
      <c r="A564" t="s">
        <v>2184</v>
      </c>
      <c r="B564" t="s">
        <v>2185</v>
      </c>
      <c r="C564" t="s">
        <v>2094</v>
      </c>
      <c r="D564" t="str">
        <f>IF(tblTargets[[#This Row],[TargetType]]="state",UPPER(_xlfn.TEXTBEFORE(_xlfn.TEXTAFTER(tblTargets[[#This Row],[TargetID]],"state."),"_")),"")</f>
        <v/>
      </c>
      <c r="E564" t="b">
        <v>1</v>
      </c>
      <c r="F564" t="s">
        <v>3599</v>
      </c>
      <c r="G564" t="str">
        <f>IF(RIGHT(tblTargets[[#This Row],[TargetID]],5)="maxed","",IF(tblTargets[[#This Row],[TargetType]]="BUILDING",_xlfn.XLOOKUP(tblTargets[[#This Row],[TargetID]],Targets!$Q$2:$Q$101,Targets!$O$2:$O$101),"Not a building"))</f>
        <v>Not a building</v>
      </c>
      <c r="H564" t="str">
        <f>IF(RIGHT(tblTargets[[#This Row],[TargetID]],5)="maxed","",IF(tblTargets[[#This Row],[TargetType]]="BUILDING",_xlfn.XLOOKUP(tblTargets[[#This Row],[TargetID]],Targets!$M$2:$M$101,Targets!$K$2:$K$101),"Not a building"))</f>
        <v>Not a building</v>
      </c>
    </row>
    <row r="565" spans="1:8">
      <c r="A565" t="s">
        <v>2178</v>
      </c>
      <c r="B565" t="s">
        <v>2179</v>
      </c>
      <c r="C565" t="s">
        <v>2094</v>
      </c>
      <c r="D565" t="str">
        <f>IF(tblTargets[[#This Row],[TargetType]]="state",UPPER(_xlfn.TEXTBEFORE(_xlfn.TEXTAFTER(tblTargets[[#This Row],[TargetID]],"state."),"_")),"")</f>
        <v/>
      </c>
      <c r="E565" t="b">
        <v>1</v>
      </c>
      <c r="F565" t="s">
        <v>3599</v>
      </c>
      <c r="G565" t="str">
        <f>IF(RIGHT(tblTargets[[#This Row],[TargetID]],5)="maxed","",IF(tblTargets[[#This Row],[TargetType]]="BUILDING",_xlfn.XLOOKUP(tblTargets[[#This Row],[TargetID]],Targets!$Q$2:$Q$101,Targets!$O$2:$O$101),"Not a building"))</f>
        <v>Not a building</v>
      </c>
      <c r="H565" t="str">
        <f>IF(RIGHT(tblTargets[[#This Row],[TargetID]],5)="maxed","",IF(tblTargets[[#This Row],[TargetType]]="BUILDING",_xlfn.XLOOKUP(tblTargets[[#This Row],[TargetID]],Targets!$M$2:$M$101,Targets!$K$2:$K$101),"Not a building"))</f>
        <v>Not a building</v>
      </c>
    </row>
    <row r="566" spans="1:8">
      <c r="A566" t="s">
        <v>2188</v>
      </c>
      <c r="B566" t="s">
        <v>2189</v>
      </c>
      <c r="C566" t="s">
        <v>2094</v>
      </c>
      <c r="D566" t="str">
        <f>IF(tblTargets[[#This Row],[TargetType]]="state",UPPER(_xlfn.TEXTBEFORE(_xlfn.TEXTAFTER(tblTargets[[#This Row],[TargetID]],"state."),"_")),"")</f>
        <v/>
      </c>
      <c r="E566" t="b">
        <v>1</v>
      </c>
      <c r="F566" t="s">
        <v>3599</v>
      </c>
      <c r="G566" t="str">
        <f>IF(RIGHT(tblTargets[[#This Row],[TargetID]],5)="maxed","",IF(tblTargets[[#This Row],[TargetType]]="BUILDING",_xlfn.XLOOKUP(tblTargets[[#This Row],[TargetID]],Targets!$Q$2:$Q$101,Targets!$O$2:$O$101),"Not a building"))</f>
        <v>Not a building</v>
      </c>
      <c r="H566" t="str">
        <f>IF(RIGHT(tblTargets[[#This Row],[TargetID]],5)="maxed","",IF(tblTargets[[#This Row],[TargetType]]="BUILDING",_xlfn.XLOOKUP(tblTargets[[#This Row],[TargetID]],Targets!$M$2:$M$101,Targets!$K$2:$K$101),"Not a building"))</f>
        <v>Not a building</v>
      </c>
    </row>
    <row r="567" spans="1:8">
      <c r="A567" t="s">
        <v>2190</v>
      </c>
      <c r="B567" t="s">
        <v>2191</v>
      </c>
      <c r="C567" t="s">
        <v>2094</v>
      </c>
      <c r="D567" t="str">
        <f>IF(tblTargets[[#This Row],[TargetType]]="state",UPPER(_xlfn.TEXTBEFORE(_xlfn.TEXTAFTER(tblTargets[[#This Row],[TargetID]],"state."),"_")),"")</f>
        <v/>
      </c>
      <c r="E567" t="b">
        <v>1</v>
      </c>
      <c r="F567" t="s">
        <v>3599</v>
      </c>
      <c r="G567" t="str">
        <f>IF(RIGHT(tblTargets[[#This Row],[TargetID]],5)="maxed","",IF(tblTargets[[#This Row],[TargetType]]="BUILDING",_xlfn.XLOOKUP(tblTargets[[#This Row],[TargetID]],Targets!$Q$2:$Q$101,Targets!$O$2:$O$101),"Not a building"))</f>
        <v>Not a building</v>
      </c>
      <c r="H567" t="str">
        <f>IF(RIGHT(tblTargets[[#This Row],[TargetID]],5)="maxed","",IF(tblTargets[[#This Row],[TargetType]]="BUILDING",_xlfn.XLOOKUP(tblTargets[[#This Row],[TargetID]],Targets!$M$2:$M$101,Targets!$K$2:$K$101),"Not a building"))</f>
        <v>Not a building</v>
      </c>
    </row>
    <row r="568" spans="1:8">
      <c r="A568" t="s">
        <v>2194</v>
      </c>
      <c r="B568" t="s">
        <v>2195</v>
      </c>
      <c r="C568" t="s">
        <v>2094</v>
      </c>
      <c r="D568" t="str">
        <f>IF(tblTargets[[#This Row],[TargetType]]="state",UPPER(_xlfn.TEXTBEFORE(_xlfn.TEXTAFTER(tblTargets[[#This Row],[TargetID]],"state."),"_")),"")</f>
        <v/>
      </c>
      <c r="E568" t="b">
        <v>1</v>
      </c>
      <c r="F568" t="s">
        <v>3599</v>
      </c>
      <c r="G568" t="str">
        <f>IF(RIGHT(tblTargets[[#This Row],[TargetID]],5)="maxed","",IF(tblTargets[[#This Row],[TargetType]]="BUILDING",_xlfn.XLOOKUP(tblTargets[[#This Row],[TargetID]],Targets!$Q$2:$Q$101,Targets!$O$2:$O$101),"Not a building"))</f>
        <v>Not a building</v>
      </c>
      <c r="H568" t="str">
        <f>IF(RIGHT(tblTargets[[#This Row],[TargetID]],5)="maxed","",IF(tblTargets[[#This Row],[TargetType]]="BUILDING",_xlfn.XLOOKUP(tblTargets[[#This Row],[TargetID]],Targets!$M$2:$M$101,Targets!$K$2:$K$101),"Not a building"))</f>
        <v>Not a building</v>
      </c>
    </row>
    <row r="569" spans="1:8">
      <c r="A569" t="s">
        <v>2192</v>
      </c>
      <c r="B569" t="s">
        <v>2193</v>
      </c>
      <c r="C569" t="s">
        <v>2094</v>
      </c>
      <c r="D569" t="str">
        <f>IF(tblTargets[[#This Row],[TargetType]]="state",UPPER(_xlfn.TEXTBEFORE(_xlfn.TEXTAFTER(tblTargets[[#This Row],[TargetID]],"state."),"_")),"")</f>
        <v/>
      </c>
      <c r="E569" t="b">
        <v>1</v>
      </c>
      <c r="F569" t="s">
        <v>3599</v>
      </c>
      <c r="G569" t="str">
        <f>IF(RIGHT(tblTargets[[#This Row],[TargetID]],5)="maxed","",IF(tblTargets[[#This Row],[TargetType]]="BUILDING",_xlfn.XLOOKUP(tblTargets[[#This Row],[TargetID]],Targets!$Q$2:$Q$101,Targets!$O$2:$O$101),"Not a building"))</f>
        <v>Not a building</v>
      </c>
      <c r="H569" t="str">
        <f>IF(RIGHT(tblTargets[[#This Row],[TargetID]],5)="maxed","",IF(tblTargets[[#This Row],[TargetType]]="BUILDING",_xlfn.XLOOKUP(tblTargets[[#This Row],[TargetID]],Targets!$M$2:$M$101,Targets!$K$2:$K$101),"Not a building"))</f>
        <v>Not a building</v>
      </c>
    </row>
    <row r="570" spans="1:8">
      <c r="A570" t="s">
        <v>2210</v>
      </c>
      <c r="B570" t="s">
        <v>2211</v>
      </c>
      <c r="C570" t="s">
        <v>2094</v>
      </c>
      <c r="D570" t="str">
        <f>IF(tblTargets[[#This Row],[TargetType]]="state",UPPER(_xlfn.TEXTBEFORE(_xlfn.TEXTAFTER(tblTargets[[#This Row],[TargetID]],"state."),"_")),"")</f>
        <v/>
      </c>
      <c r="E570" t="b">
        <v>1</v>
      </c>
      <c r="F570" t="s">
        <v>3599</v>
      </c>
      <c r="G570" t="str">
        <f>IF(RIGHT(tblTargets[[#This Row],[TargetID]],5)="maxed","",IF(tblTargets[[#This Row],[TargetType]]="BUILDING",_xlfn.XLOOKUP(tblTargets[[#This Row],[TargetID]],Targets!$Q$2:$Q$101,Targets!$O$2:$O$101),"Not a building"))</f>
        <v>Not a building</v>
      </c>
      <c r="H570" t="str">
        <f>IF(RIGHT(tblTargets[[#This Row],[TargetID]],5)="maxed","",IF(tblTargets[[#This Row],[TargetType]]="BUILDING",_xlfn.XLOOKUP(tblTargets[[#This Row],[TargetID]],Targets!$M$2:$M$101,Targets!$K$2:$K$101),"Not a building"))</f>
        <v>Not a building</v>
      </c>
    </row>
    <row r="571" spans="1:8">
      <c r="A571" t="s">
        <v>2198</v>
      </c>
      <c r="B571" t="s">
        <v>2199</v>
      </c>
      <c r="C571" t="s">
        <v>2094</v>
      </c>
      <c r="D571" t="str">
        <f>IF(tblTargets[[#This Row],[TargetType]]="state",UPPER(_xlfn.TEXTBEFORE(_xlfn.TEXTAFTER(tblTargets[[#This Row],[TargetID]],"state."),"_")),"")</f>
        <v/>
      </c>
      <c r="E571" t="b">
        <v>1</v>
      </c>
      <c r="F571" t="s">
        <v>3599</v>
      </c>
      <c r="G571" t="str">
        <f>IF(RIGHT(tblTargets[[#This Row],[TargetID]],5)="maxed","",IF(tblTargets[[#This Row],[TargetType]]="BUILDING",_xlfn.XLOOKUP(tblTargets[[#This Row],[TargetID]],Targets!$Q$2:$Q$101,Targets!$O$2:$O$101),"Not a building"))</f>
        <v>Not a building</v>
      </c>
      <c r="H571" t="str">
        <f>IF(RIGHT(tblTargets[[#This Row],[TargetID]],5)="maxed","",IF(tblTargets[[#This Row],[TargetType]]="BUILDING",_xlfn.XLOOKUP(tblTargets[[#This Row],[TargetID]],Targets!$M$2:$M$101,Targets!$K$2:$K$101),"Not a building"))</f>
        <v>Not a building</v>
      </c>
    </row>
    <row r="572" spans="1:8">
      <c r="A572" t="s">
        <v>2200</v>
      </c>
      <c r="B572" t="s">
        <v>2201</v>
      </c>
      <c r="C572" t="s">
        <v>2094</v>
      </c>
      <c r="D572" t="str">
        <f>IF(tblTargets[[#This Row],[TargetType]]="state",UPPER(_xlfn.TEXTBEFORE(_xlfn.TEXTAFTER(tblTargets[[#This Row],[TargetID]],"state."),"_")),"")</f>
        <v/>
      </c>
      <c r="E572" t="b">
        <v>1</v>
      </c>
      <c r="F572" t="s">
        <v>3599</v>
      </c>
      <c r="G572" t="str">
        <f>IF(RIGHT(tblTargets[[#This Row],[TargetID]],5)="maxed","",IF(tblTargets[[#This Row],[TargetType]]="BUILDING",_xlfn.XLOOKUP(tblTargets[[#This Row],[TargetID]],Targets!$Q$2:$Q$101,Targets!$O$2:$O$101),"Not a building"))</f>
        <v>Not a building</v>
      </c>
      <c r="H572" t="str">
        <f>IF(RIGHT(tblTargets[[#This Row],[TargetID]],5)="maxed","",IF(tblTargets[[#This Row],[TargetType]]="BUILDING",_xlfn.XLOOKUP(tblTargets[[#This Row],[TargetID]],Targets!$M$2:$M$101,Targets!$K$2:$K$101),"Not a building"))</f>
        <v>Not a building</v>
      </c>
    </row>
    <row r="573" spans="1:8">
      <c r="A573" t="s">
        <v>2202</v>
      </c>
      <c r="B573" t="s">
        <v>2203</v>
      </c>
      <c r="C573" t="s">
        <v>2094</v>
      </c>
      <c r="D573" t="str">
        <f>IF(tblTargets[[#This Row],[TargetType]]="state",UPPER(_xlfn.TEXTBEFORE(_xlfn.TEXTAFTER(tblTargets[[#This Row],[TargetID]],"state."),"_")),"")</f>
        <v/>
      </c>
      <c r="E573" t="b">
        <v>1</v>
      </c>
      <c r="F573" t="s">
        <v>3599</v>
      </c>
      <c r="G573" t="str">
        <f>IF(RIGHT(tblTargets[[#This Row],[TargetID]],5)="maxed","",IF(tblTargets[[#This Row],[TargetType]]="BUILDING",_xlfn.XLOOKUP(tblTargets[[#This Row],[TargetID]],Targets!$Q$2:$Q$101,Targets!$O$2:$O$101),"Not a building"))</f>
        <v>Not a building</v>
      </c>
      <c r="H573" t="str">
        <f>IF(RIGHT(tblTargets[[#This Row],[TargetID]],5)="maxed","",IF(tblTargets[[#This Row],[TargetType]]="BUILDING",_xlfn.XLOOKUP(tblTargets[[#This Row],[TargetID]],Targets!$M$2:$M$101,Targets!$K$2:$K$101),"Not a building"))</f>
        <v>Not a building</v>
      </c>
    </row>
    <row r="574" spans="1:8">
      <c r="A574" t="s">
        <v>2204</v>
      </c>
      <c r="B574" t="s">
        <v>2205</v>
      </c>
      <c r="C574" t="s">
        <v>2094</v>
      </c>
      <c r="D574" t="str">
        <f>IF(tblTargets[[#This Row],[TargetType]]="state",UPPER(_xlfn.TEXTBEFORE(_xlfn.TEXTAFTER(tblTargets[[#This Row],[TargetID]],"state."),"_")),"")</f>
        <v/>
      </c>
      <c r="E574" t="b">
        <v>1</v>
      </c>
      <c r="F574" t="s">
        <v>3599</v>
      </c>
      <c r="G574" t="str">
        <f>IF(RIGHT(tblTargets[[#This Row],[TargetID]],5)="maxed","",IF(tblTargets[[#This Row],[TargetType]]="BUILDING",_xlfn.XLOOKUP(tblTargets[[#This Row],[TargetID]],Targets!$Q$2:$Q$101,Targets!$O$2:$O$101),"Not a building"))</f>
        <v>Not a building</v>
      </c>
      <c r="H574" t="str">
        <f>IF(RIGHT(tblTargets[[#This Row],[TargetID]],5)="maxed","",IF(tblTargets[[#This Row],[TargetType]]="BUILDING",_xlfn.XLOOKUP(tblTargets[[#This Row],[TargetID]],Targets!$M$2:$M$101,Targets!$K$2:$K$101),"Not a building"))</f>
        <v>Not a building</v>
      </c>
    </row>
    <row r="575" spans="1:8">
      <c r="A575" t="s">
        <v>2206</v>
      </c>
      <c r="B575" t="s">
        <v>2207</v>
      </c>
      <c r="C575" t="s">
        <v>2094</v>
      </c>
      <c r="D575" t="str">
        <f>IF(tblTargets[[#This Row],[TargetType]]="state",UPPER(_xlfn.TEXTBEFORE(_xlfn.TEXTAFTER(tblTargets[[#This Row],[TargetID]],"state."),"_")),"")</f>
        <v/>
      </c>
      <c r="E575" t="b">
        <v>1</v>
      </c>
      <c r="F575" t="s">
        <v>3599</v>
      </c>
      <c r="G575" t="str">
        <f>IF(RIGHT(tblTargets[[#This Row],[TargetID]],5)="maxed","",IF(tblTargets[[#This Row],[TargetType]]="BUILDING",_xlfn.XLOOKUP(tblTargets[[#This Row],[TargetID]],Targets!$Q$2:$Q$101,Targets!$O$2:$O$101),"Not a building"))</f>
        <v>Not a building</v>
      </c>
      <c r="H575" t="str">
        <f>IF(RIGHT(tblTargets[[#This Row],[TargetID]],5)="maxed","",IF(tblTargets[[#This Row],[TargetType]]="BUILDING",_xlfn.XLOOKUP(tblTargets[[#This Row],[TargetID]],Targets!$M$2:$M$101,Targets!$K$2:$K$101),"Not a building"))</f>
        <v>Not a building</v>
      </c>
    </row>
    <row r="576" spans="1:8">
      <c r="A576" t="s">
        <v>2196</v>
      </c>
      <c r="B576" t="s">
        <v>2197</v>
      </c>
      <c r="C576" t="s">
        <v>2094</v>
      </c>
      <c r="D576" t="str">
        <f>IF(tblTargets[[#This Row],[TargetType]]="state",UPPER(_xlfn.TEXTBEFORE(_xlfn.TEXTAFTER(tblTargets[[#This Row],[TargetID]],"state."),"_")),"")</f>
        <v/>
      </c>
      <c r="E576" t="b">
        <v>1</v>
      </c>
      <c r="F576" t="s">
        <v>3599</v>
      </c>
      <c r="G576" t="str">
        <f>IF(RIGHT(tblTargets[[#This Row],[TargetID]],5)="maxed","",IF(tblTargets[[#This Row],[TargetType]]="BUILDING",_xlfn.XLOOKUP(tblTargets[[#This Row],[TargetID]],Targets!$Q$2:$Q$101,Targets!$O$2:$O$101),"Not a building"))</f>
        <v>Not a building</v>
      </c>
      <c r="H576" t="str">
        <f>IF(RIGHT(tblTargets[[#This Row],[TargetID]],5)="maxed","",IF(tblTargets[[#This Row],[TargetType]]="BUILDING",_xlfn.XLOOKUP(tblTargets[[#This Row],[TargetID]],Targets!$M$2:$M$101,Targets!$K$2:$K$101),"Not a building"))</f>
        <v>Not a building</v>
      </c>
    </row>
    <row r="577" spans="1:8">
      <c r="A577" t="s">
        <v>2212</v>
      </c>
      <c r="B577" t="s">
        <v>2213</v>
      </c>
      <c r="C577" t="s">
        <v>2094</v>
      </c>
      <c r="D577" t="str">
        <f>IF(tblTargets[[#This Row],[TargetType]]="state",UPPER(_xlfn.TEXTBEFORE(_xlfn.TEXTAFTER(tblTargets[[#This Row],[TargetID]],"state."),"_")),"")</f>
        <v/>
      </c>
      <c r="E577" t="b">
        <v>1</v>
      </c>
      <c r="F577" t="s">
        <v>3599</v>
      </c>
      <c r="G577" t="str">
        <f>IF(RIGHT(tblTargets[[#This Row],[TargetID]],5)="maxed","",IF(tblTargets[[#This Row],[TargetType]]="BUILDING",_xlfn.XLOOKUP(tblTargets[[#This Row],[TargetID]],Targets!$Q$2:$Q$101,Targets!$O$2:$O$101),"Not a building"))</f>
        <v>Not a building</v>
      </c>
      <c r="H577" t="str">
        <f>IF(RIGHT(tblTargets[[#This Row],[TargetID]],5)="maxed","",IF(tblTargets[[#This Row],[TargetType]]="BUILDING",_xlfn.XLOOKUP(tblTargets[[#This Row],[TargetID]],Targets!$M$2:$M$101,Targets!$K$2:$K$101),"Not a building"))</f>
        <v>Not a building</v>
      </c>
    </row>
    <row r="578" spans="1:8">
      <c r="A578" t="s">
        <v>2208</v>
      </c>
      <c r="B578" t="s">
        <v>2209</v>
      </c>
      <c r="C578" t="s">
        <v>2094</v>
      </c>
      <c r="D578" t="str">
        <f>IF(tblTargets[[#This Row],[TargetType]]="state",UPPER(_xlfn.TEXTBEFORE(_xlfn.TEXTAFTER(tblTargets[[#This Row],[TargetID]],"state."),"_")),"")</f>
        <v/>
      </c>
      <c r="E578" t="b">
        <v>1</v>
      </c>
      <c r="F578" t="s">
        <v>3599</v>
      </c>
      <c r="G578" t="str">
        <f>IF(RIGHT(tblTargets[[#This Row],[TargetID]],5)="maxed","",IF(tblTargets[[#This Row],[TargetType]]="BUILDING",_xlfn.XLOOKUP(tblTargets[[#This Row],[TargetID]],Targets!$Q$2:$Q$101,Targets!$O$2:$O$101),"Not a building"))</f>
        <v>Not a building</v>
      </c>
      <c r="H578" t="str">
        <f>IF(RIGHT(tblTargets[[#This Row],[TargetID]],5)="maxed","",IF(tblTargets[[#This Row],[TargetType]]="BUILDING",_xlfn.XLOOKUP(tblTargets[[#This Row],[TargetID]],Targets!$M$2:$M$101,Targets!$K$2:$K$101),"Not a building"))</f>
        <v>Not a building</v>
      </c>
    </row>
    <row r="579" spans="1:8">
      <c r="A579" t="s">
        <v>2214</v>
      </c>
      <c r="B579" t="s">
        <v>2215</v>
      </c>
      <c r="C579" t="s">
        <v>2094</v>
      </c>
      <c r="D579" t="str">
        <f>IF(tblTargets[[#This Row],[TargetType]]="state",UPPER(_xlfn.TEXTBEFORE(_xlfn.TEXTAFTER(tblTargets[[#This Row],[TargetID]],"state."),"_")),"")</f>
        <v/>
      </c>
      <c r="E579" t="b">
        <v>1</v>
      </c>
      <c r="F579" t="s">
        <v>3599</v>
      </c>
      <c r="G579" t="str">
        <f>IF(RIGHT(tblTargets[[#This Row],[TargetID]],5)="maxed","",IF(tblTargets[[#This Row],[TargetType]]="BUILDING",_xlfn.XLOOKUP(tblTargets[[#This Row],[TargetID]],Targets!$Q$2:$Q$101,Targets!$O$2:$O$101),"Not a building"))</f>
        <v>Not a building</v>
      </c>
      <c r="H579" t="str">
        <f>IF(RIGHT(tblTargets[[#This Row],[TargetID]],5)="maxed","",IF(tblTargets[[#This Row],[TargetType]]="BUILDING",_xlfn.XLOOKUP(tblTargets[[#This Row],[TargetID]],Targets!$M$2:$M$101,Targets!$K$2:$K$101),"Not a building"))</f>
        <v>Not a building</v>
      </c>
    </row>
    <row r="580" spans="1:8">
      <c r="A580" t="s">
        <v>2220</v>
      </c>
      <c r="B580" t="s">
        <v>2221</v>
      </c>
      <c r="C580" t="s">
        <v>2094</v>
      </c>
      <c r="D580" t="str">
        <f>IF(tblTargets[[#This Row],[TargetType]]="state",UPPER(_xlfn.TEXTBEFORE(_xlfn.TEXTAFTER(tblTargets[[#This Row],[TargetID]],"state."),"_")),"")</f>
        <v/>
      </c>
      <c r="E580" t="b">
        <v>1</v>
      </c>
      <c r="F580" t="s">
        <v>3599</v>
      </c>
      <c r="G580" t="str">
        <f>IF(RIGHT(tblTargets[[#This Row],[TargetID]],5)="maxed","",IF(tblTargets[[#This Row],[TargetType]]="BUILDING",_xlfn.XLOOKUP(tblTargets[[#This Row],[TargetID]],Targets!$Q$2:$Q$101,Targets!$O$2:$O$101),"Not a building"))</f>
        <v>Not a building</v>
      </c>
      <c r="H580" t="str">
        <f>IF(RIGHT(tblTargets[[#This Row],[TargetID]],5)="maxed","",IF(tblTargets[[#This Row],[TargetType]]="BUILDING",_xlfn.XLOOKUP(tblTargets[[#This Row],[TargetID]],Targets!$M$2:$M$101,Targets!$K$2:$K$101),"Not a building"))</f>
        <v>Not a building</v>
      </c>
    </row>
    <row r="581" spans="1:8">
      <c r="A581" t="s">
        <v>2222</v>
      </c>
      <c r="B581" t="s">
        <v>2223</v>
      </c>
      <c r="C581" t="s">
        <v>2094</v>
      </c>
      <c r="D581" t="str">
        <f>IF(tblTargets[[#This Row],[TargetType]]="state",UPPER(_xlfn.TEXTBEFORE(_xlfn.TEXTAFTER(tblTargets[[#This Row],[TargetID]],"state."),"_")),"")</f>
        <v/>
      </c>
      <c r="E581" t="b">
        <v>1</v>
      </c>
      <c r="F581" t="s">
        <v>3599</v>
      </c>
      <c r="G581" t="str">
        <f>IF(RIGHT(tblTargets[[#This Row],[TargetID]],5)="maxed","",IF(tblTargets[[#This Row],[TargetType]]="BUILDING",_xlfn.XLOOKUP(tblTargets[[#This Row],[TargetID]],Targets!$Q$2:$Q$101,Targets!$O$2:$O$101),"Not a building"))</f>
        <v>Not a building</v>
      </c>
      <c r="H581" t="str">
        <f>IF(RIGHT(tblTargets[[#This Row],[TargetID]],5)="maxed","",IF(tblTargets[[#This Row],[TargetType]]="BUILDING",_xlfn.XLOOKUP(tblTargets[[#This Row],[TargetID]],Targets!$M$2:$M$101,Targets!$K$2:$K$101),"Not a building"))</f>
        <v>Not a building</v>
      </c>
    </row>
    <row r="582" spans="1:8">
      <c r="A582" t="s">
        <v>2224</v>
      </c>
      <c r="B582" t="s">
        <v>2225</v>
      </c>
      <c r="C582" t="s">
        <v>2094</v>
      </c>
      <c r="D582" t="str">
        <f>IF(tblTargets[[#This Row],[TargetType]]="state",UPPER(_xlfn.TEXTBEFORE(_xlfn.TEXTAFTER(tblTargets[[#This Row],[TargetID]],"state."),"_")),"")</f>
        <v/>
      </c>
      <c r="E582" t="b">
        <v>1</v>
      </c>
      <c r="F582" t="s">
        <v>3599</v>
      </c>
      <c r="G582" t="str">
        <f>IF(RIGHT(tblTargets[[#This Row],[TargetID]],5)="maxed","",IF(tblTargets[[#This Row],[TargetType]]="BUILDING",_xlfn.XLOOKUP(tblTargets[[#This Row],[TargetID]],Targets!$Q$2:$Q$101,Targets!$O$2:$O$101),"Not a building"))</f>
        <v>Not a building</v>
      </c>
      <c r="H582" t="str">
        <f>IF(RIGHT(tblTargets[[#This Row],[TargetID]],5)="maxed","",IF(tblTargets[[#This Row],[TargetType]]="BUILDING",_xlfn.XLOOKUP(tblTargets[[#This Row],[TargetID]],Targets!$M$2:$M$101,Targets!$K$2:$K$101),"Not a building"))</f>
        <v>Not a building</v>
      </c>
    </row>
    <row r="583" spans="1:8">
      <c r="A583" t="s">
        <v>2226</v>
      </c>
      <c r="B583" t="s">
        <v>2227</v>
      </c>
      <c r="C583" t="s">
        <v>2094</v>
      </c>
      <c r="D583" t="str">
        <f>IF(tblTargets[[#This Row],[TargetType]]="state",UPPER(_xlfn.TEXTBEFORE(_xlfn.TEXTAFTER(tblTargets[[#This Row],[TargetID]],"state."),"_")),"")</f>
        <v/>
      </c>
      <c r="E583" t="b">
        <v>1</v>
      </c>
      <c r="F583" t="s">
        <v>3599</v>
      </c>
      <c r="G583" t="str">
        <f>IF(RIGHT(tblTargets[[#This Row],[TargetID]],5)="maxed","",IF(tblTargets[[#This Row],[TargetType]]="BUILDING",_xlfn.XLOOKUP(tblTargets[[#This Row],[TargetID]],Targets!$Q$2:$Q$101,Targets!$O$2:$O$101),"Not a building"))</f>
        <v>Not a building</v>
      </c>
      <c r="H583" t="str">
        <f>IF(RIGHT(tblTargets[[#This Row],[TargetID]],5)="maxed","",IF(tblTargets[[#This Row],[TargetType]]="BUILDING",_xlfn.XLOOKUP(tblTargets[[#This Row],[TargetID]],Targets!$M$2:$M$101,Targets!$K$2:$K$101),"Not a building"))</f>
        <v>Not a building</v>
      </c>
    </row>
    <row r="584" spans="1:8">
      <c r="A584" t="s">
        <v>2228</v>
      </c>
      <c r="B584" t="s">
        <v>2229</v>
      </c>
      <c r="C584" t="s">
        <v>2094</v>
      </c>
      <c r="D584" t="str">
        <f>IF(tblTargets[[#This Row],[TargetType]]="state",UPPER(_xlfn.TEXTBEFORE(_xlfn.TEXTAFTER(tblTargets[[#This Row],[TargetID]],"state."),"_")),"")</f>
        <v/>
      </c>
      <c r="E584" t="b">
        <v>1</v>
      </c>
      <c r="F584" t="s">
        <v>3599</v>
      </c>
      <c r="G584" t="str">
        <f>IF(RIGHT(tblTargets[[#This Row],[TargetID]],5)="maxed","",IF(tblTargets[[#This Row],[TargetType]]="BUILDING",_xlfn.XLOOKUP(tblTargets[[#This Row],[TargetID]],Targets!$Q$2:$Q$101,Targets!$O$2:$O$101),"Not a building"))</f>
        <v>Not a building</v>
      </c>
      <c r="H584" t="str">
        <f>IF(RIGHT(tblTargets[[#This Row],[TargetID]],5)="maxed","",IF(tblTargets[[#This Row],[TargetType]]="BUILDING",_xlfn.XLOOKUP(tblTargets[[#This Row],[TargetID]],Targets!$M$2:$M$101,Targets!$K$2:$K$101),"Not a building"))</f>
        <v>Not a building</v>
      </c>
    </row>
    <row r="585" spans="1:8">
      <c r="A585" t="s">
        <v>2216</v>
      </c>
      <c r="B585" t="s">
        <v>2217</v>
      </c>
      <c r="C585" t="s">
        <v>2094</v>
      </c>
      <c r="D585" t="str">
        <f>IF(tblTargets[[#This Row],[TargetType]]="state",UPPER(_xlfn.TEXTBEFORE(_xlfn.TEXTAFTER(tblTargets[[#This Row],[TargetID]],"state."),"_")),"")</f>
        <v/>
      </c>
      <c r="E585" t="b">
        <v>1</v>
      </c>
      <c r="F585" t="s">
        <v>3599</v>
      </c>
      <c r="G585" t="str">
        <f>IF(RIGHT(tblTargets[[#This Row],[TargetID]],5)="maxed","",IF(tblTargets[[#This Row],[TargetType]]="BUILDING",_xlfn.XLOOKUP(tblTargets[[#This Row],[TargetID]],Targets!$Q$2:$Q$101,Targets!$O$2:$O$101),"Not a building"))</f>
        <v>Not a building</v>
      </c>
      <c r="H585" t="str">
        <f>IF(RIGHT(tblTargets[[#This Row],[TargetID]],5)="maxed","",IF(tblTargets[[#This Row],[TargetType]]="BUILDING",_xlfn.XLOOKUP(tblTargets[[#This Row],[TargetID]],Targets!$M$2:$M$101,Targets!$K$2:$K$101),"Not a building"))</f>
        <v>Not a building</v>
      </c>
    </row>
    <row r="586" spans="1:8">
      <c r="A586" t="s">
        <v>2234</v>
      </c>
      <c r="B586" t="s">
        <v>2235</v>
      </c>
      <c r="C586" t="s">
        <v>2094</v>
      </c>
      <c r="D586" t="str">
        <f>IF(tblTargets[[#This Row],[TargetType]]="state",UPPER(_xlfn.TEXTBEFORE(_xlfn.TEXTAFTER(tblTargets[[#This Row],[TargetID]],"state."),"_")),"")</f>
        <v/>
      </c>
      <c r="E586" t="b">
        <v>1</v>
      </c>
      <c r="F586" t="s">
        <v>3599</v>
      </c>
      <c r="G586" t="str">
        <f>IF(RIGHT(tblTargets[[#This Row],[TargetID]],5)="maxed","",IF(tblTargets[[#This Row],[TargetType]]="BUILDING",_xlfn.XLOOKUP(tblTargets[[#This Row],[TargetID]],Targets!$Q$2:$Q$101,Targets!$O$2:$O$101),"Not a building"))</f>
        <v>Not a building</v>
      </c>
      <c r="H586" t="str">
        <f>IF(RIGHT(tblTargets[[#This Row],[TargetID]],5)="maxed","",IF(tblTargets[[#This Row],[TargetType]]="BUILDING",_xlfn.XLOOKUP(tblTargets[[#This Row],[TargetID]],Targets!$M$2:$M$101,Targets!$K$2:$K$101),"Not a building"))</f>
        <v>Not a building</v>
      </c>
    </row>
    <row r="587" spans="1:8">
      <c r="A587" t="s">
        <v>2218</v>
      </c>
      <c r="B587" t="s">
        <v>2219</v>
      </c>
      <c r="C587" t="s">
        <v>2094</v>
      </c>
      <c r="D587" t="str">
        <f>IF(tblTargets[[#This Row],[TargetType]]="state",UPPER(_xlfn.TEXTBEFORE(_xlfn.TEXTAFTER(tblTargets[[#This Row],[TargetID]],"state."),"_")),"")</f>
        <v/>
      </c>
      <c r="E587" t="b">
        <v>1</v>
      </c>
      <c r="F587" t="s">
        <v>3599</v>
      </c>
      <c r="G587" t="str">
        <f>IF(RIGHT(tblTargets[[#This Row],[TargetID]],5)="maxed","",IF(tblTargets[[#This Row],[TargetType]]="BUILDING",_xlfn.XLOOKUP(tblTargets[[#This Row],[TargetID]],Targets!$Q$2:$Q$101,Targets!$O$2:$O$101),"Not a building"))</f>
        <v>Not a building</v>
      </c>
      <c r="H587" t="str">
        <f>IF(RIGHT(tblTargets[[#This Row],[TargetID]],5)="maxed","",IF(tblTargets[[#This Row],[TargetType]]="BUILDING",_xlfn.XLOOKUP(tblTargets[[#This Row],[TargetID]],Targets!$M$2:$M$101,Targets!$K$2:$K$101),"Not a building"))</f>
        <v>Not a building</v>
      </c>
    </row>
    <row r="588" spans="1:8">
      <c r="A588" t="s">
        <v>2232</v>
      </c>
      <c r="B588" t="s">
        <v>2233</v>
      </c>
      <c r="C588" t="s">
        <v>2094</v>
      </c>
      <c r="D588" t="str">
        <f>IF(tblTargets[[#This Row],[TargetType]]="state",UPPER(_xlfn.TEXTBEFORE(_xlfn.TEXTAFTER(tblTargets[[#This Row],[TargetID]],"state."),"_")),"")</f>
        <v/>
      </c>
      <c r="E588" t="b">
        <v>1</v>
      </c>
      <c r="F588" t="s">
        <v>3599</v>
      </c>
      <c r="G588" t="str">
        <f>IF(RIGHT(tblTargets[[#This Row],[TargetID]],5)="maxed","",IF(tblTargets[[#This Row],[TargetType]]="BUILDING",_xlfn.XLOOKUP(tblTargets[[#This Row],[TargetID]],Targets!$Q$2:$Q$101,Targets!$O$2:$O$101),"Not a building"))</f>
        <v>Not a building</v>
      </c>
      <c r="H588" t="str">
        <f>IF(RIGHT(tblTargets[[#This Row],[TargetID]],5)="maxed","",IF(tblTargets[[#This Row],[TargetType]]="BUILDING",_xlfn.XLOOKUP(tblTargets[[#This Row],[TargetID]],Targets!$M$2:$M$101,Targets!$K$2:$K$101),"Not a building"))</f>
        <v>Not a building</v>
      </c>
    </row>
    <row r="589" spans="1:8">
      <c r="A589" t="s">
        <v>2230</v>
      </c>
      <c r="B589" t="s">
        <v>2231</v>
      </c>
      <c r="C589" t="s">
        <v>2094</v>
      </c>
      <c r="D589" t="str">
        <f>IF(tblTargets[[#This Row],[TargetType]]="state",UPPER(_xlfn.TEXTBEFORE(_xlfn.TEXTAFTER(tblTargets[[#This Row],[TargetID]],"state."),"_")),"")</f>
        <v/>
      </c>
      <c r="E589" t="b">
        <v>1</v>
      </c>
      <c r="F589" t="s">
        <v>3599</v>
      </c>
      <c r="G589" t="str">
        <f>IF(RIGHT(tblTargets[[#This Row],[TargetID]],5)="maxed","",IF(tblTargets[[#This Row],[TargetType]]="BUILDING",_xlfn.XLOOKUP(tblTargets[[#This Row],[TargetID]],Targets!$Q$2:$Q$101,Targets!$O$2:$O$101),"Not a building"))</f>
        <v>Not a building</v>
      </c>
      <c r="H589" t="str">
        <f>IF(RIGHT(tblTargets[[#This Row],[TargetID]],5)="maxed","",IF(tblTargets[[#This Row],[TargetType]]="BUILDING",_xlfn.XLOOKUP(tblTargets[[#This Row],[TargetID]],Targets!$M$2:$M$101,Targets!$K$2:$K$101),"Not a building"))</f>
        <v>Not a building</v>
      </c>
    </row>
    <row r="590" spans="1:8">
      <c r="A590" t="s">
        <v>2240</v>
      </c>
      <c r="B590" t="s">
        <v>2241</v>
      </c>
      <c r="C590" t="s">
        <v>2094</v>
      </c>
      <c r="D590" t="str">
        <f>IF(tblTargets[[#This Row],[TargetType]]="state",UPPER(_xlfn.TEXTBEFORE(_xlfn.TEXTAFTER(tblTargets[[#This Row],[TargetID]],"state."),"_")),"")</f>
        <v/>
      </c>
      <c r="E590" t="b">
        <v>1</v>
      </c>
      <c r="F590" t="s">
        <v>3599</v>
      </c>
      <c r="G590" t="str">
        <f>IF(RIGHT(tblTargets[[#This Row],[TargetID]],5)="maxed","",IF(tblTargets[[#This Row],[TargetType]]="BUILDING",_xlfn.XLOOKUP(tblTargets[[#This Row],[TargetID]],Targets!$Q$2:$Q$101,Targets!$O$2:$O$101),"Not a building"))</f>
        <v>Not a building</v>
      </c>
      <c r="H590" t="str">
        <f>IF(RIGHT(tblTargets[[#This Row],[TargetID]],5)="maxed","",IF(tblTargets[[#This Row],[TargetType]]="BUILDING",_xlfn.XLOOKUP(tblTargets[[#This Row],[TargetID]],Targets!$M$2:$M$101,Targets!$K$2:$K$101),"Not a building"))</f>
        <v>Not a building</v>
      </c>
    </row>
    <row r="591" spans="1:8">
      <c r="A591" t="s">
        <v>2236</v>
      </c>
      <c r="B591" t="s">
        <v>2237</v>
      </c>
      <c r="C591" t="s">
        <v>2094</v>
      </c>
      <c r="D591" t="str">
        <f>IF(tblTargets[[#This Row],[TargetType]]="state",UPPER(_xlfn.TEXTBEFORE(_xlfn.TEXTAFTER(tblTargets[[#This Row],[TargetID]],"state."),"_")),"")</f>
        <v/>
      </c>
      <c r="E591" t="b">
        <v>1</v>
      </c>
      <c r="F591" t="s">
        <v>3599</v>
      </c>
      <c r="G591" t="str">
        <f>IF(RIGHT(tblTargets[[#This Row],[TargetID]],5)="maxed","",IF(tblTargets[[#This Row],[TargetType]]="BUILDING",_xlfn.XLOOKUP(tblTargets[[#This Row],[TargetID]],Targets!$Q$2:$Q$101,Targets!$O$2:$O$101),"Not a building"))</f>
        <v>Not a building</v>
      </c>
      <c r="H591" t="str">
        <f>IF(RIGHT(tblTargets[[#This Row],[TargetID]],5)="maxed","",IF(tblTargets[[#This Row],[TargetType]]="BUILDING",_xlfn.XLOOKUP(tblTargets[[#This Row],[TargetID]],Targets!$M$2:$M$101,Targets!$K$2:$K$101),"Not a building"))</f>
        <v>Not a building</v>
      </c>
    </row>
    <row r="592" spans="1:8">
      <c r="A592" t="s">
        <v>2244</v>
      </c>
      <c r="B592" t="s">
        <v>2245</v>
      </c>
      <c r="C592" t="s">
        <v>2094</v>
      </c>
      <c r="D592" t="str">
        <f>IF(tblTargets[[#This Row],[TargetType]]="state",UPPER(_xlfn.TEXTBEFORE(_xlfn.TEXTAFTER(tblTargets[[#This Row],[TargetID]],"state."),"_")),"")</f>
        <v/>
      </c>
      <c r="E592" t="b">
        <v>1</v>
      </c>
      <c r="F592" t="s">
        <v>3599</v>
      </c>
      <c r="G592" t="str">
        <f>IF(RIGHT(tblTargets[[#This Row],[TargetID]],5)="maxed","",IF(tblTargets[[#This Row],[TargetType]]="BUILDING",_xlfn.XLOOKUP(tblTargets[[#This Row],[TargetID]],Targets!$Q$2:$Q$101,Targets!$O$2:$O$101),"Not a building"))</f>
        <v>Not a building</v>
      </c>
      <c r="H592" t="str">
        <f>IF(RIGHT(tblTargets[[#This Row],[TargetID]],5)="maxed","",IF(tblTargets[[#This Row],[TargetType]]="BUILDING",_xlfn.XLOOKUP(tblTargets[[#This Row],[TargetID]],Targets!$M$2:$M$101,Targets!$K$2:$K$101),"Not a building"))</f>
        <v>Not a building</v>
      </c>
    </row>
    <row r="593" spans="1:8">
      <c r="A593" t="s">
        <v>2238</v>
      </c>
      <c r="B593" t="s">
        <v>2239</v>
      </c>
      <c r="C593" t="s">
        <v>2094</v>
      </c>
      <c r="D593" t="str">
        <f>IF(tblTargets[[#This Row],[TargetType]]="state",UPPER(_xlfn.TEXTBEFORE(_xlfn.TEXTAFTER(tblTargets[[#This Row],[TargetID]],"state."),"_")),"")</f>
        <v/>
      </c>
      <c r="E593" t="b">
        <v>1</v>
      </c>
      <c r="F593" t="s">
        <v>3599</v>
      </c>
      <c r="G593" t="str">
        <f>IF(RIGHT(tblTargets[[#This Row],[TargetID]],5)="maxed","",IF(tblTargets[[#This Row],[TargetType]]="BUILDING",_xlfn.XLOOKUP(tblTargets[[#This Row],[TargetID]],Targets!$Q$2:$Q$101,Targets!$O$2:$O$101),"Not a building"))</f>
        <v>Not a building</v>
      </c>
      <c r="H593" t="str">
        <f>IF(RIGHT(tblTargets[[#This Row],[TargetID]],5)="maxed","",IF(tblTargets[[#This Row],[TargetType]]="BUILDING",_xlfn.XLOOKUP(tblTargets[[#This Row],[TargetID]],Targets!$M$2:$M$101,Targets!$K$2:$K$101),"Not a building"))</f>
        <v>Not a building</v>
      </c>
    </row>
    <row r="594" spans="1:8">
      <c r="A594" t="s">
        <v>2242</v>
      </c>
      <c r="B594" t="s">
        <v>2243</v>
      </c>
      <c r="C594" t="s">
        <v>2094</v>
      </c>
      <c r="D594" t="str">
        <f>IF(tblTargets[[#This Row],[TargetType]]="state",UPPER(_xlfn.TEXTBEFORE(_xlfn.TEXTAFTER(tblTargets[[#This Row],[TargetID]],"state."),"_")),"")</f>
        <v/>
      </c>
      <c r="E594" t="b">
        <v>1</v>
      </c>
      <c r="F594" t="s">
        <v>3599</v>
      </c>
      <c r="G594" t="str">
        <f>IF(RIGHT(tblTargets[[#This Row],[TargetID]],5)="maxed","",IF(tblTargets[[#This Row],[TargetType]]="BUILDING",_xlfn.XLOOKUP(tblTargets[[#This Row],[TargetID]],Targets!$Q$2:$Q$101,Targets!$O$2:$O$101),"Not a building"))</f>
        <v>Not a building</v>
      </c>
      <c r="H594" t="str">
        <f>IF(RIGHT(tblTargets[[#This Row],[TargetID]],5)="maxed","",IF(tblTargets[[#This Row],[TargetType]]="BUILDING",_xlfn.XLOOKUP(tblTargets[[#This Row],[TargetID]],Targets!$M$2:$M$101,Targets!$K$2:$K$101),"Not a building"))</f>
        <v>Not a building</v>
      </c>
    </row>
    <row r="595" spans="1:8">
      <c r="A595" t="s">
        <v>2246</v>
      </c>
      <c r="B595" t="s">
        <v>2247</v>
      </c>
      <c r="C595" t="s">
        <v>2094</v>
      </c>
      <c r="D595" t="str">
        <f>IF(tblTargets[[#This Row],[TargetType]]="state",UPPER(_xlfn.TEXTBEFORE(_xlfn.TEXTAFTER(tblTargets[[#This Row],[TargetID]],"state."),"_")),"")</f>
        <v/>
      </c>
      <c r="E595" t="b">
        <v>1</v>
      </c>
      <c r="F595" t="s">
        <v>3599</v>
      </c>
      <c r="G595" t="str">
        <f>IF(RIGHT(tblTargets[[#This Row],[TargetID]],5)="maxed","",IF(tblTargets[[#This Row],[TargetType]]="BUILDING",_xlfn.XLOOKUP(tblTargets[[#This Row],[TargetID]],Targets!$Q$2:$Q$101,Targets!$O$2:$O$101),"Not a building"))</f>
        <v>Not a building</v>
      </c>
      <c r="H595" t="str">
        <f>IF(RIGHT(tblTargets[[#This Row],[TargetID]],5)="maxed","",IF(tblTargets[[#This Row],[TargetType]]="BUILDING",_xlfn.XLOOKUP(tblTargets[[#This Row],[TargetID]],Targets!$M$2:$M$101,Targets!$K$2:$K$101),"Not a building"))</f>
        <v>Not a building</v>
      </c>
    </row>
    <row r="596" spans="1:8">
      <c r="A596" t="s">
        <v>2248</v>
      </c>
      <c r="B596" t="s">
        <v>2249</v>
      </c>
      <c r="C596" t="s">
        <v>2094</v>
      </c>
      <c r="D596" t="str">
        <f>IF(tblTargets[[#This Row],[TargetType]]="state",UPPER(_xlfn.TEXTBEFORE(_xlfn.TEXTAFTER(tblTargets[[#This Row],[TargetID]],"state."),"_")),"")</f>
        <v/>
      </c>
      <c r="E596" t="b">
        <v>1</v>
      </c>
      <c r="F596" t="s">
        <v>3599</v>
      </c>
      <c r="G596" t="str">
        <f>IF(RIGHT(tblTargets[[#This Row],[TargetID]],5)="maxed","",IF(tblTargets[[#This Row],[TargetType]]="BUILDING",_xlfn.XLOOKUP(tblTargets[[#This Row],[TargetID]],Targets!$Q$2:$Q$101,Targets!$O$2:$O$101),"Not a building"))</f>
        <v>Not a building</v>
      </c>
      <c r="H596" t="str">
        <f>IF(RIGHT(tblTargets[[#This Row],[TargetID]],5)="maxed","",IF(tblTargets[[#This Row],[TargetType]]="BUILDING",_xlfn.XLOOKUP(tblTargets[[#This Row],[TargetID]],Targets!$M$2:$M$101,Targets!$K$2:$K$101),"Not a building"))</f>
        <v>Not a building</v>
      </c>
    </row>
    <row r="597" spans="1:8">
      <c r="A597" t="s">
        <v>2250</v>
      </c>
      <c r="B597" t="s">
        <v>2251</v>
      </c>
      <c r="C597" t="s">
        <v>2094</v>
      </c>
      <c r="D597" t="str">
        <f>IF(tblTargets[[#This Row],[TargetType]]="state",UPPER(_xlfn.TEXTBEFORE(_xlfn.TEXTAFTER(tblTargets[[#This Row],[TargetID]],"state."),"_")),"")</f>
        <v/>
      </c>
      <c r="E597" t="b">
        <v>1</v>
      </c>
      <c r="F597" t="s">
        <v>3599</v>
      </c>
      <c r="G597" t="str">
        <f>IF(RIGHT(tblTargets[[#This Row],[TargetID]],5)="maxed","",IF(tblTargets[[#This Row],[TargetType]]="BUILDING",_xlfn.XLOOKUP(tblTargets[[#This Row],[TargetID]],Targets!$Q$2:$Q$101,Targets!$O$2:$O$101),"Not a building"))</f>
        <v>Not a building</v>
      </c>
      <c r="H597" t="str">
        <f>IF(RIGHT(tblTargets[[#This Row],[TargetID]],5)="maxed","",IF(tblTargets[[#This Row],[TargetType]]="BUILDING",_xlfn.XLOOKUP(tblTargets[[#This Row],[TargetID]],Targets!$M$2:$M$101,Targets!$K$2:$K$101),"Not a building"))</f>
        <v>Not a building</v>
      </c>
    </row>
    <row r="598" spans="1:8">
      <c r="A598" t="s">
        <v>5773</v>
      </c>
      <c r="B598" t="s">
        <v>2280</v>
      </c>
      <c r="C598" t="s">
        <v>2094</v>
      </c>
      <c r="D598" t="str">
        <f>IF(tblTargets[[#This Row],[TargetType]]="state",UPPER(_xlfn.TEXTBEFORE(_xlfn.TEXTAFTER(tblTargets[[#This Row],[TargetID]],"state."),"_")),"")</f>
        <v/>
      </c>
      <c r="E598" t="b">
        <v>1</v>
      </c>
      <c r="F598" t="s">
        <v>3599</v>
      </c>
      <c r="G598" t="str">
        <f>IF(RIGHT(tblTargets[[#This Row],[TargetID]],5)="maxed","",IF(tblTargets[[#This Row],[TargetType]]="BUILDING",_xlfn.XLOOKUP(tblTargets[[#This Row],[TargetID]],Targets!$Q$2:$Q$101,Targets!$O$2:$O$101),"Not a building"))</f>
        <v>Not a building</v>
      </c>
      <c r="H598" t="str">
        <f>IF(RIGHT(tblTargets[[#This Row],[TargetID]],5)="maxed","",IF(tblTargets[[#This Row],[TargetType]]="BUILDING",_xlfn.XLOOKUP(tblTargets[[#This Row],[TargetID]],Targets!$M$2:$M$101,Targets!$K$2:$K$101),"Not a building"))</f>
        <v>Not a building</v>
      </c>
    </row>
    <row r="599" spans="1:8">
      <c r="A599" t="s">
        <v>2276</v>
      </c>
      <c r="B599" t="s">
        <v>2277</v>
      </c>
      <c r="C599" t="s">
        <v>2094</v>
      </c>
      <c r="D599" t="str">
        <f>IF(tblTargets[[#This Row],[TargetType]]="state",UPPER(_xlfn.TEXTBEFORE(_xlfn.TEXTAFTER(tblTargets[[#This Row],[TargetID]],"state."),"_")),"")</f>
        <v/>
      </c>
      <c r="E599" t="b">
        <v>1</v>
      </c>
      <c r="F599" t="s">
        <v>3599</v>
      </c>
      <c r="G599" t="str">
        <f>IF(RIGHT(tblTargets[[#This Row],[TargetID]],5)="maxed","",IF(tblTargets[[#This Row],[TargetType]]="BUILDING",_xlfn.XLOOKUP(tblTargets[[#This Row],[TargetID]],Targets!$Q$2:$Q$101,Targets!$O$2:$O$101),"Not a building"))</f>
        <v>Not a building</v>
      </c>
      <c r="H599" t="str">
        <f>IF(RIGHT(tblTargets[[#This Row],[TargetID]],5)="maxed","",IF(tblTargets[[#This Row],[TargetType]]="BUILDING",_xlfn.XLOOKUP(tblTargets[[#This Row],[TargetID]],Targets!$M$2:$M$101,Targets!$K$2:$K$101),"Not a building"))</f>
        <v>Not a building</v>
      </c>
    </row>
    <row r="600" spans="1:8">
      <c r="A600" t="s">
        <v>2278</v>
      </c>
      <c r="B600" t="s">
        <v>2279</v>
      </c>
      <c r="C600" t="s">
        <v>2094</v>
      </c>
      <c r="D600" t="str">
        <f>IF(tblTargets[[#This Row],[TargetType]]="state",UPPER(_xlfn.TEXTBEFORE(_xlfn.TEXTAFTER(tblTargets[[#This Row],[TargetID]],"state."),"_")),"")</f>
        <v/>
      </c>
      <c r="E600" t="b">
        <v>1</v>
      </c>
      <c r="F600" t="s">
        <v>3599</v>
      </c>
      <c r="G600" t="str">
        <f>IF(RIGHT(tblTargets[[#This Row],[TargetID]],5)="maxed","",IF(tblTargets[[#This Row],[TargetType]]="BUILDING",_xlfn.XLOOKUP(tblTargets[[#This Row],[TargetID]],Targets!$Q$2:$Q$101,Targets!$O$2:$O$101),"Not a building"))</f>
        <v>Not a building</v>
      </c>
      <c r="H600" t="str">
        <f>IF(RIGHT(tblTargets[[#This Row],[TargetID]],5)="maxed","",IF(tblTargets[[#This Row],[TargetType]]="BUILDING",_xlfn.XLOOKUP(tblTargets[[#This Row],[TargetID]],Targets!$M$2:$M$101,Targets!$K$2:$K$101),"Not a building"))</f>
        <v>Not a building</v>
      </c>
    </row>
    <row r="601" spans="1:8">
      <c r="A601" t="s">
        <v>2270</v>
      </c>
      <c r="B601" t="s">
        <v>2271</v>
      </c>
      <c r="C601" t="s">
        <v>2094</v>
      </c>
      <c r="D601" t="str">
        <f>IF(tblTargets[[#This Row],[TargetType]]="state",UPPER(_xlfn.TEXTBEFORE(_xlfn.TEXTAFTER(tblTargets[[#This Row],[TargetID]],"state."),"_")),"")</f>
        <v/>
      </c>
      <c r="E601" t="b">
        <v>1</v>
      </c>
      <c r="F601" t="s">
        <v>3599</v>
      </c>
      <c r="G601" t="str">
        <f>IF(RIGHT(tblTargets[[#This Row],[TargetID]],5)="maxed","",IF(tblTargets[[#This Row],[TargetType]]="BUILDING",_xlfn.XLOOKUP(tblTargets[[#This Row],[TargetID]],Targets!$Q$2:$Q$101,Targets!$O$2:$O$101),"Not a building"))</f>
        <v>Not a building</v>
      </c>
      <c r="H601" t="str">
        <f>IF(RIGHT(tblTargets[[#This Row],[TargetID]],5)="maxed","",IF(tblTargets[[#This Row],[TargetType]]="BUILDING",_xlfn.XLOOKUP(tblTargets[[#This Row],[TargetID]],Targets!$M$2:$M$101,Targets!$K$2:$K$101),"Not a building"))</f>
        <v>Not a building</v>
      </c>
    </row>
    <row r="602" spans="1:8">
      <c r="A602" t="s">
        <v>2268</v>
      </c>
      <c r="B602" t="s">
        <v>2269</v>
      </c>
      <c r="C602" t="s">
        <v>2094</v>
      </c>
      <c r="D602" t="str">
        <f>IF(tblTargets[[#This Row],[TargetType]]="state",UPPER(_xlfn.TEXTBEFORE(_xlfn.TEXTAFTER(tblTargets[[#This Row],[TargetID]],"state."),"_")),"")</f>
        <v/>
      </c>
      <c r="E602" t="b">
        <v>1</v>
      </c>
      <c r="F602" t="s">
        <v>3599</v>
      </c>
      <c r="G602" t="str">
        <f>IF(RIGHT(tblTargets[[#This Row],[TargetID]],5)="maxed","",IF(tblTargets[[#This Row],[TargetType]]="BUILDING",_xlfn.XLOOKUP(tblTargets[[#This Row],[TargetID]],Targets!$Q$2:$Q$101,Targets!$O$2:$O$101),"Not a building"))</f>
        <v>Not a building</v>
      </c>
      <c r="H602" t="str">
        <f>IF(RIGHT(tblTargets[[#This Row],[TargetID]],5)="maxed","",IF(tblTargets[[#This Row],[TargetType]]="BUILDING",_xlfn.XLOOKUP(tblTargets[[#This Row],[TargetID]],Targets!$M$2:$M$101,Targets!$K$2:$K$101),"Not a building"))</f>
        <v>Not a building</v>
      </c>
    </row>
    <row r="603" spans="1:8">
      <c r="A603" t="s">
        <v>2266</v>
      </c>
      <c r="B603" t="s">
        <v>2267</v>
      </c>
      <c r="C603" t="s">
        <v>2094</v>
      </c>
      <c r="D603" t="str">
        <f>IF(tblTargets[[#This Row],[TargetType]]="state",UPPER(_xlfn.TEXTBEFORE(_xlfn.TEXTAFTER(tblTargets[[#This Row],[TargetID]],"state."),"_")),"")</f>
        <v/>
      </c>
      <c r="E603" t="b">
        <v>1</v>
      </c>
      <c r="F603" t="s">
        <v>3599</v>
      </c>
      <c r="G603" t="str">
        <f>IF(RIGHT(tblTargets[[#This Row],[TargetID]],5)="maxed","",IF(tblTargets[[#This Row],[TargetType]]="BUILDING",_xlfn.XLOOKUP(tblTargets[[#This Row],[TargetID]],Targets!$Q$2:$Q$101,Targets!$O$2:$O$101),"Not a building"))</f>
        <v>Not a building</v>
      </c>
      <c r="H603" t="str">
        <f>IF(RIGHT(tblTargets[[#This Row],[TargetID]],5)="maxed","",IF(tblTargets[[#This Row],[TargetType]]="BUILDING",_xlfn.XLOOKUP(tblTargets[[#This Row],[TargetID]],Targets!$M$2:$M$101,Targets!$K$2:$K$101),"Not a building"))</f>
        <v>Not a building</v>
      </c>
    </row>
    <row r="604" spans="1:8">
      <c r="A604" t="s">
        <v>2254</v>
      </c>
      <c r="B604" t="s">
        <v>2255</v>
      </c>
      <c r="C604" t="s">
        <v>2094</v>
      </c>
      <c r="D604" t="str">
        <f>IF(tblTargets[[#This Row],[TargetType]]="state",UPPER(_xlfn.TEXTBEFORE(_xlfn.TEXTAFTER(tblTargets[[#This Row],[TargetID]],"state."),"_")),"")</f>
        <v/>
      </c>
      <c r="E604" t="b">
        <v>1</v>
      </c>
      <c r="F604" t="s">
        <v>3599</v>
      </c>
      <c r="G604" t="str">
        <f>IF(RIGHT(tblTargets[[#This Row],[TargetID]],5)="maxed","",IF(tblTargets[[#This Row],[TargetType]]="BUILDING",_xlfn.XLOOKUP(tblTargets[[#This Row],[TargetID]],Targets!$Q$2:$Q$101,Targets!$O$2:$O$101),"Not a building"))</f>
        <v>Not a building</v>
      </c>
      <c r="H604" t="str">
        <f>IF(RIGHT(tblTargets[[#This Row],[TargetID]],5)="maxed","",IF(tblTargets[[#This Row],[TargetType]]="BUILDING",_xlfn.XLOOKUP(tblTargets[[#This Row],[TargetID]],Targets!$M$2:$M$101,Targets!$K$2:$K$101),"Not a building"))</f>
        <v>Not a building</v>
      </c>
    </row>
    <row r="605" spans="1:8">
      <c r="A605" t="s">
        <v>2256</v>
      </c>
      <c r="B605" t="s">
        <v>2257</v>
      </c>
      <c r="C605" t="s">
        <v>2094</v>
      </c>
      <c r="D605" t="str">
        <f>IF(tblTargets[[#This Row],[TargetType]]="state",UPPER(_xlfn.TEXTBEFORE(_xlfn.TEXTAFTER(tblTargets[[#This Row],[TargetID]],"state."),"_")),"")</f>
        <v/>
      </c>
      <c r="E605" t="b">
        <v>1</v>
      </c>
      <c r="F605" t="s">
        <v>3599</v>
      </c>
      <c r="G605" t="str">
        <f>IF(RIGHT(tblTargets[[#This Row],[TargetID]],5)="maxed","",IF(tblTargets[[#This Row],[TargetType]]="BUILDING",_xlfn.XLOOKUP(tblTargets[[#This Row],[TargetID]],Targets!$Q$2:$Q$101,Targets!$O$2:$O$101),"Not a building"))</f>
        <v>Not a building</v>
      </c>
      <c r="H605" t="str">
        <f>IF(RIGHT(tblTargets[[#This Row],[TargetID]],5)="maxed","",IF(tblTargets[[#This Row],[TargetType]]="BUILDING",_xlfn.XLOOKUP(tblTargets[[#This Row],[TargetID]],Targets!$M$2:$M$101,Targets!$K$2:$K$101),"Not a building"))</f>
        <v>Not a building</v>
      </c>
    </row>
    <row r="606" spans="1:8">
      <c r="A606" t="s">
        <v>2258</v>
      </c>
      <c r="B606" t="s">
        <v>2259</v>
      </c>
      <c r="C606" t="s">
        <v>2094</v>
      </c>
      <c r="D606" t="str">
        <f>IF(tblTargets[[#This Row],[TargetType]]="state",UPPER(_xlfn.TEXTBEFORE(_xlfn.TEXTAFTER(tblTargets[[#This Row],[TargetID]],"state."),"_")),"")</f>
        <v/>
      </c>
      <c r="E606" t="b">
        <v>1</v>
      </c>
      <c r="F606" t="s">
        <v>3599</v>
      </c>
      <c r="G606" t="str">
        <f>IF(RIGHT(tblTargets[[#This Row],[TargetID]],5)="maxed","",IF(tblTargets[[#This Row],[TargetType]]="BUILDING",_xlfn.XLOOKUP(tblTargets[[#This Row],[TargetID]],Targets!$Q$2:$Q$101,Targets!$O$2:$O$101),"Not a building"))</f>
        <v>Not a building</v>
      </c>
      <c r="H606" t="str">
        <f>IF(RIGHT(tblTargets[[#This Row],[TargetID]],5)="maxed","",IF(tblTargets[[#This Row],[TargetType]]="BUILDING",_xlfn.XLOOKUP(tblTargets[[#This Row],[TargetID]],Targets!$M$2:$M$101,Targets!$K$2:$K$101),"Not a building"))</f>
        <v>Not a building</v>
      </c>
    </row>
    <row r="607" spans="1:8">
      <c r="A607" t="s">
        <v>2260</v>
      </c>
      <c r="B607" t="s">
        <v>2261</v>
      </c>
      <c r="C607" t="s">
        <v>2094</v>
      </c>
      <c r="D607" t="str">
        <f>IF(tblTargets[[#This Row],[TargetType]]="state",UPPER(_xlfn.TEXTBEFORE(_xlfn.TEXTAFTER(tblTargets[[#This Row],[TargetID]],"state."),"_")),"")</f>
        <v/>
      </c>
      <c r="E607" t="b">
        <v>1</v>
      </c>
      <c r="F607" t="s">
        <v>3599</v>
      </c>
      <c r="G607" t="str">
        <f>IF(RIGHT(tblTargets[[#This Row],[TargetID]],5)="maxed","",IF(tblTargets[[#This Row],[TargetType]]="BUILDING",_xlfn.XLOOKUP(tblTargets[[#This Row],[TargetID]],Targets!$Q$2:$Q$101,Targets!$O$2:$O$101),"Not a building"))</f>
        <v>Not a building</v>
      </c>
      <c r="H607" t="str">
        <f>IF(RIGHT(tblTargets[[#This Row],[TargetID]],5)="maxed","",IF(tblTargets[[#This Row],[TargetType]]="BUILDING",_xlfn.XLOOKUP(tblTargets[[#This Row],[TargetID]],Targets!$M$2:$M$101,Targets!$K$2:$K$101),"Not a building"))</f>
        <v>Not a building</v>
      </c>
    </row>
    <row r="608" spans="1:8">
      <c r="A608" t="s">
        <v>2262</v>
      </c>
      <c r="B608" t="s">
        <v>2263</v>
      </c>
      <c r="C608" t="s">
        <v>2094</v>
      </c>
      <c r="D608" t="str">
        <f>IF(tblTargets[[#This Row],[TargetType]]="state",UPPER(_xlfn.TEXTBEFORE(_xlfn.TEXTAFTER(tblTargets[[#This Row],[TargetID]],"state."),"_")),"")</f>
        <v/>
      </c>
      <c r="E608" t="b">
        <v>1</v>
      </c>
      <c r="F608" t="s">
        <v>3599</v>
      </c>
      <c r="G608" t="str">
        <f>IF(RIGHT(tblTargets[[#This Row],[TargetID]],5)="maxed","",IF(tblTargets[[#This Row],[TargetType]]="BUILDING",_xlfn.XLOOKUP(tblTargets[[#This Row],[TargetID]],Targets!$Q$2:$Q$101,Targets!$O$2:$O$101),"Not a building"))</f>
        <v>Not a building</v>
      </c>
      <c r="H608" t="str">
        <f>IF(RIGHT(tblTargets[[#This Row],[TargetID]],5)="maxed","",IF(tblTargets[[#This Row],[TargetType]]="BUILDING",_xlfn.XLOOKUP(tblTargets[[#This Row],[TargetID]],Targets!$M$2:$M$101,Targets!$K$2:$K$101),"Not a building"))</f>
        <v>Not a building</v>
      </c>
    </row>
    <row r="609" spans="1:8">
      <c r="A609" t="s">
        <v>2272</v>
      </c>
      <c r="B609" t="s">
        <v>2273</v>
      </c>
      <c r="C609" t="s">
        <v>2094</v>
      </c>
      <c r="D609" t="str">
        <f>IF(tblTargets[[#This Row],[TargetType]]="state",UPPER(_xlfn.TEXTBEFORE(_xlfn.TEXTAFTER(tblTargets[[#This Row],[TargetID]],"state."),"_")),"")</f>
        <v/>
      </c>
      <c r="E609" t="b">
        <v>1</v>
      </c>
      <c r="F609" t="s">
        <v>3599</v>
      </c>
      <c r="G609" t="str">
        <f>IF(RIGHT(tblTargets[[#This Row],[TargetID]],5)="maxed","",IF(tblTargets[[#This Row],[TargetType]]="BUILDING",_xlfn.XLOOKUP(tblTargets[[#This Row],[TargetID]],Targets!$Q$2:$Q$101,Targets!$O$2:$O$101),"Not a building"))</f>
        <v>Not a building</v>
      </c>
      <c r="H609" t="str">
        <f>IF(RIGHT(tblTargets[[#This Row],[TargetID]],5)="maxed","",IF(tblTargets[[#This Row],[TargetType]]="BUILDING",_xlfn.XLOOKUP(tblTargets[[#This Row],[TargetID]],Targets!$M$2:$M$101,Targets!$K$2:$K$101),"Not a building"))</f>
        <v>Not a building</v>
      </c>
    </row>
    <row r="610" spans="1:8">
      <c r="A610" t="s">
        <v>2264</v>
      </c>
      <c r="B610" t="s">
        <v>2265</v>
      </c>
      <c r="C610" t="s">
        <v>2094</v>
      </c>
      <c r="D610" t="str">
        <f>IF(tblTargets[[#This Row],[TargetType]]="state",UPPER(_xlfn.TEXTBEFORE(_xlfn.TEXTAFTER(tblTargets[[#This Row],[TargetID]],"state."),"_")),"")</f>
        <v/>
      </c>
      <c r="E610" t="b">
        <v>1</v>
      </c>
      <c r="F610" t="s">
        <v>3599</v>
      </c>
      <c r="G610" t="str">
        <f>IF(RIGHT(tblTargets[[#This Row],[TargetID]],5)="maxed","",IF(tblTargets[[#This Row],[TargetType]]="BUILDING",_xlfn.XLOOKUP(tblTargets[[#This Row],[TargetID]],Targets!$Q$2:$Q$101,Targets!$O$2:$O$101),"Not a building"))</f>
        <v>Not a building</v>
      </c>
      <c r="H610" t="str">
        <f>IF(RIGHT(tblTargets[[#This Row],[TargetID]],5)="maxed","",IF(tblTargets[[#This Row],[TargetType]]="BUILDING",_xlfn.XLOOKUP(tblTargets[[#This Row],[TargetID]],Targets!$M$2:$M$101,Targets!$K$2:$K$101),"Not a building"))</f>
        <v>Not a building</v>
      </c>
    </row>
    <row r="611" spans="1:8">
      <c r="A611" t="s">
        <v>2252</v>
      </c>
      <c r="B611" t="s">
        <v>2253</v>
      </c>
      <c r="C611" t="s">
        <v>2094</v>
      </c>
      <c r="D611" t="str">
        <f>IF(tblTargets[[#This Row],[TargetType]]="state",UPPER(_xlfn.TEXTBEFORE(_xlfn.TEXTAFTER(tblTargets[[#This Row],[TargetID]],"state."),"_")),"")</f>
        <v/>
      </c>
      <c r="E611" t="b">
        <v>1</v>
      </c>
      <c r="F611" t="s">
        <v>3599</v>
      </c>
      <c r="G611" t="str">
        <f>IF(RIGHT(tblTargets[[#This Row],[TargetID]],5)="maxed","",IF(tblTargets[[#This Row],[TargetType]]="BUILDING",_xlfn.XLOOKUP(tblTargets[[#This Row],[TargetID]],Targets!$Q$2:$Q$101,Targets!$O$2:$O$101),"Not a building"))</f>
        <v>Not a building</v>
      </c>
      <c r="H611" t="str">
        <f>IF(RIGHT(tblTargets[[#This Row],[TargetID]],5)="maxed","",IF(tblTargets[[#This Row],[TargetType]]="BUILDING",_xlfn.XLOOKUP(tblTargets[[#This Row],[TargetID]],Targets!$M$2:$M$101,Targets!$K$2:$K$101),"Not a building"))</f>
        <v>Not a building</v>
      </c>
    </row>
    <row r="612" spans="1:8">
      <c r="A612" t="s">
        <v>2274</v>
      </c>
      <c r="B612" t="s">
        <v>2275</v>
      </c>
      <c r="C612" t="s">
        <v>2094</v>
      </c>
      <c r="D612" t="str">
        <f>IF(tblTargets[[#This Row],[TargetType]]="state",UPPER(_xlfn.TEXTBEFORE(_xlfn.TEXTAFTER(tblTargets[[#This Row],[TargetID]],"state."),"_")),"")</f>
        <v/>
      </c>
      <c r="E612" t="b">
        <v>1</v>
      </c>
      <c r="F612" t="s">
        <v>3599</v>
      </c>
      <c r="G612" t="str">
        <f>IF(RIGHT(tblTargets[[#This Row],[TargetID]],5)="maxed","",IF(tblTargets[[#This Row],[TargetType]]="BUILDING",_xlfn.XLOOKUP(tblTargets[[#This Row],[TargetID]],Targets!$Q$2:$Q$101,Targets!$O$2:$O$101),"Not a building"))</f>
        <v>Not a building</v>
      </c>
      <c r="H612" t="str">
        <f>IF(RIGHT(tblTargets[[#This Row],[TargetID]],5)="maxed","",IF(tblTargets[[#This Row],[TargetType]]="BUILDING",_xlfn.XLOOKUP(tblTargets[[#This Row],[TargetID]],Targets!$M$2:$M$101,Targets!$K$2:$K$101),"Not a building"))</f>
        <v>Not a building</v>
      </c>
    </row>
    <row r="613" spans="1:8">
      <c r="A613" t="s">
        <v>6251</v>
      </c>
      <c r="B613" t="s">
        <v>6252</v>
      </c>
      <c r="C613" t="s">
        <v>5565</v>
      </c>
      <c r="D613" t="str">
        <f>IF(tblTargets[[#This Row],[TargetType]]="state",UPPER(_xlfn.TEXTBEFORE(_xlfn.TEXTAFTER(tblTargets[[#This Row],[TargetID]],"state."),"_")),"")</f>
        <v>COMPLETE</v>
      </c>
      <c r="E613" t="b">
        <v>1</v>
      </c>
      <c r="F613" t="s">
        <v>3599</v>
      </c>
      <c r="G613" t="str">
        <f>IF(RIGHT(tblTargets[[#This Row],[TargetID]],5)="maxed","",IF(tblTargets[[#This Row],[TargetType]]="BUILDING",_xlfn.XLOOKUP(tblTargets[[#This Row],[TargetID]],Targets!$Q$2:$Q$101,Targets!$O$2:$O$101),"Not a building"))</f>
        <v>Not a building</v>
      </c>
      <c r="H613" t="str">
        <f>IF(RIGHT(tblTargets[[#This Row],[TargetID]],5)="maxed","",IF(tblTargets[[#This Row],[TargetType]]="BUILDING",_xlfn.XLOOKUP(tblTargets[[#This Row],[TargetID]],Targets!$M$2:$M$101,Targets!$K$2:$K$101),"Not a building"))</f>
        <v>Not a building</v>
      </c>
    </row>
    <row r="614" spans="1:8">
      <c r="A614" t="s">
        <v>6259</v>
      </c>
      <c r="B614" t="s">
        <v>6254</v>
      </c>
      <c r="C614" t="s">
        <v>5565</v>
      </c>
      <c r="D614" t="str">
        <f>IF(tblTargets[[#This Row],[TargetType]]="state",UPPER(_xlfn.TEXTBEFORE(_xlfn.TEXTAFTER(tblTargets[[#This Row],[TargetID]],"state."),"_")),"")</f>
        <v>OBTAIN</v>
      </c>
      <c r="E614" t="b">
        <v>1</v>
      </c>
      <c r="F614" t="s">
        <v>3599</v>
      </c>
      <c r="G614" t="str">
        <f>IF(RIGHT(tblTargets[[#This Row],[TargetID]],5)="maxed","",IF(tblTargets[[#This Row],[TargetType]]="BUILDING",_xlfn.XLOOKUP(tblTargets[[#This Row],[TargetID]],Targets!$Q$2:$Q$101,Targets!$O$2:$O$101),"Not a building"))</f>
        <v>Not a building</v>
      </c>
      <c r="H614" t="str">
        <f>IF(RIGHT(tblTargets[[#This Row],[TargetID]],5)="maxed","",IF(tblTargets[[#This Row],[TargetType]]="BUILDING",_xlfn.XLOOKUP(tblTargets[[#This Row],[TargetID]],Targets!$M$2:$M$101,Targets!$K$2:$K$101),"Not a building"))</f>
        <v>Not a building</v>
      </c>
    </row>
    <row r="615" spans="1:8">
      <c r="A615" t="s">
        <v>6260</v>
      </c>
      <c r="B615" t="s">
        <v>6256</v>
      </c>
      <c r="C615" t="s">
        <v>5565</v>
      </c>
      <c r="D615" t="str">
        <f>IF(tblTargets[[#This Row],[TargetType]]="state",UPPER(_xlfn.TEXTBEFORE(_xlfn.TEXTAFTER(tblTargets[[#This Row],[TargetID]],"state."),"_")),"")</f>
        <v>OBTAIN</v>
      </c>
      <c r="E615" t="b">
        <v>1</v>
      </c>
      <c r="F615" t="s">
        <v>3599</v>
      </c>
      <c r="G615" t="str">
        <f>IF(RIGHT(tblTargets[[#This Row],[TargetID]],5)="maxed","",IF(tblTargets[[#This Row],[TargetType]]="BUILDING",_xlfn.XLOOKUP(tblTargets[[#This Row],[TargetID]],Targets!$Q$2:$Q$101,Targets!$O$2:$O$101),"Not a building"))</f>
        <v>Not a building</v>
      </c>
      <c r="H615" t="str">
        <f>IF(RIGHT(tblTargets[[#This Row],[TargetID]],5)="maxed","",IF(tblTargets[[#This Row],[TargetType]]="BUILDING",_xlfn.XLOOKUP(tblTargets[[#This Row],[TargetID]],Targets!$M$2:$M$101,Targets!$K$2:$K$101),"Not a building"))</f>
        <v>Not a building</v>
      </c>
    </row>
    <row r="616" spans="1:8">
      <c r="A616" t="s">
        <v>6261</v>
      </c>
      <c r="B616" t="s">
        <v>6258</v>
      </c>
      <c r="C616" t="s">
        <v>5565</v>
      </c>
      <c r="D616" t="str">
        <f>IF(tblTargets[[#This Row],[TargetType]]="state",UPPER(_xlfn.TEXTBEFORE(_xlfn.TEXTAFTER(tblTargets[[#This Row],[TargetID]],"state."),"_")),"")</f>
        <v>OBTAIN</v>
      </c>
      <c r="E616" t="b">
        <v>1</v>
      </c>
      <c r="F616" t="s">
        <v>3599</v>
      </c>
      <c r="G616" t="str">
        <f>IF(RIGHT(tblTargets[[#This Row],[TargetID]],5)="maxed","",IF(tblTargets[[#This Row],[TargetType]]="BUILDING",_xlfn.XLOOKUP(tblTargets[[#This Row],[TargetID]],Targets!$Q$2:$Q$101,Targets!$O$2:$O$101),"Not a building"))</f>
        <v>Not a building</v>
      </c>
      <c r="H616" t="str">
        <f>IF(RIGHT(tblTargets[[#This Row],[TargetID]],5)="maxed","",IF(tblTargets[[#This Row],[TargetType]]="BUILDING",_xlfn.XLOOKUP(tblTargets[[#This Row],[TargetID]],Targets!$M$2:$M$101,Targets!$K$2:$K$101),"Not a building"))</f>
        <v>Not a building</v>
      </c>
    </row>
    <row r="617" spans="1:8">
      <c r="A617" t="s">
        <v>6262</v>
      </c>
      <c r="B617" t="s">
        <v>6263</v>
      </c>
      <c r="C617" t="s">
        <v>5565</v>
      </c>
      <c r="D617" t="str">
        <f>IF(tblTargets[[#This Row],[TargetType]]="state",UPPER(_xlfn.TEXTBEFORE(_xlfn.TEXTAFTER(tblTargets[[#This Row],[TargetID]],"state."),"_")),"")</f>
        <v>COMPLETE</v>
      </c>
      <c r="E617" t="b">
        <v>1</v>
      </c>
      <c r="F617" t="s">
        <v>3599</v>
      </c>
      <c r="G617" t="str">
        <f>IF(RIGHT(tblTargets[[#This Row],[TargetID]],5)="maxed","",IF(tblTargets[[#This Row],[TargetType]]="BUILDING",_xlfn.XLOOKUP(tblTargets[[#This Row],[TargetID]],Targets!$Q$2:$Q$101,Targets!$O$2:$O$101),"Not a building"))</f>
        <v>Not a building</v>
      </c>
      <c r="H617" t="str">
        <f>IF(RIGHT(tblTargets[[#This Row],[TargetID]],5)="maxed","",IF(tblTargets[[#This Row],[TargetType]]="BUILDING",_xlfn.XLOOKUP(tblTargets[[#This Row],[TargetID]],Targets!$M$2:$M$101,Targets!$K$2:$K$101),"Not a building"))</f>
        <v>Not a building</v>
      </c>
    </row>
    <row r="618" spans="1:8">
      <c r="A618" s="5" t="s">
        <v>6264</v>
      </c>
      <c r="B618" t="s">
        <v>6265</v>
      </c>
      <c r="C618" t="s">
        <v>5565</v>
      </c>
      <c r="D618" t="str">
        <f>IF(tblTargets[[#This Row],[TargetType]]="state",UPPER(_xlfn.TEXTBEFORE(_xlfn.TEXTAFTER(tblTargets[[#This Row],[TargetID]],"state."),"_")),"")</f>
        <v>COMPLETE</v>
      </c>
      <c r="E618" t="b">
        <v>1</v>
      </c>
      <c r="F618" t="s">
        <v>3599</v>
      </c>
      <c r="G618" t="str">
        <f>IF(RIGHT(tblTargets[[#This Row],[TargetID]],5)="maxed","",IF(tblTargets[[#This Row],[TargetType]]="BUILDING",_xlfn.XLOOKUP(tblTargets[[#This Row],[TargetID]],Targets!$Q$2:$Q$101,Targets!$O$2:$O$101),"Not a building"))</f>
        <v>Not a building</v>
      </c>
      <c r="H618" t="str">
        <f>IF(RIGHT(tblTargets[[#This Row],[TargetID]],5)="maxed","",IF(tblTargets[[#This Row],[TargetType]]="BUILDING",_xlfn.XLOOKUP(tblTargets[[#This Row],[TargetID]],Targets!$M$2:$M$101,Targets!$K$2:$K$101),"Not a building"))</f>
        <v>Not a building</v>
      </c>
    </row>
    <row r="619" spans="1:8">
      <c r="A619" t="s">
        <v>6267</v>
      </c>
      <c r="B619" t="s">
        <v>6268</v>
      </c>
      <c r="C619" t="s">
        <v>5565</v>
      </c>
      <c r="D619" t="str">
        <f>IF(tblTargets[[#This Row],[TargetType]]="state",UPPER(_xlfn.TEXTBEFORE(_xlfn.TEXTAFTER(tblTargets[[#This Row],[TargetID]],"state."),"_")),"")</f>
        <v>MEET</v>
      </c>
      <c r="E619" t="b">
        <v>1</v>
      </c>
      <c r="F619" t="s">
        <v>3599</v>
      </c>
      <c r="G619" t="str">
        <f>IF(RIGHT(tblTargets[[#This Row],[TargetID]],5)="maxed","",IF(tblTargets[[#This Row],[TargetType]]="BUILDING",_xlfn.XLOOKUP(tblTargets[[#This Row],[TargetID]],Targets!$Q$2:$Q$101,Targets!$O$2:$O$101),"Not a building"))</f>
        <v>Not a building</v>
      </c>
      <c r="H619" t="str">
        <f>IF(RIGHT(tblTargets[[#This Row],[TargetID]],5)="maxed","",IF(tblTargets[[#This Row],[TargetType]]="BUILDING",_xlfn.XLOOKUP(tblTargets[[#This Row],[TargetID]],Targets!$M$2:$M$101,Targets!$K$2:$K$101),"Not a building"))</f>
        <v>Not a building</v>
      </c>
    </row>
  </sheetData>
  <sortState xmlns:xlrd2="http://schemas.microsoft.com/office/spreadsheetml/2017/richdata2" ref="B569:B583">
    <sortCondition ref="B569:B583"/>
  </sortState>
  <phoneticPr fontId="4"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E06AA-BEDA-42B4-80CC-DB77E4791C92}">
  <sheetPr>
    <tabColor rgb="FFFFFF00"/>
  </sheetPr>
  <dimension ref="A1:AA619"/>
  <sheetViews>
    <sheetView topLeftCell="O1" workbookViewId="0">
      <selection activeCell="R2" sqref="R2"/>
    </sheetView>
  </sheetViews>
  <sheetFormatPr defaultColWidth="43.453125" defaultRowHeight="14.5"/>
  <cols>
    <col min="1" max="1" width="55.36328125" bestFit="1" customWidth="1"/>
    <col min="2" max="2" width="22.453125" customWidth="1"/>
    <col min="3" max="3" width="11" bestFit="1" customWidth="1"/>
    <col min="4" max="4" width="18.26953125" bestFit="1" customWidth="1"/>
    <col min="5" max="5" width="12.6328125" bestFit="1" customWidth="1"/>
    <col min="6" max="6" width="11.81640625" customWidth="1"/>
    <col min="7" max="7" width="20.26953125" bestFit="1" customWidth="1"/>
    <col min="8" max="8" width="20.26953125" customWidth="1"/>
    <col min="9" max="9" width="26.81640625" customWidth="1"/>
    <col min="10" max="10" width="27.90625" customWidth="1"/>
    <col min="11" max="11" width="26" bestFit="1" customWidth="1"/>
    <col min="12" max="12" width="22.7265625" bestFit="1" customWidth="1"/>
    <col min="13" max="13" width="24.90625" customWidth="1"/>
    <col min="14" max="14" width="23" customWidth="1"/>
    <col min="16" max="16" width="19.26953125" style="2" bestFit="1" customWidth="1"/>
    <col min="17" max="17" width="19.36328125" bestFit="1" customWidth="1"/>
    <col min="18" max="18" width="19.26953125" bestFit="1" customWidth="1"/>
    <col min="19" max="19" width="58.6328125" customWidth="1"/>
    <col min="20" max="20" width="20" bestFit="1" customWidth="1"/>
    <col min="21" max="21" width="20" customWidth="1"/>
    <col min="22" max="22" width="16.90625" style="81" bestFit="1" customWidth="1"/>
    <col min="23" max="23" width="25.1796875" bestFit="1" customWidth="1"/>
    <col min="24" max="24" width="15.08984375" style="79" bestFit="1" customWidth="1"/>
    <col min="25" max="25" width="22.6328125" customWidth="1"/>
    <col min="26" max="26" width="13" bestFit="1" customWidth="1"/>
  </cols>
  <sheetData>
    <row r="1" spans="1:27" s="57" customFormat="1">
      <c r="A1" s="57" t="s">
        <v>2090</v>
      </c>
      <c r="B1" s="57" t="s">
        <v>8</v>
      </c>
      <c r="C1" s="57" t="s">
        <v>3593</v>
      </c>
      <c r="D1" s="57" t="s">
        <v>3594</v>
      </c>
      <c r="E1" s="57" t="s">
        <v>2091</v>
      </c>
      <c r="F1" s="57" t="s">
        <v>5508</v>
      </c>
      <c r="G1" s="79" t="s">
        <v>6116</v>
      </c>
      <c r="H1" s="57" t="s">
        <v>3595</v>
      </c>
      <c r="I1" s="79" t="s">
        <v>6115</v>
      </c>
      <c r="J1" s="57" t="s">
        <v>3591</v>
      </c>
      <c r="K1" s="79" t="s">
        <v>6114</v>
      </c>
      <c r="L1" s="57" t="s">
        <v>3596</v>
      </c>
      <c r="M1" s="57" t="s">
        <v>3597</v>
      </c>
      <c r="N1" s="57" t="s">
        <v>3592</v>
      </c>
      <c r="O1" s="57" t="s">
        <v>1453</v>
      </c>
      <c r="P1" s="57" t="s">
        <v>5498</v>
      </c>
      <c r="Q1" s="57" t="s">
        <v>5499</v>
      </c>
      <c r="R1" s="57" t="s">
        <v>6106</v>
      </c>
      <c r="S1" s="57" t="s">
        <v>6236</v>
      </c>
      <c r="T1" s="57" t="s">
        <v>6237</v>
      </c>
      <c r="U1" s="57" t="s">
        <v>6249</v>
      </c>
      <c r="V1" s="80" t="s">
        <v>5491</v>
      </c>
      <c r="W1" s="57" t="s">
        <v>5489</v>
      </c>
      <c r="X1" s="57" t="s">
        <v>5490</v>
      </c>
      <c r="Y1" s="57" t="s">
        <v>6238</v>
      </c>
      <c r="Z1" s="57" t="s">
        <v>6239</v>
      </c>
      <c r="AA1" s="57" t="s">
        <v>6247</v>
      </c>
    </row>
    <row r="2" spans="1:27">
      <c r="A2" t="s">
        <v>2671</v>
      </c>
      <c r="B2" t="str">
        <f>_xlfn.XLOOKUP(tblTargetStatus[[#This Row],[TargetID]],tblTargets[TargetID],tblTargets[DisplayName],"")</f>
        <v>Airship maxed</v>
      </c>
      <c r="C2" t="str">
        <f>IF(tblTargetStatus[[#This Row],[PlayerCompleted]],"COMPLETED",IF(tblTargetStatus[[#This Row],[MissingDependencies]]=0,"READY","BLOCKED"))</f>
        <v>BLOCKED</v>
      </c>
      <c r="D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 t="str">
        <f>_xlfn.XLOOKUP(tblTargetStatus[[#This Row],[TargetID]],tblTargets[TargetID],tblTargets[TargetType],"")</f>
        <v>BUILDING</v>
      </c>
      <c r="F2" t="str">
        <f>_xlfn.XLOOKUP(tblTargetStatus[[#This Row],[TargetID]],tblTargets[TargetID],tblTargets[StateType])</f>
        <v/>
      </c>
      <c r="G2">
        <f>_xlfn.LET(
_xlpm.id,tblTargetStatus[[#This Row],[TargetID]],
_xlpm.depCount,COUNTIF(tblDependencies[TargetID],_xlpm.id),
_xlpm.objCount,COUNTIF(tblQuestObjectives[QuestTargetID],_xlpm.id),
_xlpm.depCount+_xlpm.objCount
)</f>
        <v>1</v>
      </c>
      <c r="H2">
        <f>tblTargetStatus[[#This Row],[DependencyCount]]</f>
        <v>1</v>
      </c>
      <c r="I2" cm="1">
        <f t="array" ref="I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
        <f>tblTargetStatus[[#This Row],[CompletedDependencyCount]]</f>
        <v>0</v>
      </c>
      <c r="K2" t="b">
        <f>tblTargetStatus[[#This Row],[CompletedDependencies]]=tblTargetStatus[[#This Row],[TotalDependencies]]</f>
        <v>0</v>
      </c>
      <c r="L2">
        <f>tblTargetStatus[[#This Row],[TotalDependencies]]-tblTargetStatus[[#This Row],[CompletedDependencies]]</f>
        <v>1</v>
      </c>
      <c r="M2" t="str" cm="1">
        <f t="array" ref="M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building.airship@2</v>
      </c>
      <c r="N2" t="str">
        <f>IF(tblTargetStatus[[#This Row],[FirstMissingDependencyID]]="","",_xlfn.XLOOKUP(tblTargetStatus[[#This Row],[FirstMissingDependencyID]],tblTargets[TargetID],tblTargets[DisplayName],tblTargetStatus[[#This Row],[FirstMissingDependencyID]]))</f>
        <v>Airship Lv 2</v>
      </c>
      <c r="O2" t="str" cm="1">
        <f t="array" ref="O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2" t="str">
        <f>IF(tblTargetStatus[[#This Row],[FirstMissingDependencyID]]="","",_xlfn.XLOOKUP(tblTargetStatus[[#This Row],[FirstMissingDependencyID]],tblTargetStatus[TargetID],tblTargetStatus[Status],""))</f>
        <v>BLOCKED</v>
      </c>
      <c r="Q2" t="str">
        <f>IF(
 tblTargetStatus[[#This Row],[Status]]&lt;&gt;"BLOCKED",
 tblTargetStatus[[#This Row],[Status]],
 IF(
  AND(
   tblTargetStatus[[#This Row],[MissingDependencies]]=1,
   tblTargetStatus[[#This Row],[FirstMissingStatus]]="READY"
  ),
  "ONE AWAY",
  "BLOCKED"
 )
)</f>
        <v>BLOCKED</v>
      </c>
      <c r="R2">
        <f>IF(
 OR(
  tblTargetStatus[[#This Row],[StateType]]="CHARACTER",
  RIGHT(tblTargetStatus[[#This Row],[TargetID]],6)=".maxed"
 ),
 0,
 _xlfn.LET(
  _xlpm.sort,
   _xlfn.XLOOKUP(
    tblTargetStatus[[#This Row],[TargetID]],
    tblChecklist[TargetID],
    tblChecklist[PlayerSort],
    0
   ),
  IF(_xlpm.sort=0,500,_xlpm.sort)
 )
)</f>
        <v>0</v>
      </c>
      <c r="S2" t="str" cm="1">
        <f t="array" ref="S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Airship - Titanium Longerons</v>
      </c>
      <c r="T2" t="str">
        <f>_xlfn.XLOOKUP(tblTargetStatus[[#This Row],[TargetID]],tblTargets[TargetID],tblTargets[CompletionMethod],"")</f>
        <v>AUTO</v>
      </c>
      <c r="U2" t="b">
        <f>COUNTIF(
    tblCost[TargetID],
    tblTargetStatus[[#This Row],[TargetID]]
)&gt;0</f>
        <v>0</v>
      </c>
      <c r="V2" s="81" t="str">
        <f>IF(tblTargetStatus[[#This Row],[HasCost]]=FALSE,
"N/A",
_xlfn.XLOOKUP(
tblTargetStatus[[#This Row],[TargetID]],
tblCost[TargetID],
tblCost[FundingPercent],
""
)
)</f>
        <v>N/A</v>
      </c>
      <c r="W2" t="str">
        <f>IF(
COUNTIF(tblCost[TargetID],tblTargetStatus[[#This Row],[TargetID]])=0,
"",
_xlfn.XLOOKUP(
tblTargetStatus[[#This Row],[TargetID]],
tblCost[TargetID],
tblCost[RemainingRequirements],
""
)
)</f>
        <v/>
      </c>
      <c r="X2" s="79" t="str">
        <f>IF(tblTargetStatus[[#This Row],[HasCost]]=FALSE,"N/A",_xlfn.XLOOKUP(
tblTargetStatus[[#This Row],[TargetID]],
tblCost[TargetID],
tblCost[TargetFunded],
TRUE
))</f>
        <v>N/A</v>
      </c>
      <c r="Y2" t="str" cm="1">
        <f t="array" ref="Y2">_xlfn.TEXTJOIN(
", ",
TRUE,
_xlfn._xlws.FILTER(
tblCost[ResourceID]&amp;": "&amp;tblCost[QuantityRequired],
(tblCost[TargetID]=tblTargetStatus[[#This Row],[TargetID]])*
(tblCost[PlayerPaid]=FALSE),
""
)
)</f>
        <v/>
      </c>
      <c r="Z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 t="str" cm="1">
        <f t="array" ref="AA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 spans="1:27">
      <c r="A3" t="s">
        <v>13</v>
      </c>
      <c r="B3" t="str">
        <f>_xlfn.XLOOKUP(tblTargetStatus[[#This Row],[TargetID]],tblTargets[TargetID],tblTargets[DisplayName],"")</f>
        <v>Airship Lv 1</v>
      </c>
      <c r="C3" t="str">
        <f>IF(tblTargetStatus[[#This Row],[PlayerCompleted]],"COMPLETED",IF(tblTargetStatus[[#This Row],[MissingDependencies]]=0,"READY","BLOCKED"))</f>
        <v>BLOCKED</v>
      </c>
      <c r="D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 t="str">
        <f>_xlfn.XLOOKUP(tblTargetStatus[[#This Row],[TargetID]],tblTargets[TargetID],tblTargets[TargetType],"")</f>
        <v>BUILDING</v>
      </c>
      <c r="F3" t="str">
        <f>_xlfn.XLOOKUP(tblTargetStatus[[#This Row],[TargetID]],tblTargets[TargetID],tblTargets[StateType])</f>
        <v/>
      </c>
      <c r="G3">
        <f>_xlfn.LET(
_xlpm.id,tblTargetStatus[[#This Row],[TargetID]],
_xlpm.depCount,COUNTIF(tblDependencies[TargetID],_xlpm.id),
_xlpm.objCount,COUNTIF(tblQuestObjectives[QuestTargetID],_xlpm.id),
_xlpm.depCount+_xlpm.objCount
)</f>
        <v>2</v>
      </c>
      <c r="H3">
        <f>tblTargetStatus[[#This Row],[DependencyCount]]</f>
        <v>2</v>
      </c>
      <c r="I3" cm="1">
        <f t="array" ref="I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
        <f>tblTargetStatus[[#This Row],[CompletedDependencyCount]]</f>
        <v>0</v>
      </c>
      <c r="K3" t="b">
        <f>tblTargetStatus[[#This Row],[CompletedDependencies]]=tblTargetStatus[[#This Row],[TotalDependencies]]</f>
        <v>0</v>
      </c>
      <c r="L3">
        <f>tblTargetStatus[[#This Row],[TotalDependencies]]-tblTargetStatus[[#This Row],[CompletedDependencies]]</f>
        <v>2</v>
      </c>
      <c r="M3" t="str" cm="1">
        <f t="array" ref="M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3" t="str">
        <f>IF(tblTargetStatus[[#This Row],[FirstMissingDependencyID]]="","",_xlfn.XLOOKUP(tblTargetStatus[[#This Row],[FirstMissingDependencyID]],tblTargets[TargetID],tblTargets[DisplayName],tblTargetStatus[[#This Row],[FirstMissingDependencyID]]))</f>
        <v>Bridge Lv 1</v>
      </c>
      <c r="O3" t="str" cm="1">
        <f t="array" ref="O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ruby,2000 coin,120 silk,20 thread,200 chemicals,20 reagent,50 miron,40 page</v>
      </c>
      <c r="P3" t="str">
        <f>IF(tblTargetStatus[[#This Row],[FirstMissingDependencyID]]="","",_xlfn.XLOOKUP(tblTargetStatus[[#This Row],[FirstMissingDependencyID]],tblTargetStatus[TargetID],tblTargetStatus[Status],""))</f>
        <v>BLOCKED</v>
      </c>
      <c r="Q3" t="str">
        <f>IF(
 tblTargetStatus[[#This Row],[Status]]&lt;&gt;"BLOCKED",
 tblTargetStatus[[#This Row],[Status]],
 IF(
  AND(
   tblTargetStatus[[#This Row],[MissingDependencies]]=1,
   tblTargetStatus[[#This Row],[FirstMissingStatus]]="READY"
  ),
  "ONE AWAY",
  "BLOCKED"
 )
)</f>
        <v>BLOCKED</v>
      </c>
      <c r="R3">
        <f>IF(
 OR(
  tblTargetStatus[[#This Row],[StateType]]="CHARACTER",
  RIGHT(tblTargetStatus[[#This Row],[TargetID]],6)=".maxed"
 ),
 0,
 _xlfn.LET(
  _xlpm.sort,
   _xlfn.XLOOKUP(
    tblTargetStatus[[#This Row],[TargetID]],
    tblChecklist[TargetID],
    tblChecklist[PlayerSort],
    0
   ),
  IF(_xlpm.sort=0,500,_xlpm.sort)
 )
)</f>
        <v>44</v>
      </c>
      <c r="S3" t="str" cm="1">
        <f t="array" ref="S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Airship Lv 2, Astrolabe, Cinema Projector, Dagger, Helmet, Safe, Telescope, Tetrachloroaurate, Festival Returns Accepted, Quest for Knowledge Chapter 5 Accepted</v>
      </c>
      <c r="T3" t="str">
        <f>_xlfn.XLOOKUP(tblTargetStatus[[#This Row],[TargetID]],tblTargets[TargetID],tblTargets[CompletionMethod],"")</f>
        <v>PLAYER</v>
      </c>
      <c r="U3" t="b">
        <f>COUNTIF(
    tblCost[TargetID],
    tblTargetStatus[[#This Row],[TargetID]]
)&gt;0</f>
        <v>1</v>
      </c>
      <c r="V3" s="81">
        <f>IF(tblTargetStatus[[#This Row],[HasCost]]=FALSE,
"N/A",
_xlfn.XLOOKUP(
tblTargetStatus[[#This Row],[TargetID]],
tblCost[TargetID],
tblCost[FundingPercent],
""
)
)</f>
        <v>0</v>
      </c>
      <c r="W3">
        <f>IF(
COUNTIF(tblCost[TargetID],tblTargetStatus[[#This Row],[TargetID]])=0,
"",
_xlfn.XLOOKUP(
tblTargetStatus[[#This Row],[TargetID]],
tblCost[TargetID],
tblCost[RemainingRequirements],
""
)
)</f>
        <v>8</v>
      </c>
      <c r="X3" s="79" t="b">
        <f>IF(tblTargetStatus[[#This Row],[HasCost]]=FALSE,"N/A",_xlfn.XLOOKUP(
tblTargetStatus[[#This Row],[TargetID]],
tblCost[TargetID],
tblCost[TargetFunded],
TRUE
))</f>
        <v>0</v>
      </c>
      <c r="Y3" t="str" cm="1">
        <f t="array" ref="Y3">_xlfn.TEXTJOIN(
", ",
TRUE,
_xlfn._xlws.FILTER(
tblCost[ResourceID]&amp;": "&amp;tblCost[QuantityRequired],
(tblCost[TargetID]=tblTargetStatus[[#This Row],[TargetID]])*
(tblCost[PlayerPaid]=FALSE),
""
)
)</f>
        <v>ruby: 10, coin: 2000, silk: 120, thread: 20, chemicals: 200, reagent: 20, miron: 50, page: 40</v>
      </c>
      <c r="Z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 t="str" cm="1">
        <f t="array" ref="AA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Festival Returns, Quest for Knowledge Chapter 5</v>
      </c>
    </row>
    <row r="4" spans="1:27" ht="29">
      <c r="A4" t="s">
        <v>15</v>
      </c>
      <c r="B4" t="str">
        <f>_xlfn.XLOOKUP(tblTargetStatus[[#This Row],[TargetID]],tblTargets[TargetID],tblTargets[DisplayName],"")</f>
        <v>Airship Lv 2</v>
      </c>
      <c r="C4" t="str">
        <f>IF(tblTargetStatus[[#This Row],[PlayerCompleted]],"COMPLETED",IF(tblTargetStatus[[#This Row],[MissingDependencies]]=0,"READY","BLOCKED"))</f>
        <v>BLOCKED</v>
      </c>
      <c r="D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 t="str">
        <f>_xlfn.XLOOKUP(tblTargetStatus[[#This Row],[TargetID]],tblTargets[TargetID],tblTargets[TargetType],"")</f>
        <v>BUILDING</v>
      </c>
      <c r="F4" t="str">
        <f>_xlfn.XLOOKUP(tblTargetStatus[[#This Row],[TargetID]],tblTargets[TargetID],tblTargets[StateType])</f>
        <v/>
      </c>
      <c r="G4">
        <f>_xlfn.LET(
_xlpm.id,tblTargetStatus[[#This Row],[TargetID]],
_xlpm.depCount,COUNTIF(tblDependencies[TargetID],_xlpm.id),
_xlpm.objCount,COUNTIF(tblQuestObjectives[QuestTargetID],_xlpm.id),
_xlpm.depCount+_xlpm.objCount
)</f>
        <v>2</v>
      </c>
      <c r="H4">
        <f>tblTargetStatus[[#This Row],[DependencyCount]]</f>
        <v>2</v>
      </c>
      <c r="I4" cm="1">
        <f t="array" ref="I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
        <f>tblTargetStatus[[#This Row],[CompletedDependencyCount]]</f>
        <v>0</v>
      </c>
      <c r="K4" t="b">
        <f>tblTargetStatus[[#This Row],[CompletedDependencies]]=tblTargetStatus[[#This Row],[TotalDependencies]]</f>
        <v>0</v>
      </c>
      <c r="L4">
        <f>tblTargetStatus[[#This Row],[TotalDependencies]]-tblTargetStatus[[#This Row],[CompletedDependencies]]</f>
        <v>2</v>
      </c>
      <c r="M4" t="str" cm="1">
        <f t="array" ref="M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state.character_level@40</v>
      </c>
      <c r="N4" t="str">
        <f>IF(tblTargetStatus[[#This Row],[FirstMissingDependencyID]]="","",_xlfn.XLOOKUP(tblTargetStatus[[#This Row],[FirstMissingDependencyID]],tblTargets[TargetID],tblTargets[DisplayName],tblTargetStatus[[#This Row],[FirstMissingDependencyID]]))</f>
        <v>Character Level@40</v>
      </c>
      <c r="O4" s="2" t="str" cm="1">
        <f t="array" ref="O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12 ruby,3000 coin,60 plank,100 silk,20 gears,50 fan,10 thread</v>
      </c>
      <c r="P4" t="str">
        <f>IF(tblTargetStatus[[#This Row],[FirstMissingDependencyID]]="","",_xlfn.XLOOKUP(tblTargetStatus[[#This Row],[FirstMissingDependencyID]],tblTargetStatus[TargetID],tblTargetStatus[Status],""))</f>
        <v>READY</v>
      </c>
      <c r="Q4" t="str">
        <f>IF(
 tblTargetStatus[[#This Row],[Status]]&lt;&gt;"BLOCKED",
 tblTargetStatus[[#This Row],[Status]],
 IF(
  AND(
   tblTargetStatus[[#This Row],[MissingDependencies]]=1,
   tblTargetStatus[[#This Row],[FirstMissingStatus]]="READY"
  ),
  "ONE AWAY",
  "BLOCKED"
 )
)</f>
        <v>BLOCKED</v>
      </c>
      <c r="R4">
        <f>IF(
 OR(
  tblTargetStatus[[#This Row],[StateType]]="CHARACTER",
  RIGHT(tblTargetStatus[[#This Row],[TargetID]],6)=".maxed"
 ),
 0,
 _xlfn.LET(
  _xlpm.sort,
   _xlfn.XLOOKUP(
    tblTargetStatus[[#This Row],[TargetID]],
    tblChecklist[TargetID],
    tblChecklist[PlayerSort],
    0
   ),
  IF(_xlpm.sort=0,500,_xlpm.sort)
 )
)</f>
        <v>45</v>
      </c>
      <c r="S4" t="str" cm="1">
        <f t="array" ref="S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Airship maxed</v>
      </c>
      <c r="T4" t="str">
        <f>_xlfn.XLOOKUP(tblTargetStatus[[#This Row],[TargetID]],tblTargets[TargetID],tblTargets[CompletionMethod],"")</f>
        <v>PLAYER</v>
      </c>
      <c r="U4" t="b">
        <f>COUNTIF(
    tblCost[TargetID],
    tblTargetStatus[[#This Row],[TargetID]]
)&gt;0</f>
        <v>1</v>
      </c>
      <c r="V4" s="81">
        <f>IF(tblTargetStatus[[#This Row],[HasCost]]=FALSE,
"N/A",
_xlfn.XLOOKUP(
tblTargetStatus[[#This Row],[TargetID]],
tblCost[TargetID],
tblCost[FundingPercent],
""
)
)</f>
        <v>0</v>
      </c>
      <c r="W4">
        <f>IF(
COUNTIF(tblCost[TargetID],tblTargetStatus[[#This Row],[TargetID]])=0,
"",
_xlfn.XLOOKUP(
tblTargetStatus[[#This Row],[TargetID]],
tblCost[TargetID],
tblCost[RemainingRequirements],
""
)
)</f>
        <v>7</v>
      </c>
      <c r="X4" s="79" t="b">
        <f>IF(tblTargetStatus[[#This Row],[HasCost]]=FALSE,"N/A",_xlfn.XLOOKUP(
tblTargetStatus[[#This Row],[TargetID]],
tblCost[TargetID],
tblCost[TargetFunded],
TRUE
))</f>
        <v>0</v>
      </c>
      <c r="Y4" t="str" cm="1">
        <f t="array" ref="Y4">_xlfn.TEXTJOIN(
", ",
TRUE,
_xlfn._xlws.FILTER(
tblCost[ResourceID]&amp;": "&amp;tblCost[QuantityRequired],
(tblCost[TargetID]=tblTargetStatus[[#This Row],[TargetID]])*
(tblCost[PlayerPaid]=FALSE),
""
)
)</f>
        <v>ruby: 12, coin: 3000, plank: 60, silk: 100, gears: 20, fan: 50, thread: 10</v>
      </c>
      <c r="Z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 t="str" cm="1">
        <f t="array" ref="AA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 spans="1:27">
      <c r="A5" t="s">
        <v>2672</v>
      </c>
      <c r="B5" t="str">
        <f>_xlfn.XLOOKUP(tblTargetStatus[[#This Row],[TargetID]],tblTargets[TargetID],tblTargets[DisplayName],"")</f>
        <v>Alchemists Hut maxed</v>
      </c>
      <c r="C5" t="str">
        <f>IF(tblTargetStatus[[#This Row],[PlayerCompleted]],"COMPLETED",IF(tblTargetStatus[[#This Row],[MissingDependencies]]=0,"READY","BLOCKED"))</f>
        <v>BLOCKED</v>
      </c>
      <c r="D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 t="str">
        <f>_xlfn.XLOOKUP(tblTargetStatus[[#This Row],[TargetID]],tblTargets[TargetID],tblTargets[TargetType],"")</f>
        <v>BUILDING</v>
      </c>
      <c r="F5" t="str">
        <f>_xlfn.XLOOKUP(tblTargetStatus[[#This Row],[TargetID]],tblTargets[TargetID],tblTargets[StateType])</f>
        <v/>
      </c>
      <c r="G5">
        <f>_xlfn.LET(
_xlpm.id,tblTargetStatus[[#This Row],[TargetID]],
_xlpm.depCount,COUNTIF(tblDependencies[TargetID],_xlpm.id),
_xlpm.objCount,COUNTIF(tblQuestObjectives[QuestTargetID],_xlpm.id),
_xlpm.depCount+_xlpm.objCount
)</f>
        <v>1</v>
      </c>
      <c r="H5">
        <f>tblTargetStatus[[#This Row],[DependencyCount]]</f>
        <v>1</v>
      </c>
      <c r="I5" cm="1">
        <f t="array" ref="I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
        <f>tblTargetStatus[[#This Row],[CompletedDependencyCount]]</f>
        <v>0</v>
      </c>
      <c r="K5" t="b">
        <f>tblTargetStatus[[#This Row],[CompletedDependencies]]=tblTargetStatus[[#This Row],[TotalDependencies]]</f>
        <v>0</v>
      </c>
      <c r="L5">
        <f>tblTargetStatus[[#This Row],[TotalDependencies]]-tblTargetStatus[[#This Row],[CompletedDependencies]]</f>
        <v>1</v>
      </c>
      <c r="M5" t="str" cm="1">
        <f t="array" ref="M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building.alchemists_hut@6</v>
      </c>
      <c r="N5" t="str">
        <f>IF(tblTargetStatus[[#This Row],[FirstMissingDependencyID]]="","",_xlfn.XLOOKUP(tblTargetStatus[[#This Row],[FirstMissingDependencyID]],tblTargets[TargetID],tblTargets[DisplayName],tblTargetStatus[[#This Row],[FirstMissingDependencyID]]))</f>
        <v>Alchemist's Hut Lv 6</v>
      </c>
      <c r="O5" s="2" t="str" cm="1">
        <f t="array" ref="O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 t="str">
        <f>IF(tblTargetStatus[[#This Row],[FirstMissingDependencyID]]="","",_xlfn.XLOOKUP(tblTargetStatus[[#This Row],[FirstMissingDependencyID]],tblTargetStatus[TargetID],tblTargetStatus[Status],""))</f>
        <v>BLOCKED</v>
      </c>
      <c r="Q5" t="str">
        <f>IF(
 tblTargetStatus[[#This Row],[Status]]&lt;&gt;"BLOCKED",
 tblTargetStatus[[#This Row],[Status]],
 IF(
  AND(
   tblTargetStatus[[#This Row],[MissingDependencies]]=1,
   tblTargetStatus[[#This Row],[FirstMissingStatus]]="READY"
  ),
  "ONE AWAY",
  "BLOCKED"
 )
)</f>
        <v>BLOCKED</v>
      </c>
      <c r="R5">
        <f>IF(
 OR(
  tblTargetStatus[[#This Row],[StateType]]="CHARACTER",
  RIGHT(tblTargetStatus[[#This Row],[TargetID]],6)=".maxed"
 ),
 0,
 _xlfn.LET(
  _xlpm.sort,
   _xlfn.XLOOKUP(
    tblTargetStatus[[#This Row],[TargetID]],
    tblChecklist[TargetID],
    tblChecklist[PlayerSort],
    0
   ),
  IF(_xlpm.sort=0,500,_xlpm.sort)
 )
)</f>
        <v>0</v>
      </c>
      <c r="S5" t="str" cm="1">
        <f t="array" ref="S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 Balm, Alchemists Hut - Conveyor Lvl 1, Alchemists Hut - Galvanization, Alchemists Hut - Greek Grenade, Alchemists Hut - Mercury, Alchemists Hut - Potion Ambrosia, Alchemists Hut - Potion Berserker Rage, Alchemists Hut - Potion Of Energy, Alchemists Hut - Potion Of Healing, Alchemists Hut - Potion Of Mental Power, Alchemists Hut - Synthetic Fertilizer</v>
      </c>
      <c r="T5" t="str">
        <f>_xlfn.XLOOKUP(tblTargetStatus[[#This Row],[TargetID]],tblTargets[TargetID],tblTargets[CompletionMethod],"")</f>
        <v>AUTO</v>
      </c>
      <c r="U5" t="b">
        <f>COUNTIF(
    tblCost[TargetID],
    tblTargetStatus[[#This Row],[TargetID]]
)&gt;0</f>
        <v>0</v>
      </c>
      <c r="V5" s="81" t="str">
        <f>IF(tblTargetStatus[[#This Row],[HasCost]]=FALSE,
"N/A",
_xlfn.XLOOKUP(
tblTargetStatus[[#This Row],[TargetID]],
tblCost[TargetID],
tblCost[FundingPercent],
""
)
)</f>
        <v>N/A</v>
      </c>
      <c r="W5" t="str">
        <f>IF(
COUNTIF(tblCost[TargetID],tblTargetStatus[[#This Row],[TargetID]])=0,
"",
_xlfn.XLOOKUP(
tblTargetStatus[[#This Row],[TargetID]],
tblCost[TargetID],
tblCost[RemainingRequirements],
""
)
)</f>
        <v/>
      </c>
      <c r="X5" s="79" t="str">
        <f>IF(tblTargetStatus[[#This Row],[HasCost]]=FALSE,"N/A",_xlfn.XLOOKUP(
tblTargetStatus[[#This Row],[TargetID]],
tblCost[TargetID],
tblCost[TargetFunded],
TRUE
))</f>
        <v>N/A</v>
      </c>
      <c r="Y5" t="str" cm="1">
        <f t="array" ref="Y5">_xlfn.TEXTJOIN(
", ",
TRUE,
_xlfn._xlws.FILTER(
tblCost[ResourceID]&amp;": "&amp;tblCost[QuantityRequired],
(tblCost[TargetID]=tblTargetStatus[[#This Row],[TargetID]])*
(tblCost[PlayerPaid]=FALSE),
""
)
)</f>
        <v/>
      </c>
      <c r="Z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 t="str" cm="1">
        <f t="array" ref="AA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 spans="1:27">
      <c r="A6" t="s">
        <v>16</v>
      </c>
      <c r="B6" t="str">
        <f>_xlfn.XLOOKUP(tblTargetStatus[[#This Row],[TargetID]],tblTargets[TargetID],tblTargets[DisplayName],"")</f>
        <v>Alchemist's Hut Lv 1</v>
      </c>
      <c r="C6" t="str">
        <f>IF(tblTargetStatus[[#This Row],[PlayerCompleted]],"COMPLETED",IF(tblTargetStatus[[#This Row],[MissingDependencies]]=0,"READY","BLOCKED"))</f>
        <v>BLOCKED</v>
      </c>
      <c r="D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 t="str">
        <f>_xlfn.XLOOKUP(tblTargetStatus[[#This Row],[TargetID]],tblTargets[TargetID],tblTargets[TargetType],"")</f>
        <v>BUILDING</v>
      </c>
      <c r="F6" t="str">
        <f>_xlfn.XLOOKUP(tblTargetStatus[[#This Row],[TargetID]],tblTargets[TargetID],tblTargets[StateType])</f>
        <v/>
      </c>
      <c r="G6">
        <f>_xlfn.LET(
_xlpm.id,tblTargetStatus[[#This Row],[TargetID]],
_xlpm.depCount,COUNTIF(tblDependencies[TargetID],_xlpm.id),
_xlpm.objCount,COUNTIF(tblQuestObjectives[QuestTargetID],_xlpm.id),
_xlpm.depCount+_xlpm.objCount
)</f>
        <v>1</v>
      </c>
      <c r="H6">
        <f>tblTargetStatus[[#This Row],[DependencyCount]]</f>
        <v>1</v>
      </c>
      <c r="I6" cm="1">
        <f t="array" ref="I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
        <f>tblTargetStatus[[#This Row],[CompletedDependencyCount]]</f>
        <v>0</v>
      </c>
      <c r="K6" t="b">
        <f>tblTargetStatus[[#This Row],[CompletedDependencies]]=tblTargetStatus[[#This Row],[TotalDependencies]]</f>
        <v>0</v>
      </c>
      <c r="L6">
        <f>tblTargetStatus[[#This Row],[TotalDependencies]]-tblTargetStatus[[#This Row],[CompletedDependencies]]</f>
        <v>1</v>
      </c>
      <c r="M6" t="str" cm="1">
        <f t="array" ref="M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state.character_level@6</v>
      </c>
      <c r="N6" t="str">
        <f>IF(tblTargetStatus[[#This Row],[FirstMissingDependencyID]]="","",_xlfn.XLOOKUP(tblTargetStatus[[#This Row],[FirstMissingDependencyID]],tblTargets[TargetID],tblTargets[DisplayName],tblTargetStatus[[#This Row],[FirstMissingDependencyID]]))</f>
        <v>Character Level@6</v>
      </c>
      <c r="O6" s="2" t="str" cm="1">
        <f t="array" ref="O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ruby,140 coin,70 wood,70 stone</v>
      </c>
      <c r="P6" t="str">
        <f>IF(tblTargetStatus[[#This Row],[FirstMissingDependencyID]]="","",_xlfn.XLOOKUP(tblTargetStatus[[#This Row],[FirstMissingDependencyID]],tblTargetStatus[TargetID],tblTargetStatus[Status],""))</f>
        <v>READY</v>
      </c>
      <c r="Q6" t="str">
        <f>IF(
 tblTargetStatus[[#This Row],[Status]]&lt;&gt;"BLOCKED",
 tblTargetStatus[[#This Row],[Status]],
 IF(
  AND(
   tblTargetStatus[[#This Row],[MissingDependencies]]=1,
   tblTargetStatus[[#This Row],[FirstMissingStatus]]="READY"
  ),
  "ONE AWAY",
  "BLOCKED"
 )
)</f>
        <v>ONE AWAY</v>
      </c>
      <c r="R6">
        <f>IF(
 OR(
  tblTargetStatus[[#This Row],[StateType]]="CHARACTER",
  RIGHT(tblTargetStatus[[#This Row],[TargetID]],6)=".maxed"
 ),
 0,
 _xlfn.LET(
  _xlpm.sort,
   _xlfn.XLOOKUP(
    tblTargetStatus[[#This Row],[TargetID]],
    tblChecklist[TargetID],
    tblChecklist[PlayerSort],
    0
   ),
  IF(_xlpm.sort=0,500,_xlpm.sort)
 )
)</f>
        <v>4</v>
      </c>
      <c r="S6" t="str" cm="1">
        <f t="array" ref="S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2</v>
      </c>
      <c r="T6" t="str">
        <f>_xlfn.XLOOKUP(tblTargetStatus[[#This Row],[TargetID]],tblTargets[TargetID],tblTargets[CompletionMethod],"")</f>
        <v>PLAYER</v>
      </c>
      <c r="U6" t="b">
        <f>COUNTIF(
    tblCost[TargetID],
    tblTargetStatus[[#This Row],[TargetID]]
)&gt;0</f>
        <v>1</v>
      </c>
      <c r="V6" s="81">
        <f>IF(tblTargetStatus[[#This Row],[HasCost]]=FALSE,
"N/A",
_xlfn.XLOOKUP(
tblTargetStatus[[#This Row],[TargetID]],
tblCost[TargetID],
tblCost[FundingPercent],
""
)
)</f>
        <v>0</v>
      </c>
      <c r="W6">
        <f>IF(
COUNTIF(tblCost[TargetID],tblTargetStatus[[#This Row],[TargetID]])=0,
"",
_xlfn.XLOOKUP(
tblTargetStatus[[#This Row],[TargetID]],
tblCost[TargetID],
tblCost[RemainingRequirements],
""
)
)</f>
        <v>4</v>
      </c>
      <c r="X6" s="79" t="b">
        <f>IF(tblTargetStatus[[#This Row],[HasCost]]=FALSE,"N/A",_xlfn.XLOOKUP(
tblTargetStatus[[#This Row],[TargetID]],
tblCost[TargetID],
tblCost[TargetFunded],
TRUE
))</f>
        <v>0</v>
      </c>
      <c r="Y6" t="str" cm="1">
        <f t="array" ref="Y6">_xlfn.TEXTJOIN(
", ",
TRUE,
_xlfn._xlws.FILTER(
tblCost[ResourceID]&amp;": "&amp;tblCost[QuantityRequired],
(tblCost[TargetID]=tblTargetStatus[[#This Row],[TargetID]])*
(tblCost[PlayerPaid]=FALSE),
""
)
)</f>
        <v>ruby: 1, coin: 140, wood: 70, stone: 70</v>
      </c>
      <c r="Z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 t="str" cm="1">
        <f t="array" ref="AA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 spans="1:27">
      <c r="A7" t="s">
        <v>19</v>
      </c>
      <c r="B7" t="str">
        <f>_xlfn.XLOOKUP(tblTargetStatus[[#This Row],[TargetID]],tblTargets[TargetID],tblTargets[DisplayName],"")</f>
        <v>Alchemist's Hut Lv 2</v>
      </c>
      <c r="C7" t="str">
        <f>IF(tblTargetStatus[[#This Row],[PlayerCompleted]],"COMPLETED",IF(tblTargetStatus[[#This Row],[MissingDependencies]]=0,"READY","BLOCKED"))</f>
        <v>BLOCKED</v>
      </c>
      <c r="D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 t="str">
        <f>_xlfn.XLOOKUP(tblTargetStatus[[#This Row],[TargetID]],tblTargets[TargetID],tblTargets[TargetType],"")</f>
        <v>BUILDING</v>
      </c>
      <c r="F7" t="str">
        <f>_xlfn.XLOOKUP(tblTargetStatus[[#This Row],[TargetID]],tblTargets[TargetID],tblTargets[StateType])</f>
        <v/>
      </c>
      <c r="G7">
        <f>_xlfn.LET(
_xlpm.id,tblTargetStatus[[#This Row],[TargetID]],
_xlpm.depCount,COUNTIF(tblDependencies[TargetID],_xlpm.id),
_xlpm.objCount,COUNTIF(tblQuestObjectives[QuestTargetID],_xlpm.id),
_xlpm.depCount+_xlpm.objCount
)</f>
        <v>2</v>
      </c>
      <c r="H7">
        <f>tblTargetStatus[[#This Row],[DependencyCount]]</f>
        <v>2</v>
      </c>
      <c r="I7" cm="1">
        <f t="array" ref="I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
        <f>tblTargetStatus[[#This Row],[CompletedDependencyCount]]</f>
        <v>0</v>
      </c>
      <c r="K7" t="b">
        <f>tblTargetStatus[[#This Row],[CompletedDependencies]]=tblTargetStatus[[#This Row],[TotalDependencies]]</f>
        <v>0</v>
      </c>
      <c r="L7">
        <f>tblTargetStatus[[#This Row],[TotalDependencies]]-tblTargetStatus[[#This Row],[CompletedDependencies]]</f>
        <v>2</v>
      </c>
      <c r="M7" t="str" cm="1">
        <f t="array" ref="M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building.guild@2</v>
      </c>
      <c r="N7" t="str">
        <f>IF(tblTargetStatus[[#This Row],[FirstMissingDependencyID]]="","",_xlfn.XLOOKUP(tblTargetStatus[[#This Row],[FirstMissingDependencyID]],tblTargets[TargetID],tblTargets[DisplayName],tblTargetStatus[[#This Row],[FirstMissingDependencyID]]))</f>
        <v>Guild Lv 2</v>
      </c>
      <c r="O7" t="str" cm="1">
        <f t="array" ref="O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ruby,200 coin,100 wood,100 stone,20 chemicals</v>
      </c>
      <c r="P7" t="str">
        <f>IF(tblTargetStatus[[#This Row],[FirstMissingDependencyID]]="","",_xlfn.XLOOKUP(tblTargetStatus[[#This Row],[FirstMissingDependencyID]],tblTargetStatus[TargetID],tblTargetStatus[Status],""))</f>
        <v>READY</v>
      </c>
      <c r="Q7" t="str">
        <f>IF(
 tblTargetStatus[[#This Row],[Status]]&lt;&gt;"BLOCKED",
 tblTargetStatus[[#This Row],[Status]],
 IF(
  AND(
   tblTargetStatus[[#This Row],[MissingDependencies]]=1,
   tblTargetStatus[[#This Row],[FirstMissingStatus]]="READY"
  ),
  "ONE AWAY",
  "BLOCKED"
 )
)</f>
        <v>BLOCKED</v>
      </c>
      <c r="R7">
        <f>IF(
 OR(
  tblTargetStatus[[#This Row],[StateType]]="CHARACTER",
  RIGHT(tblTargetStatus[[#This Row],[TargetID]],6)=".maxed"
 ),
 0,
 _xlfn.LET(
  _xlpm.sort,
   _xlfn.XLOOKUP(
    tblTargetStatus[[#This Row],[TargetID]],
    tblChecklist[TargetID],
    tblChecklist[PlayerSort],
    0
   ),
  IF(_xlpm.sort=0,500,_xlpm.sort)
 )
)</f>
        <v>5</v>
      </c>
      <c r="S7" t="str" cm="1">
        <f t="array" ref="S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3</v>
      </c>
      <c r="T7" t="str">
        <f>_xlfn.XLOOKUP(tblTargetStatus[[#This Row],[TargetID]],tblTargets[TargetID],tblTargets[CompletionMethod],"")</f>
        <v>PLAYER</v>
      </c>
      <c r="U7" t="b">
        <f>COUNTIF(
    tblCost[TargetID],
    tblTargetStatus[[#This Row],[TargetID]]
)&gt;0</f>
        <v>1</v>
      </c>
      <c r="V7" s="81">
        <f>IF(tblTargetStatus[[#This Row],[HasCost]]=FALSE,
"N/A",
_xlfn.XLOOKUP(
tblTargetStatus[[#This Row],[TargetID]],
tblCost[TargetID],
tblCost[FundingPercent],
""
)
)</f>
        <v>0</v>
      </c>
      <c r="W7">
        <f>IF(
COUNTIF(tblCost[TargetID],tblTargetStatus[[#This Row],[TargetID]])=0,
"",
_xlfn.XLOOKUP(
tblTargetStatus[[#This Row],[TargetID]],
tblCost[TargetID],
tblCost[RemainingRequirements],
""
)
)</f>
        <v>5</v>
      </c>
      <c r="X7" s="79" t="b">
        <f>IF(tblTargetStatus[[#This Row],[HasCost]]=FALSE,"N/A",_xlfn.XLOOKUP(
tblTargetStatus[[#This Row],[TargetID]],
tblCost[TargetID],
tblCost[TargetFunded],
TRUE
))</f>
        <v>0</v>
      </c>
      <c r="Y7" t="str" cm="1">
        <f t="array" ref="Y7">_xlfn.TEXTJOIN(
", ",
TRUE,
_xlfn._xlws.FILTER(
tblCost[ResourceID]&amp;": "&amp;tblCost[QuantityRequired],
(tblCost[TargetID]=tblTargetStatus[[#This Row],[TargetID]])*
(tblCost[PlayerPaid]=FALSE),
""
)
)</f>
        <v>ruby: 2, coin: 200, wood: 100, stone: 100, chemicals: 20</v>
      </c>
      <c r="Z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 t="str" cm="1">
        <f t="array" ref="AA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 spans="1:27">
      <c r="A8" t="s">
        <v>20</v>
      </c>
      <c r="B8" t="str">
        <f>_xlfn.XLOOKUP(tblTargetStatus[[#This Row],[TargetID]],tblTargets[TargetID],tblTargets[DisplayName],"")</f>
        <v>Alchemist's Hut Lv 3</v>
      </c>
      <c r="C8" t="str">
        <f>IF(tblTargetStatus[[#This Row],[PlayerCompleted]],"COMPLETED",IF(tblTargetStatus[[#This Row],[MissingDependencies]]=0,"READY","BLOCKED"))</f>
        <v>BLOCKED</v>
      </c>
      <c r="D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 t="str">
        <f>_xlfn.XLOOKUP(tblTargetStatus[[#This Row],[TargetID]],tblTargets[TargetID],tblTargets[TargetType],"")</f>
        <v>BUILDING</v>
      </c>
      <c r="F8" t="str">
        <f>_xlfn.XLOOKUP(tblTargetStatus[[#This Row],[TargetID]],tblTargets[TargetID],tblTargets[StateType])</f>
        <v/>
      </c>
      <c r="G8">
        <f>_xlfn.LET(
_xlpm.id,tblTargetStatus[[#This Row],[TargetID]],
_xlpm.depCount,COUNTIF(tblDependencies[TargetID],_xlpm.id),
_xlpm.objCount,COUNTIF(tblQuestObjectives[QuestTargetID],_xlpm.id),
_xlpm.depCount+_xlpm.objCount
)</f>
        <v>2</v>
      </c>
      <c r="H8">
        <f>tblTargetStatus[[#This Row],[DependencyCount]]</f>
        <v>2</v>
      </c>
      <c r="I8" cm="1">
        <f t="array" ref="I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
        <f>tblTargetStatus[[#This Row],[CompletedDependencyCount]]</f>
        <v>0</v>
      </c>
      <c r="K8" t="b">
        <f>tblTargetStatus[[#This Row],[CompletedDependencies]]=tblTargetStatus[[#This Row],[TotalDependencies]]</f>
        <v>0</v>
      </c>
      <c r="L8">
        <f>tblTargetStatus[[#This Row],[TotalDependencies]]-tblTargetStatus[[#This Row],[CompletedDependencies]]</f>
        <v>2</v>
      </c>
      <c r="M8" t="str" cm="1">
        <f t="array" ref="M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building.guild@3</v>
      </c>
      <c r="N8" t="str">
        <f>IF(tblTargetStatus[[#This Row],[FirstMissingDependencyID]]="","",_xlfn.XLOOKUP(tblTargetStatus[[#This Row],[FirstMissingDependencyID]],tblTargets[TargetID],tblTargets[DisplayName],tblTargetStatus[[#This Row],[FirstMissingDependencyID]]))</f>
        <v>Guild Lv 3</v>
      </c>
      <c r="O8" t="str" cm="1">
        <f t="array" ref="O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ruby,300 coin,300 beam,150 stone,40 chemicals,40 charcoal</v>
      </c>
      <c r="P8" t="str">
        <f>IF(tblTargetStatus[[#This Row],[FirstMissingDependencyID]]="","",_xlfn.XLOOKUP(tblTargetStatus[[#This Row],[FirstMissingDependencyID]],tblTargetStatus[TargetID],tblTargetStatus[Status],""))</f>
        <v>BLOCKED</v>
      </c>
      <c r="Q8" t="str">
        <f>IF(
 tblTargetStatus[[#This Row],[Status]]&lt;&gt;"BLOCKED",
 tblTargetStatus[[#This Row],[Status]],
 IF(
  AND(
   tblTargetStatus[[#This Row],[MissingDependencies]]=1,
   tblTargetStatus[[#This Row],[FirstMissingStatus]]="READY"
  ),
  "ONE AWAY",
  "BLOCKED"
 )
)</f>
        <v>BLOCKED</v>
      </c>
      <c r="R8">
        <f>IF(
 OR(
  tblTargetStatus[[#This Row],[StateType]]="CHARACTER",
  RIGHT(tblTargetStatus[[#This Row],[TargetID]],6)=".maxed"
 ),
 0,
 _xlfn.LET(
  _xlpm.sort,
   _xlfn.XLOOKUP(
    tblTargetStatus[[#This Row],[TargetID]],
    tblChecklist[TargetID],
    tblChecklist[PlayerSort],
    0
   ),
  IF(_xlpm.sort=0,500,_xlpm.sort)
 )
)</f>
        <v>51</v>
      </c>
      <c r="S8" t="str" cm="1">
        <f t="array" ref="S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4</v>
      </c>
      <c r="T8" t="str">
        <f>_xlfn.XLOOKUP(tblTargetStatus[[#This Row],[TargetID]],tblTargets[TargetID],tblTargets[CompletionMethod],"")</f>
        <v>PLAYER</v>
      </c>
      <c r="U8" t="b">
        <f>COUNTIF(
    tblCost[TargetID],
    tblTargetStatus[[#This Row],[TargetID]]
)&gt;0</f>
        <v>1</v>
      </c>
      <c r="V8" s="81">
        <f>IF(tblTargetStatus[[#This Row],[HasCost]]=FALSE,
"N/A",
_xlfn.XLOOKUP(
tblTargetStatus[[#This Row],[TargetID]],
tblCost[TargetID],
tblCost[FundingPercent],
""
)
)</f>
        <v>0</v>
      </c>
      <c r="W8">
        <f>IF(
COUNTIF(tblCost[TargetID],tblTargetStatus[[#This Row],[TargetID]])=0,
"",
_xlfn.XLOOKUP(
tblTargetStatus[[#This Row],[TargetID]],
tblCost[TargetID],
tblCost[RemainingRequirements],
""
)
)</f>
        <v>6</v>
      </c>
      <c r="X8" s="79" t="b">
        <f>IF(tblTargetStatus[[#This Row],[HasCost]]=FALSE,"N/A",_xlfn.XLOOKUP(
tblTargetStatus[[#This Row],[TargetID]],
tblCost[TargetID],
tblCost[TargetFunded],
TRUE
))</f>
        <v>0</v>
      </c>
      <c r="Y8" t="str" cm="1">
        <f t="array" ref="Y8">_xlfn.TEXTJOIN(
", ",
TRUE,
_xlfn._xlws.FILTER(
tblCost[ResourceID]&amp;": "&amp;tblCost[QuantityRequired],
(tblCost[TargetID]=tblTargetStatus[[#This Row],[TargetID]])*
(tblCost[PlayerPaid]=FALSE),
""
)
)</f>
        <v>ruby: 3, coin: 300, beam: 300, stone: 150, chemicals: 40, charcoal: 40</v>
      </c>
      <c r="Z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 t="str" cm="1">
        <f t="array" ref="AA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9" spans="1:27">
      <c r="A9" t="s">
        <v>21</v>
      </c>
      <c r="B9" t="str">
        <f>_xlfn.XLOOKUP(tblTargetStatus[[#This Row],[TargetID]],tblTargets[TargetID],tblTargets[DisplayName],"")</f>
        <v>Alchemist's Hut Lv 4</v>
      </c>
      <c r="C9" t="str">
        <f>IF(tblTargetStatus[[#This Row],[PlayerCompleted]],"COMPLETED",IF(tblTargetStatus[[#This Row],[MissingDependencies]]=0,"READY","BLOCKED"))</f>
        <v>BLOCKED</v>
      </c>
      <c r="D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 t="str">
        <f>_xlfn.XLOOKUP(tblTargetStatus[[#This Row],[TargetID]],tblTargets[TargetID],tblTargets[TargetType],"")</f>
        <v>BUILDING</v>
      </c>
      <c r="F9" t="str">
        <f>_xlfn.XLOOKUP(tblTargetStatus[[#This Row],[TargetID]],tblTargets[TargetID],tblTargets[StateType])</f>
        <v/>
      </c>
      <c r="G9">
        <f>_xlfn.LET(
_xlpm.id,tblTargetStatus[[#This Row],[TargetID]],
_xlpm.depCount,COUNTIF(tblDependencies[TargetID],_xlpm.id),
_xlpm.objCount,COUNTIF(tblQuestObjectives[QuestTargetID],_xlpm.id),
_xlpm.depCount+_xlpm.objCount
)</f>
        <v>3</v>
      </c>
      <c r="H9">
        <f>tblTargetStatus[[#This Row],[DependencyCount]]</f>
        <v>3</v>
      </c>
      <c r="I9" cm="1">
        <f t="array" ref="I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
        <f>tblTargetStatus[[#This Row],[CompletedDependencyCount]]</f>
        <v>0</v>
      </c>
      <c r="K9" t="b">
        <f>tblTargetStatus[[#This Row],[CompletedDependencies]]=tblTargetStatus[[#This Row],[TotalDependencies]]</f>
        <v>0</v>
      </c>
      <c r="L9">
        <f>tblTargetStatus[[#This Row],[TotalDependencies]]-tblTargetStatus[[#This Row],[CompletedDependencies]]</f>
        <v>3</v>
      </c>
      <c r="M9" t="str" cm="1">
        <f t="array" ref="M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building.guild@4</v>
      </c>
      <c r="N9" t="str">
        <f>IF(tblTargetStatus[[#This Row],[FirstMissingDependencyID]]="","",_xlfn.XLOOKUP(tblTargetStatus[[#This Row],[FirstMissingDependencyID]],tblTargets[TargetID],tblTargets[DisplayName],tblTargetStatus[[#This Row],[FirstMissingDependencyID]]))</f>
        <v>Guild Lv 4</v>
      </c>
      <c r="O9" t="str" cm="1">
        <f t="array" ref="O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ruby,400 coin,400 beam,200 stone,40 gunpowder</v>
      </c>
      <c r="P9" t="str">
        <f>IF(tblTargetStatus[[#This Row],[FirstMissingDependencyID]]="","",_xlfn.XLOOKUP(tblTargetStatus[[#This Row],[FirstMissingDependencyID]],tblTargetStatus[TargetID],tblTargetStatus[Status],""))</f>
        <v>BLOCKED</v>
      </c>
      <c r="Q9" t="str">
        <f>IF(
 tblTargetStatus[[#This Row],[Status]]&lt;&gt;"BLOCKED",
 tblTargetStatus[[#This Row],[Status]],
 IF(
  AND(
   tblTargetStatus[[#This Row],[MissingDependencies]]=1,
   tblTargetStatus[[#This Row],[FirstMissingStatus]]="READY"
  ),
  "ONE AWAY",
  "BLOCKED"
 )
)</f>
        <v>BLOCKED</v>
      </c>
      <c r="R9">
        <f>IF(
 OR(
  tblTargetStatus[[#This Row],[StateType]]="CHARACTER",
  RIGHT(tblTargetStatus[[#This Row],[TargetID]],6)=".maxed"
 ),
 0,
 _xlfn.LET(
  _xlpm.sort,
   _xlfn.XLOOKUP(
    tblTargetStatus[[#This Row],[TargetID]],
    tblChecklist[TargetID],
    tblChecklist[PlayerSort],
    0
   ),
  IF(_xlpm.sort=0,500,_xlpm.sort)
 )
)</f>
        <v>52</v>
      </c>
      <c r="S9" t="str" cm="1">
        <f t="array" ref="S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5</v>
      </c>
      <c r="T9" t="str">
        <f>_xlfn.XLOOKUP(tblTargetStatus[[#This Row],[TargetID]],tblTargets[TargetID],tblTargets[CompletionMethod],"")</f>
        <v>PLAYER</v>
      </c>
      <c r="U9" t="b">
        <f>COUNTIF(
    tblCost[TargetID],
    tblTargetStatus[[#This Row],[TargetID]]
)&gt;0</f>
        <v>1</v>
      </c>
      <c r="V9" s="81">
        <f>IF(tblTargetStatus[[#This Row],[HasCost]]=FALSE,
"N/A",
_xlfn.XLOOKUP(
tblTargetStatus[[#This Row],[TargetID]],
tblCost[TargetID],
tblCost[FundingPercent],
""
)
)</f>
        <v>0</v>
      </c>
      <c r="W9">
        <f>IF(
COUNTIF(tblCost[TargetID],tblTargetStatus[[#This Row],[TargetID]])=0,
"",
_xlfn.XLOOKUP(
tblTargetStatus[[#This Row],[TargetID]],
tblCost[TargetID],
tblCost[RemainingRequirements],
""
)
)</f>
        <v>5</v>
      </c>
      <c r="X9" s="79" t="b">
        <f>IF(tblTargetStatus[[#This Row],[HasCost]]=FALSE,"N/A",_xlfn.XLOOKUP(
tblTargetStatus[[#This Row],[TargetID]],
tblCost[TargetID],
tblCost[TargetFunded],
TRUE
))</f>
        <v>0</v>
      </c>
      <c r="Y9" t="str" cm="1">
        <f t="array" ref="Y9">_xlfn.TEXTJOIN(
", ",
TRUE,
_xlfn._xlws.FILTER(
tblCost[ResourceID]&amp;": "&amp;tblCost[QuantityRequired],
(tblCost[TargetID]=tblTargetStatus[[#This Row],[TargetID]])*
(tblCost[PlayerPaid]=FALSE),
""
)
)</f>
        <v>ruby: 4, coin: 400, beam: 400, stone: 200, gunpowder: 40</v>
      </c>
      <c r="Z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 t="str" cm="1">
        <f t="array" ref="AA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0" spans="1:27">
      <c r="A10" t="s">
        <v>22</v>
      </c>
      <c r="B10" t="str">
        <f>_xlfn.XLOOKUP(tblTargetStatus[[#This Row],[TargetID]],tblTargets[TargetID],tblTargets[DisplayName],"")</f>
        <v>Alchemist's Hut Lv 5</v>
      </c>
      <c r="C10" t="str">
        <f>IF(tblTargetStatus[[#This Row],[PlayerCompleted]],"COMPLETED",IF(tblTargetStatus[[#This Row],[MissingDependencies]]=0,"READY","BLOCKED"))</f>
        <v>BLOCKED</v>
      </c>
      <c r="D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 t="str">
        <f>_xlfn.XLOOKUP(tblTargetStatus[[#This Row],[TargetID]],tblTargets[TargetID],tblTargets[TargetType],"")</f>
        <v>BUILDING</v>
      </c>
      <c r="F10" t="str">
        <f>_xlfn.XLOOKUP(tblTargetStatus[[#This Row],[TargetID]],tblTargets[TargetID],tblTargets[StateType])</f>
        <v/>
      </c>
      <c r="G10">
        <f>_xlfn.LET(
_xlpm.id,tblTargetStatus[[#This Row],[TargetID]],
_xlpm.depCount,COUNTIF(tblDependencies[TargetID],_xlpm.id),
_xlpm.objCount,COUNTIF(tblQuestObjectives[QuestTargetID],_xlpm.id),
_xlpm.depCount+_xlpm.objCount
)</f>
        <v>2</v>
      </c>
      <c r="H10">
        <f>tblTargetStatus[[#This Row],[DependencyCount]]</f>
        <v>2</v>
      </c>
      <c r="I10" cm="1">
        <f t="array" ref="I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
        <f>tblTargetStatus[[#This Row],[CompletedDependencyCount]]</f>
        <v>0</v>
      </c>
      <c r="K10" t="b">
        <f>tblTargetStatus[[#This Row],[CompletedDependencies]]=tblTargetStatus[[#This Row],[TotalDependencies]]</f>
        <v>0</v>
      </c>
      <c r="L10">
        <f>tblTargetStatus[[#This Row],[TotalDependencies]]-tblTargetStatus[[#This Row],[CompletedDependencies]]</f>
        <v>2</v>
      </c>
      <c r="M10" t="str" cm="1">
        <f t="array" ref="M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10" t="str">
        <f>IF(tblTargetStatus[[#This Row],[FirstMissingDependencyID]]="","",_xlfn.XLOOKUP(tblTargetStatus[[#This Row],[FirstMissingDependencyID]],tblTargets[TargetID],tblTargets[DisplayName],tblTargetStatus[[#This Row],[FirstMissingDependencyID]]))</f>
        <v>Guild Lv 5</v>
      </c>
      <c r="O10" t="str" cm="1">
        <f t="array" ref="O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ruby,500 coin,440 beam,220 stone,80 gunpowder</v>
      </c>
      <c r="P10" t="str">
        <f>IF(tblTargetStatus[[#This Row],[FirstMissingDependencyID]]="","",_xlfn.XLOOKUP(tblTargetStatus[[#This Row],[FirstMissingDependencyID]],tblTargetStatus[TargetID],tblTargetStatus[Status],""))</f>
        <v>BLOCKED</v>
      </c>
      <c r="Q10" t="str">
        <f>IF(
 tblTargetStatus[[#This Row],[Status]]&lt;&gt;"BLOCKED",
 tblTargetStatus[[#This Row],[Status]],
 IF(
  AND(
   tblTargetStatus[[#This Row],[MissingDependencies]]=1,
   tblTargetStatus[[#This Row],[FirstMissingStatus]]="READY"
  ),
  "ONE AWAY",
  "BLOCKED"
 )
)</f>
        <v>BLOCKED</v>
      </c>
      <c r="R10">
        <f>IF(
 OR(
  tblTargetStatus[[#This Row],[StateType]]="CHARACTER",
  RIGHT(tblTargetStatus[[#This Row],[TargetID]],6)=".maxed"
 ),
 0,
 _xlfn.LET(
  _xlpm.sort,
   _xlfn.XLOOKUP(
    tblTargetStatus[[#This Row],[TargetID]],
    tblChecklist[TargetID],
    tblChecklist[PlayerSort],
    0
   ),
  IF(_xlpm.sort=0,500,_xlpm.sort)
 )
)</f>
        <v>53</v>
      </c>
      <c r="S10" t="str" cm="1">
        <f t="array" ref="S1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6</v>
      </c>
      <c r="T10" t="str">
        <f>_xlfn.XLOOKUP(tblTargetStatus[[#This Row],[TargetID]],tblTargets[TargetID],tblTargets[CompletionMethod],"")</f>
        <v>PLAYER</v>
      </c>
      <c r="U10" t="b">
        <f>COUNTIF(
    tblCost[TargetID],
    tblTargetStatus[[#This Row],[TargetID]]
)&gt;0</f>
        <v>1</v>
      </c>
      <c r="V10" s="81">
        <f>IF(tblTargetStatus[[#This Row],[HasCost]]=FALSE,
"N/A",
_xlfn.XLOOKUP(
tblTargetStatus[[#This Row],[TargetID]],
tblCost[TargetID],
tblCost[FundingPercent],
""
)
)</f>
        <v>0</v>
      </c>
      <c r="W10">
        <f>IF(
COUNTIF(tblCost[TargetID],tblTargetStatus[[#This Row],[TargetID]])=0,
"",
_xlfn.XLOOKUP(
tblTargetStatus[[#This Row],[TargetID]],
tblCost[TargetID],
tblCost[RemainingRequirements],
""
)
)</f>
        <v>5</v>
      </c>
      <c r="X10" s="79" t="b">
        <f>IF(tblTargetStatus[[#This Row],[HasCost]]=FALSE,"N/A",_xlfn.XLOOKUP(
tblTargetStatus[[#This Row],[TargetID]],
tblCost[TargetID],
tblCost[TargetFunded],
TRUE
))</f>
        <v>0</v>
      </c>
      <c r="Y10" t="str" cm="1">
        <f t="array" ref="Y10">_xlfn.TEXTJOIN(
", ",
TRUE,
_xlfn._xlws.FILTER(
tblCost[ResourceID]&amp;": "&amp;tblCost[QuantityRequired],
(tblCost[TargetID]=tblTargetStatus[[#This Row],[TargetID]])*
(tblCost[PlayerPaid]=FALSE),
""
)
)</f>
        <v>ruby: 5, coin: 500, beam: 440, stone: 220, gunpowder: 80</v>
      </c>
      <c r="Z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 t="str" cm="1">
        <f t="array" ref="AA1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 spans="1:27">
      <c r="A11" t="s">
        <v>23</v>
      </c>
      <c r="B11" t="str">
        <f>_xlfn.XLOOKUP(tblTargetStatus[[#This Row],[TargetID]],tblTargets[TargetID],tblTargets[DisplayName],"")</f>
        <v>Alchemist's Hut Lv 6</v>
      </c>
      <c r="C11" t="str">
        <f>IF(tblTargetStatus[[#This Row],[PlayerCompleted]],"COMPLETED",IF(tblTargetStatus[[#This Row],[MissingDependencies]]=0,"READY","BLOCKED"))</f>
        <v>BLOCKED</v>
      </c>
      <c r="D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 t="str">
        <f>_xlfn.XLOOKUP(tblTargetStatus[[#This Row],[TargetID]],tblTargets[TargetID],tblTargets[TargetType],"")</f>
        <v>BUILDING</v>
      </c>
      <c r="F11" t="str">
        <f>_xlfn.XLOOKUP(tblTargetStatus[[#This Row],[TargetID]],tblTargets[TargetID],tblTargets[StateType])</f>
        <v/>
      </c>
      <c r="G11">
        <f>_xlfn.LET(
_xlpm.id,tblTargetStatus[[#This Row],[TargetID]],
_xlpm.depCount,COUNTIF(tblDependencies[TargetID],_xlpm.id),
_xlpm.objCount,COUNTIF(tblQuestObjectives[QuestTargetID],_xlpm.id),
_xlpm.depCount+_xlpm.objCount
)</f>
        <v>2</v>
      </c>
      <c r="H11">
        <f>tblTargetStatus[[#This Row],[DependencyCount]]</f>
        <v>2</v>
      </c>
      <c r="I11" cm="1">
        <f t="array" ref="I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
        <f>tblTargetStatus[[#This Row],[CompletedDependencyCount]]</f>
        <v>0</v>
      </c>
      <c r="K11" t="b">
        <f>tblTargetStatus[[#This Row],[CompletedDependencies]]=tblTargetStatus[[#This Row],[TotalDependencies]]</f>
        <v>0</v>
      </c>
      <c r="L11">
        <f>tblTargetStatus[[#This Row],[TotalDependencies]]-tblTargetStatus[[#This Row],[CompletedDependencies]]</f>
        <v>2</v>
      </c>
      <c r="M11" t="str" cm="1">
        <f t="array" ref="M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building.alchemists_hut@5</v>
      </c>
      <c r="N11" t="str">
        <f>IF(tblTargetStatus[[#This Row],[FirstMissingDependencyID]]="","",_xlfn.XLOOKUP(tblTargetStatus[[#This Row],[FirstMissingDependencyID]],tblTargets[TargetID],tblTargets[DisplayName],tblTargetStatus[[#This Row],[FirstMissingDependencyID]]))</f>
        <v>Alchemist's Hut Lv 5</v>
      </c>
      <c r="O11" t="str" cm="1">
        <f t="array" ref="O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ruby,1000 coin,800 beam,400 stone,200 chemicals,50 glass</v>
      </c>
      <c r="P11" t="str">
        <f>IF(tblTargetStatus[[#This Row],[FirstMissingDependencyID]]="","",_xlfn.XLOOKUP(tblTargetStatus[[#This Row],[FirstMissingDependencyID]],tblTargetStatus[TargetID],tblTargetStatus[Status],""))</f>
        <v>BLOCKED</v>
      </c>
      <c r="Q11" t="str">
        <f>IF(
 tblTargetStatus[[#This Row],[Status]]&lt;&gt;"BLOCKED",
 tblTargetStatus[[#This Row],[Status]],
 IF(
  AND(
   tblTargetStatus[[#This Row],[MissingDependencies]]=1,
   tblTargetStatus[[#This Row],[FirstMissingStatus]]="READY"
  ),
  "ONE AWAY",
  "BLOCKED"
 )
)</f>
        <v>BLOCKED</v>
      </c>
      <c r="R11">
        <f>IF(
 OR(
  tblTargetStatus[[#This Row],[StateType]]="CHARACTER",
  RIGHT(tblTargetStatus[[#This Row],[TargetID]],6)=".maxed"
 ),
 0,
 _xlfn.LET(
  _xlpm.sort,
   _xlfn.XLOOKUP(
    tblTargetStatus[[#This Row],[TargetID]],
    tblChecklist[TargetID],
    tblChecklist[PlayerSort],
    0
   ),
  IF(_xlpm.sort=0,500,_xlpm.sort)
 )
)</f>
        <v>54</v>
      </c>
      <c r="S11" t="str" cm="1">
        <f t="array" ref="S1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maxed, Flamethrower, Tetrachloroaurate</v>
      </c>
      <c r="T11" t="str">
        <f>_xlfn.XLOOKUP(tblTargetStatus[[#This Row],[TargetID]],tblTargets[TargetID],tblTargets[CompletionMethod],"")</f>
        <v>PLAYER</v>
      </c>
      <c r="U11" t="b">
        <f>COUNTIF(
    tblCost[TargetID],
    tblTargetStatus[[#This Row],[TargetID]]
)&gt;0</f>
        <v>1</v>
      </c>
      <c r="V11" s="81">
        <f>IF(tblTargetStatus[[#This Row],[HasCost]]=FALSE,
"N/A",
_xlfn.XLOOKUP(
tblTargetStatus[[#This Row],[TargetID]],
tblCost[TargetID],
tblCost[FundingPercent],
""
)
)</f>
        <v>0</v>
      </c>
      <c r="W11">
        <f>IF(
COUNTIF(tblCost[TargetID],tblTargetStatus[[#This Row],[TargetID]])=0,
"",
_xlfn.XLOOKUP(
tblTargetStatus[[#This Row],[TargetID]],
tblCost[TargetID],
tblCost[RemainingRequirements],
""
)
)</f>
        <v>6</v>
      </c>
      <c r="X11" s="79" t="b">
        <f>IF(tblTargetStatus[[#This Row],[HasCost]]=FALSE,"N/A",_xlfn.XLOOKUP(
tblTargetStatus[[#This Row],[TargetID]],
tblCost[TargetID],
tblCost[TargetFunded],
TRUE
))</f>
        <v>0</v>
      </c>
      <c r="Y11" t="str" cm="1">
        <f t="array" ref="Y11">_xlfn.TEXTJOIN(
", ",
TRUE,
_xlfn._xlws.FILTER(
tblCost[ResourceID]&amp;": "&amp;tblCost[QuantityRequired],
(tblCost[TargetID]=tblTargetStatus[[#This Row],[TargetID]])*
(tblCost[PlayerPaid]=FALSE),
""
)
)</f>
        <v>ruby: 6, coin: 1000, beam: 800, stone: 400, chemicals: 200, glass: 50</v>
      </c>
      <c r="Z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 t="str" cm="1">
        <f t="array" ref="AA1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 spans="1:27">
      <c r="A12" t="s">
        <v>24</v>
      </c>
      <c r="B12" t="str">
        <f>_xlfn.XLOOKUP(tblTargetStatus[[#This Row],[TargetID]],tblTargets[TargetID],tblTargets[DisplayName],"")</f>
        <v>Bonsai Lv 1</v>
      </c>
      <c r="C12" t="str">
        <f>IF(tblTargetStatus[[#This Row],[PlayerCompleted]],"COMPLETED",IF(tblTargetStatus[[#This Row],[MissingDependencies]]=0,"READY","BLOCKED"))</f>
        <v>BLOCKED</v>
      </c>
      <c r="D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 t="str">
        <f>_xlfn.XLOOKUP(tblTargetStatus[[#This Row],[TargetID]],tblTargets[TargetID],tblTargets[TargetType],"")</f>
        <v>BUILDING</v>
      </c>
      <c r="F12" t="str">
        <f>_xlfn.XLOOKUP(tblTargetStatus[[#This Row],[TargetID]],tblTargets[TargetID],tblTargets[StateType])</f>
        <v/>
      </c>
      <c r="G12">
        <f>_xlfn.LET(
_xlpm.id,tblTargetStatus[[#This Row],[TargetID]],
_xlpm.depCount,COUNTIF(tblDependencies[TargetID],_xlpm.id),
_xlpm.objCount,COUNTIF(tblQuestObjectives[QuestTargetID],_xlpm.id),
_xlpm.depCount+_xlpm.objCount
)</f>
        <v>1</v>
      </c>
      <c r="H12">
        <f>tblTargetStatus[[#This Row],[DependencyCount]]</f>
        <v>1</v>
      </c>
      <c r="I12" cm="1">
        <f t="array" ref="I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
        <f>tblTargetStatus[[#This Row],[CompletedDependencyCount]]</f>
        <v>0</v>
      </c>
      <c r="K12" t="b">
        <f>tblTargetStatus[[#This Row],[CompletedDependencies]]=tblTargetStatus[[#This Row],[TotalDependencies]]</f>
        <v>0</v>
      </c>
      <c r="L12">
        <f>tblTargetStatus[[#This Row],[TotalDependencies]]-tblTargetStatus[[#This Row],[CompletedDependencies]]</f>
        <v>1</v>
      </c>
      <c r="M12" t="str" cm="1">
        <f t="array" ref="M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state.character_level@21</v>
      </c>
      <c r="N12" t="str">
        <f>IF(tblTargetStatus[[#This Row],[FirstMissingDependencyID]]="","",_xlfn.XLOOKUP(tblTargetStatus[[#This Row],[FirstMissingDependencyID]],tblTargets[TargetID],tblTargets[DisplayName],tblTargetStatus[[#This Row],[FirstMissingDependencyID]]))</f>
        <v>Character Level@21</v>
      </c>
      <c r="O12" s="2" t="str" cm="1">
        <f t="array" ref="O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coin,500 plank,120 beans</v>
      </c>
      <c r="P12" t="str">
        <f>IF(tblTargetStatus[[#This Row],[FirstMissingDependencyID]]="","",_xlfn.XLOOKUP(tblTargetStatus[[#This Row],[FirstMissingDependencyID]],tblTargetStatus[TargetID],tblTargetStatus[Status],""))</f>
        <v>READY</v>
      </c>
      <c r="Q12" t="str">
        <f>IF(
 tblTargetStatus[[#This Row],[Status]]&lt;&gt;"BLOCKED",
 tblTargetStatus[[#This Row],[Status]],
 IF(
  AND(
   tblTargetStatus[[#This Row],[MissingDependencies]]=1,
   tblTargetStatus[[#This Row],[FirstMissingStatus]]="READY"
  ),
  "ONE AWAY",
  "BLOCKED"
 )
)</f>
        <v>ONE AWAY</v>
      </c>
      <c r="R12">
        <f>IF(
 OR(
  tblTargetStatus[[#This Row],[StateType]]="CHARACTER",
  RIGHT(tblTargetStatus[[#This Row],[TargetID]],6)=".maxed"
 ),
 0,
 _xlfn.LET(
  _xlpm.sort,
   _xlfn.XLOOKUP(
    tblTargetStatus[[#This Row],[TargetID]],
    tblChecklist[TargetID],
    tblChecklist[PlayerSort],
    0
   ),
  IF(_xlpm.sort=0,500,_xlpm.sort)
 )
)</f>
        <v>89</v>
      </c>
      <c r="S12" t="str" cm="1">
        <f t="array" ref="S1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Bonsai Lv 2</v>
      </c>
      <c r="T12" t="str">
        <f>_xlfn.XLOOKUP(tblTargetStatus[[#This Row],[TargetID]],tblTargets[TargetID],tblTargets[CompletionMethod],"")</f>
        <v>PLAYER</v>
      </c>
      <c r="U12" t="b">
        <f>COUNTIF(
    tblCost[TargetID],
    tblTargetStatus[[#This Row],[TargetID]]
)&gt;0</f>
        <v>1</v>
      </c>
      <c r="V12" s="81">
        <f>IF(tblTargetStatus[[#This Row],[HasCost]]=FALSE,
"N/A",
_xlfn.XLOOKUP(
tblTargetStatus[[#This Row],[TargetID]],
tblCost[TargetID],
tblCost[FundingPercent],
""
)
)</f>
        <v>0</v>
      </c>
      <c r="W12">
        <f>IF(
COUNTIF(tblCost[TargetID],tblTargetStatus[[#This Row],[TargetID]])=0,
"",
_xlfn.XLOOKUP(
tblTargetStatus[[#This Row],[TargetID]],
tblCost[TargetID],
tblCost[RemainingRequirements],
""
)
)</f>
        <v>4</v>
      </c>
      <c r="X12" s="79" t="b">
        <f>IF(tblTargetStatus[[#This Row],[HasCost]]=FALSE,"N/A",_xlfn.XLOOKUP(
tblTargetStatus[[#This Row],[TargetID]],
tblCost[TargetID],
tblCost[TargetFunded],
TRUE
))</f>
        <v>0</v>
      </c>
      <c r="Y12" t="str" cm="1">
        <f t="array" ref="Y12">_xlfn.TEXTJOIN(
", ",
TRUE,
_xlfn._xlws.FILTER(
tblCost[ResourceID]&amp;": "&amp;tblCost[QuantityRequired],
(tblCost[TargetID]=tblTargetStatus[[#This Row],[TargetID]])*
(tblCost[PlayerPaid]=FALSE),
""
)
)</f>
        <v>ruby: 3, coin: 500, plank: 500, beans: 120</v>
      </c>
      <c r="Z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 t="str" cm="1">
        <f t="array" ref="AA1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 spans="1:27">
      <c r="A13" t="s">
        <v>26</v>
      </c>
      <c r="B13" t="str">
        <f>_xlfn.XLOOKUP(tblTargetStatus[[#This Row],[TargetID]],tblTargets[TargetID],tblTargets[DisplayName],"")</f>
        <v>Bonsai Lv 2</v>
      </c>
      <c r="C13" t="str">
        <f>IF(tblTargetStatus[[#This Row],[PlayerCompleted]],"COMPLETED",IF(tblTargetStatus[[#This Row],[MissingDependencies]]=0,"READY","BLOCKED"))</f>
        <v>BLOCKED</v>
      </c>
      <c r="D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 t="str">
        <f>_xlfn.XLOOKUP(tblTargetStatus[[#This Row],[TargetID]],tblTargets[TargetID],tblTargets[TargetType],"")</f>
        <v>BUILDING</v>
      </c>
      <c r="F13" t="str">
        <f>_xlfn.XLOOKUP(tblTargetStatus[[#This Row],[TargetID]],tblTargets[TargetID],tblTargets[StateType])</f>
        <v/>
      </c>
      <c r="G13">
        <f>_xlfn.LET(
_xlpm.id,tblTargetStatus[[#This Row],[TargetID]],
_xlpm.depCount,COUNTIF(tblDependencies[TargetID],_xlpm.id),
_xlpm.objCount,COUNTIF(tblQuestObjectives[QuestTargetID],_xlpm.id),
_xlpm.depCount+_xlpm.objCount
)</f>
        <v>1</v>
      </c>
      <c r="H13">
        <f>tblTargetStatus[[#This Row],[DependencyCount]]</f>
        <v>1</v>
      </c>
      <c r="I13" cm="1">
        <f t="array" ref="I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
        <f>tblTargetStatus[[#This Row],[CompletedDependencyCount]]</f>
        <v>0</v>
      </c>
      <c r="K13" t="b">
        <f>tblTargetStatus[[#This Row],[CompletedDependencies]]=tblTargetStatus[[#This Row],[TotalDependencies]]</f>
        <v>0</v>
      </c>
      <c r="L13">
        <f>tblTargetStatus[[#This Row],[TotalDependencies]]-tblTargetStatus[[#This Row],[CompletedDependencies]]</f>
        <v>1</v>
      </c>
      <c r="M13" t="str" cm="1">
        <f t="array" ref="M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building.bonsai@1</v>
      </c>
      <c r="N13" t="str">
        <f>IF(tblTargetStatus[[#This Row],[FirstMissingDependencyID]]="","",_xlfn.XLOOKUP(tblTargetStatus[[#This Row],[FirstMissingDependencyID]],tblTargets[TargetID],tblTargets[DisplayName],tblTargetStatus[[#This Row],[FirstMissingDependencyID]]))</f>
        <v>Bonsai Lv 1</v>
      </c>
      <c r="O13" t="str" cm="1">
        <f t="array" ref="O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ruby,800 coin,600 plank,240 beans,150 chemicals</v>
      </c>
      <c r="P13" t="str">
        <f>IF(tblTargetStatus[[#This Row],[FirstMissingDependencyID]]="","",_xlfn.XLOOKUP(tblTargetStatus[[#This Row],[FirstMissingDependencyID]],tblTargetStatus[TargetID],tblTargetStatus[Status],""))</f>
        <v>BLOCKED</v>
      </c>
      <c r="Q13" t="str">
        <f>IF(
 tblTargetStatus[[#This Row],[Status]]&lt;&gt;"BLOCKED",
 tblTargetStatus[[#This Row],[Status]],
 IF(
  AND(
   tblTargetStatus[[#This Row],[MissingDependencies]]=1,
   tblTargetStatus[[#This Row],[FirstMissingStatus]]="READY"
  ),
  "ONE AWAY",
  "BLOCKED"
 )
)</f>
        <v>BLOCKED</v>
      </c>
      <c r="R13">
        <f>IF(
 OR(
  tblTargetStatus[[#This Row],[StateType]]="CHARACTER",
  RIGHT(tblTargetStatus[[#This Row],[TargetID]],6)=".maxed"
 ),
 0,
 _xlfn.LET(
  _xlpm.sort,
   _xlfn.XLOOKUP(
    tblTargetStatus[[#This Row],[TargetID]],
    tblChecklist[TargetID],
    tblChecklist[PlayerSort],
    0
   ),
  IF(_xlpm.sort=0,500,_xlpm.sort)
 )
)</f>
        <v>90</v>
      </c>
      <c r="S13" t="str" cm="1">
        <f t="array" ref="S1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3" t="str">
        <f>_xlfn.XLOOKUP(tblTargetStatus[[#This Row],[TargetID]],tblTargets[TargetID],tblTargets[CompletionMethod],"")</f>
        <v>PLAYER</v>
      </c>
      <c r="U13" t="b">
        <f>COUNTIF(
    tblCost[TargetID],
    tblTargetStatus[[#This Row],[TargetID]]
)&gt;0</f>
        <v>1</v>
      </c>
      <c r="V13" s="81">
        <f>IF(tblTargetStatus[[#This Row],[HasCost]]=FALSE,
"N/A",
_xlfn.XLOOKUP(
tblTargetStatus[[#This Row],[TargetID]],
tblCost[TargetID],
tblCost[FundingPercent],
""
)
)</f>
        <v>0</v>
      </c>
      <c r="W13">
        <f>IF(
COUNTIF(tblCost[TargetID],tblTargetStatus[[#This Row],[TargetID]])=0,
"",
_xlfn.XLOOKUP(
tblTargetStatus[[#This Row],[TargetID]],
tblCost[TargetID],
tblCost[RemainingRequirements],
""
)
)</f>
        <v>5</v>
      </c>
      <c r="X13" s="79" t="b">
        <f>IF(tblTargetStatus[[#This Row],[HasCost]]=FALSE,"N/A",_xlfn.XLOOKUP(
tblTargetStatus[[#This Row],[TargetID]],
tblCost[TargetID],
tblCost[TargetFunded],
TRUE
))</f>
        <v>0</v>
      </c>
      <c r="Y13" t="str" cm="1">
        <f t="array" ref="Y13">_xlfn.TEXTJOIN(
", ",
TRUE,
_xlfn._xlws.FILTER(
tblCost[ResourceID]&amp;": "&amp;tblCost[QuantityRequired],
(tblCost[TargetID]=tblTargetStatus[[#This Row],[TargetID]])*
(tblCost[PlayerPaid]=FALSE),
""
)
)</f>
        <v>ruby: 5, coin: 800, plank: 600, beans: 240, chemicals: 150</v>
      </c>
      <c r="Z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 t="str" cm="1">
        <f t="array" ref="AA1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 spans="1:27">
      <c r="A14" t="s">
        <v>2673</v>
      </c>
      <c r="B14" t="str">
        <f>_xlfn.XLOOKUP(tblTargetStatus[[#This Row],[TargetID]],tblTargets[TargetID],tblTargets[DisplayName],"")</f>
        <v>Bridge maxed</v>
      </c>
      <c r="C14" t="str">
        <f>IF(tblTargetStatus[[#This Row],[PlayerCompleted]],"COMPLETED",IF(tblTargetStatus[[#This Row],[MissingDependencies]]=0,"READY","BLOCKED"))</f>
        <v>BLOCKED</v>
      </c>
      <c r="D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 t="str">
        <f>_xlfn.XLOOKUP(tblTargetStatus[[#This Row],[TargetID]],tblTargets[TargetID],tblTargets[TargetType],"")</f>
        <v>BUILDING</v>
      </c>
      <c r="F14" t="str">
        <f>_xlfn.XLOOKUP(tblTargetStatus[[#This Row],[TargetID]],tblTargets[TargetID],tblTargets[StateType])</f>
        <v/>
      </c>
      <c r="G14">
        <f>_xlfn.LET(
_xlpm.id,tblTargetStatus[[#This Row],[TargetID]],
_xlpm.depCount,COUNTIF(tblDependencies[TargetID],_xlpm.id),
_xlpm.objCount,COUNTIF(tblQuestObjectives[QuestTargetID],_xlpm.id),
_xlpm.depCount+_xlpm.objCount
)</f>
        <v>1</v>
      </c>
      <c r="H14">
        <f>tblTargetStatus[[#This Row],[DependencyCount]]</f>
        <v>1</v>
      </c>
      <c r="I14" cm="1">
        <f t="array" ref="I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
        <f>tblTargetStatus[[#This Row],[CompletedDependencyCount]]</f>
        <v>0</v>
      </c>
      <c r="K14" t="b">
        <f>tblTargetStatus[[#This Row],[CompletedDependencies]]=tblTargetStatus[[#This Row],[TotalDependencies]]</f>
        <v>0</v>
      </c>
      <c r="L14">
        <f>tblTargetStatus[[#This Row],[TotalDependencies]]-tblTargetStatus[[#This Row],[CompletedDependencies]]</f>
        <v>1</v>
      </c>
      <c r="M14" t="str" cm="1">
        <f t="array" ref="M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14" t="str">
        <f>IF(tblTargetStatus[[#This Row],[FirstMissingDependencyID]]="","",_xlfn.XLOOKUP(tblTargetStatus[[#This Row],[FirstMissingDependencyID]],tblTargets[TargetID],tblTargets[DisplayName],tblTargetStatus[[#This Row],[FirstMissingDependencyID]]))</f>
        <v>Bridge Lv 1</v>
      </c>
      <c r="O14" s="2" t="str" cm="1">
        <f t="array" ref="O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4" t="str">
        <f>IF(tblTargetStatus[[#This Row],[FirstMissingDependencyID]]="","",_xlfn.XLOOKUP(tblTargetStatus[[#This Row],[FirstMissingDependencyID]],tblTargetStatus[TargetID],tblTargetStatus[Status],""))</f>
        <v>BLOCKED</v>
      </c>
      <c r="Q14" t="str">
        <f>IF(
 tblTargetStatus[[#This Row],[Status]]&lt;&gt;"BLOCKED",
 tblTargetStatus[[#This Row],[Status]],
 IF(
  AND(
   tblTargetStatus[[#This Row],[MissingDependencies]]=1,
   tblTargetStatus[[#This Row],[FirstMissingStatus]]="READY"
  ),
  "ONE AWAY",
  "BLOCKED"
 )
)</f>
        <v>BLOCKED</v>
      </c>
      <c r="R14">
        <f>IF(
 OR(
  tblTargetStatus[[#This Row],[StateType]]="CHARACTER",
  RIGHT(tblTargetStatus[[#This Row],[TargetID]],6)=".maxed"
 ),
 0,
 _xlfn.LET(
  _xlpm.sort,
   _xlfn.XLOOKUP(
    tblTargetStatus[[#This Row],[TargetID]],
    tblChecklist[TargetID],
    tblChecklist[PlayerSort],
    0
   ),
  IF(_xlpm.sort=0,500,_xlpm.sort)
 )
)</f>
        <v>0</v>
      </c>
      <c r="S14" t="str" cm="1">
        <f t="array" ref="S1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Bridge - Koi Fish, Bridge - Salmon Farming</v>
      </c>
      <c r="T14" t="str">
        <f>_xlfn.XLOOKUP(tblTargetStatus[[#This Row],[TargetID]],tblTargets[TargetID],tblTargets[CompletionMethod],"")</f>
        <v>AUTO</v>
      </c>
      <c r="U14" t="b">
        <f>COUNTIF(
    tblCost[TargetID],
    tblTargetStatus[[#This Row],[TargetID]]
)&gt;0</f>
        <v>0</v>
      </c>
      <c r="V14" s="81" t="str">
        <f>IF(tblTargetStatus[[#This Row],[HasCost]]=FALSE,
"N/A",
_xlfn.XLOOKUP(
tblTargetStatus[[#This Row],[TargetID]],
tblCost[TargetID],
tblCost[FundingPercent],
""
)
)</f>
        <v>N/A</v>
      </c>
      <c r="W14" t="str">
        <f>IF(
COUNTIF(tblCost[TargetID],tblTargetStatus[[#This Row],[TargetID]])=0,
"",
_xlfn.XLOOKUP(
tblTargetStatus[[#This Row],[TargetID]],
tblCost[TargetID],
tblCost[RemainingRequirements],
""
)
)</f>
        <v/>
      </c>
      <c r="X14" s="79" t="str">
        <f>IF(tblTargetStatus[[#This Row],[HasCost]]=FALSE,"N/A",_xlfn.XLOOKUP(
tblTargetStatus[[#This Row],[TargetID]],
tblCost[TargetID],
tblCost[TargetFunded],
TRUE
))</f>
        <v>N/A</v>
      </c>
      <c r="Y14" t="str" cm="1">
        <f t="array" ref="Y14">_xlfn.TEXTJOIN(
", ",
TRUE,
_xlfn._xlws.FILTER(
tblCost[ResourceID]&amp;": "&amp;tblCost[QuantityRequired],
(tblCost[TargetID]=tblTargetStatus[[#This Row],[TargetID]])*
(tblCost[PlayerPaid]=FALSE),
""
)
)</f>
        <v/>
      </c>
      <c r="Z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 t="str" cm="1">
        <f t="array" ref="AA1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 spans="1:27" ht="29">
      <c r="A15" t="s">
        <v>27</v>
      </c>
      <c r="B15" t="str">
        <f>_xlfn.XLOOKUP(tblTargetStatus[[#This Row],[TargetID]],tblTargets[TargetID],tblTargets[DisplayName],"")</f>
        <v>Bridge Lv 1</v>
      </c>
      <c r="C15" t="str">
        <f>IF(tblTargetStatus[[#This Row],[PlayerCompleted]],"COMPLETED",IF(tblTargetStatus[[#This Row],[MissingDependencies]]=0,"READY","BLOCKED"))</f>
        <v>BLOCKED</v>
      </c>
      <c r="D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 t="str">
        <f>_xlfn.XLOOKUP(tblTargetStatus[[#This Row],[TargetID]],tblTargets[TargetID],tblTargets[TargetType],"")</f>
        <v>BUILDING</v>
      </c>
      <c r="F15" t="str">
        <f>_xlfn.XLOOKUP(tblTargetStatus[[#This Row],[TargetID]],tblTargets[TargetID],tblTargets[StateType])</f>
        <v/>
      </c>
      <c r="G15">
        <f>_xlfn.LET(
_xlpm.id,tblTargetStatus[[#This Row],[TargetID]],
_xlpm.depCount,COUNTIF(tblDependencies[TargetID],_xlpm.id),
_xlpm.objCount,COUNTIF(tblQuestObjectives[QuestTargetID],_xlpm.id),
_xlpm.depCount+_xlpm.objCount
)</f>
        <v>1</v>
      </c>
      <c r="H15">
        <f>tblTargetStatus[[#This Row],[DependencyCount]]</f>
        <v>1</v>
      </c>
      <c r="I15" cm="1">
        <f t="array" ref="I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
        <f>tblTargetStatus[[#This Row],[CompletedDependencyCount]]</f>
        <v>0</v>
      </c>
      <c r="K15" t="b">
        <f>tblTargetStatus[[#This Row],[CompletedDependencies]]=tblTargetStatus[[#This Row],[TotalDependencies]]</f>
        <v>0</v>
      </c>
      <c r="L15">
        <f>tblTargetStatus[[#This Row],[TotalDependencies]]-tblTargetStatus[[#This Row],[CompletedDependencies]]</f>
        <v>1</v>
      </c>
      <c r="M15" t="str" cm="1">
        <f t="array" ref="M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state.character_level@30</v>
      </c>
      <c r="N15" t="str">
        <f>IF(tblTargetStatus[[#This Row],[FirstMissingDependencyID]]="","",_xlfn.XLOOKUP(tblTargetStatus[[#This Row],[FirstMissingDependencyID]],tblTargets[TargetID],tblTargets[DisplayName],tblTargetStatus[[#This Row],[FirstMissingDependencyID]]))</f>
        <v>Character Level@30</v>
      </c>
      <c r="O15" s="2" t="str" cm="1">
        <f t="array" ref="O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ruby,1000 coin,400 beam,1000 plank,400 stone,100 steel</v>
      </c>
      <c r="P15" t="str">
        <f>IF(tblTargetStatus[[#This Row],[FirstMissingDependencyID]]="","",_xlfn.XLOOKUP(tblTargetStatus[[#This Row],[FirstMissingDependencyID]],tblTargetStatus[TargetID],tblTargetStatus[Status],""))</f>
        <v>READY</v>
      </c>
      <c r="Q15" t="str">
        <f>IF(
 tblTargetStatus[[#This Row],[Status]]&lt;&gt;"BLOCKED",
 tblTargetStatus[[#This Row],[Status]],
 IF(
  AND(
   tblTargetStatus[[#This Row],[MissingDependencies]]=1,
   tblTargetStatus[[#This Row],[FirstMissingStatus]]="READY"
  ),
  "ONE AWAY",
  "BLOCKED"
 )
)</f>
        <v>ONE AWAY</v>
      </c>
      <c r="R15">
        <f>IF(
 OR(
  tblTargetStatus[[#This Row],[StateType]]="CHARACTER",
  RIGHT(tblTargetStatus[[#This Row],[TargetID]],6)=".maxed"
 ),
 0,
 _xlfn.LET(
  _xlpm.sort,
   _xlfn.XLOOKUP(
    tblTargetStatus[[#This Row],[TargetID]],
    tblChecklist[TargetID],
    tblChecklist[PlayerSort],
    0
   ),
  IF(_xlpm.sort=0,500,_xlpm.sort)
 )
)</f>
        <v>27</v>
      </c>
      <c r="S15" t="str" cm="1">
        <f t="array" ref="S1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Airship Lv 1, Bridge maxed, Caravan Lv 1, Outpost Lv 1, Station Lv 1, Tailor Lv 1, Guild Banner, Guild Codex, Guild Supplies, Festival Accepted, Honor, Glory, Sushi Accepted, Silk Road Accepted</v>
      </c>
      <c r="T15" t="str">
        <f>_xlfn.XLOOKUP(tblTargetStatus[[#This Row],[TargetID]],tblTargets[TargetID],tblTargets[CompletionMethod],"")</f>
        <v>PLAYER</v>
      </c>
      <c r="U15" t="b">
        <f>COUNTIF(
    tblCost[TargetID],
    tblTargetStatus[[#This Row],[TargetID]]
)&gt;0</f>
        <v>1</v>
      </c>
      <c r="V15" s="81">
        <f>IF(tblTargetStatus[[#This Row],[HasCost]]=FALSE,
"N/A",
_xlfn.XLOOKUP(
tblTargetStatus[[#This Row],[TargetID]],
tblCost[TargetID],
tblCost[FundingPercent],
""
)
)</f>
        <v>0</v>
      </c>
      <c r="W15">
        <f>IF(
COUNTIF(tblCost[TargetID],tblTargetStatus[[#This Row],[TargetID]])=0,
"",
_xlfn.XLOOKUP(
tblTargetStatus[[#This Row],[TargetID]],
tblCost[TargetID],
tblCost[RemainingRequirements],
""
)
)</f>
        <v>6</v>
      </c>
      <c r="X15" s="79" t="b">
        <f>IF(tblTargetStatus[[#This Row],[HasCost]]=FALSE,"N/A",_xlfn.XLOOKUP(
tblTargetStatus[[#This Row],[TargetID]],
tblCost[TargetID],
tblCost[TargetFunded],
TRUE
))</f>
        <v>0</v>
      </c>
      <c r="Y15" t="str" cm="1">
        <f t="array" ref="Y15">_xlfn.TEXTJOIN(
", ",
TRUE,
_xlfn._xlws.FILTER(
tblCost[ResourceID]&amp;": "&amp;tblCost[QuantityRequired],
(tblCost[TargetID]=tblTargetStatus[[#This Row],[TargetID]])*
(tblCost[PlayerPaid]=FALSE),
""
)
)</f>
        <v>ruby: 4, coin: 1000, beam: 400, plank: 1000, stone: 400, steel: 100</v>
      </c>
      <c r="Z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 t="str" cm="1">
        <f t="array" ref="AA1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Festival, Honor, Glory, Sushi, Silk Road</v>
      </c>
    </row>
    <row r="16" spans="1:27">
      <c r="A16" t="s">
        <v>29</v>
      </c>
      <c r="B16" t="str">
        <f>_xlfn.XLOOKUP(tblTargetStatus[[#This Row],[TargetID]],tblTargets[TargetID],tblTargets[DisplayName],"")</f>
        <v>Caravan Lv 1</v>
      </c>
      <c r="C16" t="str">
        <f>IF(tblTargetStatus[[#This Row],[PlayerCompleted]],"COMPLETED",IF(tblTargetStatus[[#This Row],[MissingDependencies]]=0,"READY","BLOCKED"))</f>
        <v>BLOCKED</v>
      </c>
      <c r="D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 t="str">
        <f>_xlfn.XLOOKUP(tblTargetStatus[[#This Row],[TargetID]],tblTargets[TargetID],tblTargets[TargetType],"")</f>
        <v>BUILDING</v>
      </c>
      <c r="F16" t="str">
        <f>_xlfn.XLOOKUP(tblTargetStatus[[#This Row],[TargetID]],tblTargets[TargetID],tblTargets[StateType])</f>
        <v/>
      </c>
      <c r="G16">
        <f>_xlfn.LET(
_xlpm.id,tblTargetStatus[[#This Row],[TargetID]],
_xlpm.depCount,COUNTIF(tblDependencies[TargetID],_xlpm.id),
_xlpm.objCount,COUNTIF(tblQuestObjectives[QuestTargetID],_xlpm.id),
_xlpm.depCount+_xlpm.objCount
)</f>
        <v>2</v>
      </c>
      <c r="H16">
        <f>tblTargetStatus[[#This Row],[DependencyCount]]</f>
        <v>2</v>
      </c>
      <c r="I16" cm="1">
        <f t="array" ref="I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
        <f>tblTargetStatus[[#This Row],[CompletedDependencyCount]]</f>
        <v>0</v>
      </c>
      <c r="K16" t="b">
        <f>tblTargetStatus[[#This Row],[CompletedDependencies]]=tblTargetStatus[[#This Row],[TotalDependencies]]</f>
        <v>0</v>
      </c>
      <c r="L16">
        <f>tblTargetStatus[[#This Row],[TotalDependencies]]-tblTargetStatus[[#This Row],[CompletedDependencies]]</f>
        <v>2</v>
      </c>
      <c r="M16" t="str" cm="1">
        <f t="array" ref="M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16" t="str">
        <f>IF(tblTargetStatus[[#This Row],[FirstMissingDependencyID]]="","",_xlfn.XLOOKUP(tblTargetStatus[[#This Row],[FirstMissingDependencyID]],tblTargets[TargetID],tblTargets[DisplayName],tblTargetStatus[[#This Row],[FirstMissingDependencyID]]))</f>
        <v>Bridge Lv 1</v>
      </c>
      <c r="O16" t="str" cm="1">
        <f t="array" ref="O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coin,400 plank,200 stone,50 beans,10 sushi</v>
      </c>
      <c r="P16" t="str">
        <f>IF(tblTargetStatus[[#This Row],[FirstMissingDependencyID]]="","",_xlfn.XLOOKUP(tblTargetStatus[[#This Row],[FirstMissingDependencyID]],tblTargetStatus[TargetID],tblTargetStatus[Status],""))</f>
        <v>BLOCKED</v>
      </c>
      <c r="Q16" t="str">
        <f>IF(
 tblTargetStatus[[#This Row],[Status]]&lt;&gt;"BLOCKED",
 tblTargetStatus[[#This Row],[Status]],
 IF(
  AND(
   tblTargetStatus[[#This Row],[MissingDependencies]]=1,
   tblTargetStatus[[#This Row],[FirstMissingStatus]]="READY"
  ),
  "ONE AWAY",
  "BLOCKED"
 )
)</f>
        <v>BLOCKED</v>
      </c>
      <c r="R16">
        <f>IF(
 OR(
  tblTargetStatus[[#This Row],[StateType]]="CHARACTER",
  RIGHT(tblTargetStatus[[#This Row],[TargetID]],6)=".maxed"
 ),
 0,
 _xlfn.LET(
  _xlpm.sort,
   _xlfn.XLOOKUP(
    tblTargetStatus[[#This Row],[TargetID]],
    tblChecklist[TargetID],
    tblChecklist[PlayerSort],
    0
   ),
  IF(_xlpm.sort=0,500,_xlpm.sort)
 )
)</f>
        <v>36</v>
      </c>
      <c r="S16" t="str" cm="1">
        <f t="array" ref="S1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Caravan Lv 2</v>
      </c>
      <c r="T16" t="str">
        <f>_xlfn.XLOOKUP(tblTargetStatus[[#This Row],[TargetID]],tblTargets[TargetID],tblTargets[CompletionMethod],"")</f>
        <v>PLAYER</v>
      </c>
      <c r="U16" t="b">
        <f>COUNTIF(
    tblCost[TargetID],
    tblTargetStatus[[#This Row],[TargetID]]
)&gt;0</f>
        <v>1</v>
      </c>
      <c r="V16" s="81">
        <f>IF(tblTargetStatus[[#This Row],[HasCost]]=FALSE,
"N/A",
_xlfn.XLOOKUP(
tblTargetStatus[[#This Row],[TargetID]],
tblCost[TargetID],
tblCost[FundingPercent],
""
)
)</f>
        <v>0</v>
      </c>
      <c r="W16">
        <f>IF(
COUNTIF(tblCost[TargetID],tblTargetStatus[[#This Row],[TargetID]])=0,
"",
_xlfn.XLOOKUP(
tblTargetStatus[[#This Row],[TargetID]],
tblCost[TargetID],
tblCost[RemainingRequirements],
""
)
)</f>
        <v>6</v>
      </c>
      <c r="X16" s="79" t="b">
        <f>IF(tblTargetStatus[[#This Row],[HasCost]]=FALSE,"N/A",_xlfn.XLOOKUP(
tblTargetStatus[[#This Row],[TargetID]],
tblCost[TargetID],
tblCost[TargetFunded],
TRUE
))</f>
        <v>0</v>
      </c>
      <c r="Y16" t="str" cm="1">
        <f t="array" ref="Y16">_xlfn.TEXTJOIN(
", ",
TRUE,
_xlfn._xlws.FILTER(
tblCost[ResourceID]&amp;": "&amp;tblCost[QuantityRequired],
(tblCost[TargetID]=tblTargetStatus[[#This Row],[TargetID]])*
(tblCost[PlayerPaid]=FALSE),
""
)
)</f>
        <v>ruby: 5, coin: 1000, plank: 400, stone: 200, beans: 50, sushi: 10</v>
      </c>
      <c r="Z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 t="str" cm="1">
        <f t="array" ref="AA1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 spans="1:27">
      <c r="A17" t="s">
        <v>31</v>
      </c>
      <c r="B17" t="str">
        <f>_xlfn.XLOOKUP(tblTargetStatus[[#This Row],[TargetID]],tblTargets[TargetID],tblTargets[DisplayName],"")</f>
        <v>Caravan Lv 2</v>
      </c>
      <c r="C17" t="str">
        <f>IF(tblTargetStatus[[#This Row],[PlayerCompleted]],"COMPLETED",IF(tblTargetStatus[[#This Row],[MissingDependencies]]=0,"READY","BLOCKED"))</f>
        <v>BLOCKED</v>
      </c>
      <c r="D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 t="str">
        <f>_xlfn.XLOOKUP(tblTargetStatus[[#This Row],[TargetID]],tblTargets[TargetID],tblTargets[TargetType],"")</f>
        <v>BUILDING</v>
      </c>
      <c r="F17" t="str">
        <f>_xlfn.XLOOKUP(tblTargetStatus[[#This Row],[TargetID]],tblTargets[TargetID],tblTargets[StateType])</f>
        <v/>
      </c>
      <c r="G17">
        <f>_xlfn.LET(
_xlpm.id,tblTargetStatus[[#This Row],[TargetID]],
_xlpm.depCount,COUNTIF(tblDependencies[TargetID],_xlpm.id),
_xlpm.objCount,COUNTIF(tblQuestObjectives[QuestTargetID],_xlpm.id),
_xlpm.depCount+_xlpm.objCount
)</f>
        <v>1</v>
      </c>
      <c r="H17">
        <f>tblTargetStatus[[#This Row],[DependencyCount]]</f>
        <v>1</v>
      </c>
      <c r="I17" cm="1">
        <f t="array" ref="I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
        <f>tblTargetStatus[[#This Row],[CompletedDependencyCount]]</f>
        <v>0</v>
      </c>
      <c r="K17" t="b">
        <f>tblTargetStatus[[#This Row],[CompletedDependencies]]=tblTargetStatus[[#This Row],[TotalDependencies]]</f>
        <v>0</v>
      </c>
      <c r="L17">
        <f>tblTargetStatus[[#This Row],[TotalDependencies]]-tblTargetStatus[[#This Row],[CompletedDependencies]]</f>
        <v>1</v>
      </c>
      <c r="M17" t="str" cm="1">
        <f t="array" ref="M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building.caravan@1</v>
      </c>
      <c r="N17" t="str">
        <f>IF(tblTargetStatus[[#This Row],[FirstMissingDependencyID]]="","",_xlfn.XLOOKUP(tblTargetStatus[[#This Row],[FirstMissingDependencyID]],tblTargets[TargetID],tblTargets[DisplayName],tblTargetStatus[[#This Row],[FirstMissingDependencyID]]))</f>
        <v>Caravan Lv 1</v>
      </c>
      <c r="O17" t="str" cm="1">
        <f t="array" ref="O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7 ruby,1200 coin,600 plank,300 stone,50 ingot,50 fan</v>
      </c>
      <c r="P17" t="str">
        <f>IF(tblTargetStatus[[#This Row],[FirstMissingDependencyID]]="","",_xlfn.XLOOKUP(tblTargetStatus[[#This Row],[FirstMissingDependencyID]],tblTargetStatus[TargetID],tblTargetStatus[Status],""))</f>
        <v>BLOCKED</v>
      </c>
      <c r="Q17" t="str">
        <f>IF(
 tblTargetStatus[[#This Row],[Status]]&lt;&gt;"BLOCKED",
 tblTargetStatus[[#This Row],[Status]],
 IF(
  AND(
   tblTargetStatus[[#This Row],[MissingDependencies]]=1,
   tblTargetStatus[[#This Row],[FirstMissingStatus]]="READY"
  ),
  "ONE AWAY",
  "BLOCKED"
 )
)</f>
        <v>BLOCKED</v>
      </c>
      <c r="R17">
        <f>IF(
 OR(
  tblTargetStatus[[#This Row],[StateType]]="CHARACTER",
  RIGHT(tblTargetStatus[[#This Row],[TargetID]],6)=".maxed"
 ),
 0,
 _xlfn.LET(
  _xlpm.sort,
   _xlfn.XLOOKUP(
    tblTargetStatus[[#This Row],[TargetID]],
    tblChecklist[TargetID],
    tblChecklist[PlayerSort],
    0
   ),
  IF(_xlpm.sort=0,500,_xlpm.sort)
 )
)</f>
        <v>37</v>
      </c>
      <c r="S17" t="str" cm="1">
        <f t="array" ref="S1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Caravan Lv 3</v>
      </c>
      <c r="T17" t="str">
        <f>_xlfn.XLOOKUP(tblTargetStatus[[#This Row],[TargetID]],tblTargets[TargetID],tblTargets[CompletionMethod],"")</f>
        <v>PLAYER</v>
      </c>
      <c r="U17" t="b">
        <f>COUNTIF(
    tblCost[TargetID],
    tblTargetStatus[[#This Row],[TargetID]]
)&gt;0</f>
        <v>1</v>
      </c>
      <c r="V17" s="81">
        <f>IF(tblTargetStatus[[#This Row],[HasCost]]=FALSE,
"N/A",
_xlfn.XLOOKUP(
tblTargetStatus[[#This Row],[TargetID]],
tblCost[TargetID],
tblCost[FundingPercent],
""
)
)</f>
        <v>0</v>
      </c>
      <c r="W17">
        <f>IF(
COUNTIF(tblCost[TargetID],tblTargetStatus[[#This Row],[TargetID]])=0,
"",
_xlfn.XLOOKUP(
tblTargetStatus[[#This Row],[TargetID]],
tblCost[TargetID],
tblCost[RemainingRequirements],
""
)
)</f>
        <v>6</v>
      </c>
      <c r="X17" s="79" t="b">
        <f>IF(tblTargetStatus[[#This Row],[HasCost]]=FALSE,"N/A",_xlfn.XLOOKUP(
tblTargetStatus[[#This Row],[TargetID]],
tblCost[TargetID],
tblCost[TargetFunded],
TRUE
))</f>
        <v>0</v>
      </c>
      <c r="Y17" t="str" cm="1">
        <f t="array" ref="Y17">_xlfn.TEXTJOIN(
", ",
TRUE,
_xlfn._xlws.FILTER(
tblCost[ResourceID]&amp;": "&amp;tblCost[QuantityRequired],
(tblCost[TargetID]=tblTargetStatus[[#This Row],[TargetID]])*
(tblCost[PlayerPaid]=FALSE),
""
)
)</f>
        <v>ruby: 7, coin: 1200, plank: 600, stone: 300, ingot: 50, fan: 50</v>
      </c>
      <c r="Z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 t="str" cm="1">
        <f t="array" ref="AA1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 spans="1:27">
      <c r="A18" t="s">
        <v>32</v>
      </c>
      <c r="B18" t="str">
        <f>_xlfn.XLOOKUP(tblTargetStatus[[#This Row],[TargetID]],tblTargets[TargetID],tblTargets[DisplayName],"")</f>
        <v>Caravan Lv 3</v>
      </c>
      <c r="C18" t="str">
        <f>IF(tblTargetStatus[[#This Row],[PlayerCompleted]],"COMPLETED",IF(tblTargetStatus[[#This Row],[MissingDependencies]]=0,"READY","BLOCKED"))</f>
        <v>BLOCKED</v>
      </c>
      <c r="D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 t="str">
        <f>_xlfn.XLOOKUP(tblTargetStatus[[#This Row],[TargetID]],tblTargets[TargetID],tblTargets[TargetType],"")</f>
        <v>BUILDING</v>
      </c>
      <c r="F18" t="str">
        <f>_xlfn.XLOOKUP(tblTargetStatus[[#This Row],[TargetID]],tblTargets[TargetID],tblTargets[StateType])</f>
        <v/>
      </c>
      <c r="G18">
        <f>_xlfn.LET(
_xlpm.id,tblTargetStatus[[#This Row],[TargetID]],
_xlpm.depCount,COUNTIF(tblDependencies[TargetID],_xlpm.id),
_xlpm.objCount,COUNTIF(tblQuestObjectives[QuestTargetID],_xlpm.id),
_xlpm.depCount+_xlpm.objCount
)</f>
        <v>1</v>
      </c>
      <c r="H18">
        <f>tblTargetStatus[[#This Row],[DependencyCount]]</f>
        <v>1</v>
      </c>
      <c r="I18" cm="1">
        <f t="array" ref="I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
        <f>tblTargetStatus[[#This Row],[CompletedDependencyCount]]</f>
        <v>0</v>
      </c>
      <c r="K18" t="b">
        <f>tblTargetStatus[[#This Row],[CompletedDependencies]]=tblTargetStatus[[#This Row],[TotalDependencies]]</f>
        <v>0</v>
      </c>
      <c r="L18">
        <f>tblTargetStatus[[#This Row],[TotalDependencies]]-tblTargetStatus[[#This Row],[CompletedDependencies]]</f>
        <v>1</v>
      </c>
      <c r="M18" t="str" cm="1">
        <f t="array" ref="M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building.caravan@2</v>
      </c>
      <c r="N18" t="str">
        <f>IF(tblTargetStatus[[#This Row],[FirstMissingDependencyID]]="","",_xlfn.XLOOKUP(tblTargetStatus[[#This Row],[FirstMissingDependencyID]],tblTargets[TargetID],tblTargets[DisplayName],tblTargetStatus[[#This Row],[FirstMissingDependencyID]]))</f>
        <v>Caravan Lv 2</v>
      </c>
      <c r="O18" t="str" cm="1">
        <f t="array" ref="O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ruby,1500 coin,800 plank,400 stone,20 paper,10 pearl</v>
      </c>
      <c r="P18" t="str">
        <f>IF(tblTargetStatus[[#This Row],[FirstMissingDependencyID]]="","",_xlfn.XLOOKUP(tblTargetStatus[[#This Row],[FirstMissingDependencyID]],tblTargetStatus[TargetID],tblTargetStatus[Status],""))</f>
        <v>BLOCKED</v>
      </c>
      <c r="Q18" t="str">
        <f>IF(
 tblTargetStatus[[#This Row],[Status]]&lt;&gt;"BLOCKED",
 tblTargetStatus[[#This Row],[Status]],
 IF(
  AND(
   tblTargetStatus[[#This Row],[MissingDependencies]]=1,
   tblTargetStatus[[#This Row],[FirstMissingStatus]]="READY"
  ),
  "ONE AWAY",
  "BLOCKED"
 )
)</f>
        <v>BLOCKED</v>
      </c>
      <c r="R18">
        <f>IF(
 OR(
  tblTargetStatus[[#This Row],[StateType]]="CHARACTER",
  RIGHT(tblTargetStatus[[#This Row],[TargetID]],6)=".maxed"
 ),
 0,
 _xlfn.LET(
  _xlpm.sort,
   _xlfn.XLOOKUP(
    tblTargetStatus[[#This Row],[TargetID]],
    tblChecklist[TargetID],
    tblChecklist[PlayerSort],
    0
   ),
  IF(_xlpm.sort=0,500,_xlpm.sort)
 )
)</f>
        <v>38</v>
      </c>
      <c r="S18" t="str" cm="1">
        <f t="array" ref="S1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Caravan Lv 4</v>
      </c>
      <c r="T18" t="str">
        <f>_xlfn.XLOOKUP(tblTargetStatus[[#This Row],[TargetID]],tblTargets[TargetID],tblTargets[CompletionMethod],"")</f>
        <v>PLAYER</v>
      </c>
      <c r="U18" t="b">
        <f>COUNTIF(
    tblCost[TargetID],
    tblTargetStatus[[#This Row],[TargetID]]
)&gt;0</f>
        <v>1</v>
      </c>
      <c r="V18" s="81">
        <f>IF(tblTargetStatus[[#This Row],[HasCost]]=FALSE,
"N/A",
_xlfn.XLOOKUP(
tblTargetStatus[[#This Row],[TargetID]],
tblCost[TargetID],
tblCost[FundingPercent],
""
)
)</f>
        <v>0</v>
      </c>
      <c r="W18">
        <f>IF(
COUNTIF(tblCost[TargetID],tblTargetStatus[[#This Row],[TargetID]])=0,
"",
_xlfn.XLOOKUP(
tblTargetStatus[[#This Row],[TargetID]],
tblCost[TargetID],
tblCost[RemainingRequirements],
""
)
)</f>
        <v>6</v>
      </c>
      <c r="X18" s="79" t="b">
        <f>IF(tblTargetStatus[[#This Row],[HasCost]]=FALSE,"N/A",_xlfn.XLOOKUP(
tblTargetStatus[[#This Row],[TargetID]],
tblCost[TargetID],
tblCost[TargetFunded],
TRUE
))</f>
        <v>0</v>
      </c>
      <c r="Y18" t="str" cm="1">
        <f t="array" ref="Y18">_xlfn.TEXTJOIN(
", ",
TRUE,
_xlfn._xlws.FILTER(
tblCost[ResourceID]&amp;": "&amp;tblCost[QuantityRequired],
(tblCost[TargetID]=tblTargetStatus[[#This Row],[TargetID]])*
(tblCost[PlayerPaid]=FALSE),
""
)
)</f>
        <v>ruby: 9, coin: 1500, plank: 800, stone: 400, paper: 20, pearl: 10</v>
      </c>
      <c r="Z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 t="str" cm="1">
        <f t="array" ref="AA1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 spans="1:27">
      <c r="A19" t="s">
        <v>33</v>
      </c>
      <c r="B19" t="str">
        <f>_xlfn.XLOOKUP(tblTargetStatus[[#This Row],[TargetID]],tblTargets[TargetID],tblTargets[DisplayName],"")</f>
        <v>Caravan Lv 4</v>
      </c>
      <c r="C19" t="str">
        <f>IF(tblTargetStatus[[#This Row],[PlayerCompleted]],"COMPLETED",IF(tblTargetStatus[[#This Row],[MissingDependencies]]=0,"READY","BLOCKED"))</f>
        <v>BLOCKED</v>
      </c>
      <c r="D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 t="str">
        <f>_xlfn.XLOOKUP(tblTargetStatus[[#This Row],[TargetID]],tblTargets[TargetID],tblTargets[TargetType],"")</f>
        <v>BUILDING</v>
      </c>
      <c r="F19" t="str">
        <f>_xlfn.XLOOKUP(tblTargetStatus[[#This Row],[TargetID]],tblTargets[TargetID],tblTargets[StateType])</f>
        <v/>
      </c>
      <c r="G19">
        <f>_xlfn.LET(
_xlpm.id,tblTargetStatus[[#This Row],[TargetID]],
_xlpm.depCount,COUNTIF(tblDependencies[TargetID],_xlpm.id),
_xlpm.objCount,COUNTIF(tblQuestObjectives[QuestTargetID],_xlpm.id),
_xlpm.depCount+_xlpm.objCount
)</f>
        <v>1</v>
      </c>
      <c r="H19">
        <f>tblTargetStatus[[#This Row],[DependencyCount]]</f>
        <v>1</v>
      </c>
      <c r="I19" cm="1">
        <f t="array" ref="I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
        <f>tblTargetStatus[[#This Row],[CompletedDependencyCount]]</f>
        <v>0</v>
      </c>
      <c r="K19" t="b">
        <f>tblTargetStatus[[#This Row],[CompletedDependencies]]=tblTargetStatus[[#This Row],[TotalDependencies]]</f>
        <v>0</v>
      </c>
      <c r="L19">
        <f>tblTargetStatus[[#This Row],[TotalDependencies]]-tblTargetStatus[[#This Row],[CompletedDependencies]]</f>
        <v>1</v>
      </c>
      <c r="M19" t="str" cm="1">
        <f t="array" ref="M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building.caravan@3</v>
      </c>
      <c r="N19" t="str">
        <f>IF(tblTargetStatus[[#This Row],[FirstMissingDependencyID]]="","",_xlfn.XLOOKUP(tblTargetStatus[[#This Row],[FirstMissingDependencyID]],tblTargets[TargetID],tblTargets[DisplayName],tblTargetStatus[[#This Row],[FirstMissingDependencyID]]))</f>
        <v>Caravan Lv 3</v>
      </c>
      <c r="O19" t="str" cm="1">
        <f t="array" ref="O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12 ruby,2000 coin,1000 plank,500 stone,30 silk,5 spices</v>
      </c>
      <c r="P19" t="str">
        <f>IF(tblTargetStatus[[#This Row],[FirstMissingDependencyID]]="","",_xlfn.XLOOKUP(tblTargetStatus[[#This Row],[FirstMissingDependencyID]],tblTargetStatus[TargetID],tblTargetStatus[Status],""))</f>
        <v>BLOCKED</v>
      </c>
      <c r="Q19" t="str">
        <f>IF(
 tblTargetStatus[[#This Row],[Status]]&lt;&gt;"BLOCKED",
 tblTargetStatus[[#This Row],[Status]],
 IF(
  AND(
   tblTargetStatus[[#This Row],[MissingDependencies]]=1,
   tblTargetStatus[[#This Row],[FirstMissingStatus]]="READY"
  ),
  "ONE AWAY",
  "BLOCKED"
 )
)</f>
        <v>BLOCKED</v>
      </c>
      <c r="R19">
        <f>IF(
 OR(
  tblTargetStatus[[#This Row],[StateType]]="CHARACTER",
  RIGHT(tblTargetStatus[[#This Row],[TargetID]],6)=".maxed"
 ),
 0,
 _xlfn.LET(
  _xlpm.sort,
   _xlfn.XLOOKUP(
    tblTargetStatus[[#This Row],[TargetID]],
    tblChecklist[TargetID],
    tblChecklist[PlayerSort],
    0
   ),
  IF(_xlpm.sort=0,500,_xlpm.sort)
 )
)</f>
        <v>39</v>
      </c>
      <c r="S19" t="str" cm="1">
        <f t="array" ref="S1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9" t="str">
        <f>_xlfn.XLOOKUP(tblTargetStatus[[#This Row],[TargetID]],tblTargets[TargetID],tblTargets[CompletionMethod],"")</f>
        <v>PLAYER</v>
      </c>
      <c r="U19" t="b">
        <f>COUNTIF(
    tblCost[TargetID],
    tblTargetStatus[[#This Row],[TargetID]]
)&gt;0</f>
        <v>1</v>
      </c>
      <c r="V19" s="81">
        <f>IF(tblTargetStatus[[#This Row],[HasCost]]=FALSE,
"N/A",
_xlfn.XLOOKUP(
tblTargetStatus[[#This Row],[TargetID]],
tblCost[TargetID],
tblCost[FundingPercent],
""
)
)</f>
        <v>0</v>
      </c>
      <c r="W19">
        <f>IF(
COUNTIF(tblCost[TargetID],tblTargetStatus[[#This Row],[TargetID]])=0,
"",
_xlfn.XLOOKUP(
tblTargetStatus[[#This Row],[TargetID]],
tblCost[TargetID],
tblCost[RemainingRequirements],
""
)
)</f>
        <v>6</v>
      </c>
      <c r="X19" s="79" t="b">
        <f>IF(tblTargetStatus[[#This Row],[HasCost]]=FALSE,"N/A",_xlfn.XLOOKUP(
tblTargetStatus[[#This Row],[TargetID]],
tblCost[TargetID],
tblCost[TargetFunded],
TRUE
))</f>
        <v>0</v>
      </c>
      <c r="Y19" t="str" cm="1">
        <f t="array" ref="Y19">_xlfn.TEXTJOIN(
", ",
TRUE,
_xlfn._xlws.FILTER(
tblCost[ResourceID]&amp;": "&amp;tblCost[QuantityRequired],
(tblCost[TargetID]=tblTargetStatus[[#This Row],[TargetID]])*
(tblCost[PlayerPaid]=FALSE),
""
)
)</f>
        <v>ruby: 12, coin: 2000, plank: 1000, stone: 500, silk: 30, spices: 5</v>
      </c>
      <c r="Z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 t="str" cm="1">
        <f t="array" ref="AA1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 spans="1:27" ht="29">
      <c r="A20" t="s">
        <v>34</v>
      </c>
      <c r="B20" t="str">
        <f>_xlfn.XLOOKUP(tblTargetStatus[[#This Row],[TargetID]],tblTargets[TargetID],tblTargets[DisplayName],"")</f>
        <v>Chicken Lv 1</v>
      </c>
      <c r="C20" t="str">
        <f>IF(tblTargetStatus[[#This Row],[PlayerCompleted]],"COMPLETED",IF(tblTargetStatus[[#This Row],[MissingDependencies]]=0,"READY","BLOCKED"))</f>
        <v>BLOCKED</v>
      </c>
      <c r="D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 t="str">
        <f>_xlfn.XLOOKUP(tblTargetStatus[[#This Row],[TargetID]],tblTargets[TargetID],tblTargets[TargetType],"")</f>
        <v>BUILDING</v>
      </c>
      <c r="F20" t="str">
        <f>_xlfn.XLOOKUP(tblTargetStatus[[#This Row],[TargetID]],tblTargets[TargetID],tblTargets[StateType])</f>
        <v/>
      </c>
      <c r="G20">
        <f>_xlfn.LET(
_xlpm.id,tblTargetStatus[[#This Row],[TargetID]],
_xlpm.depCount,COUNTIF(tblDependencies[TargetID],_xlpm.id),
_xlpm.objCount,COUNTIF(tblQuestObjectives[QuestTargetID],_xlpm.id),
_xlpm.depCount+_xlpm.objCount
)</f>
        <v>1</v>
      </c>
      <c r="H20">
        <f>tblTargetStatus[[#This Row],[DependencyCount]]</f>
        <v>1</v>
      </c>
      <c r="I20" cm="1">
        <f t="array" ref="I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
        <f>tblTargetStatus[[#This Row],[CompletedDependencyCount]]</f>
        <v>0</v>
      </c>
      <c r="K20" t="b">
        <f>tblTargetStatus[[#This Row],[CompletedDependencies]]=tblTargetStatus[[#This Row],[TotalDependencies]]</f>
        <v>0</v>
      </c>
      <c r="L20">
        <f>tblTargetStatus[[#This Row],[TotalDependencies]]-tblTargetStatus[[#This Row],[CompletedDependencies]]</f>
        <v>1</v>
      </c>
      <c r="M20" t="str" cm="1">
        <f t="array" ref="M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state.character_level@15</v>
      </c>
      <c r="N20" t="str">
        <f>IF(tblTargetStatus[[#This Row],[FirstMissingDependencyID]]="","",_xlfn.XLOOKUP(tblTargetStatus[[#This Row],[FirstMissingDependencyID]],tblTargets[TargetID],tblTargets[DisplayName],tblTargetStatus[[#This Row],[FirstMissingDependencyID]]))</f>
        <v>Character Level@15</v>
      </c>
      <c r="O20" s="2" t="str" cm="1">
        <f t="array" ref="O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ruby,400 coin,400 beam,200 stone,20 wheat,10 thread,1 egg</v>
      </c>
      <c r="P20" t="str">
        <f>IF(tblTargetStatus[[#This Row],[FirstMissingDependencyID]]="","",_xlfn.XLOOKUP(tblTargetStatus[[#This Row],[FirstMissingDependencyID]],tblTargetStatus[TargetID],tblTargetStatus[Status],""))</f>
        <v>READY</v>
      </c>
      <c r="Q20" t="str">
        <f>IF(
 tblTargetStatus[[#This Row],[Status]]&lt;&gt;"BLOCKED",
 tblTargetStatus[[#This Row],[Status]],
 IF(
  AND(
   tblTargetStatus[[#This Row],[MissingDependencies]]=1,
   tblTargetStatus[[#This Row],[FirstMissingStatus]]="READY"
  ),
  "ONE AWAY",
  "BLOCKED"
 )
)</f>
        <v>ONE AWAY</v>
      </c>
      <c r="R20">
        <f>IF(
 OR(
  tblTargetStatus[[#This Row],[StateType]]="CHARACTER",
  RIGHT(tblTargetStatus[[#This Row],[TargetID]],6)=".maxed"
 ),
 0,
 _xlfn.LET(
  _xlpm.sort,
   _xlfn.XLOOKUP(
    tblTargetStatus[[#This Row],[TargetID]],
    tblChecklist[TargetID],
    tblChecklist[PlayerSort],
    0
   ),
  IF(_xlpm.sort=0,500,_xlpm.sort)
 )
)</f>
        <v>55</v>
      </c>
      <c r="S20" t="str" cm="1">
        <f t="array" ref="S2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Chicken Lv 2</v>
      </c>
      <c r="T20" t="str">
        <f>_xlfn.XLOOKUP(tblTargetStatus[[#This Row],[TargetID]],tblTargets[TargetID],tblTargets[CompletionMethod],"")</f>
        <v>PLAYER</v>
      </c>
      <c r="U20" t="b">
        <f>COUNTIF(
    tblCost[TargetID],
    tblTargetStatus[[#This Row],[TargetID]]
)&gt;0</f>
        <v>1</v>
      </c>
      <c r="V20" s="81">
        <f>IF(tblTargetStatus[[#This Row],[HasCost]]=FALSE,
"N/A",
_xlfn.XLOOKUP(
tblTargetStatus[[#This Row],[TargetID]],
tblCost[TargetID],
tblCost[FundingPercent],
""
)
)</f>
        <v>0</v>
      </c>
      <c r="W20">
        <f>IF(
COUNTIF(tblCost[TargetID],tblTargetStatus[[#This Row],[TargetID]])=0,
"",
_xlfn.XLOOKUP(
tblTargetStatus[[#This Row],[TargetID]],
tblCost[TargetID],
tblCost[RemainingRequirements],
""
)
)</f>
        <v>7</v>
      </c>
      <c r="X20" s="79" t="b">
        <f>IF(tblTargetStatus[[#This Row],[HasCost]]=FALSE,"N/A",_xlfn.XLOOKUP(
tblTargetStatus[[#This Row],[TargetID]],
tblCost[TargetID],
tblCost[TargetFunded],
TRUE
))</f>
        <v>0</v>
      </c>
      <c r="Y20" t="str" cm="1">
        <f t="array" ref="Y20">_xlfn.TEXTJOIN(
", ",
TRUE,
_xlfn._xlws.FILTER(
tblCost[ResourceID]&amp;": "&amp;tblCost[QuantityRequired],
(tblCost[TargetID]=tblTargetStatus[[#This Row],[TargetID]])*
(tblCost[PlayerPaid]=FALSE),
""
)
)</f>
        <v>ruby: 2, coin: 400, beam: 400, stone: 200, wheat: 20, thread: 10, egg: 1</v>
      </c>
      <c r="Z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 t="str" cm="1">
        <f t="array" ref="AA2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 spans="1:27">
      <c r="A21" t="s">
        <v>36</v>
      </c>
      <c r="B21" t="str">
        <f>_xlfn.XLOOKUP(tblTargetStatus[[#This Row],[TargetID]],tblTargets[TargetID],tblTargets[DisplayName],"")</f>
        <v>Chicken Lv 2</v>
      </c>
      <c r="C21" t="str">
        <f>IF(tblTargetStatus[[#This Row],[PlayerCompleted]],"COMPLETED",IF(tblTargetStatus[[#This Row],[MissingDependencies]]=0,"READY","BLOCKED"))</f>
        <v>BLOCKED</v>
      </c>
      <c r="D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 t="str">
        <f>_xlfn.XLOOKUP(tblTargetStatus[[#This Row],[TargetID]],tblTargets[TargetID],tblTargets[TargetType],"")</f>
        <v>BUILDING</v>
      </c>
      <c r="F21" t="str">
        <f>_xlfn.XLOOKUP(tblTargetStatus[[#This Row],[TargetID]],tblTargets[TargetID],tblTargets[StateType])</f>
        <v/>
      </c>
      <c r="G21">
        <f>_xlfn.LET(
_xlpm.id,tblTargetStatus[[#This Row],[TargetID]],
_xlpm.depCount,COUNTIF(tblDependencies[TargetID],_xlpm.id),
_xlpm.objCount,COUNTIF(tblQuestObjectives[QuestTargetID],_xlpm.id),
_xlpm.depCount+_xlpm.objCount
)</f>
        <v>1</v>
      </c>
      <c r="H21">
        <f>tblTargetStatus[[#This Row],[DependencyCount]]</f>
        <v>1</v>
      </c>
      <c r="I21" cm="1">
        <f t="array" ref="I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
        <f>tblTargetStatus[[#This Row],[CompletedDependencyCount]]</f>
        <v>0</v>
      </c>
      <c r="K21" t="b">
        <f>tblTargetStatus[[#This Row],[CompletedDependencies]]=tblTargetStatus[[#This Row],[TotalDependencies]]</f>
        <v>0</v>
      </c>
      <c r="L21">
        <f>tblTargetStatus[[#This Row],[TotalDependencies]]-tblTargetStatus[[#This Row],[CompletedDependencies]]</f>
        <v>1</v>
      </c>
      <c r="M21" t="str" cm="1">
        <f t="array" ref="M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building.chicken@1</v>
      </c>
      <c r="N21" t="str">
        <f>IF(tblTargetStatus[[#This Row],[FirstMissingDependencyID]]="","",_xlfn.XLOOKUP(tblTargetStatus[[#This Row],[FirstMissingDependencyID]],tblTargets[TargetID],tblTargets[DisplayName],tblTargetStatus[[#This Row],[FirstMissingDependencyID]]))</f>
        <v>Chicken Lv 1</v>
      </c>
      <c r="O21" t="str" cm="1">
        <f t="array" ref="O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ruby,600 coin,600 beam,300 stone,20 wheat,10 thread,1 egg</v>
      </c>
      <c r="P21" t="str">
        <f>IF(tblTargetStatus[[#This Row],[FirstMissingDependencyID]]="","",_xlfn.XLOOKUP(tblTargetStatus[[#This Row],[FirstMissingDependencyID]],tblTargetStatus[TargetID],tblTargetStatus[Status],""))</f>
        <v>BLOCKED</v>
      </c>
      <c r="Q21" t="str">
        <f>IF(
 tblTargetStatus[[#This Row],[Status]]&lt;&gt;"BLOCKED",
 tblTargetStatus[[#This Row],[Status]],
 IF(
  AND(
   tblTargetStatus[[#This Row],[MissingDependencies]]=1,
   tblTargetStatus[[#This Row],[FirstMissingStatus]]="READY"
  ),
  "ONE AWAY",
  "BLOCKED"
 )
)</f>
        <v>BLOCKED</v>
      </c>
      <c r="R21">
        <f>IF(
 OR(
  tblTargetStatus[[#This Row],[StateType]]="CHARACTER",
  RIGHT(tblTargetStatus[[#This Row],[TargetID]],6)=".maxed"
 ),
 0,
 _xlfn.LET(
  _xlpm.sort,
   _xlfn.XLOOKUP(
    tblTargetStatus[[#This Row],[TargetID]],
    tblChecklist[TargetID],
    tblChecklist[PlayerSort],
    0
   ),
  IF(_xlpm.sort=0,500,_xlpm.sort)
 )
)</f>
        <v>56</v>
      </c>
      <c r="S21" t="str" cm="1">
        <f t="array" ref="S2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1" t="str">
        <f>_xlfn.XLOOKUP(tblTargetStatus[[#This Row],[TargetID]],tblTargets[TargetID],tblTargets[CompletionMethod],"")</f>
        <v>PLAYER</v>
      </c>
      <c r="U21" t="b">
        <f>COUNTIF(
    tblCost[TargetID],
    tblTargetStatus[[#This Row],[TargetID]]
)&gt;0</f>
        <v>1</v>
      </c>
      <c r="V21" s="81">
        <f>IF(tblTargetStatus[[#This Row],[HasCost]]=FALSE,
"N/A",
_xlfn.XLOOKUP(
tblTargetStatus[[#This Row],[TargetID]],
tblCost[TargetID],
tblCost[FundingPercent],
""
)
)</f>
        <v>0</v>
      </c>
      <c r="W21">
        <f>IF(
COUNTIF(tblCost[TargetID],tblTargetStatus[[#This Row],[TargetID]])=0,
"",
_xlfn.XLOOKUP(
tblTargetStatus[[#This Row],[TargetID]],
tblCost[TargetID],
tblCost[RemainingRequirements],
""
)
)</f>
        <v>7</v>
      </c>
      <c r="X21" s="79" t="b">
        <f>IF(tblTargetStatus[[#This Row],[HasCost]]=FALSE,"N/A",_xlfn.XLOOKUP(
tblTargetStatus[[#This Row],[TargetID]],
tblCost[TargetID],
tblCost[TargetFunded],
TRUE
))</f>
        <v>0</v>
      </c>
      <c r="Y21" t="str" cm="1">
        <f t="array" ref="Y21">_xlfn.TEXTJOIN(
", ",
TRUE,
_xlfn._xlws.FILTER(
tblCost[ResourceID]&amp;": "&amp;tblCost[QuantityRequired],
(tblCost[TargetID]=tblTargetStatus[[#This Row],[TargetID]])*
(tblCost[PlayerPaid]=FALSE),
""
)
)</f>
        <v>ruby: 3, coin: 600, beam: 600, stone: 300, wheat: 20, thread: 10, egg: 1</v>
      </c>
      <c r="Z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 t="str" cm="1">
        <f t="array" ref="AA2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 spans="1:27">
      <c r="A22" t="s">
        <v>2674</v>
      </c>
      <c r="B22" t="str">
        <f>_xlfn.XLOOKUP(tblTargetStatus[[#This Row],[TargetID]],tblTargets[TargetID],tblTargets[DisplayName],"")</f>
        <v>dairy maxed</v>
      </c>
      <c r="C22" t="str">
        <f>IF(tblTargetStatus[[#This Row],[PlayerCompleted]],"COMPLETED",IF(tblTargetStatus[[#This Row],[MissingDependencies]]=0,"READY","BLOCKED"))</f>
        <v>BLOCKED</v>
      </c>
      <c r="D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 t="str">
        <f>_xlfn.XLOOKUP(tblTargetStatus[[#This Row],[TargetID]],tblTargets[TargetID],tblTargets[TargetType],"")</f>
        <v>BUILDING</v>
      </c>
      <c r="F22" t="str">
        <f>_xlfn.XLOOKUP(tblTargetStatus[[#This Row],[TargetID]],tblTargets[TargetID],tblTargets[StateType])</f>
        <v/>
      </c>
      <c r="G22">
        <f>_xlfn.LET(
_xlpm.id,tblTargetStatus[[#This Row],[TargetID]],
_xlpm.depCount,COUNTIF(tblDependencies[TargetID],_xlpm.id),
_xlpm.objCount,COUNTIF(tblQuestObjectives[QuestTargetID],_xlpm.id),
_xlpm.depCount+_xlpm.objCount
)</f>
        <v>1</v>
      </c>
      <c r="H22">
        <f>tblTargetStatus[[#This Row],[DependencyCount]]</f>
        <v>1</v>
      </c>
      <c r="I22" cm="1">
        <f t="array" ref="I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
        <f>tblTargetStatus[[#This Row],[CompletedDependencyCount]]</f>
        <v>0</v>
      </c>
      <c r="K22" t="b">
        <f>tblTargetStatus[[#This Row],[CompletedDependencies]]=tblTargetStatus[[#This Row],[TotalDependencies]]</f>
        <v>0</v>
      </c>
      <c r="L22">
        <f>tblTargetStatus[[#This Row],[TotalDependencies]]-tblTargetStatus[[#This Row],[CompletedDependencies]]</f>
        <v>1</v>
      </c>
      <c r="M22" t="str" cm="1">
        <f t="array" ref="M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building.dairy@2</v>
      </c>
      <c r="N22" t="str">
        <f>IF(tblTargetStatus[[#This Row],[FirstMissingDependencyID]]="","",_xlfn.XLOOKUP(tblTargetStatus[[#This Row],[FirstMissingDependencyID]],tblTargets[TargetID],tblTargets[DisplayName],tblTargetStatus[[#This Row],[FirstMissingDependencyID]]))</f>
        <v>Dairy Lv 2</v>
      </c>
      <c r="O22" s="2" t="str" cm="1">
        <f t="array" ref="O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22" t="str">
        <f>IF(tblTargetStatus[[#This Row],[FirstMissingDependencyID]]="","",_xlfn.XLOOKUP(tblTargetStatus[[#This Row],[FirstMissingDependencyID]],tblTargetStatus[TargetID],tblTargetStatus[Status],""))</f>
        <v>BLOCKED</v>
      </c>
      <c r="Q22" t="str">
        <f>IF(
 tblTargetStatus[[#This Row],[Status]]&lt;&gt;"BLOCKED",
 tblTargetStatus[[#This Row],[Status]],
 IF(
  AND(
   tblTargetStatus[[#This Row],[MissingDependencies]]=1,
   tblTargetStatus[[#This Row],[FirstMissingStatus]]="READY"
  ),
  "ONE AWAY",
  "BLOCKED"
 )
)</f>
        <v>BLOCKED</v>
      </c>
      <c r="R22">
        <f>IF(
 OR(
  tblTargetStatus[[#This Row],[StateType]]="CHARACTER",
  RIGHT(tblTargetStatus[[#This Row],[TargetID]],6)=".maxed"
 ),
 0,
 _xlfn.LET(
  _xlpm.sort,
   _xlfn.XLOOKUP(
    tblTargetStatus[[#This Row],[TargetID]],
    tblChecklist[TargetID],
    tblChecklist[PlayerSort],
    0
   ),
  IF(_xlpm.sort=0,500,_xlpm.sort)
 )
)</f>
        <v>0</v>
      </c>
      <c r="S22" t="str" cm="1">
        <f t="array" ref="S2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Dairy - Classical Music For The Farm</v>
      </c>
      <c r="T22" t="str">
        <f>_xlfn.XLOOKUP(tblTargetStatus[[#This Row],[TargetID]],tblTargets[TargetID],tblTargets[CompletionMethod],"")</f>
        <v>AUTO</v>
      </c>
      <c r="U22" t="b">
        <f>COUNTIF(
    tblCost[TargetID],
    tblTargetStatus[[#This Row],[TargetID]]
)&gt;0</f>
        <v>0</v>
      </c>
      <c r="V22" s="81" t="str">
        <f>IF(tblTargetStatus[[#This Row],[HasCost]]=FALSE,
"N/A",
_xlfn.XLOOKUP(
tblTargetStatus[[#This Row],[TargetID]],
tblCost[TargetID],
tblCost[FundingPercent],
""
)
)</f>
        <v>N/A</v>
      </c>
      <c r="W22" t="str">
        <f>IF(
COUNTIF(tblCost[TargetID],tblTargetStatus[[#This Row],[TargetID]])=0,
"",
_xlfn.XLOOKUP(
tblTargetStatus[[#This Row],[TargetID]],
tblCost[TargetID],
tblCost[RemainingRequirements],
""
)
)</f>
        <v/>
      </c>
      <c r="X22" s="79" t="str">
        <f>IF(tblTargetStatus[[#This Row],[HasCost]]=FALSE,"N/A",_xlfn.XLOOKUP(
tblTargetStatus[[#This Row],[TargetID]],
tblCost[TargetID],
tblCost[TargetFunded],
TRUE
))</f>
        <v>N/A</v>
      </c>
      <c r="Y22" t="str" cm="1">
        <f t="array" ref="Y22">_xlfn.TEXTJOIN(
", ",
TRUE,
_xlfn._xlws.FILTER(
tblCost[ResourceID]&amp;": "&amp;tblCost[QuantityRequired],
(tblCost[TargetID]=tblTargetStatus[[#This Row],[TargetID]])*
(tblCost[PlayerPaid]=FALSE),
""
)
)</f>
        <v/>
      </c>
      <c r="Z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 t="str" cm="1">
        <f t="array" ref="AA2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 spans="1:27">
      <c r="A23" t="s">
        <v>37</v>
      </c>
      <c r="B23" t="str">
        <f>_xlfn.XLOOKUP(tblTargetStatus[[#This Row],[TargetID]],tblTargets[TargetID],tblTargets[DisplayName],"")</f>
        <v>Dairy Lv 1</v>
      </c>
      <c r="C23" t="str">
        <f>IF(tblTargetStatus[[#This Row],[PlayerCompleted]],"COMPLETED",IF(tblTargetStatus[[#This Row],[MissingDependencies]]=0,"READY","BLOCKED"))</f>
        <v>BLOCKED</v>
      </c>
      <c r="D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 t="str">
        <f>_xlfn.XLOOKUP(tblTargetStatus[[#This Row],[TargetID]],tblTargets[TargetID],tblTargets[TargetType],"")</f>
        <v>BUILDING</v>
      </c>
      <c r="F23" t="str">
        <f>_xlfn.XLOOKUP(tblTargetStatus[[#This Row],[TargetID]],tblTargets[TargetID],tblTargets[StateType])</f>
        <v/>
      </c>
      <c r="G23">
        <f>_xlfn.LET(
_xlpm.id,tblTargetStatus[[#This Row],[TargetID]],
_xlpm.depCount,COUNTIF(tblDependencies[TargetID],_xlpm.id),
_xlpm.objCount,COUNTIF(tblQuestObjectives[QuestTargetID],_xlpm.id),
_xlpm.depCount+_xlpm.objCount
)</f>
        <v>2</v>
      </c>
      <c r="H23">
        <f>tblTargetStatus[[#This Row],[DependencyCount]]</f>
        <v>2</v>
      </c>
      <c r="I23" cm="1">
        <f t="array" ref="I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
        <f>tblTargetStatus[[#This Row],[CompletedDependencyCount]]</f>
        <v>0</v>
      </c>
      <c r="K23" t="b">
        <f>tblTargetStatus[[#This Row],[CompletedDependencies]]=tblTargetStatus[[#This Row],[TotalDependencies]]</f>
        <v>0</v>
      </c>
      <c r="L23">
        <f>tblTargetStatus[[#This Row],[TotalDependencies]]-tblTargetStatus[[#This Row],[CompletedDependencies]]</f>
        <v>2</v>
      </c>
      <c r="M23" t="str" cm="1">
        <f t="array" ref="M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state.character_level@15</v>
      </c>
      <c r="N23" t="str">
        <f>IF(tblTargetStatus[[#This Row],[FirstMissingDependencyID]]="","",_xlfn.XLOOKUP(tblTargetStatus[[#This Row],[FirstMissingDependencyID]],tblTargets[TargetID],tblTargets[DisplayName],tblTargetStatus[[#This Row],[FirstMissingDependencyID]]))</f>
        <v>Character Level@15</v>
      </c>
      <c r="O23" t="str" cm="1">
        <f t="array" ref="O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coin,700 beam,300 stone,20 thread,40 glass,100 wheat,20 herbs,1 goat</v>
      </c>
      <c r="P23" t="str">
        <f>IF(tblTargetStatus[[#This Row],[FirstMissingDependencyID]]="","",_xlfn.XLOOKUP(tblTargetStatus[[#This Row],[FirstMissingDependencyID]],tblTargetStatus[TargetID],tblTargetStatus[Status],""))</f>
        <v>READY</v>
      </c>
      <c r="Q23" t="str">
        <f>IF(
 tblTargetStatus[[#This Row],[Status]]&lt;&gt;"BLOCKED",
 tblTargetStatus[[#This Row],[Status]],
 IF(
  AND(
   tblTargetStatus[[#This Row],[MissingDependencies]]=1,
   tblTargetStatus[[#This Row],[FirstMissingStatus]]="READY"
  ),
  "ONE AWAY",
  "BLOCKED"
 )
)</f>
        <v>BLOCKED</v>
      </c>
      <c r="R23">
        <f>IF(
 OR(
  tblTargetStatus[[#This Row],[StateType]]="CHARACTER",
  RIGHT(tblTargetStatus[[#This Row],[TargetID]],6)=".maxed"
 ),
 0,
 _xlfn.LET(
  _xlpm.sort,
   _xlfn.XLOOKUP(
    tblTargetStatus[[#This Row],[TargetID]],
    tblChecklist[TargetID],
    tblChecklist[PlayerSort],
    0
   ),
  IF(_xlpm.sort=0,500,_xlpm.sort)
 )
)</f>
        <v>77</v>
      </c>
      <c r="S23" t="str" cm="1">
        <f t="array" ref="S2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Dairy Lv 2</v>
      </c>
      <c r="T23" t="str">
        <f>_xlfn.XLOOKUP(tblTargetStatus[[#This Row],[TargetID]],tblTargets[TargetID],tblTargets[CompletionMethod],"")</f>
        <v>PLAYER</v>
      </c>
      <c r="U23" t="b">
        <f>COUNTIF(
    tblCost[TargetID],
    tblTargetStatus[[#This Row],[TargetID]]
)&gt;0</f>
        <v>1</v>
      </c>
      <c r="V23" s="81">
        <f>IF(tblTargetStatus[[#This Row],[HasCost]]=FALSE,
"N/A",
_xlfn.XLOOKUP(
tblTargetStatus[[#This Row],[TargetID]],
tblCost[TargetID],
tblCost[FundingPercent],
""
)
)</f>
        <v>0</v>
      </c>
      <c r="W23">
        <f>IF(
COUNTIF(tblCost[TargetID],tblTargetStatus[[#This Row],[TargetID]])=0,
"",
_xlfn.XLOOKUP(
tblTargetStatus[[#This Row],[TargetID]],
tblCost[TargetID],
tblCost[RemainingRequirements],
""
)
)</f>
        <v>9</v>
      </c>
      <c r="X23" s="79" t="b">
        <f>IF(tblTargetStatus[[#This Row],[HasCost]]=FALSE,"N/A",_xlfn.XLOOKUP(
tblTargetStatus[[#This Row],[TargetID]],
tblCost[TargetID],
tblCost[TargetFunded],
TRUE
))</f>
        <v>0</v>
      </c>
      <c r="Y23" t="str" cm="1">
        <f t="array" ref="Y23">_xlfn.TEXTJOIN(
", ",
TRUE,
_xlfn._xlws.FILTER(
tblCost[ResourceID]&amp;": "&amp;tblCost[QuantityRequired],
(tblCost[TargetID]=tblTargetStatus[[#This Row],[TargetID]])*
(tblCost[PlayerPaid]=FALSE),
""
)
)</f>
        <v>ruby: 5, coin: 1000, beam: 700, stone: 300, thread: 20, glass: 40, wheat: 100, herbs: 20, goat: 1</v>
      </c>
      <c r="Z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 t="str" cm="1">
        <f t="array" ref="AA2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 spans="1:27">
      <c r="A24" t="s">
        <v>39</v>
      </c>
      <c r="B24" t="str">
        <f>_xlfn.XLOOKUP(tblTargetStatus[[#This Row],[TargetID]],tblTargets[TargetID],tblTargets[DisplayName],"")</f>
        <v>Dairy Lv 2</v>
      </c>
      <c r="C24" t="str">
        <f>IF(tblTargetStatus[[#This Row],[PlayerCompleted]],"COMPLETED",IF(tblTargetStatus[[#This Row],[MissingDependencies]]=0,"READY","BLOCKED"))</f>
        <v>BLOCKED</v>
      </c>
      <c r="D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 t="str">
        <f>_xlfn.XLOOKUP(tblTargetStatus[[#This Row],[TargetID]],tblTargets[TargetID],tblTargets[TargetType],"")</f>
        <v>BUILDING</v>
      </c>
      <c r="F24" t="str">
        <f>_xlfn.XLOOKUP(tblTargetStatus[[#This Row],[TargetID]],tblTargets[TargetID],tblTargets[StateType])</f>
        <v/>
      </c>
      <c r="G24">
        <f>_xlfn.LET(
_xlpm.id,tblTargetStatus[[#This Row],[TargetID]],
_xlpm.depCount,COUNTIF(tblDependencies[TargetID],_xlpm.id),
_xlpm.objCount,COUNTIF(tblQuestObjectives[QuestTargetID],_xlpm.id),
_xlpm.depCount+_xlpm.objCount
)</f>
        <v>1</v>
      </c>
      <c r="H24">
        <f>tblTargetStatus[[#This Row],[DependencyCount]]</f>
        <v>1</v>
      </c>
      <c r="I24" cm="1">
        <f t="array" ref="I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
        <f>tblTargetStatus[[#This Row],[CompletedDependencyCount]]</f>
        <v>0</v>
      </c>
      <c r="K24" t="b">
        <f>tblTargetStatus[[#This Row],[CompletedDependencies]]=tblTargetStatus[[#This Row],[TotalDependencies]]</f>
        <v>0</v>
      </c>
      <c r="L24">
        <f>tblTargetStatus[[#This Row],[TotalDependencies]]-tblTargetStatus[[#This Row],[CompletedDependencies]]</f>
        <v>1</v>
      </c>
      <c r="M24" t="str" cm="1">
        <f t="array" ref="M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building.dairy@1</v>
      </c>
      <c r="N24" t="str">
        <f>IF(tblTargetStatus[[#This Row],[FirstMissingDependencyID]]="","",_xlfn.XLOOKUP(tblTargetStatus[[#This Row],[FirstMissingDependencyID]],tblTargets[TargetID],tblTargets[DisplayName],tblTargetStatus[[#This Row],[FirstMissingDependencyID]]))</f>
        <v>Dairy Lv 1</v>
      </c>
      <c r="O24" t="str" cm="1">
        <f t="array" ref="O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coin,900 beam,500 stone,30 thread,20 bamboo,20 milk,10 enzyme,5 grimoire</v>
      </c>
      <c r="P24" t="str">
        <f>IF(tblTargetStatus[[#This Row],[FirstMissingDependencyID]]="","",_xlfn.XLOOKUP(tblTargetStatus[[#This Row],[FirstMissingDependencyID]],tblTargetStatus[TargetID],tblTargetStatus[Status],""))</f>
        <v>BLOCKED</v>
      </c>
      <c r="Q24" t="str">
        <f>IF(
 tblTargetStatus[[#This Row],[Status]]&lt;&gt;"BLOCKED",
 tblTargetStatus[[#This Row],[Status]],
 IF(
  AND(
   tblTargetStatus[[#This Row],[MissingDependencies]]=1,
   tblTargetStatus[[#This Row],[FirstMissingStatus]]="READY"
  ),
  "ONE AWAY",
  "BLOCKED"
 )
)</f>
        <v>BLOCKED</v>
      </c>
      <c r="R24">
        <f>IF(
 OR(
  tblTargetStatus[[#This Row],[StateType]]="CHARACTER",
  RIGHT(tblTargetStatus[[#This Row],[TargetID]],6)=".maxed"
 ),
 0,
 _xlfn.LET(
  _xlpm.sort,
   _xlfn.XLOOKUP(
    tblTargetStatus[[#This Row],[TargetID]],
    tblChecklist[TargetID],
    tblChecklist[PlayerSort],
    0
   ),
  IF(_xlpm.sort=0,500,_xlpm.sort)
 )
)</f>
        <v>78</v>
      </c>
      <c r="S24" t="str" cm="1">
        <f t="array" ref="S2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dairy maxed, The Ordinary Days of an Adventurer Chapter 6 Accepted, Visit Dungeon@ 6B</v>
      </c>
      <c r="T24" t="str">
        <f>_xlfn.XLOOKUP(tblTargetStatus[[#This Row],[TargetID]],tblTargets[TargetID],tblTargets[CompletionMethod],"")</f>
        <v>PLAYER</v>
      </c>
      <c r="U24" t="b">
        <f>COUNTIF(
    tblCost[TargetID],
    tblTargetStatus[[#This Row],[TargetID]]
)&gt;0</f>
        <v>1</v>
      </c>
      <c r="V24" s="81">
        <f>IF(tblTargetStatus[[#This Row],[HasCost]]=FALSE,
"N/A",
_xlfn.XLOOKUP(
tblTargetStatus[[#This Row],[TargetID]],
tblCost[TargetID],
tblCost[FundingPercent],
""
)
)</f>
        <v>0</v>
      </c>
      <c r="W24">
        <f>IF(
COUNTIF(tblCost[TargetID],tblTargetStatus[[#This Row],[TargetID]])=0,
"",
_xlfn.XLOOKUP(
tblTargetStatus[[#This Row],[TargetID]],
tblCost[TargetID],
tblCost[RemainingRequirements],
""
)
)</f>
        <v>9</v>
      </c>
      <c r="X24" s="79" t="b">
        <f>IF(tblTargetStatus[[#This Row],[HasCost]]=FALSE,"N/A",_xlfn.XLOOKUP(
tblTargetStatus[[#This Row],[TargetID]],
tblCost[TargetID],
tblCost[TargetFunded],
TRUE
))</f>
        <v>0</v>
      </c>
      <c r="Y24" t="str" cm="1">
        <f t="array" ref="Y24">_xlfn.TEXTJOIN(
", ",
TRUE,
_xlfn._xlws.FILTER(
tblCost[ResourceID]&amp;": "&amp;tblCost[QuantityRequired],
(tblCost[TargetID]=tblTargetStatus[[#This Row],[TargetID]])*
(tblCost[PlayerPaid]=FALSE),
""
)
)</f>
        <v>ruby: 5, coin: 1000, beam: 900, stone: 500, thread: 30, bamboo: 20, milk: 20, enzyme: 10, grimoire: 5</v>
      </c>
      <c r="Z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 t="str" cm="1">
        <f t="array" ref="AA2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6</v>
      </c>
    </row>
    <row r="25" spans="1:27">
      <c r="A25" t="s">
        <v>2675</v>
      </c>
      <c r="B25" t="str">
        <f>_xlfn.XLOOKUP(tblTargetStatus[[#This Row],[TargetID]],tblTargets[TargetID],tblTargets[DisplayName],"")</f>
        <v>dungeon maxed</v>
      </c>
      <c r="C25" t="str">
        <f>IF(tblTargetStatus[[#This Row],[PlayerCompleted]],"COMPLETED",IF(tblTargetStatus[[#This Row],[MissingDependencies]]=0,"READY","BLOCKED"))</f>
        <v>BLOCKED</v>
      </c>
      <c r="D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 t="str">
        <f>_xlfn.XLOOKUP(tblTargetStatus[[#This Row],[TargetID]],tblTargets[TargetID],tblTargets[TargetType],"")</f>
        <v>BUILDING</v>
      </c>
      <c r="F25" t="str">
        <f>_xlfn.XLOOKUP(tblTargetStatus[[#This Row],[TargetID]],tblTargets[TargetID],tblTargets[StateType])</f>
        <v/>
      </c>
      <c r="G25">
        <f>_xlfn.LET(
_xlpm.id,tblTargetStatus[[#This Row],[TargetID]],
_xlpm.depCount,COUNTIF(tblDependencies[TargetID],_xlpm.id),
_xlpm.objCount,COUNTIF(tblQuestObjectives[QuestTargetID],_xlpm.id),
_xlpm.depCount+_xlpm.objCount
)</f>
        <v>1</v>
      </c>
      <c r="H25">
        <f>tblTargetStatus[[#This Row],[DependencyCount]]</f>
        <v>1</v>
      </c>
      <c r="I25" cm="1">
        <f t="array" ref="I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
        <f>tblTargetStatus[[#This Row],[CompletedDependencyCount]]</f>
        <v>0</v>
      </c>
      <c r="K25" t="b">
        <f>tblTargetStatus[[#This Row],[CompletedDependencies]]=tblTargetStatus[[#This Row],[TotalDependencies]]</f>
        <v>0</v>
      </c>
      <c r="L25">
        <f>tblTargetStatus[[#This Row],[TotalDependencies]]-tblTargetStatus[[#This Row],[CompletedDependencies]]</f>
        <v>1</v>
      </c>
      <c r="M25" t="str" cm="1">
        <f t="array" ref="M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building.dungeon@5</v>
      </c>
      <c r="N25" t="str">
        <f>IF(tblTargetStatus[[#This Row],[FirstMissingDependencyID]]="","",_xlfn.XLOOKUP(tblTargetStatus[[#This Row],[FirstMissingDependencyID]],tblTargets[TargetID],tblTargets[DisplayName],tblTargetStatus[[#This Row],[FirstMissingDependencyID]]))</f>
        <v>Dungeon Lv 5</v>
      </c>
      <c r="O25" s="2" t="str" cm="1">
        <f t="array" ref="O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25" t="str">
        <f>IF(tblTargetStatus[[#This Row],[FirstMissingDependencyID]]="","",_xlfn.XLOOKUP(tblTargetStatus[[#This Row],[FirstMissingDependencyID]],tblTargetStatus[TargetID],tblTargetStatus[Status],""))</f>
        <v>BLOCKED</v>
      </c>
      <c r="Q25" t="str">
        <f>IF(
 tblTargetStatus[[#This Row],[Status]]&lt;&gt;"BLOCKED",
 tblTargetStatus[[#This Row],[Status]],
 IF(
  AND(
   tblTargetStatus[[#This Row],[MissingDependencies]]=1,
   tblTargetStatus[[#This Row],[FirstMissingStatus]]="READY"
  ),
  "ONE AWAY",
  "BLOCKED"
 )
)</f>
        <v>BLOCKED</v>
      </c>
      <c r="R25">
        <f>IF(
 OR(
  tblTargetStatus[[#This Row],[StateType]]="CHARACTER",
  RIGHT(tblTargetStatus[[#This Row],[TargetID]],6)=".maxed"
 ),
 0,
 _xlfn.LET(
  _xlpm.sort,
   _xlfn.XLOOKUP(
    tblTargetStatus[[#This Row],[TargetID]],
    tblChecklist[TargetID],
    tblChecklist[PlayerSort],
    0
   ),
  IF(_xlpm.sort=0,500,_xlpm.sort)
 )
)</f>
        <v>0</v>
      </c>
      <c r="S25" t="str" cm="1">
        <f t="array" ref="S2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5" t="str">
        <f>_xlfn.XLOOKUP(tblTargetStatus[[#This Row],[TargetID]],tblTargets[TargetID],tblTargets[CompletionMethod],"")</f>
        <v>AUTO</v>
      </c>
      <c r="U25" t="b">
        <f>COUNTIF(
    tblCost[TargetID],
    tblTargetStatus[[#This Row],[TargetID]]
)&gt;0</f>
        <v>0</v>
      </c>
      <c r="V25" s="81" t="str">
        <f>IF(tblTargetStatus[[#This Row],[HasCost]]=FALSE,
"N/A",
_xlfn.XLOOKUP(
tblTargetStatus[[#This Row],[TargetID]],
tblCost[TargetID],
tblCost[FundingPercent],
""
)
)</f>
        <v>N/A</v>
      </c>
      <c r="W25" t="str">
        <f>IF(
COUNTIF(tblCost[TargetID],tblTargetStatus[[#This Row],[TargetID]])=0,
"",
_xlfn.XLOOKUP(
tblTargetStatus[[#This Row],[TargetID]],
tblCost[TargetID],
tblCost[RemainingRequirements],
""
)
)</f>
        <v/>
      </c>
      <c r="X25" s="79" t="str">
        <f>IF(tblTargetStatus[[#This Row],[HasCost]]=FALSE,"N/A",_xlfn.XLOOKUP(
tblTargetStatus[[#This Row],[TargetID]],
tblCost[TargetID],
tblCost[TargetFunded],
TRUE
))</f>
        <v>N/A</v>
      </c>
      <c r="Y25" t="str" cm="1">
        <f t="array" ref="Y25">_xlfn.TEXTJOIN(
", ",
TRUE,
_xlfn._xlws.FILTER(
tblCost[ResourceID]&amp;": "&amp;tblCost[QuantityRequired],
(tblCost[TargetID]=tblTargetStatus[[#This Row],[TargetID]])*
(tblCost[PlayerPaid]=FALSE),
""
)
)</f>
        <v/>
      </c>
      <c r="Z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 t="str" cm="1">
        <f t="array" ref="AA2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6" spans="1:27">
      <c r="A26" t="s">
        <v>40</v>
      </c>
      <c r="B26" t="str">
        <f>_xlfn.XLOOKUP(tblTargetStatus[[#This Row],[TargetID]],tblTargets[TargetID],tblTargets[DisplayName],"")</f>
        <v>Dungeon Lv 1</v>
      </c>
      <c r="C26" t="str">
        <f>IF(tblTargetStatus[[#This Row],[PlayerCompleted]],"COMPLETED",IF(tblTargetStatus[[#This Row],[MissingDependencies]]=0,"READY","BLOCKED"))</f>
        <v>BLOCKED</v>
      </c>
      <c r="D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 t="str">
        <f>_xlfn.XLOOKUP(tblTargetStatus[[#This Row],[TargetID]],tblTargets[TargetID],tblTargets[TargetType],"")</f>
        <v>BUILDING</v>
      </c>
      <c r="F26" t="str">
        <f>_xlfn.XLOOKUP(tblTargetStatus[[#This Row],[TargetID]],tblTargets[TargetID],tblTargets[StateType])</f>
        <v/>
      </c>
      <c r="G26">
        <f>_xlfn.LET(
_xlpm.id,tblTargetStatus[[#This Row],[TargetID]],
_xlpm.depCount,COUNTIF(tblDependencies[TargetID],_xlpm.id),
_xlpm.objCount,COUNTIF(tblQuestObjectives[QuestTargetID],_xlpm.id),
_xlpm.depCount+_xlpm.objCount
)</f>
        <v>1</v>
      </c>
      <c r="H26">
        <f>tblTargetStatus[[#This Row],[DependencyCount]]</f>
        <v>1</v>
      </c>
      <c r="I26" cm="1">
        <f t="array" ref="I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
        <f>tblTargetStatus[[#This Row],[CompletedDependencyCount]]</f>
        <v>0</v>
      </c>
      <c r="K26" t="b">
        <f>tblTargetStatus[[#This Row],[CompletedDependencies]]=tblTargetStatus[[#This Row],[TotalDependencies]]</f>
        <v>0</v>
      </c>
      <c r="L26">
        <f>tblTargetStatus[[#This Row],[TotalDependencies]]-tblTargetStatus[[#This Row],[CompletedDependencies]]</f>
        <v>1</v>
      </c>
      <c r="M26" t="str" cm="1">
        <f t="array" ref="M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state.character_level@10</v>
      </c>
      <c r="N26" t="str">
        <f>IF(tblTargetStatus[[#This Row],[FirstMissingDependencyID]]="","",_xlfn.XLOOKUP(tblTargetStatus[[#This Row],[FirstMissingDependencyID]],tblTargets[TargetID],tblTargets[DisplayName],tblTargetStatus[[#This Row],[FirstMissingDependencyID]]))</f>
        <v>Character Level@10</v>
      </c>
      <c r="O26" s="2" t="str" cm="1">
        <f t="array" ref="O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ruby,300 coin,200 wood,50 stone,100 steel,30 fan</v>
      </c>
      <c r="P26" t="str">
        <f>IF(tblTargetStatus[[#This Row],[FirstMissingDependencyID]]="","",_xlfn.XLOOKUP(tblTargetStatus[[#This Row],[FirstMissingDependencyID]],tblTargetStatus[TargetID],tblTargetStatus[Status],""))</f>
        <v>READY</v>
      </c>
      <c r="Q26" t="str">
        <f>IF(
 tblTargetStatus[[#This Row],[Status]]&lt;&gt;"BLOCKED",
 tblTargetStatus[[#This Row],[Status]],
 IF(
  AND(
   tblTargetStatus[[#This Row],[MissingDependencies]]=1,
   tblTargetStatus[[#This Row],[FirstMissingStatus]]="READY"
  ),
  "ONE AWAY",
  "BLOCKED"
 )
)</f>
        <v>ONE AWAY</v>
      </c>
      <c r="R26">
        <f>IF(
 OR(
  tblTargetStatus[[#This Row],[StateType]]="CHARACTER",
  RIGHT(tblTargetStatus[[#This Row],[TargetID]],6)=".maxed"
 ),
 0,
 _xlfn.LET(
  _xlpm.sort,
   _xlfn.XLOOKUP(
    tblTargetStatus[[#This Row],[TargetID]],
    tblChecklist[TargetID],
    tblChecklist[PlayerSort],
    0
   ),
  IF(_xlpm.sort=0,500,_xlpm.sort)
 )
)</f>
        <v>12</v>
      </c>
      <c r="S26" t="str" cm="1">
        <f t="array" ref="S2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Dungeon Lv 2, Emerald Tablet, Historical Library, Trigonometry, Quest for Knowledge Chapter 1 Accepted, Meet Traveling Merchant @1B, Complete Dungeon 1A</v>
      </c>
      <c r="T26" t="str">
        <f>_xlfn.XLOOKUP(tblTargetStatus[[#This Row],[TargetID]],tblTargets[TargetID],tblTargets[CompletionMethod],"")</f>
        <v>PLAYER</v>
      </c>
      <c r="U26" t="b">
        <f>COUNTIF(
    tblCost[TargetID],
    tblTargetStatus[[#This Row],[TargetID]]
)&gt;0</f>
        <v>1</v>
      </c>
      <c r="V26" s="81">
        <f>IF(tblTargetStatus[[#This Row],[HasCost]]=FALSE,
"N/A",
_xlfn.XLOOKUP(
tblTargetStatus[[#This Row],[TargetID]],
tblCost[TargetID],
tblCost[FundingPercent],
""
)
)</f>
        <v>0</v>
      </c>
      <c r="W26">
        <f>IF(
COUNTIF(tblCost[TargetID],tblTargetStatus[[#This Row],[TargetID]])=0,
"",
_xlfn.XLOOKUP(
tblTargetStatus[[#This Row],[TargetID]],
tblCost[TargetID],
tblCost[RemainingRequirements],
""
)
)</f>
        <v>6</v>
      </c>
      <c r="X26" s="79" t="b">
        <f>IF(tblTargetStatus[[#This Row],[HasCost]]=FALSE,"N/A",_xlfn.XLOOKUP(
tblTargetStatus[[#This Row],[TargetID]],
tblCost[TargetID],
tblCost[TargetFunded],
TRUE
))</f>
        <v>0</v>
      </c>
      <c r="Y26" t="str" cm="1">
        <f t="array" ref="Y26">_xlfn.TEXTJOIN(
", ",
TRUE,
_xlfn._xlws.FILTER(
tblCost[ResourceID]&amp;": "&amp;tblCost[QuantityRequired],
(tblCost[TargetID]=tblTargetStatus[[#This Row],[TargetID]])*
(tblCost[PlayerPaid]=FALSE),
""
)
)</f>
        <v>ruby: 1, coin: 300, wood: 200, stone: 50, steel: 100, fan: 30</v>
      </c>
      <c r="Z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 t="str" cm="1">
        <f t="array" ref="AA2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Quest for Knowledge Chapter 1</v>
      </c>
    </row>
    <row r="27" spans="1:27">
      <c r="A27" t="s">
        <v>42</v>
      </c>
      <c r="B27" t="str">
        <f>_xlfn.XLOOKUP(tblTargetStatus[[#This Row],[TargetID]],tblTargets[TargetID],tblTargets[DisplayName],"")</f>
        <v>Dungeon Lv 2</v>
      </c>
      <c r="C27" t="str">
        <f>IF(tblTargetStatus[[#This Row],[PlayerCompleted]],"COMPLETED",IF(tblTargetStatus[[#This Row],[MissingDependencies]]=0,"READY","BLOCKED"))</f>
        <v>BLOCKED</v>
      </c>
      <c r="D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 t="str">
        <f>_xlfn.XLOOKUP(tblTargetStatus[[#This Row],[TargetID]],tblTargets[TargetID],tblTargets[TargetType],"")</f>
        <v>BUILDING</v>
      </c>
      <c r="F27" t="str">
        <f>_xlfn.XLOOKUP(tblTargetStatus[[#This Row],[TargetID]],tblTargets[TargetID],tblTargets[StateType])</f>
        <v/>
      </c>
      <c r="G27">
        <f>_xlfn.LET(
_xlpm.id,tblTargetStatus[[#This Row],[TargetID]],
_xlpm.depCount,COUNTIF(tblDependencies[TargetID],_xlpm.id),
_xlpm.objCount,COUNTIF(tblQuestObjectives[QuestTargetID],_xlpm.id),
_xlpm.depCount+_xlpm.objCount
)</f>
        <v>2</v>
      </c>
      <c r="H27">
        <f>tblTargetStatus[[#This Row],[DependencyCount]]</f>
        <v>2</v>
      </c>
      <c r="I27" cm="1">
        <f t="array" ref="I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
        <f>tblTargetStatus[[#This Row],[CompletedDependencyCount]]</f>
        <v>0</v>
      </c>
      <c r="K27" t="b">
        <f>tblTargetStatus[[#This Row],[CompletedDependencies]]=tblTargetStatus[[#This Row],[TotalDependencies]]</f>
        <v>0</v>
      </c>
      <c r="L27">
        <f>tblTargetStatus[[#This Row],[TotalDependencies]]-tblTargetStatus[[#This Row],[CompletedDependencies]]</f>
        <v>2</v>
      </c>
      <c r="M27" t="str" cm="1">
        <f t="array" ref="M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building.dungeon@1</v>
      </c>
      <c r="N27" t="str">
        <f>IF(tblTargetStatus[[#This Row],[FirstMissingDependencyID]]="","",_xlfn.XLOOKUP(tblTargetStatus[[#This Row],[FirstMissingDependencyID]],tblTargets[TargetID],tblTargets[DisplayName],tblTargetStatus[[#This Row],[FirstMissingDependencyID]]))</f>
        <v>Dungeon Lv 1</v>
      </c>
      <c r="O27" t="str" cm="1">
        <f t="array" ref="O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ruby,500 coin,500 beam,400 steel,100 petard,5 bento,15 page</v>
      </c>
      <c r="P27" t="str">
        <f>IF(tblTargetStatus[[#This Row],[FirstMissingDependencyID]]="","",_xlfn.XLOOKUP(tblTargetStatus[[#This Row],[FirstMissingDependencyID]],tblTargetStatus[TargetID],tblTargetStatus[Status],""))</f>
        <v>BLOCKED</v>
      </c>
      <c r="Q27" t="str">
        <f>IF(
 tblTargetStatus[[#This Row],[Status]]&lt;&gt;"BLOCKED",
 tblTargetStatus[[#This Row],[Status]],
 IF(
  AND(
   tblTargetStatus[[#This Row],[MissingDependencies]]=1,
   tblTargetStatus[[#This Row],[FirstMissingStatus]]="READY"
  ),
  "ONE AWAY",
  "BLOCKED"
 )
)</f>
        <v>BLOCKED</v>
      </c>
      <c r="R27">
        <f>IF(
 OR(
  tblTargetStatus[[#This Row],[StateType]]="CHARACTER",
  RIGHT(tblTargetStatus[[#This Row],[TargetID]],6)=".maxed"
 ),
 0,
 _xlfn.LET(
  _xlpm.sort,
   _xlfn.XLOOKUP(
    tblTargetStatus[[#This Row],[TargetID]],
    tblChecklist[TargetID],
    tblChecklist[PlayerSort],
    0
   ),
  IF(_xlpm.sort=0,500,_xlpm.sort)
 )
)</f>
        <v>16</v>
      </c>
      <c r="S27" t="str" cm="1">
        <f t="array" ref="S2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Dungeon Lv 3, Meet Mech Adventurer@2B</v>
      </c>
      <c r="T27" t="str">
        <f>_xlfn.XLOOKUP(tblTargetStatus[[#This Row],[TargetID]],tblTargets[TargetID],tblTargets[CompletionMethod],"")</f>
        <v>PLAYER</v>
      </c>
      <c r="U27" t="b">
        <f>COUNTIF(
    tblCost[TargetID],
    tblTargetStatus[[#This Row],[TargetID]]
)&gt;0</f>
        <v>1</v>
      </c>
      <c r="V27" s="81">
        <f>IF(tblTargetStatus[[#This Row],[HasCost]]=FALSE,
"N/A",
_xlfn.XLOOKUP(
tblTargetStatus[[#This Row],[TargetID]],
tblCost[TargetID],
tblCost[FundingPercent],
""
)
)</f>
        <v>0</v>
      </c>
      <c r="W27">
        <f>IF(
COUNTIF(tblCost[TargetID],tblTargetStatus[[#This Row],[TargetID]])=0,
"",
_xlfn.XLOOKUP(
tblTargetStatus[[#This Row],[TargetID]],
tblCost[TargetID],
tblCost[RemainingRequirements],
""
)
)</f>
        <v>7</v>
      </c>
      <c r="X27" s="79" t="b">
        <f>IF(tblTargetStatus[[#This Row],[HasCost]]=FALSE,"N/A",_xlfn.XLOOKUP(
tblTargetStatus[[#This Row],[TargetID]],
tblCost[TargetID],
tblCost[TargetFunded],
TRUE
))</f>
        <v>0</v>
      </c>
      <c r="Y27" t="str" cm="1">
        <f t="array" ref="Y27">_xlfn.TEXTJOIN(
", ",
TRUE,
_xlfn._xlws.FILTER(
tblCost[ResourceID]&amp;": "&amp;tblCost[QuantityRequired],
(tblCost[TargetID]=tblTargetStatus[[#This Row],[TargetID]])*
(tblCost[PlayerPaid]=FALSE),
""
)
)</f>
        <v>ruby: 2, coin: 500, beam: 500, steel: 400, petard: 100, bento: 5, page: 15</v>
      </c>
      <c r="Z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 t="str" cm="1">
        <f t="array" ref="AA2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8" spans="1:27">
      <c r="A28" t="s">
        <v>43</v>
      </c>
      <c r="B28" t="str">
        <f>_xlfn.XLOOKUP(tblTargetStatus[[#This Row],[TargetID]],tblTargets[TargetID],tblTargets[DisplayName],"")</f>
        <v>Dungeon Lv 3</v>
      </c>
      <c r="C28" t="str">
        <f>IF(tblTargetStatus[[#This Row],[PlayerCompleted]],"COMPLETED",IF(tblTargetStatus[[#This Row],[MissingDependencies]]=0,"READY","BLOCKED"))</f>
        <v>BLOCKED</v>
      </c>
      <c r="D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 t="str">
        <f>_xlfn.XLOOKUP(tblTargetStatus[[#This Row],[TargetID]],tblTargets[TargetID],tblTargets[TargetType],"")</f>
        <v>BUILDING</v>
      </c>
      <c r="F28" t="str">
        <f>_xlfn.XLOOKUP(tblTargetStatus[[#This Row],[TargetID]],tblTargets[TargetID],tblTargets[StateType])</f>
        <v/>
      </c>
      <c r="G28">
        <f>_xlfn.LET(
_xlpm.id,tblTargetStatus[[#This Row],[TargetID]],
_xlpm.depCount,COUNTIF(tblDependencies[TargetID],_xlpm.id),
_xlpm.objCount,COUNTIF(tblQuestObjectives[QuestTargetID],_xlpm.id),
_xlpm.depCount+_xlpm.objCount
)</f>
        <v>2</v>
      </c>
      <c r="H28">
        <f>tblTargetStatus[[#This Row],[DependencyCount]]</f>
        <v>2</v>
      </c>
      <c r="I28" cm="1">
        <f t="array" ref="I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
        <f>tblTargetStatus[[#This Row],[CompletedDependencyCount]]</f>
        <v>0</v>
      </c>
      <c r="K28" t="b">
        <f>tblTargetStatus[[#This Row],[CompletedDependencies]]=tblTargetStatus[[#This Row],[TotalDependencies]]</f>
        <v>0</v>
      </c>
      <c r="L28">
        <f>tblTargetStatus[[#This Row],[TotalDependencies]]-tblTargetStatus[[#This Row],[CompletedDependencies]]</f>
        <v>2</v>
      </c>
      <c r="M28" t="str" cm="1">
        <f t="array" ref="M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building.dungeon@2</v>
      </c>
      <c r="N28" t="str">
        <f>IF(tblTargetStatus[[#This Row],[FirstMissingDependencyID]]="","",_xlfn.XLOOKUP(tblTargetStatus[[#This Row],[FirstMissingDependencyID]],tblTargets[TargetID],tblTargets[DisplayName],tblTargetStatus[[#This Row],[FirstMissingDependencyID]]))</f>
        <v>Dungeon Lv 2</v>
      </c>
      <c r="O28" t="str" cm="1">
        <f t="array" ref="O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ruby,1000 coin,500 beam,400 steel,50 kunai,3 ramen,15 page</v>
      </c>
      <c r="P28" t="str">
        <f>IF(tblTargetStatus[[#This Row],[FirstMissingDependencyID]]="","",_xlfn.XLOOKUP(tblTargetStatus[[#This Row],[FirstMissingDependencyID]],tblTargetStatus[TargetID],tblTargetStatus[Status],""))</f>
        <v>BLOCKED</v>
      </c>
      <c r="Q28" t="str">
        <f>IF(
 tblTargetStatus[[#This Row],[Status]]&lt;&gt;"BLOCKED",
 tblTargetStatus[[#This Row],[Status]],
 IF(
  AND(
   tblTargetStatus[[#This Row],[MissingDependencies]]=1,
   tblTargetStatus[[#This Row],[FirstMissingStatus]]="READY"
  ),
  "ONE AWAY",
  "BLOCKED"
 )
)</f>
        <v>BLOCKED</v>
      </c>
      <c r="R28">
        <f>IF(
 OR(
  tblTargetStatus[[#This Row],[StateType]]="CHARACTER",
  RIGHT(tblTargetStatus[[#This Row],[TargetID]],6)=".maxed"
 ),
 0,
 _xlfn.LET(
  _xlpm.sort,
   _xlfn.XLOOKUP(
    tblTargetStatus[[#This Row],[TargetID]],
    tblChecklist[TargetID],
    tblChecklist[PlayerSort],
    0
   ),
  IF(_xlpm.sort=0,500,_xlpm.sort)
 )
)</f>
        <v>43</v>
      </c>
      <c r="S28" t="str" cm="1">
        <f t="array" ref="S2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Dungeon Lv 4, Great Hall, Dungeon - Great Hall, Green Potion Finished</v>
      </c>
      <c r="T28" t="str">
        <f>_xlfn.XLOOKUP(tblTargetStatus[[#This Row],[TargetID]],tblTargets[TargetID],tblTargets[CompletionMethod],"")</f>
        <v>PLAYER</v>
      </c>
      <c r="U28" t="b">
        <f>COUNTIF(
    tblCost[TargetID],
    tblTargetStatus[[#This Row],[TargetID]]
)&gt;0</f>
        <v>1</v>
      </c>
      <c r="V28" s="81">
        <f>IF(tblTargetStatus[[#This Row],[HasCost]]=FALSE,
"N/A",
_xlfn.XLOOKUP(
tblTargetStatus[[#This Row],[TargetID]],
tblCost[TargetID],
tblCost[FundingPercent],
""
)
)</f>
        <v>0</v>
      </c>
      <c r="W28">
        <f>IF(
COUNTIF(tblCost[TargetID],tblTargetStatus[[#This Row],[TargetID]])=0,
"",
_xlfn.XLOOKUP(
tblTargetStatus[[#This Row],[TargetID]],
tblCost[TargetID],
tblCost[RemainingRequirements],
""
)
)</f>
        <v>7</v>
      </c>
      <c r="X28" s="79" t="b">
        <f>IF(tblTargetStatus[[#This Row],[HasCost]]=FALSE,"N/A",_xlfn.XLOOKUP(
tblTargetStatus[[#This Row],[TargetID]],
tblCost[TargetID],
tblCost[TargetFunded],
TRUE
))</f>
        <v>0</v>
      </c>
      <c r="Y28" t="str" cm="1">
        <f t="array" ref="Y28">_xlfn.TEXTJOIN(
", ",
TRUE,
_xlfn._xlws.FILTER(
tblCost[ResourceID]&amp;": "&amp;tblCost[QuantityRequired],
(tblCost[TargetID]=tblTargetStatus[[#This Row],[TargetID]])*
(tblCost[PlayerPaid]=FALSE),
""
)
)</f>
        <v>ruby: 3, coin: 1000, beam: 500, steel: 400, kunai: 50, ramen: 3, page: 15</v>
      </c>
      <c r="Z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 t="str" cm="1">
        <f t="array" ref="AA2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9" spans="1:27">
      <c r="A29" t="s">
        <v>44</v>
      </c>
      <c r="B29" t="str">
        <f>_xlfn.XLOOKUP(tblTargetStatus[[#This Row],[TargetID]],tblTargets[TargetID],tblTargets[DisplayName],"")</f>
        <v>Dungeon Lv 4</v>
      </c>
      <c r="C29" t="str">
        <f>IF(tblTargetStatus[[#This Row],[PlayerCompleted]],"COMPLETED",IF(tblTargetStatus[[#This Row],[MissingDependencies]]=0,"READY","BLOCKED"))</f>
        <v>BLOCKED</v>
      </c>
      <c r="D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 t="str">
        <f>_xlfn.XLOOKUP(tblTargetStatus[[#This Row],[TargetID]],tblTargets[TargetID],tblTargets[TargetType],"")</f>
        <v>BUILDING</v>
      </c>
      <c r="F29" t="str">
        <f>_xlfn.XLOOKUP(tblTargetStatus[[#This Row],[TargetID]],tblTargets[TargetID],tblTargets[StateType])</f>
        <v/>
      </c>
      <c r="G29">
        <f>_xlfn.LET(
_xlpm.id,tblTargetStatus[[#This Row],[TargetID]],
_xlpm.depCount,COUNTIF(tblDependencies[TargetID],_xlpm.id),
_xlpm.objCount,COUNTIF(tblQuestObjectives[QuestTargetID],_xlpm.id),
_xlpm.depCount+_xlpm.objCount
)</f>
        <v>2</v>
      </c>
      <c r="H29">
        <f>tblTargetStatus[[#This Row],[DependencyCount]]</f>
        <v>2</v>
      </c>
      <c r="I29" cm="1">
        <f t="array" ref="I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
        <f>tblTargetStatus[[#This Row],[CompletedDependencyCount]]</f>
        <v>0</v>
      </c>
      <c r="K29" t="b">
        <f>tblTargetStatus[[#This Row],[CompletedDependencies]]=tblTargetStatus[[#This Row],[TotalDependencies]]</f>
        <v>0</v>
      </c>
      <c r="L29">
        <f>tblTargetStatus[[#This Row],[TotalDependencies]]-tblTargetStatus[[#This Row],[CompletedDependencies]]</f>
        <v>2</v>
      </c>
      <c r="M29" t="str" cm="1">
        <f t="array" ref="M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building.dungeon@3</v>
      </c>
      <c r="N29" t="str">
        <f>IF(tblTargetStatus[[#This Row],[FirstMissingDependencyID]]="","",_xlfn.XLOOKUP(tblTargetStatus[[#This Row],[FirstMissingDependencyID]],tblTargets[TargetID],tblTargets[DisplayName],tblTargetStatus[[#This Row],[FirstMissingDependencyID]]))</f>
        <v>Dungeon Lv 3</v>
      </c>
      <c r="O29" t="str" cm="1">
        <f t="array" ref="O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ruby,1500 coin,750 beam,30 oil,5 clew,20 poe,20 page</v>
      </c>
      <c r="P29" t="str">
        <f>IF(tblTargetStatus[[#This Row],[FirstMissingDependencyID]]="","",_xlfn.XLOOKUP(tblTargetStatus[[#This Row],[FirstMissingDependencyID]],tblTargetStatus[TargetID],tblTargetStatus[Status],""))</f>
        <v>BLOCKED</v>
      </c>
      <c r="Q29" t="str">
        <f>IF(
 tblTargetStatus[[#This Row],[Status]]&lt;&gt;"BLOCKED",
 tblTargetStatus[[#This Row],[Status]],
 IF(
  AND(
   tblTargetStatus[[#This Row],[MissingDependencies]]=1,
   tblTargetStatus[[#This Row],[FirstMissingStatus]]="READY"
  ),
  "ONE AWAY",
  "BLOCKED"
 )
)</f>
        <v>BLOCKED</v>
      </c>
      <c r="R29">
        <f>IF(
 OR(
  tblTargetStatus[[#This Row],[StateType]]="CHARACTER",
  RIGHT(tblTargetStatus[[#This Row],[TargetID]],6)=".maxed"
 ),
 0,
 _xlfn.LET(
  _xlpm.sort,
   _xlfn.XLOOKUP(
    tblTargetStatus[[#This Row],[TargetID]],
    tblChecklist[TargetID],
    tblChecklist[PlayerSort],
    0
   ),
  IF(_xlpm.sort=0,500,_xlpm.sort)
 )
)</f>
        <v>64</v>
      </c>
      <c r="S29" t="str" cm="1">
        <f t="array" ref="S2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Dungeon Lv 5, Kitchen and Buttery, Pantry, Culinary Battle Accepted, Dragon teeth Accepted, Meet Fat Demon@4A, Meet Old Man@4C</v>
      </c>
      <c r="T29" t="str">
        <f>_xlfn.XLOOKUP(tblTargetStatus[[#This Row],[TargetID]],tblTargets[TargetID],tblTargets[CompletionMethod],"")</f>
        <v>PLAYER</v>
      </c>
      <c r="U29" t="b">
        <f>COUNTIF(
    tblCost[TargetID],
    tblTargetStatus[[#This Row],[TargetID]]
)&gt;0</f>
        <v>1</v>
      </c>
      <c r="V29" s="81">
        <f>IF(tblTargetStatus[[#This Row],[HasCost]]=FALSE,
"N/A",
_xlfn.XLOOKUP(
tblTargetStatus[[#This Row],[TargetID]],
tblCost[TargetID],
tblCost[FundingPercent],
""
)
)</f>
        <v>0</v>
      </c>
      <c r="W29">
        <f>IF(
COUNTIF(tblCost[TargetID],tblTargetStatus[[#This Row],[TargetID]])=0,
"",
_xlfn.XLOOKUP(
tblTargetStatus[[#This Row],[TargetID]],
tblCost[TargetID],
tblCost[RemainingRequirements],
""
)
)</f>
        <v>7</v>
      </c>
      <c r="X29" s="79" t="b">
        <f>IF(tblTargetStatus[[#This Row],[HasCost]]=FALSE,"N/A",_xlfn.XLOOKUP(
tblTargetStatus[[#This Row],[TargetID]],
tblCost[TargetID],
tblCost[TargetFunded],
TRUE
))</f>
        <v>0</v>
      </c>
      <c r="Y29" t="str" cm="1">
        <f t="array" ref="Y29">_xlfn.TEXTJOIN(
", ",
TRUE,
_xlfn._xlws.FILTER(
tblCost[ResourceID]&amp;": "&amp;tblCost[QuantityRequired],
(tblCost[TargetID]=tblTargetStatus[[#This Row],[TargetID]])*
(tblCost[PlayerPaid]=FALSE),
""
)
)</f>
        <v>ruby: 5, coin: 1500, beam: 750, oil: 30, clew: 5, poe: 20, page: 20</v>
      </c>
      <c r="Z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 t="str" cm="1">
        <f t="array" ref="AA2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Culinary Battle, Dragon teeth</v>
      </c>
    </row>
    <row r="30" spans="1:27">
      <c r="A30" t="s">
        <v>45</v>
      </c>
      <c r="B30" t="str">
        <f>_xlfn.XLOOKUP(tblTargetStatus[[#This Row],[TargetID]],tblTargets[TargetID],tblTargets[DisplayName],"")</f>
        <v>Dungeon Lv 5</v>
      </c>
      <c r="C30" t="str">
        <f>IF(tblTargetStatus[[#This Row],[PlayerCompleted]],"COMPLETED",IF(tblTargetStatus[[#This Row],[MissingDependencies]]=0,"READY","BLOCKED"))</f>
        <v>BLOCKED</v>
      </c>
      <c r="D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 t="str">
        <f>_xlfn.XLOOKUP(tblTargetStatus[[#This Row],[TargetID]],tblTargets[TargetID],tblTargets[TargetType],"")</f>
        <v>BUILDING</v>
      </c>
      <c r="F30" t="str">
        <f>_xlfn.XLOOKUP(tblTargetStatus[[#This Row],[TargetID]],tblTargets[TargetID],tblTargets[StateType])</f>
        <v/>
      </c>
      <c r="G30">
        <f>_xlfn.LET(
_xlpm.id,tblTargetStatus[[#This Row],[TargetID]],
_xlpm.depCount,COUNTIF(tblDependencies[TargetID],_xlpm.id),
_xlpm.objCount,COUNTIF(tblQuestObjectives[QuestTargetID],_xlpm.id),
_xlpm.depCount+_xlpm.objCount
)</f>
        <v>2</v>
      </c>
      <c r="H30">
        <f>tblTargetStatus[[#This Row],[DependencyCount]]</f>
        <v>2</v>
      </c>
      <c r="I30" cm="1">
        <f t="array" ref="I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
        <f>tblTargetStatus[[#This Row],[CompletedDependencyCount]]</f>
        <v>0</v>
      </c>
      <c r="K30" t="b">
        <f>tblTargetStatus[[#This Row],[CompletedDependencies]]=tblTargetStatus[[#This Row],[TotalDependencies]]</f>
        <v>0</v>
      </c>
      <c r="L30">
        <f>tblTargetStatus[[#This Row],[TotalDependencies]]-tblTargetStatus[[#This Row],[CompletedDependencies]]</f>
        <v>2</v>
      </c>
      <c r="M30" t="str" cm="1">
        <f t="array" ref="M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building.dungeon@4</v>
      </c>
      <c r="N30" t="str">
        <f>IF(tblTargetStatus[[#This Row],[FirstMissingDependencyID]]="","",_xlfn.XLOOKUP(tblTargetStatus[[#This Row],[FirstMissingDependencyID]],tblTargets[TargetID],tblTargets[DisplayName],tblTargetStatus[[#This Row],[FirstMissingDependencyID]]))</f>
        <v>Dungeon Lv 4</v>
      </c>
      <c r="O30" t="str" cm="1">
        <f t="array" ref="O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7 ruby,2000 coin,1000 beam,10 mspider,10 smoothie,25 page</v>
      </c>
      <c r="P30" t="str">
        <f>IF(tblTargetStatus[[#This Row],[FirstMissingDependencyID]]="","",_xlfn.XLOOKUP(tblTargetStatus[[#This Row],[FirstMissingDependencyID]],tblTargetStatus[TargetID],tblTargetStatus[Status],""))</f>
        <v>BLOCKED</v>
      </c>
      <c r="Q30" t="str">
        <f>IF(
 tblTargetStatus[[#This Row],[Status]]&lt;&gt;"BLOCKED",
 tblTargetStatus[[#This Row],[Status]],
 IF(
  AND(
   tblTargetStatus[[#This Row],[MissingDependencies]]=1,
   tblTargetStatus[[#This Row],[FirstMissingStatus]]="READY"
  ),
  "ONE AWAY",
  "BLOCKED"
 )
)</f>
        <v>BLOCKED</v>
      </c>
      <c r="R30">
        <f>IF(
 OR(
  tblTargetStatus[[#This Row],[StateType]]="CHARACTER",
  RIGHT(tblTargetStatus[[#This Row],[TargetID]],6)=".maxed"
 ),
 0,
 _xlfn.LET(
  _xlpm.sort,
   _xlfn.XLOOKUP(
    tblTargetStatus[[#This Row],[TargetID]],
    tblChecklist[TargetID],
    tblChecklist[PlayerSort],
    0
   ),
  IF(_xlpm.sort=0,500,_xlpm.sort)
 )
)</f>
        <v>65</v>
      </c>
      <c r="S30" t="str" cm="1">
        <f t="array" ref="S3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dungeon maxed, Dungeon Lv 6, Attic, Courtyard, Lair lvl. 1, Tavern, Metal Detector, Magic Beans Accepted, Tame A Critter, Complete Dungeon 5C</v>
      </c>
      <c r="T30" t="str">
        <f>_xlfn.XLOOKUP(tblTargetStatus[[#This Row],[TargetID]],tblTargets[TargetID],tblTargets[CompletionMethod],"")</f>
        <v>PLAYER</v>
      </c>
      <c r="U30" t="b">
        <f>COUNTIF(
    tblCost[TargetID],
    tblTargetStatus[[#This Row],[TargetID]]
)&gt;0</f>
        <v>1</v>
      </c>
      <c r="V30" s="81">
        <f>IF(tblTargetStatus[[#This Row],[HasCost]]=FALSE,
"N/A",
_xlfn.XLOOKUP(
tblTargetStatus[[#This Row],[TargetID]],
tblCost[TargetID],
tblCost[FundingPercent],
""
)
)</f>
        <v>0</v>
      </c>
      <c r="W30">
        <f>IF(
COUNTIF(tblCost[TargetID],tblTargetStatus[[#This Row],[TargetID]])=0,
"",
_xlfn.XLOOKUP(
tblTargetStatus[[#This Row],[TargetID]],
tblCost[TargetID],
tblCost[RemainingRequirements],
""
)
)</f>
        <v>6</v>
      </c>
      <c r="X30" s="79" t="b">
        <f>IF(tblTargetStatus[[#This Row],[HasCost]]=FALSE,"N/A",_xlfn.XLOOKUP(
tblTargetStatus[[#This Row],[TargetID]],
tblCost[TargetID],
tblCost[TargetFunded],
TRUE
))</f>
        <v>0</v>
      </c>
      <c r="Y30" t="str" cm="1">
        <f t="array" ref="Y30">_xlfn.TEXTJOIN(
", ",
TRUE,
_xlfn._xlws.FILTER(
tblCost[ResourceID]&amp;": "&amp;tblCost[QuantityRequired],
(tblCost[TargetID]=tblTargetStatus[[#This Row],[TargetID]])*
(tblCost[PlayerPaid]=FALSE),
""
)
)</f>
        <v>ruby: 7, coin: 2000, beam: 1000, mspider: 10, smoothie: 10, page: 25</v>
      </c>
      <c r="Z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 t="str" cm="1">
        <f t="array" ref="AA3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Magic Beans</v>
      </c>
    </row>
    <row r="31" spans="1:27">
      <c r="A31" t="s">
        <v>6037</v>
      </c>
      <c r="B31" t="str">
        <f>_xlfn.XLOOKUP(tblTargetStatus[[#This Row],[TargetID]],tblTargets[TargetID],tblTargets[DisplayName],"")</f>
        <v>Dungeon Lv 6</v>
      </c>
      <c r="C31" t="str">
        <f>IF(tblTargetStatus[[#This Row],[PlayerCompleted]],"COMPLETED",IF(tblTargetStatus[[#This Row],[MissingDependencies]]=0,"READY","BLOCKED"))</f>
        <v>BLOCKED</v>
      </c>
      <c r="D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 t="str">
        <f>_xlfn.XLOOKUP(tblTargetStatus[[#This Row],[TargetID]],tblTargets[TargetID],tblTargets[TargetType],"")</f>
        <v>BUILDING</v>
      </c>
      <c r="F31" t="str">
        <f>_xlfn.XLOOKUP(tblTargetStatus[[#This Row],[TargetID]],tblTargets[TargetID],tblTargets[StateType])</f>
        <v/>
      </c>
      <c r="G31">
        <f>_xlfn.LET(
_xlpm.id,tblTargetStatus[[#This Row],[TargetID]],
_xlpm.depCount,COUNTIF(tblDependencies[TargetID],_xlpm.id),
_xlpm.objCount,COUNTIF(tblQuestObjectives[QuestTargetID],_xlpm.id),
_xlpm.depCount+_xlpm.objCount
)</f>
        <v>2</v>
      </c>
      <c r="H31">
        <f>tblTargetStatus[[#This Row],[DependencyCount]]</f>
        <v>2</v>
      </c>
      <c r="I31" cm="1">
        <f t="array" ref="I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
        <f>tblTargetStatus[[#This Row],[CompletedDependencyCount]]</f>
        <v>0</v>
      </c>
      <c r="K31" t="b">
        <f>tblTargetStatus[[#This Row],[CompletedDependencies]]=tblTargetStatus[[#This Row],[TotalDependencies]]</f>
        <v>0</v>
      </c>
      <c r="L31">
        <f>tblTargetStatus[[#This Row],[TotalDependencies]]-tblTargetStatus[[#This Row],[CompletedDependencies]]</f>
        <v>2</v>
      </c>
      <c r="M31" t="str" cm="1">
        <f t="array" ref="M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building.dungeon@5</v>
      </c>
      <c r="N31" t="str">
        <f>IF(tblTargetStatus[[#This Row],[FirstMissingDependencyID]]="","",_xlfn.XLOOKUP(tblTargetStatus[[#This Row],[FirstMissingDependencyID]],tblTargets[TargetID],tblTargets[DisplayName],tblTargetStatus[[#This Row],[FirstMissingDependencyID]]))</f>
        <v>Dungeon Lv 5</v>
      </c>
      <c r="O31" s="2" t="str" cm="1">
        <f t="array" ref="O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1" t="str">
        <f>IF(tblTargetStatus[[#This Row],[FirstMissingDependencyID]]="","",_xlfn.XLOOKUP(tblTargetStatus[[#This Row],[FirstMissingDependencyID]],tblTargetStatus[TargetID],tblTargetStatus[Status],""))</f>
        <v>BLOCKED</v>
      </c>
      <c r="Q31" t="str">
        <f>IF(
 tblTargetStatus[[#This Row],[Status]]&lt;&gt;"BLOCKED",
 tblTargetStatus[[#This Row],[Status]],
 IF(
  AND(
   tblTargetStatus[[#This Row],[MissingDependencies]]=1,
   tblTargetStatus[[#This Row],[FirstMissingStatus]]="READY"
  ),
  "ONE AWAY",
  "BLOCKED"
 )
)</f>
        <v>BLOCKED</v>
      </c>
      <c r="R31" t="str">
        <f>IF(
 OR(
  tblTargetStatus[[#This Row],[StateType]]="CHARACTER",
  RIGHT(tblTargetStatus[[#This Row],[TargetID]],6)=".maxed"
 ),
 0,
 _xlfn.LET(
  _xlpm.sort,
   _xlfn.XLOOKUP(
    tblTargetStatus[[#This Row],[TargetID]],
    tblChecklist[TargetID],
    tblChecklist[PlayerSort],
    0
   ),
  IF(_xlpm.sort=0,500,_xlpm.sort)
 )
)</f>
        <v/>
      </c>
      <c r="S31" t="str" cm="1">
        <f t="array" ref="S3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Complete Dungeon 6C</v>
      </c>
      <c r="T31" t="str">
        <f>_xlfn.XLOOKUP(tblTargetStatus[[#This Row],[TargetID]],tblTargets[TargetID],tblTargets[CompletionMethod],"")</f>
        <v>PLAYER</v>
      </c>
      <c r="U31" t="b">
        <f>COUNTIF(
    tblCost[TargetID],
    tblTargetStatus[[#This Row],[TargetID]]
)&gt;0</f>
        <v>0</v>
      </c>
      <c r="V31" s="81" t="str">
        <f>IF(tblTargetStatus[[#This Row],[HasCost]]=FALSE,
"N/A",
_xlfn.XLOOKUP(
tblTargetStatus[[#This Row],[TargetID]],
tblCost[TargetID],
tblCost[FundingPercent],
""
)
)</f>
        <v>N/A</v>
      </c>
      <c r="W31" t="str">
        <f>IF(
COUNTIF(tblCost[TargetID],tblTargetStatus[[#This Row],[TargetID]])=0,
"",
_xlfn.XLOOKUP(
tblTargetStatus[[#This Row],[TargetID]],
tblCost[TargetID],
tblCost[RemainingRequirements],
""
)
)</f>
        <v/>
      </c>
      <c r="X31" s="79" t="str">
        <f>IF(tblTargetStatus[[#This Row],[HasCost]]=FALSE,"N/A",_xlfn.XLOOKUP(
tblTargetStatus[[#This Row],[TargetID]],
tblCost[TargetID],
tblCost[TargetFunded],
TRUE
))</f>
        <v>N/A</v>
      </c>
      <c r="Y31" t="str" cm="1">
        <f t="array" ref="Y31">_xlfn.TEXTJOIN(
", ",
TRUE,
_xlfn._xlws.FILTER(
tblCost[ResourceID]&amp;": "&amp;tblCost[QuantityRequired],
(tblCost[TargetID]=tblTargetStatus[[#This Row],[TargetID]])*
(tblCost[PlayerPaid]=FALSE),
""
)
)</f>
        <v/>
      </c>
      <c r="Z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 t="str" cm="1">
        <f t="array" ref="AA3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2" spans="1:27">
      <c r="A32" t="s">
        <v>2676</v>
      </c>
      <c r="B32" t="str">
        <f>_xlfn.XLOOKUP(tblTargetStatus[[#This Row],[TargetID]],tblTargets[TargetID],tblTargets[DisplayName],"")</f>
        <v>Fermentory maxed</v>
      </c>
      <c r="C32" t="str">
        <f>IF(tblTargetStatus[[#This Row],[PlayerCompleted]],"COMPLETED",IF(tblTargetStatus[[#This Row],[MissingDependencies]]=0,"READY","BLOCKED"))</f>
        <v>BLOCKED</v>
      </c>
      <c r="D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 t="str">
        <f>_xlfn.XLOOKUP(tblTargetStatus[[#This Row],[TargetID]],tblTargets[TargetID],tblTargets[TargetType],"")</f>
        <v>BUILDING</v>
      </c>
      <c r="F32" t="str">
        <f>_xlfn.XLOOKUP(tblTargetStatus[[#This Row],[TargetID]],tblTargets[TargetID],tblTargets[StateType])</f>
        <v/>
      </c>
      <c r="G32">
        <f>_xlfn.LET(
_xlpm.id,tblTargetStatus[[#This Row],[TargetID]],
_xlpm.depCount,COUNTIF(tblDependencies[TargetID],_xlpm.id),
_xlpm.objCount,COUNTIF(tblQuestObjectives[QuestTargetID],_xlpm.id),
_xlpm.depCount+_xlpm.objCount
)</f>
        <v>1</v>
      </c>
      <c r="H32">
        <f>tblTargetStatus[[#This Row],[DependencyCount]]</f>
        <v>1</v>
      </c>
      <c r="I32" cm="1">
        <f t="array" ref="I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
        <f>tblTargetStatus[[#This Row],[CompletedDependencyCount]]</f>
        <v>0</v>
      </c>
      <c r="K32" t="b">
        <f>tblTargetStatus[[#This Row],[CompletedDependencies]]=tblTargetStatus[[#This Row],[TotalDependencies]]</f>
        <v>0</v>
      </c>
      <c r="L32">
        <f>tblTargetStatus[[#This Row],[TotalDependencies]]-tblTargetStatus[[#This Row],[CompletedDependencies]]</f>
        <v>1</v>
      </c>
      <c r="M32" t="str" cm="1">
        <f t="array" ref="M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building.fermentory@6</v>
      </c>
      <c r="N32" t="str">
        <f>IF(tblTargetStatus[[#This Row],[FirstMissingDependencyID]]="","",_xlfn.XLOOKUP(tblTargetStatus[[#This Row],[FirstMissingDependencyID]],tblTargets[TargetID],tblTargets[DisplayName],tblTargetStatus[[#This Row],[FirstMissingDependencyID]]))</f>
        <v>Fermentory Lv 6</v>
      </c>
      <c r="O32" s="2" t="str" cm="1">
        <f t="array" ref="O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2" t="str">
        <f>IF(tblTargetStatus[[#This Row],[FirstMissingDependencyID]]="","",_xlfn.XLOOKUP(tblTargetStatus[[#This Row],[FirstMissingDependencyID]],tblTargetStatus[TargetID],tblTargetStatus[Status],""))</f>
        <v>BLOCKED</v>
      </c>
      <c r="Q32" t="str">
        <f>IF(
 tblTargetStatus[[#This Row],[Status]]&lt;&gt;"BLOCKED",
 tblTargetStatus[[#This Row],[Status]],
 IF(
  AND(
   tblTargetStatus[[#This Row],[MissingDependencies]]=1,
   tblTargetStatus[[#This Row],[FirstMissingStatus]]="READY"
  ),
  "ONE AWAY",
  "BLOCKED"
 )
)</f>
        <v>BLOCKED</v>
      </c>
      <c r="R32">
        <f>IF(
 OR(
  tblTargetStatus[[#This Row],[StateType]]="CHARACTER",
  RIGHT(tblTargetStatus[[#This Row],[TargetID]],6)=".maxed"
 ),
 0,
 _xlfn.LET(
  _xlpm.sort,
   _xlfn.XLOOKUP(
    tblTargetStatus[[#This Row],[TargetID]],
    tblChecklist[TargetID],
    tblChecklist[PlayerSort],
    0
   ),
  IF(_xlpm.sort=0,500,_xlpm.sort)
 )
)</f>
        <v>0</v>
      </c>
      <c r="S32" t="str" cm="1">
        <f t="array" ref="S3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Fermentory - Pasteurization</v>
      </c>
      <c r="T32" t="str">
        <f>_xlfn.XLOOKUP(tblTargetStatus[[#This Row],[TargetID]],tblTargets[TargetID],tblTargets[CompletionMethod],"")</f>
        <v>AUTO</v>
      </c>
      <c r="U32" t="b">
        <f>COUNTIF(
    tblCost[TargetID],
    tblTargetStatus[[#This Row],[TargetID]]
)&gt;0</f>
        <v>0</v>
      </c>
      <c r="V32" s="81" t="str">
        <f>IF(tblTargetStatus[[#This Row],[HasCost]]=FALSE,
"N/A",
_xlfn.XLOOKUP(
tblTargetStatus[[#This Row],[TargetID]],
tblCost[TargetID],
tblCost[FundingPercent],
""
)
)</f>
        <v>N/A</v>
      </c>
      <c r="W32" t="str">
        <f>IF(
COUNTIF(tblCost[TargetID],tblTargetStatus[[#This Row],[TargetID]])=0,
"",
_xlfn.XLOOKUP(
tblTargetStatus[[#This Row],[TargetID]],
tblCost[TargetID],
tblCost[RemainingRequirements],
""
)
)</f>
        <v/>
      </c>
      <c r="X32" s="79" t="str">
        <f>IF(tblTargetStatus[[#This Row],[HasCost]]=FALSE,"N/A",_xlfn.XLOOKUP(
tblTargetStatus[[#This Row],[TargetID]],
tblCost[TargetID],
tblCost[TargetFunded],
TRUE
))</f>
        <v>N/A</v>
      </c>
      <c r="Y32" t="str" cm="1">
        <f t="array" ref="Y32">_xlfn.TEXTJOIN(
", ",
TRUE,
_xlfn._xlws.FILTER(
tblCost[ResourceID]&amp;": "&amp;tblCost[QuantityRequired],
(tblCost[TargetID]=tblTargetStatus[[#This Row],[TargetID]])*
(tblCost[PlayerPaid]=FALSE),
""
)
)</f>
        <v/>
      </c>
      <c r="Z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 t="str" cm="1">
        <f t="array" ref="AA3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3" spans="1:27">
      <c r="A33" t="s">
        <v>46</v>
      </c>
      <c r="B33" t="str">
        <f>_xlfn.XLOOKUP(tblTargetStatus[[#This Row],[TargetID]],tblTargets[TargetID],tblTargets[DisplayName],"")</f>
        <v>Fermentory Lv 1</v>
      </c>
      <c r="C33" t="str">
        <f>IF(tblTargetStatus[[#This Row],[PlayerCompleted]],"COMPLETED",IF(tblTargetStatus[[#This Row],[MissingDependencies]]=0,"READY","BLOCKED"))</f>
        <v>BLOCKED</v>
      </c>
      <c r="D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 t="str">
        <f>_xlfn.XLOOKUP(tblTargetStatus[[#This Row],[TargetID]],tblTargets[TargetID],tblTargets[TargetType],"")</f>
        <v>BUILDING</v>
      </c>
      <c r="F33" t="str">
        <f>_xlfn.XLOOKUP(tblTargetStatus[[#This Row],[TargetID]],tblTargets[TargetID],tblTargets[StateType])</f>
        <v/>
      </c>
      <c r="G33">
        <f>_xlfn.LET(
_xlpm.id,tblTargetStatus[[#This Row],[TargetID]],
_xlpm.depCount,COUNTIF(tblDependencies[TargetID],_xlpm.id),
_xlpm.objCount,COUNTIF(tblQuestObjectives[QuestTargetID],_xlpm.id),
_xlpm.depCount+_xlpm.objCount
)</f>
        <v>2</v>
      </c>
      <c r="H33">
        <f>tblTargetStatus[[#This Row],[DependencyCount]]</f>
        <v>2</v>
      </c>
      <c r="I33" cm="1">
        <f t="array" ref="I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
        <f>tblTargetStatus[[#This Row],[CompletedDependencyCount]]</f>
        <v>0</v>
      </c>
      <c r="K33" t="b">
        <f>tblTargetStatus[[#This Row],[CompletedDependencies]]=tblTargetStatus[[#This Row],[TotalDependencies]]</f>
        <v>0</v>
      </c>
      <c r="L33">
        <f>tblTargetStatus[[#This Row],[TotalDependencies]]-tblTargetStatus[[#This Row],[CompletedDependencies]]</f>
        <v>2</v>
      </c>
      <c r="M33" t="str" cm="1">
        <f t="array" ref="M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quest.magic_beans.finished</v>
      </c>
      <c r="N33" t="str">
        <f>IF(tblTargetStatus[[#This Row],[FirstMissingDependencyID]]="","",_xlfn.XLOOKUP(tblTargetStatus[[#This Row],[FirstMissingDependencyID]],tblTargets[TargetID],tblTargets[DisplayName],tblTargetStatus[[#This Row],[FirstMissingDependencyID]]))</f>
        <v>Magic Beans Finished</v>
      </c>
      <c r="O33" t="str" cm="1">
        <f t="array" ref="O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coin,700 beam,700 stone,300 steel,50 soybean,30 page</v>
      </c>
      <c r="P33" t="str">
        <f>IF(tblTargetStatus[[#This Row],[FirstMissingDependencyID]]="","",_xlfn.XLOOKUP(tblTargetStatus[[#This Row],[FirstMissingDependencyID]],tblTargetStatus[TargetID],tblTargetStatus[Status],""))</f>
        <v>BLOCKED</v>
      </c>
      <c r="Q33" t="str">
        <f>IF(
 tblTargetStatus[[#This Row],[Status]]&lt;&gt;"BLOCKED",
 tblTargetStatus[[#This Row],[Status]],
 IF(
  AND(
   tblTargetStatus[[#This Row],[MissingDependencies]]=1,
   tblTargetStatus[[#This Row],[FirstMissingStatus]]="READY"
  ),
  "ONE AWAY",
  "BLOCKED"
 )
)</f>
        <v>BLOCKED</v>
      </c>
      <c r="R33">
        <f>IF(
 OR(
  tblTargetStatus[[#This Row],[StateType]]="CHARACTER",
  RIGHT(tblTargetStatus[[#This Row],[TargetID]],6)=".maxed"
 ),
 0,
 _xlfn.LET(
  _xlpm.sort,
   _xlfn.XLOOKUP(
    tblTargetStatus[[#This Row],[TargetID]],
    tblChecklist[TargetID],
    tblChecklist[PlayerSort],
    0
   ),
  IF(_xlpm.sort=0,500,_xlpm.sort)
 )
)</f>
        <v>72</v>
      </c>
      <c r="S33" t="str" cm="1">
        <f t="array" ref="S3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Fermentory Lv 2</v>
      </c>
      <c r="T33" t="str">
        <f>_xlfn.XLOOKUP(tblTargetStatus[[#This Row],[TargetID]],tblTargets[TargetID],tblTargets[CompletionMethod],"")</f>
        <v>PLAYER</v>
      </c>
      <c r="U33" t="b">
        <f>COUNTIF(
    tblCost[TargetID],
    tblTargetStatus[[#This Row],[TargetID]]
)&gt;0</f>
        <v>1</v>
      </c>
      <c r="V33" s="81">
        <f>IF(tblTargetStatus[[#This Row],[HasCost]]=FALSE,
"N/A",
_xlfn.XLOOKUP(
tblTargetStatus[[#This Row],[TargetID]],
tblCost[TargetID],
tblCost[FundingPercent],
""
)
)</f>
        <v>0</v>
      </c>
      <c r="W33">
        <f>IF(
COUNTIF(tblCost[TargetID],tblTargetStatus[[#This Row],[TargetID]])=0,
"",
_xlfn.XLOOKUP(
tblTargetStatus[[#This Row],[TargetID]],
tblCost[TargetID],
tblCost[RemainingRequirements],
""
)
)</f>
        <v>7</v>
      </c>
      <c r="X33" s="79" t="b">
        <f>IF(tblTargetStatus[[#This Row],[HasCost]]=FALSE,"N/A",_xlfn.XLOOKUP(
tblTargetStatus[[#This Row],[TargetID]],
tblCost[TargetID],
tblCost[TargetFunded],
TRUE
))</f>
        <v>0</v>
      </c>
      <c r="Y33" t="str" cm="1">
        <f t="array" ref="Y33">_xlfn.TEXTJOIN(
", ",
TRUE,
_xlfn._xlws.FILTER(
tblCost[ResourceID]&amp;": "&amp;tblCost[QuantityRequired],
(tblCost[TargetID]=tblTargetStatus[[#This Row],[TargetID]])*
(tblCost[PlayerPaid]=FALSE),
""
)
)</f>
        <v>ruby: 5, coin: 1000, beam: 700, stone: 700, steel: 300, soybean: 50, page: 30</v>
      </c>
      <c r="Z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 t="str" cm="1">
        <f t="array" ref="AA3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4" spans="1:27">
      <c r="A34" t="s">
        <v>48</v>
      </c>
      <c r="B34" t="str">
        <f>_xlfn.XLOOKUP(tblTargetStatus[[#This Row],[TargetID]],tblTargets[TargetID],tblTargets[DisplayName],"")</f>
        <v>Fermentory Lv 2</v>
      </c>
      <c r="C34" t="str">
        <f>IF(tblTargetStatus[[#This Row],[PlayerCompleted]],"COMPLETED",IF(tblTargetStatus[[#This Row],[MissingDependencies]]=0,"READY","BLOCKED"))</f>
        <v>BLOCKED</v>
      </c>
      <c r="D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 t="str">
        <f>_xlfn.XLOOKUP(tblTargetStatus[[#This Row],[TargetID]],tblTargets[TargetID],tblTargets[TargetType],"")</f>
        <v>BUILDING</v>
      </c>
      <c r="F34" t="str">
        <f>_xlfn.XLOOKUP(tblTargetStatus[[#This Row],[TargetID]],tblTargets[TargetID],tblTargets[StateType])</f>
        <v/>
      </c>
      <c r="G34">
        <f>_xlfn.LET(
_xlpm.id,tblTargetStatus[[#This Row],[TargetID]],
_xlpm.depCount,COUNTIF(tblDependencies[TargetID],_xlpm.id),
_xlpm.objCount,COUNTIF(tblQuestObjectives[QuestTargetID],_xlpm.id),
_xlpm.depCount+_xlpm.objCount
)</f>
        <v>1</v>
      </c>
      <c r="H34">
        <f>tblTargetStatus[[#This Row],[DependencyCount]]</f>
        <v>1</v>
      </c>
      <c r="I34" cm="1">
        <f t="array" ref="I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
        <f>tblTargetStatus[[#This Row],[CompletedDependencyCount]]</f>
        <v>0</v>
      </c>
      <c r="K34" t="b">
        <f>tblTargetStatus[[#This Row],[CompletedDependencies]]=tblTargetStatus[[#This Row],[TotalDependencies]]</f>
        <v>0</v>
      </c>
      <c r="L34">
        <f>tblTargetStatus[[#This Row],[TotalDependencies]]-tblTargetStatus[[#This Row],[CompletedDependencies]]</f>
        <v>1</v>
      </c>
      <c r="M34" t="str" cm="1">
        <f t="array" ref="M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building.fermentory@1</v>
      </c>
      <c r="N34" t="str">
        <f>IF(tblTargetStatus[[#This Row],[FirstMissingDependencyID]]="","",_xlfn.XLOOKUP(tblTargetStatus[[#This Row],[FirstMissingDependencyID]],tblTargets[TargetID],tblTargets[DisplayName],tblTargetStatus[[#This Row],[FirstMissingDependencyID]]))</f>
        <v>Fermentory Lv 1</v>
      </c>
      <c r="O34" t="str" cm="1">
        <f t="array" ref="O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coin,900 beam,500 stone,100 chemicals,30 reagent,200 charcoal,50 soybean</v>
      </c>
      <c r="P34" t="str">
        <f>IF(tblTargetStatus[[#This Row],[FirstMissingDependencyID]]="","",_xlfn.XLOOKUP(tblTargetStatus[[#This Row],[FirstMissingDependencyID]],tblTargetStatus[TargetID],tblTargetStatus[Status],""))</f>
        <v>BLOCKED</v>
      </c>
      <c r="Q34" t="str">
        <f>IF(
 tblTargetStatus[[#This Row],[Status]]&lt;&gt;"BLOCKED",
 tblTargetStatus[[#This Row],[Status]],
 IF(
  AND(
   tblTargetStatus[[#This Row],[MissingDependencies]]=1,
   tblTargetStatus[[#This Row],[FirstMissingStatus]]="READY"
  ),
  "ONE AWAY",
  "BLOCKED"
 )
)</f>
        <v>BLOCKED</v>
      </c>
      <c r="R34">
        <f>IF(
 OR(
  tblTargetStatus[[#This Row],[StateType]]="CHARACTER",
  RIGHT(tblTargetStatus[[#This Row],[TargetID]],6)=".maxed"
 ),
 0,
 _xlfn.LET(
  _xlpm.sort,
   _xlfn.XLOOKUP(
    tblTargetStatus[[#This Row],[TargetID]],
    tblChecklist[TargetID],
    tblChecklist[PlayerSort],
    0
   ),
  IF(_xlpm.sort=0,500,_xlpm.sort)
 )
)</f>
        <v>73</v>
      </c>
      <c r="S34" t="str" cm="1">
        <f t="array" ref="S3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Fermentory Lv 3</v>
      </c>
      <c r="T34" t="str">
        <f>_xlfn.XLOOKUP(tblTargetStatus[[#This Row],[TargetID]],tblTargets[TargetID],tblTargets[CompletionMethod],"")</f>
        <v>PLAYER</v>
      </c>
      <c r="U34" t="b">
        <f>COUNTIF(
    tblCost[TargetID],
    tblTargetStatus[[#This Row],[TargetID]]
)&gt;0</f>
        <v>1</v>
      </c>
      <c r="V34" s="81">
        <f>IF(tblTargetStatus[[#This Row],[HasCost]]=FALSE,
"N/A",
_xlfn.XLOOKUP(
tblTargetStatus[[#This Row],[TargetID]],
tblCost[TargetID],
tblCost[FundingPercent],
""
)
)</f>
        <v>0</v>
      </c>
      <c r="W34">
        <f>IF(
COUNTIF(tblCost[TargetID],tblTargetStatus[[#This Row],[TargetID]])=0,
"",
_xlfn.XLOOKUP(
tblTargetStatus[[#This Row],[TargetID]],
tblCost[TargetID],
tblCost[RemainingRequirements],
""
)
)</f>
        <v>8</v>
      </c>
      <c r="X34" s="79" t="b">
        <f>IF(tblTargetStatus[[#This Row],[HasCost]]=FALSE,"N/A",_xlfn.XLOOKUP(
tblTargetStatus[[#This Row],[TargetID]],
tblCost[TargetID],
tblCost[TargetFunded],
TRUE
))</f>
        <v>0</v>
      </c>
      <c r="Y34" t="str" cm="1">
        <f t="array" ref="Y34">_xlfn.TEXTJOIN(
", ",
TRUE,
_xlfn._xlws.FILTER(
tblCost[ResourceID]&amp;": "&amp;tblCost[QuantityRequired],
(tblCost[TargetID]=tblTargetStatus[[#This Row],[TargetID]])*
(tblCost[PlayerPaid]=FALSE),
""
)
)</f>
        <v>ruby: 5, coin: 1000, beam: 900, stone: 500, chemicals: 100, reagent: 30, charcoal: 200, soybean: 50</v>
      </c>
      <c r="Z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 t="str" cm="1">
        <f t="array" ref="AA3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5" spans="1:27">
      <c r="A35" t="s">
        <v>49</v>
      </c>
      <c r="B35" t="str">
        <f>_xlfn.XLOOKUP(tblTargetStatus[[#This Row],[TargetID]],tblTargets[TargetID],tblTargets[DisplayName],"")</f>
        <v>Fermentory Lv 3</v>
      </c>
      <c r="C35" t="str">
        <f>IF(tblTargetStatus[[#This Row],[PlayerCompleted]],"COMPLETED",IF(tblTargetStatus[[#This Row],[MissingDependencies]]=0,"READY","BLOCKED"))</f>
        <v>BLOCKED</v>
      </c>
      <c r="D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 t="str">
        <f>_xlfn.XLOOKUP(tblTargetStatus[[#This Row],[TargetID]],tblTargets[TargetID],tblTargets[TargetType],"")</f>
        <v>BUILDING</v>
      </c>
      <c r="F35" t="str">
        <f>_xlfn.XLOOKUP(tblTargetStatus[[#This Row],[TargetID]],tblTargets[TargetID],tblTargets[StateType])</f>
        <v/>
      </c>
      <c r="G35">
        <f>_xlfn.LET(
_xlpm.id,tblTargetStatus[[#This Row],[TargetID]],
_xlpm.depCount,COUNTIF(tblDependencies[TargetID],_xlpm.id),
_xlpm.objCount,COUNTIF(tblQuestObjectives[QuestTargetID],_xlpm.id),
_xlpm.depCount+_xlpm.objCount
)</f>
        <v>1</v>
      </c>
      <c r="H35">
        <f>tblTargetStatus[[#This Row],[DependencyCount]]</f>
        <v>1</v>
      </c>
      <c r="I35" cm="1">
        <f t="array" ref="I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
        <f>tblTargetStatus[[#This Row],[CompletedDependencyCount]]</f>
        <v>0</v>
      </c>
      <c r="K35" t="b">
        <f>tblTargetStatus[[#This Row],[CompletedDependencies]]=tblTargetStatus[[#This Row],[TotalDependencies]]</f>
        <v>0</v>
      </c>
      <c r="L35">
        <f>tblTargetStatus[[#This Row],[TotalDependencies]]-tblTargetStatus[[#This Row],[CompletedDependencies]]</f>
        <v>1</v>
      </c>
      <c r="M35" t="str" cm="1">
        <f t="array" ref="M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building.fermentory@2</v>
      </c>
      <c r="N35" t="str">
        <f>IF(tblTargetStatus[[#This Row],[FirstMissingDependencyID]]="","",_xlfn.XLOOKUP(tblTargetStatus[[#This Row],[FirstMissingDependencyID]],tblTargets[TargetID],tblTargets[DisplayName],tblTargetStatus[[#This Row],[FirstMissingDependencyID]]))</f>
        <v>Fermentory Lv 2</v>
      </c>
      <c r="O35" t="str" cm="1">
        <f t="array" ref="O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7 ruby,1000 coin,700 plank,500 stone,200 steel,200 charcoal,50 soybean</v>
      </c>
      <c r="P35" t="str">
        <f>IF(tblTargetStatus[[#This Row],[FirstMissingDependencyID]]="","",_xlfn.XLOOKUP(tblTargetStatus[[#This Row],[FirstMissingDependencyID]],tblTargetStatus[TargetID],tblTargetStatus[Status],""))</f>
        <v>BLOCKED</v>
      </c>
      <c r="Q35" t="str">
        <f>IF(
 tblTargetStatus[[#This Row],[Status]]&lt;&gt;"BLOCKED",
 tblTargetStatus[[#This Row],[Status]],
 IF(
  AND(
   tblTargetStatus[[#This Row],[MissingDependencies]]=1,
   tblTargetStatus[[#This Row],[FirstMissingStatus]]="READY"
  ),
  "ONE AWAY",
  "BLOCKED"
 )
)</f>
        <v>BLOCKED</v>
      </c>
      <c r="R35">
        <f>IF(
 OR(
  tblTargetStatus[[#This Row],[StateType]]="CHARACTER",
  RIGHT(tblTargetStatus[[#This Row],[TargetID]],6)=".maxed"
 ),
 0,
 _xlfn.LET(
  _xlpm.sort,
   _xlfn.XLOOKUP(
    tblTargetStatus[[#This Row],[TargetID]],
    tblChecklist[TargetID],
    tblChecklist[PlayerSort],
    0
   ),
  IF(_xlpm.sort=0,500,_xlpm.sort)
 )
)</f>
        <v>74</v>
      </c>
      <c r="S35" t="str" cm="1">
        <f t="array" ref="S3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Fermentory Lv 4</v>
      </c>
      <c r="T35" t="str">
        <f>_xlfn.XLOOKUP(tblTargetStatus[[#This Row],[TargetID]],tblTargets[TargetID],tblTargets[CompletionMethod],"")</f>
        <v>PLAYER</v>
      </c>
      <c r="U35" t="b">
        <f>COUNTIF(
    tblCost[TargetID],
    tblTargetStatus[[#This Row],[TargetID]]
)&gt;0</f>
        <v>1</v>
      </c>
      <c r="V35" s="81">
        <f>IF(tblTargetStatus[[#This Row],[HasCost]]=FALSE,
"N/A",
_xlfn.XLOOKUP(
tblTargetStatus[[#This Row],[TargetID]],
tblCost[TargetID],
tblCost[FundingPercent],
""
)
)</f>
        <v>0</v>
      </c>
      <c r="W35">
        <f>IF(
COUNTIF(tblCost[TargetID],tblTargetStatus[[#This Row],[TargetID]])=0,
"",
_xlfn.XLOOKUP(
tblTargetStatus[[#This Row],[TargetID]],
tblCost[TargetID],
tblCost[RemainingRequirements],
""
)
)</f>
        <v>7</v>
      </c>
      <c r="X35" s="79" t="b">
        <f>IF(tblTargetStatus[[#This Row],[HasCost]]=FALSE,"N/A",_xlfn.XLOOKUP(
tblTargetStatus[[#This Row],[TargetID]],
tblCost[TargetID],
tblCost[TargetFunded],
TRUE
))</f>
        <v>0</v>
      </c>
      <c r="Y35" t="str" cm="1">
        <f t="array" ref="Y35">_xlfn.TEXTJOIN(
", ",
TRUE,
_xlfn._xlws.FILTER(
tblCost[ResourceID]&amp;": "&amp;tblCost[QuantityRequired],
(tblCost[TargetID]=tblTargetStatus[[#This Row],[TargetID]])*
(tblCost[PlayerPaid]=FALSE),
""
)
)</f>
        <v>ruby: 7, coin: 1000, plank: 700, stone: 500, steel: 200, charcoal: 200, soybean: 50</v>
      </c>
      <c r="Z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 t="str" cm="1">
        <f t="array" ref="AA3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6" spans="1:27">
      <c r="A36" t="s">
        <v>50</v>
      </c>
      <c r="B36" t="str">
        <f>_xlfn.XLOOKUP(tblTargetStatus[[#This Row],[TargetID]],tblTargets[TargetID],tblTargets[DisplayName],"")</f>
        <v>Fermentory Lv 4</v>
      </c>
      <c r="C36" t="str">
        <f>IF(tblTargetStatus[[#This Row],[PlayerCompleted]],"COMPLETED",IF(tblTargetStatus[[#This Row],[MissingDependencies]]=0,"READY","BLOCKED"))</f>
        <v>BLOCKED</v>
      </c>
      <c r="D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 t="str">
        <f>_xlfn.XLOOKUP(tblTargetStatus[[#This Row],[TargetID]],tblTargets[TargetID],tblTargets[TargetType],"")</f>
        <v>BUILDING</v>
      </c>
      <c r="F36" t="str">
        <f>_xlfn.XLOOKUP(tblTargetStatus[[#This Row],[TargetID]],tblTargets[TargetID],tblTargets[StateType])</f>
        <v/>
      </c>
      <c r="G36">
        <f>_xlfn.LET(
_xlpm.id,tblTargetStatus[[#This Row],[TargetID]],
_xlpm.depCount,COUNTIF(tblDependencies[TargetID],_xlpm.id),
_xlpm.objCount,COUNTIF(tblQuestObjectives[QuestTargetID],_xlpm.id),
_xlpm.depCount+_xlpm.objCount
)</f>
        <v>1</v>
      </c>
      <c r="H36">
        <f>tblTargetStatus[[#This Row],[DependencyCount]]</f>
        <v>1</v>
      </c>
      <c r="I36" cm="1">
        <f t="array" ref="I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
        <f>tblTargetStatus[[#This Row],[CompletedDependencyCount]]</f>
        <v>0</v>
      </c>
      <c r="K36" t="b">
        <f>tblTargetStatus[[#This Row],[CompletedDependencies]]=tblTargetStatus[[#This Row],[TotalDependencies]]</f>
        <v>0</v>
      </c>
      <c r="L36">
        <f>tblTargetStatus[[#This Row],[TotalDependencies]]-tblTargetStatus[[#This Row],[CompletedDependencies]]</f>
        <v>1</v>
      </c>
      <c r="M36" t="str" cm="1">
        <f t="array" ref="M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building.fermentory@3</v>
      </c>
      <c r="N36" t="str">
        <f>IF(tblTargetStatus[[#This Row],[FirstMissingDependencyID]]="","",_xlfn.XLOOKUP(tblTargetStatus[[#This Row],[FirstMissingDependencyID]],tblTargets[TargetID],tblTargets[DisplayName],tblTargetStatus[[#This Row],[FirstMissingDependencyID]]))</f>
        <v>Fermentory Lv 3</v>
      </c>
      <c r="O36" t="str" cm="1">
        <f t="array" ref="O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ruby,1000 coin,900 plank,500 stone,300 steel,50 rice,50 wheat,50 soybean,10 soy</v>
      </c>
      <c r="P36" t="str">
        <f>IF(tblTargetStatus[[#This Row],[FirstMissingDependencyID]]="","",_xlfn.XLOOKUP(tblTargetStatus[[#This Row],[FirstMissingDependencyID]],tblTargetStatus[TargetID],tblTargetStatus[Status],""))</f>
        <v>BLOCKED</v>
      </c>
      <c r="Q36" t="str">
        <f>IF(
 tblTargetStatus[[#This Row],[Status]]&lt;&gt;"BLOCKED",
 tblTargetStatus[[#This Row],[Status]],
 IF(
  AND(
   tblTargetStatus[[#This Row],[MissingDependencies]]=1,
   tblTargetStatus[[#This Row],[FirstMissingStatus]]="READY"
  ),
  "ONE AWAY",
  "BLOCKED"
 )
)</f>
        <v>BLOCKED</v>
      </c>
      <c r="R36">
        <f>IF(
 OR(
  tblTargetStatus[[#This Row],[StateType]]="CHARACTER",
  RIGHT(tblTargetStatus[[#This Row],[TargetID]],6)=".maxed"
 ),
 0,
 _xlfn.LET(
  _xlpm.sort,
   _xlfn.XLOOKUP(
    tblTargetStatus[[#This Row],[TargetID]],
    tblChecklist[TargetID],
    tblChecklist[PlayerSort],
    0
   ),
  IF(_xlpm.sort=0,500,_xlpm.sort)
 )
)</f>
        <v>79</v>
      </c>
      <c r="S36" t="str" cm="1">
        <f t="array" ref="S3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Fermentory Lv 5</v>
      </c>
      <c r="T36" t="str">
        <f>_xlfn.XLOOKUP(tblTargetStatus[[#This Row],[TargetID]],tblTargets[TargetID],tblTargets[CompletionMethod],"")</f>
        <v>PLAYER</v>
      </c>
      <c r="U36" t="b">
        <f>COUNTIF(
    tblCost[TargetID],
    tblTargetStatus[[#This Row],[TargetID]]
)&gt;0</f>
        <v>1</v>
      </c>
      <c r="V36" s="81">
        <f>IF(tblTargetStatus[[#This Row],[HasCost]]=FALSE,
"N/A",
_xlfn.XLOOKUP(
tblTargetStatus[[#This Row],[TargetID]],
tblCost[TargetID],
tblCost[FundingPercent],
""
)
)</f>
        <v>0</v>
      </c>
      <c r="W36">
        <f>IF(
COUNTIF(tblCost[TargetID],tblTargetStatus[[#This Row],[TargetID]])=0,
"",
_xlfn.XLOOKUP(
tblTargetStatus[[#This Row],[TargetID]],
tblCost[TargetID],
tblCost[RemainingRequirements],
""
)
)</f>
        <v>9</v>
      </c>
      <c r="X36" s="79" t="b">
        <f>IF(tblTargetStatus[[#This Row],[HasCost]]=FALSE,"N/A",_xlfn.XLOOKUP(
tblTargetStatus[[#This Row],[TargetID]],
tblCost[TargetID],
tblCost[TargetFunded],
TRUE
))</f>
        <v>0</v>
      </c>
      <c r="Y36" t="str" cm="1">
        <f t="array" ref="Y36">_xlfn.TEXTJOIN(
", ",
TRUE,
_xlfn._xlws.FILTER(
tblCost[ResourceID]&amp;": "&amp;tblCost[QuantityRequired],
(tblCost[TargetID]=tblTargetStatus[[#This Row],[TargetID]])*
(tblCost[PlayerPaid]=FALSE),
""
)
)</f>
        <v>ruby: 8, coin: 1000, plank: 900, stone: 500, steel: 300, rice: 50, wheat: 50, soybean: 50, soy: 10</v>
      </c>
      <c r="Z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 t="str" cm="1">
        <f t="array" ref="AA3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7" spans="1:27">
      <c r="A37" t="s">
        <v>51</v>
      </c>
      <c r="B37" t="str">
        <f>_xlfn.XLOOKUP(tblTargetStatus[[#This Row],[TargetID]],tblTargets[TargetID],tblTargets[DisplayName],"")</f>
        <v>Fermentory Lv 5</v>
      </c>
      <c r="C37" t="str">
        <f>IF(tblTargetStatus[[#This Row],[PlayerCompleted]],"COMPLETED",IF(tblTargetStatus[[#This Row],[MissingDependencies]]=0,"READY","BLOCKED"))</f>
        <v>BLOCKED</v>
      </c>
      <c r="D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 t="str">
        <f>_xlfn.XLOOKUP(tblTargetStatus[[#This Row],[TargetID]],tblTargets[TargetID],tblTargets[TargetType],"")</f>
        <v>BUILDING</v>
      </c>
      <c r="F37" t="str">
        <f>_xlfn.XLOOKUP(tblTargetStatus[[#This Row],[TargetID]],tblTargets[TargetID],tblTargets[StateType])</f>
        <v/>
      </c>
      <c r="G37">
        <f>_xlfn.LET(
_xlpm.id,tblTargetStatus[[#This Row],[TargetID]],
_xlpm.depCount,COUNTIF(tblDependencies[TargetID],_xlpm.id),
_xlpm.objCount,COUNTIF(tblQuestObjectives[QuestTargetID],_xlpm.id),
_xlpm.depCount+_xlpm.objCount
)</f>
        <v>1</v>
      </c>
      <c r="H37">
        <f>tblTargetStatus[[#This Row],[DependencyCount]]</f>
        <v>1</v>
      </c>
      <c r="I37" cm="1">
        <f t="array" ref="I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
        <f>tblTargetStatus[[#This Row],[CompletedDependencyCount]]</f>
        <v>0</v>
      </c>
      <c r="K37" t="b">
        <f>tblTargetStatus[[#This Row],[CompletedDependencies]]=tblTargetStatus[[#This Row],[TotalDependencies]]</f>
        <v>0</v>
      </c>
      <c r="L37">
        <f>tblTargetStatus[[#This Row],[TotalDependencies]]-tblTargetStatus[[#This Row],[CompletedDependencies]]</f>
        <v>1</v>
      </c>
      <c r="M37" t="str" cm="1">
        <f t="array" ref="M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building.fermentory@4</v>
      </c>
      <c r="N37" t="str">
        <f>IF(tblTargetStatus[[#This Row],[FirstMissingDependencyID]]="","",_xlfn.XLOOKUP(tblTargetStatus[[#This Row],[FirstMissingDependencyID]],tblTargets[TargetID],tblTargets[DisplayName],tblTargetStatus[[#This Row],[FirstMissingDependencyID]]))</f>
        <v>Fermentory Lv 4</v>
      </c>
      <c r="O37" t="str" cm="1">
        <f t="array" ref="O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ruby,1000 coin,900 plank,800 stone,20 thread,100 soybean,24 koji,10 grimoire</v>
      </c>
      <c r="P37" t="str">
        <f>IF(tblTargetStatus[[#This Row],[FirstMissingDependencyID]]="","",_xlfn.XLOOKUP(tblTargetStatus[[#This Row],[FirstMissingDependencyID]],tblTargetStatus[TargetID],tblTargetStatus[Status],""))</f>
        <v>BLOCKED</v>
      </c>
      <c r="Q37" t="str">
        <f>IF(
 tblTargetStatus[[#This Row],[Status]]&lt;&gt;"BLOCKED",
 tblTargetStatus[[#This Row],[Status]],
 IF(
  AND(
   tblTargetStatus[[#This Row],[MissingDependencies]]=1,
   tblTargetStatus[[#This Row],[FirstMissingStatus]]="READY"
  ),
  "ONE AWAY",
  "BLOCKED"
 )
)</f>
        <v>BLOCKED</v>
      </c>
      <c r="R37">
        <f>IF(
 OR(
  tblTargetStatus[[#This Row],[StateType]]="CHARACTER",
  RIGHT(tblTargetStatus[[#This Row],[TargetID]],6)=".maxed"
 ),
 0,
 _xlfn.LET(
  _xlpm.sort,
   _xlfn.XLOOKUP(
    tblTargetStatus[[#This Row],[TargetID]],
    tblChecklist[TargetID],
    tblChecklist[PlayerSort],
    0
   ),
  IF(_xlpm.sort=0,500,_xlpm.sort)
 )
)</f>
        <v>80</v>
      </c>
      <c r="S37" t="str" cm="1">
        <f t="array" ref="S3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Fermentory Lv 6</v>
      </c>
      <c r="T37" t="str">
        <f>_xlfn.XLOOKUP(tblTargetStatus[[#This Row],[TargetID]],tblTargets[TargetID],tblTargets[CompletionMethod],"")</f>
        <v>PLAYER</v>
      </c>
      <c r="U37" t="b">
        <f>COUNTIF(
    tblCost[TargetID],
    tblTargetStatus[[#This Row],[TargetID]]
)&gt;0</f>
        <v>1</v>
      </c>
      <c r="V37" s="81">
        <f>IF(tblTargetStatus[[#This Row],[HasCost]]=FALSE,
"N/A",
_xlfn.XLOOKUP(
tblTargetStatus[[#This Row],[TargetID]],
tblCost[TargetID],
tblCost[FundingPercent],
""
)
)</f>
        <v>0</v>
      </c>
      <c r="W37">
        <f>IF(
COUNTIF(tblCost[TargetID],tblTargetStatus[[#This Row],[TargetID]])=0,
"",
_xlfn.XLOOKUP(
tblTargetStatus[[#This Row],[TargetID]],
tblCost[TargetID],
tblCost[RemainingRequirements],
""
)
)</f>
        <v>8</v>
      </c>
      <c r="X37" s="79" t="b">
        <f>IF(tblTargetStatus[[#This Row],[HasCost]]=FALSE,"N/A",_xlfn.XLOOKUP(
tblTargetStatus[[#This Row],[TargetID]],
tblCost[TargetID],
tblCost[TargetFunded],
TRUE
))</f>
        <v>0</v>
      </c>
      <c r="Y37" t="str" cm="1">
        <f t="array" ref="Y37">_xlfn.TEXTJOIN(
", ",
TRUE,
_xlfn._xlws.FILTER(
tblCost[ResourceID]&amp;": "&amp;tblCost[QuantityRequired],
(tblCost[TargetID]=tblTargetStatus[[#This Row],[TargetID]])*
(tblCost[PlayerPaid]=FALSE),
""
)
)</f>
        <v>ruby: 9, coin: 1000, plank: 900, stone: 800, thread: 20, soybean: 100, koji: 24, grimoire: 10</v>
      </c>
      <c r="Z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 t="str" cm="1">
        <f t="array" ref="AA3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 spans="1:27">
      <c r="A38" t="s">
        <v>52</v>
      </c>
      <c r="B38" t="str">
        <f>_xlfn.XLOOKUP(tblTargetStatus[[#This Row],[TargetID]],tblTargets[TargetID],tblTargets[DisplayName],"")</f>
        <v>Fermentory Lv 6</v>
      </c>
      <c r="C38" t="str">
        <f>IF(tblTargetStatus[[#This Row],[PlayerCompleted]],"COMPLETED",IF(tblTargetStatus[[#This Row],[MissingDependencies]]=0,"READY","BLOCKED"))</f>
        <v>BLOCKED</v>
      </c>
      <c r="D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 t="str">
        <f>_xlfn.XLOOKUP(tblTargetStatus[[#This Row],[TargetID]],tblTargets[TargetID],tblTargets[TargetType],"")</f>
        <v>BUILDING</v>
      </c>
      <c r="F38" t="str">
        <f>_xlfn.XLOOKUP(tblTargetStatus[[#This Row],[TargetID]],tblTargets[TargetID],tblTargets[StateType])</f>
        <v/>
      </c>
      <c r="G38">
        <f>_xlfn.LET(
_xlpm.id,tblTargetStatus[[#This Row],[TargetID]],
_xlpm.depCount,COUNTIF(tblDependencies[TargetID],_xlpm.id),
_xlpm.objCount,COUNTIF(tblQuestObjectives[QuestTargetID],_xlpm.id),
_xlpm.depCount+_xlpm.objCount
)</f>
        <v>1</v>
      </c>
      <c r="H38">
        <f>tblTargetStatus[[#This Row],[DependencyCount]]</f>
        <v>1</v>
      </c>
      <c r="I38" cm="1">
        <f t="array" ref="I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
        <f>tblTargetStatus[[#This Row],[CompletedDependencyCount]]</f>
        <v>0</v>
      </c>
      <c r="K38" t="b">
        <f>tblTargetStatus[[#This Row],[CompletedDependencies]]=tblTargetStatus[[#This Row],[TotalDependencies]]</f>
        <v>0</v>
      </c>
      <c r="L38">
        <f>tblTargetStatus[[#This Row],[TotalDependencies]]-tblTargetStatus[[#This Row],[CompletedDependencies]]</f>
        <v>1</v>
      </c>
      <c r="M38" t="str" cm="1">
        <f t="array" ref="M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building.fermentory@5</v>
      </c>
      <c r="N38" t="str">
        <f>IF(tblTargetStatus[[#This Row],[FirstMissingDependencyID]]="","",_xlfn.XLOOKUP(tblTargetStatus[[#This Row],[FirstMissingDependencyID]],tblTargets[TargetID],tblTargets[DisplayName],tblTargetStatus[[#This Row],[FirstMissingDependencyID]]))</f>
        <v>Fermentory Lv 5</v>
      </c>
      <c r="O38" t="str" cm="1">
        <f t="array" ref="O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ruby,1000 coin,900 plank,500 stone,40 paper,30 glass,24 koji,10 enzyme,10 grimoire</v>
      </c>
      <c r="P38" t="str">
        <f>IF(tblTargetStatus[[#This Row],[FirstMissingDependencyID]]="","",_xlfn.XLOOKUP(tblTargetStatus[[#This Row],[FirstMissingDependencyID]],tblTargetStatus[TargetID],tblTargetStatus[Status],""))</f>
        <v>BLOCKED</v>
      </c>
      <c r="Q38" t="str">
        <f>IF(
 tblTargetStatus[[#This Row],[Status]]&lt;&gt;"BLOCKED",
 tblTargetStatus[[#This Row],[Status]],
 IF(
  AND(
   tblTargetStatus[[#This Row],[MissingDependencies]]=1,
   tblTargetStatus[[#This Row],[FirstMissingStatus]]="READY"
  ),
  "ONE AWAY",
  "BLOCKED"
 )
)</f>
        <v>BLOCKED</v>
      </c>
      <c r="R38">
        <f>IF(
 OR(
  tblTargetStatus[[#This Row],[StateType]]="CHARACTER",
  RIGHT(tblTargetStatus[[#This Row],[TargetID]],6)=".maxed"
 ),
 0,
 _xlfn.LET(
  _xlpm.sort,
   _xlfn.XLOOKUP(
    tblTargetStatus[[#This Row],[TargetID]],
    tblChecklist[TargetID],
    tblChecklist[PlayerSort],
    0
   ),
  IF(_xlpm.sort=0,500,_xlpm.sort)
 )
)</f>
        <v>81</v>
      </c>
      <c r="S38" t="str" cm="1">
        <f t="array" ref="S3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Fermentory maxed, Festival of Beans Accepted</v>
      </c>
      <c r="T38" t="str">
        <f>_xlfn.XLOOKUP(tblTargetStatus[[#This Row],[TargetID]],tblTargets[TargetID],tblTargets[CompletionMethod],"")</f>
        <v>PLAYER</v>
      </c>
      <c r="U38" t="b">
        <f>COUNTIF(
    tblCost[TargetID],
    tblTargetStatus[[#This Row],[TargetID]]
)&gt;0</f>
        <v>1</v>
      </c>
      <c r="V38" s="81">
        <f>IF(tblTargetStatus[[#This Row],[HasCost]]=FALSE,
"N/A",
_xlfn.XLOOKUP(
tblTargetStatus[[#This Row],[TargetID]],
tblCost[TargetID],
tblCost[FundingPercent],
""
)
)</f>
        <v>0</v>
      </c>
      <c r="W38">
        <f>IF(
COUNTIF(tblCost[TargetID],tblTargetStatus[[#This Row],[TargetID]])=0,
"",
_xlfn.XLOOKUP(
tblTargetStatus[[#This Row],[TargetID]],
tblCost[TargetID],
tblCost[RemainingRequirements],
""
)
)</f>
        <v>9</v>
      </c>
      <c r="X38" s="79" t="b">
        <f>IF(tblTargetStatus[[#This Row],[HasCost]]=FALSE,"N/A",_xlfn.XLOOKUP(
tblTargetStatus[[#This Row],[TargetID]],
tblCost[TargetID],
tblCost[TargetFunded],
TRUE
))</f>
        <v>0</v>
      </c>
      <c r="Y38" t="str" cm="1">
        <f t="array" ref="Y38">_xlfn.TEXTJOIN(
", ",
TRUE,
_xlfn._xlws.FILTER(
tblCost[ResourceID]&amp;": "&amp;tblCost[QuantityRequired],
(tblCost[TargetID]=tblTargetStatus[[#This Row],[TargetID]])*
(tblCost[PlayerPaid]=FALSE),
""
)
)</f>
        <v>ruby: 10, coin: 1000, plank: 900, stone: 500, paper: 40, glass: 30, koji: 24, enzyme: 10, grimoire: 10</v>
      </c>
      <c r="Z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 t="str" cm="1">
        <f t="array" ref="AA3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Festival of Beans</v>
      </c>
    </row>
    <row r="39" spans="1:27">
      <c r="A39" t="s">
        <v>2677</v>
      </c>
      <c r="B39" t="str">
        <f>_xlfn.XLOOKUP(tblTargetStatus[[#This Row],[TargetID]],tblTargets[TargetID],tblTargets[DisplayName],"")</f>
        <v>Field maxed</v>
      </c>
      <c r="C39" t="str">
        <f>IF(tblTargetStatus[[#This Row],[PlayerCompleted]],"COMPLETED",IF(tblTargetStatus[[#This Row],[MissingDependencies]]=0,"READY","BLOCKED"))</f>
        <v>BLOCKED</v>
      </c>
      <c r="D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 t="str">
        <f>_xlfn.XLOOKUP(tblTargetStatus[[#This Row],[TargetID]],tblTargets[TargetID],tblTargets[TargetType],"")</f>
        <v>BUILDING</v>
      </c>
      <c r="F39" t="str">
        <f>_xlfn.XLOOKUP(tblTargetStatus[[#This Row],[TargetID]],tblTargets[TargetID],tblTargets[StateType])</f>
        <v/>
      </c>
      <c r="G39">
        <f>_xlfn.LET(
_xlpm.id,tblTargetStatus[[#This Row],[TargetID]],
_xlpm.depCount,COUNTIF(tblDependencies[TargetID],_xlpm.id),
_xlpm.objCount,COUNTIF(tblQuestObjectives[QuestTargetID],_xlpm.id),
_xlpm.depCount+_xlpm.objCount
)</f>
        <v>1</v>
      </c>
      <c r="H39">
        <f>tblTargetStatus[[#This Row],[DependencyCount]]</f>
        <v>1</v>
      </c>
      <c r="I39" cm="1">
        <f t="array" ref="I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
        <f>tblTargetStatus[[#This Row],[CompletedDependencyCount]]</f>
        <v>0</v>
      </c>
      <c r="K39" t="b">
        <f>tblTargetStatus[[#This Row],[CompletedDependencies]]=tblTargetStatus[[#This Row],[TotalDependencies]]</f>
        <v>0</v>
      </c>
      <c r="L39">
        <f>tblTargetStatus[[#This Row],[TotalDependencies]]-tblTargetStatus[[#This Row],[CompletedDependencies]]</f>
        <v>1</v>
      </c>
      <c r="M39" t="str" cm="1">
        <f t="array" ref="M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building.field@2</v>
      </c>
      <c r="N39" t="str">
        <f>IF(tblTargetStatus[[#This Row],[FirstMissingDependencyID]]="","",_xlfn.XLOOKUP(tblTargetStatus[[#This Row],[FirstMissingDependencyID]],tblTargets[TargetID],tblTargets[DisplayName],tblTargetStatus[[#This Row],[FirstMissingDependencyID]]))</f>
        <v>Field Lv 2</v>
      </c>
      <c r="O39" s="2" t="str" cm="1">
        <f t="array" ref="O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 t="str">
        <f>IF(tblTargetStatus[[#This Row],[FirstMissingDependencyID]]="","",_xlfn.XLOOKUP(tblTargetStatus[[#This Row],[FirstMissingDependencyID]],tblTargetStatus[TargetID],tblTargetStatus[Status],""))</f>
        <v>BLOCKED</v>
      </c>
      <c r="Q39" t="str">
        <f>IF(
 tblTargetStatus[[#This Row],[Status]]&lt;&gt;"BLOCKED",
 tblTargetStatus[[#This Row],[Status]],
 IF(
  AND(
   tblTargetStatus[[#This Row],[MissingDependencies]]=1,
   tblTargetStatus[[#This Row],[FirstMissingStatus]]="READY"
  ),
  "ONE AWAY",
  "BLOCKED"
 )
)</f>
        <v>BLOCKED</v>
      </c>
      <c r="R39">
        <f>IF(
 OR(
  tblTargetStatus[[#This Row],[StateType]]="CHARACTER",
  RIGHT(tblTargetStatus[[#This Row],[TargetID]],6)=".maxed"
 ),
 0,
 _xlfn.LET(
  _xlpm.sort,
   _xlfn.XLOOKUP(
    tblTargetStatus[[#This Row],[TargetID]],
    tblChecklist[TargetID],
    tblChecklist[PlayerSort],
    0
   ),
  IF(_xlpm.sort=0,500,_xlpm.sort)
 )
)</f>
        <v>0</v>
      </c>
      <c r="S39" t="str" cm="1">
        <f t="array" ref="S3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Field - Seed Drill, Field - Soybean</v>
      </c>
      <c r="T39" t="str">
        <f>_xlfn.XLOOKUP(tblTargetStatus[[#This Row],[TargetID]],tblTargets[TargetID],tblTargets[CompletionMethod],"")</f>
        <v>AUTO</v>
      </c>
      <c r="U39" t="b">
        <f>COUNTIF(
    tblCost[TargetID],
    tblTargetStatus[[#This Row],[TargetID]]
)&gt;0</f>
        <v>0</v>
      </c>
      <c r="V39" s="81" t="str">
        <f>IF(tblTargetStatus[[#This Row],[HasCost]]=FALSE,
"N/A",
_xlfn.XLOOKUP(
tblTargetStatus[[#This Row],[TargetID]],
tblCost[TargetID],
tblCost[FundingPercent],
""
)
)</f>
        <v>N/A</v>
      </c>
      <c r="W39" t="str">
        <f>IF(
COUNTIF(tblCost[TargetID],tblTargetStatus[[#This Row],[TargetID]])=0,
"",
_xlfn.XLOOKUP(
tblTargetStatus[[#This Row],[TargetID]],
tblCost[TargetID],
tblCost[RemainingRequirements],
""
)
)</f>
        <v/>
      </c>
      <c r="X39" s="79" t="str">
        <f>IF(tblTargetStatus[[#This Row],[HasCost]]=FALSE,"N/A",_xlfn.XLOOKUP(
tblTargetStatus[[#This Row],[TargetID]],
tblCost[TargetID],
tblCost[TargetFunded],
TRUE
))</f>
        <v>N/A</v>
      </c>
      <c r="Y39" t="str" cm="1">
        <f t="array" ref="Y39">_xlfn.TEXTJOIN(
", ",
TRUE,
_xlfn._xlws.FILTER(
tblCost[ResourceID]&amp;": "&amp;tblCost[QuantityRequired],
(tblCost[TargetID]=tblTargetStatus[[#This Row],[TargetID]])*
(tblCost[PlayerPaid]=FALSE),
""
)
)</f>
        <v/>
      </c>
      <c r="Z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 t="str" cm="1">
        <f t="array" ref="AA3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 spans="1:27">
      <c r="A40" t="s">
        <v>53</v>
      </c>
      <c r="B40" t="str">
        <f>_xlfn.XLOOKUP(tblTargetStatus[[#This Row],[TargetID]],tblTargets[TargetID],tblTargets[DisplayName],"")</f>
        <v>Field Lv 1</v>
      </c>
      <c r="C40" t="str">
        <f>IF(tblTargetStatus[[#This Row],[PlayerCompleted]],"COMPLETED",IF(tblTargetStatus[[#This Row],[MissingDependencies]]=0,"READY","BLOCKED"))</f>
        <v>BLOCKED</v>
      </c>
      <c r="D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 t="str">
        <f>_xlfn.XLOOKUP(tblTargetStatus[[#This Row],[TargetID]],tblTargets[TargetID],tblTargets[TargetType],"")</f>
        <v>BUILDING</v>
      </c>
      <c r="F40" t="str">
        <f>_xlfn.XLOOKUP(tblTargetStatus[[#This Row],[TargetID]],tblTargets[TargetID],tblTargets[StateType])</f>
        <v/>
      </c>
      <c r="G40">
        <f>_xlfn.LET(
_xlpm.id,tblTargetStatus[[#This Row],[TargetID]],
_xlpm.depCount,COUNTIF(tblDependencies[TargetID],_xlpm.id),
_xlpm.objCount,COUNTIF(tblQuestObjectives[QuestTargetID],_xlpm.id),
_xlpm.depCount+_xlpm.objCount
)</f>
        <v>1</v>
      </c>
      <c r="H40">
        <f>tblTargetStatus[[#This Row],[DependencyCount]]</f>
        <v>1</v>
      </c>
      <c r="I40" cm="1">
        <f t="array" ref="I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
        <f>tblTargetStatus[[#This Row],[CompletedDependencyCount]]</f>
        <v>0</v>
      </c>
      <c r="K40" t="b">
        <f>tblTargetStatus[[#This Row],[CompletedDependencies]]=tblTargetStatus[[#This Row],[TotalDependencies]]</f>
        <v>0</v>
      </c>
      <c r="L40">
        <f>tblTargetStatus[[#This Row],[TotalDependencies]]-tblTargetStatus[[#This Row],[CompletedDependencies]]</f>
        <v>1</v>
      </c>
      <c r="M40" t="str" cm="1">
        <f t="array" ref="M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state.character_level@7</v>
      </c>
      <c r="N40" t="str">
        <f>IF(tblTargetStatus[[#This Row],[FirstMissingDependencyID]]="","",_xlfn.XLOOKUP(tblTargetStatus[[#This Row],[FirstMissingDependencyID]],tblTargets[TargetID],tblTargets[DisplayName],tblTargetStatus[[#This Row],[FirstMissingDependencyID]]))</f>
        <v>Character Level@7</v>
      </c>
      <c r="O40" s="2" t="str" cm="1">
        <f t="array" ref="O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ruby,200 coin,100 wood,20 chemicals</v>
      </c>
      <c r="P40" t="str">
        <f>IF(tblTargetStatus[[#This Row],[FirstMissingDependencyID]]="","",_xlfn.XLOOKUP(tblTargetStatus[[#This Row],[FirstMissingDependencyID]],tblTargetStatus[TargetID],tblTargetStatus[Status],""))</f>
        <v>READY</v>
      </c>
      <c r="Q40" t="str">
        <f>IF(
 tblTargetStatus[[#This Row],[Status]]&lt;&gt;"BLOCKED",
 tblTargetStatus[[#This Row],[Status]],
 IF(
  AND(
   tblTargetStatus[[#This Row],[MissingDependencies]]=1,
   tblTargetStatus[[#This Row],[FirstMissingStatus]]="READY"
  ),
  "ONE AWAY",
  "BLOCKED"
 )
)</f>
        <v>ONE AWAY</v>
      </c>
      <c r="R40">
        <f>IF(
 OR(
  tblTargetStatus[[#This Row],[StateType]]="CHARACTER",
  RIGHT(tblTargetStatus[[#This Row],[TargetID]],6)=".maxed"
 ),
 0,
 _xlfn.LET(
  _xlpm.sort,
   _xlfn.XLOOKUP(
    tblTargetStatus[[#This Row],[TargetID]],
    tblChecklist[TargetID],
    tblChecklist[PlayerSort],
    0
   ),
  IF(_xlpm.sort=0,500,_xlpm.sort)
 )
)</f>
        <v>6</v>
      </c>
      <c r="S40" t="str" cm="1">
        <f t="array" ref="S4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Field Lv 2, Quest for Knowledge Chapter 1 Finished</v>
      </c>
      <c r="T40" t="str">
        <f>_xlfn.XLOOKUP(tblTargetStatus[[#This Row],[TargetID]],tblTargets[TargetID],tblTargets[CompletionMethod],"")</f>
        <v>PLAYER</v>
      </c>
      <c r="U40" t="b">
        <f>COUNTIF(
    tblCost[TargetID],
    tblTargetStatus[[#This Row],[TargetID]]
)&gt;0</f>
        <v>1</v>
      </c>
      <c r="V40" s="81">
        <f>IF(tblTargetStatus[[#This Row],[HasCost]]=FALSE,
"N/A",
_xlfn.XLOOKUP(
tblTargetStatus[[#This Row],[TargetID]],
tblCost[TargetID],
tblCost[FundingPercent],
""
)
)</f>
        <v>0</v>
      </c>
      <c r="W40">
        <f>IF(
COUNTIF(tblCost[TargetID],tblTargetStatus[[#This Row],[TargetID]])=0,
"",
_xlfn.XLOOKUP(
tblTargetStatus[[#This Row],[TargetID]],
tblCost[TargetID],
tblCost[RemainingRequirements],
""
)
)</f>
        <v>4</v>
      </c>
      <c r="X40" s="79" t="b">
        <f>IF(tblTargetStatus[[#This Row],[HasCost]]=FALSE,"N/A",_xlfn.XLOOKUP(
tblTargetStatus[[#This Row],[TargetID]],
tblCost[TargetID],
tblCost[TargetFunded],
TRUE
))</f>
        <v>0</v>
      </c>
      <c r="Y40" t="str" cm="1">
        <f t="array" ref="Y40">_xlfn.TEXTJOIN(
", ",
TRUE,
_xlfn._xlws.FILTER(
tblCost[ResourceID]&amp;": "&amp;tblCost[QuantityRequired],
(tblCost[TargetID]=tblTargetStatus[[#This Row],[TargetID]])*
(tblCost[PlayerPaid]=FALSE),
""
)
)</f>
        <v>ruby: 1, coin: 200, wood: 100, chemicals: 20</v>
      </c>
      <c r="Z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 t="str" cm="1">
        <f t="array" ref="AA4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1" spans="1:27">
      <c r="A41" t="s">
        <v>55</v>
      </c>
      <c r="B41" t="str">
        <f>_xlfn.XLOOKUP(tblTargetStatus[[#This Row],[TargetID]],tblTargets[TargetID],tblTargets[DisplayName],"")</f>
        <v>Field Lv 2</v>
      </c>
      <c r="C41" t="str">
        <f>IF(tblTargetStatus[[#This Row],[PlayerCompleted]],"COMPLETED",IF(tblTargetStatus[[#This Row],[MissingDependencies]]=0,"READY","BLOCKED"))</f>
        <v>BLOCKED</v>
      </c>
      <c r="D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 t="str">
        <f>_xlfn.XLOOKUP(tblTargetStatus[[#This Row],[TargetID]],tblTargets[TargetID],tblTargets[TargetType],"")</f>
        <v>BUILDING</v>
      </c>
      <c r="F41" t="str">
        <f>_xlfn.XLOOKUP(tblTargetStatus[[#This Row],[TargetID]],tblTargets[TargetID],tblTargets[StateType])</f>
        <v/>
      </c>
      <c r="G41">
        <f>_xlfn.LET(
_xlpm.id,tblTargetStatus[[#This Row],[TargetID]],
_xlpm.depCount,COUNTIF(tblDependencies[TargetID],_xlpm.id),
_xlpm.objCount,COUNTIF(tblQuestObjectives[QuestTargetID],_xlpm.id),
_xlpm.depCount+_xlpm.objCount
)</f>
        <v>1</v>
      </c>
      <c r="H41">
        <f>tblTargetStatus[[#This Row],[DependencyCount]]</f>
        <v>1</v>
      </c>
      <c r="I41" cm="1">
        <f t="array" ref="I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
        <f>tblTargetStatus[[#This Row],[CompletedDependencyCount]]</f>
        <v>0</v>
      </c>
      <c r="K41" t="b">
        <f>tblTargetStatus[[#This Row],[CompletedDependencies]]=tblTargetStatus[[#This Row],[TotalDependencies]]</f>
        <v>0</v>
      </c>
      <c r="L41">
        <f>tblTargetStatus[[#This Row],[TotalDependencies]]-tblTargetStatus[[#This Row],[CompletedDependencies]]</f>
        <v>1</v>
      </c>
      <c r="M41" t="str" cm="1">
        <f t="array" ref="M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building.field@1</v>
      </c>
      <c r="N41" t="str">
        <f>IF(tblTargetStatus[[#This Row],[FirstMissingDependencyID]]="","",_xlfn.XLOOKUP(tblTargetStatus[[#This Row],[FirstMissingDependencyID]],tblTargets[TargetID],tblTargets[DisplayName],tblTargetStatus[[#This Row],[FirstMissingDependencyID]]))</f>
        <v>Field Lv 1</v>
      </c>
      <c r="O41" t="str" cm="1">
        <f t="array" ref="O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ruby,300 coin,100 wood,50 chemicals,20 steel</v>
      </c>
      <c r="P41" t="str">
        <f>IF(tblTargetStatus[[#This Row],[FirstMissingDependencyID]]="","",_xlfn.XLOOKUP(tblTargetStatus[[#This Row],[FirstMissingDependencyID]],tblTargetStatus[TargetID],tblTargetStatus[Status],""))</f>
        <v>BLOCKED</v>
      </c>
      <c r="Q41" t="str">
        <f>IF(
 tblTargetStatus[[#This Row],[Status]]&lt;&gt;"BLOCKED",
 tblTargetStatus[[#This Row],[Status]],
 IF(
  AND(
   tblTargetStatus[[#This Row],[MissingDependencies]]=1,
   tblTargetStatus[[#This Row],[FirstMissingStatus]]="READY"
  ),
  "ONE AWAY",
  "BLOCKED"
 )
)</f>
        <v>BLOCKED</v>
      </c>
      <c r="R41">
        <f>IF(
 OR(
  tblTargetStatus[[#This Row],[StateType]]="CHARACTER",
  RIGHT(tblTargetStatus[[#This Row],[TargetID]],6)=".maxed"
 ),
 0,
 _xlfn.LET(
  _xlpm.sort,
   _xlfn.XLOOKUP(
    tblTargetStatus[[#This Row],[TargetID]],
    tblChecklist[TargetID],
    tblChecklist[PlayerSort],
    0
   ),
  IF(_xlpm.sort=0,500,_xlpm.sort)
 )
)</f>
        <v>8</v>
      </c>
      <c r="S41" t="str" cm="1">
        <f t="array" ref="S4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Field maxed</v>
      </c>
      <c r="T41" t="str">
        <f>_xlfn.XLOOKUP(tblTargetStatus[[#This Row],[TargetID]],tblTargets[TargetID],tblTargets[CompletionMethod],"")</f>
        <v>PLAYER</v>
      </c>
      <c r="U41" t="b">
        <f>COUNTIF(
    tblCost[TargetID],
    tblTargetStatus[[#This Row],[TargetID]]
)&gt;0</f>
        <v>1</v>
      </c>
      <c r="V41" s="81">
        <f>IF(tblTargetStatus[[#This Row],[HasCost]]=FALSE,
"N/A",
_xlfn.XLOOKUP(
tblTargetStatus[[#This Row],[TargetID]],
tblCost[TargetID],
tblCost[FundingPercent],
""
)
)</f>
        <v>0</v>
      </c>
      <c r="W41">
        <f>IF(
COUNTIF(tblCost[TargetID],tblTargetStatus[[#This Row],[TargetID]])=0,
"",
_xlfn.XLOOKUP(
tblTargetStatus[[#This Row],[TargetID]],
tblCost[TargetID],
tblCost[RemainingRequirements],
""
)
)</f>
        <v>5</v>
      </c>
      <c r="X41" s="79" t="b">
        <f>IF(tblTargetStatus[[#This Row],[HasCost]]=FALSE,"N/A",_xlfn.XLOOKUP(
tblTargetStatus[[#This Row],[TargetID]],
tblCost[TargetID],
tblCost[TargetFunded],
TRUE
))</f>
        <v>0</v>
      </c>
      <c r="Y41" t="str" cm="1">
        <f t="array" ref="Y41">_xlfn.TEXTJOIN(
", ",
TRUE,
_xlfn._xlws.FILTER(
tblCost[ResourceID]&amp;": "&amp;tblCost[QuantityRequired],
(tblCost[TargetID]=tblTargetStatus[[#This Row],[TargetID]])*
(tblCost[PlayerPaid]=FALSE),
""
)
)</f>
        <v>ruby: 3, coin: 300, wood: 100, chemicals: 50, steel: 20</v>
      </c>
      <c r="Z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 t="str" cm="1">
        <f t="array" ref="AA4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 spans="1:27">
      <c r="A42" t="s">
        <v>2678</v>
      </c>
      <c r="B42" t="str">
        <f>_xlfn.XLOOKUP(tblTargetStatus[[#This Row],[TargetID]],tblTargets[TargetID],tblTargets[DisplayName],"")</f>
        <v>Food stall maxed</v>
      </c>
      <c r="C42" t="str">
        <f>IF(tblTargetStatus[[#This Row],[PlayerCompleted]],"COMPLETED",IF(tblTargetStatus[[#This Row],[MissingDependencies]]=0,"READY","BLOCKED"))</f>
        <v>BLOCKED</v>
      </c>
      <c r="D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 t="str">
        <f>_xlfn.XLOOKUP(tblTargetStatus[[#This Row],[TargetID]],tblTargets[TargetID],tblTargets[TargetType],"")</f>
        <v>BUILDING</v>
      </c>
      <c r="F42" t="str">
        <f>_xlfn.XLOOKUP(tblTargetStatus[[#This Row],[TargetID]],tblTargets[TargetID],tblTargets[StateType])</f>
        <v/>
      </c>
      <c r="G42">
        <f>_xlfn.LET(
_xlpm.id,tblTargetStatus[[#This Row],[TargetID]],
_xlpm.depCount,COUNTIF(tblDependencies[TargetID],_xlpm.id),
_xlpm.objCount,COUNTIF(tblQuestObjectives[QuestTargetID],_xlpm.id),
_xlpm.depCount+_xlpm.objCount
)</f>
        <v>1</v>
      </c>
      <c r="H42">
        <f>tblTargetStatus[[#This Row],[DependencyCount]]</f>
        <v>1</v>
      </c>
      <c r="I42" cm="1">
        <f t="array" ref="I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
        <f>tblTargetStatus[[#This Row],[CompletedDependencyCount]]</f>
        <v>0</v>
      </c>
      <c r="K42" t="b">
        <f>tblTargetStatus[[#This Row],[CompletedDependencies]]=tblTargetStatus[[#This Row],[TotalDependencies]]</f>
        <v>0</v>
      </c>
      <c r="L42">
        <f>tblTargetStatus[[#This Row],[TotalDependencies]]-tblTargetStatus[[#This Row],[CompletedDependencies]]</f>
        <v>1</v>
      </c>
      <c r="M42" t="str" cm="1">
        <f t="array" ref="M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building.food_stall@3</v>
      </c>
      <c r="N42" t="str">
        <f>IF(tblTargetStatus[[#This Row],[FirstMissingDependencyID]]="","",_xlfn.XLOOKUP(tblTargetStatus[[#This Row],[FirstMissingDependencyID]],tblTargets[TargetID],tblTargets[DisplayName],tblTargetStatus[[#This Row],[FirstMissingDependencyID]]))</f>
        <v>Food Stall Lv 3</v>
      </c>
      <c r="O42" s="2" t="str" cm="1">
        <f t="array" ref="O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 t="str">
        <f>IF(tblTargetStatus[[#This Row],[FirstMissingDependencyID]]="","",_xlfn.XLOOKUP(tblTargetStatus[[#This Row],[FirstMissingDependencyID]],tblTargetStatus[TargetID],tblTargetStatus[Status],""))</f>
        <v>BLOCKED</v>
      </c>
      <c r="Q42" t="str">
        <f>IF(
 tblTargetStatus[[#This Row],[Status]]&lt;&gt;"BLOCKED",
 tblTargetStatus[[#This Row],[Status]],
 IF(
  AND(
   tblTargetStatus[[#This Row],[MissingDependencies]]=1,
   tblTargetStatus[[#This Row],[FirstMissingStatus]]="READY"
  ),
  "ONE AWAY",
  "BLOCKED"
 )
)</f>
        <v>BLOCKED</v>
      </c>
      <c r="R42">
        <f>IF(
 OR(
  tblTargetStatus[[#This Row],[StateType]]="CHARACTER",
  RIGHT(tblTargetStatus[[#This Row],[TargetID]],6)=".maxed"
 ),
 0,
 _xlfn.LET(
  _xlpm.sort,
   _xlfn.XLOOKUP(
    tblTargetStatus[[#This Row],[TargetID]],
    tblChecklist[TargetID],
    tblChecklist[PlayerSort],
    0
   ),
  IF(_xlpm.sort=0,500,_xlpm.sort)
 )
)</f>
        <v>0</v>
      </c>
      <c r="S42" t="str" cm="1">
        <f t="array" ref="S4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Food Stall - Conveyor Belt Sushi, Food Stall - Inarizushi, Food Stall - Jam, Food Stall - Mandra Cola, Food Stall - Mayonnaise, Food Stall - Miso Soup, Food Stall - Quintessence Of Taste</v>
      </c>
      <c r="T42" t="str">
        <f>_xlfn.XLOOKUP(tblTargetStatus[[#This Row],[TargetID]],tblTargets[TargetID],tblTargets[CompletionMethod],"")</f>
        <v>AUTO</v>
      </c>
      <c r="U42" t="b">
        <f>COUNTIF(
    tblCost[TargetID],
    tblTargetStatus[[#This Row],[TargetID]]
)&gt;0</f>
        <v>0</v>
      </c>
      <c r="V42" s="81" t="str">
        <f>IF(tblTargetStatus[[#This Row],[HasCost]]=FALSE,
"N/A",
_xlfn.XLOOKUP(
tblTargetStatus[[#This Row],[TargetID]],
tblCost[TargetID],
tblCost[FundingPercent],
""
)
)</f>
        <v>N/A</v>
      </c>
      <c r="W42" t="str">
        <f>IF(
COUNTIF(tblCost[TargetID],tblTargetStatus[[#This Row],[TargetID]])=0,
"",
_xlfn.XLOOKUP(
tblTargetStatus[[#This Row],[TargetID]],
tblCost[TargetID],
tblCost[RemainingRequirements],
""
)
)</f>
        <v/>
      </c>
      <c r="X42" s="79" t="str">
        <f>IF(tblTargetStatus[[#This Row],[HasCost]]=FALSE,"N/A",_xlfn.XLOOKUP(
tblTargetStatus[[#This Row],[TargetID]],
tblCost[TargetID],
tblCost[TargetFunded],
TRUE
))</f>
        <v>N/A</v>
      </c>
      <c r="Y42" t="str" cm="1">
        <f t="array" ref="Y42">_xlfn.TEXTJOIN(
", ",
TRUE,
_xlfn._xlws.FILTER(
tblCost[ResourceID]&amp;": "&amp;tblCost[QuantityRequired],
(tblCost[TargetID]=tblTargetStatus[[#This Row],[TargetID]])*
(tblCost[PlayerPaid]=FALSE),
""
)
)</f>
        <v/>
      </c>
      <c r="Z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 t="str" cm="1">
        <f t="array" ref="AA4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 spans="1:27">
      <c r="A43" t="s">
        <v>56</v>
      </c>
      <c r="B43" t="str">
        <f>_xlfn.XLOOKUP(tblTargetStatus[[#This Row],[TargetID]],tblTargets[TargetID],tblTargets[DisplayName],"")</f>
        <v>Food Stall Lv 1</v>
      </c>
      <c r="C43" t="str">
        <f>IF(tblTargetStatus[[#This Row],[PlayerCompleted]],"COMPLETED",IF(tblTargetStatus[[#This Row],[MissingDependencies]]=0,"READY","BLOCKED"))</f>
        <v>BLOCKED</v>
      </c>
      <c r="D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 t="str">
        <f>_xlfn.XLOOKUP(tblTargetStatus[[#This Row],[TargetID]],tblTargets[TargetID],tblTargets[TargetType],"")</f>
        <v>BUILDING</v>
      </c>
      <c r="F43" t="str">
        <f>_xlfn.XLOOKUP(tblTargetStatus[[#This Row],[TargetID]],tblTargets[TargetID],tblTargets[StateType])</f>
        <v/>
      </c>
      <c r="G43">
        <f>_xlfn.LET(
_xlpm.id,tblTargetStatus[[#This Row],[TargetID]],
_xlpm.depCount,COUNTIF(tblDependencies[TargetID],_xlpm.id),
_xlpm.objCount,COUNTIF(tblQuestObjectives[QuestTargetID],_xlpm.id),
_xlpm.depCount+_xlpm.objCount
)</f>
        <v>1</v>
      </c>
      <c r="H43">
        <f>tblTargetStatus[[#This Row],[DependencyCount]]</f>
        <v>1</v>
      </c>
      <c r="I43" cm="1">
        <f t="array" ref="I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
        <f>tblTargetStatus[[#This Row],[CompletedDependencyCount]]</f>
        <v>0</v>
      </c>
      <c r="K43" t="b">
        <f>tblTargetStatus[[#This Row],[CompletedDependencies]]=tblTargetStatus[[#This Row],[TotalDependencies]]</f>
        <v>0</v>
      </c>
      <c r="L43">
        <f>tblTargetStatus[[#This Row],[TotalDependencies]]-tblTargetStatus[[#This Row],[CompletedDependencies]]</f>
        <v>1</v>
      </c>
      <c r="M43" t="str" cm="1">
        <f t="array" ref="M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state.character_level@8</v>
      </c>
      <c r="N43" t="str">
        <f>IF(tblTargetStatus[[#This Row],[FirstMissingDependencyID]]="","",_xlfn.XLOOKUP(tblTargetStatus[[#This Row],[FirstMissingDependencyID]],tblTargets[TargetID],tblTargets[DisplayName],tblTargetStatus[[#This Row],[FirstMissingDependencyID]]))</f>
        <v>Character Level@8</v>
      </c>
      <c r="O43" s="2" t="str" cm="1">
        <f t="array" ref="O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ruby,300 coin,150 wood,150 stone,20 rice</v>
      </c>
      <c r="P43" t="str">
        <f>IF(tblTargetStatus[[#This Row],[FirstMissingDependencyID]]="","",_xlfn.XLOOKUP(tblTargetStatus[[#This Row],[FirstMissingDependencyID]],tblTargetStatus[TargetID],tblTargetStatus[Status],""))</f>
        <v>READY</v>
      </c>
      <c r="Q43" t="str">
        <f>IF(
 tblTargetStatus[[#This Row],[Status]]&lt;&gt;"BLOCKED",
 tblTargetStatus[[#This Row],[Status]],
 IF(
  AND(
   tblTargetStatus[[#This Row],[MissingDependencies]]=1,
   tblTargetStatus[[#This Row],[FirstMissingStatus]]="READY"
  ),
  "ONE AWAY",
  "BLOCKED"
 )
)</f>
        <v>ONE AWAY</v>
      </c>
      <c r="R43">
        <f>IF(
 OR(
  tblTargetStatus[[#This Row],[StateType]]="CHARACTER",
  RIGHT(tblTargetStatus[[#This Row],[TargetID]],6)=".maxed"
 ),
 0,
 _xlfn.LET(
  _xlpm.sort,
   _xlfn.XLOOKUP(
    tblTargetStatus[[#This Row],[TargetID]],
    tblChecklist[TargetID],
    tblChecklist[PlayerSort],
    0
   ),
  IF(_xlpm.sort=0,500,_xlpm.sort)
 )
)</f>
        <v>7</v>
      </c>
      <c r="S43" t="str" cm="1">
        <f t="array" ref="S4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Food Stall Lv 2, Quest for Knowledge Chapter 1 Finished</v>
      </c>
      <c r="T43" t="str">
        <f>_xlfn.XLOOKUP(tblTargetStatus[[#This Row],[TargetID]],tblTargets[TargetID],tblTargets[CompletionMethod],"")</f>
        <v>PLAYER</v>
      </c>
      <c r="U43" t="b">
        <f>COUNTIF(
    tblCost[TargetID],
    tblTargetStatus[[#This Row],[TargetID]]
)&gt;0</f>
        <v>1</v>
      </c>
      <c r="V43" s="81">
        <f>IF(tblTargetStatus[[#This Row],[HasCost]]=FALSE,
"N/A",
_xlfn.XLOOKUP(
tblTargetStatus[[#This Row],[TargetID]],
tblCost[TargetID],
tblCost[FundingPercent],
""
)
)</f>
        <v>0</v>
      </c>
      <c r="W43">
        <f>IF(
COUNTIF(tblCost[TargetID],tblTargetStatus[[#This Row],[TargetID]])=0,
"",
_xlfn.XLOOKUP(
tblTargetStatus[[#This Row],[TargetID]],
tblCost[TargetID],
tblCost[RemainingRequirements],
""
)
)</f>
        <v>5</v>
      </c>
      <c r="X43" s="79" t="b">
        <f>IF(tblTargetStatus[[#This Row],[HasCost]]=FALSE,"N/A",_xlfn.XLOOKUP(
tblTargetStatus[[#This Row],[TargetID]],
tblCost[TargetID],
tblCost[TargetFunded],
TRUE
))</f>
        <v>0</v>
      </c>
      <c r="Y43" t="str" cm="1">
        <f t="array" ref="Y43">_xlfn.TEXTJOIN(
", ",
TRUE,
_xlfn._xlws.FILTER(
tblCost[ResourceID]&amp;": "&amp;tblCost[QuantityRequired],
(tblCost[TargetID]=tblTargetStatus[[#This Row],[TargetID]])*
(tblCost[PlayerPaid]=FALSE),
""
)
)</f>
        <v>ruby: 1, coin: 300, wood: 150, stone: 150, rice: 20</v>
      </c>
      <c r="Z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 t="str" cm="1">
        <f t="array" ref="AA4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4" spans="1:27">
      <c r="A44" t="s">
        <v>59</v>
      </c>
      <c r="B44" t="str">
        <f>_xlfn.XLOOKUP(tblTargetStatus[[#This Row],[TargetID]],tblTargets[TargetID],tblTargets[DisplayName],"")</f>
        <v>Food Stall Lv 2</v>
      </c>
      <c r="C44" t="str">
        <f>IF(tblTargetStatus[[#This Row],[PlayerCompleted]],"COMPLETED",IF(tblTargetStatus[[#This Row],[MissingDependencies]]=0,"READY","BLOCKED"))</f>
        <v>BLOCKED</v>
      </c>
      <c r="D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 t="str">
        <f>_xlfn.XLOOKUP(tblTargetStatus[[#This Row],[TargetID]],tblTargets[TargetID],tblTargets[TargetType],"")</f>
        <v>BUILDING</v>
      </c>
      <c r="F44" t="str">
        <f>_xlfn.XLOOKUP(tblTargetStatus[[#This Row],[TargetID]],tblTargets[TargetID],tblTargets[StateType])</f>
        <v/>
      </c>
      <c r="G44">
        <f>_xlfn.LET(
_xlpm.id,tblTargetStatus[[#This Row],[TargetID]],
_xlpm.depCount,COUNTIF(tblDependencies[TargetID],_xlpm.id),
_xlpm.objCount,COUNTIF(tblQuestObjectives[QuestTargetID],_xlpm.id),
_xlpm.depCount+_xlpm.objCount
)</f>
        <v>3</v>
      </c>
      <c r="H44">
        <f>tblTargetStatus[[#This Row],[DependencyCount]]</f>
        <v>3</v>
      </c>
      <c r="I44" cm="1">
        <f t="array" ref="I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
        <f>tblTargetStatus[[#This Row],[CompletedDependencyCount]]</f>
        <v>0</v>
      </c>
      <c r="K44" t="b">
        <f>tblTargetStatus[[#This Row],[CompletedDependencies]]=tblTargetStatus[[#This Row],[TotalDependencies]]</f>
        <v>0</v>
      </c>
      <c r="L44">
        <f>tblTargetStatus[[#This Row],[TotalDependencies]]-tblTargetStatus[[#This Row],[CompletedDependencies]]</f>
        <v>3</v>
      </c>
      <c r="M44" t="str" cm="1">
        <f t="array" ref="M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building.guild@2</v>
      </c>
      <c r="N44" t="str">
        <f>IF(tblTargetStatus[[#This Row],[FirstMissingDependencyID]]="","",_xlfn.XLOOKUP(tblTargetStatus[[#This Row],[FirstMissingDependencyID]],tblTargets[TargetID],tblTargets[DisplayName],tblTargetStatus[[#This Row],[FirstMissingDependencyID]]))</f>
        <v>Guild Lv 2</v>
      </c>
      <c r="O44" t="str" cm="1">
        <f t="array" ref="O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coin,500 plank,300 stone,5 spices</v>
      </c>
      <c r="P44" t="str">
        <f>IF(tblTargetStatus[[#This Row],[FirstMissingDependencyID]]="","",_xlfn.XLOOKUP(tblTargetStatus[[#This Row],[FirstMissingDependencyID]],tblTargetStatus[TargetID],tblTargetStatus[Status],""))</f>
        <v>READY</v>
      </c>
      <c r="Q44" t="str">
        <f>IF(
 tblTargetStatus[[#This Row],[Status]]&lt;&gt;"BLOCKED",
 tblTargetStatus[[#This Row],[Status]],
 IF(
  AND(
   tblTargetStatus[[#This Row],[MissingDependencies]]=1,
   tblTargetStatus[[#This Row],[FirstMissingStatus]]="READY"
  ),
  "ONE AWAY",
  "BLOCKED"
 )
)</f>
        <v>BLOCKED</v>
      </c>
      <c r="R44">
        <f>IF(
 OR(
  tblTargetStatus[[#This Row],[StateType]]="CHARACTER",
  RIGHT(tblTargetStatus[[#This Row],[TargetID]],6)=".maxed"
 ),
 0,
 _xlfn.LET(
  _xlpm.sort,
   _xlfn.XLOOKUP(
    tblTargetStatus[[#This Row],[TargetID]],
    tblChecklist[TargetID],
    tblChecklist[PlayerSort],
    0
   ),
  IF(_xlpm.sort=0,500,_xlpm.sort)
 )
)</f>
        <v>25</v>
      </c>
      <c r="S44" t="str" cm="1">
        <f t="array" ref="S4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Food Stall Lv 3, Shogun's Katana Chapter 3 Finished</v>
      </c>
      <c r="T44" t="str">
        <f>_xlfn.XLOOKUP(tblTargetStatus[[#This Row],[TargetID]],tblTargets[TargetID],tblTargets[CompletionMethod],"")</f>
        <v>PLAYER</v>
      </c>
      <c r="U44" t="b">
        <f>COUNTIF(
    tblCost[TargetID],
    tblTargetStatus[[#This Row],[TargetID]]
)&gt;0</f>
        <v>1</v>
      </c>
      <c r="V44" s="81">
        <f>IF(tblTargetStatus[[#This Row],[HasCost]]=FALSE,
"N/A",
_xlfn.XLOOKUP(
tblTargetStatus[[#This Row],[TargetID]],
tblCost[TargetID],
tblCost[FundingPercent],
""
)
)</f>
        <v>0</v>
      </c>
      <c r="W44">
        <f>IF(
COUNTIF(tblCost[TargetID],tblTargetStatus[[#This Row],[TargetID]])=0,
"",
_xlfn.XLOOKUP(
tblTargetStatus[[#This Row],[TargetID]],
tblCost[TargetID],
tblCost[RemainingRequirements],
""
)
)</f>
        <v>5</v>
      </c>
      <c r="X44" s="79" t="b">
        <f>IF(tblTargetStatus[[#This Row],[HasCost]]=FALSE,"N/A",_xlfn.XLOOKUP(
tblTargetStatus[[#This Row],[TargetID]],
tblCost[TargetID],
tblCost[TargetFunded],
TRUE
))</f>
        <v>0</v>
      </c>
      <c r="Y44" t="str" cm="1">
        <f t="array" ref="Y44">_xlfn.TEXTJOIN(
", ",
TRUE,
_xlfn._xlws.FILTER(
tblCost[ResourceID]&amp;": "&amp;tblCost[QuantityRequired],
(tblCost[TargetID]=tblTargetStatus[[#This Row],[TargetID]])*
(tblCost[PlayerPaid]=FALSE),
""
)
)</f>
        <v>ruby: 3, coin: 500, plank: 500, stone: 300, spices: 5</v>
      </c>
      <c r="Z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 t="str" cm="1">
        <f t="array" ref="AA4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5" spans="1:27">
      <c r="A45" t="s">
        <v>60</v>
      </c>
      <c r="B45" t="str">
        <f>_xlfn.XLOOKUP(tblTargetStatus[[#This Row],[TargetID]],tblTargets[TargetID],tblTargets[DisplayName],"")</f>
        <v>Food Stall Lv 3</v>
      </c>
      <c r="C45" t="str">
        <f>IF(tblTargetStatus[[#This Row],[PlayerCompleted]],"COMPLETED",IF(tblTargetStatus[[#This Row],[MissingDependencies]]=0,"READY","BLOCKED"))</f>
        <v>BLOCKED</v>
      </c>
      <c r="D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 t="str">
        <f>_xlfn.XLOOKUP(tblTargetStatus[[#This Row],[TargetID]],tblTargets[TargetID],tblTargets[TargetType],"")</f>
        <v>BUILDING</v>
      </c>
      <c r="F45" t="str">
        <f>_xlfn.XLOOKUP(tblTargetStatus[[#This Row],[TargetID]],tblTargets[TargetID],tblTargets[StateType])</f>
        <v/>
      </c>
      <c r="G45">
        <f>_xlfn.LET(
_xlpm.id,tblTargetStatus[[#This Row],[TargetID]],
_xlpm.depCount,COUNTIF(tblDependencies[TargetID],_xlpm.id),
_xlpm.objCount,COUNTIF(tblQuestObjectives[QuestTargetID],_xlpm.id),
_xlpm.depCount+_xlpm.objCount
)</f>
        <v>1</v>
      </c>
      <c r="H45">
        <f>tblTargetStatus[[#This Row],[DependencyCount]]</f>
        <v>1</v>
      </c>
      <c r="I45" cm="1">
        <f t="array" ref="I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
        <f>tblTargetStatus[[#This Row],[CompletedDependencyCount]]</f>
        <v>0</v>
      </c>
      <c r="K45" t="b">
        <f>tblTargetStatus[[#This Row],[CompletedDependencies]]=tblTargetStatus[[#This Row],[TotalDependencies]]</f>
        <v>0</v>
      </c>
      <c r="L45">
        <f>tblTargetStatus[[#This Row],[TotalDependencies]]-tblTargetStatus[[#This Row],[CompletedDependencies]]</f>
        <v>1</v>
      </c>
      <c r="M45" t="str" cm="1">
        <f t="array" ref="M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building.food_stall@2</v>
      </c>
      <c r="N45" t="str">
        <f>IF(tblTargetStatus[[#This Row],[FirstMissingDependencyID]]="","",_xlfn.XLOOKUP(tblTargetStatus[[#This Row],[FirstMissingDependencyID]],tblTargets[TargetID],tblTargets[DisplayName],tblTargetStatus[[#This Row],[FirstMissingDependencyID]]))</f>
        <v>Food Stall Lv 2</v>
      </c>
      <c r="O45" t="str" cm="1">
        <f t="array" ref="O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ruby,800 coin,600 plank,50 beans,3 spices</v>
      </c>
      <c r="P45" t="str">
        <f>IF(tblTargetStatus[[#This Row],[FirstMissingDependencyID]]="","",_xlfn.XLOOKUP(tblTargetStatus[[#This Row],[FirstMissingDependencyID]],tblTargetStatus[TargetID],tblTargetStatus[Status],""))</f>
        <v>BLOCKED</v>
      </c>
      <c r="Q45" t="str">
        <f>IF(
 tblTargetStatus[[#This Row],[Status]]&lt;&gt;"BLOCKED",
 tblTargetStatus[[#This Row],[Status]],
 IF(
  AND(
   tblTargetStatus[[#This Row],[MissingDependencies]]=1,
   tblTargetStatus[[#This Row],[FirstMissingStatus]]="READY"
  ),
  "ONE AWAY",
  "BLOCKED"
 )
)</f>
        <v>BLOCKED</v>
      </c>
      <c r="R45">
        <f>IF(
 OR(
  tblTargetStatus[[#This Row],[StateType]]="CHARACTER",
  RIGHT(tblTargetStatus[[#This Row],[TargetID]],6)=".maxed"
 ),
 0,
 _xlfn.LET(
  _xlpm.sort,
   _xlfn.XLOOKUP(
    tblTargetStatus[[#This Row],[TargetID]],
    tblChecklist[TargetID],
    tblChecklist[PlayerSort],
    0
   ),
  IF(_xlpm.sort=0,500,_xlpm.sort)
 )
)</f>
        <v>26</v>
      </c>
      <c r="S45" t="str" cm="1">
        <f t="array" ref="S4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Food stall maxed, Guild Supplies, Shogun's Katana Chapter 6 Finished</v>
      </c>
      <c r="T45" t="str">
        <f>_xlfn.XLOOKUP(tblTargetStatus[[#This Row],[TargetID]],tblTargets[TargetID],tblTargets[CompletionMethod],"")</f>
        <v>PLAYER</v>
      </c>
      <c r="U45" t="b">
        <f>COUNTIF(
    tblCost[TargetID],
    tblTargetStatus[[#This Row],[TargetID]]
)&gt;0</f>
        <v>1</v>
      </c>
      <c r="V45" s="81">
        <f>IF(tblTargetStatus[[#This Row],[HasCost]]=FALSE,
"N/A",
_xlfn.XLOOKUP(
tblTargetStatus[[#This Row],[TargetID]],
tblCost[TargetID],
tblCost[FundingPercent],
""
)
)</f>
        <v>0</v>
      </c>
      <c r="W45">
        <f>IF(
COUNTIF(tblCost[TargetID],tblTargetStatus[[#This Row],[TargetID]])=0,
"",
_xlfn.XLOOKUP(
tblTargetStatus[[#This Row],[TargetID]],
tblCost[TargetID],
tblCost[RemainingRequirements],
""
)
)</f>
        <v>5</v>
      </c>
      <c r="X45" s="79" t="b">
        <f>IF(tblTargetStatus[[#This Row],[HasCost]]=FALSE,"N/A",_xlfn.XLOOKUP(
tblTargetStatus[[#This Row],[TargetID]],
tblCost[TargetID],
tblCost[TargetFunded],
TRUE
))</f>
        <v>0</v>
      </c>
      <c r="Y45" t="str" cm="1">
        <f t="array" ref="Y45">_xlfn.TEXTJOIN(
", ",
TRUE,
_xlfn._xlws.FILTER(
tblCost[ResourceID]&amp;": "&amp;tblCost[QuantityRequired],
(tblCost[TargetID]=tblTargetStatus[[#This Row],[TargetID]])*
(tblCost[PlayerPaid]=FALSE),
""
)
)</f>
        <v>ruby: 5, coin: 800, plank: 600, beans: 50, spices: 3</v>
      </c>
      <c r="Z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 t="str" cm="1">
        <f t="array" ref="AA4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6" spans="1:27">
      <c r="A46" t="s">
        <v>2679</v>
      </c>
      <c r="B46" t="str">
        <f>_xlfn.XLOOKUP(tblTargetStatus[[#This Row],[TargetID]],tblTargets[TargetID],tblTargets[DisplayName],"")</f>
        <v>Furnace maxed</v>
      </c>
      <c r="C46" t="str">
        <f>IF(tblTargetStatus[[#This Row],[PlayerCompleted]],"COMPLETED",IF(tblTargetStatus[[#This Row],[MissingDependencies]]=0,"READY","BLOCKED"))</f>
        <v>BLOCKED</v>
      </c>
      <c r="D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 t="str">
        <f>_xlfn.XLOOKUP(tblTargetStatus[[#This Row],[TargetID]],tblTargets[TargetID],tblTargets[TargetType],"")</f>
        <v>BUILDING</v>
      </c>
      <c r="F46" t="str">
        <f>_xlfn.XLOOKUP(tblTargetStatus[[#This Row],[TargetID]],tblTargets[TargetID],tblTargets[StateType])</f>
        <v/>
      </c>
      <c r="G46">
        <f>_xlfn.LET(
_xlpm.id,tblTargetStatus[[#This Row],[TargetID]],
_xlpm.depCount,COUNTIF(tblDependencies[TargetID],_xlpm.id),
_xlpm.objCount,COUNTIF(tblQuestObjectives[QuestTargetID],_xlpm.id),
_xlpm.depCount+_xlpm.objCount
)</f>
        <v>1</v>
      </c>
      <c r="H46">
        <f>tblTargetStatus[[#This Row],[DependencyCount]]</f>
        <v>1</v>
      </c>
      <c r="I46" cm="1">
        <f t="array" ref="I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
        <f>tblTargetStatus[[#This Row],[CompletedDependencyCount]]</f>
        <v>0</v>
      </c>
      <c r="K46" t="b">
        <f>tblTargetStatus[[#This Row],[CompletedDependencies]]=tblTargetStatus[[#This Row],[TotalDependencies]]</f>
        <v>0</v>
      </c>
      <c r="L46">
        <f>tblTargetStatus[[#This Row],[TotalDependencies]]-tblTargetStatus[[#This Row],[CompletedDependencies]]</f>
        <v>1</v>
      </c>
      <c r="M46" t="str" cm="1">
        <f t="array" ref="M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building.furnace@3</v>
      </c>
      <c r="N46" t="str">
        <f>IF(tblTargetStatus[[#This Row],[FirstMissingDependencyID]]="","",_xlfn.XLOOKUP(tblTargetStatus[[#This Row],[FirstMissingDependencyID]],tblTargets[TargetID],tblTargets[DisplayName],tblTargetStatus[[#This Row],[FirstMissingDependencyID]]))</f>
        <v>Furnace Lv 3</v>
      </c>
      <c r="O46" s="2" t="str" cm="1">
        <f t="array" ref="O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 t="str">
        <f>IF(tblTargetStatus[[#This Row],[FirstMissingDependencyID]]="","",_xlfn.XLOOKUP(tblTargetStatus[[#This Row],[FirstMissingDependencyID]],tblTargetStatus[TargetID],tblTargetStatus[Status],""))</f>
        <v>BLOCKED</v>
      </c>
      <c r="Q46" t="str">
        <f>IF(
 tblTargetStatus[[#This Row],[Status]]&lt;&gt;"BLOCKED",
 tblTargetStatus[[#This Row],[Status]],
 IF(
  AND(
   tblTargetStatus[[#This Row],[MissingDependencies]]=1,
   tblTargetStatus[[#This Row],[FirstMissingStatus]]="READY"
  ),
  "ONE AWAY",
  "BLOCKED"
 )
)</f>
        <v>BLOCKED</v>
      </c>
      <c r="R46">
        <f>IF(
 OR(
  tblTargetStatus[[#This Row],[StateType]]="CHARACTER",
  RIGHT(tblTargetStatus[[#This Row],[TargetID]],6)=".maxed"
 ),
 0,
 _xlfn.LET(
  _xlpm.sort,
   _xlfn.XLOOKUP(
    tblTargetStatus[[#This Row],[TargetID]],
    tblChecklist[TargetID],
    tblChecklist[PlayerSort],
    0
   ),
  IF(_xlpm.sort=0,500,_xlpm.sort)
 )
)</f>
        <v>0</v>
      </c>
      <c r="S46" t="str" cm="1">
        <f t="array" ref="S4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Furnace - Conveyor, Furnace - Glass, Furnace - Meteoric Steel, Furnace - Titanium Parts</v>
      </c>
      <c r="T46" t="str">
        <f>_xlfn.XLOOKUP(tblTargetStatus[[#This Row],[TargetID]],tblTargets[TargetID],tblTargets[CompletionMethod],"")</f>
        <v>AUTO</v>
      </c>
      <c r="U46" t="b">
        <f>COUNTIF(
    tblCost[TargetID],
    tblTargetStatus[[#This Row],[TargetID]]
)&gt;0</f>
        <v>0</v>
      </c>
      <c r="V46" s="81" t="str">
        <f>IF(tblTargetStatus[[#This Row],[HasCost]]=FALSE,
"N/A",
_xlfn.XLOOKUP(
tblTargetStatus[[#This Row],[TargetID]],
tblCost[TargetID],
tblCost[FundingPercent],
""
)
)</f>
        <v>N/A</v>
      </c>
      <c r="W46" t="str">
        <f>IF(
COUNTIF(tblCost[TargetID],tblTargetStatus[[#This Row],[TargetID]])=0,
"",
_xlfn.XLOOKUP(
tblTargetStatus[[#This Row],[TargetID]],
tblCost[TargetID],
tblCost[RemainingRequirements],
""
)
)</f>
        <v/>
      </c>
      <c r="X46" s="79" t="str">
        <f>IF(tblTargetStatus[[#This Row],[HasCost]]=FALSE,"N/A",_xlfn.XLOOKUP(
tblTargetStatus[[#This Row],[TargetID]],
tblCost[TargetID],
tblCost[TargetFunded],
TRUE
))</f>
        <v>N/A</v>
      </c>
      <c r="Y46" t="str" cm="1">
        <f t="array" ref="Y46">_xlfn.TEXTJOIN(
", ",
TRUE,
_xlfn._xlws.FILTER(
tblCost[ResourceID]&amp;": "&amp;tblCost[QuantityRequired],
(tblCost[TargetID]=tblTargetStatus[[#This Row],[TargetID]])*
(tblCost[PlayerPaid]=FALSE),
""
)
)</f>
        <v/>
      </c>
      <c r="Z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 t="str" cm="1">
        <f t="array" ref="AA4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7" spans="1:27">
      <c r="A47" t="s">
        <v>61</v>
      </c>
      <c r="B47" t="str">
        <f>_xlfn.XLOOKUP(tblTargetStatus[[#This Row],[TargetID]],tblTargets[TargetID],tblTargets[DisplayName],"")</f>
        <v>Furnace Lv 1</v>
      </c>
      <c r="C47" t="str">
        <f>IF(tblTargetStatus[[#This Row],[PlayerCompleted]],"COMPLETED",IF(tblTargetStatus[[#This Row],[MissingDependencies]]=0,"READY","BLOCKED"))</f>
        <v>BLOCKED</v>
      </c>
      <c r="D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 t="str">
        <f>_xlfn.XLOOKUP(tblTargetStatus[[#This Row],[TargetID]],tblTargets[TargetID],tblTargets[TargetType],"")</f>
        <v>BUILDING</v>
      </c>
      <c r="F47" t="str">
        <f>_xlfn.XLOOKUP(tblTargetStatus[[#This Row],[TargetID]],tblTargets[TargetID],tblTargets[StateType])</f>
        <v/>
      </c>
      <c r="G47">
        <f>_xlfn.LET(
_xlpm.id,tblTargetStatus[[#This Row],[TargetID]],
_xlpm.depCount,COUNTIF(tblDependencies[TargetID],_xlpm.id),
_xlpm.objCount,COUNTIF(tblQuestObjectives[QuestTargetID],_xlpm.id),
_xlpm.depCount+_xlpm.objCount
)</f>
        <v>1</v>
      </c>
      <c r="H47">
        <f>tblTargetStatus[[#This Row],[DependencyCount]]</f>
        <v>1</v>
      </c>
      <c r="I47" cm="1">
        <f t="array" ref="I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
        <f>tblTargetStatus[[#This Row],[CompletedDependencyCount]]</f>
        <v>0</v>
      </c>
      <c r="K47" t="b">
        <f>tblTargetStatus[[#This Row],[CompletedDependencies]]=tblTargetStatus[[#This Row],[TotalDependencies]]</f>
        <v>0</v>
      </c>
      <c r="L47">
        <f>tblTargetStatus[[#This Row],[TotalDependencies]]-tblTargetStatus[[#This Row],[CompletedDependencies]]</f>
        <v>1</v>
      </c>
      <c r="M47" t="str" cm="1">
        <f t="array" ref="M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state.character_level@8</v>
      </c>
      <c r="N47" t="str">
        <f>IF(tblTargetStatus[[#This Row],[FirstMissingDependencyID]]="","",_xlfn.XLOOKUP(tblTargetStatus[[#This Row],[FirstMissingDependencyID]],tblTargets[TargetID],tblTargets[DisplayName],tblTargetStatus[[#This Row],[FirstMissingDependencyID]]))</f>
        <v>Character Level@8</v>
      </c>
      <c r="O47" s="2" t="str" cm="1">
        <f t="array" ref="O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ruby,200 coin,100 wood,100 stone</v>
      </c>
      <c r="P47" t="str">
        <f>IF(tblTargetStatus[[#This Row],[FirstMissingDependencyID]]="","",_xlfn.XLOOKUP(tblTargetStatus[[#This Row],[FirstMissingDependencyID]],tblTargetStatus[TargetID],tblTargetStatus[Status],""))</f>
        <v>READY</v>
      </c>
      <c r="Q47" t="str">
        <f>IF(
 tblTargetStatus[[#This Row],[Status]]&lt;&gt;"BLOCKED",
 tblTargetStatus[[#This Row],[Status]],
 IF(
  AND(
   tblTargetStatus[[#This Row],[MissingDependencies]]=1,
   tblTargetStatus[[#This Row],[FirstMissingStatus]]="READY"
  ),
  "ONE AWAY",
  "BLOCKED"
 )
)</f>
        <v>ONE AWAY</v>
      </c>
      <c r="R47">
        <f>IF(
 OR(
  tblTargetStatus[[#This Row],[StateType]]="CHARACTER",
  RIGHT(tblTargetStatus[[#This Row],[TargetID]],6)=".maxed"
 ),
 0,
 _xlfn.LET(
  _xlpm.sort,
   _xlfn.XLOOKUP(
    tblTargetStatus[[#This Row],[TargetID]],
    tblChecklist[TargetID],
    tblChecklist[PlayerSort],
    0
   ),
  IF(_xlpm.sort=0,500,_xlpm.sort)
 )
)</f>
        <v>10</v>
      </c>
      <c r="S47" t="str" cm="1">
        <f t="array" ref="S4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Furnace Lv 2, Shogun's Katana Chapter 1 Finished</v>
      </c>
      <c r="T47" t="str">
        <f>_xlfn.XLOOKUP(tblTargetStatus[[#This Row],[TargetID]],tblTargets[TargetID],tblTargets[CompletionMethod],"")</f>
        <v>PLAYER</v>
      </c>
      <c r="U47" t="b">
        <f>COUNTIF(
    tblCost[TargetID],
    tblTargetStatus[[#This Row],[TargetID]]
)&gt;0</f>
        <v>1</v>
      </c>
      <c r="V47" s="81">
        <f>IF(tblTargetStatus[[#This Row],[HasCost]]=FALSE,
"N/A",
_xlfn.XLOOKUP(
tblTargetStatus[[#This Row],[TargetID]],
tblCost[TargetID],
tblCost[FundingPercent],
""
)
)</f>
        <v>0</v>
      </c>
      <c r="W47">
        <f>IF(
COUNTIF(tblCost[TargetID],tblTargetStatus[[#This Row],[TargetID]])=0,
"",
_xlfn.XLOOKUP(
tblTargetStatus[[#This Row],[TargetID]],
tblCost[TargetID],
tblCost[RemainingRequirements],
""
)
)</f>
        <v>4</v>
      </c>
      <c r="X47" s="79" t="b">
        <f>IF(tblTargetStatus[[#This Row],[HasCost]]=FALSE,"N/A",_xlfn.XLOOKUP(
tblTargetStatus[[#This Row],[TargetID]],
tblCost[TargetID],
tblCost[TargetFunded],
TRUE
))</f>
        <v>0</v>
      </c>
      <c r="Y47" t="str" cm="1">
        <f t="array" ref="Y47">_xlfn.TEXTJOIN(
", ",
TRUE,
_xlfn._xlws.FILTER(
tblCost[ResourceID]&amp;": "&amp;tblCost[QuantityRequired],
(tblCost[TargetID]=tblTargetStatus[[#This Row],[TargetID]])*
(tblCost[PlayerPaid]=FALSE),
""
)
)</f>
        <v>ruby: 1, coin: 200, wood: 100, stone: 100</v>
      </c>
      <c r="Z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 t="str" cm="1">
        <f t="array" ref="AA4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 spans="1:27">
      <c r="A48" t="s">
        <v>63</v>
      </c>
      <c r="B48" t="str">
        <f>_xlfn.XLOOKUP(tblTargetStatus[[#This Row],[TargetID]],tblTargets[TargetID],tblTargets[DisplayName],"")</f>
        <v>Furnace Lv 2</v>
      </c>
      <c r="C48" t="str">
        <f>IF(tblTargetStatus[[#This Row],[PlayerCompleted]],"COMPLETED",IF(tblTargetStatus[[#This Row],[MissingDependencies]]=0,"READY","BLOCKED"))</f>
        <v>BLOCKED</v>
      </c>
      <c r="D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 t="str">
        <f>_xlfn.XLOOKUP(tblTargetStatus[[#This Row],[TargetID]],tblTargets[TargetID],tblTargets[TargetType],"")</f>
        <v>BUILDING</v>
      </c>
      <c r="F48" t="str">
        <f>_xlfn.XLOOKUP(tblTargetStatus[[#This Row],[TargetID]],tblTargets[TargetID],tblTargets[StateType])</f>
        <v/>
      </c>
      <c r="G48">
        <f>_xlfn.LET(
_xlpm.id,tblTargetStatus[[#This Row],[TargetID]],
_xlpm.depCount,COUNTIF(tblDependencies[TargetID],_xlpm.id),
_xlpm.objCount,COUNTIF(tblQuestObjectives[QuestTargetID],_xlpm.id),
_xlpm.depCount+_xlpm.objCount
)</f>
        <v>1</v>
      </c>
      <c r="H48">
        <f>tblTargetStatus[[#This Row],[DependencyCount]]</f>
        <v>1</v>
      </c>
      <c r="I48" cm="1">
        <f t="array" ref="I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
        <f>tblTargetStatus[[#This Row],[CompletedDependencyCount]]</f>
        <v>0</v>
      </c>
      <c r="K48" t="b">
        <f>tblTargetStatus[[#This Row],[CompletedDependencies]]=tblTargetStatus[[#This Row],[TotalDependencies]]</f>
        <v>0</v>
      </c>
      <c r="L48">
        <f>tblTargetStatus[[#This Row],[TotalDependencies]]-tblTargetStatus[[#This Row],[CompletedDependencies]]</f>
        <v>1</v>
      </c>
      <c r="M48" t="str" cm="1">
        <f t="array" ref="M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building.furnace@1</v>
      </c>
      <c r="N48" t="str">
        <f>IF(tblTargetStatus[[#This Row],[FirstMissingDependencyID]]="","",_xlfn.XLOOKUP(tblTargetStatus[[#This Row],[FirstMissingDependencyID]],tblTargets[TargetID],tblTargets[DisplayName],tblTargetStatus[[#This Row],[FirstMissingDependencyID]]))</f>
        <v>Furnace Lv 1</v>
      </c>
      <c r="O48" t="str" cm="1">
        <f t="array" ref="O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coin,400 beam,200 stone,20 steel</v>
      </c>
      <c r="P48" t="str">
        <f>IF(tblTargetStatus[[#This Row],[FirstMissingDependencyID]]="","",_xlfn.XLOOKUP(tblTargetStatus[[#This Row],[FirstMissingDependencyID]],tblTargetStatus[TargetID],tblTargetStatus[Status],""))</f>
        <v>BLOCKED</v>
      </c>
      <c r="Q48" t="str">
        <f>IF(
 tblTargetStatus[[#This Row],[Status]]&lt;&gt;"BLOCKED",
 tblTargetStatus[[#This Row],[Status]],
 IF(
  AND(
   tblTargetStatus[[#This Row],[MissingDependencies]]=1,
   tblTargetStatus[[#This Row],[FirstMissingStatus]]="READY"
  ),
  "ONE AWAY",
  "BLOCKED"
 )
)</f>
        <v>BLOCKED</v>
      </c>
      <c r="R48">
        <f>IF(
 OR(
  tblTargetStatus[[#This Row],[StateType]]="CHARACTER",
  RIGHT(tblTargetStatus[[#This Row],[TargetID]],6)=".maxed"
 ),
 0,
 _xlfn.LET(
  _xlpm.sort,
   _xlfn.XLOOKUP(
    tblTargetStatus[[#This Row],[TargetID]],
    tblChecklist[TargetID],
    tblChecklist[PlayerSort],
    0
   ),
  IF(_xlpm.sort=0,500,_xlpm.sort)
 )
)</f>
        <v>11</v>
      </c>
      <c r="S48" t="str" cm="1">
        <f t="array" ref="S4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Furnace Lv 3</v>
      </c>
      <c r="T48" t="str">
        <f>_xlfn.XLOOKUP(tblTargetStatus[[#This Row],[TargetID]],tblTargets[TargetID],tblTargets[CompletionMethod],"")</f>
        <v>PLAYER</v>
      </c>
      <c r="U48" t="b">
        <f>COUNTIF(
    tblCost[TargetID],
    tblTargetStatus[[#This Row],[TargetID]]
)&gt;0</f>
        <v>1</v>
      </c>
      <c r="V48" s="81">
        <f>IF(tblTargetStatus[[#This Row],[HasCost]]=FALSE,
"N/A",
_xlfn.XLOOKUP(
tblTargetStatus[[#This Row],[TargetID]],
tblCost[TargetID],
tblCost[FundingPercent],
""
)
)</f>
        <v>0</v>
      </c>
      <c r="W48">
        <f>IF(
COUNTIF(tblCost[TargetID],tblTargetStatus[[#This Row],[TargetID]])=0,
"",
_xlfn.XLOOKUP(
tblTargetStatus[[#This Row],[TargetID]],
tblCost[TargetID],
tblCost[RemainingRequirements],
""
)
)</f>
        <v>5</v>
      </c>
      <c r="X48" s="79" t="b">
        <f>IF(tblTargetStatus[[#This Row],[HasCost]]=FALSE,"N/A",_xlfn.XLOOKUP(
tblTargetStatus[[#This Row],[TargetID]],
tblCost[TargetID],
tblCost[TargetFunded],
TRUE
))</f>
        <v>0</v>
      </c>
      <c r="Y48" t="str" cm="1">
        <f t="array" ref="Y48">_xlfn.TEXTJOIN(
", ",
TRUE,
_xlfn._xlws.FILTER(
tblCost[ResourceID]&amp;": "&amp;tblCost[QuantityRequired],
(tblCost[TargetID]=tblTargetStatus[[#This Row],[TargetID]])*
(tblCost[PlayerPaid]=FALSE),
""
)
)</f>
        <v>ruby: 3, coin: 500, beam: 400, stone: 200, steel: 20</v>
      </c>
      <c r="Z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 t="str" cm="1">
        <f t="array" ref="AA4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 spans="1:27">
      <c r="A49" t="s">
        <v>64</v>
      </c>
      <c r="B49" t="str">
        <f>_xlfn.XLOOKUP(tblTargetStatus[[#This Row],[TargetID]],tblTargets[TargetID],tblTargets[DisplayName],"")</f>
        <v>Furnace Lv 3</v>
      </c>
      <c r="C49" t="str">
        <f>IF(tblTargetStatus[[#This Row],[PlayerCompleted]],"COMPLETED",IF(tblTargetStatus[[#This Row],[MissingDependencies]]=0,"READY","BLOCKED"))</f>
        <v>BLOCKED</v>
      </c>
      <c r="D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 t="str">
        <f>_xlfn.XLOOKUP(tblTargetStatus[[#This Row],[TargetID]],tblTargets[TargetID],tblTargets[TargetType],"")</f>
        <v>BUILDING</v>
      </c>
      <c r="F49" t="str">
        <f>_xlfn.XLOOKUP(tblTargetStatus[[#This Row],[TargetID]],tblTargets[TargetID],tblTargets[StateType])</f>
        <v/>
      </c>
      <c r="G49">
        <f>_xlfn.LET(
_xlpm.id,tblTargetStatus[[#This Row],[TargetID]],
_xlpm.depCount,COUNTIF(tblDependencies[TargetID],_xlpm.id),
_xlpm.objCount,COUNTIF(tblQuestObjectives[QuestTargetID],_xlpm.id),
_xlpm.depCount+_xlpm.objCount
)</f>
        <v>1</v>
      </c>
      <c r="H49">
        <f>tblTargetStatus[[#This Row],[DependencyCount]]</f>
        <v>1</v>
      </c>
      <c r="I49" cm="1">
        <f t="array" ref="I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
        <f>tblTargetStatus[[#This Row],[CompletedDependencyCount]]</f>
        <v>0</v>
      </c>
      <c r="K49" t="b">
        <f>tblTargetStatus[[#This Row],[CompletedDependencies]]=tblTargetStatus[[#This Row],[TotalDependencies]]</f>
        <v>0</v>
      </c>
      <c r="L49">
        <f>tblTargetStatus[[#This Row],[TotalDependencies]]-tblTargetStatus[[#This Row],[CompletedDependencies]]</f>
        <v>1</v>
      </c>
      <c r="M49" t="str" cm="1">
        <f t="array" ref="M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building.furnace@2</v>
      </c>
      <c r="N49" t="str">
        <f>IF(tblTargetStatus[[#This Row],[FirstMissingDependencyID]]="","",_xlfn.XLOOKUP(tblTargetStatus[[#This Row],[FirstMissingDependencyID]],tblTargets[TargetID],tblTargets[DisplayName],tblTargetStatus[[#This Row],[FirstMissingDependencyID]]))</f>
        <v>Furnace Lv 2</v>
      </c>
      <c r="O49" t="str" cm="1">
        <f t="array" ref="O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ruby,800 coin,600 plank,300 stone,50 steel</v>
      </c>
      <c r="P49" t="str">
        <f>IF(tblTargetStatus[[#This Row],[FirstMissingDependencyID]]="","",_xlfn.XLOOKUP(tblTargetStatus[[#This Row],[FirstMissingDependencyID]],tblTargetStatus[TargetID],tblTargetStatus[Status],""))</f>
        <v>BLOCKED</v>
      </c>
      <c r="Q49" t="str">
        <f>IF(
 tblTargetStatus[[#This Row],[Status]]&lt;&gt;"BLOCKED",
 tblTargetStatus[[#This Row],[Status]],
 IF(
  AND(
   tblTargetStatus[[#This Row],[MissingDependencies]]=1,
   tblTargetStatus[[#This Row],[FirstMissingStatus]]="READY"
  ),
  "ONE AWAY",
  "BLOCKED"
 )
)</f>
        <v>BLOCKED</v>
      </c>
      <c r="R49">
        <f>IF(
 OR(
  tblTargetStatus[[#This Row],[StateType]]="CHARACTER",
  RIGHT(tblTargetStatus[[#This Row],[TargetID]],6)=".maxed"
 ),
 0,
 _xlfn.LET(
  _xlpm.sort,
   _xlfn.XLOOKUP(
    tblTargetStatus[[#This Row],[TargetID]],
    tblChecklist[TargetID],
    tblChecklist[PlayerSort],
    0
   ),
  IF(_xlpm.sort=0,500,_xlpm.sort)
 )
)</f>
        <v>46</v>
      </c>
      <c r="S49" t="str" cm="1">
        <f t="array" ref="S4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Furnace maxed, Hotei Statuette</v>
      </c>
      <c r="T49" t="str">
        <f>_xlfn.XLOOKUP(tblTargetStatus[[#This Row],[TargetID]],tblTargets[TargetID],tblTargets[CompletionMethod],"")</f>
        <v>PLAYER</v>
      </c>
      <c r="U49" t="b">
        <f>COUNTIF(
    tblCost[TargetID],
    tblTargetStatus[[#This Row],[TargetID]]
)&gt;0</f>
        <v>1</v>
      </c>
      <c r="V49" s="81">
        <f>IF(tblTargetStatus[[#This Row],[HasCost]]=FALSE,
"N/A",
_xlfn.XLOOKUP(
tblTargetStatus[[#This Row],[TargetID]],
tblCost[TargetID],
tblCost[FundingPercent],
""
)
)</f>
        <v>0</v>
      </c>
      <c r="W49">
        <f>IF(
COUNTIF(tblCost[TargetID],tblTargetStatus[[#This Row],[TargetID]])=0,
"",
_xlfn.XLOOKUP(
tblTargetStatus[[#This Row],[TargetID]],
tblCost[TargetID],
tblCost[RemainingRequirements],
""
)
)</f>
        <v>5</v>
      </c>
      <c r="X49" s="79" t="b">
        <f>IF(tblTargetStatus[[#This Row],[HasCost]]=FALSE,"N/A",_xlfn.XLOOKUP(
tblTargetStatus[[#This Row],[TargetID]],
tblCost[TargetID],
tblCost[TargetFunded],
TRUE
))</f>
        <v>0</v>
      </c>
      <c r="Y49" t="str" cm="1">
        <f t="array" ref="Y49">_xlfn.TEXTJOIN(
", ",
TRUE,
_xlfn._xlws.FILTER(
tblCost[ResourceID]&amp;": "&amp;tblCost[QuantityRequired],
(tblCost[TargetID]=tblTargetStatus[[#This Row],[TargetID]])*
(tblCost[PlayerPaid]=FALSE),
""
)
)</f>
        <v>ruby: 5, coin: 800, plank: 600, stone: 300, steel: 50</v>
      </c>
      <c r="Z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 t="str" cm="1">
        <f t="array" ref="AA4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0" spans="1:27">
      <c r="A50" t="s">
        <v>2680</v>
      </c>
      <c r="B50" t="str">
        <f>_xlfn.XLOOKUP(tblTargetStatus[[#This Row],[TargetID]],tblTargets[TargetID],tblTargets[DisplayName],"")</f>
        <v>Garden maxed</v>
      </c>
      <c r="C50" t="str">
        <f>IF(tblTargetStatus[[#This Row],[PlayerCompleted]],"COMPLETED",IF(tblTargetStatus[[#This Row],[MissingDependencies]]=0,"READY","BLOCKED"))</f>
        <v>BLOCKED</v>
      </c>
      <c r="D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 t="str">
        <f>_xlfn.XLOOKUP(tblTargetStatus[[#This Row],[TargetID]],tblTargets[TargetID],tblTargets[TargetType],"")</f>
        <v>BUILDING</v>
      </c>
      <c r="F50" t="str">
        <f>_xlfn.XLOOKUP(tblTargetStatus[[#This Row],[TargetID]],tblTargets[TargetID],tblTargets[StateType])</f>
        <v/>
      </c>
      <c r="G50">
        <f>_xlfn.LET(
_xlpm.id,tblTargetStatus[[#This Row],[TargetID]],
_xlpm.depCount,COUNTIF(tblDependencies[TargetID],_xlpm.id),
_xlpm.objCount,COUNTIF(tblQuestObjectives[QuestTargetID],_xlpm.id),
_xlpm.depCount+_xlpm.objCount
)</f>
        <v>1</v>
      </c>
      <c r="H50">
        <f>tblTargetStatus[[#This Row],[DependencyCount]]</f>
        <v>1</v>
      </c>
      <c r="I50" cm="1">
        <f t="array" ref="I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
        <f>tblTargetStatus[[#This Row],[CompletedDependencyCount]]</f>
        <v>0</v>
      </c>
      <c r="K50" t="b">
        <f>tblTargetStatus[[#This Row],[CompletedDependencies]]=tblTargetStatus[[#This Row],[TotalDependencies]]</f>
        <v>0</v>
      </c>
      <c r="L50">
        <f>tblTargetStatus[[#This Row],[TotalDependencies]]-tblTargetStatus[[#This Row],[CompletedDependencies]]</f>
        <v>1</v>
      </c>
      <c r="M50" t="str" cm="1">
        <f t="array" ref="M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building.garden@3</v>
      </c>
      <c r="N50" t="str">
        <f>IF(tblTargetStatus[[#This Row],[FirstMissingDependencyID]]="","",_xlfn.XLOOKUP(tblTargetStatus[[#This Row],[FirstMissingDependencyID]],tblTargets[TargetID],tblTargets[DisplayName],tblTargetStatus[[#This Row],[FirstMissingDependencyID]]))</f>
        <v>Garden Lv 3</v>
      </c>
      <c r="O50" s="2" t="str" cm="1">
        <f t="array" ref="O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 t="str">
        <f>IF(tblTargetStatus[[#This Row],[FirstMissingDependencyID]]="","",_xlfn.XLOOKUP(tblTargetStatus[[#This Row],[FirstMissingDependencyID]],tblTargetStatus[TargetID],tblTargetStatus[Status],""))</f>
        <v>BLOCKED</v>
      </c>
      <c r="Q50" t="str">
        <f>IF(
 tblTargetStatus[[#This Row],[Status]]&lt;&gt;"BLOCKED",
 tblTargetStatus[[#This Row],[Status]],
 IF(
  AND(
   tblTargetStatus[[#This Row],[MissingDependencies]]=1,
   tblTargetStatus[[#This Row],[FirstMissingStatus]]="READY"
  ),
  "ONE AWAY",
  "BLOCKED"
 )
)</f>
        <v>BLOCKED</v>
      </c>
      <c r="R50">
        <f>IF(
 OR(
  tblTargetStatus[[#This Row],[StateType]]="CHARACTER",
  RIGHT(tblTargetStatus[[#This Row],[TargetID]],6)=".maxed"
 ),
 0,
 _xlfn.LET(
  _xlpm.sort,
   _xlfn.XLOOKUP(
    tblTargetStatus[[#This Row],[TargetID]],
    tblChecklist[TargetID],
    tblChecklist[PlayerSort],
    0
   ),
  IF(_xlpm.sort=0,500,_xlpm.sort)
 )
)</f>
        <v>0</v>
      </c>
      <c r="S50" t="str" cm="1">
        <f t="array" ref="S5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Garden - Sprinkler</v>
      </c>
      <c r="T50" t="str">
        <f>_xlfn.XLOOKUP(tblTargetStatus[[#This Row],[TargetID]],tblTargets[TargetID],tblTargets[CompletionMethod],"")</f>
        <v>AUTO</v>
      </c>
      <c r="U50" t="b">
        <f>COUNTIF(
    tblCost[TargetID],
    tblTargetStatus[[#This Row],[TargetID]]
)&gt;0</f>
        <v>0</v>
      </c>
      <c r="V50" s="81" t="str">
        <f>IF(tblTargetStatus[[#This Row],[HasCost]]=FALSE,
"N/A",
_xlfn.XLOOKUP(
tblTargetStatus[[#This Row],[TargetID]],
tblCost[TargetID],
tblCost[FundingPercent],
""
)
)</f>
        <v>N/A</v>
      </c>
      <c r="W50" t="str">
        <f>IF(
COUNTIF(tblCost[TargetID],tblTargetStatus[[#This Row],[TargetID]])=0,
"",
_xlfn.XLOOKUP(
tblTargetStatus[[#This Row],[TargetID]],
tblCost[TargetID],
tblCost[RemainingRequirements],
""
)
)</f>
        <v/>
      </c>
      <c r="X50" s="79" t="str">
        <f>IF(tblTargetStatus[[#This Row],[HasCost]]=FALSE,"N/A",_xlfn.XLOOKUP(
tblTargetStatus[[#This Row],[TargetID]],
tblCost[TargetID],
tblCost[TargetFunded],
TRUE
))</f>
        <v>N/A</v>
      </c>
      <c r="Y50" t="str" cm="1">
        <f t="array" ref="Y50">_xlfn.TEXTJOIN(
", ",
TRUE,
_xlfn._xlws.FILTER(
tblCost[ResourceID]&amp;": "&amp;tblCost[QuantityRequired],
(tblCost[TargetID]=tblTargetStatus[[#This Row],[TargetID]])*
(tblCost[PlayerPaid]=FALSE),
""
)
)</f>
        <v/>
      </c>
      <c r="Z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 t="str" cm="1">
        <f t="array" ref="AA5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 spans="1:27">
      <c r="A51" t="s">
        <v>65</v>
      </c>
      <c r="B51" t="str">
        <f>_xlfn.XLOOKUP(tblTargetStatus[[#This Row],[TargetID]],tblTargets[TargetID],tblTargets[DisplayName],"")</f>
        <v>Garden Lv 1</v>
      </c>
      <c r="C51" t="str">
        <f>IF(tblTargetStatus[[#This Row],[PlayerCompleted]],"COMPLETED",IF(tblTargetStatus[[#This Row],[MissingDependencies]]=0,"READY","BLOCKED"))</f>
        <v>BLOCKED</v>
      </c>
      <c r="D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 t="str">
        <f>_xlfn.XLOOKUP(tblTargetStatus[[#This Row],[TargetID]],tblTargets[TargetID],tblTargets[TargetType],"")</f>
        <v>BUILDING</v>
      </c>
      <c r="F51" t="str">
        <f>_xlfn.XLOOKUP(tblTargetStatus[[#This Row],[TargetID]],tblTargets[TargetID],tblTargets[StateType])</f>
        <v/>
      </c>
      <c r="G51">
        <f>_xlfn.LET(
_xlpm.id,tblTargetStatus[[#This Row],[TargetID]],
_xlpm.depCount,COUNTIF(tblDependencies[TargetID],_xlpm.id),
_xlpm.objCount,COUNTIF(tblQuestObjectives[QuestTargetID],_xlpm.id),
_xlpm.depCount+_xlpm.objCount
)</f>
        <v>1</v>
      </c>
      <c r="H51">
        <f>tblTargetStatus[[#This Row],[DependencyCount]]</f>
        <v>1</v>
      </c>
      <c r="I51" cm="1">
        <f t="array" ref="I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
        <f>tblTargetStatus[[#This Row],[CompletedDependencyCount]]</f>
        <v>0</v>
      </c>
      <c r="K51" t="b">
        <f>tblTargetStatus[[#This Row],[CompletedDependencies]]=tblTargetStatus[[#This Row],[TotalDependencies]]</f>
        <v>0</v>
      </c>
      <c r="L51">
        <f>tblTargetStatus[[#This Row],[TotalDependencies]]-tblTargetStatus[[#This Row],[CompletedDependencies]]</f>
        <v>1</v>
      </c>
      <c r="M51" t="str" cm="1">
        <f t="array" ref="M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state.character_level@12</v>
      </c>
      <c r="N51" t="str">
        <f>IF(tblTargetStatus[[#This Row],[FirstMissingDependencyID]]="","",_xlfn.XLOOKUP(tblTargetStatus[[#This Row],[FirstMissingDependencyID]],tblTargets[TargetID],tblTargets[DisplayName],tblTargetStatus[[#This Row],[FirstMissingDependencyID]]))</f>
        <v>Character Level@12</v>
      </c>
      <c r="O51" s="2" t="str" cm="1">
        <f t="array" ref="O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ruby,400 coin,200 wood,100 stone</v>
      </c>
      <c r="P51" t="str">
        <f>IF(tblTargetStatus[[#This Row],[FirstMissingDependencyID]]="","",_xlfn.XLOOKUP(tblTargetStatus[[#This Row],[FirstMissingDependencyID]],tblTargetStatus[TargetID],tblTargetStatus[Status],""))</f>
        <v>READY</v>
      </c>
      <c r="Q51" t="str">
        <f>IF(
 tblTargetStatus[[#This Row],[Status]]&lt;&gt;"BLOCKED",
 tblTargetStatus[[#This Row],[Status]],
 IF(
  AND(
   tblTargetStatus[[#This Row],[MissingDependencies]]=1,
   tblTargetStatus[[#This Row],[FirstMissingStatus]]="READY"
  ),
  "ONE AWAY",
  "BLOCKED"
 )
)</f>
        <v>ONE AWAY</v>
      </c>
      <c r="R51">
        <f>IF(
 OR(
  tblTargetStatus[[#This Row],[StateType]]="CHARACTER",
  RIGHT(tblTargetStatus[[#This Row],[TargetID]],6)=".maxed"
 ),
 0,
 _xlfn.LET(
  _xlpm.sort,
   _xlfn.XLOOKUP(
    tblTargetStatus[[#This Row],[TargetID]],
    tblChecklist[TargetID],
    tblChecklist[PlayerSort],
    0
   ),
  IF(_xlpm.sort=0,500,_xlpm.sort)
 )
)</f>
        <v>86</v>
      </c>
      <c r="S51" t="str" cm="1">
        <f t="array" ref="S5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Garden Lv 2</v>
      </c>
      <c r="T51" t="str">
        <f>_xlfn.XLOOKUP(tblTargetStatus[[#This Row],[TargetID]],tblTargets[TargetID],tblTargets[CompletionMethod],"")</f>
        <v>PLAYER</v>
      </c>
      <c r="U51" t="b">
        <f>COUNTIF(
    tblCost[TargetID],
    tblTargetStatus[[#This Row],[TargetID]]
)&gt;0</f>
        <v>1</v>
      </c>
      <c r="V51" s="81">
        <f>IF(tblTargetStatus[[#This Row],[HasCost]]=FALSE,
"N/A",
_xlfn.XLOOKUP(
tblTargetStatus[[#This Row],[TargetID]],
tblCost[TargetID],
tblCost[FundingPercent],
""
)
)</f>
        <v>0</v>
      </c>
      <c r="W51">
        <f>IF(
COUNTIF(tblCost[TargetID],tblTargetStatus[[#This Row],[TargetID]])=0,
"",
_xlfn.XLOOKUP(
tblTargetStatus[[#This Row],[TargetID]],
tblCost[TargetID],
tblCost[RemainingRequirements],
""
)
)</f>
        <v>4</v>
      </c>
      <c r="X51" s="79" t="b">
        <f>IF(tblTargetStatus[[#This Row],[HasCost]]=FALSE,"N/A",_xlfn.XLOOKUP(
tblTargetStatus[[#This Row],[TargetID]],
tblCost[TargetID],
tblCost[TargetFunded],
TRUE
))</f>
        <v>0</v>
      </c>
      <c r="Y51" t="str" cm="1">
        <f t="array" ref="Y51">_xlfn.TEXTJOIN(
", ",
TRUE,
_xlfn._xlws.FILTER(
tblCost[ResourceID]&amp;": "&amp;tblCost[QuantityRequired],
(tblCost[TargetID]=tblTargetStatus[[#This Row],[TargetID]])*
(tblCost[PlayerPaid]=FALSE),
""
)
)</f>
        <v>ruby: 1, coin: 400, wood: 200, stone: 100</v>
      </c>
      <c r="Z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 t="str" cm="1">
        <f t="array" ref="AA5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 spans="1:27">
      <c r="A52" t="s">
        <v>67</v>
      </c>
      <c r="B52" t="str">
        <f>_xlfn.XLOOKUP(tblTargetStatus[[#This Row],[TargetID]],tblTargets[TargetID],tblTargets[DisplayName],"")</f>
        <v>Garden Lv 2</v>
      </c>
      <c r="C52" t="str">
        <f>IF(tblTargetStatus[[#This Row],[PlayerCompleted]],"COMPLETED",IF(tblTargetStatus[[#This Row],[MissingDependencies]]=0,"READY","BLOCKED"))</f>
        <v>BLOCKED</v>
      </c>
      <c r="D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 t="str">
        <f>_xlfn.XLOOKUP(tblTargetStatus[[#This Row],[TargetID]],tblTargets[TargetID],tblTargets[TargetType],"")</f>
        <v>BUILDING</v>
      </c>
      <c r="F52" t="str">
        <f>_xlfn.XLOOKUP(tblTargetStatus[[#This Row],[TargetID]],tblTargets[TargetID],tblTargets[StateType])</f>
        <v/>
      </c>
      <c r="G52">
        <f>_xlfn.LET(
_xlpm.id,tblTargetStatus[[#This Row],[TargetID]],
_xlpm.depCount,COUNTIF(tblDependencies[TargetID],_xlpm.id),
_xlpm.objCount,COUNTIF(tblQuestObjectives[QuestTargetID],_xlpm.id),
_xlpm.depCount+_xlpm.objCount
)</f>
        <v>1</v>
      </c>
      <c r="H52">
        <f>tblTargetStatus[[#This Row],[DependencyCount]]</f>
        <v>1</v>
      </c>
      <c r="I52" cm="1">
        <f t="array" ref="I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
        <f>tblTargetStatus[[#This Row],[CompletedDependencyCount]]</f>
        <v>0</v>
      </c>
      <c r="K52" t="b">
        <f>tblTargetStatus[[#This Row],[CompletedDependencies]]=tblTargetStatus[[#This Row],[TotalDependencies]]</f>
        <v>0</v>
      </c>
      <c r="L52">
        <f>tblTargetStatus[[#This Row],[TotalDependencies]]-tblTargetStatus[[#This Row],[CompletedDependencies]]</f>
        <v>1</v>
      </c>
      <c r="M52" t="str" cm="1">
        <f t="array" ref="M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building.garden@1</v>
      </c>
      <c r="N52" t="str">
        <f>IF(tblTargetStatus[[#This Row],[FirstMissingDependencyID]]="","",_xlfn.XLOOKUP(tblTargetStatus[[#This Row],[FirstMissingDependencyID]],tblTargets[TargetID],tblTargets[DisplayName],tblTargetStatus[[#This Row],[FirstMissingDependencyID]]))</f>
        <v>Garden Lv 1</v>
      </c>
      <c r="O52" s="2" t="str" cm="1">
        <f t="array" ref="O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ruby,600 coin,300 wood,150 stone</v>
      </c>
      <c r="P52" t="str">
        <f>IF(tblTargetStatus[[#This Row],[FirstMissingDependencyID]]="","",_xlfn.XLOOKUP(tblTargetStatus[[#This Row],[FirstMissingDependencyID]],tblTargetStatus[TargetID],tblTargetStatus[Status],""))</f>
        <v>BLOCKED</v>
      </c>
      <c r="Q52" t="str">
        <f>IF(
 tblTargetStatus[[#This Row],[Status]]&lt;&gt;"BLOCKED",
 tblTargetStatus[[#This Row],[Status]],
 IF(
  AND(
   tblTargetStatus[[#This Row],[MissingDependencies]]=1,
   tblTargetStatus[[#This Row],[FirstMissingStatus]]="READY"
  ),
  "ONE AWAY",
  "BLOCKED"
 )
)</f>
        <v>BLOCKED</v>
      </c>
      <c r="R52">
        <f>IF(
 OR(
  tblTargetStatus[[#This Row],[StateType]]="CHARACTER",
  RIGHT(tblTargetStatus[[#This Row],[TargetID]],6)=".maxed"
 ),
 0,
 _xlfn.LET(
  _xlpm.sort,
   _xlfn.XLOOKUP(
    tblTargetStatus[[#This Row],[TargetID]],
    tblChecklist[TargetID],
    tblChecklist[PlayerSort],
    0
   ),
  IF(_xlpm.sort=0,500,_xlpm.sort)
 )
)</f>
        <v>87</v>
      </c>
      <c r="S52" t="str" cm="1">
        <f t="array" ref="S5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Garden Lv 3</v>
      </c>
      <c r="T52" t="str">
        <f>_xlfn.XLOOKUP(tblTargetStatus[[#This Row],[TargetID]],tblTargets[TargetID],tblTargets[CompletionMethod],"")</f>
        <v>PLAYER</v>
      </c>
      <c r="U52" t="b">
        <f>COUNTIF(
    tblCost[TargetID],
    tblTargetStatus[[#This Row],[TargetID]]
)&gt;0</f>
        <v>1</v>
      </c>
      <c r="V52" s="81">
        <f>IF(tblTargetStatus[[#This Row],[HasCost]]=FALSE,
"N/A",
_xlfn.XLOOKUP(
tblTargetStatus[[#This Row],[TargetID]],
tblCost[TargetID],
tblCost[FundingPercent],
""
)
)</f>
        <v>0</v>
      </c>
      <c r="W52">
        <f>IF(
COUNTIF(tblCost[TargetID],tblTargetStatus[[#This Row],[TargetID]])=0,
"",
_xlfn.XLOOKUP(
tblTargetStatus[[#This Row],[TargetID]],
tblCost[TargetID],
tblCost[RemainingRequirements],
""
)
)</f>
        <v>4</v>
      </c>
      <c r="X52" s="79" t="b">
        <f>IF(tblTargetStatus[[#This Row],[HasCost]]=FALSE,"N/A",_xlfn.XLOOKUP(
tblTargetStatus[[#This Row],[TargetID]],
tblCost[TargetID],
tblCost[TargetFunded],
TRUE
))</f>
        <v>0</v>
      </c>
      <c r="Y52" t="str" cm="1">
        <f t="array" ref="Y52">_xlfn.TEXTJOIN(
", ",
TRUE,
_xlfn._xlws.FILTER(
tblCost[ResourceID]&amp;": "&amp;tblCost[QuantityRequired],
(tblCost[TargetID]=tblTargetStatus[[#This Row],[TargetID]])*
(tblCost[PlayerPaid]=FALSE),
""
)
)</f>
        <v>ruby: 2, coin: 600, wood: 300, stone: 150</v>
      </c>
      <c r="Z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 t="str" cm="1">
        <f t="array" ref="AA5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 spans="1:27">
      <c r="A53" t="s">
        <v>68</v>
      </c>
      <c r="B53" t="str">
        <f>_xlfn.XLOOKUP(tblTargetStatus[[#This Row],[TargetID]],tblTargets[TargetID],tblTargets[DisplayName],"")</f>
        <v>Garden Lv 3</v>
      </c>
      <c r="C53" t="str">
        <f>IF(tblTargetStatus[[#This Row],[PlayerCompleted]],"COMPLETED",IF(tblTargetStatus[[#This Row],[MissingDependencies]]=0,"READY","BLOCKED"))</f>
        <v>BLOCKED</v>
      </c>
      <c r="D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 t="str">
        <f>_xlfn.XLOOKUP(tblTargetStatus[[#This Row],[TargetID]],tblTargets[TargetID],tblTargets[TargetType],"")</f>
        <v>BUILDING</v>
      </c>
      <c r="F53" t="str">
        <f>_xlfn.XLOOKUP(tblTargetStatus[[#This Row],[TargetID]],tblTargets[TargetID],tblTargets[StateType])</f>
        <v/>
      </c>
      <c r="G53">
        <f>_xlfn.LET(
_xlpm.id,tblTargetStatus[[#This Row],[TargetID]],
_xlpm.depCount,COUNTIF(tblDependencies[TargetID],_xlpm.id),
_xlpm.objCount,COUNTIF(tblQuestObjectives[QuestTargetID],_xlpm.id),
_xlpm.depCount+_xlpm.objCount
)</f>
        <v>1</v>
      </c>
      <c r="H53">
        <f>tblTargetStatus[[#This Row],[DependencyCount]]</f>
        <v>1</v>
      </c>
      <c r="I53" cm="1">
        <f t="array" ref="I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
        <f>tblTargetStatus[[#This Row],[CompletedDependencyCount]]</f>
        <v>0</v>
      </c>
      <c r="K53" t="b">
        <f>tblTargetStatus[[#This Row],[CompletedDependencies]]=tblTargetStatus[[#This Row],[TotalDependencies]]</f>
        <v>0</v>
      </c>
      <c r="L53">
        <f>tblTargetStatus[[#This Row],[TotalDependencies]]-tblTargetStatus[[#This Row],[CompletedDependencies]]</f>
        <v>1</v>
      </c>
      <c r="M53" t="str" cm="1">
        <f t="array" ref="M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building.garden@2</v>
      </c>
      <c r="N53" t="str">
        <f>IF(tblTargetStatus[[#This Row],[FirstMissingDependencyID]]="","",_xlfn.XLOOKUP(tblTargetStatus[[#This Row],[FirstMissingDependencyID]],tblTargets[TargetID],tblTargets[DisplayName],tblTargetStatus[[#This Row],[FirstMissingDependencyID]]))</f>
        <v>Garden Lv 2</v>
      </c>
      <c r="O53" s="2" t="str" cm="1">
        <f t="array" ref="O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ruby,1000 coin,800 beam,200 stone</v>
      </c>
      <c r="P53" t="str">
        <f>IF(tblTargetStatus[[#This Row],[FirstMissingDependencyID]]="","",_xlfn.XLOOKUP(tblTargetStatus[[#This Row],[FirstMissingDependencyID]],tblTargetStatus[TargetID],tblTargetStatus[Status],""))</f>
        <v>BLOCKED</v>
      </c>
      <c r="Q53" t="str">
        <f>IF(
 tblTargetStatus[[#This Row],[Status]]&lt;&gt;"BLOCKED",
 tblTargetStatus[[#This Row],[Status]],
 IF(
  AND(
   tblTargetStatus[[#This Row],[MissingDependencies]]=1,
   tblTargetStatus[[#This Row],[FirstMissingStatus]]="READY"
  ),
  "ONE AWAY",
  "BLOCKED"
 )
)</f>
        <v>BLOCKED</v>
      </c>
      <c r="R53">
        <f>IF(
 OR(
  tblTargetStatus[[#This Row],[StateType]]="CHARACTER",
  RIGHT(tblTargetStatus[[#This Row],[TargetID]],6)=".maxed"
 ),
 0,
 _xlfn.LET(
  _xlpm.sort,
   _xlfn.XLOOKUP(
    tblTargetStatus[[#This Row],[TargetID]],
    tblChecklist[TargetID],
    tblChecklist[PlayerSort],
    0
   ),
  IF(_xlpm.sort=0,500,_xlpm.sort)
 )
)</f>
        <v>88</v>
      </c>
      <c r="S53" t="str" cm="1">
        <f t="array" ref="S5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Garden maxed</v>
      </c>
      <c r="T53" t="str">
        <f>_xlfn.XLOOKUP(tblTargetStatus[[#This Row],[TargetID]],tblTargets[TargetID],tblTargets[CompletionMethod],"")</f>
        <v>PLAYER</v>
      </c>
      <c r="U53" t="b">
        <f>COUNTIF(
    tblCost[TargetID],
    tblTargetStatus[[#This Row],[TargetID]]
)&gt;0</f>
        <v>1</v>
      </c>
      <c r="V53" s="81">
        <f>IF(tblTargetStatus[[#This Row],[HasCost]]=FALSE,
"N/A",
_xlfn.XLOOKUP(
tblTargetStatus[[#This Row],[TargetID]],
tblCost[TargetID],
tblCost[FundingPercent],
""
)
)</f>
        <v>0</v>
      </c>
      <c r="W53">
        <f>IF(
COUNTIF(tblCost[TargetID],tblTargetStatus[[#This Row],[TargetID]])=0,
"",
_xlfn.XLOOKUP(
tblTargetStatus[[#This Row],[TargetID]],
tblCost[TargetID],
tblCost[RemainingRequirements],
""
)
)</f>
        <v>4</v>
      </c>
      <c r="X53" s="79" t="b">
        <f>IF(tblTargetStatus[[#This Row],[HasCost]]=FALSE,"N/A",_xlfn.XLOOKUP(
tblTargetStatus[[#This Row],[TargetID]],
tblCost[TargetID],
tblCost[TargetFunded],
TRUE
))</f>
        <v>0</v>
      </c>
      <c r="Y53" t="str" cm="1">
        <f t="array" ref="Y53">_xlfn.TEXTJOIN(
", ",
TRUE,
_xlfn._xlws.FILTER(
tblCost[ResourceID]&amp;": "&amp;tblCost[QuantityRequired],
(tblCost[TargetID]=tblTargetStatus[[#This Row],[TargetID]])*
(tblCost[PlayerPaid]=FALSE),
""
)
)</f>
        <v>ruby: 4, coin: 1000, beam: 800, stone: 200</v>
      </c>
      <c r="Z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 t="str" cm="1">
        <f t="array" ref="AA5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 spans="1:27">
      <c r="A54" t="s">
        <v>69</v>
      </c>
      <c r="B54" t="str">
        <f>_xlfn.XLOOKUP(tblTargetStatus[[#This Row],[TargetID]],tblTargets[TargetID],tblTargets[DisplayName],"")</f>
        <v>Gong Lv 1</v>
      </c>
      <c r="C54" t="str">
        <f>IF(tblTargetStatus[[#This Row],[PlayerCompleted]],"COMPLETED",IF(tblTargetStatus[[#This Row],[MissingDependencies]]=0,"READY","BLOCKED"))</f>
        <v>BLOCKED</v>
      </c>
      <c r="D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 t="str">
        <f>_xlfn.XLOOKUP(tblTargetStatus[[#This Row],[TargetID]],tblTargets[TargetID],tblTargets[TargetType],"")</f>
        <v>BUILDING</v>
      </c>
      <c r="F54" t="str">
        <f>_xlfn.XLOOKUP(tblTargetStatus[[#This Row],[TargetID]],tblTargets[TargetID],tblTargets[StateType])</f>
        <v/>
      </c>
      <c r="G54">
        <f>_xlfn.LET(
_xlpm.id,tblTargetStatus[[#This Row],[TargetID]],
_xlpm.depCount,COUNTIF(tblDependencies[TargetID],_xlpm.id),
_xlpm.objCount,COUNTIF(tblQuestObjectives[QuestTargetID],_xlpm.id),
_xlpm.depCount+_xlpm.objCount
)</f>
        <v>1</v>
      </c>
      <c r="H54">
        <f>tblTargetStatus[[#This Row],[DependencyCount]]</f>
        <v>1</v>
      </c>
      <c r="I54" cm="1">
        <f t="array" ref="I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
        <f>tblTargetStatus[[#This Row],[CompletedDependencyCount]]</f>
        <v>0</v>
      </c>
      <c r="K54" t="b">
        <f>tblTargetStatus[[#This Row],[CompletedDependencies]]=tblTargetStatus[[#This Row],[TotalDependencies]]</f>
        <v>0</v>
      </c>
      <c r="L54">
        <f>tblTargetStatus[[#This Row],[TotalDependencies]]-tblTargetStatus[[#This Row],[CompletedDependencies]]</f>
        <v>1</v>
      </c>
      <c r="M54" t="str" cm="1">
        <f t="array" ref="M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state.character_level@10</v>
      </c>
      <c r="N54" t="str">
        <f>IF(tblTargetStatus[[#This Row],[FirstMissingDependencyID]]="","",_xlfn.XLOOKUP(tblTargetStatus[[#This Row],[FirstMissingDependencyID]],tblTargets[TargetID],tblTargets[DisplayName],tblTargetStatus[[#This Row],[FirstMissingDependencyID]]))</f>
        <v>Character Level@10</v>
      </c>
      <c r="O54" s="2" t="str" cm="1">
        <f t="array" ref="O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ruby,200 coin,100 wood,50 stone,50 steel</v>
      </c>
      <c r="P54" t="str">
        <f>IF(tblTargetStatus[[#This Row],[FirstMissingDependencyID]]="","",_xlfn.XLOOKUP(tblTargetStatus[[#This Row],[FirstMissingDependencyID]],tblTargetStatus[TargetID],tblTargetStatus[Status],""))</f>
        <v>READY</v>
      </c>
      <c r="Q54" t="str">
        <f>IF(
 tblTargetStatus[[#This Row],[Status]]&lt;&gt;"BLOCKED",
 tblTargetStatus[[#This Row],[Status]],
 IF(
  AND(
   tblTargetStatus[[#This Row],[MissingDependencies]]=1,
   tblTargetStatus[[#This Row],[FirstMissingStatus]]="READY"
  ),
  "ONE AWAY",
  "BLOCKED"
 )
)</f>
        <v>ONE AWAY</v>
      </c>
      <c r="R54">
        <f>IF(
 OR(
  tblTargetStatus[[#This Row],[StateType]]="CHARACTER",
  RIGHT(tblTargetStatus[[#This Row],[TargetID]],6)=".maxed"
 ),
 0,
 _xlfn.LET(
  _xlpm.sort,
   _xlfn.XLOOKUP(
    tblTargetStatus[[#This Row],[TargetID]],
    tblChecklist[TargetID],
    tblChecklist[PlayerSort],
    0
   ),
  IF(_xlpm.sort=0,500,_xlpm.sort)
 )
)</f>
        <v>102</v>
      </c>
      <c r="S54" t="str" cm="1">
        <f t="array" ref="S5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4" t="str">
        <f>_xlfn.XLOOKUP(tblTargetStatus[[#This Row],[TargetID]],tblTargets[TargetID],tblTargets[CompletionMethod],"")</f>
        <v>PLAYER</v>
      </c>
      <c r="U54" t="b">
        <f>COUNTIF(
    tblCost[TargetID],
    tblTargetStatus[[#This Row],[TargetID]]
)&gt;0</f>
        <v>1</v>
      </c>
      <c r="V54" s="81">
        <f>IF(tblTargetStatus[[#This Row],[HasCost]]=FALSE,
"N/A",
_xlfn.XLOOKUP(
tblTargetStatus[[#This Row],[TargetID]],
tblCost[TargetID],
tblCost[FundingPercent],
""
)
)</f>
        <v>0</v>
      </c>
      <c r="W54">
        <f>IF(
COUNTIF(tblCost[TargetID],tblTargetStatus[[#This Row],[TargetID]])=0,
"",
_xlfn.XLOOKUP(
tblTargetStatus[[#This Row],[TargetID]],
tblCost[TargetID],
tblCost[RemainingRequirements],
""
)
)</f>
        <v>5</v>
      </c>
      <c r="X54" s="79" t="b">
        <f>IF(tblTargetStatus[[#This Row],[HasCost]]=FALSE,"N/A",_xlfn.XLOOKUP(
tblTargetStatus[[#This Row],[TargetID]],
tblCost[TargetID],
tblCost[TargetFunded],
TRUE
))</f>
        <v>0</v>
      </c>
      <c r="Y54" t="str" cm="1">
        <f t="array" ref="Y54">_xlfn.TEXTJOIN(
", ",
TRUE,
_xlfn._xlws.FILTER(
tblCost[ResourceID]&amp;": "&amp;tblCost[QuantityRequired],
(tblCost[TargetID]=tblTargetStatus[[#This Row],[TargetID]])*
(tblCost[PlayerPaid]=FALSE),
""
)
)</f>
        <v>ruby: 3, coin: 200, wood: 100, stone: 50, steel: 50</v>
      </c>
      <c r="Z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 t="str" cm="1">
        <f t="array" ref="AA5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 spans="1:27">
      <c r="A55" t="s">
        <v>71</v>
      </c>
      <c r="B55" t="str">
        <f>_xlfn.XLOOKUP(tblTargetStatus[[#This Row],[TargetID]],tblTargets[TargetID],tblTargets[DisplayName],"")</f>
        <v>Guild Lv 1</v>
      </c>
      <c r="C55" t="str">
        <f>IF(tblTargetStatus[[#This Row],[PlayerCompleted]],"COMPLETED",IF(tblTargetStatus[[#This Row],[MissingDependencies]]=0,"READY","BLOCKED"))</f>
        <v>COMPLETED</v>
      </c>
      <c r="D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1</v>
      </c>
      <c r="E55" t="str">
        <f>_xlfn.XLOOKUP(tblTargetStatus[[#This Row],[TargetID]],tblTargets[TargetID],tblTargets[TargetType],"")</f>
        <v>BUILDING</v>
      </c>
      <c r="F55" t="str">
        <f>_xlfn.XLOOKUP(tblTargetStatus[[#This Row],[TargetID]],tblTargets[TargetID],tblTargets[StateType])</f>
        <v/>
      </c>
      <c r="G55">
        <f>_xlfn.LET(
_xlpm.id,tblTargetStatus[[#This Row],[TargetID]],
_xlpm.depCount,COUNTIF(tblDependencies[TargetID],_xlpm.id),
_xlpm.objCount,COUNTIF(tblQuestObjectives[QuestTargetID],_xlpm.id),
_xlpm.depCount+_xlpm.objCount
)</f>
        <v>0</v>
      </c>
      <c r="H55">
        <f>tblTargetStatus[[#This Row],[DependencyCount]]</f>
        <v>0</v>
      </c>
      <c r="I55" cm="1">
        <f t="array" ref="I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
        <f>tblTargetStatus[[#This Row],[CompletedDependencyCount]]</f>
        <v>0</v>
      </c>
      <c r="K55" t="b">
        <f>tblTargetStatus[[#This Row],[CompletedDependencies]]=tblTargetStatus[[#This Row],[TotalDependencies]]</f>
        <v>1</v>
      </c>
      <c r="L55">
        <f>tblTargetStatus[[#This Row],[TotalDependencies]]-tblTargetStatus[[#This Row],[CompletedDependencies]]</f>
        <v>0</v>
      </c>
      <c r="M55" t="str" cm="1">
        <f t="array" ref="M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55" t="str">
        <f>IF(tblTargetStatus[[#This Row],[FirstMissingDependencyID]]="","",_xlfn.XLOOKUP(tblTargetStatus[[#This Row],[FirstMissingDependencyID]],tblTargets[TargetID],tblTargets[DisplayName],tblTargetStatus[[#This Row],[FirstMissingDependencyID]]))</f>
        <v/>
      </c>
      <c r="O55" t="str" cm="1">
        <f t="array" ref="O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5" t="str">
        <f>IF(tblTargetStatus[[#This Row],[FirstMissingDependencyID]]="","",_xlfn.XLOOKUP(tblTargetStatus[[#This Row],[FirstMissingDependencyID]],tblTargetStatus[TargetID],tblTargetStatus[Status],""))</f>
        <v/>
      </c>
      <c r="Q55" t="str">
        <f>IF(
 tblTargetStatus[[#This Row],[Status]]&lt;&gt;"BLOCKED",
 tblTargetStatus[[#This Row],[Status]],
 IF(
  AND(
   tblTargetStatus[[#This Row],[MissingDependencies]]=1,
   tblTargetStatus[[#This Row],[FirstMissingStatus]]="READY"
  ),
  "ONE AWAY",
  "BLOCKED"
 )
)</f>
        <v>COMPLETED</v>
      </c>
      <c r="R55" t="str">
        <f>IF(
 OR(
  tblTargetStatus[[#This Row],[StateType]]="CHARACTER",
  RIGHT(tblTargetStatus[[#This Row],[TargetID]],6)=".maxed"
 ),
 0,
 _xlfn.LET(
  _xlpm.sort,
   _xlfn.XLOOKUP(
    tblTargetStatus[[#This Row],[TargetID]],
    tblChecklist[TargetID],
    tblChecklist[PlayerSort],
    0
   ),
  IF(_xlpm.sort=0,500,_xlpm.sort)
 )
)</f>
        <v/>
      </c>
      <c r="S55" t="str" cm="1">
        <f t="array" ref="S5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Guild Lv 2</v>
      </c>
      <c r="T55" t="str">
        <f>_xlfn.XLOOKUP(tblTargetStatus[[#This Row],[TargetID]],tblTargets[TargetID],tblTargets[CompletionMethod],"")</f>
        <v>PLAYER</v>
      </c>
      <c r="U55" t="b">
        <f>COUNTIF(
    tblCost[TargetID],
    tblTargetStatus[[#This Row],[TargetID]]
)&gt;0</f>
        <v>0</v>
      </c>
      <c r="V55" s="81" t="str">
        <f>IF(tblTargetStatus[[#This Row],[HasCost]]=FALSE,
"N/A",
_xlfn.XLOOKUP(
tblTargetStatus[[#This Row],[TargetID]],
tblCost[TargetID],
tblCost[FundingPercent],
""
)
)</f>
        <v>N/A</v>
      </c>
      <c r="W55" t="str">
        <f>IF(
COUNTIF(tblCost[TargetID],tblTargetStatus[[#This Row],[TargetID]])=0,
"",
_xlfn.XLOOKUP(
tblTargetStatus[[#This Row],[TargetID]],
tblCost[TargetID],
tblCost[RemainingRequirements],
""
)
)</f>
        <v/>
      </c>
      <c r="X55" s="79" t="str">
        <f>IF(tblTargetStatus[[#This Row],[HasCost]]=FALSE,"N/A",_xlfn.XLOOKUP(
tblTargetStatus[[#This Row],[TargetID]],
tblCost[TargetID],
tblCost[TargetFunded],
TRUE
))</f>
        <v>N/A</v>
      </c>
      <c r="Y55" t="str" cm="1">
        <f t="array" ref="Y55">_xlfn.TEXTJOIN(
", ",
TRUE,
_xlfn._xlws.FILTER(
tblCost[ResourceID]&amp;": "&amp;tblCost[QuantityRequired],
(tblCost[TargetID]=tblTargetStatus[[#This Row],[TargetID]])*
(tblCost[PlayerPaid]=FALSE),
""
)
)</f>
        <v/>
      </c>
      <c r="Z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 t="str" cm="1">
        <f t="array" ref="AA5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 spans="1:27">
      <c r="A56" t="s">
        <v>73</v>
      </c>
      <c r="B56" t="str">
        <f>_xlfn.XLOOKUP(tblTargetStatus[[#This Row],[TargetID]],tblTargets[TargetID],tblTargets[DisplayName],"")</f>
        <v>Guild Lv 2</v>
      </c>
      <c r="C56" t="str">
        <f>IF(tblTargetStatus[[#This Row],[PlayerCompleted]],"COMPLETED",IF(tblTargetStatus[[#This Row],[MissingDependencies]]=0,"READY","BLOCKED"))</f>
        <v>READY</v>
      </c>
      <c r="D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 t="str">
        <f>_xlfn.XLOOKUP(tblTargetStatus[[#This Row],[TargetID]],tblTargets[TargetID],tblTargets[TargetType],"")</f>
        <v>BUILDING</v>
      </c>
      <c r="F56" t="str">
        <f>_xlfn.XLOOKUP(tblTargetStatus[[#This Row],[TargetID]],tblTargets[TargetID],tblTargets[StateType])</f>
        <v/>
      </c>
      <c r="G56">
        <f>_xlfn.LET(
_xlpm.id,tblTargetStatus[[#This Row],[TargetID]],
_xlpm.depCount,COUNTIF(tblDependencies[TargetID],_xlpm.id),
_xlpm.objCount,COUNTIF(tblQuestObjectives[QuestTargetID],_xlpm.id),
_xlpm.depCount+_xlpm.objCount
)</f>
        <v>1</v>
      </c>
      <c r="H56">
        <f>tblTargetStatus[[#This Row],[DependencyCount]]</f>
        <v>1</v>
      </c>
      <c r="I56" cm="1">
        <f t="array" ref="I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1</v>
      </c>
      <c r="J56">
        <f>tblTargetStatus[[#This Row],[CompletedDependencyCount]]</f>
        <v>1</v>
      </c>
      <c r="K56" t="b">
        <f>tblTargetStatus[[#This Row],[CompletedDependencies]]=tblTargetStatus[[#This Row],[TotalDependencies]]</f>
        <v>1</v>
      </c>
      <c r="L56">
        <f>tblTargetStatus[[#This Row],[TotalDependencies]]-tblTargetStatus[[#This Row],[CompletedDependencies]]</f>
        <v>0</v>
      </c>
      <c r="M56" t="str" cm="1">
        <f t="array" ref="M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56" t="str">
        <f>IF(tblTargetStatus[[#This Row],[FirstMissingDependencyID]]="","",_xlfn.XLOOKUP(tblTargetStatus[[#This Row],[FirstMissingDependencyID]],tblTargets[TargetID],tblTargets[DisplayName],tblTargetStatus[[#This Row],[FirstMissingDependencyID]]))</f>
        <v/>
      </c>
      <c r="O56" t="str" cm="1">
        <f t="array" ref="O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ruby,50 coin,50 wood,50 stone</v>
      </c>
      <c r="P56" t="str">
        <f>IF(tblTargetStatus[[#This Row],[FirstMissingDependencyID]]="","",_xlfn.XLOOKUP(tblTargetStatus[[#This Row],[FirstMissingDependencyID]],tblTargetStatus[TargetID],tblTargetStatus[Status],""))</f>
        <v/>
      </c>
      <c r="Q56" t="str">
        <f>IF(
 tblTargetStatus[[#This Row],[Status]]&lt;&gt;"BLOCKED",
 tblTargetStatus[[#This Row],[Status]],
 IF(
  AND(
   tblTargetStatus[[#This Row],[MissingDependencies]]=1,
   tblTargetStatus[[#This Row],[FirstMissingStatus]]="READY"
  ),
  "ONE AWAY",
  "BLOCKED"
 )
)</f>
        <v>READY</v>
      </c>
      <c r="R56">
        <f>IF(
 OR(
  tblTargetStatus[[#This Row],[StateType]]="CHARACTER",
  RIGHT(tblTargetStatus[[#This Row],[TargetID]],6)=".maxed"
 ),
 0,
 _xlfn.LET(
  _xlpm.sort,
   _xlfn.XLOOKUP(
    tblTargetStatus[[#This Row],[TargetID]],
    tblChecklist[TargetID],
    tblChecklist[PlayerSort],
    0
   ),
  IF(_xlpm.sort=0,500,_xlpm.sort)
 )
)</f>
        <v>1</v>
      </c>
      <c r="S56" t="str" cm="1">
        <f t="array" ref="S5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2, Food Stall Lv 2, Guild Lv 3, Warehouse Lv 2</v>
      </c>
      <c r="T56" t="str">
        <f>_xlfn.XLOOKUP(tblTargetStatus[[#This Row],[TargetID]],tblTargets[TargetID],tblTargets[CompletionMethod],"")</f>
        <v>PLAYER</v>
      </c>
      <c r="U56" t="b">
        <f>COUNTIF(
    tblCost[TargetID],
    tblTargetStatus[[#This Row],[TargetID]]
)&gt;0</f>
        <v>1</v>
      </c>
      <c r="V56" s="81">
        <f>IF(tblTargetStatus[[#This Row],[HasCost]]=FALSE,
"N/A",
_xlfn.XLOOKUP(
tblTargetStatus[[#This Row],[TargetID]],
tblCost[TargetID],
tblCost[FundingPercent],
""
)
)</f>
        <v>0</v>
      </c>
      <c r="W56">
        <f>IF(
COUNTIF(tblCost[TargetID],tblTargetStatus[[#This Row],[TargetID]])=0,
"",
_xlfn.XLOOKUP(
tblTargetStatus[[#This Row],[TargetID]],
tblCost[TargetID],
tblCost[RemainingRequirements],
""
)
)</f>
        <v>4</v>
      </c>
      <c r="X56" s="79" t="b">
        <f>IF(tblTargetStatus[[#This Row],[HasCost]]=FALSE,"N/A",_xlfn.XLOOKUP(
tblTargetStatus[[#This Row],[TargetID]],
tblCost[TargetID],
tblCost[TargetFunded],
TRUE
))</f>
        <v>0</v>
      </c>
      <c r="Y56" t="str" cm="1">
        <f t="array" ref="Y56">_xlfn.TEXTJOIN(
", ",
TRUE,
_xlfn._xlws.FILTER(
tblCost[ResourceID]&amp;": "&amp;tblCost[QuantityRequired],
(tblCost[TargetID]=tblTargetStatus[[#This Row],[TargetID]])*
(tblCost[PlayerPaid]=FALSE),
""
)
)</f>
        <v>ruby: 1, coin: 50, wood: 50, stone: 50</v>
      </c>
      <c r="Z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 t="str" cm="1">
        <f t="array" ref="AA5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7" spans="1:27">
      <c r="A57" t="s">
        <v>74</v>
      </c>
      <c r="B57" t="str">
        <f>_xlfn.XLOOKUP(tblTargetStatus[[#This Row],[TargetID]],tblTargets[TargetID],tblTargets[DisplayName],"")</f>
        <v>Guild Lv 3</v>
      </c>
      <c r="C57" t="str">
        <f>IF(tblTargetStatus[[#This Row],[PlayerCompleted]],"COMPLETED",IF(tblTargetStatus[[#This Row],[MissingDependencies]]=0,"READY","BLOCKED"))</f>
        <v>BLOCKED</v>
      </c>
      <c r="D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 t="str">
        <f>_xlfn.XLOOKUP(tblTargetStatus[[#This Row],[TargetID]],tblTargets[TargetID],tblTargets[TargetType],"")</f>
        <v>BUILDING</v>
      </c>
      <c r="F57" t="str">
        <f>_xlfn.XLOOKUP(tblTargetStatus[[#This Row],[TargetID]],tblTargets[TargetID],tblTargets[StateType])</f>
        <v/>
      </c>
      <c r="G57">
        <f>_xlfn.LET(
_xlpm.id,tblTargetStatus[[#This Row],[TargetID]],
_xlpm.depCount,COUNTIF(tblDependencies[TargetID],_xlpm.id),
_xlpm.objCount,COUNTIF(tblQuestObjectives[QuestTargetID],_xlpm.id),
_xlpm.depCount+_xlpm.objCount
)</f>
        <v>1</v>
      </c>
      <c r="H57">
        <f>tblTargetStatus[[#This Row],[DependencyCount]]</f>
        <v>1</v>
      </c>
      <c r="I57" cm="1">
        <f t="array" ref="I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
        <f>tblTargetStatus[[#This Row],[CompletedDependencyCount]]</f>
        <v>0</v>
      </c>
      <c r="K57" t="b">
        <f>tblTargetStatus[[#This Row],[CompletedDependencies]]=tblTargetStatus[[#This Row],[TotalDependencies]]</f>
        <v>0</v>
      </c>
      <c r="L57">
        <f>tblTargetStatus[[#This Row],[TotalDependencies]]-tblTargetStatus[[#This Row],[CompletedDependencies]]</f>
        <v>1</v>
      </c>
      <c r="M57" t="str" cm="1">
        <f t="array" ref="M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building.guild@2</v>
      </c>
      <c r="N57" t="str">
        <f>IF(tblTargetStatus[[#This Row],[FirstMissingDependencyID]]="","",_xlfn.XLOOKUP(tblTargetStatus[[#This Row],[FirstMissingDependencyID]],tblTargets[TargetID],tblTargets[DisplayName],tblTargetStatus[[#This Row],[FirstMissingDependencyID]]))</f>
        <v>Guild Lv 2</v>
      </c>
      <c r="O57" s="2" t="str" cm="1">
        <f t="array" ref="O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ruby,150 coin,300 beam,150 stone</v>
      </c>
      <c r="P57" t="str">
        <f>IF(tblTargetStatus[[#This Row],[FirstMissingDependencyID]]="","",_xlfn.XLOOKUP(tblTargetStatus[[#This Row],[FirstMissingDependencyID]],tblTargetStatus[TargetID],tblTargetStatus[Status],""))</f>
        <v>READY</v>
      </c>
      <c r="Q57" t="str">
        <f>IF(
 tblTargetStatus[[#This Row],[Status]]&lt;&gt;"BLOCKED",
 tblTargetStatus[[#This Row],[Status]],
 IF(
  AND(
   tblTargetStatus[[#This Row],[MissingDependencies]]=1,
   tblTargetStatus[[#This Row],[FirstMissingStatus]]="READY"
  ),
  "ONE AWAY",
  "BLOCKED"
 )
)</f>
        <v>ONE AWAY</v>
      </c>
      <c r="R57">
        <f>IF(
 OR(
  tblTargetStatus[[#This Row],[StateType]]="CHARACTER",
  RIGHT(tblTargetStatus[[#This Row],[TargetID]],6)=".maxed"
 ),
 0,
 _xlfn.LET(
  _xlpm.sort,
   _xlfn.XLOOKUP(
    tblTargetStatus[[#This Row],[TargetID]],
    tblChecklist[TargetID],
    tblChecklist[PlayerSort],
    0
   ),
  IF(_xlpm.sort=0,500,_xlpm.sort)
 )
)</f>
        <v>17</v>
      </c>
      <c r="S57" t="str" cm="1">
        <f t="array" ref="S5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3, Alchemist's Hut Lv 4, Guild Lv 4, Warehouse Lv 3</v>
      </c>
      <c r="T57" t="str">
        <f>_xlfn.XLOOKUP(tblTargetStatus[[#This Row],[TargetID]],tblTargets[TargetID],tblTargets[CompletionMethod],"")</f>
        <v>PLAYER</v>
      </c>
      <c r="U57" t="b">
        <f>COUNTIF(
    tblCost[TargetID],
    tblTargetStatus[[#This Row],[TargetID]]
)&gt;0</f>
        <v>1</v>
      </c>
      <c r="V57" s="81">
        <f>IF(tblTargetStatus[[#This Row],[HasCost]]=FALSE,
"N/A",
_xlfn.XLOOKUP(
tblTargetStatus[[#This Row],[TargetID]],
tblCost[TargetID],
tblCost[FundingPercent],
""
)
)</f>
        <v>0</v>
      </c>
      <c r="W57">
        <f>IF(
COUNTIF(tblCost[TargetID],tblTargetStatus[[#This Row],[TargetID]])=0,
"",
_xlfn.XLOOKUP(
tblTargetStatus[[#This Row],[TargetID]],
tblCost[TargetID],
tblCost[RemainingRequirements],
""
)
)</f>
        <v>4</v>
      </c>
      <c r="X57" s="79" t="b">
        <f>IF(tblTargetStatus[[#This Row],[HasCost]]=FALSE,"N/A",_xlfn.XLOOKUP(
tblTargetStatus[[#This Row],[TargetID]],
tblCost[TargetID],
tblCost[TargetFunded],
TRUE
))</f>
        <v>0</v>
      </c>
      <c r="Y57" t="str" cm="1">
        <f t="array" ref="Y57">_xlfn.TEXTJOIN(
", ",
TRUE,
_xlfn._xlws.FILTER(
tblCost[ResourceID]&amp;": "&amp;tblCost[QuantityRequired],
(tblCost[TargetID]=tblTargetStatus[[#This Row],[TargetID]])*
(tblCost[PlayerPaid]=FALSE),
""
)
)</f>
        <v>ruby: 2, coin: 150, beam: 300, stone: 150</v>
      </c>
      <c r="Z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 t="str" cm="1">
        <f t="array" ref="AA5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8" spans="1:27">
      <c r="A58" t="s">
        <v>75</v>
      </c>
      <c r="B58" t="str">
        <f>_xlfn.XLOOKUP(tblTargetStatus[[#This Row],[TargetID]],tblTargets[TargetID],tblTargets[DisplayName],"")</f>
        <v>Guild Lv 4</v>
      </c>
      <c r="C58" t="str">
        <f>IF(tblTargetStatus[[#This Row],[PlayerCompleted]],"COMPLETED",IF(tblTargetStatus[[#This Row],[MissingDependencies]]=0,"READY","BLOCKED"))</f>
        <v>BLOCKED</v>
      </c>
      <c r="D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 t="str">
        <f>_xlfn.XLOOKUP(tblTargetStatus[[#This Row],[TargetID]],tblTargets[TargetID],tblTargets[TargetType],"")</f>
        <v>BUILDING</v>
      </c>
      <c r="F58" t="str">
        <f>_xlfn.XLOOKUP(tblTargetStatus[[#This Row],[TargetID]],tblTargets[TargetID],tblTargets[StateType])</f>
        <v/>
      </c>
      <c r="G58">
        <f>_xlfn.LET(
_xlpm.id,tblTargetStatus[[#This Row],[TargetID]],
_xlpm.depCount,COUNTIF(tblDependencies[TargetID],_xlpm.id),
_xlpm.objCount,COUNTIF(tblQuestObjectives[QuestTargetID],_xlpm.id),
_xlpm.depCount+_xlpm.objCount
)</f>
        <v>1</v>
      </c>
      <c r="H58">
        <f>tblTargetStatus[[#This Row],[DependencyCount]]</f>
        <v>1</v>
      </c>
      <c r="I58" cm="1">
        <f t="array" ref="I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
        <f>tblTargetStatus[[#This Row],[CompletedDependencyCount]]</f>
        <v>0</v>
      </c>
      <c r="K58" t="b">
        <f>tblTargetStatus[[#This Row],[CompletedDependencies]]=tblTargetStatus[[#This Row],[TotalDependencies]]</f>
        <v>0</v>
      </c>
      <c r="L58">
        <f>tblTargetStatus[[#This Row],[TotalDependencies]]-tblTargetStatus[[#This Row],[CompletedDependencies]]</f>
        <v>1</v>
      </c>
      <c r="M58" t="str" cm="1">
        <f t="array" ref="M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building.guild@3</v>
      </c>
      <c r="N58" t="str">
        <f>IF(tblTargetStatus[[#This Row],[FirstMissingDependencyID]]="","",_xlfn.XLOOKUP(tblTargetStatus[[#This Row],[FirstMissingDependencyID]],tblTargets[TargetID],tblTargets[DisplayName],tblTargetStatus[[#This Row],[FirstMissingDependencyID]]))</f>
        <v>Guild Lv 3</v>
      </c>
      <c r="O58" s="2" t="str" cm="1">
        <f t="array" ref="O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ruby,250 coin,500 beam,250 stone,40 steel</v>
      </c>
      <c r="P58" t="str">
        <f>IF(tblTargetStatus[[#This Row],[FirstMissingDependencyID]]="","",_xlfn.XLOOKUP(tblTargetStatus[[#This Row],[FirstMissingDependencyID]],tblTargetStatus[TargetID],tblTargetStatus[Status],""))</f>
        <v>BLOCKED</v>
      </c>
      <c r="Q58" t="str">
        <f>IF(
 tblTargetStatus[[#This Row],[Status]]&lt;&gt;"BLOCKED",
 tblTargetStatus[[#This Row],[Status]],
 IF(
  AND(
   tblTargetStatus[[#This Row],[MissingDependencies]]=1,
   tblTargetStatus[[#This Row],[FirstMissingStatus]]="READY"
  ),
  "ONE AWAY",
  "BLOCKED"
 )
)</f>
        <v>BLOCKED</v>
      </c>
      <c r="R58">
        <f>IF(
 OR(
  tblTargetStatus[[#This Row],[StateType]]="CHARACTER",
  RIGHT(tblTargetStatus[[#This Row],[TargetID]],6)=".maxed"
 ),
 0,
 _xlfn.LET(
  _xlpm.sort,
   _xlfn.XLOOKUP(
    tblTargetStatus[[#This Row],[TargetID]],
    tblChecklist[TargetID],
    tblChecklist[PlayerSort],
    0
   ),
  IF(_xlpm.sort=0,500,_xlpm.sort)
 )
)</f>
        <v>23</v>
      </c>
      <c r="S58" t="str" cm="1">
        <f t="array" ref="S5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4, Guild Lv 5, Warehouse Lv 4</v>
      </c>
      <c r="T58" t="str">
        <f>_xlfn.XLOOKUP(tblTargetStatus[[#This Row],[TargetID]],tblTargets[TargetID],tblTargets[CompletionMethod],"")</f>
        <v>PLAYER</v>
      </c>
      <c r="U58" t="b">
        <f>COUNTIF(
    tblCost[TargetID],
    tblTargetStatus[[#This Row],[TargetID]]
)&gt;0</f>
        <v>1</v>
      </c>
      <c r="V58" s="81">
        <f>IF(tblTargetStatus[[#This Row],[HasCost]]=FALSE,
"N/A",
_xlfn.XLOOKUP(
tblTargetStatus[[#This Row],[TargetID]],
tblCost[TargetID],
tblCost[FundingPercent],
""
)
)</f>
        <v>0</v>
      </c>
      <c r="W58">
        <f>IF(
COUNTIF(tblCost[TargetID],tblTargetStatus[[#This Row],[TargetID]])=0,
"",
_xlfn.XLOOKUP(
tblTargetStatus[[#This Row],[TargetID]],
tblCost[TargetID],
tblCost[RemainingRequirements],
""
)
)</f>
        <v>5</v>
      </c>
      <c r="X58" s="79" t="b">
        <f>IF(tblTargetStatus[[#This Row],[HasCost]]=FALSE,"N/A",_xlfn.XLOOKUP(
tblTargetStatus[[#This Row],[TargetID]],
tblCost[TargetID],
tblCost[TargetFunded],
TRUE
))</f>
        <v>0</v>
      </c>
      <c r="Y58" t="str" cm="1">
        <f t="array" ref="Y58">_xlfn.TEXTJOIN(
", ",
TRUE,
_xlfn._xlws.FILTER(
tblCost[ResourceID]&amp;": "&amp;tblCost[QuantityRequired],
(tblCost[TargetID]=tblTargetStatus[[#This Row],[TargetID]])*
(tblCost[PlayerPaid]=FALSE),
""
)
)</f>
        <v>ruby: 4, coin: 250, beam: 500, stone: 250, steel: 40</v>
      </c>
      <c r="Z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 t="str" cm="1">
        <f t="array" ref="AA5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 spans="1:27">
      <c r="A59" t="s">
        <v>76</v>
      </c>
      <c r="B59" t="str">
        <f>_xlfn.XLOOKUP(tblTargetStatus[[#This Row],[TargetID]],tblTargets[TargetID],tblTargets[DisplayName],"")</f>
        <v>Guild Lv 5</v>
      </c>
      <c r="C59" t="str">
        <f>IF(tblTargetStatus[[#This Row],[PlayerCompleted]],"COMPLETED",IF(tblTargetStatus[[#This Row],[MissingDependencies]]=0,"READY","BLOCKED"))</f>
        <v>BLOCKED</v>
      </c>
      <c r="D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 t="str">
        <f>_xlfn.XLOOKUP(tblTargetStatus[[#This Row],[TargetID]],tblTargets[TargetID],tblTargets[TargetType],"")</f>
        <v>BUILDING</v>
      </c>
      <c r="F59" t="str">
        <f>_xlfn.XLOOKUP(tblTargetStatus[[#This Row],[TargetID]],tblTargets[TargetID],tblTargets[StateType])</f>
        <v/>
      </c>
      <c r="G59">
        <f>_xlfn.LET(
_xlpm.id,tblTargetStatus[[#This Row],[TargetID]],
_xlpm.depCount,COUNTIF(tblDependencies[TargetID],_xlpm.id),
_xlpm.objCount,COUNTIF(tblQuestObjectives[QuestTargetID],_xlpm.id),
_xlpm.depCount+_xlpm.objCount
)</f>
        <v>1</v>
      </c>
      <c r="H59">
        <f>tblTargetStatus[[#This Row],[DependencyCount]]</f>
        <v>1</v>
      </c>
      <c r="I59" cm="1">
        <f t="array" ref="I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
        <f>tblTargetStatus[[#This Row],[CompletedDependencyCount]]</f>
        <v>0</v>
      </c>
      <c r="K59" t="b">
        <f>tblTargetStatus[[#This Row],[CompletedDependencies]]=tblTargetStatus[[#This Row],[TotalDependencies]]</f>
        <v>0</v>
      </c>
      <c r="L59">
        <f>tblTargetStatus[[#This Row],[TotalDependencies]]-tblTargetStatus[[#This Row],[CompletedDependencies]]</f>
        <v>1</v>
      </c>
      <c r="M59" t="str" cm="1">
        <f t="array" ref="M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building.guild@4</v>
      </c>
      <c r="N59" t="str">
        <f>IF(tblTargetStatus[[#This Row],[FirstMissingDependencyID]]="","",_xlfn.XLOOKUP(tblTargetStatus[[#This Row],[FirstMissingDependencyID]],tblTargets[TargetID],tblTargets[DisplayName],tblTargetStatus[[#This Row],[FirstMissingDependencyID]]))</f>
        <v>Guild Lv 4</v>
      </c>
      <c r="O59" s="2" t="str" cm="1">
        <f t="array" ref="O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ruby,300 coin,600 beam,300 stone,50 steel</v>
      </c>
      <c r="P59" t="str">
        <f>IF(tblTargetStatus[[#This Row],[FirstMissingDependencyID]]="","",_xlfn.XLOOKUP(tblTargetStatus[[#This Row],[FirstMissingDependencyID]],tblTargetStatus[TargetID],tblTargetStatus[Status],""))</f>
        <v>BLOCKED</v>
      </c>
      <c r="Q59" t="str">
        <f>IF(
 tblTargetStatus[[#This Row],[Status]]&lt;&gt;"BLOCKED",
 tblTargetStatus[[#This Row],[Status]],
 IF(
  AND(
   tblTargetStatus[[#This Row],[MissingDependencies]]=1,
   tblTargetStatus[[#This Row],[FirstMissingStatus]]="READY"
  ),
  "ONE AWAY",
  "BLOCKED"
 )
)</f>
        <v>BLOCKED</v>
      </c>
      <c r="R59">
        <f>IF(
 OR(
  tblTargetStatus[[#This Row],[StateType]]="CHARACTER",
  RIGHT(tblTargetStatus[[#This Row],[TargetID]],6)=".maxed"
 ),
 0,
 _xlfn.LET(
  _xlpm.sort,
   _xlfn.XLOOKUP(
    tblTargetStatus[[#This Row],[TargetID]],
    tblChecklist[TargetID],
    tblChecklist[PlayerSort],
    0
   ),
  IF(_xlpm.sort=0,500,_xlpm.sort)
 )
)</f>
        <v>29</v>
      </c>
      <c r="S59" t="str" cm="1">
        <f t="array" ref="S5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5, Warehouse Lv 5, Emerald Tablet, Guild Codex, Historical Library, Trigonometry, Build the Guild Finished</v>
      </c>
      <c r="T59" t="str">
        <f>_xlfn.XLOOKUP(tblTargetStatus[[#This Row],[TargetID]],tblTargets[TargetID],tblTargets[CompletionMethod],"")</f>
        <v>PLAYER</v>
      </c>
      <c r="U59" t="b">
        <f>COUNTIF(
    tblCost[TargetID],
    tblTargetStatus[[#This Row],[TargetID]]
)&gt;0</f>
        <v>1</v>
      </c>
      <c r="V59" s="81">
        <f>IF(tblTargetStatus[[#This Row],[HasCost]]=FALSE,
"N/A",
_xlfn.XLOOKUP(
tblTargetStatus[[#This Row],[TargetID]],
tblCost[TargetID],
tblCost[FundingPercent],
""
)
)</f>
        <v>0</v>
      </c>
      <c r="W59">
        <f>IF(
COUNTIF(tblCost[TargetID],tblTargetStatus[[#This Row],[TargetID]])=0,
"",
_xlfn.XLOOKUP(
tblTargetStatus[[#This Row],[TargetID]],
tblCost[TargetID],
tblCost[RemainingRequirements],
""
)
)</f>
        <v>5</v>
      </c>
      <c r="X59" s="79" t="b">
        <f>IF(tblTargetStatus[[#This Row],[HasCost]]=FALSE,"N/A",_xlfn.XLOOKUP(
tblTargetStatus[[#This Row],[TargetID]],
tblCost[TargetID],
tblCost[TargetFunded],
TRUE
))</f>
        <v>0</v>
      </c>
      <c r="Y59" t="str" cm="1">
        <f t="array" ref="Y59">_xlfn.TEXTJOIN(
", ",
TRUE,
_xlfn._xlws.FILTER(
tblCost[ResourceID]&amp;": "&amp;tblCost[QuantityRequired],
(tblCost[TargetID]=tblTargetStatus[[#This Row],[TargetID]])*
(tblCost[PlayerPaid]=FALSE),
""
)
)</f>
        <v>ruby: 8, coin: 300, beam: 600, stone: 300, steel: 50</v>
      </c>
      <c r="Z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 t="str" cm="1">
        <f t="array" ref="AA5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0" spans="1:27">
      <c r="A60" t="s">
        <v>77</v>
      </c>
      <c r="B60" t="str">
        <f>_xlfn.XLOOKUP(tblTargetStatus[[#This Row],[TargetID]],tblTargets[TargetID],tblTargets[DisplayName],"")</f>
        <v>Guild: Video Game Arcade Lv 1</v>
      </c>
      <c r="C60" t="str">
        <f>IF(tblTargetStatus[[#This Row],[PlayerCompleted]],"COMPLETED",IF(tblTargetStatus[[#This Row],[MissingDependencies]]=0,"READY","BLOCKED"))</f>
        <v>BLOCKED</v>
      </c>
      <c r="D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 t="str">
        <f>_xlfn.XLOOKUP(tblTargetStatus[[#This Row],[TargetID]],tblTargets[TargetID],tblTargets[TargetType],"")</f>
        <v>BUILDING</v>
      </c>
      <c r="F60" t="str">
        <f>_xlfn.XLOOKUP(tblTargetStatus[[#This Row],[TargetID]],tblTargets[TargetID],tblTargets[StateType])</f>
        <v/>
      </c>
      <c r="G60">
        <f>_xlfn.LET(
_xlpm.id,tblTargetStatus[[#This Row],[TargetID]],
_xlpm.depCount,COUNTIF(tblDependencies[TargetID],_xlpm.id),
_xlpm.objCount,COUNTIF(tblQuestObjectives[QuestTargetID],_xlpm.id),
_xlpm.depCount+_xlpm.objCount
)</f>
        <v>2</v>
      </c>
      <c r="H60">
        <f>tblTargetStatus[[#This Row],[DependencyCount]]</f>
        <v>2</v>
      </c>
      <c r="I60" cm="1">
        <f t="array" ref="I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
        <f>tblTargetStatus[[#This Row],[CompletedDependencyCount]]</f>
        <v>0</v>
      </c>
      <c r="K60" t="b">
        <f>tblTargetStatus[[#This Row],[CompletedDependencies]]=tblTargetStatus[[#This Row],[TotalDependencies]]</f>
        <v>0</v>
      </c>
      <c r="L60">
        <f>tblTargetStatus[[#This Row],[TotalDependencies]]-tblTargetStatus[[#This Row],[CompletedDependencies]]</f>
        <v>2</v>
      </c>
      <c r="M60" t="str" cm="1">
        <f t="array" ref="M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quest.ahead_of_time_chapter_4.finished</v>
      </c>
      <c r="N60" t="str">
        <f>IF(tblTargetStatus[[#This Row],[FirstMissingDependencyID]]="","",_xlfn.XLOOKUP(tblTargetStatus[[#This Row],[FirstMissingDependencyID]],tblTargets[TargetID],tblTargets[DisplayName],tblTargetStatus[[#This Row],[FirstMissingDependencyID]]))</f>
        <v>Ahead of Time Chapter 4 Finished</v>
      </c>
      <c r="O60" t="str" cm="1">
        <f t="array" ref="O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crypto,10 mechanism,10 drum,3 mspider,2 ninja,40 microchip,40 floppy,30 blueprint</v>
      </c>
      <c r="P60" t="str">
        <f>IF(tblTargetStatus[[#This Row],[FirstMissingDependencyID]]="","",_xlfn.XLOOKUP(tblTargetStatus[[#This Row],[FirstMissingDependencyID]],tblTargetStatus[TargetID],tblTargetStatus[Status],""))</f>
        <v>BLOCKED</v>
      </c>
      <c r="Q60" t="str">
        <f>IF(
 tblTargetStatus[[#This Row],[Status]]&lt;&gt;"BLOCKED",
 tblTargetStatus[[#This Row],[Status]],
 IF(
  AND(
   tblTargetStatus[[#This Row],[MissingDependencies]]=1,
   tblTargetStatus[[#This Row],[FirstMissingStatus]]="READY"
  ),
  "ONE AWAY",
  "BLOCKED"
 )
)</f>
        <v>BLOCKED</v>
      </c>
      <c r="R60" t="str">
        <f>IF(
 OR(
  tblTargetStatus[[#This Row],[StateType]]="CHARACTER",
  RIGHT(tblTargetStatus[[#This Row],[TargetID]],6)=".maxed"
 ),
 0,
 _xlfn.LET(
  _xlpm.sort,
   _xlfn.XLOOKUP(
    tblTargetStatus[[#This Row],[TargetID]],
    tblChecklist[TargetID],
    tblChecklist[PlayerSort],
    0
   ),
  IF(_xlpm.sort=0,500,_xlpm.sort)
 )
)</f>
        <v/>
      </c>
      <c r="S60" t="str" cm="1">
        <f t="array" ref="S6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60" t="str">
        <f>_xlfn.XLOOKUP(tblTargetStatus[[#This Row],[TargetID]],tblTargets[TargetID],tblTargets[CompletionMethod],"")</f>
        <v>PLAYER</v>
      </c>
      <c r="U60" t="b">
        <f>COUNTIF(
    tblCost[TargetID],
    tblTargetStatus[[#This Row],[TargetID]]
)&gt;0</f>
        <v>1</v>
      </c>
      <c r="V60" s="81">
        <f>IF(tblTargetStatus[[#This Row],[HasCost]]=FALSE,
"N/A",
_xlfn.XLOOKUP(
tblTargetStatus[[#This Row],[TargetID]],
tblCost[TargetID],
tblCost[FundingPercent],
""
)
)</f>
        <v>0</v>
      </c>
      <c r="W60">
        <f>IF(
COUNTIF(tblCost[TargetID],tblTargetStatus[[#This Row],[TargetID]])=0,
"",
_xlfn.XLOOKUP(
tblTargetStatus[[#This Row],[TargetID]],
tblCost[TargetID],
tblCost[RemainingRequirements],
""
)
)</f>
        <v>9</v>
      </c>
      <c r="X60" s="79" t="b">
        <f>IF(tblTargetStatus[[#This Row],[HasCost]]=FALSE,"N/A",_xlfn.XLOOKUP(
tblTargetStatus[[#This Row],[TargetID]],
tblCost[TargetID],
tblCost[TargetFunded],
TRUE
))</f>
        <v>0</v>
      </c>
      <c r="Y60" t="str" cm="1">
        <f t="array" ref="Y60">_xlfn.TEXTJOIN(
", ",
TRUE,
_xlfn._xlws.FILTER(
tblCost[ResourceID]&amp;": "&amp;tblCost[QuantityRequired],
(tblCost[TargetID]=tblTargetStatus[[#This Row],[TargetID]])*
(tblCost[PlayerPaid]=FALSE),
""
)
)</f>
        <v>ruby: 3, crypto: 500, mechanism: 10, drum: 10, mspider: 3, ninja: 2, microchip: 40, floppy: 40, blueprint: 30</v>
      </c>
      <c r="Z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 t="str" cm="1">
        <f t="array" ref="AA6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 spans="1:27">
      <c r="A61" t="s">
        <v>2681</v>
      </c>
      <c r="B61" t="str">
        <f>_xlfn.XLOOKUP(tblTargetStatus[[#This Row],[TargetID]],tblTargets[TargetID],tblTargets[DisplayName],"")</f>
        <v>Laboratory maxed</v>
      </c>
      <c r="C61" t="str">
        <f>IF(tblTargetStatus[[#This Row],[PlayerCompleted]],"COMPLETED",IF(tblTargetStatus[[#This Row],[MissingDependencies]]=0,"READY","BLOCKED"))</f>
        <v>BLOCKED</v>
      </c>
      <c r="D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 t="str">
        <f>_xlfn.XLOOKUP(tblTargetStatus[[#This Row],[TargetID]],tblTargets[TargetID],tblTargets[TargetType],"")</f>
        <v>BUILDING</v>
      </c>
      <c r="F61" t="str">
        <f>_xlfn.XLOOKUP(tblTargetStatus[[#This Row],[TargetID]],tblTargets[TargetID],tblTargets[StateType])</f>
        <v/>
      </c>
      <c r="G61">
        <f>_xlfn.LET(
_xlpm.id,tblTargetStatus[[#This Row],[TargetID]],
_xlpm.depCount,COUNTIF(tblDependencies[TargetID],_xlpm.id),
_xlpm.objCount,COUNTIF(tblQuestObjectives[QuestTargetID],_xlpm.id),
_xlpm.depCount+_xlpm.objCount
)</f>
        <v>1</v>
      </c>
      <c r="H61">
        <f>tblTargetStatus[[#This Row],[DependencyCount]]</f>
        <v>1</v>
      </c>
      <c r="I61" cm="1">
        <f t="array" ref="I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
        <f>tblTargetStatus[[#This Row],[CompletedDependencyCount]]</f>
        <v>0</v>
      </c>
      <c r="K61" t="b">
        <f>tblTargetStatus[[#This Row],[CompletedDependencies]]=tblTargetStatus[[#This Row],[TotalDependencies]]</f>
        <v>0</v>
      </c>
      <c r="L61">
        <f>tblTargetStatus[[#This Row],[TotalDependencies]]-tblTargetStatus[[#This Row],[CompletedDependencies]]</f>
        <v>1</v>
      </c>
      <c r="M61" t="str" cm="1">
        <f t="array" ref="M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building.laboratory@5</v>
      </c>
      <c r="N61" t="str">
        <f>IF(tblTargetStatus[[#This Row],[FirstMissingDependencyID]]="","",_xlfn.XLOOKUP(tblTargetStatus[[#This Row],[FirstMissingDependencyID]],tblTargets[TargetID],tblTargets[DisplayName],tblTargetStatus[[#This Row],[FirstMissingDependencyID]]))</f>
        <v>Laboratory Lv 5</v>
      </c>
      <c r="O61" s="2" t="str" cm="1">
        <f t="array" ref="O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 t="str">
        <f>IF(tblTargetStatus[[#This Row],[FirstMissingDependencyID]]="","",_xlfn.XLOOKUP(tblTargetStatus[[#This Row],[FirstMissingDependencyID]],tblTargetStatus[TargetID],tblTargetStatus[Status],""))</f>
        <v>BLOCKED</v>
      </c>
      <c r="Q61" t="str">
        <f>IF(
 tblTargetStatus[[#This Row],[Status]]&lt;&gt;"BLOCKED",
 tblTargetStatus[[#This Row],[Status]],
 IF(
  AND(
   tblTargetStatus[[#This Row],[MissingDependencies]]=1,
   tblTargetStatus[[#This Row],[FirstMissingStatus]]="READY"
  ),
  "ONE AWAY",
  "BLOCKED"
 )
)</f>
        <v>BLOCKED</v>
      </c>
      <c r="R61">
        <f>IF(
 OR(
  tblTargetStatus[[#This Row],[StateType]]="CHARACTER",
  RIGHT(tblTargetStatus[[#This Row],[TargetID]],6)=".maxed"
 ),
 0,
 _xlfn.LET(
  _xlpm.sort,
   _xlfn.XLOOKUP(
    tblTargetStatus[[#This Row],[TargetID]],
    tblChecklist[TargetID],
    tblChecklist[PlayerSort],
    0
   ),
  IF(_xlpm.sort=0,500,_xlpm.sort)
 )
)</f>
        <v>0</v>
      </c>
      <c r="S61" t="str" cm="1">
        <f t="array" ref="S6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Data Center Lv 1, Laboratory - Digitization, Laboratory - Experiments, Laboratory - Research And Development</v>
      </c>
      <c r="T61" t="str">
        <f>_xlfn.XLOOKUP(tblTargetStatus[[#This Row],[TargetID]],tblTargets[TargetID],tblTargets[CompletionMethod],"")</f>
        <v>AUTO</v>
      </c>
      <c r="U61" t="b">
        <f>COUNTIF(
    tblCost[TargetID],
    tblTargetStatus[[#This Row],[TargetID]]
)&gt;0</f>
        <v>0</v>
      </c>
      <c r="V61" s="81" t="str">
        <f>IF(tblTargetStatus[[#This Row],[HasCost]]=FALSE,
"N/A",
_xlfn.XLOOKUP(
tblTargetStatus[[#This Row],[TargetID]],
tblCost[TargetID],
tblCost[FundingPercent],
""
)
)</f>
        <v>N/A</v>
      </c>
      <c r="W61" t="str">
        <f>IF(
COUNTIF(tblCost[TargetID],tblTargetStatus[[#This Row],[TargetID]])=0,
"",
_xlfn.XLOOKUP(
tblTargetStatus[[#This Row],[TargetID]],
tblCost[TargetID],
tblCost[RemainingRequirements],
""
)
)</f>
        <v/>
      </c>
      <c r="X61" s="79" t="str">
        <f>IF(tblTargetStatus[[#This Row],[HasCost]]=FALSE,"N/A",_xlfn.XLOOKUP(
tblTargetStatus[[#This Row],[TargetID]],
tblCost[TargetID],
tblCost[TargetFunded],
TRUE
))</f>
        <v>N/A</v>
      </c>
      <c r="Y61" t="str" cm="1">
        <f t="array" ref="Y61">_xlfn.TEXTJOIN(
", ",
TRUE,
_xlfn._xlws.FILTER(
tblCost[ResourceID]&amp;": "&amp;tblCost[QuantityRequired],
(tblCost[TargetID]=tblTargetStatus[[#This Row],[TargetID]])*
(tblCost[PlayerPaid]=FALSE),
""
)
)</f>
        <v/>
      </c>
      <c r="Z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 t="str" cm="1">
        <f t="array" ref="AA6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2" spans="1:27">
      <c r="A62" t="s">
        <v>80</v>
      </c>
      <c r="B62" t="str">
        <f>_xlfn.XLOOKUP(tblTargetStatus[[#This Row],[TargetID]],tblTargets[TargetID],tblTargets[DisplayName],"")</f>
        <v>Laboratory Lv 1</v>
      </c>
      <c r="C62" t="str">
        <f>IF(tblTargetStatus[[#This Row],[PlayerCompleted]],"COMPLETED",IF(tblTargetStatus[[#This Row],[MissingDependencies]]=0,"READY","BLOCKED"))</f>
        <v>BLOCKED</v>
      </c>
      <c r="D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2" t="str">
        <f>_xlfn.XLOOKUP(tblTargetStatus[[#This Row],[TargetID]],tblTargets[TargetID],tblTargets[TargetType],"")</f>
        <v>BUILDING</v>
      </c>
      <c r="F62" t="str">
        <f>_xlfn.XLOOKUP(tblTargetStatus[[#This Row],[TargetID]],tblTargets[TargetID],tblTargets[StateType])</f>
        <v/>
      </c>
      <c r="G62">
        <f>_xlfn.LET(
_xlpm.id,tblTargetStatus[[#This Row],[TargetID]],
_xlpm.depCount,COUNTIF(tblDependencies[TargetID],_xlpm.id),
_xlpm.objCount,COUNTIF(tblQuestObjectives[QuestTargetID],_xlpm.id),
_xlpm.depCount+_xlpm.objCount
)</f>
        <v>4</v>
      </c>
      <c r="H62">
        <f>tblTargetStatus[[#This Row],[DependencyCount]]</f>
        <v>4</v>
      </c>
      <c r="I62" cm="1">
        <f t="array" ref="I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2">
        <f>tblTargetStatus[[#This Row],[CompletedDependencyCount]]</f>
        <v>0</v>
      </c>
      <c r="K62" t="b">
        <f>tblTargetStatus[[#This Row],[CompletedDependencies]]=tblTargetStatus[[#This Row],[TotalDependencies]]</f>
        <v>0</v>
      </c>
      <c r="L62">
        <f>tblTargetStatus[[#This Row],[TotalDependencies]]-tblTargetStatus[[#This Row],[CompletedDependencies]]</f>
        <v>4</v>
      </c>
      <c r="M62" t="str" cm="1">
        <f t="array" ref="M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62" t="str">
        <f>IF(tblTargetStatus[[#This Row],[FirstMissingDependencyID]]="","",_xlfn.XLOOKUP(tblTargetStatus[[#This Row],[FirstMissingDependencyID]],tblTargets[TargetID],tblTargets[DisplayName],tblTargetStatus[[#This Row],[FirstMissingDependencyID]]))</f>
        <v>Ahead of Time Chapter 1 Accepted</v>
      </c>
      <c r="O62" t="str" cm="1">
        <f t="array" ref="O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ruby,1000 coin,500 stone,300 steel,50 glass,100 chemicals,30 mechanism,40 blueprint,2 malu</v>
      </c>
      <c r="P62" t="str">
        <f>IF(tblTargetStatus[[#This Row],[FirstMissingDependencyID]]="","",_xlfn.XLOOKUP(tblTargetStatus[[#This Row],[FirstMissingDependencyID]],tblTargetStatus[TargetID],tblTargetStatus[Status],""))</f>
        <v>BLOCKED</v>
      </c>
      <c r="Q62" t="str">
        <f>IF(
 tblTargetStatus[[#This Row],[Status]]&lt;&gt;"BLOCKED",
 tblTargetStatus[[#This Row],[Status]],
 IF(
  AND(
   tblTargetStatus[[#This Row],[MissingDependencies]]=1,
   tblTargetStatus[[#This Row],[FirstMissingStatus]]="READY"
  ),
  "ONE AWAY",
  "BLOCKED"
 )
)</f>
        <v>BLOCKED</v>
      </c>
      <c r="R62">
        <f>IF(
 OR(
  tblTargetStatus[[#This Row],[StateType]]="CHARACTER",
  RIGHT(tblTargetStatus[[#This Row],[TargetID]],6)=".maxed"
 ),
 0,
 _xlfn.LET(
  _xlpm.sort,
   _xlfn.XLOOKUP(
    tblTargetStatus[[#This Row],[TargetID]],
    tblChecklist[TargetID],
    tblChecklist[PlayerSort],
    0
   ),
  IF(_xlpm.sort=0,500,_xlpm.sort)
 )
)</f>
        <v>66</v>
      </c>
      <c r="S62" t="str" cm="1">
        <f t="array" ref="S6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Lv 2</v>
      </c>
      <c r="T62" t="str">
        <f>_xlfn.XLOOKUP(tblTargetStatus[[#This Row],[TargetID]],tblTargets[TargetID],tblTargets[CompletionMethod],"")</f>
        <v>PLAYER</v>
      </c>
      <c r="U62" t="b">
        <f>COUNTIF(
    tblCost[TargetID],
    tblTargetStatus[[#This Row],[TargetID]]
)&gt;0</f>
        <v>1</v>
      </c>
      <c r="V62" s="81">
        <f>IF(tblTargetStatus[[#This Row],[HasCost]]=FALSE,
"N/A",
_xlfn.XLOOKUP(
tblTargetStatus[[#This Row],[TargetID]],
tblCost[TargetID],
tblCost[FundingPercent],
""
)
)</f>
        <v>0</v>
      </c>
      <c r="W62">
        <f>IF(
COUNTIF(tblCost[TargetID],tblTargetStatus[[#This Row],[TargetID]])=0,
"",
_xlfn.XLOOKUP(
tblTargetStatus[[#This Row],[TargetID]],
tblCost[TargetID],
tblCost[RemainingRequirements],
""
)
)</f>
        <v>9</v>
      </c>
      <c r="X62" s="79" t="b">
        <f>IF(tblTargetStatus[[#This Row],[HasCost]]=FALSE,"N/A",_xlfn.XLOOKUP(
tblTargetStatus[[#This Row],[TargetID]],
tblCost[TargetID],
tblCost[TargetFunded],
TRUE
))</f>
        <v>0</v>
      </c>
      <c r="Y62" t="str" cm="1">
        <f t="array" ref="Y62">_xlfn.TEXTJOIN(
", ",
TRUE,
_xlfn._xlws.FILTER(
tblCost[ResourceID]&amp;": "&amp;tblCost[QuantityRequired],
(tblCost[TargetID]=tblTargetStatus[[#This Row],[TargetID]])*
(tblCost[PlayerPaid]=FALSE),
""
)
)</f>
        <v>ruby: 6, coin: 1000, stone: 500, steel: 300, glass: 50, chemicals: 100, mechanism: 30, blueprint: 40, malu: 2</v>
      </c>
      <c r="Z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2" t="str" cm="1">
        <f t="array" ref="AA6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3" spans="1:27">
      <c r="A63" t="s">
        <v>83</v>
      </c>
      <c r="B63" t="str">
        <f>_xlfn.XLOOKUP(tblTargetStatus[[#This Row],[TargetID]],tblTargets[TargetID],tblTargets[DisplayName],"")</f>
        <v>Laboratory Lv 2</v>
      </c>
      <c r="C63" t="str">
        <f>IF(tblTargetStatus[[#This Row],[PlayerCompleted]],"COMPLETED",IF(tblTargetStatus[[#This Row],[MissingDependencies]]=0,"READY","BLOCKED"))</f>
        <v>BLOCKED</v>
      </c>
      <c r="D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3" t="str">
        <f>_xlfn.XLOOKUP(tblTargetStatus[[#This Row],[TargetID]],tblTargets[TargetID],tblTargets[TargetType],"")</f>
        <v>BUILDING</v>
      </c>
      <c r="F63" t="str">
        <f>_xlfn.XLOOKUP(tblTargetStatus[[#This Row],[TargetID]],tblTargets[TargetID],tblTargets[StateType])</f>
        <v/>
      </c>
      <c r="G63">
        <f>_xlfn.LET(
_xlpm.id,tblTargetStatus[[#This Row],[TargetID]],
_xlpm.depCount,COUNTIF(tblDependencies[TargetID],_xlpm.id),
_xlpm.objCount,COUNTIF(tblQuestObjectives[QuestTargetID],_xlpm.id),
_xlpm.depCount+_xlpm.objCount
)</f>
        <v>1</v>
      </c>
      <c r="H63">
        <f>tblTargetStatus[[#This Row],[DependencyCount]]</f>
        <v>1</v>
      </c>
      <c r="I63" cm="1">
        <f t="array" ref="I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3">
        <f>tblTargetStatus[[#This Row],[CompletedDependencyCount]]</f>
        <v>0</v>
      </c>
      <c r="K63" t="b">
        <f>tblTargetStatus[[#This Row],[CompletedDependencies]]=tblTargetStatus[[#This Row],[TotalDependencies]]</f>
        <v>0</v>
      </c>
      <c r="L63">
        <f>tblTargetStatus[[#This Row],[TotalDependencies]]-tblTargetStatus[[#This Row],[CompletedDependencies]]</f>
        <v>1</v>
      </c>
      <c r="M63" t="str" cm="1">
        <f t="array" ref="M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building.laboratory@1</v>
      </c>
      <c r="N63" t="str">
        <f>IF(tblTargetStatus[[#This Row],[FirstMissingDependencyID]]="","",_xlfn.XLOOKUP(tblTargetStatus[[#This Row],[FirstMissingDependencyID]],tblTargets[TargetID],tblTargets[DisplayName],tblTargetStatus[[#This Row],[FirstMissingDependencyID]]))</f>
        <v>Laboratory Lv 1</v>
      </c>
      <c r="O63" t="str" cm="1">
        <f t="array" ref="O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7 ruby,1000 coin,600 stone,400 steel,70 glass,30 mercury,20 titanium,40 blueprint,2 malu</v>
      </c>
      <c r="P63" t="str">
        <f>IF(tblTargetStatus[[#This Row],[FirstMissingDependencyID]]="","",_xlfn.XLOOKUP(tblTargetStatus[[#This Row],[FirstMissingDependencyID]],tblTargetStatus[TargetID],tblTargetStatus[Status],""))</f>
        <v>BLOCKED</v>
      </c>
      <c r="Q63" t="str">
        <f>IF(
 tblTargetStatus[[#This Row],[Status]]&lt;&gt;"BLOCKED",
 tblTargetStatus[[#This Row],[Status]],
 IF(
  AND(
   tblTargetStatus[[#This Row],[MissingDependencies]]=1,
   tblTargetStatus[[#This Row],[FirstMissingStatus]]="READY"
  ),
  "ONE AWAY",
  "BLOCKED"
 )
)</f>
        <v>BLOCKED</v>
      </c>
      <c r="R63">
        <f>IF(
 OR(
  tblTargetStatus[[#This Row],[StateType]]="CHARACTER",
  RIGHT(tblTargetStatus[[#This Row],[TargetID]],6)=".maxed"
 ),
 0,
 _xlfn.LET(
  _xlpm.sort,
   _xlfn.XLOOKUP(
    tblTargetStatus[[#This Row],[TargetID]],
    tblChecklist[TargetID],
    tblChecklist[PlayerSort],
    0
   ),
  IF(_xlpm.sort=0,500,_xlpm.sort)
 )
)</f>
        <v>67</v>
      </c>
      <c r="S63" t="str" cm="1">
        <f t="array" ref="S6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Lv 3</v>
      </c>
      <c r="T63" t="str">
        <f>_xlfn.XLOOKUP(tblTargetStatus[[#This Row],[TargetID]],tblTargets[TargetID],tblTargets[CompletionMethod],"")</f>
        <v>PLAYER</v>
      </c>
      <c r="U63" t="b">
        <f>COUNTIF(
    tblCost[TargetID],
    tblTargetStatus[[#This Row],[TargetID]]
)&gt;0</f>
        <v>1</v>
      </c>
      <c r="V63" s="81">
        <f>IF(tblTargetStatus[[#This Row],[HasCost]]=FALSE,
"N/A",
_xlfn.XLOOKUP(
tblTargetStatus[[#This Row],[TargetID]],
tblCost[TargetID],
tblCost[FundingPercent],
""
)
)</f>
        <v>0</v>
      </c>
      <c r="W63">
        <f>IF(
COUNTIF(tblCost[TargetID],tblTargetStatus[[#This Row],[TargetID]])=0,
"",
_xlfn.XLOOKUP(
tblTargetStatus[[#This Row],[TargetID]],
tblCost[TargetID],
tblCost[RemainingRequirements],
""
)
)</f>
        <v>9</v>
      </c>
      <c r="X63" s="79" t="b">
        <f>IF(tblTargetStatus[[#This Row],[HasCost]]=FALSE,"N/A",_xlfn.XLOOKUP(
tblTargetStatus[[#This Row],[TargetID]],
tblCost[TargetID],
tblCost[TargetFunded],
TRUE
))</f>
        <v>0</v>
      </c>
      <c r="Y63" t="str" cm="1">
        <f t="array" ref="Y63">_xlfn.TEXTJOIN(
", ",
TRUE,
_xlfn._xlws.FILTER(
tblCost[ResourceID]&amp;": "&amp;tblCost[QuantityRequired],
(tblCost[TargetID]=tblTargetStatus[[#This Row],[TargetID]])*
(tblCost[PlayerPaid]=FALSE),
""
)
)</f>
        <v>ruby: 7, coin: 1000, stone: 600, steel: 400, glass: 70, mercury: 30, titanium: 20, blueprint: 40, malu: 2</v>
      </c>
      <c r="Z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3" t="str" cm="1">
        <f t="array" ref="AA6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4" spans="1:27">
      <c r="A64" t="s">
        <v>84</v>
      </c>
      <c r="B64" t="str">
        <f>_xlfn.XLOOKUP(tblTargetStatus[[#This Row],[TargetID]],tblTargets[TargetID],tblTargets[DisplayName],"")</f>
        <v>Laboratory Lv 3</v>
      </c>
      <c r="C64" t="str">
        <f>IF(tblTargetStatus[[#This Row],[PlayerCompleted]],"COMPLETED",IF(tblTargetStatus[[#This Row],[MissingDependencies]]=0,"READY","BLOCKED"))</f>
        <v>BLOCKED</v>
      </c>
      <c r="D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4" t="str">
        <f>_xlfn.XLOOKUP(tblTargetStatus[[#This Row],[TargetID]],tblTargets[TargetID],tblTargets[TargetType],"")</f>
        <v>BUILDING</v>
      </c>
      <c r="F64" t="str">
        <f>_xlfn.XLOOKUP(tblTargetStatus[[#This Row],[TargetID]],tblTargets[TargetID],tblTargets[StateType])</f>
        <v/>
      </c>
      <c r="G64">
        <f>_xlfn.LET(
_xlpm.id,tblTargetStatus[[#This Row],[TargetID]],
_xlpm.depCount,COUNTIF(tblDependencies[TargetID],_xlpm.id),
_xlpm.objCount,COUNTIF(tblQuestObjectives[QuestTargetID],_xlpm.id),
_xlpm.depCount+_xlpm.objCount
)</f>
        <v>1</v>
      </c>
      <c r="H64">
        <f>tblTargetStatus[[#This Row],[DependencyCount]]</f>
        <v>1</v>
      </c>
      <c r="I64" cm="1">
        <f t="array" ref="I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4">
        <f>tblTargetStatus[[#This Row],[CompletedDependencyCount]]</f>
        <v>0</v>
      </c>
      <c r="K64" t="b">
        <f>tblTargetStatus[[#This Row],[CompletedDependencies]]=tblTargetStatus[[#This Row],[TotalDependencies]]</f>
        <v>0</v>
      </c>
      <c r="L64">
        <f>tblTargetStatus[[#This Row],[TotalDependencies]]-tblTargetStatus[[#This Row],[CompletedDependencies]]</f>
        <v>1</v>
      </c>
      <c r="M64" t="str" cm="1">
        <f t="array" ref="M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building.laboratory@2</v>
      </c>
      <c r="N64" t="str">
        <f>IF(tblTargetStatus[[#This Row],[FirstMissingDependencyID]]="","",_xlfn.XLOOKUP(tblTargetStatus[[#This Row],[FirstMissingDependencyID]],tblTargets[TargetID],tblTargets[DisplayName],tblTargetStatus[[#This Row],[FirstMissingDependencyID]]))</f>
        <v>Laboratory Lv 2</v>
      </c>
      <c r="O64" t="str" cm="1">
        <f t="array" ref="O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ruby,1500 coin,600 stone,400 steel,100 glass,20 bluecrystal,20 pcard,40 blueprint,2 malu</v>
      </c>
      <c r="P64" t="str">
        <f>IF(tblTargetStatus[[#This Row],[FirstMissingDependencyID]]="","",_xlfn.XLOOKUP(tblTargetStatus[[#This Row],[FirstMissingDependencyID]],tblTargetStatus[TargetID],tblTargetStatus[Status],""))</f>
        <v>BLOCKED</v>
      </c>
      <c r="Q64" t="str">
        <f>IF(
 tblTargetStatus[[#This Row],[Status]]&lt;&gt;"BLOCKED",
 tblTargetStatus[[#This Row],[Status]],
 IF(
  AND(
   tblTargetStatus[[#This Row],[MissingDependencies]]=1,
   tblTargetStatus[[#This Row],[FirstMissingStatus]]="READY"
  ),
  "ONE AWAY",
  "BLOCKED"
 )
)</f>
        <v>BLOCKED</v>
      </c>
      <c r="R64">
        <f>IF(
 OR(
  tblTargetStatus[[#This Row],[StateType]]="CHARACTER",
  RIGHT(tblTargetStatus[[#This Row],[TargetID]],6)=".maxed"
 ),
 0,
 _xlfn.LET(
  _xlpm.sort,
   _xlfn.XLOOKUP(
    tblTargetStatus[[#This Row],[TargetID]],
    tblChecklist[TargetID],
    tblChecklist[PlayerSort],
    0
   ),
  IF(_xlpm.sort=0,500,_xlpm.sort)
 )
)</f>
        <v>68</v>
      </c>
      <c r="S64" t="str" cm="1">
        <f t="array" ref="S6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Lv 4</v>
      </c>
      <c r="T64" t="str">
        <f>_xlfn.XLOOKUP(tblTargetStatus[[#This Row],[TargetID]],tblTargets[TargetID],tblTargets[CompletionMethod],"")</f>
        <v>PLAYER</v>
      </c>
      <c r="U64" t="b">
        <f>COUNTIF(
    tblCost[TargetID],
    tblTargetStatus[[#This Row],[TargetID]]
)&gt;0</f>
        <v>1</v>
      </c>
      <c r="V64" s="81">
        <f>IF(tblTargetStatus[[#This Row],[HasCost]]=FALSE,
"N/A",
_xlfn.XLOOKUP(
tblTargetStatus[[#This Row],[TargetID]],
tblCost[TargetID],
tblCost[FundingPercent],
""
)
)</f>
        <v>0</v>
      </c>
      <c r="W64">
        <f>IF(
COUNTIF(tblCost[TargetID],tblTargetStatus[[#This Row],[TargetID]])=0,
"",
_xlfn.XLOOKUP(
tblTargetStatus[[#This Row],[TargetID]],
tblCost[TargetID],
tblCost[RemainingRequirements],
""
)
)</f>
        <v>9</v>
      </c>
      <c r="X64" s="79" t="b">
        <f>IF(tblTargetStatus[[#This Row],[HasCost]]=FALSE,"N/A",_xlfn.XLOOKUP(
tblTargetStatus[[#This Row],[TargetID]],
tblCost[TargetID],
tblCost[TargetFunded],
TRUE
))</f>
        <v>0</v>
      </c>
      <c r="Y64" t="str" cm="1">
        <f t="array" ref="Y64">_xlfn.TEXTJOIN(
", ",
TRUE,
_xlfn._xlws.FILTER(
tblCost[ResourceID]&amp;": "&amp;tblCost[QuantityRequired],
(tblCost[TargetID]=tblTargetStatus[[#This Row],[TargetID]])*
(tblCost[PlayerPaid]=FALSE),
""
)
)</f>
        <v>ruby: 8, coin: 1500, stone: 600, steel: 400, glass: 100, bluecrystal: 20, pcard: 20, blueprint: 40, malu: 2</v>
      </c>
      <c r="Z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4" t="str" cm="1">
        <f t="array" ref="AA6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5" spans="1:27">
      <c r="A65" t="s">
        <v>85</v>
      </c>
      <c r="B65" t="str">
        <f>_xlfn.XLOOKUP(tblTargetStatus[[#This Row],[TargetID]],tblTargets[TargetID],tblTargets[DisplayName],"")</f>
        <v>Laboratory Lv 4</v>
      </c>
      <c r="C65" t="str">
        <f>IF(tblTargetStatus[[#This Row],[PlayerCompleted]],"COMPLETED",IF(tblTargetStatus[[#This Row],[MissingDependencies]]=0,"READY","BLOCKED"))</f>
        <v>BLOCKED</v>
      </c>
      <c r="D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5" t="str">
        <f>_xlfn.XLOOKUP(tblTargetStatus[[#This Row],[TargetID]],tblTargets[TargetID],tblTargets[TargetType],"")</f>
        <v>BUILDING</v>
      </c>
      <c r="F65" t="str">
        <f>_xlfn.XLOOKUP(tblTargetStatus[[#This Row],[TargetID]],tblTargets[TargetID],tblTargets[StateType])</f>
        <v/>
      </c>
      <c r="G65">
        <f>_xlfn.LET(
_xlpm.id,tblTargetStatus[[#This Row],[TargetID]],
_xlpm.depCount,COUNTIF(tblDependencies[TargetID],_xlpm.id),
_xlpm.objCount,COUNTIF(tblQuestObjectives[QuestTargetID],_xlpm.id),
_xlpm.depCount+_xlpm.objCount
)</f>
        <v>1</v>
      </c>
      <c r="H65">
        <f>tblTargetStatus[[#This Row],[DependencyCount]]</f>
        <v>1</v>
      </c>
      <c r="I65" cm="1">
        <f t="array" ref="I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5">
        <f>tblTargetStatus[[#This Row],[CompletedDependencyCount]]</f>
        <v>0</v>
      </c>
      <c r="K65" t="b">
        <f>tblTargetStatus[[#This Row],[CompletedDependencies]]=tblTargetStatus[[#This Row],[TotalDependencies]]</f>
        <v>0</v>
      </c>
      <c r="L65">
        <f>tblTargetStatus[[#This Row],[TotalDependencies]]-tblTargetStatus[[#This Row],[CompletedDependencies]]</f>
        <v>1</v>
      </c>
      <c r="M65" t="str" cm="1">
        <f t="array" ref="M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building.laboratory@3</v>
      </c>
      <c r="N65" t="str">
        <f>IF(tblTargetStatus[[#This Row],[FirstMissingDependencyID]]="","",_xlfn.XLOOKUP(tblTargetStatus[[#This Row],[FirstMissingDependencyID]],tblTargets[TargetID],tblTargets[DisplayName],tblTargetStatus[[#This Row],[FirstMissingDependencyID]]))</f>
        <v>Laboratory Lv 3</v>
      </c>
      <c r="O65" t="str" cm="1">
        <f t="array" ref="O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ruby,2000 coin,600 stone,400 steel,20 redcrystal,20 greencrystal,30 pcard,40 blueprint,1 malu</v>
      </c>
      <c r="P65" t="str">
        <f>IF(tblTargetStatus[[#This Row],[FirstMissingDependencyID]]="","",_xlfn.XLOOKUP(tblTargetStatus[[#This Row],[FirstMissingDependencyID]],tblTargetStatus[TargetID],tblTargetStatus[Status],""))</f>
        <v>BLOCKED</v>
      </c>
      <c r="Q65" t="str">
        <f>IF(
 tblTargetStatus[[#This Row],[Status]]&lt;&gt;"BLOCKED",
 tblTargetStatus[[#This Row],[Status]],
 IF(
  AND(
   tblTargetStatus[[#This Row],[MissingDependencies]]=1,
   tblTargetStatus[[#This Row],[FirstMissingStatus]]="READY"
  ),
  "ONE AWAY",
  "BLOCKED"
 )
)</f>
        <v>BLOCKED</v>
      </c>
      <c r="R65">
        <f>IF(
 OR(
  tblTargetStatus[[#This Row],[StateType]]="CHARACTER",
  RIGHT(tblTargetStatus[[#This Row],[TargetID]],6)=".maxed"
 ),
 0,
 _xlfn.LET(
  _xlpm.sort,
   _xlfn.XLOOKUP(
    tblTargetStatus[[#This Row],[TargetID]],
    tblChecklist[TargetID],
    tblChecklist[PlayerSort],
    0
   ),
  IF(_xlpm.sort=0,500,_xlpm.sort)
 )
)</f>
        <v>75</v>
      </c>
      <c r="S65" t="str" cm="1">
        <f t="array" ref="S6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Lv 5</v>
      </c>
      <c r="T65" t="str">
        <f>_xlfn.XLOOKUP(tblTargetStatus[[#This Row],[TargetID]],tblTargets[TargetID],tblTargets[CompletionMethod],"")</f>
        <v>PLAYER</v>
      </c>
      <c r="U65" t="b">
        <f>COUNTIF(
    tblCost[TargetID],
    tblTargetStatus[[#This Row],[TargetID]]
)&gt;0</f>
        <v>1</v>
      </c>
      <c r="V65" s="81">
        <f>IF(tblTargetStatus[[#This Row],[HasCost]]=FALSE,
"N/A",
_xlfn.XLOOKUP(
tblTargetStatus[[#This Row],[TargetID]],
tblCost[TargetID],
tblCost[FundingPercent],
""
)
)</f>
        <v>0</v>
      </c>
      <c r="W65">
        <f>IF(
COUNTIF(tblCost[TargetID],tblTargetStatus[[#This Row],[TargetID]])=0,
"",
_xlfn.XLOOKUP(
tblTargetStatus[[#This Row],[TargetID]],
tblCost[TargetID],
tblCost[RemainingRequirements],
""
)
)</f>
        <v>9</v>
      </c>
      <c r="X65" s="79" t="b">
        <f>IF(tblTargetStatus[[#This Row],[HasCost]]=FALSE,"N/A",_xlfn.XLOOKUP(
tblTargetStatus[[#This Row],[TargetID]],
tblCost[TargetID],
tblCost[TargetFunded],
TRUE
))</f>
        <v>0</v>
      </c>
      <c r="Y65" t="str" cm="1">
        <f t="array" ref="Y65">_xlfn.TEXTJOIN(
", ",
TRUE,
_xlfn._xlws.FILTER(
tblCost[ResourceID]&amp;": "&amp;tblCost[QuantityRequired],
(tblCost[TargetID]=tblTargetStatus[[#This Row],[TargetID]])*
(tblCost[PlayerPaid]=FALSE),
""
)
)</f>
        <v>ruby: 9, coin: 2000, stone: 600, steel: 400, redcrystal: 20, greencrystal: 20, pcard: 30, blueprint: 40, malu: 1</v>
      </c>
      <c r="Z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5" t="str" cm="1">
        <f t="array" ref="AA6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6" spans="1:27">
      <c r="A66" t="s">
        <v>86</v>
      </c>
      <c r="B66" t="str">
        <f>_xlfn.XLOOKUP(tblTargetStatus[[#This Row],[TargetID]],tblTargets[TargetID],tblTargets[DisplayName],"")</f>
        <v>Laboratory Lv 5</v>
      </c>
      <c r="C66" t="str">
        <f>IF(tblTargetStatus[[#This Row],[PlayerCompleted]],"COMPLETED",IF(tblTargetStatus[[#This Row],[MissingDependencies]]=0,"READY","BLOCKED"))</f>
        <v>BLOCKED</v>
      </c>
      <c r="D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6" t="str">
        <f>_xlfn.XLOOKUP(tblTargetStatus[[#This Row],[TargetID]],tblTargets[TargetID],tblTargets[TargetType],"")</f>
        <v>BUILDING</v>
      </c>
      <c r="F66" t="str">
        <f>_xlfn.XLOOKUP(tblTargetStatus[[#This Row],[TargetID]],tblTargets[TargetID],tblTargets[StateType])</f>
        <v/>
      </c>
      <c r="G66">
        <f>_xlfn.LET(
_xlpm.id,tblTargetStatus[[#This Row],[TargetID]],
_xlpm.depCount,COUNTIF(tblDependencies[TargetID],_xlpm.id),
_xlpm.objCount,COUNTIF(tblQuestObjectives[QuestTargetID],_xlpm.id),
_xlpm.depCount+_xlpm.objCount
)</f>
        <v>1</v>
      </c>
      <c r="H66">
        <f>tblTargetStatus[[#This Row],[DependencyCount]]</f>
        <v>1</v>
      </c>
      <c r="I66" cm="1">
        <f t="array" ref="I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6">
        <f>tblTargetStatus[[#This Row],[CompletedDependencyCount]]</f>
        <v>0</v>
      </c>
      <c r="K66" t="b">
        <f>tblTargetStatus[[#This Row],[CompletedDependencies]]=tblTargetStatus[[#This Row],[TotalDependencies]]</f>
        <v>0</v>
      </c>
      <c r="L66">
        <f>tblTargetStatus[[#This Row],[TotalDependencies]]-tblTargetStatus[[#This Row],[CompletedDependencies]]</f>
        <v>1</v>
      </c>
      <c r="M66" t="str" cm="1">
        <f t="array" ref="M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building.laboratory@4</v>
      </c>
      <c r="N66" t="str">
        <f>IF(tblTargetStatus[[#This Row],[FirstMissingDependencyID]]="","",_xlfn.XLOOKUP(tblTargetStatus[[#This Row],[FirstMissingDependencyID]],tblTargets[TargetID],tblTargets[DisplayName],tblTargetStatus[[#This Row],[FirstMissingDependencyID]]))</f>
        <v>Laboratory Lv 4</v>
      </c>
      <c r="O66" t="str" cm="1">
        <f t="array" ref="O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ruby,2000 coin,700 stone,500 steel,30 mechanism,20 quartz,40 pcard,40 blueprint,1 malu</v>
      </c>
      <c r="P66" t="str">
        <f>IF(tblTargetStatus[[#This Row],[FirstMissingDependencyID]]="","",_xlfn.XLOOKUP(tblTargetStatus[[#This Row],[FirstMissingDependencyID]],tblTargetStatus[TargetID],tblTargetStatus[Status],""))</f>
        <v>BLOCKED</v>
      </c>
      <c r="Q66" t="str">
        <f>IF(
 tblTargetStatus[[#This Row],[Status]]&lt;&gt;"BLOCKED",
 tblTargetStatus[[#This Row],[Status]],
 IF(
  AND(
   tblTargetStatus[[#This Row],[MissingDependencies]]=1,
   tblTargetStatus[[#This Row],[FirstMissingStatus]]="READY"
  ),
  "ONE AWAY",
  "BLOCKED"
 )
)</f>
        <v>BLOCKED</v>
      </c>
      <c r="R66">
        <f>IF(
 OR(
  tblTargetStatus[[#This Row],[StateType]]="CHARACTER",
  RIGHT(tblTargetStatus[[#This Row],[TargetID]],6)=".maxed"
 ),
 0,
 _xlfn.LET(
  _xlpm.sort,
   _xlfn.XLOOKUP(
    tblTargetStatus[[#This Row],[TargetID]],
    tblChecklist[TargetID],
    tblChecklist[PlayerSort],
    0
   ),
  IF(_xlpm.sort=0,500,_xlpm.sort)
 )
)</f>
        <v>76</v>
      </c>
      <c r="S66" t="str" cm="1">
        <f t="array" ref="S6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maxed, Ahead of Time Chapter 1 Finished</v>
      </c>
      <c r="T66" t="str">
        <f>_xlfn.XLOOKUP(tblTargetStatus[[#This Row],[TargetID]],tblTargets[TargetID],tblTargets[CompletionMethod],"")</f>
        <v>PLAYER</v>
      </c>
      <c r="U66" t="b">
        <f>COUNTIF(
    tblCost[TargetID],
    tblTargetStatus[[#This Row],[TargetID]]
)&gt;0</f>
        <v>1</v>
      </c>
      <c r="V66" s="81">
        <f>IF(tblTargetStatus[[#This Row],[HasCost]]=FALSE,
"N/A",
_xlfn.XLOOKUP(
tblTargetStatus[[#This Row],[TargetID]],
tblCost[TargetID],
tblCost[FundingPercent],
""
)
)</f>
        <v>0</v>
      </c>
      <c r="W66">
        <f>IF(
COUNTIF(tblCost[TargetID],tblTargetStatus[[#This Row],[TargetID]])=0,
"",
_xlfn.XLOOKUP(
tblTargetStatus[[#This Row],[TargetID]],
tblCost[TargetID],
tblCost[RemainingRequirements],
""
)
)</f>
        <v>9</v>
      </c>
      <c r="X66" s="79" t="b">
        <f>IF(tblTargetStatus[[#This Row],[HasCost]]=FALSE,"N/A",_xlfn.XLOOKUP(
tblTargetStatus[[#This Row],[TargetID]],
tblCost[TargetID],
tblCost[TargetFunded],
TRUE
))</f>
        <v>0</v>
      </c>
      <c r="Y66" t="str" cm="1">
        <f t="array" ref="Y66">_xlfn.TEXTJOIN(
", ",
TRUE,
_xlfn._xlws.FILTER(
tblCost[ResourceID]&amp;": "&amp;tblCost[QuantityRequired],
(tblCost[TargetID]=tblTargetStatus[[#This Row],[TargetID]])*
(tblCost[PlayerPaid]=FALSE),
""
)
)</f>
        <v>ruby: 10, coin: 2000, stone: 700, steel: 500, mechanism: 30, quartz: 20, pcard: 40, blueprint: 40, malu: 1</v>
      </c>
      <c r="Z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6" t="str" cm="1">
        <f t="array" ref="AA6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7" spans="1:27">
      <c r="A67" t="s">
        <v>3175</v>
      </c>
      <c r="B67" t="str">
        <f>_xlfn.XLOOKUP(tblTargetStatus[[#This Row],[TargetID]],tblTargets[TargetID],tblTargets[DisplayName],"")</f>
        <v>Laboratory: Data Center maxed</v>
      </c>
      <c r="C67" t="str">
        <f>IF(tblTargetStatus[[#This Row],[PlayerCompleted]],"COMPLETED",IF(tblTargetStatus[[#This Row],[MissingDependencies]]=0,"READY","BLOCKED"))</f>
        <v>BLOCKED</v>
      </c>
      <c r="D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7" t="str">
        <f>_xlfn.XLOOKUP(tblTargetStatus[[#This Row],[TargetID]],tblTargets[TargetID],tblTargets[TargetType],"")</f>
        <v>BUILDING</v>
      </c>
      <c r="F67" t="str">
        <f>_xlfn.XLOOKUP(tblTargetStatus[[#This Row],[TargetID]],tblTargets[TargetID],tblTargets[StateType])</f>
        <v/>
      </c>
      <c r="G67">
        <f>_xlfn.LET(
_xlpm.id,tblTargetStatus[[#This Row],[TargetID]],
_xlpm.depCount,COUNTIF(tblDependencies[TargetID],_xlpm.id),
_xlpm.objCount,COUNTIF(tblQuestObjectives[QuestTargetID],_xlpm.id),
_xlpm.depCount+_xlpm.objCount
)</f>
        <v>1</v>
      </c>
      <c r="H67">
        <f>tblTargetStatus[[#This Row],[DependencyCount]]</f>
        <v>1</v>
      </c>
      <c r="I67" cm="1">
        <f t="array" ref="I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7">
        <f>tblTargetStatus[[#This Row],[CompletedDependencyCount]]</f>
        <v>0</v>
      </c>
      <c r="K67" t="b">
        <f>tblTargetStatus[[#This Row],[CompletedDependencies]]=tblTargetStatus[[#This Row],[TotalDependencies]]</f>
        <v>0</v>
      </c>
      <c r="L67">
        <f>tblTargetStatus[[#This Row],[TotalDependencies]]-tblTargetStatus[[#This Row],[CompletedDependencies]]</f>
        <v>1</v>
      </c>
      <c r="M67" t="str" cm="1">
        <f t="array" ref="M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building.laboratory_data_center@1</v>
      </c>
      <c r="N67" t="str">
        <f>IF(tblTargetStatus[[#This Row],[FirstMissingDependencyID]]="","",_xlfn.XLOOKUP(tblTargetStatus[[#This Row],[FirstMissingDependencyID]],tblTargets[TargetID],tblTargets[DisplayName],tblTargetStatus[[#This Row],[FirstMissingDependencyID]]))</f>
        <v>Laboratory: Data Center Lv 1</v>
      </c>
      <c r="O67" s="2" t="str" cm="1">
        <f t="array" ref="O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7" t="str">
        <f>IF(tblTargetStatus[[#This Row],[FirstMissingDependencyID]]="","",_xlfn.XLOOKUP(tblTargetStatus[[#This Row],[FirstMissingDependencyID]],tblTargetStatus[TargetID],tblTargetStatus[Status],""))</f>
        <v>BLOCKED</v>
      </c>
      <c r="Q67" t="str">
        <f>IF(
 tblTargetStatus[[#This Row],[Status]]&lt;&gt;"BLOCKED",
 tblTargetStatus[[#This Row],[Status]],
 IF(
  AND(
   tblTargetStatus[[#This Row],[MissingDependencies]]=1,
   tblTargetStatus[[#This Row],[FirstMissingStatus]]="READY"
  ),
  "ONE AWAY",
  "BLOCKED"
 )
)</f>
        <v>BLOCKED</v>
      </c>
      <c r="R67">
        <f>IF(
 OR(
  tblTargetStatus[[#This Row],[StateType]]="CHARACTER",
  RIGHT(tblTargetStatus[[#This Row],[TargetID]],6)=".maxed"
 ),
 0,
 _xlfn.LET(
  _xlpm.sort,
   _xlfn.XLOOKUP(
    tblTargetStatus[[#This Row],[TargetID]],
    tblChecklist[TargetID],
    tblChecklist[PlayerSort],
    0
   ),
  IF(_xlpm.sort=0,500,_xlpm.sort)
 )
)</f>
        <v>0</v>
      </c>
      <c r="S67" t="str" cm="1">
        <f t="array" ref="S6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 Digitization, Laboratory - Research And Development</v>
      </c>
      <c r="T67" t="str">
        <f>_xlfn.XLOOKUP(tblTargetStatus[[#This Row],[TargetID]],tblTargets[TargetID],tblTargets[CompletionMethod],"")</f>
        <v>AUTO</v>
      </c>
      <c r="U67" t="b">
        <f>COUNTIF(
    tblCost[TargetID],
    tblTargetStatus[[#This Row],[TargetID]]
)&gt;0</f>
        <v>0</v>
      </c>
      <c r="V67" s="81" t="str">
        <f>IF(tblTargetStatus[[#This Row],[HasCost]]=FALSE,
"N/A",
_xlfn.XLOOKUP(
tblTargetStatus[[#This Row],[TargetID]],
tblCost[TargetID],
tblCost[FundingPercent],
""
)
)</f>
        <v>N/A</v>
      </c>
      <c r="W67" t="str">
        <f>IF(
COUNTIF(tblCost[TargetID],tblTargetStatus[[#This Row],[TargetID]])=0,
"",
_xlfn.XLOOKUP(
tblTargetStatus[[#This Row],[TargetID]],
tblCost[TargetID],
tblCost[RemainingRequirements],
""
)
)</f>
        <v/>
      </c>
      <c r="X67" s="79" t="str">
        <f>IF(tblTargetStatus[[#This Row],[HasCost]]=FALSE,"N/A",_xlfn.XLOOKUP(
tblTargetStatus[[#This Row],[TargetID]],
tblCost[TargetID],
tblCost[TargetFunded],
TRUE
))</f>
        <v>N/A</v>
      </c>
      <c r="Y67" t="str" cm="1">
        <f t="array" ref="Y67">_xlfn.TEXTJOIN(
", ",
TRUE,
_xlfn._xlws.FILTER(
tblCost[ResourceID]&amp;": "&amp;tblCost[QuantityRequired],
(tblCost[TargetID]=tblTargetStatus[[#This Row],[TargetID]])*
(tblCost[PlayerPaid]=FALSE),
""
)
)</f>
        <v/>
      </c>
      <c r="Z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7" t="str" cm="1">
        <f t="array" ref="AA6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8" spans="1:27">
      <c r="A68" t="s">
        <v>87</v>
      </c>
      <c r="B68" t="str">
        <f>_xlfn.XLOOKUP(tblTargetStatus[[#This Row],[TargetID]],tblTargets[TargetID],tblTargets[DisplayName],"")</f>
        <v>Laboratory: Data Center Lv 1</v>
      </c>
      <c r="C68" t="str">
        <f>IF(tblTargetStatus[[#This Row],[PlayerCompleted]],"COMPLETED",IF(tblTargetStatus[[#This Row],[MissingDependencies]]=0,"READY","BLOCKED"))</f>
        <v>BLOCKED</v>
      </c>
      <c r="D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8" t="str">
        <f>_xlfn.XLOOKUP(tblTargetStatus[[#This Row],[TargetID]],tblTargets[TargetID],tblTargets[TargetType],"")</f>
        <v>BUILDING</v>
      </c>
      <c r="F68" t="str">
        <f>_xlfn.XLOOKUP(tblTargetStatus[[#This Row],[TargetID]],tblTargets[TargetID],tblTargets[StateType])</f>
        <v/>
      </c>
      <c r="G68">
        <f>_xlfn.LET(
_xlpm.id,tblTargetStatus[[#This Row],[TargetID]],
_xlpm.depCount,COUNTIF(tblDependencies[TargetID],_xlpm.id),
_xlpm.objCount,COUNTIF(tblQuestObjectives[QuestTargetID],_xlpm.id),
_xlpm.depCount+_xlpm.objCount
)</f>
        <v>2</v>
      </c>
      <c r="H68">
        <f>tblTargetStatus[[#This Row],[DependencyCount]]</f>
        <v>2</v>
      </c>
      <c r="I68" cm="1">
        <f t="array" ref="I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8">
        <f>tblTargetStatus[[#This Row],[CompletedDependencyCount]]</f>
        <v>0</v>
      </c>
      <c r="K68" t="b">
        <f>tblTargetStatus[[#This Row],[CompletedDependencies]]=tblTargetStatus[[#This Row],[TotalDependencies]]</f>
        <v>0</v>
      </c>
      <c r="L68">
        <f>tblTargetStatus[[#This Row],[TotalDependencies]]-tblTargetStatus[[#This Row],[CompletedDependencies]]</f>
        <v>2</v>
      </c>
      <c r="M68" t="str" cm="1">
        <f t="array" ref="M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building.laboratory.maxed</v>
      </c>
      <c r="N68" t="str">
        <f>IF(tblTargetStatus[[#This Row],[FirstMissingDependencyID]]="","",_xlfn.XLOOKUP(tblTargetStatus[[#This Row],[FirstMissingDependencyID]],tblTargets[TargetID],tblTargets[DisplayName],tblTargetStatus[[#This Row],[FirstMissingDependencyID]]))</f>
        <v>Laboratory maxed</v>
      </c>
      <c r="O68" t="str" cm="1">
        <f t="array" ref="O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ruby,1000 coin,500 stone,300 steel,50 glass,20 apy,20 quartz,50 microchip,50 blueprint</v>
      </c>
      <c r="P68" t="str">
        <f>IF(tblTargetStatus[[#This Row],[FirstMissingDependencyID]]="","",_xlfn.XLOOKUP(tblTargetStatus[[#This Row],[FirstMissingDependencyID]],tblTargetStatus[TargetID],tblTargetStatus[Status],""))</f>
        <v>BLOCKED</v>
      </c>
      <c r="Q68" t="str">
        <f>IF(
 tblTargetStatus[[#This Row],[Status]]&lt;&gt;"BLOCKED",
 tblTargetStatus[[#This Row],[Status]],
 IF(
  AND(
   tblTargetStatus[[#This Row],[MissingDependencies]]=1,
   tblTargetStatus[[#This Row],[FirstMissingStatus]]="READY"
  ),
  "ONE AWAY",
  "BLOCKED"
 )
)</f>
        <v>BLOCKED</v>
      </c>
      <c r="R68" t="str">
        <f>IF(
 OR(
  tblTargetStatus[[#This Row],[StateType]]="CHARACTER",
  RIGHT(tblTargetStatus[[#This Row],[TargetID]],6)=".maxed"
 ),
 0,
 _xlfn.LET(
  _xlpm.sort,
   _xlfn.XLOOKUP(
    tblTargetStatus[[#This Row],[TargetID]],
    tblChecklist[TargetID],
    tblChecklist[PlayerSort],
    0
   ),
  IF(_xlpm.sort=0,500,_xlpm.sort)
 )
)</f>
        <v/>
      </c>
      <c r="S68" t="str" cm="1">
        <f t="array" ref="S6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Data Center maxed, Ahead of Time Chapter 5 Finished</v>
      </c>
      <c r="T68" t="str">
        <f>_xlfn.XLOOKUP(tblTargetStatus[[#This Row],[TargetID]],tblTargets[TargetID],tblTargets[CompletionMethod],"")</f>
        <v>PLAYER</v>
      </c>
      <c r="U68" t="b">
        <f>COUNTIF(
    tblCost[TargetID],
    tblTargetStatus[[#This Row],[TargetID]]
)&gt;0</f>
        <v>1</v>
      </c>
      <c r="V68" s="81">
        <f>IF(tblTargetStatus[[#This Row],[HasCost]]=FALSE,
"N/A",
_xlfn.XLOOKUP(
tblTargetStatus[[#This Row],[TargetID]],
tblCost[TargetID],
tblCost[FundingPercent],
""
)
)</f>
        <v>0</v>
      </c>
      <c r="W68">
        <f>IF(
COUNTIF(tblCost[TargetID],tblTargetStatus[[#This Row],[TargetID]])=0,
"",
_xlfn.XLOOKUP(
tblTargetStatus[[#This Row],[TargetID]],
tblCost[TargetID],
tblCost[RemainingRequirements],
""
)
)</f>
        <v>9</v>
      </c>
      <c r="X68" s="79" t="b">
        <f>IF(tblTargetStatus[[#This Row],[HasCost]]=FALSE,"N/A",_xlfn.XLOOKUP(
tblTargetStatus[[#This Row],[TargetID]],
tblCost[TargetID],
tblCost[TargetFunded],
TRUE
))</f>
        <v>0</v>
      </c>
      <c r="Y68" t="str" cm="1">
        <f t="array" ref="Y68">_xlfn.TEXTJOIN(
", ",
TRUE,
_xlfn._xlws.FILTER(
tblCost[ResourceID]&amp;": "&amp;tblCost[QuantityRequired],
(tblCost[TargetID]=tblTargetStatus[[#This Row],[TargetID]])*
(tblCost[PlayerPaid]=FALSE),
""
)
)</f>
        <v>ruby: 10, coin: 1000, stone: 500, steel: 300, glass: 50, apy: 20, quartz: 20, microchip: 50, blueprint: 50</v>
      </c>
      <c r="Z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8" t="str" cm="1">
        <f t="array" ref="AA6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9" spans="1:27">
      <c r="A69" t="s">
        <v>90</v>
      </c>
      <c r="B69" t="str">
        <f>_xlfn.XLOOKUP(tblTargetStatus[[#This Row],[TargetID]],tblTargets[TargetID],tblTargets[DisplayName],"")</f>
        <v>Lumber Lv 1</v>
      </c>
      <c r="C69" t="str">
        <f>IF(tblTargetStatus[[#This Row],[PlayerCompleted]],"COMPLETED",IF(tblTargetStatus[[#This Row],[MissingDependencies]]=0,"READY","BLOCKED"))</f>
        <v>BLOCKED</v>
      </c>
      <c r="D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9" t="str">
        <f>_xlfn.XLOOKUP(tblTargetStatus[[#This Row],[TargetID]],tblTargets[TargetID],tblTargets[TargetType],"")</f>
        <v>BUILDING</v>
      </c>
      <c r="F69" t="str">
        <f>_xlfn.XLOOKUP(tblTargetStatus[[#This Row],[TargetID]],tblTargets[TargetID],tblTargets[StateType])</f>
        <v/>
      </c>
      <c r="G69">
        <f>_xlfn.LET(
_xlpm.id,tblTargetStatus[[#This Row],[TargetID]],
_xlpm.depCount,COUNTIF(tblDependencies[TargetID],_xlpm.id),
_xlpm.objCount,COUNTIF(tblQuestObjectives[QuestTargetID],_xlpm.id),
_xlpm.depCount+_xlpm.objCount
)</f>
        <v>1</v>
      </c>
      <c r="H69">
        <f>tblTargetStatus[[#This Row],[DependencyCount]]</f>
        <v>1</v>
      </c>
      <c r="I69" cm="1">
        <f t="array" ref="I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9">
        <f>tblTargetStatus[[#This Row],[CompletedDependencyCount]]</f>
        <v>0</v>
      </c>
      <c r="K69" t="b">
        <f>tblTargetStatus[[#This Row],[CompletedDependencies]]=tblTargetStatus[[#This Row],[TotalDependencies]]</f>
        <v>0</v>
      </c>
      <c r="L69">
        <f>tblTargetStatus[[#This Row],[TotalDependencies]]-tblTargetStatus[[#This Row],[CompletedDependencies]]</f>
        <v>1</v>
      </c>
      <c r="M69" t="str" cm="1">
        <f t="array" ref="M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state.character_level@11</v>
      </c>
      <c r="N69" t="str">
        <f>IF(tblTargetStatus[[#This Row],[FirstMissingDependencyID]]="","",_xlfn.XLOOKUP(tblTargetStatus[[#This Row],[FirstMissingDependencyID]],tblTargets[TargetID],tblTargets[DisplayName],tblTargetStatus[[#This Row],[FirstMissingDependencyID]]))</f>
        <v>Character Level@11</v>
      </c>
      <c r="O69" s="2" t="str" cm="1">
        <f t="array" ref="O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ruby,300 coin,150 wood,150 stone</v>
      </c>
      <c r="P69" t="str">
        <f>IF(tblTargetStatus[[#This Row],[FirstMissingDependencyID]]="","",_xlfn.XLOOKUP(tblTargetStatus[[#This Row],[FirstMissingDependencyID]],tblTargetStatus[TargetID],tblTargetStatus[Status],""))</f>
        <v>READY</v>
      </c>
      <c r="Q69" t="str">
        <f>IF(
 tblTargetStatus[[#This Row],[Status]]&lt;&gt;"BLOCKED",
 tblTargetStatus[[#This Row],[Status]],
 IF(
  AND(
   tblTargetStatus[[#This Row],[MissingDependencies]]=1,
   tblTargetStatus[[#This Row],[FirstMissingStatus]]="READY"
  ),
  "ONE AWAY",
  "BLOCKED"
 )
)</f>
        <v>ONE AWAY</v>
      </c>
      <c r="R69">
        <f>IF(
 OR(
  tblTargetStatus[[#This Row],[StateType]]="CHARACTER",
  RIGHT(tblTargetStatus[[#This Row],[TargetID]],6)=".maxed"
 ),
 0,
 _xlfn.LET(
  _xlpm.sort,
   _xlfn.XLOOKUP(
    tblTargetStatus[[#This Row],[TargetID]],
    tblChecklist[TargetID],
    tblChecklist[PlayerSort],
    0
   ),
  IF(_xlpm.sort=0,500,_xlpm.sort)
 )
)</f>
        <v>13</v>
      </c>
      <c r="S69" t="str" cm="1">
        <f t="array" ref="S6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Lumber Lv 2</v>
      </c>
      <c r="T69" t="str">
        <f>_xlfn.XLOOKUP(tblTargetStatus[[#This Row],[TargetID]],tblTargets[TargetID],tblTargets[CompletionMethod],"")</f>
        <v>PLAYER</v>
      </c>
      <c r="U69" t="b">
        <f>COUNTIF(
    tblCost[TargetID],
    tblTargetStatus[[#This Row],[TargetID]]
)&gt;0</f>
        <v>1</v>
      </c>
      <c r="V69" s="81">
        <f>IF(tblTargetStatus[[#This Row],[HasCost]]=FALSE,
"N/A",
_xlfn.XLOOKUP(
tblTargetStatus[[#This Row],[TargetID]],
tblCost[TargetID],
tblCost[FundingPercent],
""
)
)</f>
        <v>0</v>
      </c>
      <c r="W69">
        <f>IF(
COUNTIF(tblCost[TargetID],tblTargetStatus[[#This Row],[TargetID]])=0,
"",
_xlfn.XLOOKUP(
tblTargetStatus[[#This Row],[TargetID]],
tblCost[TargetID],
tblCost[RemainingRequirements],
""
)
)</f>
        <v>4</v>
      </c>
      <c r="X69" s="79" t="b">
        <f>IF(tblTargetStatus[[#This Row],[HasCost]]=FALSE,"N/A",_xlfn.XLOOKUP(
tblTargetStatus[[#This Row],[TargetID]],
tblCost[TargetID],
tblCost[TargetFunded],
TRUE
))</f>
        <v>0</v>
      </c>
      <c r="Y69" t="str" cm="1">
        <f t="array" ref="Y69">_xlfn.TEXTJOIN(
", ",
TRUE,
_xlfn._xlws.FILTER(
tblCost[ResourceID]&amp;": "&amp;tblCost[QuantityRequired],
(tblCost[TargetID]=tblTargetStatus[[#This Row],[TargetID]])*
(tblCost[PlayerPaid]=FALSE),
""
)
)</f>
        <v>ruby: 1, coin: 300, wood: 150, stone: 150</v>
      </c>
      <c r="Z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9" t="str" cm="1">
        <f t="array" ref="AA6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0" spans="1:27">
      <c r="A70" t="s">
        <v>92</v>
      </c>
      <c r="B70" t="str">
        <f>_xlfn.XLOOKUP(tblTargetStatus[[#This Row],[TargetID]],tblTargets[TargetID],tblTargets[DisplayName],"")</f>
        <v>Lumber Lv 2</v>
      </c>
      <c r="C70" t="str">
        <f>IF(tblTargetStatus[[#This Row],[PlayerCompleted]],"COMPLETED",IF(tblTargetStatus[[#This Row],[MissingDependencies]]=0,"READY","BLOCKED"))</f>
        <v>BLOCKED</v>
      </c>
      <c r="D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0" t="str">
        <f>_xlfn.XLOOKUP(tblTargetStatus[[#This Row],[TargetID]],tblTargets[TargetID],tblTargets[TargetType],"")</f>
        <v>BUILDING</v>
      </c>
      <c r="F70" t="str">
        <f>_xlfn.XLOOKUP(tblTargetStatus[[#This Row],[TargetID]],tblTargets[TargetID],tblTargets[StateType])</f>
        <v/>
      </c>
      <c r="G70">
        <f>_xlfn.LET(
_xlpm.id,tblTargetStatus[[#This Row],[TargetID]],
_xlpm.depCount,COUNTIF(tblDependencies[TargetID],_xlpm.id),
_xlpm.objCount,COUNTIF(tblQuestObjectives[QuestTargetID],_xlpm.id),
_xlpm.depCount+_xlpm.objCount
)</f>
        <v>1</v>
      </c>
      <c r="H70">
        <f>tblTargetStatus[[#This Row],[DependencyCount]]</f>
        <v>1</v>
      </c>
      <c r="I70" cm="1">
        <f t="array" ref="I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0">
        <f>tblTargetStatus[[#This Row],[CompletedDependencyCount]]</f>
        <v>0</v>
      </c>
      <c r="K70" t="b">
        <f>tblTargetStatus[[#This Row],[CompletedDependencies]]=tblTargetStatus[[#This Row],[TotalDependencies]]</f>
        <v>0</v>
      </c>
      <c r="L70">
        <f>tblTargetStatus[[#This Row],[TotalDependencies]]-tblTargetStatus[[#This Row],[CompletedDependencies]]</f>
        <v>1</v>
      </c>
      <c r="M70" t="str" cm="1">
        <f t="array" ref="M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building.lumber@1</v>
      </c>
      <c r="N70" t="str">
        <f>IF(tblTargetStatus[[#This Row],[FirstMissingDependencyID]]="","",_xlfn.XLOOKUP(tblTargetStatus[[#This Row],[FirstMissingDependencyID]],tblTargets[TargetID],tblTargets[DisplayName],tblTargetStatus[[#This Row],[FirstMissingDependencyID]]))</f>
        <v>Lumber Lv 1</v>
      </c>
      <c r="O70" s="2" t="str" cm="1">
        <f t="array" ref="O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coin,400 beam,200 stone,20 steel</v>
      </c>
      <c r="P70" t="str">
        <f>IF(tblTargetStatus[[#This Row],[FirstMissingDependencyID]]="","",_xlfn.XLOOKUP(tblTargetStatus[[#This Row],[FirstMissingDependencyID]],tblTargetStatus[TargetID],tblTargetStatus[Status],""))</f>
        <v>BLOCKED</v>
      </c>
      <c r="Q70" t="str">
        <f>IF(
 tblTargetStatus[[#This Row],[Status]]&lt;&gt;"BLOCKED",
 tblTargetStatus[[#This Row],[Status]],
 IF(
  AND(
   tblTargetStatus[[#This Row],[MissingDependencies]]=1,
   tblTargetStatus[[#This Row],[FirstMissingStatus]]="READY"
  ),
  "ONE AWAY",
  "BLOCKED"
 )
)</f>
        <v>BLOCKED</v>
      </c>
      <c r="R70">
        <f>IF(
 OR(
  tblTargetStatus[[#This Row],[StateType]]="CHARACTER",
  RIGHT(tblTargetStatus[[#This Row],[TargetID]],6)=".maxed"
 ),
 0,
 _xlfn.LET(
  _xlpm.sort,
   _xlfn.XLOOKUP(
    tblTargetStatus[[#This Row],[TargetID]],
    tblChecklist[TargetID],
    tblChecklist[PlayerSort],
    0
   ),
  IF(_xlpm.sort=0,500,_xlpm.sort)
 )
)</f>
        <v>14</v>
      </c>
      <c r="S70" t="str" cm="1">
        <f t="array" ref="S7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Lumber Lv 3</v>
      </c>
      <c r="T70" t="str">
        <f>_xlfn.XLOOKUP(tblTargetStatus[[#This Row],[TargetID]],tblTargets[TargetID],tblTargets[CompletionMethod],"")</f>
        <v>PLAYER</v>
      </c>
      <c r="U70" t="b">
        <f>COUNTIF(
    tblCost[TargetID],
    tblTargetStatus[[#This Row],[TargetID]]
)&gt;0</f>
        <v>1</v>
      </c>
      <c r="V70" s="81">
        <f>IF(tblTargetStatus[[#This Row],[HasCost]]=FALSE,
"N/A",
_xlfn.XLOOKUP(
tblTargetStatus[[#This Row],[TargetID]],
tblCost[TargetID],
tblCost[FundingPercent],
""
)
)</f>
        <v>0</v>
      </c>
      <c r="W70">
        <f>IF(
COUNTIF(tblCost[TargetID],tblTargetStatus[[#This Row],[TargetID]])=0,
"",
_xlfn.XLOOKUP(
tblTargetStatus[[#This Row],[TargetID]],
tblCost[TargetID],
tblCost[RemainingRequirements],
""
)
)</f>
        <v>5</v>
      </c>
      <c r="X70" s="79" t="b">
        <f>IF(tblTargetStatus[[#This Row],[HasCost]]=FALSE,"N/A",_xlfn.XLOOKUP(
tblTargetStatus[[#This Row],[TargetID]],
tblCost[TargetID],
tblCost[TargetFunded],
TRUE
))</f>
        <v>0</v>
      </c>
      <c r="Y70" t="str" cm="1">
        <f t="array" ref="Y70">_xlfn.TEXTJOIN(
", ",
TRUE,
_xlfn._xlws.FILTER(
tblCost[ResourceID]&amp;": "&amp;tblCost[QuantityRequired],
(tblCost[TargetID]=tblTargetStatus[[#This Row],[TargetID]])*
(tblCost[PlayerPaid]=FALSE),
""
)
)</f>
        <v>ruby: 3, coin: 500, beam: 400, stone: 200, steel: 20</v>
      </c>
      <c r="Z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0" t="str" cm="1">
        <f t="array" ref="AA7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1" spans="1:27">
      <c r="A71" t="s">
        <v>93</v>
      </c>
      <c r="B71" t="str">
        <f>_xlfn.XLOOKUP(tblTargetStatus[[#This Row],[TargetID]],tblTargets[TargetID],tblTargets[DisplayName],"")</f>
        <v>Lumber Lv 3</v>
      </c>
      <c r="C71" t="str">
        <f>IF(tblTargetStatus[[#This Row],[PlayerCompleted]],"COMPLETED",IF(tblTargetStatus[[#This Row],[MissingDependencies]]=0,"READY","BLOCKED"))</f>
        <v>BLOCKED</v>
      </c>
      <c r="D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1" t="str">
        <f>_xlfn.XLOOKUP(tblTargetStatus[[#This Row],[TargetID]],tblTargets[TargetID],tblTargets[TargetType],"")</f>
        <v>BUILDING</v>
      </c>
      <c r="F71" t="str">
        <f>_xlfn.XLOOKUP(tblTargetStatus[[#This Row],[TargetID]],tblTargets[TargetID],tblTargets[StateType])</f>
        <v/>
      </c>
      <c r="G71">
        <f>_xlfn.LET(
_xlpm.id,tblTargetStatus[[#This Row],[TargetID]],
_xlpm.depCount,COUNTIF(tblDependencies[TargetID],_xlpm.id),
_xlpm.objCount,COUNTIF(tblQuestObjectives[QuestTargetID],_xlpm.id),
_xlpm.depCount+_xlpm.objCount
)</f>
        <v>1</v>
      </c>
      <c r="H71">
        <f>tblTargetStatus[[#This Row],[DependencyCount]]</f>
        <v>1</v>
      </c>
      <c r="I71" cm="1">
        <f t="array" ref="I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1">
        <f>tblTargetStatus[[#This Row],[CompletedDependencyCount]]</f>
        <v>0</v>
      </c>
      <c r="K71" t="b">
        <f>tblTargetStatus[[#This Row],[CompletedDependencies]]=tblTargetStatus[[#This Row],[TotalDependencies]]</f>
        <v>0</v>
      </c>
      <c r="L71">
        <f>tblTargetStatus[[#This Row],[TotalDependencies]]-tblTargetStatus[[#This Row],[CompletedDependencies]]</f>
        <v>1</v>
      </c>
      <c r="M71" t="str" cm="1">
        <f t="array" ref="M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building.lumber@2</v>
      </c>
      <c r="N71" t="str">
        <f>IF(tblTargetStatus[[#This Row],[FirstMissingDependencyID]]="","",_xlfn.XLOOKUP(tblTargetStatus[[#This Row],[FirstMissingDependencyID]],tblTargets[TargetID],tblTargets[DisplayName],tblTargetStatus[[#This Row],[FirstMissingDependencyID]]))</f>
        <v>Lumber Lv 2</v>
      </c>
      <c r="O71" s="2" t="str" cm="1">
        <f t="array" ref="O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ruby,800 coin,600 beam,300 stone,100 steel</v>
      </c>
      <c r="P71" t="str">
        <f>IF(tblTargetStatus[[#This Row],[FirstMissingDependencyID]]="","",_xlfn.XLOOKUP(tblTargetStatus[[#This Row],[FirstMissingDependencyID]],tblTargetStatus[TargetID],tblTargetStatus[Status],""))</f>
        <v>BLOCKED</v>
      </c>
      <c r="Q71" t="str">
        <f>IF(
 tblTargetStatus[[#This Row],[Status]]&lt;&gt;"BLOCKED",
 tblTargetStatus[[#This Row],[Status]],
 IF(
  AND(
   tblTargetStatus[[#This Row],[MissingDependencies]]=1,
   tblTargetStatus[[#This Row],[FirstMissingStatus]]="READY"
  ),
  "ONE AWAY",
  "BLOCKED"
 )
)</f>
        <v>BLOCKED</v>
      </c>
      <c r="R71">
        <f>IF(
 OR(
  tblTargetStatus[[#This Row],[StateType]]="CHARACTER",
  RIGHT(tblTargetStatus[[#This Row],[TargetID]],6)=".maxed"
 ),
 0,
 _xlfn.LET(
  _xlpm.sort,
   _xlfn.XLOOKUP(
    tblTargetStatus[[#This Row],[TargetID]],
    tblChecklist[TargetID],
    tblChecklist[PlayerSort],
    0
   ),
  IF(_xlpm.sort=0,500,_xlpm.sort)
 )
)</f>
        <v>18</v>
      </c>
      <c r="S71" t="str" cm="1">
        <f t="array" ref="S7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2 Finished</v>
      </c>
      <c r="T71" t="str">
        <f>_xlfn.XLOOKUP(tblTargetStatus[[#This Row],[TargetID]],tblTargets[TargetID],tblTargets[CompletionMethod],"")</f>
        <v>PLAYER</v>
      </c>
      <c r="U71" t="b">
        <f>COUNTIF(
    tblCost[TargetID],
    tblTargetStatus[[#This Row],[TargetID]]
)&gt;0</f>
        <v>1</v>
      </c>
      <c r="V71" s="81">
        <f>IF(tblTargetStatus[[#This Row],[HasCost]]=FALSE,
"N/A",
_xlfn.XLOOKUP(
tblTargetStatus[[#This Row],[TargetID]],
tblCost[TargetID],
tblCost[FundingPercent],
""
)
)</f>
        <v>0</v>
      </c>
      <c r="W71">
        <f>IF(
COUNTIF(tblCost[TargetID],tblTargetStatus[[#This Row],[TargetID]])=0,
"",
_xlfn.XLOOKUP(
tblTargetStatus[[#This Row],[TargetID]],
tblCost[TargetID],
tblCost[RemainingRequirements],
""
)
)</f>
        <v>5</v>
      </c>
      <c r="X71" s="79" t="b">
        <f>IF(tblTargetStatus[[#This Row],[HasCost]]=FALSE,"N/A",_xlfn.XLOOKUP(
tblTargetStatus[[#This Row],[TargetID]],
tblCost[TargetID],
tblCost[TargetFunded],
TRUE
))</f>
        <v>0</v>
      </c>
      <c r="Y71" t="str" cm="1">
        <f t="array" ref="Y71">_xlfn.TEXTJOIN(
", ",
TRUE,
_xlfn._xlws.FILTER(
tblCost[ResourceID]&amp;": "&amp;tblCost[QuantityRequired],
(tblCost[TargetID]=tblTargetStatus[[#This Row],[TargetID]])*
(tblCost[PlayerPaid]=FALSE),
""
)
)</f>
        <v>ruby: 5, coin: 800, beam: 600, stone: 300, steel: 100</v>
      </c>
      <c r="Z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1" t="str" cm="1">
        <f t="array" ref="AA7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2" spans="1:27">
      <c r="A72" t="s">
        <v>94</v>
      </c>
      <c r="B72" t="str">
        <f>_xlfn.XLOOKUP(tblTargetStatus[[#This Row],[TargetID]],tblTargets[TargetID],tblTargets[DisplayName],"")</f>
        <v>Onsen Lv 1</v>
      </c>
      <c r="C72" t="str">
        <f>IF(tblTargetStatus[[#This Row],[PlayerCompleted]],"COMPLETED",IF(tblTargetStatus[[#This Row],[MissingDependencies]]=0,"READY","BLOCKED"))</f>
        <v>BLOCKED</v>
      </c>
      <c r="D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2" t="str">
        <f>_xlfn.XLOOKUP(tblTargetStatus[[#This Row],[TargetID]],tblTargets[TargetID],tblTargets[TargetType],"")</f>
        <v>BUILDING</v>
      </c>
      <c r="F72" t="str">
        <f>_xlfn.XLOOKUP(tblTargetStatus[[#This Row],[TargetID]],tblTargets[TargetID],tblTargets[StateType])</f>
        <v/>
      </c>
      <c r="G72">
        <f>_xlfn.LET(
_xlpm.id,tblTargetStatus[[#This Row],[TargetID]],
_xlpm.depCount,COUNTIF(tblDependencies[TargetID],_xlpm.id),
_xlpm.objCount,COUNTIF(tblQuestObjectives[QuestTargetID],_xlpm.id),
_xlpm.depCount+_xlpm.objCount
)</f>
        <v>1</v>
      </c>
      <c r="H72">
        <f>tblTargetStatus[[#This Row],[DependencyCount]]</f>
        <v>1</v>
      </c>
      <c r="I72" cm="1">
        <f t="array" ref="I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2">
        <f>tblTargetStatus[[#This Row],[CompletedDependencyCount]]</f>
        <v>0</v>
      </c>
      <c r="K72" t="b">
        <f>tblTargetStatus[[#This Row],[CompletedDependencies]]=tblTargetStatus[[#This Row],[TotalDependencies]]</f>
        <v>0</v>
      </c>
      <c r="L72">
        <f>tblTargetStatus[[#This Row],[TotalDependencies]]-tblTargetStatus[[#This Row],[CompletedDependencies]]</f>
        <v>1</v>
      </c>
      <c r="M72" t="str" cm="1">
        <f t="array" ref="M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state.character_level@20</v>
      </c>
      <c r="N72" t="str">
        <f>IF(tblTargetStatus[[#This Row],[FirstMissingDependencyID]]="","",_xlfn.XLOOKUP(tblTargetStatus[[#This Row],[FirstMissingDependencyID]],tblTargets[TargetID],tblTargets[DisplayName],tblTargetStatus[[#This Row],[FirstMissingDependencyID]]))</f>
        <v>Character Level@20</v>
      </c>
      <c r="O72" s="2" t="str" cm="1">
        <f t="array" ref="O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coin,500 plank,400 stone</v>
      </c>
      <c r="P72" t="str">
        <f>IF(tblTargetStatus[[#This Row],[FirstMissingDependencyID]]="","",_xlfn.XLOOKUP(tblTargetStatus[[#This Row],[FirstMissingDependencyID]],tblTargetStatus[TargetID],tblTargetStatus[Status],""))</f>
        <v>READY</v>
      </c>
      <c r="Q72" t="str">
        <f>IF(
 tblTargetStatus[[#This Row],[Status]]&lt;&gt;"BLOCKED",
 tblTargetStatus[[#This Row],[Status]],
 IF(
  AND(
   tblTargetStatus[[#This Row],[MissingDependencies]]=1,
   tblTargetStatus[[#This Row],[FirstMissingStatus]]="READY"
  ),
  "ONE AWAY",
  "BLOCKED"
 )
)</f>
        <v>ONE AWAY</v>
      </c>
      <c r="R72">
        <f>IF(
 OR(
  tblTargetStatus[[#This Row],[StateType]]="CHARACTER",
  RIGHT(tblTargetStatus[[#This Row],[TargetID]],6)=".maxed"
 ),
 0,
 _xlfn.LET(
  _xlpm.sort,
   _xlfn.XLOOKUP(
    tblTargetStatus[[#This Row],[TargetID]],
    tblChecklist[TargetID],
    tblChecklist[PlayerSort],
    0
   ),
  IF(_xlpm.sort=0,500,_xlpm.sort)
 )
)</f>
        <v>91</v>
      </c>
      <c r="S72" t="str" cm="1">
        <f t="array" ref="S7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Onsen Lv 2</v>
      </c>
      <c r="T72" t="str">
        <f>_xlfn.XLOOKUP(tblTargetStatus[[#This Row],[TargetID]],tblTargets[TargetID],tblTargets[CompletionMethod],"")</f>
        <v>PLAYER</v>
      </c>
      <c r="U72" t="b">
        <f>COUNTIF(
    tblCost[TargetID],
    tblTargetStatus[[#This Row],[TargetID]]
)&gt;0</f>
        <v>1</v>
      </c>
      <c r="V72" s="81">
        <f>IF(tblTargetStatus[[#This Row],[HasCost]]=FALSE,
"N/A",
_xlfn.XLOOKUP(
tblTargetStatus[[#This Row],[TargetID]],
tblCost[TargetID],
tblCost[FundingPercent],
""
)
)</f>
        <v>0</v>
      </c>
      <c r="W72">
        <f>IF(
COUNTIF(tblCost[TargetID],tblTargetStatus[[#This Row],[TargetID]])=0,
"",
_xlfn.XLOOKUP(
tblTargetStatus[[#This Row],[TargetID]],
tblCost[TargetID],
tblCost[RemainingRequirements],
""
)
)</f>
        <v>4</v>
      </c>
      <c r="X72" s="79" t="b">
        <f>IF(tblTargetStatus[[#This Row],[HasCost]]=FALSE,"N/A",_xlfn.XLOOKUP(
tblTargetStatus[[#This Row],[TargetID]],
tblCost[TargetID],
tblCost[TargetFunded],
TRUE
))</f>
        <v>0</v>
      </c>
      <c r="Y72" t="str" cm="1">
        <f t="array" ref="Y72">_xlfn.TEXTJOIN(
", ",
TRUE,
_xlfn._xlws.FILTER(
tblCost[ResourceID]&amp;": "&amp;tblCost[QuantityRequired],
(tblCost[TargetID]=tblTargetStatus[[#This Row],[TargetID]])*
(tblCost[PlayerPaid]=FALSE),
""
)
)</f>
        <v>ruby: 3, coin: 500, plank: 500, stone: 400</v>
      </c>
      <c r="Z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2" t="str" cm="1">
        <f t="array" ref="AA7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3" spans="1:27">
      <c r="A73" t="s">
        <v>96</v>
      </c>
      <c r="B73" t="str">
        <f>_xlfn.XLOOKUP(tblTargetStatus[[#This Row],[TargetID]],tblTargets[TargetID],tblTargets[DisplayName],"")</f>
        <v>Onsen Lv 2</v>
      </c>
      <c r="C73" t="str">
        <f>IF(tblTargetStatus[[#This Row],[PlayerCompleted]],"COMPLETED",IF(tblTargetStatus[[#This Row],[MissingDependencies]]=0,"READY","BLOCKED"))</f>
        <v>BLOCKED</v>
      </c>
      <c r="D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3" t="str">
        <f>_xlfn.XLOOKUP(tblTargetStatus[[#This Row],[TargetID]],tblTargets[TargetID],tblTargets[TargetType],"")</f>
        <v>BUILDING</v>
      </c>
      <c r="F73" t="str">
        <f>_xlfn.XLOOKUP(tblTargetStatus[[#This Row],[TargetID]],tblTargets[TargetID],tblTargets[StateType])</f>
        <v/>
      </c>
      <c r="G73">
        <f>_xlfn.LET(
_xlpm.id,tblTargetStatus[[#This Row],[TargetID]],
_xlpm.depCount,COUNTIF(tblDependencies[TargetID],_xlpm.id),
_xlpm.objCount,COUNTIF(tblQuestObjectives[QuestTargetID],_xlpm.id),
_xlpm.depCount+_xlpm.objCount
)</f>
        <v>1</v>
      </c>
      <c r="H73">
        <f>tblTargetStatus[[#This Row],[DependencyCount]]</f>
        <v>1</v>
      </c>
      <c r="I73" cm="1">
        <f t="array" ref="I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3">
        <f>tblTargetStatus[[#This Row],[CompletedDependencyCount]]</f>
        <v>0</v>
      </c>
      <c r="K73" t="b">
        <f>tblTargetStatus[[#This Row],[CompletedDependencies]]=tblTargetStatus[[#This Row],[TotalDependencies]]</f>
        <v>0</v>
      </c>
      <c r="L73">
        <f>tblTargetStatus[[#This Row],[TotalDependencies]]-tblTargetStatus[[#This Row],[CompletedDependencies]]</f>
        <v>1</v>
      </c>
      <c r="M73" t="str" cm="1">
        <f t="array" ref="M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building.onsen@1</v>
      </c>
      <c r="N73" t="str">
        <f>IF(tblTargetStatus[[#This Row],[FirstMissingDependencyID]]="","",_xlfn.XLOOKUP(tblTargetStatus[[#This Row],[FirstMissingDependencyID]],tblTargets[TargetID],tblTargets[DisplayName],tblTargetStatus[[#This Row],[FirstMissingDependencyID]]))</f>
        <v>Onsen Lv 1</v>
      </c>
      <c r="O73" s="2" t="str" cm="1">
        <f t="array" ref="O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ruby,800 coin,600 plank,500 stone</v>
      </c>
      <c r="P73" t="str">
        <f>IF(tblTargetStatus[[#This Row],[FirstMissingDependencyID]]="","",_xlfn.XLOOKUP(tblTargetStatus[[#This Row],[FirstMissingDependencyID]],tblTargetStatus[TargetID],tblTargetStatus[Status],""))</f>
        <v>BLOCKED</v>
      </c>
      <c r="Q73" t="str">
        <f>IF(
 tblTargetStatus[[#This Row],[Status]]&lt;&gt;"BLOCKED",
 tblTargetStatus[[#This Row],[Status]],
 IF(
  AND(
   tblTargetStatus[[#This Row],[MissingDependencies]]=1,
   tblTargetStatus[[#This Row],[FirstMissingStatus]]="READY"
  ),
  "ONE AWAY",
  "BLOCKED"
 )
)</f>
        <v>BLOCKED</v>
      </c>
      <c r="R73">
        <f>IF(
 OR(
  tblTargetStatus[[#This Row],[StateType]]="CHARACTER",
  RIGHT(tblTargetStatus[[#This Row],[TargetID]],6)=".maxed"
 ),
 0,
 _xlfn.LET(
  _xlpm.sort,
   _xlfn.XLOOKUP(
    tblTargetStatus[[#This Row],[TargetID]],
    tblChecklist[TargetID],
    tblChecklist[PlayerSort],
    0
   ),
  IF(_xlpm.sort=0,500,_xlpm.sort)
 )
)</f>
        <v>92</v>
      </c>
      <c r="S73" t="str" cm="1">
        <f t="array" ref="S7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73" t="str">
        <f>_xlfn.XLOOKUP(tblTargetStatus[[#This Row],[TargetID]],tblTargets[TargetID],tblTargets[CompletionMethod],"")</f>
        <v>PLAYER</v>
      </c>
      <c r="U73" t="b">
        <f>COUNTIF(
    tblCost[TargetID],
    tblTargetStatus[[#This Row],[TargetID]]
)&gt;0</f>
        <v>1</v>
      </c>
      <c r="V73" s="81">
        <f>IF(tblTargetStatus[[#This Row],[HasCost]]=FALSE,
"N/A",
_xlfn.XLOOKUP(
tblTargetStatus[[#This Row],[TargetID]],
tblCost[TargetID],
tblCost[FundingPercent],
""
)
)</f>
        <v>0</v>
      </c>
      <c r="W73">
        <f>IF(
COUNTIF(tblCost[TargetID],tblTargetStatus[[#This Row],[TargetID]])=0,
"",
_xlfn.XLOOKUP(
tblTargetStatus[[#This Row],[TargetID]],
tblCost[TargetID],
tblCost[RemainingRequirements],
""
)
)</f>
        <v>4</v>
      </c>
      <c r="X73" s="79" t="b">
        <f>IF(tblTargetStatus[[#This Row],[HasCost]]=FALSE,"N/A",_xlfn.XLOOKUP(
tblTargetStatus[[#This Row],[TargetID]],
tblCost[TargetID],
tblCost[TargetFunded],
TRUE
))</f>
        <v>0</v>
      </c>
      <c r="Y73" t="str" cm="1">
        <f t="array" ref="Y73">_xlfn.TEXTJOIN(
", ",
TRUE,
_xlfn._xlws.FILTER(
tblCost[ResourceID]&amp;": "&amp;tblCost[QuantityRequired],
(tblCost[TargetID]=tblTargetStatus[[#This Row],[TargetID]])*
(tblCost[PlayerPaid]=FALSE),
""
)
)</f>
        <v>ruby: 5, coin: 800, plank: 600, stone: 500</v>
      </c>
      <c r="Z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3" t="str" cm="1">
        <f t="array" ref="AA7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4" spans="1:27">
      <c r="A74" t="s">
        <v>2682</v>
      </c>
      <c r="B74" t="str">
        <f>_xlfn.XLOOKUP(tblTargetStatus[[#This Row],[TargetID]],tblTargets[TargetID],tblTargets[DisplayName],"")</f>
        <v>Outpost maxed</v>
      </c>
      <c r="C74" t="str">
        <f>IF(tblTargetStatus[[#This Row],[PlayerCompleted]],"COMPLETED",IF(tblTargetStatus[[#This Row],[MissingDependencies]]=0,"READY","BLOCKED"))</f>
        <v>BLOCKED</v>
      </c>
      <c r="D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4" t="str">
        <f>_xlfn.XLOOKUP(tblTargetStatus[[#This Row],[TargetID]],tblTargets[TargetID],tblTargets[TargetType],"")</f>
        <v>BUILDING</v>
      </c>
      <c r="F74" t="str">
        <f>_xlfn.XLOOKUP(tblTargetStatus[[#This Row],[TargetID]],tblTargets[TargetID],tblTargets[StateType])</f>
        <v/>
      </c>
      <c r="G74">
        <f>_xlfn.LET(
_xlpm.id,tblTargetStatus[[#This Row],[TargetID]],
_xlpm.depCount,COUNTIF(tblDependencies[TargetID],_xlpm.id),
_xlpm.objCount,COUNTIF(tblQuestObjectives[QuestTargetID],_xlpm.id),
_xlpm.depCount+_xlpm.objCount
)</f>
        <v>1</v>
      </c>
      <c r="H74">
        <f>tblTargetStatus[[#This Row],[DependencyCount]]</f>
        <v>1</v>
      </c>
      <c r="I74" cm="1">
        <f t="array" ref="I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4">
        <f>tblTargetStatus[[#This Row],[CompletedDependencyCount]]</f>
        <v>0</v>
      </c>
      <c r="K74" t="b">
        <f>tblTargetStatus[[#This Row],[CompletedDependencies]]=tblTargetStatus[[#This Row],[TotalDependencies]]</f>
        <v>0</v>
      </c>
      <c r="L74">
        <f>tblTargetStatus[[#This Row],[TotalDependencies]]-tblTargetStatus[[#This Row],[CompletedDependencies]]</f>
        <v>1</v>
      </c>
      <c r="M74" t="str" cm="1">
        <f t="array" ref="M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building.outpost@3</v>
      </c>
      <c r="N74" t="str">
        <f>IF(tblTargetStatus[[#This Row],[FirstMissingDependencyID]]="","",_xlfn.XLOOKUP(tblTargetStatus[[#This Row],[FirstMissingDependencyID]],tblTargets[TargetID],tblTargets[DisplayName],tblTargetStatus[[#This Row],[FirstMissingDependencyID]]))</f>
        <v>Outpost Lv 3</v>
      </c>
      <c r="O74" s="2" t="str" cm="1">
        <f t="array" ref="O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74" t="str">
        <f>IF(tblTargetStatus[[#This Row],[FirstMissingDependencyID]]="","",_xlfn.XLOOKUP(tblTargetStatus[[#This Row],[FirstMissingDependencyID]],tblTargetStatus[TargetID],tblTargetStatus[Status],""))</f>
        <v>BLOCKED</v>
      </c>
      <c r="Q74" t="str">
        <f>IF(
 tblTargetStatus[[#This Row],[Status]]&lt;&gt;"BLOCKED",
 tblTargetStatus[[#This Row],[Status]],
 IF(
  AND(
   tblTargetStatus[[#This Row],[MissingDependencies]]=1,
   tblTargetStatus[[#This Row],[FirstMissingStatus]]="READY"
  ),
  "ONE AWAY",
  "BLOCKED"
 )
)</f>
        <v>BLOCKED</v>
      </c>
      <c r="R74">
        <f>IF(
 OR(
  tblTargetStatus[[#This Row],[StateType]]="CHARACTER",
  RIGHT(tblTargetStatus[[#This Row],[TargetID]],6)=".maxed"
 ),
 0,
 _xlfn.LET(
  _xlpm.sort,
   _xlfn.XLOOKUP(
    tblTargetStatus[[#This Row],[TargetID]],
    tblChecklist[TargetID],
    tblChecklist[PlayerSort],
    0
   ),
  IF(_xlpm.sort=0,500,_xlpm.sort)
 )
)</f>
        <v>0</v>
      </c>
      <c r="S74" t="str" cm="1">
        <f t="array" ref="S7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Outpost - Arsenal Lvl 1, Outpost - Arsenal Lvl 2, Outpost - Futures Contracts, Outpost - Optional Contracts, Outpost - Sayonara Tax, Outpost - Tax Return On Floppy Disk</v>
      </c>
      <c r="T74" t="str">
        <f>_xlfn.XLOOKUP(tblTargetStatus[[#This Row],[TargetID]],tblTargets[TargetID],tblTargets[CompletionMethod],"")</f>
        <v>AUTO</v>
      </c>
      <c r="U74" t="b">
        <f>COUNTIF(
    tblCost[TargetID],
    tblTargetStatus[[#This Row],[TargetID]]
)&gt;0</f>
        <v>0</v>
      </c>
      <c r="V74" s="81" t="str">
        <f>IF(tblTargetStatus[[#This Row],[HasCost]]=FALSE,
"N/A",
_xlfn.XLOOKUP(
tblTargetStatus[[#This Row],[TargetID]],
tblCost[TargetID],
tblCost[FundingPercent],
""
)
)</f>
        <v>N/A</v>
      </c>
      <c r="W74" t="str">
        <f>IF(
COUNTIF(tblCost[TargetID],tblTargetStatus[[#This Row],[TargetID]])=0,
"",
_xlfn.XLOOKUP(
tblTargetStatus[[#This Row],[TargetID]],
tblCost[TargetID],
tblCost[RemainingRequirements],
""
)
)</f>
        <v/>
      </c>
      <c r="X74" s="79" t="str">
        <f>IF(tblTargetStatus[[#This Row],[HasCost]]=FALSE,"N/A",_xlfn.XLOOKUP(
tblTargetStatus[[#This Row],[TargetID]],
tblCost[TargetID],
tblCost[TargetFunded],
TRUE
))</f>
        <v>N/A</v>
      </c>
      <c r="Y74" t="str" cm="1">
        <f t="array" ref="Y74">_xlfn.TEXTJOIN(
", ",
TRUE,
_xlfn._xlws.FILTER(
tblCost[ResourceID]&amp;": "&amp;tblCost[QuantityRequired],
(tblCost[TargetID]=tblTargetStatus[[#This Row],[TargetID]])*
(tblCost[PlayerPaid]=FALSE),
""
)
)</f>
        <v/>
      </c>
      <c r="Z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4" t="str" cm="1">
        <f t="array" ref="AA7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5" spans="1:27">
      <c r="A75" t="s">
        <v>97</v>
      </c>
      <c r="B75" t="str">
        <f>_xlfn.XLOOKUP(tblTargetStatus[[#This Row],[TargetID]],tblTargets[TargetID],tblTargets[DisplayName],"")</f>
        <v>Outpost Lv 1</v>
      </c>
      <c r="C75" t="str">
        <f>IF(tblTargetStatus[[#This Row],[PlayerCompleted]],"COMPLETED",IF(tblTargetStatus[[#This Row],[MissingDependencies]]=0,"READY","BLOCKED"))</f>
        <v>BLOCKED</v>
      </c>
      <c r="D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5" t="str">
        <f>_xlfn.XLOOKUP(tblTargetStatus[[#This Row],[TargetID]],tblTargets[TargetID],tblTargets[TargetType],"")</f>
        <v>BUILDING</v>
      </c>
      <c r="F75" t="str">
        <f>_xlfn.XLOOKUP(tblTargetStatus[[#This Row],[TargetID]],tblTargets[TargetID],tblTargets[StateType])</f>
        <v/>
      </c>
      <c r="G75">
        <f>_xlfn.LET(
_xlpm.id,tblTargetStatus[[#This Row],[TargetID]],
_xlpm.depCount,COUNTIF(tblDependencies[TargetID],_xlpm.id),
_xlpm.objCount,COUNTIF(tblQuestObjectives[QuestTargetID],_xlpm.id),
_xlpm.depCount+_xlpm.objCount
)</f>
        <v>2</v>
      </c>
      <c r="H75">
        <f>tblTargetStatus[[#This Row],[DependencyCount]]</f>
        <v>2</v>
      </c>
      <c r="I75" cm="1">
        <f t="array" ref="I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5">
        <f>tblTargetStatus[[#This Row],[CompletedDependencyCount]]</f>
        <v>0</v>
      </c>
      <c r="K75" t="b">
        <f>tblTargetStatus[[#This Row],[CompletedDependencies]]=tblTargetStatus[[#This Row],[TotalDependencies]]</f>
        <v>0</v>
      </c>
      <c r="L75">
        <f>tblTargetStatus[[#This Row],[TotalDependencies]]-tblTargetStatus[[#This Row],[CompletedDependencies]]</f>
        <v>2</v>
      </c>
      <c r="M75" t="str" cm="1">
        <f t="array" ref="M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75" t="str">
        <f>IF(tblTargetStatus[[#This Row],[FirstMissingDependencyID]]="","",_xlfn.XLOOKUP(tblTargetStatus[[#This Row],[FirstMissingDependencyID]],tblTargets[TargetID],tblTargets[DisplayName],tblTargetStatus[[#This Row],[FirstMissingDependencyID]]))</f>
        <v>Bridge Lv 1</v>
      </c>
      <c r="O75" t="str" cm="1">
        <f t="array" ref="O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ruby,1000 coin,1000 beam,1000 stone,100 katana,300 arrows</v>
      </c>
      <c r="P75" t="str">
        <f>IF(tblTargetStatus[[#This Row],[FirstMissingDependencyID]]="","",_xlfn.XLOOKUP(tblTargetStatus[[#This Row],[FirstMissingDependencyID]],tblTargetStatus[TargetID],tblTargetStatus[Status],""))</f>
        <v>BLOCKED</v>
      </c>
      <c r="Q75" t="str">
        <f>IF(
 tblTargetStatus[[#This Row],[Status]]&lt;&gt;"BLOCKED",
 tblTargetStatus[[#This Row],[Status]],
 IF(
  AND(
   tblTargetStatus[[#This Row],[MissingDependencies]]=1,
   tblTargetStatus[[#This Row],[FirstMissingStatus]]="READY"
  ),
  "ONE AWAY",
  "BLOCKED"
 )
)</f>
        <v>BLOCKED</v>
      </c>
      <c r="R75">
        <f>IF(
 OR(
  tblTargetStatus[[#This Row],[StateType]]="CHARACTER",
  RIGHT(tblTargetStatus[[#This Row],[TargetID]],6)=".maxed"
 ),
 0,
 _xlfn.LET(
  _xlpm.sort,
   _xlfn.XLOOKUP(
    tblTargetStatus[[#This Row],[TargetID]],
    tblChecklist[TargetID],
    tblChecklist[PlayerSort],
    0
   ),
  IF(_xlpm.sort=0,500,_xlpm.sort)
 )
)</f>
        <v>28</v>
      </c>
      <c r="S75" t="str" cm="1">
        <f t="array" ref="S7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Outpost Lv 2</v>
      </c>
      <c r="T75" t="str">
        <f>_xlfn.XLOOKUP(tblTargetStatus[[#This Row],[TargetID]],tblTargets[TargetID],tblTargets[CompletionMethod],"")</f>
        <v>PLAYER</v>
      </c>
      <c r="U75" t="b">
        <f>COUNTIF(
    tblCost[TargetID],
    tblTargetStatus[[#This Row],[TargetID]]
)&gt;0</f>
        <v>1</v>
      </c>
      <c r="V75" s="81">
        <f>IF(tblTargetStatus[[#This Row],[HasCost]]=FALSE,
"N/A",
_xlfn.XLOOKUP(
tblTargetStatus[[#This Row],[TargetID]],
tblCost[TargetID],
tblCost[FundingPercent],
""
)
)</f>
        <v>0</v>
      </c>
      <c r="W75">
        <f>IF(
COUNTIF(tblCost[TargetID],tblTargetStatus[[#This Row],[TargetID]])=0,
"",
_xlfn.XLOOKUP(
tblTargetStatus[[#This Row],[TargetID]],
tblCost[TargetID],
tblCost[RemainingRequirements],
""
)
)</f>
        <v>6</v>
      </c>
      <c r="X75" s="79" t="b">
        <f>IF(tblTargetStatus[[#This Row],[HasCost]]=FALSE,"N/A",_xlfn.XLOOKUP(
tblTargetStatus[[#This Row],[TargetID]],
tblCost[TargetID],
tblCost[TargetFunded],
TRUE
))</f>
        <v>0</v>
      </c>
      <c r="Y75" t="str" cm="1">
        <f t="array" ref="Y75">_xlfn.TEXTJOIN(
", ",
TRUE,
_xlfn._xlws.FILTER(
tblCost[ResourceID]&amp;": "&amp;tblCost[QuantityRequired],
(tblCost[TargetID]=tblTargetStatus[[#This Row],[TargetID]])*
(tblCost[PlayerPaid]=FALSE),
""
)
)</f>
        <v>ruby: 6, coin: 1000, beam: 1000, stone: 1000, katana: 100, arrows: 300</v>
      </c>
      <c r="Z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5" t="str" cm="1">
        <f t="array" ref="AA7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6" spans="1:27" ht="29">
      <c r="A76" t="s">
        <v>99</v>
      </c>
      <c r="B76" t="str">
        <f>_xlfn.XLOOKUP(tblTargetStatus[[#This Row],[TargetID]],tblTargets[TargetID],tblTargets[DisplayName],"")</f>
        <v>Outpost Lv 2</v>
      </c>
      <c r="C76" t="str">
        <f>IF(tblTargetStatus[[#This Row],[PlayerCompleted]],"COMPLETED",IF(tblTargetStatus[[#This Row],[MissingDependencies]]=0,"READY","BLOCKED"))</f>
        <v>BLOCKED</v>
      </c>
      <c r="D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6" t="str">
        <f>_xlfn.XLOOKUP(tblTargetStatus[[#This Row],[TargetID]],tblTargets[TargetID],tblTargets[TargetType],"")</f>
        <v>BUILDING</v>
      </c>
      <c r="F76" t="str">
        <f>_xlfn.XLOOKUP(tblTargetStatus[[#This Row],[TargetID]],tblTargets[TargetID],tblTargets[StateType])</f>
        <v/>
      </c>
      <c r="G76">
        <f>_xlfn.LET(
_xlpm.id,tblTargetStatus[[#This Row],[TargetID]],
_xlpm.depCount,COUNTIF(tblDependencies[TargetID],_xlpm.id),
_xlpm.objCount,COUNTIF(tblQuestObjectives[QuestTargetID],_xlpm.id),
_xlpm.depCount+_xlpm.objCount
)</f>
        <v>1</v>
      </c>
      <c r="H76">
        <f>tblTargetStatus[[#This Row],[DependencyCount]]</f>
        <v>1</v>
      </c>
      <c r="I76" cm="1">
        <f t="array" ref="I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6">
        <f>tblTargetStatus[[#This Row],[CompletedDependencyCount]]</f>
        <v>0</v>
      </c>
      <c r="K76" t="b">
        <f>tblTargetStatus[[#This Row],[CompletedDependencies]]=tblTargetStatus[[#This Row],[TotalDependencies]]</f>
        <v>0</v>
      </c>
      <c r="L76">
        <f>tblTargetStatus[[#This Row],[TotalDependencies]]-tblTargetStatus[[#This Row],[CompletedDependencies]]</f>
        <v>1</v>
      </c>
      <c r="M76" t="str" cm="1">
        <f t="array" ref="M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building.outpost@1</v>
      </c>
      <c r="N76" t="str">
        <f>IF(tblTargetStatus[[#This Row],[FirstMissingDependencyID]]="","",_xlfn.XLOOKUP(tblTargetStatus[[#This Row],[FirstMissingDependencyID]],tblTargets[TargetID],tblTargets[DisplayName],tblTargetStatus[[#This Row],[FirstMissingDependencyID]]))</f>
        <v>Outpost Lv 1</v>
      </c>
      <c r="O76" s="2" t="str" cm="1">
        <f t="array" ref="O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ruby,1500 coin,1500 beam,3000 stone,300 steel,30 mortar</v>
      </c>
      <c r="P76" t="str">
        <f>IF(tblTargetStatus[[#This Row],[FirstMissingDependencyID]]="","",_xlfn.XLOOKUP(tblTargetStatus[[#This Row],[FirstMissingDependencyID]],tblTargetStatus[TargetID],tblTargetStatus[Status],""))</f>
        <v>BLOCKED</v>
      </c>
      <c r="Q76" t="str">
        <f>IF(
 tblTargetStatus[[#This Row],[Status]]&lt;&gt;"BLOCKED",
 tblTargetStatus[[#This Row],[Status]],
 IF(
  AND(
   tblTargetStatus[[#This Row],[MissingDependencies]]=1,
   tblTargetStatus[[#This Row],[FirstMissingStatus]]="READY"
  ),
  "ONE AWAY",
  "BLOCKED"
 )
)</f>
        <v>BLOCKED</v>
      </c>
      <c r="R76">
        <f>IF(
 OR(
  tblTargetStatus[[#This Row],[StateType]]="CHARACTER",
  RIGHT(tblTargetStatus[[#This Row],[TargetID]],6)=".maxed"
 ),
 0,
 _xlfn.LET(
  _xlpm.sort,
   _xlfn.XLOOKUP(
    tblTargetStatus[[#This Row],[TargetID]],
    tblChecklist[TargetID],
    tblChecklist[PlayerSort],
    0
   ),
  IF(_xlpm.sort=0,500,_xlpm.sort)
 )
)</f>
        <v>35</v>
      </c>
      <c r="S76" t="str" cm="1">
        <f t="array" ref="S7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Outpost Lv 3</v>
      </c>
      <c r="T76" t="str">
        <f>_xlfn.XLOOKUP(tblTargetStatus[[#This Row],[TargetID]],tblTargets[TargetID],tblTargets[CompletionMethod],"")</f>
        <v>PLAYER</v>
      </c>
      <c r="U76" t="b">
        <f>COUNTIF(
    tblCost[TargetID],
    tblTargetStatus[[#This Row],[TargetID]]
)&gt;0</f>
        <v>1</v>
      </c>
      <c r="V76" s="81">
        <f>IF(tblTargetStatus[[#This Row],[HasCost]]=FALSE,
"N/A",
_xlfn.XLOOKUP(
tblTargetStatus[[#This Row],[TargetID]],
tblCost[TargetID],
tblCost[FundingPercent],
""
)
)</f>
        <v>0</v>
      </c>
      <c r="W76">
        <f>IF(
COUNTIF(tblCost[TargetID],tblTargetStatus[[#This Row],[TargetID]])=0,
"",
_xlfn.XLOOKUP(
tblTargetStatus[[#This Row],[TargetID]],
tblCost[TargetID],
tblCost[RemainingRequirements],
""
)
)</f>
        <v>6</v>
      </c>
      <c r="X76" s="79" t="b">
        <f>IF(tblTargetStatus[[#This Row],[HasCost]]=FALSE,"N/A",_xlfn.XLOOKUP(
tblTargetStatus[[#This Row],[TargetID]],
tblCost[TargetID],
tblCost[TargetFunded],
TRUE
))</f>
        <v>0</v>
      </c>
      <c r="Y76" t="str" cm="1">
        <f t="array" ref="Y76">_xlfn.TEXTJOIN(
", ",
TRUE,
_xlfn._xlws.FILTER(
tblCost[ResourceID]&amp;": "&amp;tblCost[QuantityRequired],
(tblCost[TargetID]=tblTargetStatus[[#This Row],[TargetID]])*
(tblCost[PlayerPaid]=FALSE),
""
)
)</f>
        <v>ruby: 8, coin: 1500, beam: 1500, stone: 3000, steel: 300, mortar: 30</v>
      </c>
      <c r="Z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6" t="str" cm="1">
        <f t="array" ref="AA7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7" spans="1:27" ht="29">
      <c r="A77" t="s">
        <v>100</v>
      </c>
      <c r="B77" t="str">
        <f>_xlfn.XLOOKUP(tblTargetStatus[[#This Row],[TargetID]],tblTargets[TargetID],tblTargets[DisplayName],"")</f>
        <v>Outpost Lv 3</v>
      </c>
      <c r="C77" t="str">
        <f>IF(tblTargetStatus[[#This Row],[PlayerCompleted]],"COMPLETED",IF(tblTargetStatus[[#This Row],[MissingDependencies]]=0,"READY","BLOCKED"))</f>
        <v>BLOCKED</v>
      </c>
      <c r="D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7" t="str">
        <f>_xlfn.XLOOKUP(tblTargetStatus[[#This Row],[TargetID]],tblTargets[TargetID],tblTargets[TargetType],"")</f>
        <v>BUILDING</v>
      </c>
      <c r="F77" t="str">
        <f>_xlfn.XLOOKUP(tblTargetStatus[[#This Row],[TargetID]],tblTargets[TargetID],tblTargets[StateType])</f>
        <v/>
      </c>
      <c r="G77">
        <f>_xlfn.LET(
_xlpm.id,tblTargetStatus[[#This Row],[TargetID]],
_xlpm.depCount,COUNTIF(tblDependencies[TargetID],_xlpm.id),
_xlpm.objCount,COUNTIF(tblQuestObjectives[QuestTargetID],_xlpm.id),
_xlpm.depCount+_xlpm.objCount
)</f>
        <v>1</v>
      </c>
      <c r="H77">
        <f>tblTargetStatus[[#This Row],[DependencyCount]]</f>
        <v>1</v>
      </c>
      <c r="I77" cm="1">
        <f t="array" ref="I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7">
        <f>tblTargetStatus[[#This Row],[CompletedDependencyCount]]</f>
        <v>0</v>
      </c>
      <c r="K77" t="b">
        <f>tblTargetStatus[[#This Row],[CompletedDependencies]]=tblTargetStatus[[#This Row],[TotalDependencies]]</f>
        <v>0</v>
      </c>
      <c r="L77">
        <f>tblTargetStatus[[#This Row],[TotalDependencies]]-tblTargetStatus[[#This Row],[CompletedDependencies]]</f>
        <v>1</v>
      </c>
      <c r="M77" t="str" cm="1">
        <f t="array" ref="M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building.outpost@2</v>
      </c>
      <c r="N77" t="str">
        <f>IF(tblTargetStatus[[#This Row],[FirstMissingDependencyID]]="","",_xlfn.XLOOKUP(tblTargetStatus[[#This Row],[FirstMissingDependencyID]],tblTargets[TargetID],tblTargets[DisplayName],tblTargetStatus[[#This Row],[FirstMissingDependencyID]]))</f>
        <v>Outpost Lv 2</v>
      </c>
      <c r="O77" s="2" t="str" cm="1">
        <f t="array" ref="O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ruby,2000 coin,2000 beam,5000 stone,20 oil,20 samurai</v>
      </c>
      <c r="P77" t="str">
        <f>IF(tblTargetStatus[[#This Row],[FirstMissingDependencyID]]="","",_xlfn.XLOOKUP(tblTargetStatus[[#This Row],[FirstMissingDependencyID]],tblTargetStatus[TargetID],tblTargetStatus[Status],""))</f>
        <v>BLOCKED</v>
      </c>
      <c r="Q77" t="str">
        <f>IF(
 tblTargetStatus[[#This Row],[Status]]&lt;&gt;"BLOCKED",
 tblTargetStatus[[#This Row],[Status]],
 IF(
  AND(
   tblTargetStatus[[#This Row],[MissingDependencies]]=1,
   tblTargetStatus[[#This Row],[FirstMissingStatus]]="READY"
  ),
  "ONE AWAY",
  "BLOCKED"
 )
)</f>
        <v>BLOCKED</v>
      </c>
      <c r="R77">
        <f>IF(
 OR(
  tblTargetStatus[[#This Row],[StateType]]="CHARACTER",
  RIGHT(tblTargetStatus[[#This Row],[TargetID]],6)=".maxed"
 ),
 0,
 _xlfn.LET(
  _xlpm.sort,
   _xlfn.XLOOKUP(
    tblTargetStatus[[#This Row],[TargetID]],
    tblChecklist[TargetID],
    tblChecklist[PlayerSort],
    0
   ),
  IF(_xlpm.sort=0,500,_xlpm.sort)
 )
)</f>
        <v>50</v>
      </c>
      <c r="S77" t="str" cm="1">
        <f t="array" ref="S7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Outpost maxed, Honor, Glory, Sushi Finished</v>
      </c>
      <c r="T77" t="str">
        <f>_xlfn.XLOOKUP(tblTargetStatus[[#This Row],[TargetID]],tblTargets[TargetID],tblTargets[CompletionMethod],"")</f>
        <v>PLAYER</v>
      </c>
      <c r="U77" t="b">
        <f>COUNTIF(
    tblCost[TargetID],
    tblTargetStatus[[#This Row],[TargetID]]
)&gt;0</f>
        <v>1</v>
      </c>
      <c r="V77" s="81">
        <f>IF(tblTargetStatus[[#This Row],[HasCost]]=FALSE,
"N/A",
_xlfn.XLOOKUP(
tblTargetStatus[[#This Row],[TargetID]],
tblCost[TargetID],
tblCost[FundingPercent],
""
)
)</f>
        <v>0</v>
      </c>
      <c r="W77">
        <f>IF(
COUNTIF(tblCost[TargetID],tblTargetStatus[[#This Row],[TargetID]])=0,
"",
_xlfn.XLOOKUP(
tblTargetStatus[[#This Row],[TargetID]],
tblCost[TargetID],
tblCost[RemainingRequirements],
""
)
)</f>
        <v>6</v>
      </c>
      <c r="X77" s="79" t="b">
        <f>IF(tblTargetStatus[[#This Row],[HasCost]]=FALSE,"N/A",_xlfn.XLOOKUP(
tblTargetStatus[[#This Row],[TargetID]],
tblCost[TargetID],
tblCost[TargetFunded],
TRUE
))</f>
        <v>0</v>
      </c>
      <c r="Y77" t="str" cm="1">
        <f t="array" ref="Y77">_xlfn.TEXTJOIN(
", ",
TRUE,
_xlfn._xlws.FILTER(
tblCost[ResourceID]&amp;": "&amp;tblCost[QuantityRequired],
(tblCost[TargetID]=tblTargetStatus[[#This Row],[TargetID]])*
(tblCost[PlayerPaid]=FALSE),
""
)
)</f>
        <v>ruby: 10, coin: 2000, beam: 2000, stone: 5000, oil: 20, samurai: 20</v>
      </c>
      <c r="Z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7" t="str" cm="1">
        <f t="array" ref="AA7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8" spans="1:27">
      <c r="A78" t="s">
        <v>101</v>
      </c>
      <c r="B78" t="str">
        <f>_xlfn.XLOOKUP(tblTargetStatus[[#This Row],[TargetID]],tblTargets[TargetID],tblTargets[DisplayName],"")</f>
        <v>Pagoda Lv 1</v>
      </c>
      <c r="C78" t="str">
        <f>IF(tblTargetStatus[[#This Row],[PlayerCompleted]],"COMPLETED",IF(tblTargetStatus[[#This Row],[MissingDependencies]]=0,"READY","BLOCKED"))</f>
        <v>BLOCKED</v>
      </c>
      <c r="D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8" t="str">
        <f>_xlfn.XLOOKUP(tblTargetStatus[[#This Row],[TargetID]],tblTargets[TargetID],tblTargets[TargetType],"")</f>
        <v>BUILDING</v>
      </c>
      <c r="F78" t="str">
        <f>_xlfn.XLOOKUP(tblTargetStatus[[#This Row],[TargetID]],tblTargets[TargetID],tblTargets[StateType])</f>
        <v/>
      </c>
      <c r="G78">
        <f>_xlfn.LET(
_xlpm.id,tblTargetStatus[[#This Row],[TargetID]],
_xlpm.depCount,COUNTIF(tblDependencies[TargetID],_xlpm.id),
_xlpm.objCount,COUNTIF(tblQuestObjectives[QuestTargetID],_xlpm.id),
_xlpm.depCount+_xlpm.objCount
)</f>
        <v>1</v>
      </c>
      <c r="H78">
        <f>tblTargetStatus[[#This Row],[DependencyCount]]</f>
        <v>1</v>
      </c>
      <c r="I78" cm="1">
        <f t="array" ref="I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8">
        <f>tblTargetStatus[[#This Row],[CompletedDependencyCount]]</f>
        <v>0</v>
      </c>
      <c r="K78" t="b">
        <f>tblTargetStatus[[#This Row],[CompletedDependencies]]=tblTargetStatus[[#This Row],[TotalDependencies]]</f>
        <v>0</v>
      </c>
      <c r="L78">
        <f>tblTargetStatus[[#This Row],[TotalDependencies]]-tblTargetStatus[[#This Row],[CompletedDependencies]]</f>
        <v>1</v>
      </c>
      <c r="M78" t="str" cm="1">
        <f t="array" ref="M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state.character_level@4</v>
      </c>
      <c r="N78" t="str">
        <f>IF(tblTargetStatus[[#This Row],[FirstMissingDependencyID]]="","",_xlfn.XLOOKUP(tblTargetStatus[[#This Row],[FirstMissingDependencyID]],tblTargets[TargetID],tblTargets[DisplayName],tblTargetStatus[[#This Row],[FirstMissingDependencyID]]))</f>
        <v>Character Level@4</v>
      </c>
      <c r="O78" s="2" t="str" cm="1">
        <f t="array" ref="O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ruby,50 coin,50 wood,50 stone,5 petard</v>
      </c>
      <c r="P78" t="str">
        <f>IF(tblTargetStatus[[#This Row],[FirstMissingDependencyID]]="","",_xlfn.XLOOKUP(tblTargetStatus[[#This Row],[FirstMissingDependencyID]],tblTargetStatus[TargetID],tblTargetStatus[Status],""))</f>
        <v>READY</v>
      </c>
      <c r="Q78" t="str">
        <f>IF(
 tblTargetStatus[[#This Row],[Status]]&lt;&gt;"BLOCKED",
 tblTargetStatus[[#This Row],[Status]],
 IF(
  AND(
   tblTargetStatus[[#This Row],[MissingDependencies]]=1,
   tblTargetStatus[[#This Row],[FirstMissingStatus]]="READY"
  ),
  "ONE AWAY",
  "BLOCKED"
 )
)</f>
        <v>ONE AWAY</v>
      </c>
      <c r="R78">
        <f>IF(
 OR(
  tblTargetStatus[[#This Row],[StateType]]="CHARACTER",
  RIGHT(tblTargetStatus[[#This Row],[TargetID]],6)=".maxed"
 ),
 0,
 _xlfn.LET(
  _xlpm.sort,
   _xlfn.XLOOKUP(
    tblTargetStatus[[#This Row],[TargetID]],
    tblChecklist[TargetID],
    tblChecklist[PlayerSort],
    0
   ),
  IF(_xlpm.sort=0,500,_xlpm.sort)
 )
)</f>
        <v>57</v>
      </c>
      <c r="S78" t="str" cm="1">
        <f t="array" ref="S7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2</v>
      </c>
      <c r="T78" t="str">
        <f>_xlfn.XLOOKUP(tblTargetStatus[[#This Row],[TargetID]],tblTargets[TargetID],tblTargets[CompletionMethod],"")</f>
        <v>PLAYER</v>
      </c>
      <c r="U78" t="b">
        <f>COUNTIF(
    tblCost[TargetID],
    tblTargetStatus[[#This Row],[TargetID]]
)&gt;0</f>
        <v>1</v>
      </c>
      <c r="V78" s="81">
        <f>IF(tblTargetStatus[[#This Row],[HasCost]]=FALSE,
"N/A",
_xlfn.XLOOKUP(
tblTargetStatus[[#This Row],[TargetID]],
tblCost[TargetID],
tblCost[FundingPercent],
""
)
)</f>
        <v>0</v>
      </c>
      <c r="W78">
        <f>IF(
COUNTIF(tblCost[TargetID],tblTargetStatus[[#This Row],[TargetID]])=0,
"",
_xlfn.XLOOKUP(
tblTargetStatus[[#This Row],[TargetID]],
tblCost[TargetID],
tblCost[RemainingRequirements],
""
)
)</f>
        <v>5</v>
      </c>
      <c r="X78" s="79" t="b">
        <f>IF(tblTargetStatus[[#This Row],[HasCost]]=FALSE,"N/A",_xlfn.XLOOKUP(
tblTargetStatus[[#This Row],[TargetID]],
tblCost[TargetID],
tblCost[TargetFunded],
TRUE
))</f>
        <v>0</v>
      </c>
      <c r="Y78" t="str" cm="1">
        <f t="array" ref="Y78">_xlfn.TEXTJOIN(
", ",
TRUE,
_xlfn._xlws.FILTER(
tblCost[ResourceID]&amp;": "&amp;tblCost[QuantityRequired],
(tblCost[TargetID]=tblTargetStatus[[#This Row],[TargetID]])*
(tblCost[PlayerPaid]=FALSE),
""
)
)</f>
        <v>ruby: 1, coin: 50, wood: 50, stone: 50, petard: 5</v>
      </c>
      <c r="Z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8" t="str" cm="1">
        <f t="array" ref="AA7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79" spans="1:27">
      <c r="A79" t="s">
        <v>103</v>
      </c>
      <c r="B79" t="str">
        <f>_xlfn.XLOOKUP(tblTargetStatus[[#This Row],[TargetID]],tblTargets[TargetID],tblTargets[DisplayName],"")</f>
        <v>Pagoda Lv 2</v>
      </c>
      <c r="C79" t="str">
        <f>IF(tblTargetStatus[[#This Row],[PlayerCompleted]],"COMPLETED",IF(tblTargetStatus[[#This Row],[MissingDependencies]]=0,"READY","BLOCKED"))</f>
        <v>BLOCKED</v>
      </c>
      <c r="D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9" t="str">
        <f>_xlfn.XLOOKUP(tblTargetStatus[[#This Row],[TargetID]],tblTargets[TargetID],tblTargets[TargetType],"")</f>
        <v>BUILDING</v>
      </c>
      <c r="F79" t="str">
        <f>_xlfn.XLOOKUP(tblTargetStatus[[#This Row],[TargetID]],tblTargets[TargetID],tblTargets[StateType])</f>
        <v/>
      </c>
      <c r="G79">
        <f>_xlfn.LET(
_xlpm.id,tblTargetStatus[[#This Row],[TargetID]],
_xlpm.depCount,COUNTIF(tblDependencies[TargetID],_xlpm.id),
_xlpm.objCount,COUNTIF(tblQuestObjectives[QuestTargetID],_xlpm.id),
_xlpm.depCount+_xlpm.objCount
)</f>
        <v>2</v>
      </c>
      <c r="H79">
        <f>tblTargetStatus[[#This Row],[DependencyCount]]</f>
        <v>2</v>
      </c>
      <c r="I79" cm="1">
        <f t="array" ref="I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9">
        <f>tblTargetStatus[[#This Row],[CompletedDependencyCount]]</f>
        <v>0</v>
      </c>
      <c r="K79" t="b">
        <f>tblTargetStatus[[#This Row],[CompletedDependencies]]=tblTargetStatus[[#This Row],[TotalDependencies]]</f>
        <v>0</v>
      </c>
      <c r="L79">
        <f>tblTargetStatus[[#This Row],[TotalDependencies]]-tblTargetStatus[[#This Row],[CompletedDependencies]]</f>
        <v>2</v>
      </c>
      <c r="M79" t="str" cm="1">
        <f t="array" ref="M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building.pagoda@1</v>
      </c>
      <c r="N79" t="str">
        <f>IF(tblTargetStatus[[#This Row],[FirstMissingDependencyID]]="","",_xlfn.XLOOKUP(tblTargetStatus[[#This Row],[FirstMissingDependencyID]],tblTargets[TargetID],tblTargets[DisplayName],tblTargetStatus[[#This Row],[FirstMissingDependencyID]]))</f>
        <v>Pagoda Lv 1</v>
      </c>
      <c r="O79" t="str" cm="1">
        <f t="array" ref="O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ruby,200 coin,200 wood,200 stone,10 chemicals</v>
      </c>
      <c r="P79" t="str">
        <f>IF(tblTargetStatus[[#This Row],[FirstMissingDependencyID]]="","",_xlfn.XLOOKUP(tblTargetStatus[[#This Row],[FirstMissingDependencyID]],tblTargetStatus[TargetID],tblTargetStatus[Status],""))</f>
        <v>BLOCKED</v>
      </c>
      <c r="Q79" t="str">
        <f>IF(
 tblTargetStatus[[#This Row],[Status]]&lt;&gt;"BLOCKED",
 tblTargetStatus[[#This Row],[Status]],
 IF(
  AND(
   tblTargetStatus[[#This Row],[MissingDependencies]]=1,
   tblTargetStatus[[#This Row],[FirstMissingStatus]]="READY"
  ),
  "ONE AWAY",
  "BLOCKED"
 )
)</f>
        <v>BLOCKED</v>
      </c>
      <c r="R79">
        <f>IF(
 OR(
  tblTargetStatus[[#This Row],[StateType]]="CHARACTER",
  RIGHT(tblTargetStatus[[#This Row],[TargetID]],6)=".maxed"
 ),
 0,
 _xlfn.LET(
  _xlpm.sort,
   _xlfn.XLOOKUP(
    tblTargetStatus[[#This Row],[TargetID]],
    tblChecklist[TargetID],
    tblChecklist[PlayerSort],
    0
   ),
  IF(_xlpm.sort=0,500,_xlpm.sort)
 )
)</f>
        <v>58</v>
      </c>
      <c r="S79" t="str" cm="1">
        <f t="array" ref="S7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3</v>
      </c>
      <c r="T79" t="str">
        <f>_xlfn.XLOOKUP(tblTargetStatus[[#This Row],[TargetID]],tblTargets[TargetID],tblTargets[CompletionMethod],"")</f>
        <v>PLAYER</v>
      </c>
      <c r="U79" t="b">
        <f>COUNTIF(
    tblCost[TargetID],
    tblTargetStatus[[#This Row],[TargetID]]
)&gt;0</f>
        <v>1</v>
      </c>
      <c r="V79" s="81">
        <f>IF(tblTargetStatus[[#This Row],[HasCost]]=FALSE,
"N/A",
_xlfn.XLOOKUP(
tblTargetStatus[[#This Row],[TargetID]],
tblCost[TargetID],
tblCost[FundingPercent],
""
)
)</f>
        <v>0</v>
      </c>
      <c r="W79">
        <f>IF(
COUNTIF(tblCost[TargetID],tblTargetStatus[[#This Row],[TargetID]])=0,
"",
_xlfn.XLOOKUP(
tblTargetStatus[[#This Row],[TargetID]],
tblCost[TargetID],
tblCost[RemainingRequirements],
""
)
)</f>
        <v>5</v>
      </c>
      <c r="X79" s="79" t="b">
        <f>IF(tblTargetStatus[[#This Row],[HasCost]]=FALSE,"N/A",_xlfn.XLOOKUP(
tblTargetStatus[[#This Row],[TargetID]],
tblCost[TargetID],
tblCost[TargetFunded],
TRUE
))</f>
        <v>0</v>
      </c>
      <c r="Y79" t="str" cm="1">
        <f t="array" ref="Y79">_xlfn.TEXTJOIN(
", ",
TRUE,
_xlfn._xlws.FILTER(
tblCost[ResourceID]&amp;": "&amp;tblCost[QuantityRequired],
(tblCost[TargetID]=tblTargetStatus[[#This Row],[TargetID]])*
(tblCost[PlayerPaid]=FALSE),
""
)
)</f>
        <v>ruby: 2, coin: 200, wood: 200, stone: 200, chemicals: 10</v>
      </c>
      <c r="Z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9" t="str" cm="1">
        <f t="array" ref="AA7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0" spans="1:27">
      <c r="A80" t="s">
        <v>104</v>
      </c>
      <c r="B80" t="str">
        <f>_xlfn.XLOOKUP(tblTargetStatus[[#This Row],[TargetID]],tblTargets[TargetID],tblTargets[DisplayName],"")</f>
        <v>Pagoda Lv 3</v>
      </c>
      <c r="C80" t="str">
        <f>IF(tblTargetStatus[[#This Row],[PlayerCompleted]],"COMPLETED",IF(tblTargetStatus[[#This Row],[MissingDependencies]]=0,"READY","BLOCKED"))</f>
        <v>BLOCKED</v>
      </c>
      <c r="D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0" t="str">
        <f>_xlfn.XLOOKUP(tblTargetStatus[[#This Row],[TargetID]],tblTargets[TargetID],tblTargets[TargetType],"")</f>
        <v>BUILDING</v>
      </c>
      <c r="F80" t="str">
        <f>_xlfn.XLOOKUP(tblTargetStatus[[#This Row],[TargetID]],tblTargets[TargetID],tblTargets[StateType])</f>
        <v/>
      </c>
      <c r="G80">
        <f>_xlfn.LET(
_xlpm.id,tblTargetStatus[[#This Row],[TargetID]],
_xlpm.depCount,COUNTIF(tblDependencies[TargetID],_xlpm.id),
_xlpm.objCount,COUNTIF(tblQuestObjectives[QuestTargetID],_xlpm.id),
_xlpm.depCount+_xlpm.objCount
)</f>
        <v>2</v>
      </c>
      <c r="H80">
        <f>tblTargetStatus[[#This Row],[DependencyCount]]</f>
        <v>2</v>
      </c>
      <c r="I80" cm="1">
        <f t="array" ref="I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0">
        <f>tblTargetStatus[[#This Row],[CompletedDependencyCount]]</f>
        <v>0</v>
      </c>
      <c r="K80" t="b">
        <f>tblTargetStatus[[#This Row],[CompletedDependencies]]=tblTargetStatus[[#This Row],[TotalDependencies]]</f>
        <v>0</v>
      </c>
      <c r="L80">
        <f>tblTargetStatus[[#This Row],[TotalDependencies]]-tblTargetStatus[[#This Row],[CompletedDependencies]]</f>
        <v>2</v>
      </c>
      <c r="M80" t="str" cm="1">
        <f t="array" ref="M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building.pagoda@2</v>
      </c>
      <c r="N80" t="str">
        <f>IF(tblTargetStatus[[#This Row],[FirstMissingDependencyID]]="","",_xlfn.XLOOKUP(tblTargetStatus[[#This Row],[FirstMissingDependencyID]],tblTargets[TargetID],tblTargets[DisplayName],tblTargetStatus[[#This Row],[FirstMissingDependencyID]]))</f>
        <v>Pagoda Lv 2</v>
      </c>
      <c r="O80" t="str" cm="1">
        <f t="array" ref="O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ruby,300 coin,600 beam,300 stone,50 steel</v>
      </c>
      <c r="P80" t="str">
        <f>IF(tblTargetStatus[[#This Row],[FirstMissingDependencyID]]="","",_xlfn.XLOOKUP(tblTargetStatus[[#This Row],[FirstMissingDependencyID]],tblTargetStatus[TargetID],tblTargetStatus[Status],""))</f>
        <v>BLOCKED</v>
      </c>
      <c r="Q80" t="str">
        <f>IF(
 tblTargetStatus[[#This Row],[Status]]&lt;&gt;"BLOCKED",
 tblTargetStatus[[#This Row],[Status]],
 IF(
  AND(
   tblTargetStatus[[#This Row],[MissingDependencies]]=1,
   tblTargetStatus[[#This Row],[FirstMissingStatus]]="READY"
  ),
  "ONE AWAY",
  "BLOCKED"
 )
)</f>
        <v>BLOCKED</v>
      </c>
      <c r="R80">
        <f>IF(
 OR(
  tblTargetStatus[[#This Row],[StateType]]="CHARACTER",
  RIGHT(tblTargetStatus[[#This Row],[TargetID]],6)=".maxed"
 ),
 0,
 _xlfn.LET(
  _xlpm.sort,
   _xlfn.XLOOKUP(
    tblTargetStatus[[#This Row],[TargetID]],
    tblChecklist[TargetID],
    tblChecklist[PlayerSort],
    0
   ),
  IF(_xlpm.sort=0,500,_xlpm.sort)
 )
)</f>
        <v>59</v>
      </c>
      <c r="S80" t="str" cm="1">
        <f t="array" ref="S8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4</v>
      </c>
      <c r="T80" t="str">
        <f>_xlfn.XLOOKUP(tblTargetStatus[[#This Row],[TargetID]],tblTargets[TargetID],tblTargets[CompletionMethod],"")</f>
        <v>PLAYER</v>
      </c>
      <c r="U80" t="b">
        <f>COUNTIF(
    tblCost[TargetID],
    tblTargetStatus[[#This Row],[TargetID]]
)&gt;0</f>
        <v>1</v>
      </c>
      <c r="V80" s="81">
        <f>IF(tblTargetStatus[[#This Row],[HasCost]]=FALSE,
"N/A",
_xlfn.XLOOKUP(
tblTargetStatus[[#This Row],[TargetID]],
tblCost[TargetID],
tblCost[FundingPercent],
""
)
)</f>
        <v>0</v>
      </c>
      <c r="W80">
        <f>IF(
COUNTIF(tblCost[TargetID],tblTargetStatus[[#This Row],[TargetID]])=0,
"",
_xlfn.XLOOKUP(
tblTargetStatus[[#This Row],[TargetID]],
tblCost[TargetID],
tblCost[RemainingRequirements],
""
)
)</f>
        <v>5</v>
      </c>
      <c r="X80" s="79" t="b">
        <f>IF(tblTargetStatus[[#This Row],[HasCost]]=FALSE,"N/A",_xlfn.XLOOKUP(
tblTargetStatus[[#This Row],[TargetID]],
tblCost[TargetID],
tblCost[TargetFunded],
TRUE
))</f>
        <v>0</v>
      </c>
      <c r="Y80" t="str" cm="1">
        <f t="array" ref="Y80">_xlfn.TEXTJOIN(
", ",
TRUE,
_xlfn._xlws.FILTER(
tblCost[ResourceID]&amp;": "&amp;tblCost[QuantityRequired],
(tblCost[TargetID]=tblTargetStatus[[#This Row],[TargetID]])*
(tblCost[PlayerPaid]=FALSE),
""
)
)</f>
        <v>ruby: 4, coin: 300, beam: 600, stone: 300, steel: 50</v>
      </c>
      <c r="Z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0" t="str" cm="1">
        <f t="array" ref="AA8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1" spans="1:27">
      <c r="A81" t="s">
        <v>105</v>
      </c>
      <c r="B81" t="str">
        <f>_xlfn.XLOOKUP(tblTargetStatus[[#This Row],[TargetID]],tblTargets[TargetID],tblTargets[DisplayName],"")</f>
        <v>Pagoda Lv 4</v>
      </c>
      <c r="C81" t="str">
        <f>IF(tblTargetStatus[[#This Row],[PlayerCompleted]],"COMPLETED",IF(tblTargetStatus[[#This Row],[MissingDependencies]]=0,"READY","BLOCKED"))</f>
        <v>BLOCKED</v>
      </c>
      <c r="D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1" t="str">
        <f>_xlfn.XLOOKUP(tblTargetStatus[[#This Row],[TargetID]],tblTargets[TargetID],tblTargets[TargetType],"")</f>
        <v>BUILDING</v>
      </c>
      <c r="F81" t="str">
        <f>_xlfn.XLOOKUP(tblTargetStatus[[#This Row],[TargetID]],tblTargets[TargetID],tblTargets[StateType])</f>
        <v/>
      </c>
      <c r="G81">
        <f>_xlfn.LET(
_xlpm.id,tblTargetStatus[[#This Row],[TargetID]],
_xlpm.depCount,COUNTIF(tblDependencies[TargetID],_xlpm.id),
_xlpm.objCount,COUNTIF(tblQuestObjectives[QuestTargetID],_xlpm.id),
_xlpm.depCount+_xlpm.objCount
)</f>
        <v>2</v>
      </c>
      <c r="H81">
        <f>tblTargetStatus[[#This Row],[DependencyCount]]</f>
        <v>2</v>
      </c>
      <c r="I81" cm="1">
        <f t="array" ref="I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1">
        <f>tblTargetStatus[[#This Row],[CompletedDependencyCount]]</f>
        <v>0</v>
      </c>
      <c r="K81" t="b">
        <f>tblTargetStatus[[#This Row],[CompletedDependencies]]=tblTargetStatus[[#This Row],[TotalDependencies]]</f>
        <v>0</v>
      </c>
      <c r="L81">
        <f>tblTargetStatus[[#This Row],[TotalDependencies]]-tblTargetStatus[[#This Row],[CompletedDependencies]]</f>
        <v>2</v>
      </c>
      <c r="M81" t="str" cm="1">
        <f t="array" ref="M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building.pagoda@3</v>
      </c>
      <c r="N81" t="str">
        <f>IF(tblTargetStatus[[#This Row],[FirstMissingDependencyID]]="","",_xlfn.XLOOKUP(tblTargetStatus[[#This Row],[FirstMissingDependencyID]],tblTargets[TargetID],tblTargets[DisplayName],tblTargetStatus[[#This Row],[FirstMissingDependencyID]]))</f>
        <v>Pagoda Lv 3</v>
      </c>
      <c r="O81" t="str" cm="1">
        <f t="array" ref="O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ruby,350 coin,700 beam,350 stone,30 fan</v>
      </c>
      <c r="P81" t="str">
        <f>IF(tblTargetStatus[[#This Row],[FirstMissingDependencyID]]="","",_xlfn.XLOOKUP(tblTargetStatus[[#This Row],[FirstMissingDependencyID]],tblTargetStatus[TargetID],tblTargetStatus[Status],""))</f>
        <v>BLOCKED</v>
      </c>
      <c r="Q81" t="str">
        <f>IF(
 tblTargetStatus[[#This Row],[Status]]&lt;&gt;"BLOCKED",
 tblTargetStatus[[#This Row],[Status]],
 IF(
  AND(
   tblTargetStatus[[#This Row],[MissingDependencies]]=1,
   tblTargetStatus[[#This Row],[FirstMissingStatus]]="READY"
  ),
  "ONE AWAY",
  "BLOCKED"
 )
)</f>
        <v>BLOCKED</v>
      </c>
      <c r="R81">
        <f>IF(
 OR(
  tblTargetStatus[[#This Row],[StateType]]="CHARACTER",
  RIGHT(tblTargetStatus[[#This Row],[TargetID]],6)=".maxed"
 ),
 0,
 _xlfn.LET(
  _xlpm.sort,
   _xlfn.XLOOKUP(
    tblTargetStatus[[#This Row],[TargetID]],
    tblChecklist[TargetID],
    tblChecklist[PlayerSort],
    0
   ),
  IF(_xlpm.sort=0,500,_xlpm.sort)
 )
)</f>
        <v>60</v>
      </c>
      <c r="S81" t="str" cm="1">
        <f t="array" ref="S8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5</v>
      </c>
      <c r="T81" t="str">
        <f>_xlfn.XLOOKUP(tblTargetStatus[[#This Row],[TargetID]],tblTargets[TargetID],tblTargets[CompletionMethod],"")</f>
        <v>PLAYER</v>
      </c>
      <c r="U81" t="b">
        <f>COUNTIF(
    tblCost[TargetID],
    tblTargetStatus[[#This Row],[TargetID]]
)&gt;0</f>
        <v>1</v>
      </c>
      <c r="V81" s="81">
        <f>IF(tblTargetStatus[[#This Row],[HasCost]]=FALSE,
"N/A",
_xlfn.XLOOKUP(
tblTargetStatus[[#This Row],[TargetID]],
tblCost[TargetID],
tblCost[FundingPercent],
""
)
)</f>
        <v>0</v>
      </c>
      <c r="W81">
        <f>IF(
COUNTIF(tblCost[TargetID],tblTargetStatus[[#This Row],[TargetID]])=0,
"",
_xlfn.XLOOKUP(
tblTargetStatus[[#This Row],[TargetID]],
tblCost[TargetID],
tblCost[RemainingRequirements],
""
)
)</f>
        <v>5</v>
      </c>
      <c r="X81" s="79" t="b">
        <f>IF(tblTargetStatus[[#This Row],[HasCost]]=FALSE,"N/A",_xlfn.XLOOKUP(
tblTargetStatus[[#This Row],[TargetID]],
tblCost[TargetID],
tblCost[TargetFunded],
TRUE
))</f>
        <v>0</v>
      </c>
      <c r="Y81" t="str" cm="1">
        <f t="array" ref="Y81">_xlfn.TEXTJOIN(
", ",
TRUE,
_xlfn._xlws.FILTER(
tblCost[ResourceID]&amp;": "&amp;tblCost[QuantityRequired],
(tblCost[TargetID]=tblTargetStatus[[#This Row],[TargetID]])*
(tblCost[PlayerPaid]=FALSE),
""
)
)</f>
        <v>ruby: 6, coin: 350, beam: 700, stone: 350, fan: 30</v>
      </c>
      <c r="Z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1" t="str" cm="1">
        <f t="array" ref="AA8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2" spans="1:27">
      <c r="A82" t="s">
        <v>106</v>
      </c>
      <c r="B82" t="str">
        <f>_xlfn.XLOOKUP(tblTargetStatus[[#This Row],[TargetID]],tblTargets[TargetID],tblTargets[DisplayName],"")</f>
        <v>Pagoda Lv 5</v>
      </c>
      <c r="C82" t="str">
        <f>IF(tblTargetStatus[[#This Row],[PlayerCompleted]],"COMPLETED",IF(tblTargetStatus[[#This Row],[MissingDependencies]]=0,"READY","BLOCKED"))</f>
        <v>BLOCKED</v>
      </c>
      <c r="D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2" t="str">
        <f>_xlfn.XLOOKUP(tblTargetStatus[[#This Row],[TargetID]],tblTargets[TargetID],tblTargets[TargetType],"")</f>
        <v>BUILDING</v>
      </c>
      <c r="F82" t="str">
        <f>_xlfn.XLOOKUP(tblTargetStatus[[#This Row],[TargetID]],tblTargets[TargetID],tblTargets[StateType])</f>
        <v/>
      </c>
      <c r="G82">
        <f>_xlfn.LET(
_xlpm.id,tblTargetStatus[[#This Row],[TargetID]],
_xlpm.depCount,COUNTIF(tblDependencies[TargetID],_xlpm.id),
_xlpm.objCount,COUNTIF(tblQuestObjectives[QuestTargetID],_xlpm.id),
_xlpm.depCount+_xlpm.objCount
)</f>
        <v>2</v>
      </c>
      <c r="H82">
        <f>tblTargetStatus[[#This Row],[DependencyCount]]</f>
        <v>2</v>
      </c>
      <c r="I82" cm="1">
        <f t="array" ref="I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2">
        <f>tblTargetStatus[[#This Row],[CompletedDependencyCount]]</f>
        <v>0</v>
      </c>
      <c r="K82" t="b">
        <f>tblTargetStatus[[#This Row],[CompletedDependencies]]=tblTargetStatus[[#This Row],[TotalDependencies]]</f>
        <v>0</v>
      </c>
      <c r="L82">
        <f>tblTargetStatus[[#This Row],[TotalDependencies]]-tblTargetStatus[[#This Row],[CompletedDependencies]]</f>
        <v>2</v>
      </c>
      <c r="M82" t="str" cm="1">
        <f t="array" ref="M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building.pagoda@4</v>
      </c>
      <c r="N82" t="str">
        <f>IF(tblTargetStatus[[#This Row],[FirstMissingDependencyID]]="","",_xlfn.XLOOKUP(tblTargetStatus[[#This Row],[FirstMissingDependencyID]],tblTargets[TargetID],tblTargets[DisplayName],tblTargetStatus[[#This Row],[FirstMissingDependencyID]]))</f>
        <v>Pagoda Lv 4</v>
      </c>
      <c r="O82" t="str" cm="1">
        <f t="array" ref="O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ruby,400 coin,800 beam,400 stone,30 katana</v>
      </c>
      <c r="P82" t="str">
        <f>IF(tblTargetStatus[[#This Row],[FirstMissingDependencyID]]="","",_xlfn.XLOOKUP(tblTargetStatus[[#This Row],[FirstMissingDependencyID]],tblTargetStatus[TargetID],tblTargetStatus[Status],""))</f>
        <v>BLOCKED</v>
      </c>
      <c r="Q82" t="str">
        <f>IF(
 tblTargetStatus[[#This Row],[Status]]&lt;&gt;"BLOCKED",
 tblTargetStatus[[#This Row],[Status]],
 IF(
  AND(
   tblTargetStatus[[#This Row],[MissingDependencies]]=1,
   tblTargetStatus[[#This Row],[FirstMissingStatus]]="READY"
  ),
  "ONE AWAY",
  "BLOCKED"
 )
)</f>
        <v>BLOCKED</v>
      </c>
      <c r="R82">
        <f>IF(
 OR(
  tblTargetStatus[[#This Row],[StateType]]="CHARACTER",
  RIGHT(tblTargetStatus[[#This Row],[TargetID]],6)=".maxed"
 ),
 0,
 _xlfn.LET(
  _xlpm.sort,
   _xlfn.XLOOKUP(
    tblTargetStatus[[#This Row],[TargetID]],
    tblChecklist[TargetID],
    tblChecklist[PlayerSort],
    0
   ),
  IF(_xlpm.sort=0,500,_xlpm.sort)
 )
)</f>
        <v>61</v>
      </c>
      <c r="S82" t="str" cm="1">
        <f t="array" ref="S8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6</v>
      </c>
      <c r="T82" t="str">
        <f>_xlfn.XLOOKUP(tblTargetStatus[[#This Row],[TargetID]],tblTargets[TargetID],tblTargets[CompletionMethod],"")</f>
        <v>PLAYER</v>
      </c>
      <c r="U82" t="b">
        <f>COUNTIF(
    tblCost[TargetID],
    tblTargetStatus[[#This Row],[TargetID]]
)&gt;0</f>
        <v>1</v>
      </c>
      <c r="V82" s="81">
        <f>IF(tblTargetStatus[[#This Row],[HasCost]]=FALSE,
"N/A",
_xlfn.XLOOKUP(
tblTargetStatus[[#This Row],[TargetID]],
tblCost[TargetID],
tblCost[FundingPercent],
""
)
)</f>
        <v>0</v>
      </c>
      <c r="W82">
        <f>IF(
COUNTIF(tblCost[TargetID],tblTargetStatus[[#This Row],[TargetID]])=0,
"",
_xlfn.XLOOKUP(
tblTargetStatus[[#This Row],[TargetID]],
tblCost[TargetID],
tblCost[RemainingRequirements],
""
)
)</f>
        <v>5</v>
      </c>
      <c r="X82" s="79" t="b">
        <f>IF(tblTargetStatus[[#This Row],[HasCost]]=FALSE,"N/A",_xlfn.XLOOKUP(
tblTargetStatus[[#This Row],[TargetID]],
tblCost[TargetID],
tblCost[TargetFunded],
TRUE
))</f>
        <v>0</v>
      </c>
      <c r="Y82" t="str" cm="1">
        <f t="array" ref="Y82">_xlfn.TEXTJOIN(
", ",
TRUE,
_xlfn._xlws.FILTER(
tblCost[ResourceID]&amp;": "&amp;tblCost[QuantityRequired],
(tblCost[TargetID]=tblTargetStatus[[#This Row],[TargetID]])*
(tblCost[PlayerPaid]=FALSE),
""
)
)</f>
        <v>ruby: 8, coin: 400, beam: 800, stone: 400, katana: 30</v>
      </c>
      <c r="Z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2" t="str" cm="1">
        <f t="array" ref="AA8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3" spans="1:27">
      <c r="A83" t="s">
        <v>107</v>
      </c>
      <c r="B83" t="str">
        <f>_xlfn.XLOOKUP(tblTargetStatus[[#This Row],[TargetID]],tblTargets[TargetID],tblTargets[DisplayName],"")</f>
        <v>Pagoda Lv 6</v>
      </c>
      <c r="C83" t="str">
        <f>IF(tblTargetStatus[[#This Row],[PlayerCompleted]],"COMPLETED",IF(tblTargetStatus[[#This Row],[MissingDependencies]]=0,"READY","BLOCKED"))</f>
        <v>BLOCKED</v>
      </c>
      <c r="D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3" t="str">
        <f>_xlfn.XLOOKUP(tblTargetStatus[[#This Row],[TargetID]],tblTargets[TargetID],tblTargets[TargetType],"")</f>
        <v>BUILDING</v>
      </c>
      <c r="F83" t="str">
        <f>_xlfn.XLOOKUP(tblTargetStatus[[#This Row],[TargetID]],tblTargets[TargetID],tblTargets[StateType])</f>
        <v/>
      </c>
      <c r="G83">
        <f>_xlfn.LET(
_xlpm.id,tblTargetStatus[[#This Row],[TargetID]],
_xlpm.depCount,COUNTIF(tblDependencies[TargetID],_xlpm.id),
_xlpm.objCount,COUNTIF(tblQuestObjectives[QuestTargetID],_xlpm.id),
_xlpm.depCount+_xlpm.objCount
)</f>
        <v>2</v>
      </c>
      <c r="H83">
        <f>tblTargetStatus[[#This Row],[DependencyCount]]</f>
        <v>2</v>
      </c>
      <c r="I83" cm="1">
        <f t="array" ref="I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3">
        <f>tblTargetStatus[[#This Row],[CompletedDependencyCount]]</f>
        <v>0</v>
      </c>
      <c r="K83" t="b">
        <f>tblTargetStatus[[#This Row],[CompletedDependencies]]=tblTargetStatus[[#This Row],[TotalDependencies]]</f>
        <v>0</v>
      </c>
      <c r="L83">
        <f>tblTargetStatus[[#This Row],[TotalDependencies]]-tblTargetStatus[[#This Row],[CompletedDependencies]]</f>
        <v>2</v>
      </c>
      <c r="M83" t="str" cm="1">
        <f t="array" ref="M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building.pagoda@5</v>
      </c>
      <c r="N83" t="str">
        <f>IF(tblTargetStatus[[#This Row],[FirstMissingDependencyID]]="","",_xlfn.XLOOKUP(tblTargetStatus[[#This Row],[FirstMissingDependencyID]],tblTargets[TargetID],tblTargets[DisplayName],tblTargetStatus[[#This Row],[FirstMissingDependencyID]]))</f>
        <v>Pagoda Lv 5</v>
      </c>
      <c r="O83" t="str" cm="1">
        <f t="array" ref="O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ruby,450 coin,900 beam,450 stone,5 ingot,5 spices</v>
      </c>
      <c r="P83" t="str">
        <f>IF(tblTargetStatus[[#This Row],[FirstMissingDependencyID]]="","",_xlfn.XLOOKUP(tblTargetStatus[[#This Row],[FirstMissingDependencyID]],tblTargetStatus[TargetID],tblTargetStatus[Status],""))</f>
        <v>BLOCKED</v>
      </c>
      <c r="Q83" t="str">
        <f>IF(
 tblTargetStatus[[#This Row],[Status]]&lt;&gt;"BLOCKED",
 tblTargetStatus[[#This Row],[Status]],
 IF(
  AND(
   tblTargetStatus[[#This Row],[MissingDependencies]]=1,
   tblTargetStatus[[#This Row],[FirstMissingStatus]]="READY"
  ),
  "ONE AWAY",
  "BLOCKED"
 )
)</f>
        <v>BLOCKED</v>
      </c>
      <c r="R83">
        <f>IF(
 OR(
  tblTargetStatus[[#This Row],[StateType]]="CHARACTER",
  RIGHT(tblTargetStatus[[#This Row],[TargetID]],6)=".maxed"
 ),
 0,
 _xlfn.LET(
  _xlpm.sort,
   _xlfn.XLOOKUP(
    tblTargetStatus[[#This Row],[TargetID]],
    tblChecklist[TargetID],
    tblChecklist[PlayerSort],
    0
   ),
  IF(_xlpm.sort=0,500,_xlpm.sort)
 )
)</f>
        <v>62</v>
      </c>
      <c r="S83" t="str" cm="1">
        <f t="array" ref="S8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7</v>
      </c>
      <c r="T83" t="str">
        <f>_xlfn.XLOOKUP(tblTargetStatus[[#This Row],[TargetID]],tblTargets[TargetID],tblTargets[CompletionMethod],"")</f>
        <v>PLAYER</v>
      </c>
      <c r="U83" t="b">
        <f>COUNTIF(
    tblCost[TargetID],
    tblTargetStatus[[#This Row],[TargetID]]
)&gt;0</f>
        <v>1</v>
      </c>
      <c r="V83" s="81">
        <f>IF(tblTargetStatus[[#This Row],[HasCost]]=FALSE,
"N/A",
_xlfn.XLOOKUP(
tblTargetStatus[[#This Row],[TargetID]],
tblCost[TargetID],
tblCost[FundingPercent],
""
)
)</f>
        <v>0</v>
      </c>
      <c r="W83">
        <f>IF(
COUNTIF(tblCost[TargetID],tblTargetStatus[[#This Row],[TargetID]])=0,
"",
_xlfn.XLOOKUP(
tblTargetStatus[[#This Row],[TargetID]],
tblCost[TargetID],
tblCost[RemainingRequirements],
""
)
)</f>
        <v>6</v>
      </c>
      <c r="X83" s="79" t="b">
        <f>IF(tblTargetStatus[[#This Row],[HasCost]]=FALSE,"N/A",_xlfn.XLOOKUP(
tblTargetStatus[[#This Row],[TargetID]],
tblCost[TargetID],
tblCost[TargetFunded],
TRUE
))</f>
        <v>0</v>
      </c>
      <c r="Y83" t="str" cm="1">
        <f t="array" ref="Y83">_xlfn.TEXTJOIN(
", ",
TRUE,
_xlfn._xlws.FILTER(
tblCost[ResourceID]&amp;": "&amp;tblCost[QuantityRequired],
(tblCost[TargetID]=tblTargetStatus[[#This Row],[TargetID]])*
(tblCost[PlayerPaid]=FALSE),
""
)
)</f>
        <v>ruby: 10, coin: 450, beam: 900, stone: 450, ingot: 5, spices: 5</v>
      </c>
      <c r="Z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3" t="str" cm="1">
        <f t="array" ref="AA8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4" spans="1:27">
      <c r="A84" t="s">
        <v>108</v>
      </c>
      <c r="B84" t="str">
        <f>_xlfn.XLOOKUP(tblTargetStatus[[#This Row],[TargetID]],tblTargets[TargetID],tblTargets[DisplayName],"")</f>
        <v>Pagoda Lv 7</v>
      </c>
      <c r="C84" t="str">
        <f>IF(tblTargetStatus[[#This Row],[PlayerCompleted]],"COMPLETED",IF(tblTargetStatus[[#This Row],[MissingDependencies]]=0,"READY","BLOCKED"))</f>
        <v>BLOCKED</v>
      </c>
      <c r="D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4" t="str">
        <f>_xlfn.XLOOKUP(tblTargetStatus[[#This Row],[TargetID]],tblTargets[TargetID],tblTargets[TargetType],"")</f>
        <v>BUILDING</v>
      </c>
      <c r="F84" t="str">
        <f>_xlfn.XLOOKUP(tblTargetStatus[[#This Row],[TargetID]],tblTargets[TargetID],tblTargets[StateType])</f>
        <v/>
      </c>
      <c r="G84">
        <f>_xlfn.LET(
_xlpm.id,tblTargetStatus[[#This Row],[TargetID]],
_xlpm.depCount,COUNTIF(tblDependencies[TargetID],_xlpm.id),
_xlpm.objCount,COUNTIF(tblQuestObjectives[QuestTargetID],_xlpm.id),
_xlpm.depCount+_xlpm.objCount
)</f>
        <v>2</v>
      </c>
      <c r="H84">
        <f>tblTargetStatus[[#This Row],[DependencyCount]]</f>
        <v>2</v>
      </c>
      <c r="I84" cm="1">
        <f t="array" ref="I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4">
        <f>tblTargetStatus[[#This Row],[CompletedDependencyCount]]</f>
        <v>0</v>
      </c>
      <c r="K84" t="b">
        <f>tblTargetStatus[[#This Row],[CompletedDependencies]]=tblTargetStatus[[#This Row],[TotalDependencies]]</f>
        <v>0</v>
      </c>
      <c r="L84">
        <f>tblTargetStatus[[#This Row],[TotalDependencies]]-tblTargetStatus[[#This Row],[CompletedDependencies]]</f>
        <v>2</v>
      </c>
      <c r="M84" t="str" cm="1">
        <f t="array" ref="M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building.pagoda@6</v>
      </c>
      <c r="N84" t="str">
        <f>IF(tblTargetStatus[[#This Row],[FirstMissingDependencyID]]="","",_xlfn.XLOOKUP(tblTargetStatus[[#This Row],[FirstMissingDependencyID]],tblTargets[TargetID],tblTargets[DisplayName],tblTargetStatus[[#This Row],[FirstMissingDependencyID]]))</f>
        <v>Pagoda Lv 6</v>
      </c>
      <c r="O84" t="str" cm="1">
        <f t="array" ref="O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ruby,500 coin,1000 beam,500 stone,3 treasure,5 pearl,5 silk,1 scroll</v>
      </c>
      <c r="P84" t="str">
        <f>IF(tblTargetStatus[[#This Row],[FirstMissingDependencyID]]="","",_xlfn.XLOOKUP(tblTargetStatus[[#This Row],[FirstMissingDependencyID]],tblTargetStatus[TargetID],tblTargetStatus[Status],""))</f>
        <v>BLOCKED</v>
      </c>
      <c r="Q84" t="str">
        <f>IF(
 tblTargetStatus[[#This Row],[Status]]&lt;&gt;"BLOCKED",
 tblTargetStatus[[#This Row],[Status]],
 IF(
  AND(
   tblTargetStatus[[#This Row],[MissingDependencies]]=1,
   tblTargetStatus[[#This Row],[FirstMissingStatus]]="READY"
  ),
  "ONE AWAY",
  "BLOCKED"
 )
)</f>
        <v>BLOCKED</v>
      </c>
      <c r="R84">
        <f>IF(
 OR(
  tblTargetStatus[[#This Row],[StateType]]="CHARACTER",
  RIGHT(tblTargetStatus[[#This Row],[TargetID]],6)=".maxed"
 ),
 0,
 _xlfn.LET(
  _xlpm.sort,
   _xlfn.XLOOKUP(
    tblTargetStatus[[#This Row],[TargetID]],
    tblChecklist[TargetID],
    tblChecklist[PlayerSort],
    0
   ),
  IF(_xlpm.sort=0,500,_xlpm.sort)
 )
)</f>
        <v>63</v>
      </c>
      <c r="S84" t="str" cm="1">
        <f t="array" ref="S8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Build the Pagoda Finished</v>
      </c>
      <c r="T84" t="str">
        <f>_xlfn.XLOOKUP(tblTargetStatus[[#This Row],[TargetID]],tblTargets[TargetID],tblTargets[CompletionMethod],"")</f>
        <v>PLAYER</v>
      </c>
      <c r="U84" t="b">
        <f>COUNTIF(
    tblCost[TargetID],
    tblTargetStatus[[#This Row],[TargetID]]
)&gt;0</f>
        <v>1</v>
      </c>
      <c r="V84" s="81">
        <f>IF(tblTargetStatus[[#This Row],[HasCost]]=FALSE,
"N/A",
_xlfn.XLOOKUP(
tblTargetStatus[[#This Row],[TargetID]],
tblCost[TargetID],
tblCost[FundingPercent],
""
)
)</f>
        <v>0</v>
      </c>
      <c r="W84">
        <f>IF(
COUNTIF(tblCost[TargetID],tblTargetStatus[[#This Row],[TargetID]])=0,
"",
_xlfn.XLOOKUP(
tblTargetStatus[[#This Row],[TargetID]],
tblCost[TargetID],
tblCost[RemainingRequirements],
""
)
)</f>
        <v>8</v>
      </c>
      <c r="X84" s="79" t="b">
        <f>IF(tblTargetStatus[[#This Row],[HasCost]]=FALSE,"N/A",_xlfn.XLOOKUP(
tblTargetStatus[[#This Row],[TargetID]],
tblCost[TargetID],
tblCost[TargetFunded],
TRUE
))</f>
        <v>0</v>
      </c>
      <c r="Y84" t="str" cm="1">
        <f t="array" ref="Y84">_xlfn.TEXTJOIN(
", ",
TRUE,
_xlfn._xlws.FILTER(
tblCost[ResourceID]&amp;": "&amp;tblCost[QuantityRequired],
(tblCost[TargetID]=tblTargetStatus[[#This Row],[TargetID]])*
(tblCost[PlayerPaid]=FALSE),
""
)
)</f>
        <v>ruby: 15, coin: 500, beam: 1000, stone: 500, treasure: 3, pearl: 5, silk: 5, scroll: 1</v>
      </c>
      <c r="Z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4" t="str" cm="1">
        <f t="array" ref="AA8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5" spans="1:27">
      <c r="A85" t="s">
        <v>109</v>
      </c>
      <c r="B85" t="str">
        <f>_xlfn.XLOOKUP(tblTargetStatus[[#This Row],[TargetID]],tblTargets[TargetID],tblTargets[DisplayName],"")</f>
        <v>Pier Lv 1</v>
      </c>
      <c r="C85" t="str">
        <f>IF(tblTargetStatus[[#This Row],[PlayerCompleted]],"COMPLETED",IF(tblTargetStatus[[#This Row],[MissingDependencies]]=0,"READY","BLOCKED"))</f>
        <v>BLOCKED</v>
      </c>
      <c r="D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5" t="str">
        <f>_xlfn.XLOOKUP(tblTargetStatus[[#This Row],[TargetID]],tblTargets[TargetID],tblTargets[TargetType],"")</f>
        <v>BUILDING</v>
      </c>
      <c r="F85" t="str">
        <f>_xlfn.XLOOKUP(tblTargetStatus[[#This Row],[TargetID]],tblTargets[TargetID],tblTargets[StateType])</f>
        <v/>
      </c>
      <c r="G85">
        <f>_xlfn.LET(
_xlpm.id,tblTargetStatus[[#This Row],[TargetID]],
_xlpm.depCount,COUNTIF(tblDependencies[TargetID],_xlpm.id),
_xlpm.objCount,COUNTIF(tblQuestObjectives[QuestTargetID],_xlpm.id),
_xlpm.depCount+_xlpm.objCount
)</f>
        <v>2</v>
      </c>
      <c r="H85">
        <f>tblTargetStatus[[#This Row],[DependencyCount]]</f>
        <v>2</v>
      </c>
      <c r="I85" cm="1">
        <f t="array" ref="I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5">
        <f>tblTargetStatus[[#This Row],[CompletedDependencyCount]]</f>
        <v>0</v>
      </c>
      <c r="K85" t="b">
        <f>tblTargetStatus[[#This Row],[CompletedDependencies]]=tblTargetStatus[[#This Row],[TotalDependencies]]</f>
        <v>0</v>
      </c>
      <c r="L85">
        <f>tblTargetStatus[[#This Row],[TotalDependencies]]-tblTargetStatus[[#This Row],[CompletedDependencies]]</f>
        <v>2</v>
      </c>
      <c r="M85" t="str" cm="1">
        <f t="array" ref="M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building.warehouse@1</v>
      </c>
      <c r="N85" t="str">
        <f>IF(tblTargetStatus[[#This Row],[FirstMissingDependencyID]]="","",_xlfn.XLOOKUP(tblTargetStatus[[#This Row],[FirstMissingDependencyID]],tblTargets[TargetID],tblTargets[DisplayName],tblTargetStatus[[#This Row],[FirstMissingDependencyID]]))</f>
        <v>Warehouse Lv 1</v>
      </c>
      <c r="O85" s="2" t="str" cm="1">
        <f t="array" ref="O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ruby,400 coin,50 wood,400 plank,300 stone</v>
      </c>
      <c r="P85" t="str">
        <f>IF(tblTargetStatus[[#This Row],[FirstMissingDependencyID]]="","",_xlfn.XLOOKUP(tblTargetStatus[[#This Row],[FirstMissingDependencyID]],tblTargetStatus[TargetID],tblTargetStatus[Status],""))</f>
        <v>BLOCKED</v>
      </c>
      <c r="Q85" t="str">
        <f>IF(
 tblTargetStatus[[#This Row],[Status]]&lt;&gt;"BLOCKED",
 tblTargetStatus[[#This Row],[Status]],
 IF(
  AND(
   tblTargetStatus[[#This Row],[MissingDependencies]]=1,
   tblTargetStatus[[#This Row],[FirstMissingStatus]]="READY"
  ),
  "ONE AWAY",
  "BLOCKED"
 )
)</f>
        <v>BLOCKED</v>
      </c>
      <c r="R85">
        <f>IF(
 OR(
  tblTargetStatus[[#This Row],[StateType]]="CHARACTER",
  RIGHT(tblTargetStatus[[#This Row],[TargetID]],6)=".maxed"
 ),
 0,
 _xlfn.LET(
  _xlpm.sort,
   _xlfn.XLOOKUP(
    tblTargetStatus[[#This Row],[TargetID]],
    tblChecklist[TargetID],
    tblChecklist[PlayerSort],
    0
   ),
  IF(_xlpm.sort=0,500,_xlpm.sort)
 )
)</f>
        <v>19</v>
      </c>
      <c r="S85" t="str" cm="1">
        <f t="array" ref="S8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Ship Lv 1, Shogun's Katana Chapter 2 Finished</v>
      </c>
      <c r="T85" t="str">
        <f>_xlfn.XLOOKUP(tblTargetStatus[[#This Row],[TargetID]],tblTargets[TargetID],tblTargets[CompletionMethod],"")</f>
        <v>PLAYER</v>
      </c>
      <c r="U85" t="b">
        <f>COUNTIF(
    tblCost[TargetID],
    tblTargetStatus[[#This Row],[TargetID]]
)&gt;0</f>
        <v>1</v>
      </c>
      <c r="V85" s="81">
        <f>IF(tblTargetStatus[[#This Row],[HasCost]]=FALSE,
"N/A",
_xlfn.XLOOKUP(
tblTargetStatus[[#This Row],[TargetID]],
tblCost[TargetID],
tblCost[FundingPercent],
""
)
)</f>
        <v>0</v>
      </c>
      <c r="W85">
        <f>IF(
COUNTIF(tblCost[TargetID],tblTargetStatus[[#This Row],[TargetID]])=0,
"",
_xlfn.XLOOKUP(
tblTargetStatus[[#This Row],[TargetID]],
tblCost[TargetID],
tblCost[RemainingRequirements],
""
)
)</f>
        <v>5</v>
      </c>
      <c r="X85" s="79" t="b">
        <f>IF(tblTargetStatus[[#This Row],[HasCost]]=FALSE,"N/A",_xlfn.XLOOKUP(
tblTargetStatus[[#This Row],[TargetID]],
tblCost[TargetID],
tblCost[TargetFunded],
TRUE
))</f>
        <v>0</v>
      </c>
      <c r="Y85" t="str" cm="1">
        <f t="array" ref="Y85">_xlfn.TEXTJOIN(
", ",
TRUE,
_xlfn._xlws.FILTER(
tblCost[ResourceID]&amp;": "&amp;tblCost[QuantityRequired],
(tblCost[TargetID]=tblTargetStatus[[#This Row],[TargetID]])*
(tblCost[PlayerPaid]=FALSE),
""
)
)</f>
        <v>ruby: 3, coin: 400, wood: 50, plank: 400, stone: 300</v>
      </c>
      <c r="Z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5" t="str" cm="1">
        <f t="array" ref="AA8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6" spans="1:27">
      <c r="A86" t="s">
        <v>2683</v>
      </c>
      <c r="B86" t="str">
        <f>_xlfn.XLOOKUP(tblTargetStatus[[#This Row],[TargetID]],tblTargets[TargetID],tblTargets[DisplayName],"")</f>
        <v>Rock Garden maxed</v>
      </c>
      <c r="C86" t="str">
        <f>IF(tblTargetStatus[[#This Row],[PlayerCompleted]],"COMPLETED",IF(tblTargetStatus[[#This Row],[MissingDependencies]]=0,"READY","BLOCKED"))</f>
        <v>BLOCKED</v>
      </c>
      <c r="D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6" t="str">
        <f>_xlfn.XLOOKUP(tblTargetStatus[[#This Row],[TargetID]],tblTargets[TargetID],tblTargets[TargetType],"")</f>
        <v>BUILDING</v>
      </c>
      <c r="F86" t="str">
        <f>_xlfn.XLOOKUP(tblTargetStatus[[#This Row],[TargetID]],tblTargets[TargetID],tblTargets[StateType])</f>
        <v/>
      </c>
      <c r="G86">
        <f>_xlfn.LET(
_xlpm.id,tblTargetStatus[[#This Row],[TargetID]],
_xlpm.depCount,COUNTIF(tblDependencies[TargetID],_xlpm.id),
_xlpm.objCount,COUNTIF(tblQuestObjectives[QuestTargetID],_xlpm.id),
_xlpm.depCount+_xlpm.objCount
)</f>
        <v>1</v>
      </c>
      <c r="H86">
        <f>tblTargetStatus[[#This Row],[DependencyCount]]</f>
        <v>1</v>
      </c>
      <c r="I86" cm="1">
        <f t="array" ref="I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6">
        <f>tblTargetStatus[[#This Row],[CompletedDependencyCount]]</f>
        <v>0</v>
      </c>
      <c r="K86" t="b">
        <f>tblTargetStatus[[#This Row],[CompletedDependencies]]=tblTargetStatus[[#This Row],[TotalDependencies]]</f>
        <v>0</v>
      </c>
      <c r="L86">
        <f>tblTargetStatus[[#This Row],[TotalDependencies]]-tblTargetStatus[[#This Row],[CompletedDependencies]]</f>
        <v>1</v>
      </c>
      <c r="M86" t="str" cm="1">
        <f t="array" ref="M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building.rock_garden@3</v>
      </c>
      <c r="N86" t="str">
        <f>IF(tblTargetStatus[[#This Row],[FirstMissingDependencyID]]="","",_xlfn.XLOOKUP(tblTargetStatus[[#This Row],[FirstMissingDependencyID]],tblTargets[TargetID],tblTargets[DisplayName],tblTargetStatus[[#This Row],[FirstMissingDependencyID]]))</f>
        <v>Rock Garden Lv 3</v>
      </c>
      <c r="O86" s="2" t="str" cm="1">
        <f t="array" ref="O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86" t="str">
        <f>IF(tblTargetStatus[[#This Row],[FirstMissingDependencyID]]="","",_xlfn.XLOOKUP(tblTargetStatus[[#This Row],[FirstMissingDependencyID]],tblTargetStatus[TargetID],tblTargetStatus[Status],""))</f>
        <v>BLOCKED</v>
      </c>
      <c r="Q86" t="str">
        <f>IF(
 tblTargetStatus[[#This Row],[Status]]&lt;&gt;"BLOCKED",
 tblTargetStatus[[#This Row],[Status]],
 IF(
  AND(
   tblTargetStatus[[#This Row],[MissingDependencies]]=1,
   tblTargetStatus[[#This Row],[FirstMissingStatus]]="READY"
  ),
  "ONE AWAY",
  "BLOCKED"
 )
)</f>
        <v>BLOCKED</v>
      </c>
      <c r="R86">
        <f>IF(
 OR(
  tblTargetStatus[[#This Row],[StateType]]="CHARACTER",
  RIGHT(tblTargetStatus[[#This Row],[TargetID]],6)=".maxed"
 ),
 0,
 _xlfn.LET(
  _xlpm.sort,
   _xlfn.XLOOKUP(
    tblTargetStatus[[#This Row],[TargetID]],
    tblChecklist[TargetID],
    tblChecklist[PlayerSort],
    0
   ),
  IF(_xlpm.sort=0,500,_xlpm.sort)
 )
)</f>
        <v>0</v>
      </c>
      <c r="S86" t="str" cm="1">
        <f t="array" ref="S8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Rock Garden - Rake</v>
      </c>
      <c r="T86" t="str">
        <f>_xlfn.XLOOKUP(tblTargetStatus[[#This Row],[TargetID]],tblTargets[TargetID],tblTargets[CompletionMethod],"")</f>
        <v>AUTO</v>
      </c>
      <c r="U86" t="b">
        <f>COUNTIF(
    tblCost[TargetID],
    tblTargetStatus[[#This Row],[TargetID]]
)&gt;0</f>
        <v>0</v>
      </c>
      <c r="V86" s="81" t="str">
        <f>IF(tblTargetStatus[[#This Row],[HasCost]]=FALSE,
"N/A",
_xlfn.XLOOKUP(
tblTargetStatus[[#This Row],[TargetID]],
tblCost[TargetID],
tblCost[FundingPercent],
""
)
)</f>
        <v>N/A</v>
      </c>
      <c r="W86" t="str">
        <f>IF(
COUNTIF(tblCost[TargetID],tblTargetStatus[[#This Row],[TargetID]])=0,
"",
_xlfn.XLOOKUP(
tblTargetStatus[[#This Row],[TargetID]],
tblCost[TargetID],
tblCost[RemainingRequirements],
""
)
)</f>
        <v/>
      </c>
      <c r="X86" s="79" t="str">
        <f>IF(tblTargetStatus[[#This Row],[HasCost]]=FALSE,"N/A",_xlfn.XLOOKUP(
tblTargetStatus[[#This Row],[TargetID]],
tblCost[TargetID],
tblCost[TargetFunded],
TRUE
))</f>
        <v>N/A</v>
      </c>
      <c r="Y86" t="str" cm="1">
        <f t="array" ref="Y86">_xlfn.TEXTJOIN(
", ",
TRUE,
_xlfn._xlws.FILTER(
tblCost[ResourceID]&amp;": "&amp;tblCost[QuantityRequired],
(tblCost[TargetID]=tblTargetStatus[[#This Row],[TargetID]])*
(tblCost[PlayerPaid]=FALSE),
""
)
)</f>
        <v/>
      </c>
      <c r="Z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6" t="str" cm="1">
        <f t="array" ref="AA8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7" spans="1:27">
      <c r="A87" t="s">
        <v>111</v>
      </c>
      <c r="B87" t="str">
        <f>_xlfn.XLOOKUP(tblTargetStatus[[#This Row],[TargetID]],tblTargets[TargetID],tblTargets[DisplayName],"")</f>
        <v>Rock Garden Lv 1</v>
      </c>
      <c r="C87" t="str">
        <f>IF(tblTargetStatus[[#This Row],[PlayerCompleted]],"COMPLETED",IF(tblTargetStatus[[#This Row],[MissingDependencies]]=0,"READY","BLOCKED"))</f>
        <v>BLOCKED</v>
      </c>
      <c r="D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7" t="str">
        <f>_xlfn.XLOOKUP(tblTargetStatus[[#This Row],[TargetID]],tblTargets[TargetID],tblTargets[TargetType],"")</f>
        <v>BUILDING</v>
      </c>
      <c r="F87" t="str">
        <f>_xlfn.XLOOKUP(tblTargetStatus[[#This Row],[TargetID]],tblTargets[TargetID],tblTargets[StateType])</f>
        <v/>
      </c>
      <c r="G87">
        <f>_xlfn.LET(
_xlpm.id,tblTargetStatus[[#This Row],[TargetID]],
_xlpm.depCount,COUNTIF(tblDependencies[TargetID],_xlpm.id),
_xlpm.objCount,COUNTIF(tblQuestObjectives[QuestTargetID],_xlpm.id),
_xlpm.depCount+_xlpm.objCount
)</f>
        <v>1</v>
      </c>
      <c r="H87">
        <f>tblTargetStatus[[#This Row],[DependencyCount]]</f>
        <v>1</v>
      </c>
      <c r="I87" cm="1">
        <f t="array" ref="I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7">
        <f>tblTargetStatus[[#This Row],[CompletedDependencyCount]]</f>
        <v>0</v>
      </c>
      <c r="K87" t="b">
        <f>tblTargetStatus[[#This Row],[CompletedDependencies]]=tblTargetStatus[[#This Row],[TotalDependencies]]</f>
        <v>0</v>
      </c>
      <c r="L87">
        <f>tblTargetStatus[[#This Row],[TotalDependencies]]-tblTargetStatus[[#This Row],[CompletedDependencies]]</f>
        <v>1</v>
      </c>
      <c r="M87" t="str" cm="1">
        <f t="array" ref="M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state.character_level@13</v>
      </c>
      <c r="N87" t="str">
        <f>IF(tblTargetStatus[[#This Row],[FirstMissingDependencyID]]="","",_xlfn.XLOOKUP(tblTargetStatus[[#This Row],[FirstMissingDependencyID]],tblTargets[TargetID],tblTargets[DisplayName],tblTargetStatus[[#This Row],[FirstMissingDependencyID]]))</f>
        <v>Character Level@13</v>
      </c>
      <c r="O87" s="2" t="str" cm="1">
        <f t="array" ref="O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ruby,400 coin,100 wood,200 stone</v>
      </c>
      <c r="P87" t="str">
        <f>IF(tblTargetStatus[[#This Row],[FirstMissingDependencyID]]="","",_xlfn.XLOOKUP(tblTargetStatus[[#This Row],[FirstMissingDependencyID]],tblTargetStatus[TargetID],tblTargetStatus[Status],""))</f>
        <v>READY</v>
      </c>
      <c r="Q87" t="str">
        <f>IF(
 tblTargetStatus[[#This Row],[Status]]&lt;&gt;"BLOCKED",
 tblTargetStatus[[#This Row],[Status]],
 IF(
  AND(
   tblTargetStatus[[#This Row],[MissingDependencies]]=1,
   tblTargetStatus[[#This Row],[FirstMissingStatus]]="READY"
  ),
  "ONE AWAY",
  "BLOCKED"
 )
)</f>
        <v>ONE AWAY</v>
      </c>
      <c r="R87">
        <f>IF(
 OR(
  tblTargetStatus[[#This Row],[StateType]]="CHARACTER",
  RIGHT(tblTargetStatus[[#This Row],[TargetID]],6)=".maxed"
 ),
 0,
 _xlfn.LET(
  _xlpm.sort,
   _xlfn.XLOOKUP(
    tblTargetStatus[[#This Row],[TargetID]],
    tblChecklist[TargetID],
    tblChecklist[PlayerSort],
    0
   ),
  IF(_xlpm.sort=0,500,_xlpm.sort)
 )
)</f>
        <v>83</v>
      </c>
      <c r="S87" t="str" cm="1">
        <f t="array" ref="S8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Rock Garden Lv 2</v>
      </c>
      <c r="T87" t="str">
        <f>_xlfn.XLOOKUP(tblTargetStatus[[#This Row],[TargetID]],tblTargets[TargetID],tblTargets[CompletionMethod],"")</f>
        <v>PLAYER</v>
      </c>
      <c r="U87" t="b">
        <f>COUNTIF(
    tblCost[TargetID],
    tblTargetStatus[[#This Row],[TargetID]]
)&gt;0</f>
        <v>1</v>
      </c>
      <c r="V87" s="81">
        <f>IF(tblTargetStatus[[#This Row],[HasCost]]=FALSE,
"N/A",
_xlfn.XLOOKUP(
tblTargetStatus[[#This Row],[TargetID]],
tblCost[TargetID],
tblCost[FundingPercent],
""
)
)</f>
        <v>0</v>
      </c>
      <c r="W87">
        <f>IF(
COUNTIF(tblCost[TargetID],tblTargetStatus[[#This Row],[TargetID]])=0,
"",
_xlfn.XLOOKUP(
tblTargetStatus[[#This Row],[TargetID]],
tblCost[TargetID],
tblCost[RemainingRequirements],
""
)
)</f>
        <v>4</v>
      </c>
      <c r="X87" s="79" t="b">
        <f>IF(tblTargetStatus[[#This Row],[HasCost]]=FALSE,"N/A",_xlfn.XLOOKUP(
tblTargetStatus[[#This Row],[TargetID]],
tblCost[TargetID],
tblCost[TargetFunded],
TRUE
))</f>
        <v>0</v>
      </c>
      <c r="Y87" t="str" cm="1">
        <f t="array" ref="Y87">_xlfn.TEXTJOIN(
", ",
TRUE,
_xlfn._xlws.FILTER(
tblCost[ResourceID]&amp;": "&amp;tblCost[QuantityRequired],
(tblCost[TargetID]=tblTargetStatus[[#This Row],[TargetID]])*
(tblCost[PlayerPaid]=FALSE),
""
)
)</f>
        <v>ruby: 1, coin: 400, wood: 100, stone: 200</v>
      </c>
      <c r="Z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7" t="str" cm="1">
        <f t="array" ref="AA8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8" spans="1:27">
      <c r="A88" t="s">
        <v>114</v>
      </c>
      <c r="B88" t="str">
        <f>_xlfn.XLOOKUP(tblTargetStatus[[#This Row],[TargetID]],tblTargets[TargetID],tblTargets[DisplayName],"")</f>
        <v>Rock Garden Lv 2</v>
      </c>
      <c r="C88" t="str">
        <f>IF(tblTargetStatus[[#This Row],[PlayerCompleted]],"COMPLETED",IF(tblTargetStatus[[#This Row],[MissingDependencies]]=0,"READY","BLOCKED"))</f>
        <v>BLOCKED</v>
      </c>
      <c r="D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8" t="str">
        <f>_xlfn.XLOOKUP(tblTargetStatus[[#This Row],[TargetID]],tblTargets[TargetID],tblTargets[TargetType],"")</f>
        <v>BUILDING</v>
      </c>
      <c r="F88" t="str">
        <f>_xlfn.XLOOKUP(tblTargetStatus[[#This Row],[TargetID]],tblTargets[TargetID],tblTargets[StateType])</f>
        <v/>
      </c>
      <c r="G88">
        <f>_xlfn.LET(
_xlpm.id,tblTargetStatus[[#This Row],[TargetID]],
_xlpm.depCount,COUNTIF(tblDependencies[TargetID],_xlpm.id),
_xlpm.objCount,COUNTIF(tblQuestObjectives[QuestTargetID],_xlpm.id),
_xlpm.depCount+_xlpm.objCount
)</f>
        <v>1</v>
      </c>
      <c r="H88">
        <f>tblTargetStatus[[#This Row],[DependencyCount]]</f>
        <v>1</v>
      </c>
      <c r="I88" cm="1">
        <f t="array" ref="I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8">
        <f>tblTargetStatus[[#This Row],[CompletedDependencyCount]]</f>
        <v>0</v>
      </c>
      <c r="K88" t="b">
        <f>tblTargetStatus[[#This Row],[CompletedDependencies]]=tblTargetStatus[[#This Row],[TotalDependencies]]</f>
        <v>0</v>
      </c>
      <c r="L88">
        <f>tblTargetStatus[[#This Row],[TotalDependencies]]-tblTargetStatus[[#This Row],[CompletedDependencies]]</f>
        <v>1</v>
      </c>
      <c r="M88" t="str" cm="1">
        <f t="array" ref="M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building.rock_garden@1</v>
      </c>
      <c r="N88" t="str">
        <f>IF(tblTargetStatus[[#This Row],[FirstMissingDependencyID]]="","",_xlfn.XLOOKUP(tblTargetStatus[[#This Row],[FirstMissingDependencyID]],tblTargets[TargetID],tblTargets[DisplayName],tblTargetStatus[[#This Row],[FirstMissingDependencyID]]))</f>
        <v>Rock Garden Lv 1</v>
      </c>
      <c r="O88" s="2" t="str" cm="1">
        <f t="array" ref="O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ruby,600 coin,150 wood,300 stone</v>
      </c>
      <c r="P88" t="str">
        <f>IF(tblTargetStatus[[#This Row],[FirstMissingDependencyID]]="","",_xlfn.XLOOKUP(tblTargetStatus[[#This Row],[FirstMissingDependencyID]],tblTargetStatus[TargetID],tblTargetStatus[Status],""))</f>
        <v>BLOCKED</v>
      </c>
      <c r="Q88" t="str">
        <f>IF(
 tblTargetStatus[[#This Row],[Status]]&lt;&gt;"BLOCKED",
 tblTargetStatus[[#This Row],[Status]],
 IF(
  AND(
   tblTargetStatus[[#This Row],[MissingDependencies]]=1,
   tblTargetStatus[[#This Row],[FirstMissingStatus]]="READY"
  ),
  "ONE AWAY",
  "BLOCKED"
 )
)</f>
        <v>BLOCKED</v>
      </c>
      <c r="R88">
        <f>IF(
 OR(
  tblTargetStatus[[#This Row],[StateType]]="CHARACTER",
  RIGHT(tblTargetStatus[[#This Row],[TargetID]],6)=".maxed"
 ),
 0,
 _xlfn.LET(
  _xlpm.sort,
   _xlfn.XLOOKUP(
    tblTargetStatus[[#This Row],[TargetID]],
    tblChecklist[TargetID],
    tblChecklist[PlayerSort],
    0
   ),
  IF(_xlpm.sort=0,500,_xlpm.sort)
 )
)</f>
        <v>84</v>
      </c>
      <c r="S88" t="str" cm="1">
        <f t="array" ref="S8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Rock Garden Lv 3</v>
      </c>
      <c r="T88" t="str">
        <f>_xlfn.XLOOKUP(tblTargetStatus[[#This Row],[TargetID]],tblTargets[TargetID],tblTargets[CompletionMethod],"")</f>
        <v>PLAYER</v>
      </c>
      <c r="U88" t="b">
        <f>COUNTIF(
    tblCost[TargetID],
    tblTargetStatus[[#This Row],[TargetID]]
)&gt;0</f>
        <v>1</v>
      </c>
      <c r="V88" s="81">
        <f>IF(tblTargetStatus[[#This Row],[HasCost]]=FALSE,
"N/A",
_xlfn.XLOOKUP(
tblTargetStatus[[#This Row],[TargetID]],
tblCost[TargetID],
tblCost[FundingPercent],
""
)
)</f>
        <v>0</v>
      </c>
      <c r="W88">
        <f>IF(
COUNTIF(tblCost[TargetID],tblTargetStatus[[#This Row],[TargetID]])=0,
"",
_xlfn.XLOOKUP(
tblTargetStatus[[#This Row],[TargetID]],
tblCost[TargetID],
tblCost[RemainingRequirements],
""
)
)</f>
        <v>4</v>
      </c>
      <c r="X88" s="79" t="b">
        <f>IF(tblTargetStatus[[#This Row],[HasCost]]=FALSE,"N/A",_xlfn.XLOOKUP(
tblTargetStatus[[#This Row],[TargetID]],
tblCost[TargetID],
tblCost[TargetFunded],
TRUE
))</f>
        <v>0</v>
      </c>
      <c r="Y88" t="str" cm="1">
        <f t="array" ref="Y88">_xlfn.TEXTJOIN(
", ",
TRUE,
_xlfn._xlws.FILTER(
tblCost[ResourceID]&amp;": "&amp;tblCost[QuantityRequired],
(tblCost[TargetID]=tblTargetStatus[[#This Row],[TargetID]])*
(tblCost[PlayerPaid]=FALSE),
""
)
)</f>
        <v>ruby: 2, coin: 600, wood: 150, stone: 300</v>
      </c>
      <c r="Z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8" t="str" cm="1">
        <f t="array" ref="AA8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89" spans="1:27">
      <c r="A89" t="s">
        <v>115</v>
      </c>
      <c r="B89" t="str">
        <f>_xlfn.XLOOKUP(tblTargetStatus[[#This Row],[TargetID]],tblTargets[TargetID],tblTargets[DisplayName],"")</f>
        <v>Rock Garden Lv 3</v>
      </c>
      <c r="C89" t="str">
        <f>IF(tblTargetStatus[[#This Row],[PlayerCompleted]],"COMPLETED",IF(tblTargetStatus[[#This Row],[MissingDependencies]]=0,"READY","BLOCKED"))</f>
        <v>BLOCKED</v>
      </c>
      <c r="D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9" t="str">
        <f>_xlfn.XLOOKUP(tblTargetStatus[[#This Row],[TargetID]],tblTargets[TargetID],tblTargets[TargetType],"")</f>
        <v>BUILDING</v>
      </c>
      <c r="F89" t="str">
        <f>_xlfn.XLOOKUP(tblTargetStatus[[#This Row],[TargetID]],tblTargets[TargetID],tblTargets[StateType])</f>
        <v/>
      </c>
      <c r="G89">
        <f>_xlfn.LET(
_xlpm.id,tblTargetStatus[[#This Row],[TargetID]],
_xlpm.depCount,COUNTIF(tblDependencies[TargetID],_xlpm.id),
_xlpm.objCount,COUNTIF(tblQuestObjectives[QuestTargetID],_xlpm.id),
_xlpm.depCount+_xlpm.objCount
)</f>
        <v>1</v>
      </c>
      <c r="H89">
        <f>tblTargetStatus[[#This Row],[DependencyCount]]</f>
        <v>1</v>
      </c>
      <c r="I89" cm="1">
        <f t="array" ref="I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9">
        <f>tblTargetStatus[[#This Row],[CompletedDependencyCount]]</f>
        <v>0</v>
      </c>
      <c r="K89" t="b">
        <f>tblTargetStatus[[#This Row],[CompletedDependencies]]=tblTargetStatus[[#This Row],[TotalDependencies]]</f>
        <v>0</v>
      </c>
      <c r="L89">
        <f>tblTargetStatus[[#This Row],[TotalDependencies]]-tblTargetStatus[[#This Row],[CompletedDependencies]]</f>
        <v>1</v>
      </c>
      <c r="M89" t="str" cm="1">
        <f t="array" ref="M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building.rock_garden@2</v>
      </c>
      <c r="N89" t="str">
        <f>IF(tblTargetStatus[[#This Row],[FirstMissingDependencyID]]="","",_xlfn.XLOOKUP(tblTargetStatus[[#This Row],[FirstMissingDependencyID]],tblTargets[TargetID],tblTargets[DisplayName],tblTargetStatus[[#This Row],[FirstMissingDependencyID]]))</f>
        <v>Rock Garden Lv 2</v>
      </c>
      <c r="O89" s="2" t="str" cm="1">
        <f t="array" ref="O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ruby,1000 coin,400 beam,400 stone</v>
      </c>
      <c r="P89" t="str">
        <f>IF(tblTargetStatus[[#This Row],[FirstMissingDependencyID]]="","",_xlfn.XLOOKUP(tblTargetStatus[[#This Row],[FirstMissingDependencyID]],tblTargetStatus[TargetID],tblTargetStatus[Status],""))</f>
        <v>BLOCKED</v>
      </c>
      <c r="Q89" t="str">
        <f>IF(
 tblTargetStatus[[#This Row],[Status]]&lt;&gt;"BLOCKED",
 tblTargetStatus[[#This Row],[Status]],
 IF(
  AND(
   tblTargetStatus[[#This Row],[MissingDependencies]]=1,
   tblTargetStatus[[#This Row],[FirstMissingStatus]]="READY"
  ),
  "ONE AWAY",
  "BLOCKED"
 )
)</f>
        <v>BLOCKED</v>
      </c>
      <c r="R89">
        <f>IF(
 OR(
  tblTargetStatus[[#This Row],[StateType]]="CHARACTER",
  RIGHT(tblTargetStatus[[#This Row],[TargetID]],6)=".maxed"
 ),
 0,
 _xlfn.LET(
  _xlpm.sort,
   _xlfn.XLOOKUP(
    tblTargetStatus[[#This Row],[TargetID]],
    tblChecklist[TargetID],
    tblChecklist[PlayerSort],
    0
   ),
  IF(_xlpm.sort=0,500,_xlpm.sort)
 )
)</f>
        <v>85</v>
      </c>
      <c r="S89" t="str" cm="1">
        <f t="array" ref="S8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Rock Garden maxed</v>
      </c>
      <c r="T89" t="str">
        <f>_xlfn.XLOOKUP(tblTargetStatus[[#This Row],[TargetID]],tblTargets[TargetID],tblTargets[CompletionMethod],"")</f>
        <v>PLAYER</v>
      </c>
      <c r="U89" t="b">
        <f>COUNTIF(
    tblCost[TargetID],
    tblTargetStatus[[#This Row],[TargetID]]
)&gt;0</f>
        <v>1</v>
      </c>
      <c r="V89" s="81">
        <f>IF(tblTargetStatus[[#This Row],[HasCost]]=FALSE,
"N/A",
_xlfn.XLOOKUP(
tblTargetStatus[[#This Row],[TargetID]],
tblCost[TargetID],
tblCost[FundingPercent],
""
)
)</f>
        <v>0</v>
      </c>
      <c r="W89">
        <f>IF(
COUNTIF(tblCost[TargetID],tblTargetStatus[[#This Row],[TargetID]])=0,
"",
_xlfn.XLOOKUP(
tblTargetStatus[[#This Row],[TargetID]],
tblCost[TargetID],
tblCost[RemainingRequirements],
""
)
)</f>
        <v>4</v>
      </c>
      <c r="X89" s="79" t="b">
        <f>IF(tblTargetStatus[[#This Row],[HasCost]]=FALSE,"N/A",_xlfn.XLOOKUP(
tblTargetStatus[[#This Row],[TargetID]],
tblCost[TargetID],
tblCost[TargetFunded],
TRUE
))</f>
        <v>0</v>
      </c>
      <c r="Y89" t="str" cm="1">
        <f t="array" ref="Y89">_xlfn.TEXTJOIN(
", ",
TRUE,
_xlfn._xlws.FILTER(
tblCost[ResourceID]&amp;": "&amp;tblCost[QuantityRequired],
(tblCost[TargetID]=tblTargetStatus[[#This Row],[TargetID]])*
(tblCost[PlayerPaid]=FALSE),
""
)
)</f>
        <v>ruby: 4, coin: 1000, beam: 400, stone: 400</v>
      </c>
      <c r="Z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9" t="str" cm="1">
        <f t="array" ref="AA8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90" spans="1:27">
      <c r="A90" t="s">
        <v>116</v>
      </c>
      <c r="B90" t="str">
        <f>_xlfn.XLOOKUP(tblTargetStatus[[#This Row],[TargetID]],tblTargets[TargetID],tblTargets[DisplayName],"")</f>
        <v>Ship Lv 1</v>
      </c>
      <c r="C90" t="str">
        <f>IF(tblTargetStatus[[#This Row],[PlayerCompleted]],"COMPLETED",IF(tblTargetStatus[[#This Row],[MissingDependencies]]=0,"READY","BLOCKED"))</f>
        <v>BLOCKED</v>
      </c>
      <c r="D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0" t="str">
        <f>_xlfn.XLOOKUP(tblTargetStatus[[#This Row],[TargetID]],tblTargets[TargetID],tblTargets[TargetType],"")</f>
        <v>BUILDING</v>
      </c>
      <c r="F90" t="str">
        <f>_xlfn.XLOOKUP(tblTargetStatus[[#This Row],[TargetID]],tblTargets[TargetID],tblTargets[StateType])</f>
        <v/>
      </c>
      <c r="G90">
        <f>_xlfn.LET(
_xlpm.id,tblTargetStatus[[#This Row],[TargetID]],
_xlpm.depCount,COUNTIF(tblDependencies[TargetID],_xlpm.id),
_xlpm.objCount,COUNTIF(tblQuestObjectives[QuestTargetID],_xlpm.id),
_xlpm.depCount+_xlpm.objCount
)</f>
        <v>2</v>
      </c>
      <c r="H90">
        <f>tblTargetStatus[[#This Row],[DependencyCount]]</f>
        <v>2</v>
      </c>
      <c r="I90" cm="1">
        <f t="array" ref="I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0">
        <f>tblTargetStatus[[#This Row],[CompletedDependencyCount]]</f>
        <v>0</v>
      </c>
      <c r="K90" t="b">
        <f>tblTargetStatus[[#This Row],[CompletedDependencies]]=tblTargetStatus[[#This Row],[TotalDependencies]]</f>
        <v>0</v>
      </c>
      <c r="L90">
        <f>tblTargetStatus[[#This Row],[TotalDependencies]]-tblTargetStatus[[#This Row],[CompletedDependencies]]</f>
        <v>2</v>
      </c>
      <c r="M90" t="str" cm="1">
        <f t="array" ref="M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building.pier@1</v>
      </c>
      <c r="N90" t="str">
        <f>IF(tblTargetStatus[[#This Row],[FirstMissingDependencyID]]="","",_xlfn.XLOOKUP(tblTargetStatus[[#This Row],[FirstMissingDependencyID]],tblTargets[TargetID],tblTargets[DisplayName],tblTargetStatus[[#This Row],[FirstMissingDependencyID]]))</f>
        <v>Pier Lv 1</v>
      </c>
      <c r="O90" t="str" cm="1">
        <f t="array" ref="O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coin,600 plank,1 stone,60 steel</v>
      </c>
      <c r="P90" t="str">
        <f>IF(tblTargetStatus[[#This Row],[FirstMissingDependencyID]]="","",_xlfn.XLOOKUP(tblTargetStatus[[#This Row],[FirstMissingDependencyID]],tblTargetStatus[TargetID],tblTargetStatus[Status],""))</f>
        <v>BLOCKED</v>
      </c>
      <c r="Q90" t="str">
        <f>IF(
 tblTargetStatus[[#This Row],[Status]]&lt;&gt;"BLOCKED",
 tblTargetStatus[[#This Row],[Status]],
 IF(
  AND(
   tblTargetStatus[[#This Row],[MissingDependencies]]=1,
   tblTargetStatus[[#This Row],[FirstMissingStatus]]="READY"
  ),
  "ONE AWAY",
  "BLOCKED"
 )
)</f>
        <v>BLOCKED</v>
      </c>
      <c r="R90">
        <f>IF(
 OR(
  tblTargetStatus[[#This Row],[StateType]]="CHARACTER",
  RIGHT(tblTargetStatus[[#This Row],[TargetID]],6)=".maxed"
 ),
 0,
 _xlfn.LET(
  _xlpm.sort,
   _xlfn.XLOOKUP(
    tblTargetStatus[[#This Row],[TargetID]],
    tblChecklist[TargetID],
    tblChecklist[PlayerSort],
    0
   ),
  IF(_xlpm.sort=0,500,_xlpm.sort)
 )
)</f>
        <v>20</v>
      </c>
      <c r="S90" t="str" cm="1">
        <f t="array" ref="S9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Ship Lv 2, Necklace For Haruka, Spicy Odyssey Accepted, Obtain Any Artifact, Shogun's Katana Chapter 3 Finished</v>
      </c>
      <c r="T90" t="str">
        <f>_xlfn.XLOOKUP(tblTargetStatus[[#This Row],[TargetID]],tblTargets[TargetID],tblTargets[CompletionMethod],"")</f>
        <v>PLAYER</v>
      </c>
      <c r="U90" t="b">
        <f>COUNTIF(
    tblCost[TargetID],
    tblTargetStatus[[#This Row],[TargetID]]
)&gt;0</f>
        <v>1</v>
      </c>
      <c r="V90" s="81">
        <f>IF(tblTargetStatus[[#This Row],[HasCost]]=FALSE,
"N/A",
_xlfn.XLOOKUP(
tblTargetStatus[[#This Row],[TargetID]],
tblCost[TargetID],
tblCost[FundingPercent],
""
)
)</f>
        <v>0</v>
      </c>
      <c r="W90">
        <f>IF(
COUNTIF(tblCost[TargetID],tblTargetStatus[[#This Row],[TargetID]])=0,
"",
_xlfn.XLOOKUP(
tblTargetStatus[[#This Row],[TargetID]],
tblCost[TargetID],
tblCost[RemainingRequirements],
""
)
)</f>
        <v>5</v>
      </c>
      <c r="X90" s="79" t="b">
        <f>IF(tblTargetStatus[[#This Row],[HasCost]]=FALSE,"N/A",_xlfn.XLOOKUP(
tblTargetStatus[[#This Row],[TargetID]],
tblCost[TargetID],
tblCost[TargetFunded],
TRUE
))</f>
        <v>0</v>
      </c>
      <c r="Y90" t="str" cm="1">
        <f t="array" ref="Y90">_xlfn.TEXTJOIN(
", ",
TRUE,
_xlfn._xlws.FILTER(
tblCost[ResourceID]&amp;": "&amp;tblCost[QuantityRequired],
(tblCost[TargetID]=tblTargetStatus[[#This Row],[TargetID]])*
(tblCost[PlayerPaid]=FALSE),
""
)
)</f>
        <v>ruby: 3, coin: 500, plank: 600, stone: 1, steel: 60</v>
      </c>
      <c r="Z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0" t="str" cm="1">
        <f t="array" ref="AA9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Spicy Odyssey</v>
      </c>
    </row>
    <row r="91" spans="1:27">
      <c r="A91" t="s">
        <v>118</v>
      </c>
      <c r="B91" t="str">
        <f>_xlfn.XLOOKUP(tblTargetStatus[[#This Row],[TargetID]],tblTargets[TargetID],tblTargets[DisplayName],"")</f>
        <v>Ship Lv 2</v>
      </c>
      <c r="C91" t="str">
        <f>IF(tblTargetStatus[[#This Row],[PlayerCompleted]],"COMPLETED",IF(tblTargetStatus[[#This Row],[MissingDependencies]]=0,"READY","BLOCKED"))</f>
        <v>BLOCKED</v>
      </c>
      <c r="D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1" t="str">
        <f>_xlfn.XLOOKUP(tblTargetStatus[[#This Row],[TargetID]],tblTargets[TargetID],tblTargets[TargetType],"")</f>
        <v>BUILDING</v>
      </c>
      <c r="F91" t="str">
        <f>_xlfn.XLOOKUP(tblTargetStatus[[#This Row],[TargetID]],tblTargets[TargetID],tblTargets[StateType])</f>
        <v/>
      </c>
      <c r="G91">
        <f>_xlfn.LET(
_xlpm.id,tblTargetStatus[[#This Row],[TargetID]],
_xlpm.depCount,COUNTIF(tblDependencies[TargetID],_xlpm.id),
_xlpm.objCount,COUNTIF(tblQuestObjectives[QuestTargetID],_xlpm.id),
_xlpm.depCount+_xlpm.objCount
)</f>
        <v>1</v>
      </c>
      <c r="H91">
        <f>tblTargetStatus[[#This Row],[DependencyCount]]</f>
        <v>1</v>
      </c>
      <c r="I91" cm="1">
        <f t="array" ref="I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1">
        <f>tblTargetStatus[[#This Row],[CompletedDependencyCount]]</f>
        <v>0</v>
      </c>
      <c r="K91" t="b">
        <f>tblTargetStatus[[#This Row],[CompletedDependencies]]=tblTargetStatus[[#This Row],[TotalDependencies]]</f>
        <v>0</v>
      </c>
      <c r="L91">
        <f>tblTargetStatus[[#This Row],[TotalDependencies]]-tblTargetStatus[[#This Row],[CompletedDependencies]]</f>
        <v>1</v>
      </c>
      <c r="M91" t="str" cm="1">
        <f t="array" ref="M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building.ship@1</v>
      </c>
      <c r="N91" t="str">
        <f>IF(tblTargetStatus[[#This Row],[FirstMissingDependencyID]]="","",_xlfn.XLOOKUP(tblTargetStatus[[#This Row],[FirstMissingDependencyID]],tblTargets[TargetID],tblTargets[DisplayName],tblTargetStatus[[#This Row],[FirstMissingDependencyID]]))</f>
        <v>Ship Lv 1</v>
      </c>
      <c r="O91" s="2" t="str" cm="1">
        <f t="array" ref="O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ruby,750 coin,800 plank,60 steel,1 mortar</v>
      </c>
      <c r="P91" t="str">
        <f>IF(tblTargetStatus[[#This Row],[FirstMissingDependencyID]]="","",_xlfn.XLOOKUP(tblTargetStatus[[#This Row],[FirstMissingDependencyID]],tblTargetStatus[TargetID],tblTargetStatus[Status],""))</f>
        <v>BLOCKED</v>
      </c>
      <c r="Q91" t="str">
        <f>IF(
 tblTargetStatus[[#This Row],[Status]]&lt;&gt;"BLOCKED",
 tblTargetStatus[[#This Row],[Status]],
 IF(
  AND(
   tblTargetStatus[[#This Row],[MissingDependencies]]=1,
   tblTargetStatus[[#This Row],[FirstMissingStatus]]="READY"
  ),
  "ONE AWAY",
  "BLOCKED"
 )
)</f>
        <v>BLOCKED</v>
      </c>
      <c r="R91">
        <f>IF(
 OR(
  tblTargetStatus[[#This Row],[StateType]]="CHARACTER",
  RIGHT(tblTargetStatus[[#This Row],[TargetID]],6)=".maxed"
 ),
 0,
 _xlfn.LET(
  _xlpm.sort,
   _xlfn.XLOOKUP(
    tblTargetStatus[[#This Row],[TargetID]],
    tblChecklist[TargetID],
    tblChecklist[PlayerSort],
    0
   ),
  IF(_xlpm.sort=0,500,_xlpm.sort)
 )
)</f>
        <v>21</v>
      </c>
      <c r="S91" t="str" cm="1">
        <f t="array" ref="S9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Ship Lv 3, Shogun's Katana Chapter 4 Finished</v>
      </c>
      <c r="T91" t="str">
        <f>_xlfn.XLOOKUP(tblTargetStatus[[#This Row],[TargetID]],tblTargets[TargetID],tblTargets[CompletionMethod],"")</f>
        <v>PLAYER</v>
      </c>
      <c r="U91" t="b">
        <f>COUNTIF(
    tblCost[TargetID],
    tblTargetStatus[[#This Row],[TargetID]]
)&gt;0</f>
        <v>1</v>
      </c>
      <c r="V91" s="81">
        <f>IF(tblTargetStatus[[#This Row],[HasCost]]=FALSE,
"N/A",
_xlfn.XLOOKUP(
tblTargetStatus[[#This Row],[TargetID]],
tblCost[TargetID],
tblCost[FundingPercent],
""
)
)</f>
        <v>0</v>
      </c>
      <c r="W91">
        <f>IF(
COUNTIF(tblCost[TargetID],tblTargetStatus[[#This Row],[TargetID]])=0,
"",
_xlfn.XLOOKUP(
tblTargetStatus[[#This Row],[TargetID]],
tblCost[TargetID],
tblCost[RemainingRequirements],
""
)
)</f>
        <v>5</v>
      </c>
      <c r="X91" s="79" t="b">
        <f>IF(tblTargetStatus[[#This Row],[HasCost]]=FALSE,"N/A",_xlfn.XLOOKUP(
tblTargetStatus[[#This Row],[TargetID]],
tblCost[TargetID],
tblCost[TargetFunded],
TRUE
))</f>
        <v>0</v>
      </c>
      <c r="Y91" t="str" cm="1">
        <f t="array" ref="Y91">_xlfn.TEXTJOIN(
", ",
TRUE,
_xlfn._xlws.FILTER(
tblCost[ResourceID]&amp;": "&amp;tblCost[QuantityRequired],
(tblCost[TargetID]=tblTargetStatus[[#This Row],[TargetID]])*
(tblCost[PlayerPaid]=FALSE),
""
)
)</f>
        <v>ruby: 6, coin: 750, plank: 800, steel: 60, mortar: 1</v>
      </c>
      <c r="Z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1" t="str" cm="1">
        <f t="array" ref="AA9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92" spans="1:27">
      <c r="A92" t="s">
        <v>119</v>
      </c>
      <c r="B92" t="str">
        <f>_xlfn.XLOOKUP(tblTargetStatus[[#This Row],[TargetID]],tblTargets[TargetID],tblTargets[DisplayName],"")</f>
        <v>Ship Lv 3</v>
      </c>
      <c r="C92" t="str">
        <f>IF(tblTargetStatus[[#This Row],[PlayerCompleted]],"COMPLETED",IF(tblTargetStatus[[#This Row],[MissingDependencies]]=0,"READY","BLOCKED"))</f>
        <v>BLOCKED</v>
      </c>
      <c r="D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2" t="str">
        <f>_xlfn.XLOOKUP(tblTargetStatus[[#This Row],[TargetID]],tblTargets[TargetID],tblTargets[TargetType],"")</f>
        <v>BUILDING</v>
      </c>
      <c r="F92" t="str">
        <f>_xlfn.XLOOKUP(tblTargetStatus[[#This Row],[TargetID]],tblTargets[TargetID],tblTargets[StateType])</f>
        <v/>
      </c>
      <c r="G92">
        <f>_xlfn.LET(
_xlpm.id,tblTargetStatus[[#This Row],[TargetID]],
_xlpm.depCount,COUNTIF(tblDependencies[TargetID],_xlpm.id),
_xlpm.objCount,COUNTIF(tblQuestObjectives[QuestTargetID],_xlpm.id),
_xlpm.depCount+_xlpm.objCount
)</f>
        <v>1</v>
      </c>
      <c r="H92">
        <f>tblTargetStatus[[#This Row],[DependencyCount]]</f>
        <v>1</v>
      </c>
      <c r="I92" cm="1">
        <f t="array" ref="I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2">
        <f>tblTargetStatus[[#This Row],[CompletedDependencyCount]]</f>
        <v>0</v>
      </c>
      <c r="K92" t="b">
        <f>tblTargetStatus[[#This Row],[CompletedDependencies]]=tblTargetStatus[[#This Row],[TotalDependencies]]</f>
        <v>0</v>
      </c>
      <c r="L92">
        <f>tblTargetStatus[[#This Row],[TotalDependencies]]-tblTargetStatus[[#This Row],[CompletedDependencies]]</f>
        <v>1</v>
      </c>
      <c r="M92" t="str" cm="1">
        <f t="array" ref="M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building.ship@2</v>
      </c>
      <c r="N92" t="str">
        <f>IF(tblTargetStatus[[#This Row],[FirstMissingDependencyID]]="","",_xlfn.XLOOKUP(tblTargetStatus[[#This Row],[FirstMissingDependencyID]],tblTargets[TargetID],tblTargets[DisplayName],tblTargetStatus[[#This Row],[FirstMissingDependencyID]]))</f>
        <v>Ship Lv 2</v>
      </c>
      <c r="O92" s="2" t="str" cm="1">
        <f t="array" ref="O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ruby,1000 coin,1000 plank,1 anchor,1 spices</v>
      </c>
      <c r="P92" t="str">
        <f>IF(tblTargetStatus[[#This Row],[FirstMissingDependencyID]]="","",_xlfn.XLOOKUP(tblTargetStatus[[#This Row],[FirstMissingDependencyID]],tblTargetStatus[TargetID],tblTargetStatus[Status],""))</f>
        <v>BLOCKED</v>
      </c>
      <c r="Q92" t="str">
        <f>IF(
 tblTargetStatus[[#This Row],[Status]]&lt;&gt;"BLOCKED",
 tblTargetStatus[[#This Row],[Status]],
 IF(
  AND(
   tblTargetStatus[[#This Row],[MissingDependencies]]=1,
   tblTargetStatus[[#This Row],[FirstMissingStatus]]="READY"
  ),
  "ONE AWAY",
  "BLOCKED"
 )
)</f>
        <v>BLOCKED</v>
      </c>
      <c r="R92">
        <f>IF(
 OR(
  tblTargetStatus[[#This Row],[StateType]]="CHARACTER",
  RIGHT(tblTargetStatus[[#This Row],[TargetID]],6)=".maxed"
 ),
 0,
 _xlfn.LET(
  _xlpm.sort,
   _xlfn.XLOOKUP(
    tblTargetStatus[[#This Row],[TargetID]],
    tblChecklist[TargetID],
    tblChecklist[PlayerSort],
    0
   ),
  IF(_xlpm.sort=0,500,_xlpm.sort)
 )
)</f>
        <v>22</v>
      </c>
      <c r="S92" t="str" cm="1">
        <f t="array" ref="S9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Ship Lv 4, Shogun's Katana Chapter 5 Finished, Shogun's Katana Chapter 6 Finished</v>
      </c>
      <c r="T92" t="str">
        <f>_xlfn.XLOOKUP(tblTargetStatus[[#This Row],[TargetID]],tblTargets[TargetID],tblTargets[CompletionMethod],"")</f>
        <v>PLAYER</v>
      </c>
      <c r="U92" t="b">
        <f>COUNTIF(
    tblCost[TargetID],
    tblTargetStatus[[#This Row],[TargetID]]
)&gt;0</f>
        <v>1</v>
      </c>
      <c r="V92" s="81">
        <f>IF(tblTargetStatus[[#This Row],[HasCost]]=FALSE,
"N/A",
_xlfn.XLOOKUP(
tblTargetStatus[[#This Row],[TargetID]],
tblCost[TargetID],
tblCost[FundingPercent],
""
)
)</f>
        <v>0</v>
      </c>
      <c r="W92">
        <f>IF(
COUNTIF(tblCost[TargetID],tblTargetStatus[[#This Row],[TargetID]])=0,
"",
_xlfn.XLOOKUP(
tblTargetStatus[[#This Row],[TargetID]],
tblCost[TargetID],
tblCost[RemainingRequirements],
""
)
)</f>
        <v>5</v>
      </c>
      <c r="X92" s="79" t="b">
        <f>IF(tblTargetStatus[[#This Row],[HasCost]]=FALSE,"N/A",_xlfn.XLOOKUP(
tblTargetStatus[[#This Row],[TargetID]],
tblCost[TargetID],
tblCost[TargetFunded],
TRUE
))</f>
        <v>0</v>
      </c>
      <c r="Y92" t="str" cm="1">
        <f t="array" ref="Y92">_xlfn.TEXTJOIN(
", ",
TRUE,
_xlfn._xlws.FILTER(
tblCost[ResourceID]&amp;": "&amp;tblCost[QuantityRequired],
(tblCost[TargetID]=tblTargetStatus[[#This Row],[TargetID]])*
(tblCost[PlayerPaid]=FALSE),
""
)
)</f>
        <v>ruby: 9, coin: 1000, plank: 1000, anchor: 1, spices: 1</v>
      </c>
      <c r="Z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2" t="str" cm="1">
        <f t="array" ref="AA9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93" spans="1:27" ht="29">
      <c r="A93" t="s">
        <v>120</v>
      </c>
      <c r="B93" t="str">
        <f>_xlfn.XLOOKUP(tblTargetStatus[[#This Row],[TargetID]],tblTargets[TargetID],tblTargets[DisplayName],"")</f>
        <v>Ship Lv 4</v>
      </c>
      <c r="C93" t="str">
        <f>IF(tblTargetStatus[[#This Row],[PlayerCompleted]],"COMPLETED",IF(tblTargetStatus[[#This Row],[MissingDependencies]]=0,"READY","BLOCKED"))</f>
        <v>BLOCKED</v>
      </c>
      <c r="D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3" t="str">
        <f>_xlfn.XLOOKUP(tblTargetStatus[[#This Row],[TargetID]],tblTargets[TargetID],tblTargets[TargetType],"")</f>
        <v>BUILDING</v>
      </c>
      <c r="F93" t="str">
        <f>_xlfn.XLOOKUP(tblTargetStatus[[#This Row],[TargetID]],tblTargets[TargetID],tblTargets[StateType])</f>
        <v/>
      </c>
      <c r="G93">
        <f>_xlfn.LET(
_xlpm.id,tblTargetStatus[[#This Row],[TargetID]],
_xlpm.depCount,COUNTIF(tblDependencies[TargetID],_xlpm.id),
_xlpm.objCount,COUNTIF(tblQuestObjectives[QuestTargetID],_xlpm.id),
_xlpm.depCount+_xlpm.objCount
)</f>
        <v>1</v>
      </c>
      <c r="H93">
        <f>tblTargetStatus[[#This Row],[DependencyCount]]</f>
        <v>1</v>
      </c>
      <c r="I93" cm="1">
        <f t="array" ref="I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3">
        <f>tblTargetStatus[[#This Row],[CompletedDependencyCount]]</f>
        <v>0</v>
      </c>
      <c r="K93" t="b">
        <f>tblTargetStatus[[#This Row],[CompletedDependencies]]=tblTargetStatus[[#This Row],[TotalDependencies]]</f>
        <v>0</v>
      </c>
      <c r="L93">
        <f>tblTargetStatus[[#This Row],[TotalDependencies]]-tblTargetStatus[[#This Row],[CompletedDependencies]]</f>
        <v>1</v>
      </c>
      <c r="M93" t="str" cm="1">
        <f t="array" ref="M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building.ship@3</v>
      </c>
      <c r="N93" t="str">
        <f>IF(tblTargetStatus[[#This Row],[FirstMissingDependencyID]]="","",_xlfn.XLOOKUP(tblTargetStatus[[#This Row],[FirstMissingDependencyID]],tblTargets[TargetID],tblTargets[DisplayName],tblTargetStatus[[#This Row],[FirstMissingDependencyID]]))</f>
        <v>Ship Lv 3</v>
      </c>
      <c r="O93" s="2" t="str" cm="1">
        <f t="array" ref="O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ruby,1000 coin,1000 plank,2 spices,200 gunpowder</v>
      </c>
      <c r="P93" t="str">
        <f>IF(tblTargetStatus[[#This Row],[FirstMissingDependencyID]]="","",_xlfn.XLOOKUP(tblTargetStatus[[#This Row],[FirstMissingDependencyID]],tblTargetStatus[TargetID],tblTargetStatus[Status],""))</f>
        <v>BLOCKED</v>
      </c>
      <c r="Q93" t="str">
        <f>IF(
 tblTargetStatus[[#This Row],[Status]]&lt;&gt;"BLOCKED",
 tblTargetStatus[[#This Row],[Status]],
 IF(
  AND(
   tblTargetStatus[[#This Row],[MissingDependencies]]=1,
   tblTargetStatus[[#This Row],[FirstMissingStatus]]="READY"
  ),
  "ONE AWAY",
  "BLOCKED"
 )
)</f>
        <v>BLOCKED</v>
      </c>
      <c r="R93">
        <f>IF(
 OR(
  tblTargetStatus[[#This Row],[StateType]]="CHARACTER",
  RIGHT(tblTargetStatus[[#This Row],[TargetID]],6)=".maxed"
 ),
 0,
 _xlfn.LET(
  _xlpm.sort,
   _xlfn.XLOOKUP(
    tblTargetStatus[[#This Row],[TargetID]],
    tblChecklist[TargetID],
    tblChecklist[PlayerSort],
    0
   ),
  IF(_xlpm.sort=0,500,_xlpm.sort)
 )
)</f>
        <v>24</v>
      </c>
      <c r="S93" t="str" cm="1">
        <f t="array" ref="S9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Astrolabe, Spicy Odyssey Finished</v>
      </c>
      <c r="T93" t="str">
        <f>_xlfn.XLOOKUP(tblTargetStatus[[#This Row],[TargetID]],tblTargets[TargetID],tblTargets[CompletionMethod],"")</f>
        <v>PLAYER</v>
      </c>
      <c r="U93" t="b">
        <f>COUNTIF(
    tblCost[TargetID],
    tblTargetStatus[[#This Row],[TargetID]]
)&gt;0</f>
        <v>1</v>
      </c>
      <c r="V93" s="81">
        <f>IF(tblTargetStatus[[#This Row],[HasCost]]=FALSE,
"N/A",
_xlfn.XLOOKUP(
tblTargetStatus[[#This Row],[TargetID]],
tblCost[TargetID],
tblCost[FundingPercent],
""
)
)</f>
        <v>0</v>
      </c>
      <c r="W93">
        <f>IF(
COUNTIF(tblCost[TargetID],tblTargetStatus[[#This Row],[TargetID]])=0,
"",
_xlfn.XLOOKUP(
tblTargetStatus[[#This Row],[TargetID]],
tblCost[TargetID],
tblCost[RemainingRequirements],
""
)
)</f>
        <v>5</v>
      </c>
      <c r="X93" s="79" t="b">
        <f>IF(tblTargetStatus[[#This Row],[HasCost]]=FALSE,"N/A",_xlfn.XLOOKUP(
tblTargetStatus[[#This Row],[TargetID]],
tblCost[TargetID],
tblCost[TargetFunded],
TRUE
))</f>
        <v>0</v>
      </c>
      <c r="Y93" t="str" cm="1">
        <f t="array" ref="Y93">_xlfn.TEXTJOIN(
", ",
TRUE,
_xlfn._xlws.FILTER(
tblCost[ResourceID]&amp;": "&amp;tblCost[QuantityRequired],
(tblCost[TargetID]=tblTargetStatus[[#This Row],[TargetID]])*
(tblCost[PlayerPaid]=FALSE),
""
)
)</f>
        <v>ruby: 10, coin: 1000, plank: 1000, spices: 2, gunpowder: 200</v>
      </c>
      <c r="Z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3" t="str" cm="1">
        <f t="array" ref="AA9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94" spans="1:27">
      <c r="A94" t="s">
        <v>2684</v>
      </c>
      <c r="B94" t="str">
        <f>_xlfn.XLOOKUP(tblTargetStatus[[#This Row],[TargetID]],tblTargets[TargetID],tblTargets[DisplayName],"")</f>
        <v>shop maxed</v>
      </c>
      <c r="C94" t="str">
        <f>IF(tblTargetStatus[[#This Row],[PlayerCompleted]],"COMPLETED",IF(tblTargetStatus[[#This Row],[MissingDependencies]]=0,"READY","BLOCKED"))</f>
        <v>BLOCKED</v>
      </c>
      <c r="D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4" t="str">
        <f>_xlfn.XLOOKUP(tblTargetStatus[[#This Row],[TargetID]],tblTargets[TargetID],tblTargets[TargetType],"")</f>
        <v>BUILDING</v>
      </c>
      <c r="F94" t="str">
        <f>_xlfn.XLOOKUP(tblTargetStatus[[#This Row],[TargetID]],tblTargets[TargetID],tblTargets[StateType])</f>
        <v/>
      </c>
      <c r="G94">
        <f>_xlfn.LET(
_xlpm.id,tblTargetStatus[[#This Row],[TargetID]],
_xlpm.depCount,COUNTIF(tblDependencies[TargetID],_xlpm.id),
_xlpm.objCount,COUNTIF(tblQuestObjectives[QuestTargetID],_xlpm.id),
_xlpm.depCount+_xlpm.objCount
)</f>
        <v>1</v>
      </c>
      <c r="H94">
        <f>tblTargetStatus[[#This Row],[DependencyCount]]</f>
        <v>1</v>
      </c>
      <c r="I94" cm="1">
        <f t="array" ref="I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4">
        <f>tblTargetStatus[[#This Row],[CompletedDependencyCount]]</f>
        <v>0</v>
      </c>
      <c r="K94" t="b">
        <f>tblTargetStatus[[#This Row],[CompletedDependencies]]=tblTargetStatus[[#This Row],[TotalDependencies]]</f>
        <v>0</v>
      </c>
      <c r="L94">
        <f>tblTargetStatus[[#This Row],[TotalDependencies]]-tblTargetStatus[[#This Row],[CompletedDependencies]]</f>
        <v>1</v>
      </c>
      <c r="M94" t="str" cm="1">
        <f t="array" ref="M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building.shop@3</v>
      </c>
      <c r="N94" t="str">
        <f>IF(tblTargetStatus[[#This Row],[FirstMissingDependencyID]]="","",_xlfn.XLOOKUP(tblTargetStatus[[#This Row],[FirstMissingDependencyID]],tblTargets[TargetID],tblTargets[DisplayName],tblTargetStatus[[#This Row],[FirstMissingDependencyID]]))</f>
        <v>Shop Lv 3</v>
      </c>
      <c r="O94" s="2" t="str" cm="1">
        <f t="array" ref="O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94" t="str">
        <f>IF(tblTargetStatus[[#This Row],[FirstMissingDependencyID]]="","",_xlfn.XLOOKUP(tblTargetStatus[[#This Row],[FirstMissingDependencyID]],tblTargetStatus[TargetID],tblTargetStatus[Status],""))</f>
        <v>BLOCKED</v>
      </c>
      <c r="Q94" t="str">
        <f>IF(
 tblTargetStatus[[#This Row],[Status]]&lt;&gt;"BLOCKED",
 tblTargetStatus[[#This Row],[Status]],
 IF(
  AND(
   tblTargetStatus[[#This Row],[MissingDependencies]]=1,
   tblTargetStatus[[#This Row],[FirstMissingStatus]]="READY"
  ),
  "ONE AWAY",
  "BLOCKED"
 )
)</f>
        <v>BLOCKED</v>
      </c>
      <c r="R94">
        <f>IF(
 OR(
  tblTargetStatus[[#This Row],[StateType]]="CHARACTER",
  RIGHT(tblTargetStatus[[#This Row],[TargetID]],6)=".maxed"
 ),
 0,
 _xlfn.LET(
  _xlpm.sort,
   _xlfn.XLOOKUP(
    tblTargetStatus[[#This Row],[TargetID]],
    tblChecklist[TargetID],
    tblChecklist[PlayerSort],
    0
   ),
  IF(_xlpm.sort=0,500,_xlpm.sort)
 )
)</f>
        <v>0</v>
      </c>
      <c r="S94" t="str" cm="1">
        <f t="array" ref="S9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Shop - Glass Recycling, Shop - Pre Orders</v>
      </c>
      <c r="T94" t="str">
        <f>_xlfn.XLOOKUP(tblTargetStatus[[#This Row],[TargetID]],tblTargets[TargetID],tblTargets[CompletionMethod],"")</f>
        <v>AUTO</v>
      </c>
      <c r="U94" t="b">
        <f>COUNTIF(
    tblCost[TargetID],
    tblTargetStatus[[#This Row],[TargetID]]
)&gt;0</f>
        <v>0</v>
      </c>
      <c r="V94" s="81" t="str">
        <f>IF(tblTargetStatus[[#This Row],[HasCost]]=FALSE,
"N/A",
_xlfn.XLOOKUP(
tblTargetStatus[[#This Row],[TargetID]],
tblCost[TargetID],
tblCost[FundingPercent],
""
)
)</f>
        <v>N/A</v>
      </c>
      <c r="W94" t="str">
        <f>IF(
COUNTIF(tblCost[TargetID],tblTargetStatus[[#This Row],[TargetID]])=0,
"",
_xlfn.XLOOKUP(
tblTargetStatus[[#This Row],[TargetID]],
tblCost[TargetID],
tblCost[RemainingRequirements],
""
)
)</f>
        <v/>
      </c>
      <c r="X94" s="79" t="str">
        <f>IF(tblTargetStatus[[#This Row],[HasCost]]=FALSE,"N/A",_xlfn.XLOOKUP(
tblTargetStatus[[#This Row],[TargetID]],
tblCost[TargetID],
tblCost[TargetFunded],
TRUE
))</f>
        <v>N/A</v>
      </c>
      <c r="Y94" t="str" cm="1">
        <f t="array" ref="Y94">_xlfn.TEXTJOIN(
", ",
TRUE,
_xlfn._xlws.FILTER(
tblCost[ResourceID]&amp;": "&amp;tblCost[QuantityRequired],
(tblCost[TargetID]=tblTargetStatus[[#This Row],[TargetID]])*
(tblCost[PlayerPaid]=FALSE),
""
)
)</f>
        <v/>
      </c>
      <c r="Z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4" t="str" cm="1">
        <f t="array" ref="AA9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95" spans="1:27">
      <c r="A95" t="s">
        <v>121</v>
      </c>
      <c r="B95" t="str">
        <f>_xlfn.XLOOKUP(tblTargetStatus[[#This Row],[TargetID]],tblTargets[TargetID],tblTargets[DisplayName],"")</f>
        <v>Shop Lv 1</v>
      </c>
      <c r="C95" t="str">
        <f>IF(tblTargetStatus[[#This Row],[PlayerCompleted]],"COMPLETED",IF(tblTargetStatus[[#This Row],[MissingDependencies]]=0,"READY","BLOCKED"))</f>
        <v>BLOCKED</v>
      </c>
      <c r="D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5" t="str">
        <f>_xlfn.XLOOKUP(tblTargetStatus[[#This Row],[TargetID]],tblTargets[TargetID],tblTargets[TargetType],"")</f>
        <v>BUILDING</v>
      </c>
      <c r="F95" t="str">
        <f>_xlfn.XLOOKUP(tblTargetStatus[[#This Row],[TargetID]],tblTargets[TargetID],tblTargets[StateType])</f>
        <v/>
      </c>
      <c r="G95">
        <f>_xlfn.LET(
_xlpm.id,tblTargetStatus[[#This Row],[TargetID]],
_xlpm.depCount,COUNTIF(tblDependencies[TargetID],_xlpm.id),
_xlpm.objCount,COUNTIF(tblQuestObjectives[QuestTargetID],_xlpm.id),
_xlpm.depCount+_xlpm.objCount
)</f>
        <v>1</v>
      </c>
      <c r="H95">
        <f>tblTargetStatus[[#This Row],[DependencyCount]]</f>
        <v>1</v>
      </c>
      <c r="I95" cm="1">
        <f t="array" ref="I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5">
        <f>tblTargetStatus[[#This Row],[CompletedDependencyCount]]</f>
        <v>0</v>
      </c>
      <c r="K95" t="b">
        <f>tblTargetStatus[[#This Row],[CompletedDependencies]]=tblTargetStatus[[#This Row],[TotalDependencies]]</f>
        <v>0</v>
      </c>
      <c r="L95">
        <f>tblTargetStatus[[#This Row],[TotalDependencies]]-tblTargetStatus[[#This Row],[CompletedDependencies]]</f>
        <v>1</v>
      </c>
      <c r="M95" t="str" cm="1">
        <f t="array" ref="M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state.character_level@3</v>
      </c>
      <c r="N95" t="str">
        <f>IF(tblTargetStatus[[#This Row],[FirstMissingDependencyID]]="","",_xlfn.XLOOKUP(tblTargetStatus[[#This Row],[FirstMissingDependencyID]],tblTargets[TargetID],tblTargets[DisplayName],tblTargetStatus[[#This Row],[FirstMissingDependencyID]]))</f>
        <v>Character Level@3</v>
      </c>
      <c r="O95" s="2" t="str" cm="1">
        <f t="array" ref="O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ruby,100 coin,20 wood,20 stone</v>
      </c>
      <c r="P95" t="str">
        <f>IF(tblTargetStatus[[#This Row],[FirstMissingDependencyID]]="","",_xlfn.XLOOKUP(tblTargetStatus[[#This Row],[FirstMissingDependencyID]],tblTargetStatus[TargetID],tblTargetStatus[Status],""))</f>
        <v>READY</v>
      </c>
      <c r="Q95" t="str">
        <f>IF(
 tblTargetStatus[[#This Row],[Status]]&lt;&gt;"BLOCKED",
 tblTargetStatus[[#This Row],[Status]],
 IF(
  AND(
   tblTargetStatus[[#This Row],[MissingDependencies]]=1,
   tblTargetStatus[[#This Row],[FirstMissingStatus]]="READY"
  ),
  "ONE AWAY",
  "BLOCKED"
 )
)</f>
        <v>ONE AWAY</v>
      </c>
      <c r="R95">
        <f>IF(
 OR(
  tblTargetStatus[[#This Row],[StateType]]="CHARACTER",
  RIGHT(tblTargetStatus[[#This Row],[TargetID]],6)=".maxed"
 ),
 0,
 _xlfn.LET(
  _xlpm.sort,
   _xlfn.XLOOKUP(
    tblTargetStatus[[#This Row],[TargetID]],
    tblChecklist[TargetID],
    tblChecklist[PlayerSort],
    0
   ),
  IF(_xlpm.sort=0,500,_xlpm.sort)
 )
)</f>
        <v>3</v>
      </c>
      <c r="S95" t="str" cm="1">
        <f t="array" ref="S9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Shop Lv 2</v>
      </c>
      <c r="T95" t="str">
        <f>_xlfn.XLOOKUP(tblTargetStatus[[#This Row],[TargetID]],tblTargets[TargetID],tblTargets[CompletionMethod],"")</f>
        <v>PLAYER</v>
      </c>
      <c r="U95" t="b">
        <f>COUNTIF(
    tblCost[TargetID],
    tblTargetStatus[[#This Row],[TargetID]]
)&gt;0</f>
        <v>1</v>
      </c>
      <c r="V95" s="81">
        <f>IF(tblTargetStatus[[#This Row],[HasCost]]=FALSE,
"N/A",
_xlfn.XLOOKUP(
tblTargetStatus[[#This Row],[TargetID]],
tblCost[TargetID],
tblCost[FundingPercent],
""
)
)</f>
        <v>0</v>
      </c>
      <c r="W95">
        <f>IF(
COUNTIF(tblCost[TargetID],tblTargetStatus[[#This Row],[TargetID]])=0,
"",
_xlfn.XLOOKUP(
tblTargetStatus[[#This Row],[TargetID]],
tblCost[TargetID],
tblCost[RemainingRequirements],
""
)
)</f>
        <v>4</v>
      </c>
      <c r="X95" s="79" t="b">
        <f>IF(tblTargetStatus[[#This Row],[HasCost]]=FALSE,"N/A",_xlfn.XLOOKUP(
tblTargetStatus[[#This Row],[TargetID]],
tblCost[TargetID],
tblCost[TargetFunded],
TRUE
))</f>
        <v>0</v>
      </c>
      <c r="Y95" t="str" cm="1">
        <f t="array" ref="Y95">_xlfn.TEXTJOIN(
", ",
TRUE,
_xlfn._xlws.FILTER(
tblCost[ResourceID]&amp;": "&amp;tblCost[QuantityRequired],
(tblCost[TargetID]=tblTargetStatus[[#This Row],[TargetID]])*
(tblCost[PlayerPaid]=FALSE),
""
)
)</f>
        <v>ruby: 1, coin: 100, wood: 20, stone: 20</v>
      </c>
      <c r="Z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5" t="str" cm="1">
        <f t="array" ref="AA9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96" spans="1:27">
      <c r="A96" t="s">
        <v>123</v>
      </c>
      <c r="B96" t="str">
        <f>_xlfn.XLOOKUP(tblTargetStatus[[#This Row],[TargetID]],tblTargets[TargetID],tblTargets[DisplayName],"")</f>
        <v>Shop Lv 2</v>
      </c>
      <c r="C96" t="str">
        <f>IF(tblTargetStatus[[#This Row],[PlayerCompleted]],"COMPLETED",IF(tblTargetStatus[[#This Row],[MissingDependencies]]=0,"READY","BLOCKED"))</f>
        <v>BLOCKED</v>
      </c>
      <c r="D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6" t="str">
        <f>_xlfn.XLOOKUP(tblTargetStatus[[#This Row],[TargetID]],tblTargets[TargetID],tblTargets[TargetType],"")</f>
        <v>BUILDING</v>
      </c>
      <c r="F96" t="str">
        <f>_xlfn.XLOOKUP(tblTargetStatus[[#This Row],[TargetID]],tblTargets[TargetID],tblTargets[StateType])</f>
        <v/>
      </c>
      <c r="G96">
        <f>_xlfn.LET(
_xlpm.id,tblTargetStatus[[#This Row],[TargetID]],
_xlpm.depCount,COUNTIF(tblDependencies[TargetID],_xlpm.id),
_xlpm.objCount,COUNTIF(tblQuestObjectives[QuestTargetID],_xlpm.id),
_xlpm.depCount+_xlpm.objCount
)</f>
        <v>1</v>
      </c>
      <c r="H96">
        <f>tblTargetStatus[[#This Row],[DependencyCount]]</f>
        <v>1</v>
      </c>
      <c r="I96" cm="1">
        <f t="array" ref="I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6">
        <f>tblTargetStatus[[#This Row],[CompletedDependencyCount]]</f>
        <v>0</v>
      </c>
      <c r="K96" t="b">
        <f>tblTargetStatus[[#This Row],[CompletedDependencies]]=tblTargetStatus[[#This Row],[TotalDependencies]]</f>
        <v>0</v>
      </c>
      <c r="L96">
        <f>tblTargetStatus[[#This Row],[TotalDependencies]]-tblTargetStatus[[#This Row],[CompletedDependencies]]</f>
        <v>1</v>
      </c>
      <c r="M96" t="str" cm="1">
        <f t="array" ref="M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building.shop@1</v>
      </c>
      <c r="N96" t="str">
        <f>IF(tblTargetStatus[[#This Row],[FirstMissingDependencyID]]="","",_xlfn.XLOOKUP(tblTargetStatus[[#This Row],[FirstMissingDependencyID]],tblTargets[TargetID],tblTargets[DisplayName],tblTargetStatus[[#This Row],[FirstMissingDependencyID]]))</f>
        <v>Shop Lv 1</v>
      </c>
      <c r="O96" s="2" t="str" cm="1">
        <f t="array" ref="O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ruby,400 coin,80 wood,80 stone</v>
      </c>
      <c r="P96" t="str">
        <f>IF(tblTargetStatus[[#This Row],[FirstMissingDependencyID]]="","",_xlfn.XLOOKUP(tblTargetStatus[[#This Row],[FirstMissingDependencyID]],tblTargetStatus[TargetID],tblTargetStatus[Status],""))</f>
        <v>BLOCKED</v>
      </c>
      <c r="Q96" t="str">
        <f>IF(
 tblTargetStatus[[#This Row],[Status]]&lt;&gt;"BLOCKED",
 tblTargetStatus[[#This Row],[Status]],
 IF(
  AND(
   tblTargetStatus[[#This Row],[MissingDependencies]]=1,
   tblTargetStatus[[#This Row],[FirstMissingStatus]]="READY"
  ),
  "ONE AWAY",
  "BLOCKED"
 )
)</f>
        <v>BLOCKED</v>
      </c>
      <c r="R96">
        <f>IF(
 OR(
  tblTargetStatus[[#This Row],[StateType]]="CHARACTER",
  RIGHT(tblTargetStatus[[#This Row],[TargetID]],6)=".maxed"
 ),
 0,
 _xlfn.LET(
  _xlpm.sort,
   _xlfn.XLOOKUP(
    tblTargetStatus[[#This Row],[TargetID]],
    tblChecklist[TargetID],
    tblChecklist[PlayerSort],
    0
   ),
  IF(_xlpm.sort=0,500,_xlpm.sort)
 )
)</f>
        <v>100</v>
      </c>
      <c r="S96" t="str" cm="1">
        <f t="array" ref="S9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Shop Lv 3</v>
      </c>
      <c r="T96" t="str">
        <f>_xlfn.XLOOKUP(tblTargetStatus[[#This Row],[TargetID]],tblTargets[TargetID],tblTargets[CompletionMethod],"")</f>
        <v>PLAYER</v>
      </c>
      <c r="U96" t="b">
        <f>COUNTIF(
    tblCost[TargetID],
    tblTargetStatus[[#This Row],[TargetID]]
)&gt;0</f>
        <v>1</v>
      </c>
      <c r="V96" s="81">
        <f>IF(tblTargetStatus[[#This Row],[HasCost]]=FALSE,
"N/A",
_xlfn.XLOOKUP(
tblTargetStatus[[#This Row],[TargetID]],
tblCost[TargetID],
tblCost[FundingPercent],
""
)
)</f>
        <v>0</v>
      </c>
      <c r="W96">
        <f>IF(
COUNTIF(tblCost[TargetID],tblTargetStatus[[#This Row],[TargetID]])=0,
"",
_xlfn.XLOOKUP(
tblTargetStatus[[#This Row],[TargetID]],
tblCost[TargetID],
tblCost[RemainingRequirements],
""
)
)</f>
        <v>4</v>
      </c>
      <c r="X96" s="79" t="b">
        <f>IF(tblTargetStatus[[#This Row],[HasCost]]=FALSE,"N/A",_xlfn.XLOOKUP(
tblTargetStatus[[#This Row],[TargetID]],
tblCost[TargetID],
tblCost[TargetFunded],
TRUE
))</f>
        <v>0</v>
      </c>
      <c r="Y96" t="str" cm="1">
        <f t="array" ref="Y96">_xlfn.TEXTJOIN(
", ",
TRUE,
_xlfn._xlws.FILTER(
tblCost[ResourceID]&amp;": "&amp;tblCost[QuantityRequired],
(tblCost[TargetID]=tblTargetStatus[[#This Row],[TargetID]])*
(tblCost[PlayerPaid]=FALSE),
""
)
)</f>
        <v>ruby: 2, coin: 400, wood: 80, stone: 80</v>
      </c>
      <c r="Z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6" t="str" cm="1">
        <f t="array" ref="AA9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97" spans="1:27">
      <c r="A97" t="s">
        <v>124</v>
      </c>
      <c r="B97" t="str">
        <f>_xlfn.XLOOKUP(tblTargetStatus[[#This Row],[TargetID]],tblTargets[TargetID],tblTargets[DisplayName],"")</f>
        <v>Shop Lv 3</v>
      </c>
      <c r="C97" t="str">
        <f>IF(tblTargetStatus[[#This Row],[PlayerCompleted]],"COMPLETED",IF(tblTargetStatus[[#This Row],[MissingDependencies]]=0,"READY","BLOCKED"))</f>
        <v>BLOCKED</v>
      </c>
      <c r="D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7" t="str">
        <f>_xlfn.XLOOKUP(tblTargetStatus[[#This Row],[TargetID]],tblTargets[TargetID],tblTargets[TargetType],"")</f>
        <v>BUILDING</v>
      </c>
      <c r="F97" t="str">
        <f>_xlfn.XLOOKUP(tblTargetStatus[[#This Row],[TargetID]],tblTargets[TargetID],tblTargets[StateType])</f>
        <v/>
      </c>
      <c r="G97">
        <f>_xlfn.LET(
_xlpm.id,tblTargetStatus[[#This Row],[TargetID]],
_xlpm.depCount,COUNTIF(tblDependencies[TargetID],_xlpm.id),
_xlpm.objCount,COUNTIF(tblQuestObjectives[QuestTargetID],_xlpm.id),
_xlpm.depCount+_xlpm.objCount
)</f>
        <v>1</v>
      </c>
      <c r="H97">
        <f>tblTargetStatus[[#This Row],[DependencyCount]]</f>
        <v>1</v>
      </c>
      <c r="I97" cm="1">
        <f t="array" ref="I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7">
        <f>tblTargetStatus[[#This Row],[CompletedDependencyCount]]</f>
        <v>0</v>
      </c>
      <c r="K97" t="b">
        <f>tblTargetStatus[[#This Row],[CompletedDependencies]]=tblTargetStatus[[#This Row],[TotalDependencies]]</f>
        <v>0</v>
      </c>
      <c r="L97">
        <f>tblTargetStatus[[#This Row],[TotalDependencies]]-tblTargetStatus[[#This Row],[CompletedDependencies]]</f>
        <v>1</v>
      </c>
      <c r="M97" t="str" cm="1">
        <f t="array" ref="M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building.shop@2</v>
      </c>
      <c r="N97" t="str">
        <f>IF(tblTargetStatus[[#This Row],[FirstMissingDependencyID]]="","",_xlfn.XLOOKUP(tblTargetStatus[[#This Row],[FirstMissingDependencyID]],tblTargets[TargetID],tblTargets[DisplayName],tblTargetStatus[[#This Row],[FirstMissingDependencyID]]))</f>
        <v>Shop Lv 2</v>
      </c>
      <c r="O97" s="2" t="str" cm="1">
        <f t="array" ref="O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ruby,800 coin,400 beam,200 stone</v>
      </c>
      <c r="P97" t="str">
        <f>IF(tblTargetStatus[[#This Row],[FirstMissingDependencyID]]="","",_xlfn.XLOOKUP(tblTargetStatus[[#This Row],[FirstMissingDependencyID]],tblTargetStatus[TargetID],tblTargetStatus[Status],""))</f>
        <v>BLOCKED</v>
      </c>
      <c r="Q97" t="str">
        <f>IF(
 tblTargetStatus[[#This Row],[Status]]&lt;&gt;"BLOCKED",
 tblTargetStatus[[#This Row],[Status]],
 IF(
  AND(
   tblTargetStatus[[#This Row],[MissingDependencies]]=1,
   tblTargetStatus[[#This Row],[FirstMissingStatus]]="READY"
  ),
  "ONE AWAY",
  "BLOCKED"
 )
)</f>
        <v>BLOCKED</v>
      </c>
      <c r="R97">
        <f>IF(
 OR(
  tblTargetStatus[[#This Row],[StateType]]="CHARACTER",
  RIGHT(tblTargetStatus[[#This Row],[TargetID]],6)=".maxed"
 ),
 0,
 _xlfn.LET(
  _xlpm.sort,
   _xlfn.XLOOKUP(
    tblTargetStatus[[#This Row],[TargetID]],
    tblChecklist[TargetID],
    tblChecklist[PlayerSort],
    0
   ),
  IF(_xlpm.sort=0,500,_xlpm.sort)
 )
)</f>
        <v>101</v>
      </c>
      <c r="S97" t="str" cm="1">
        <f t="array" ref="S9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shop maxed</v>
      </c>
      <c r="T97" t="str">
        <f>_xlfn.XLOOKUP(tblTargetStatus[[#This Row],[TargetID]],tblTargets[TargetID],tblTargets[CompletionMethod],"")</f>
        <v>PLAYER</v>
      </c>
      <c r="U97" t="b">
        <f>COUNTIF(
    tblCost[TargetID],
    tblTargetStatus[[#This Row],[TargetID]]
)&gt;0</f>
        <v>1</v>
      </c>
      <c r="V97" s="81">
        <f>IF(tblTargetStatus[[#This Row],[HasCost]]=FALSE,
"N/A",
_xlfn.XLOOKUP(
tblTargetStatus[[#This Row],[TargetID]],
tblCost[TargetID],
tblCost[FundingPercent],
""
)
)</f>
        <v>0</v>
      </c>
      <c r="W97">
        <f>IF(
COUNTIF(tblCost[TargetID],tblTargetStatus[[#This Row],[TargetID]])=0,
"",
_xlfn.XLOOKUP(
tblTargetStatus[[#This Row],[TargetID]],
tblCost[TargetID],
tblCost[RemainingRequirements],
""
)
)</f>
        <v>4</v>
      </c>
      <c r="X97" s="79" t="b">
        <f>IF(tblTargetStatus[[#This Row],[HasCost]]=FALSE,"N/A",_xlfn.XLOOKUP(
tblTargetStatus[[#This Row],[TargetID]],
tblCost[TargetID],
tblCost[TargetFunded],
TRUE
))</f>
        <v>0</v>
      </c>
      <c r="Y97" t="str" cm="1">
        <f t="array" ref="Y97">_xlfn.TEXTJOIN(
", ",
TRUE,
_xlfn._xlws.FILTER(
tblCost[ResourceID]&amp;": "&amp;tblCost[QuantityRequired],
(tblCost[TargetID]=tblTargetStatus[[#This Row],[TargetID]])*
(tblCost[PlayerPaid]=FALSE),
""
)
)</f>
        <v>ruby: 3, coin: 800, beam: 400, stone: 200</v>
      </c>
      <c r="Z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7" t="str" cm="1">
        <f t="array" ref="AA9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98" spans="1:27">
      <c r="A98" t="s">
        <v>2685</v>
      </c>
      <c r="B98" t="str">
        <f>_xlfn.XLOOKUP(tblTargetStatus[[#This Row],[TargetID]],tblTargets[TargetID],tblTargets[DisplayName],"")</f>
        <v>smithy maxed</v>
      </c>
      <c r="C98" t="str">
        <f>IF(tblTargetStatus[[#This Row],[PlayerCompleted]],"COMPLETED",IF(tblTargetStatus[[#This Row],[MissingDependencies]]=0,"READY","BLOCKED"))</f>
        <v>BLOCKED</v>
      </c>
      <c r="D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8" t="str">
        <f>_xlfn.XLOOKUP(tblTargetStatus[[#This Row],[TargetID]],tblTargets[TargetID],tblTargets[TargetType],"")</f>
        <v>BUILDING</v>
      </c>
      <c r="F98" t="str">
        <f>_xlfn.XLOOKUP(tblTargetStatus[[#This Row],[TargetID]],tblTargets[TargetID],tblTargets[StateType])</f>
        <v/>
      </c>
      <c r="G98">
        <f>_xlfn.LET(
_xlpm.id,tblTargetStatus[[#This Row],[TargetID]],
_xlpm.depCount,COUNTIF(tblDependencies[TargetID],_xlpm.id),
_xlpm.objCount,COUNTIF(tblQuestObjectives[QuestTargetID],_xlpm.id),
_xlpm.depCount+_xlpm.objCount
)</f>
        <v>1</v>
      </c>
      <c r="H98">
        <f>tblTargetStatus[[#This Row],[DependencyCount]]</f>
        <v>1</v>
      </c>
      <c r="I98" cm="1">
        <f t="array" ref="I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8">
        <f>tblTargetStatus[[#This Row],[CompletedDependencyCount]]</f>
        <v>0</v>
      </c>
      <c r="K98" t="b">
        <f>tblTargetStatus[[#This Row],[CompletedDependencies]]=tblTargetStatus[[#This Row],[TotalDependencies]]</f>
        <v>0</v>
      </c>
      <c r="L98">
        <f>tblTargetStatus[[#This Row],[TotalDependencies]]-tblTargetStatus[[#This Row],[CompletedDependencies]]</f>
        <v>1</v>
      </c>
      <c r="M98" t="str" cm="1">
        <f t="array" ref="M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building.smithy@3</v>
      </c>
      <c r="N98" t="str">
        <f>IF(tblTargetStatus[[#This Row],[FirstMissingDependencyID]]="","",_xlfn.XLOOKUP(tblTargetStatus[[#This Row],[FirstMissingDependencyID]],tblTargets[TargetID],tblTargets[DisplayName],tblTargetStatus[[#This Row],[FirstMissingDependencyID]]))</f>
        <v>Smithy Lv 3</v>
      </c>
      <c r="O98" s="2" t="str" cm="1">
        <f t="array" ref="O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98" t="str">
        <f>IF(tblTargetStatus[[#This Row],[FirstMissingDependencyID]]="","",_xlfn.XLOOKUP(tblTargetStatus[[#This Row],[FirstMissingDependencyID]],tblTargetStatus[TargetID],tblTargetStatus[Status],""))</f>
        <v>BLOCKED</v>
      </c>
      <c r="Q98" t="str">
        <f>IF(
 tblTargetStatus[[#This Row],[Status]]&lt;&gt;"BLOCKED",
 tblTargetStatus[[#This Row],[Status]],
 IF(
  AND(
   tblTargetStatus[[#This Row],[MissingDependencies]]=1,
   tblTargetStatus[[#This Row],[FirstMissingStatus]]="READY"
  ),
  "ONE AWAY",
  "BLOCKED"
 )
)</f>
        <v>BLOCKED</v>
      </c>
      <c r="R98">
        <f>IF(
 OR(
  tblTargetStatus[[#This Row],[StateType]]="CHARACTER",
  RIGHT(tblTargetStatus[[#This Row],[TargetID]],6)=".maxed"
 ),
 0,
 _xlfn.LET(
  _xlpm.sort,
   _xlfn.XLOOKUP(
    tblTargetStatus[[#This Row],[TargetID]],
    tblChecklist[TargetID],
    tblChecklist[PlayerSort],
    0
   ),
  IF(_xlpm.sort=0,500,_xlpm.sort)
 )
)</f>
        <v>0</v>
      </c>
      <c r="S98" t="str" cm="1">
        <f t="array" ref="S9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Smithy - Gears, Smithy - Sword For A Hero Lvl 1, Smithy - Sword For A Hero Lvl 2, Smithy - Sword For A Hero Lvl 3, Smithy - Sword For A Hero Lvl 4, Smithy - Sword For A Hero Lvl 4+, Smithy - Throwing Knife, Smithy - Treasure, Smithy - Weapon Grease</v>
      </c>
      <c r="T98" t="str">
        <f>_xlfn.XLOOKUP(tblTargetStatus[[#This Row],[TargetID]],tblTargets[TargetID],tblTargets[CompletionMethod],"")</f>
        <v>AUTO</v>
      </c>
      <c r="U98" t="b">
        <f>COUNTIF(
    tblCost[TargetID],
    tblTargetStatus[[#This Row],[TargetID]]
)&gt;0</f>
        <v>0</v>
      </c>
      <c r="V98" s="81" t="str">
        <f>IF(tblTargetStatus[[#This Row],[HasCost]]=FALSE,
"N/A",
_xlfn.XLOOKUP(
tblTargetStatus[[#This Row],[TargetID]],
tblCost[TargetID],
tblCost[FundingPercent],
""
)
)</f>
        <v>N/A</v>
      </c>
      <c r="W98" t="str">
        <f>IF(
COUNTIF(tblCost[TargetID],tblTargetStatus[[#This Row],[TargetID]])=0,
"",
_xlfn.XLOOKUP(
tblTargetStatus[[#This Row],[TargetID]],
tblCost[TargetID],
tblCost[RemainingRequirements],
""
)
)</f>
        <v/>
      </c>
      <c r="X98" s="79" t="str">
        <f>IF(tblTargetStatus[[#This Row],[HasCost]]=FALSE,"N/A",_xlfn.XLOOKUP(
tblTargetStatus[[#This Row],[TargetID]],
tblCost[TargetID],
tblCost[TargetFunded],
TRUE
))</f>
        <v>N/A</v>
      </c>
      <c r="Y98" t="str" cm="1">
        <f t="array" ref="Y98">_xlfn.TEXTJOIN(
", ",
TRUE,
_xlfn._xlws.FILTER(
tblCost[ResourceID]&amp;": "&amp;tblCost[QuantityRequired],
(tblCost[TargetID]=tblTargetStatus[[#This Row],[TargetID]])*
(tblCost[PlayerPaid]=FALSE),
""
)
)</f>
        <v/>
      </c>
      <c r="Z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8" t="str" cm="1">
        <f t="array" ref="AA9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99" spans="1:27">
      <c r="A99" t="s">
        <v>125</v>
      </c>
      <c r="B99" t="str">
        <f>_xlfn.XLOOKUP(tblTargetStatus[[#This Row],[TargetID]],tblTargets[TargetID],tblTargets[DisplayName],"")</f>
        <v>Smithy Lv 1</v>
      </c>
      <c r="C99" t="str">
        <f>IF(tblTargetStatus[[#This Row],[PlayerCompleted]],"COMPLETED",IF(tblTargetStatus[[#This Row],[MissingDependencies]]=0,"READY","BLOCKED"))</f>
        <v>BLOCKED</v>
      </c>
      <c r="D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9" t="str">
        <f>_xlfn.XLOOKUP(tblTargetStatus[[#This Row],[TargetID]],tblTargets[TargetID],tblTargets[TargetType],"")</f>
        <v>BUILDING</v>
      </c>
      <c r="F99" t="str">
        <f>_xlfn.XLOOKUP(tblTargetStatus[[#This Row],[TargetID]],tblTargets[TargetID],tblTargets[StateType])</f>
        <v/>
      </c>
      <c r="G99">
        <f>_xlfn.LET(
_xlpm.id,tblTargetStatus[[#This Row],[TargetID]],
_xlpm.depCount,COUNTIF(tblDependencies[TargetID],_xlpm.id),
_xlpm.objCount,COUNTIF(tblQuestObjectives[QuestTargetID],_xlpm.id),
_xlpm.depCount+_xlpm.objCount
)</f>
        <v>1</v>
      </c>
      <c r="H99">
        <f>tblTargetStatus[[#This Row],[DependencyCount]]</f>
        <v>1</v>
      </c>
      <c r="I99" cm="1">
        <f t="array" ref="I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9">
        <f>tblTargetStatus[[#This Row],[CompletedDependencyCount]]</f>
        <v>0</v>
      </c>
      <c r="K99" t="b">
        <f>tblTargetStatus[[#This Row],[CompletedDependencies]]=tblTargetStatus[[#This Row],[TotalDependencies]]</f>
        <v>0</v>
      </c>
      <c r="L99">
        <f>tblTargetStatus[[#This Row],[TotalDependencies]]-tblTargetStatus[[#This Row],[CompletedDependencies]]</f>
        <v>1</v>
      </c>
      <c r="M99" t="str" cm="1">
        <f t="array" ref="M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state.character_level@9</v>
      </c>
      <c r="N99" t="str">
        <f>IF(tblTargetStatus[[#This Row],[FirstMissingDependencyID]]="","",_xlfn.XLOOKUP(tblTargetStatus[[#This Row],[FirstMissingDependencyID]],tblTargets[TargetID],tblTargets[DisplayName],tblTargetStatus[[#This Row],[FirstMissingDependencyID]]))</f>
        <v>Character Level@9</v>
      </c>
      <c r="O99" s="2" t="str" cm="1">
        <f t="array" ref="O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ruby,240 coin,120 wood,120 stone,20 steel</v>
      </c>
      <c r="P99" t="str">
        <f>IF(tblTargetStatus[[#This Row],[FirstMissingDependencyID]]="","",_xlfn.XLOOKUP(tblTargetStatus[[#This Row],[FirstMissingDependencyID]],tblTargetStatus[TargetID],tblTargetStatus[Status],""))</f>
        <v>READY</v>
      </c>
      <c r="Q99" t="str">
        <f>IF(
 tblTargetStatus[[#This Row],[Status]]&lt;&gt;"BLOCKED",
 tblTargetStatus[[#This Row],[Status]],
 IF(
  AND(
   tblTargetStatus[[#This Row],[MissingDependencies]]=1,
   tblTargetStatus[[#This Row],[FirstMissingStatus]]="READY"
  ),
  "ONE AWAY",
  "BLOCKED"
 )
)</f>
        <v>ONE AWAY</v>
      </c>
      <c r="R99">
        <f>IF(
 OR(
  tblTargetStatus[[#This Row],[StateType]]="CHARACTER",
  RIGHT(tblTargetStatus[[#This Row],[TargetID]],6)=".maxed"
 ),
 0,
 _xlfn.LET(
  _xlpm.sort,
   _xlfn.XLOOKUP(
    tblTargetStatus[[#This Row],[TargetID]],
    tblChecklist[TargetID],
    tblChecklist[PlayerSort],
    0
   ),
  IF(_xlpm.sort=0,500,_xlpm.sort)
 )
)</f>
        <v>40</v>
      </c>
      <c r="S99" t="str" cm="1">
        <f t="array" ref="S9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Smithy Lv 2</v>
      </c>
      <c r="T99" t="str">
        <f>_xlfn.XLOOKUP(tblTargetStatus[[#This Row],[TargetID]],tblTargets[TargetID],tblTargets[CompletionMethod],"")</f>
        <v>PLAYER</v>
      </c>
      <c r="U99" t="b">
        <f>COUNTIF(
    tblCost[TargetID],
    tblTargetStatus[[#This Row],[TargetID]]
)&gt;0</f>
        <v>1</v>
      </c>
      <c r="V99" s="81">
        <f>IF(tblTargetStatus[[#This Row],[HasCost]]=FALSE,
"N/A",
_xlfn.XLOOKUP(
tblTargetStatus[[#This Row],[TargetID]],
tblCost[TargetID],
tblCost[FundingPercent],
""
)
)</f>
        <v>0</v>
      </c>
      <c r="W99">
        <f>IF(
COUNTIF(tblCost[TargetID],tblTargetStatus[[#This Row],[TargetID]])=0,
"",
_xlfn.XLOOKUP(
tblTargetStatus[[#This Row],[TargetID]],
tblCost[TargetID],
tblCost[RemainingRequirements],
""
)
)</f>
        <v>5</v>
      </c>
      <c r="X99" s="79" t="b">
        <f>IF(tblTargetStatus[[#This Row],[HasCost]]=FALSE,"N/A",_xlfn.XLOOKUP(
tblTargetStatus[[#This Row],[TargetID]],
tblCost[TargetID],
tblCost[TargetFunded],
TRUE
))</f>
        <v>0</v>
      </c>
      <c r="Y99" t="str" cm="1">
        <f t="array" ref="Y99">_xlfn.TEXTJOIN(
", ",
TRUE,
_xlfn._xlws.FILTER(
tblCost[ResourceID]&amp;": "&amp;tblCost[QuantityRequired],
(tblCost[TargetID]=tblTargetStatus[[#This Row],[TargetID]])*
(tblCost[PlayerPaid]=FALSE),
""
)
)</f>
        <v>ruby: 1, coin: 240, wood: 120, stone: 120, steel: 20</v>
      </c>
      <c r="Z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9" t="str" cm="1">
        <f t="array" ref="AA9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00" spans="1:27">
      <c r="A100" t="s">
        <v>127</v>
      </c>
      <c r="B100" t="str">
        <f>_xlfn.XLOOKUP(tblTargetStatus[[#This Row],[TargetID]],tblTargets[TargetID],tblTargets[DisplayName],"")</f>
        <v>Smithy Lv 2</v>
      </c>
      <c r="C100" t="str">
        <f>IF(tblTargetStatus[[#This Row],[PlayerCompleted]],"COMPLETED",IF(tblTargetStatus[[#This Row],[MissingDependencies]]=0,"READY","BLOCKED"))</f>
        <v>BLOCKED</v>
      </c>
      <c r="D1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0" t="str">
        <f>_xlfn.XLOOKUP(tblTargetStatus[[#This Row],[TargetID]],tblTargets[TargetID],tblTargets[TargetType],"")</f>
        <v>BUILDING</v>
      </c>
      <c r="F100" t="str">
        <f>_xlfn.XLOOKUP(tblTargetStatus[[#This Row],[TargetID]],tblTargets[TargetID],tblTargets[StateType])</f>
        <v/>
      </c>
      <c r="G100">
        <f>_xlfn.LET(
_xlpm.id,tblTargetStatus[[#This Row],[TargetID]],
_xlpm.depCount,COUNTIF(tblDependencies[TargetID],_xlpm.id),
_xlpm.objCount,COUNTIF(tblQuestObjectives[QuestTargetID],_xlpm.id),
_xlpm.depCount+_xlpm.objCount
)</f>
        <v>1</v>
      </c>
      <c r="H100">
        <f>tblTargetStatus[[#This Row],[DependencyCount]]</f>
        <v>1</v>
      </c>
      <c r="I100" cm="1">
        <f t="array" ref="I1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0">
        <f>tblTargetStatus[[#This Row],[CompletedDependencyCount]]</f>
        <v>0</v>
      </c>
      <c r="K100" t="b">
        <f>tblTargetStatus[[#This Row],[CompletedDependencies]]=tblTargetStatus[[#This Row],[TotalDependencies]]</f>
        <v>0</v>
      </c>
      <c r="L100">
        <f>tblTargetStatus[[#This Row],[TotalDependencies]]-tblTargetStatus[[#This Row],[CompletedDependencies]]</f>
        <v>1</v>
      </c>
      <c r="M100" t="str" cm="1">
        <f t="array" ref="M1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building.smithy@1</v>
      </c>
      <c r="N100" t="str">
        <f>IF(tblTargetStatus[[#This Row],[FirstMissingDependencyID]]="","",_xlfn.XLOOKUP(tblTargetStatus[[#This Row],[FirstMissingDependencyID]],tblTargets[TargetID],tblTargets[DisplayName],tblTargetStatus[[#This Row],[FirstMissingDependencyID]]))</f>
        <v>Smithy Lv 1</v>
      </c>
      <c r="O100" s="2" t="str" cm="1">
        <f t="array" ref="O1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ruby,280 coin,140 wood,140 stone,40 steel</v>
      </c>
      <c r="P100" t="str">
        <f>IF(tblTargetStatus[[#This Row],[FirstMissingDependencyID]]="","",_xlfn.XLOOKUP(tblTargetStatus[[#This Row],[FirstMissingDependencyID]],tblTargetStatus[TargetID],tblTargetStatus[Status],""))</f>
        <v>BLOCKED</v>
      </c>
      <c r="Q100" t="str">
        <f>IF(
 tblTargetStatus[[#This Row],[Status]]&lt;&gt;"BLOCKED",
 tblTargetStatus[[#This Row],[Status]],
 IF(
  AND(
   tblTargetStatus[[#This Row],[MissingDependencies]]=1,
   tblTargetStatus[[#This Row],[FirstMissingStatus]]="READY"
  ),
  "ONE AWAY",
  "BLOCKED"
 )
)</f>
        <v>BLOCKED</v>
      </c>
      <c r="R100">
        <f>IF(
 OR(
  tblTargetStatus[[#This Row],[StateType]]="CHARACTER",
  RIGHT(tblTargetStatus[[#This Row],[TargetID]],6)=".maxed"
 ),
 0,
 _xlfn.LET(
  _xlpm.sort,
   _xlfn.XLOOKUP(
    tblTargetStatus[[#This Row],[TargetID]],
    tblChecklist[TargetID],
    tblChecklist[PlayerSort],
    0
   ),
  IF(_xlpm.sort=0,500,_xlpm.sort)
 )
)</f>
        <v>41</v>
      </c>
      <c r="S100" t="str" cm="1">
        <f t="array" ref="S10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Smithy Lv 3</v>
      </c>
      <c r="T100" t="str">
        <f>_xlfn.XLOOKUP(tblTargetStatus[[#This Row],[TargetID]],tblTargets[TargetID],tblTargets[CompletionMethod],"")</f>
        <v>PLAYER</v>
      </c>
      <c r="U100" t="b">
        <f>COUNTIF(
    tblCost[TargetID],
    tblTargetStatus[[#This Row],[TargetID]]
)&gt;0</f>
        <v>1</v>
      </c>
      <c r="V100" s="81">
        <f>IF(tblTargetStatus[[#This Row],[HasCost]]=FALSE,
"N/A",
_xlfn.XLOOKUP(
tblTargetStatus[[#This Row],[TargetID]],
tblCost[TargetID],
tblCost[FundingPercent],
""
)
)</f>
        <v>0</v>
      </c>
      <c r="W100">
        <f>IF(
COUNTIF(tblCost[TargetID],tblTargetStatus[[#This Row],[TargetID]])=0,
"",
_xlfn.XLOOKUP(
tblTargetStatus[[#This Row],[TargetID]],
tblCost[TargetID],
tblCost[RemainingRequirements],
""
)
)</f>
        <v>5</v>
      </c>
      <c r="X100" s="79" t="b">
        <f>IF(tblTargetStatus[[#This Row],[HasCost]]=FALSE,"N/A",_xlfn.XLOOKUP(
tblTargetStatus[[#This Row],[TargetID]],
tblCost[TargetID],
tblCost[TargetFunded],
TRUE
))</f>
        <v>0</v>
      </c>
      <c r="Y100" t="str" cm="1">
        <f t="array" ref="Y100">_xlfn.TEXTJOIN(
", ",
TRUE,
_xlfn._xlws.FILTER(
tblCost[ResourceID]&amp;": "&amp;tblCost[QuantityRequired],
(tblCost[TargetID]=tblTargetStatus[[#This Row],[TargetID]])*
(tblCost[PlayerPaid]=FALSE),
""
)
)</f>
        <v>ruby: 2, coin: 280, wood: 140, stone: 140, steel: 40</v>
      </c>
      <c r="Z1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0" t="str" cm="1">
        <f t="array" ref="AA10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01" spans="1:27">
      <c r="A101" t="s">
        <v>128</v>
      </c>
      <c r="B101" t="str">
        <f>_xlfn.XLOOKUP(tblTargetStatus[[#This Row],[TargetID]],tblTargets[TargetID],tblTargets[DisplayName],"")</f>
        <v>Smithy Lv 3</v>
      </c>
      <c r="C101" t="str">
        <f>IF(tblTargetStatus[[#This Row],[PlayerCompleted]],"COMPLETED",IF(tblTargetStatus[[#This Row],[MissingDependencies]]=0,"READY","BLOCKED"))</f>
        <v>BLOCKED</v>
      </c>
      <c r="D1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1" t="str">
        <f>_xlfn.XLOOKUP(tblTargetStatus[[#This Row],[TargetID]],tblTargets[TargetID],tblTargets[TargetType],"")</f>
        <v>BUILDING</v>
      </c>
      <c r="F101" t="str">
        <f>_xlfn.XLOOKUP(tblTargetStatus[[#This Row],[TargetID]],tblTargets[TargetID],tblTargets[StateType])</f>
        <v/>
      </c>
      <c r="G101">
        <f>_xlfn.LET(
_xlpm.id,tblTargetStatus[[#This Row],[TargetID]],
_xlpm.depCount,COUNTIF(tblDependencies[TargetID],_xlpm.id),
_xlpm.objCount,COUNTIF(tblQuestObjectives[QuestTargetID],_xlpm.id),
_xlpm.depCount+_xlpm.objCount
)</f>
        <v>1</v>
      </c>
      <c r="H101">
        <f>tblTargetStatus[[#This Row],[DependencyCount]]</f>
        <v>1</v>
      </c>
      <c r="I101" cm="1">
        <f t="array" ref="I1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1">
        <f>tblTargetStatus[[#This Row],[CompletedDependencyCount]]</f>
        <v>0</v>
      </c>
      <c r="K101" t="b">
        <f>tblTargetStatus[[#This Row],[CompletedDependencies]]=tblTargetStatus[[#This Row],[TotalDependencies]]</f>
        <v>0</v>
      </c>
      <c r="L101">
        <f>tblTargetStatus[[#This Row],[TotalDependencies]]-tblTargetStatus[[#This Row],[CompletedDependencies]]</f>
        <v>1</v>
      </c>
      <c r="M101" t="str" cm="1">
        <f t="array" ref="M1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building.smithy@2</v>
      </c>
      <c r="N101" t="str">
        <f>IF(tblTargetStatus[[#This Row],[FirstMissingDependencyID]]="","",_xlfn.XLOOKUP(tblTargetStatus[[#This Row],[FirstMissingDependencyID]],tblTargets[TargetID],tblTargets[DisplayName],tblTargetStatus[[#This Row],[FirstMissingDependencyID]]))</f>
        <v>Smithy Lv 2</v>
      </c>
      <c r="O101" s="2" t="str" cm="1">
        <f t="array" ref="O1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ruby,500 coin,400 beam,200 stone,60 steel</v>
      </c>
      <c r="P101" t="str">
        <f>IF(tblTargetStatus[[#This Row],[FirstMissingDependencyID]]="","",_xlfn.XLOOKUP(tblTargetStatus[[#This Row],[FirstMissingDependencyID]],tblTargetStatus[TargetID],tblTargetStatus[Status],""))</f>
        <v>BLOCKED</v>
      </c>
      <c r="Q101" t="str">
        <f>IF(
 tblTargetStatus[[#This Row],[Status]]&lt;&gt;"BLOCKED",
 tblTargetStatus[[#This Row],[Status]],
 IF(
  AND(
   tblTargetStatus[[#This Row],[MissingDependencies]]=1,
   tblTargetStatus[[#This Row],[FirstMissingStatus]]="READY"
  ),
  "ONE AWAY",
  "BLOCKED"
 )
)</f>
        <v>BLOCKED</v>
      </c>
      <c r="R101">
        <f>IF(
 OR(
  tblTargetStatus[[#This Row],[StateType]]="CHARACTER",
  RIGHT(tblTargetStatus[[#This Row],[TargetID]],6)=".maxed"
 ),
 0,
 _xlfn.LET(
  _xlpm.sort,
   _xlfn.XLOOKUP(
    tblTargetStatus[[#This Row],[TargetID]],
    tblChecklist[TargetID],
    tblChecklist[PlayerSort],
    0
   ),
  IF(_xlpm.sort=0,500,_xlpm.sort)
 )
)</f>
        <v>42</v>
      </c>
      <c r="S101" t="str" cm="1">
        <f t="array" ref="S10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smithy maxed, Dagger</v>
      </c>
      <c r="T101" t="str">
        <f>_xlfn.XLOOKUP(tblTargetStatus[[#This Row],[TargetID]],tblTargets[TargetID],tblTargets[CompletionMethod],"")</f>
        <v>PLAYER</v>
      </c>
      <c r="U101" t="b">
        <f>COUNTIF(
    tblCost[TargetID],
    tblTargetStatus[[#This Row],[TargetID]]
)&gt;0</f>
        <v>1</v>
      </c>
      <c r="V101" s="81">
        <f>IF(tblTargetStatus[[#This Row],[HasCost]]=FALSE,
"N/A",
_xlfn.XLOOKUP(
tblTargetStatus[[#This Row],[TargetID]],
tblCost[TargetID],
tblCost[FundingPercent],
""
)
)</f>
        <v>0</v>
      </c>
      <c r="W101">
        <f>IF(
COUNTIF(tblCost[TargetID],tblTargetStatus[[#This Row],[TargetID]])=0,
"",
_xlfn.XLOOKUP(
tblTargetStatus[[#This Row],[TargetID]],
tblCost[TargetID],
tblCost[RemainingRequirements],
""
)
)</f>
        <v>5</v>
      </c>
      <c r="X101" s="79" t="b">
        <f>IF(tblTargetStatus[[#This Row],[HasCost]]=FALSE,"N/A",_xlfn.XLOOKUP(
tblTargetStatus[[#This Row],[TargetID]],
tblCost[TargetID],
tblCost[TargetFunded],
TRUE
))</f>
        <v>0</v>
      </c>
      <c r="Y101" t="str" cm="1">
        <f t="array" ref="Y101">_xlfn.TEXTJOIN(
", ",
TRUE,
_xlfn._xlws.FILTER(
tblCost[ResourceID]&amp;": "&amp;tblCost[QuantityRequired],
(tblCost[TargetID]=tblTargetStatus[[#This Row],[TargetID]])*
(tblCost[PlayerPaid]=FALSE),
""
)
)</f>
        <v>ruby: 4, coin: 500, beam: 400, stone: 200, steel: 60</v>
      </c>
      <c r="Z1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1" t="str" cm="1">
        <f t="array" ref="AA10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02" spans="1:27">
      <c r="A102" t="s">
        <v>129</v>
      </c>
      <c r="B102" t="str">
        <f>_xlfn.XLOOKUP(tblTargetStatus[[#This Row],[TargetID]],tblTargets[TargetID],tblTargets[DisplayName],"")</f>
        <v>Station Lv 1</v>
      </c>
      <c r="C102" t="str">
        <f>IF(tblTargetStatus[[#This Row],[PlayerCompleted]],"COMPLETED",IF(tblTargetStatus[[#This Row],[MissingDependencies]]=0,"READY","BLOCKED"))</f>
        <v>BLOCKED</v>
      </c>
      <c r="D1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2" t="str">
        <f>_xlfn.XLOOKUP(tblTargetStatus[[#This Row],[TargetID]],tblTargets[TargetID],tblTargets[TargetType],"")</f>
        <v>BUILDING</v>
      </c>
      <c r="F102" t="str">
        <f>_xlfn.XLOOKUP(tblTargetStatus[[#This Row],[TargetID]],tblTargets[TargetID],tblTargets[StateType])</f>
        <v/>
      </c>
      <c r="G102">
        <f>_xlfn.LET(
_xlpm.id,tblTargetStatus[[#This Row],[TargetID]],
_xlpm.depCount,COUNTIF(tblDependencies[TargetID],_xlpm.id),
_xlpm.objCount,COUNTIF(tblQuestObjectives[QuestTargetID],_xlpm.id),
_xlpm.depCount+_xlpm.objCount
)</f>
        <v>2</v>
      </c>
      <c r="H102">
        <f>tblTargetStatus[[#This Row],[DependencyCount]]</f>
        <v>2</v>
      </c>
      <c r="I102" cm="1">
        <f t="array" ref="I1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2">
        <f>tblTargetStatus[[#This Row],[CompletedDependencyCount]]</f>
        <v>0</v>
      </c>
      <c r="K102" t="b">
        <f>tblTargetStatus[[#This Row],[CompletedDependencies]]=tblTargetStatus[[#This Row],[TotalDependencies]]</f>
        <v>0</v>
      </c>
      <c r="L102">
        <f>tblTargetStatus[[#This Row],[TotalDependencies]]-tblTargetStatus[[#This Row],[CompletedDependencies]]</f>
        <v>2</v>
      </c>
      <c r="M102" t="str" cm="1">
        <f t="array" ref="M1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state.character_level@50</v>
      </c>
      <c r="N102" t="str">
        <f>IF(tblTargetStatus[[#This Row],[FirstMissingDependencyID]]="","",_xlfn.XLOOKUP(tblTargetStatus[[#This Row],[FirstMissingDependencyID]],tblTargets[TargetID],tblTargets[DisplayName],tblTargetStatus[[#This Row],[FirstMissingDependencyID]]))</f>
        <v>Character Level@50</v>
      </c>
      <c r="O102" t="str" cm="1">
        <f t="array" ref="O1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ruby,1000 coin,8000 beam,800 plank,500 stone,1000 steel,1 ingot,10 kimono,20 blueprint</v>
      </c>
      <c r="P102" t="str">
        <f>IF(tblTargetStatus[[#This Row],[FirstMissingDependencyID]]="","",_xlfn.XLOOKUP(tblTargetStatus[[#This Row],[FirstMissingDependencyID]],tblTargetStatus[TargetID],tblTargetStatus[Status],""))</f>
        <v>READY</v>
      </c>
      <c r="Q102" t="str">
        <f>IF(
 tblTargetStatus[[#This Row],[Status]]&lt;&gt;"BLOCKED",
 tblTargetStatus[[#This Row],[Status]],
 IF(
  AND(
   tblTargetStatus[[#This Row],[MissingDependencies]]=1,
   tblTargetStatus[[#This Row],[FirstMissingStatus]]="READY"
  ),
  "ONE AWAY",
  "BLOCKED"
 )
)</f>
        <v>BLOCKED</v>
      </c>
      <c r="R102">
        <f>IF(
 OR(
  tblTargetStatus[[#This Row],[StateType]]="CHARACTER",
  RIGHT(tblTargetStatus[[#This Row],[TargetID]],6)=".maxed"
 ),
 0,
 _xlfn.LET(
  _xlpm.sort,
   _xlfn.XLOOKUP(
    tblTargetStatus[[#This Row],[TargetID]],
    tblChecklist[TargetID],
    tblChecklist[PlayerSort],
    0
   ),
  IF(_xlpm.sort=0,500,_xlpm.sort)
 )
)</f>
        <v>69</v>
      </c>
      <c r="S102" t="str" cm="1">
        <f t="array" ref="S10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Train Lv 1, Journey Through Japan By Train Accepted, Journey Through Japan By Train Finished</v>
      </c>
      <c r="T102" t="str">
        <f>_xlfn.XLOOKUP(tblTargetStatus[[#This Row],[TargetID]],tblTargets[TargetID],tblTargets[CompletionMethod],"")</f>
        <v>PLAYER</v>
      </c>
      <c r="U102" t="b">
        <f>COUNTIF(
    tblCost[TargetID],
    tblTargetStatus[[#This Row],[TargetID]]
)&gt;0</f>
        <v>1</v>
      </c>
      <c r="V102" s="81">
        <f>IF(tblTargetStatus[[#This Row],[HasCost]]=FALSE,
"N/A",
_xlfn.XLOOKUP(
tblTargetStatus[[#This Row],[TargetID]],
tblCost[TargetID],
tblCost[FundingPercent],
""
)
)</f>
        <v>0</v>
      </c>
      <c r="W102">
        <f>IF(
COUNTIF(tblCost[TargetID],tblTargetStatus[[#This Row],[TargetID]])=0,
"",
_xlfn.XLOOKUP(
tblTargetStatus[[#This Row],[TargetID]],
tblCost[TargetID],
tblCost[RemainingRequirements],
""
)
)</f>
        <v>9</v>
      </c>
      <c r="X102" s="79" t="b">
        <f>IF(tblTargetStatus[[#This Row],[HasCost]]=FALSE,"N/A",_xlfn.XLOOKUP(
tblTargetStatus[[#This Row],[TargetID]],
tblCost[TargetID],
tblCost[TargetFunded],
TRUE
))</f>
        <v>0</v>
      </c>
      <c r="Y102" t="str" cm="1">
        <f t="array" ref="Y102">_xlfn.TEXTJOIN(
", ",
TRUE,
_xlfn._xlws.FILTER(
tblCost[ResourceID]&amp;": "&amp;tblCost[QuantityRequired],
(tblCost[TargetID]=tblTargetStatus[[#This Row],[TargetID]])*
(tblCost[PlayerPaid]=FALSE),
""
)
)</f>
        <v>ruby: 10, coin: 1000, beam: 8000, plank: 800, stone: 500, steel: 1000, ingot: 1, kimono: 10, blueprint: 20</v>
      </c>
      <c r="Z1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2" t="str" cm="1">
        <f t="array" ref="AA10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Journey Through Japan By Train</v>
      </c>
    </row>
    <row r="103" spans="1:27">
      <c r="A103" t="s">
        <v>2686</v>
      </c>
      <c r="B103" t="str">
        <f>_xlfn.XLOOKUP(tblTargetStatus[[#This Row],[TargetID]],tblTargets[TargetID],tblTargets[DisplayName],"")</f>
        <v>tailor maxed</v>
      </c>
      <c r="C103" t="str">
        <f>IF(tblTargetStatus[[#This Row],[PlayerCompleted]],"COMPLETED",IF(tblTargetStatus[[#This Row],[MissingDependencies]]=0,"READY","BLOCKED"))</f>
        <v>BLOCKED</v>
      </c>
      <c r="D1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3" t="str">
        <f>_xlfn.XLOOKUP(tblTargetStatus[[#This Row],[TargetID]],tblTargets[TargetID],tblTargets[TargetType],"")</f>
        <v>BUILDING</v>
      </c>
      <c r="F103" t="str">
        <f>_xlfn.XLOOKUP(tblTargetStatus[[#This Row],[TargetID]],tblTargets[TargetID],tblTargets[StateType])</f>
        <v/>
      </c>
      <c r="G103">
        <f>_xlfn.LET(
_xlpm.id,tblTargetStatus[[#This Row],[TargetID]],
_xlpm.depCount,COUNTIF(tblDependencies[TargetID],_xlpm.id),
_xlpm.objCount,COUNTIF(tblQuestObjectives[QuestTargetID],_xlpm.id),
_xlpm.depCount+_xlpm.objCount
)</f>
        <v>1</v>
      </c>
      <c r="H103">
        <f>tblTargetStatus[[#This Row],[DependencyCount]]</f>
        <v>1</v>
      </c>
      <c r="I103" cm="1">
        <f t="array" ref="I1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3">
        <f>tblTargetStatus[[#This Row],[CompletedDependencyCount]]</f>
        <v>0</v>
      </c>
      <c r="K103" t="b">
        <f>tblTargetStatus[[#This Row],[CompletedDependencies]]=tblTargetStatus[[#This Row],[TotalDependencies]]</f>
        <v>0</v>
      </c>
      <c r="L103">
        <f>tblTargetStatus[[#This Row],[TotalDependencies]]-tblTargetStatus[[#This Row],[CompletedDependencies]]</f>
        <v>1</v>
      </c>
      <c r="M103" t="str" cm="1">
        <f t="array" ref="M1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building.tailor@3</v>
      </c>
      <c r="N103" t="str">
        <f>IF(tblTargetStatus[[#This Row],[FirstMissingDependencyID]]="","",_xlfn.XLOOKUP(tblTargetStatus[[#This Row],[FirstMissingDependencyID]],tblTargets[TargetID],tblTargets[DisplayName],tblTargetStatus[[#This Row],[FirstMissingDependencyID]]))</f>
        <v>Tailor Lv 3</v>
      </c>
      <c r="O103" s="2" t="str" cm="1">
        <f t="array" ref="O1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03" t="str">
        <f>IF(tblTargetStatus[[#This Row],[FirstMissingDependencyID]]="","",_xlfn.XLOOKUP(tblTargetStatus[[#This Row],[FirstMissingDependencyID]],tblTargetStatus[TargetID],tblTargetStatus[Status],""))</f>
        <v>BLOCKED</v>
      </c>
      <c r="Q103" t="str">
        <f>IF(
 tblTargetStatus[[#This Row],[Status]]&lt;&gt;"BLOCKED",
 tblTargetStatus[[#This Row],[Status]],
 IF(
  AND(
   tblTargetStatus[[#This Row],[MissingDependencies]]=1,
   tblTargetStatus[[#This Row],[FirstMissingStatus]]="READY"
  ),
  "ONE AWAY",
  "BLOCKED"
 )
)</f>
        <v>BLOCKED</v>
      </c>
      <c r="R103">
        <f>IF(
 OR(
  tblTargetStatus[[#This Row],[StateType]]="CHARACTER",
  RIGHT(tblTargetStatus[[#This Row],[TargetID]],6)=".maxed"
 ),
 0,
 _xlfn.LET(
  _xlpm.sort,
   _xlfn.XLOOKUP(
    tblTargetStatus[[#This Row],[TargetID]],
    tblChecklist[TargetID],
    tblChecklist[PlayerSort],
    0
   ),
  IF(_xlpm.sort=0,500,_xlpm.sort)
 )
)</f>
        <v>0</v>
      </c>
      <c r="S103" t="str" cm="1">
        <f t="array" ref="S10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Tailor - Ariadnes Thread, Tailor - Armor For A Hero Lvl 1, Tailor - Armor For A Hero Lvl 2, Tailor - Armor For A Hero Lvl 3, Tailor - Armor For A Hero Lvl 4, Tailor - Armor For A Hero Lvl 4+, Tailor - Bedroll, Tailor - Colored Threads, Tailor - Salamander Velour, Tailor - Strong Rivets, Tailor - Strong Stitch</v>
      </c>
      <c r="T103" t="str">
        <f>_xlfn.XLOOKUP(tblTargetStatus[[#This Row],[TargetID]],tblTargets[TargetID],tblTargets[CompletionMethod],"")</f>
        <v>AUTO</v>
      </c>
      <c r="U103" t="b">
        <f>COUNTIF(
    tblCost[TargetID],
    tblTargetStatus[[#This Row],[TargetID]]
)&gt;0</f>
        <v>0</v>
      </c>
      <c r="V103" s="81" t="str">
        <f>IF(tblTargetStatus[[#This Row],[HasCost]]=FALSE,
"N/A",
_xlfn.XLOOKUP(
tblTargetStatus[[#This Row],[TargetID]],
tblCost[TargetID],
tblCost[FundingPercent],
""
)
)</f>
        <v>N/A</v>
      </c>
      <c r="W103" t="str">
        <f>IF(
COUNTIF(tblCost[TargetID],tblTargetStatus[[#This Row],[TargetID]])=0,
"",
_xlfn.XLOOKUP(
tblTargetStatus[[#This Row],[TargetID]],
tblCost[TargetID],
tblCost[RemainingRequirements],
""
)
)</f>
        <v/>
      </c>
      <c r="X103" s="79" t="str">
        <f>IF(tblTargetStatus[[#This Row],[HasCost]]=FALSE,"N/A",_xlfn.XLOOKUP(
tblTargetStatus[[#This Row],[TargetID]],
tblCost[TargetID],
tblCost[TargetFunded],
TRUE
))</f>
        <v>N/A</v>
      </c>
      <c r="Y103" t="str" cm="1">
        <f t="array" ref="Y103">_xlfn.TEXTJOIN(
", ",
TRUE,
_xlfn._xlws.FILTER(
tblCost[ResourceID]&amp;": "&amp;tblCost[QuantityRequired],
(tblCost[TargetID]=tblTargetStatus[[#This Row],[TargetID]])*
(tblCost[PlayerPaid]=FALSE),
""
)
)</f>
        <v/>
      </c>
      <c r="Z1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3" t="str" cm="1">
        <f t="array" ref="AA10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04" spans="1:27">
      <c r="A104" t="s">
        <v>131</v>
      </c>
      <c r="B104" t="str">
        <f>_xlfn.XLOOKUP(tblTargetStatus[[#This Row],[TargetID]],tblTargets[TargetID],tblTargets[DisplayName],"")</f>
        <v>Tailor Lv 1</v>
      </c>
      <c r="C104" t="str">
        <f>IF(tblTargetStatus[[#This Row],[PlayerCompleted]],"COMPLETED",IF(tblTargetStatus[[#This Row],[MissingDependencies]]=0,"READY","BLOCKED"))</f>
        <v>BLOCKED</v>
      </c>
      <c r="D1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4" t="str">
        <f>_xlfn.XLOOKUP(tblTargetStatus[[#This Row],[TargetID]],tblTargets[TargetID],tblTargets[TargetType],"")</f>
        <v>BUILDING</v>
      </c>
      <c r="F104" t="str">
        <f>_xlfn.XLOOKUP(tblTargetStatus[[#This Row],[TargetID]],tblTargets[TargetID],tblTargets[StateType])</f>
        <v/>
      </c>
      <c r="G104">
        <f>_xlfn.LET(
_xlpm.id,tblTargetStatus[[#This Row],[TargetID]],
_xlpm.depCount,COUNTIF(tblDependencies[TargetID],_xlpm.id),
_xlpm.objCount,COUNTIF(tblQuestObjectives[QuestTargetID],_xlpm.id),
_xlpm.depCount+_xlpm.objCount
)</f>
        <v>2</v>
      </c>
      <c r="H104">
        <f>tblTargetStatus[[#This Row],[DependencyCount]]</f>
        <v>2</v>
      </c>
      <c r="I104" cm="1">
        <f t="array" ref="I1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4">
        <f>tblTargetStatus[[#This Row],[CompletedDependencyCount]]</f>
        <v>0</v>
      </c>
      <c r="K104" t="b">
        <f>tblTargetStatus[[#This Row],[CompletedDependencies]]=tblTargetStatus[[#This Row],[TotalDependencies]]</f>
        <v>0</v>
      </c>
      <c r="L104">
        <f>tblTargetStatus[[#This Row],[TotalDependencies]]-tblTargetStatus[[#This Row],[CompletedDependencies]]</f>
        <v>2</v>
      </c>
      <c r="M104" t="str" cm="1">
        <f t="array" ref="M1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104" t="str">
        <f>IF(tblTargetStatus[[#This Row],[FirstMissingDependencyID]]="","",_xlfn.XLOOKUP(tblTargetStatus[[#This Row],[FirstMissingDependencyID]],tblTargets[TargetID],tblTargets[DisplayName],tblTargetStatus[[#This Row],[FirstMissingDependencyID]]))</f>
        <v>Bridge Lv 1</v>
      </c>
      <c r="O104" t="str" cm="1">
        <f t="array" ref="O1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ruby,600 coin,600 beam,300 stone,10 silk,10 paper</v>
      </c>
      <c r="P104" t="str">
        <f>IF(tblTargetStatus[[#This Row],[FirstMissingDependencyID]]="","",_xlfn.XLOOKUP(tblTargetStatus[[#This Row],[FirstMissingDependencyID]],tblTargetStatus[TargetID],tblTargetStatus[Status],""))</f>
        <v>BLOCKED</v>
      </c>
      <c r="Q104" t="str">
        <f>IF(
 tblTargetStatus[[#This Row],[Status]]&lt;&gt;"BLOCKED",
 tblTargetStatus[[#This Row],[Status]],
 IF(
  AND(
   tblTargetStatus[[#This Row],[MissingDependencies]]=1,
   tblTargetStatus[[#This Row],[FirstMissingStatus]]="READY"
  ),
  "ONE AWAY",
  "BLOCKED"
 )
)</f>
        <v>BLOCKED</v>
      </c>
      <c r="R104">
        <f>IF(
 OR(
  tblTargetStatus[[#This Row],[StateType]]="CHARACTER",
  RIGHT(tblTargetStatus[[#This Row],[TargetID]],6)=".maxed"
 ),
 0,
 _xlfn.LET(
  _xlpm.sort,
   _xlfn.XLOOKUP(
    tblTargetStatus[[#This Row],[TargetID]],
    tblChecklist[TargetID],
    tblChecklist[PlayerSort],
    0
   ),
  IF(_xlpm.sort=0,500,_xlpm.sort)
 )
)</f>
        <v>47</v>
      </c>
      <c r="S104" t="str" cm="1">
        <f t="array" ref="S10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Tailor Lv 2</v>
      </c>
      <c r="T104" t="str">
        <f>_xlfn.XLOOKUP(tblTargetStatus[[#This Row],[TargetID]],tblTargets[TargetID],tblTargets[CompletionMethod],"")</f>
        <v>PLAYER</v>
      </c>
      <c r="U104" t="b">
        <f>COUNTIF(
    tblCost[TargetID],
    tblTargetStatus[[#This Row],[TargetID]]
)&gt;0</f>
        <v>1</v>
      </c>
      <c r="V104" s="81">
        <f>IF(tblTargetStatus[[#This Row],[HasCost]]=FALSE,
"N/A",
_xlfn.XLOOKUP(
tblTargetStatus[[#This Row],[TargetID]],
tblCost[TargetID],
tblCost[FundingPercent],
""
)
)</f>
        <v>0</v>
      </c>
      <c r="W104">
        <f>IF(
COUNTIF(tblCost[TargetID],tblTargetStatus[[#This Row],[TargetID]])=0,
"",
_xlfn.XLOOKUP(
tblTargetStatus[[#This Row],[TargetID]],
tblCost[TargetID],
tblCost[RemainingRequirements],
""
)
)</f>
        <v>6</v>
      </c>
      <c r="X104" s="79" t="b">
        <f>IF(tblTargetStatus[[#This Row],[HasCost]]=FALSE,"N/A",_xlfn.XLOOKUP(
tblTargetStatus[[#This Row],[TargetID]],
tblCost[TargetID],
tblCost[TargetFunded],
TRUE
))</f>
        <v>0</v>
      </c>
      <c r="Y104" t="str" cm="1">
        <f t="array" ref="Y104">_xlfn.TEXTJOIN(
", ",
TRUE,
_xlfn._xlws.FILTER(
tblCost[ResourceID]&amp;": "&amp;tblCost[QuantityRequired],
(tblCost[TargetID]=tblTargetStatus[[#This Row],[TargetID]])*
(tblCost[PlayerPaid]=FALSE),
""
)
)</f>
        <v>ruby: 4, coin: 600, beam: 600, stone: 300, silk: 10, paper: 10</v>
      </c>
      <c r="Z1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4" t="str" cm="1">
        <f t="array" ref="AA10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05" spans="1:27">
      <c r="A105" t="s">
        <v>133</v>
      </c>
      <c r="B105" t="str">
        <f>_xlfn.XLOOKUP(tblTargetStatus[[#This Row],[TargetID]],tblTargets[TargetID],tblTargets[DisplayName],"")</f>
        <v>Tailor Lv 2</v>
      </c>
      <c r="C105" t="str">
        <f>IF(tblTargetStatus[[#This Row],[PlayerCompleted]],"COMPLETED",IF(tblTargetStatus[[#This Row],[MissingDependencies]]=0,"READY","BLOCKED"))</f>
        <v>BLOCKED</v>
      </c>
      <c r="D1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5" t="str">
        <f>_xlfn.XLOOKUP(tblTargetStatus[[#This Row],[TargetID]],tblTargets[TargetID],tblTargets[TargetType],"")</f>
        <v>BUILDING</v>
      </c>
      <c r="F105" t="str">
        <f>_xlfn.XLOOKUP(tblTargetStatus[[#This Row],[TargetID]],tblTargets[TargetID],tblTargets[StateType])</f>
        <v/>
      </c>
      <c r="G105">
        <f>_xlfn.LET(
_xlpm.id,tblTargetStatus[[#This Row],[TargetID]],
_xlpm.depCount,COUNTIF(tblDependencies[TargetID],_xlpm.id),
_xlpm.objCount,COUNTIF(tblQuestObjectives[QuestTargetID],_xlpm.id),
_xlpm.depCount+_xlpm.objCount
)</f>
        <v>1</v>
      </c>
      <c r="H105">
        <f>tblTargetStatus[[#This Row],[DependencyCount]]</f>
        <v>1</v>
      </c>
      <c r="I105" cm="1">
        <f t="array" ref="I1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5">
        <f>tblTargetStatus[[#This Row],[CompletedDependencyCount]]</f>
        <v>0</v>
      </c>
      <c r="K105" t="b">
        <f>tblTargetStatus[[#This Row],[CompletedDependencies]]=tblTargetStatus[[#This Row],[TotalDependencies]]</f>
        <v>0</v>
      </c>
      <c r="L105">
        <f>tblTargetStatus[[#This Row],[TotalDependencies]]-tblTargetStatus[[#This Row],[CompletedDependencies]]</f>
        <v>1</v>
      </c>
      <c r="M105" t="str" cm="1">
        <f t="array" ref="M1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building.tailor@1</v>
      </c>
      <c r="N105" t="str">
        <f>IF(tblTargetStatus[[#This Row],[FirstMissingDependencyID]]="","",_xlfn.XLOOKUP(tblTargetStatus[[#This Row],[FirstMissingDependencyID]],tblTargets[TargetID],tblTargets[DisplayName],tblTargetStatus[[#This Row],[FirstMissingDependencyID]]))</f>
        <v>Tailor Lv 1</v>
      </c>
      <c r="O105" s="2" t="str" cm="1">
        <f t="array" ref="O1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ruby,800 coin,800 plank,400 stone,20 silk,20 glass</v>
      </c>
      <c r="P105" t="str">
        <f>IF(tblTargetStatus[[#This Row],[FirstMissingDependencyID]]="","",_xlfn.XLOOKUP(tblTargetStatus[[#This Row],[FirstMissingDependencyID]],tblTargetStatus[TargetID],tblTargetStatus[Status],""))</f>
        <v>BLOCKED</v>
      </c>
      <c r="Q105" t="str">
        <f>IF(
 tblTargetStatus[[#This Row],[Status]]&lt;&gt;"BLOCKED",
 tblTargetStatus[[#This Row],[Status]],
 IF(
  AND(
   tblTargetStatus[[#This Row],[MissingDependencies]]=1,
   tblTargetStatus[[#This Row],[FirstMissingStatus]]="READY"
  ),
  "ONE AWAY",
  "BLOCKED"
 )
)</f>
        <v>BLOCKED</v>
      </c>
      <c r="R105">
        <f>IF(
 OR(
  tblTargetStatus[[#This Row],[StateType]]="CHARACTER",
  RIGHT(tblTargetStatus[[#This Row],[TargetID]],6)=".maxed"
 ),
 0,
 _xlfn.LET(
  _xlpm.sort,
   _xlfn.XLOOKUP(
    tblTargetStatus[[#This Row],[TargetID]],
    tblChecklist[TargetID],
    tblChecklist[PlayerSort],
    0
   ),
  IF(_xlpm.sort=0,500,_xlpm.sort)
 )
)</f>
        <v>48</v>
      </c>
      <c r="S105" t="str" cm="1">
        <f t="array" ref="S10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Tailor Lv 3, Guild Banner, Tailor - Ariadnes Thread, Tailor - Armor For A Hero Lvl 1, Tailor - Colored Threads, Tailor - Strong Stitch</v>
      </c>
      <c r="T105" t="str">
        <f>_xlfn.XLOOKUP(tblTargetStatus[[#This Row],[TargetID]],tblTargets[TargetID],tblTargets[CompletionMethod],"")</f>
        <v>PLAYER</v>
      </c>
      <c r="U105" t="b">
        <f>COUNTIF(
    tblCost[TargetID],
    tblTargetStatus[[#This Row],[TargetID]]
)&gt;0</f>
        <v>1</v>
      </c>
      <c r="V105" s="81">
        <f>IF(tblTargetStatus[[#This Row],[HasCost]]=FALSE,
"N/A",
_xlfn.XLOOKUP(
tblTargetStatus[[#This Row],[TargetID]],
tblCost[TargetID],
tblCost[FundingPercent],
""
)
)</f>
        <v>0</v>
      </c>
      <c r="W105">
        <f>IF(
COUNTIF(tblCost[TargetID],tblTargetStatus[[#This Row],[TargetID]])=0,
"",
_xlfn.XLOOKUP(
tblTargetStatus[[#This Row],[TargetID]],
tblCost[TargetID],
tblCost[RemainingRequirements],
""
)
)</f>
        <v>6</v>
      </c>
      <c r="X105" s="79" t="b">
        <f>IF(tblTargetStatus[[#This Row],[HasCost]]=FALSE,"N/A",_xlfn.XLOOKUP(
tblTargetStatus[[#This Row],[TargetID]],
tblCost[TargetID],
tblCost[TargetFunded],
TRUE
))</f>
        <v>0</v>
      </c>
      <c r="Y105" t="str" cm="1">
        <f t="array" ref="Y105">_xlfn.TEXTJOIN(
", ",
TRUE,
_xlfn._xlws.FILTER(
tblCost[ResourceID]&amp;": "&amp;tblCost[QuantityRequired],
(tblCost[TargetID]=tblTargetStatus[[#This Row],[TargetID]])*
(tblCost[PlayerPaid]=FALSE),
""
)
)</f>
        <v>ruby: 6, coin: 800, plank: 800, stone: 400, silk: 20, glass: 20</v>
      </c>
      <c r="Z1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5" t="str" cm="1">
        <f t="array" ref="AA10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06" spans="1:27" ht="29">
      <c r="A106" t="s">
        <v>134</v>
      </c>
      <c r="B106" t="str">
        <f>_xlfn.XLOOKUP(tblTargetStatus[[#This Row],[TargetID]],tblTargets[TargetID],tblTargets[DisplayName],"")</f>
        <v>Tailor Lv 3</v>
      </c>
      <c r="C106" t="str">
        <f>IF(tblTargetStatus[[#This Row],[PlayerCompleted]],"COMPLETED",IF(tblTargetStatus[[#This Row],[MissingDependencies]]=0,"READY","BLOCKED"))</f>
        <v>BLOCKED</v>
      </c>
      <c r="D1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6" t="str">
        <f>_xlfn.XLOOKUP(tblTargetStatus[[#This Row],[TargetID]],tblTargets[TargetID],tblTargets[TargetType],"")</f>
        <v>BUILDING</v>
      </c>
      <c r="F106" t="str">
        <f>_xlfn.XLOOKUP(tblTargetStatus[[#This Row],[TargetID]],tblTargets[TargetID],tblTargets[StateType])</f>
        <v/>
      </c>
      <c r="G106">
        <f>_xlfn.LET(
_xlpm.id,tblTargetStatus[[#This Row],[TargetID]],
_xlpm.depCount,COUNTIF(tblDependencies[TargetID],_xlpm.id),
_xlpm.objCount,COUNTIF(tblQuestObjectives[QuestTargetID],_xlpm.id),
_xlpm.depCount+_xlpm.objCount
)</f>
        <v>1</v>
      </c>
      <c r="H106">
        <f>tblTargetStatus[[#This Row],[DependencyCount]]</f>
        <v>1</v>
      </c>
      <c r="I106" cm="1">
        <f t="array" ref="I1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6">
        <f>tblTargetStatus[[#This Row],[CompletedDependencyCount]]</f>
        <v>0</v>
      </c>
      <c r="K106" t="b">
        <f>tblTargetStatus[[#This Row],[CompletedDependencies]]=tblTargetStatus[[#This Row],[TotalDependencies]]</f>
        <v>0</v>
      </c>
      <c r="L106">
        <f>tblTargetStatus[[#This Row],[TotalDependencies]]-tblTargetStatus[[#This Row],[CompletedDependencies]]</f>
        <v>1</v>
      </c>
      <c r="M106" t="str" cm="1">
        <f t="array" ref="M1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106" t="str">
        <f>IF(tblTargetStatus[[#This Row],[FirstMissingDependencyID]]="","",_xlfn.XLOOKUP(tblTargetStatus[[#This Row],[FirstMissingDependencyID]],tblTargets[TargetID],tblTargets[DisplayName],tblTargetStatus[[#This Row],[FirstMissingDependencyID]]))</f>
        <v>Tailor Lv 2</v>
      </c>
      <c r="O106" s="2" t="str" cm="1">
        <f t="array" ref="O1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ruby,1000 coin,1000 plank,500 stone,100 steel,30 silk</v>
      </c>
      <c r="P106" t="str">
        <f>IF(tblTargetStatus[[#This Row],[FirstMissingDependencyID]]="","",_xlfn.XLOOKUP(tblTargetStatus[[#This Row],[FirstMissingDependencyID]],tblTargetStatus[TargetID],tblTargetStatus[Status],""))</f>
        <v>BLOCKED</v>
      </c>
      <c r="Q106" t="str">
        <f>IF(
 tblTargetStatus[[#This Row],[Status]]&lt;&gt;"BLOCKED",
 tblTargetStatus[[#This Row],[Status]],
 IF(
  AND(
   tblTargetStatus[[#This Row],[MissingDependencies]]=1,
   tblTargetStatus[[#This Row],[FirstMissingStatus]]="READY"
  ),
  "ONE AWAY",
  "BLOCKED"
 )
)</f>
        <v>BLOCKED</v>
      </c>
      <c r="R106">
        <f>IF(
 OR(
  tblTargetStatus[[#This Row],[StateType]]="CHARACTER",
  RIGHT(tblTargetStatus[[#This Row],[TargetID]],6)=".maxed"
 ),
 0,
 _xlfn.LET(
  _xlpm.sort,
   _xlfn.XLOOKUP(
    tblTargetStatus[[#This Row],[TargetID]],
    tblChecklist[TargetID],
    tblChecklist[PlayerSort],
    0
   ),
  IF(_xlpm.sort=0,500,_xlpm.sort)
 )
)</f>
        <v>49</v>
      </c>
      <c r="S106" t="str" cm="1">
        <f t="array" ref="S10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tailor maxed, Hat Of Concentration, Helmet</v>
      </c>
      <c r="T106" t="str">
        <f>_xlfn.XLOOKUP(tblTargetStatus[[#This Row],[TargetID]],tblTargets[TargetID],tblTargets[CompletionMethod],"")</f>
        <v>PLAYER</v>
      </c>
      <c r="U106" t="b">
        <f>COUNTIF(
    tblCost[TargetID],
    tblTargetStatus[[#This Row],[TargetID]]
)&gt;0</f>
        <v>1</v>
      </c>
      <c r="V106" s="81">
        <f>IF(tblTargetStatus[[#This Row],[HasCost]]=FALSE,
"N/A",
_xlfn.XLOOKUP(
tblTargetStatus[[#This Row],[TargetID]],
tblCost[TargetID],
tblCost[FundingPercent],
""
)
)</f>
        <v>0</v>
      </c>
      <c r="W106">
        <f>IF(
COUNTIF(tblCost[TargetID],tblTargetStatus[[#This Row],[TargetID]])=0,
"",
_xlfn.XLOOKUP(
tblTargetStatus[[#This Row],[TargetID]],
tblCost[TargetID],
tblCost[RemainingRequirements],
""
)
)</f>
        <v>6</v>
      </c>
      <c r="X106" s="79" t="b">
        <f>IF(tblTargetStatus[[#This Row],[HasCost]]=FALSE,"N/A",_xlfn.XLOOKUP(
tblTargetStatus[[#This Row],[TargetID]],
tblCost[TargetID],
tblCost[TargetFunded],
TRUE
))</f>
        <v>0</v>
      </c>
      <c r="Y106" t="str" cm="1">
        <f t="array" ref="Y106">_xlfn.TEXTJOIN(
", ",
TRUE,
_xlfn._xlws.FILTER(
tblCost[ResourceID]&amp;": "&amp;tblCost[QuantityRequired],
(tblCost[TargetID]=tblTargetStatus[[#This Row],[TargetID]])*
(tblCost[PlayerPaid]=FALSE),
""
)
)</f>
        <v>ruby: 8, coin: 1000, plank: 1000, stone: 500, steel: 100, silk: 30</v>
      </c>
      <c r="Z1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6" t="str" cm="1">
        <f t="array" ref="AA10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07" spans="1:27">
      <c r="A107" t="s">
        <v>2687</v>
      </c>
      <c r="B107" t="str">
        <f>_xlfn.XLOOKUP(tblTargetStatus[[#This Row],[TargetID]],tblTargets[TargetID],tblTargets[DisplayName],"")</f>
        <v>train maxed</v>
      </c>
      <c r="C107" t="str">
        <f>IF(tblTargetStatus[[#This Row],[PlayerCompleted]],"COMPLETED",IF(tblTargetStatus[[#This Row],[MissingDependencies]]=0,"READY","BLOCKED"))</f>
        <v>BLOCKED</v>
      </c>
      <c r="D1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7" t="str">
        <f>_xlfn.XLOOKUP(tblTargetStatus[[#This Row],[TargetID]],tblTargets[TargetID],tblTargets[TargetType],"")</f>
        <v>BUILDING</v>
      </c>
      <c r="F107" t="str">
        <f>_xlfn.XLOOKUP(tblTargetStatus[[#This Row],[TargetID]],tblTargets[TargetID],tblTargets[StateType])</f>
        <v/>
      </c>
      <c r="G107">
        <f>_xlfn.LET(
_xlpm.id,tblTargetStatus[[#This Row],[TargetID]],
_xlpm.depCount,COUNTIF(tblDependencies[TargetID],_xlpm.id),
_xlpm.objCount,COUNTIF(tblQuestObjectives[QuestTargetID],_xlpm.id),
_xlpm.depCount+_xlpm.objCount
)</f>
        <v>1</v>
      </c>
      <c r="H107">
        <f>tblTargetStatus[[#This Row],[DependencyCount]]</f>
        <v>1</v>
      </c>
      <c r="I107" cm="1">
        <f t="array" ref="I1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7">
        <f>tblTargetStatus[[#This Row],[CompletedDependencyCount]]</f>
        <v>0</v>
      </c>
      <c r="K107" t="b">
        <f>tblTargetStatus[[#This Row],[CompletedDependencies]]=tblTargetStatus[[#This Row],[TotalDependencies]]</f>
        <v>0</v>
      </c>
      <c r="L107">
        <f>tblTargetStatus[[#This Row],[TotalDependencies]]-tblTargetStatus[[#This Row],[CompletedDependencies]]</f>
        <v>1</v>
      </c>
      <c r="M107" t="str" cm="1">
        <f t="array" ref="M1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building.train@2</v>
      </c>
      <c r="N107" t="str">
        <f>IF(tblTargetStatus[[#This Row],[FirstMissingDependencyID]]="","",_xlfn.XLOOKUP(tblTargetStatus[[#This Row],[FirstMissingDependencyID]],tblTargets[TargetID],tblTargets[DisplayName],tblTargetStatus[[#This Row],[FirstMissingDependencyID]]))</f>
        <v>Train Lv 2</v>
      </c>
      <c r="O107" s="2" t="str" cm="1">
        <f t="array" ref="O1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07" t="str">
        <f>IF(tblTargetStatus[[#This Row],[FirstMissingDependencyID]]="","",_xlfn.XLOOKUP(tblTargetStatus[[#This Row],[FirstMissingDependencyID]],tblTargetStatus[TargetID],tblTargetStatus[Status],""))</f>
        <v>BLOCKED</v>
      </c>
      <c r="Q107" t="str">
        <f>IF(
 tblTargetStatus[[#This Row],[Status]]&lt;&gt;"BLOCKED",
 tblTargetStatus[[#This Row],[Status]],
 IF(
  AND(
   tblTargetStatus[[#This Row],[MissingDependencies]]=1,
   tblTargetStatus[[#This Row],[FirstMissingStatus]]="READY"
  ),
  "ONE AWAY",
  "BLOCKED"
 )
)</f>
        <v>BLOCKED</v>
      </c>
      <c r="R107">
        <f>IF(
 OR(
  tblTargetStatus[[#This Row],[StateType]]="CHARACTER",
  RIGHT(tblTargetStatus[[#This Row],[TargetID]],6)=".maxed"
 ),
 0,
 _xlfn.LET(
  _xlpm.sort,
   _xlfn.XLOOKUP(
    tblTargetStatus[[#This Row],[TargetID]],
    tblChecklist[TargetID],
    tblChecklist[PlayerSort],
    0
   ),
  IF(_xlpm.sort=0,500,_xlpm.sort)
 )
)</f>
        <v>0</v>
      </c>
      <c r="S107" t="str" cm="1">
        <f t="array" ref="S10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Train - Automatic Lubricator, Train - Compound Engine, Train - Onboard Computer, Train - Superheater, Train - Titanium Components</v>
      </c>
      <c r="T107" t="str">
        <f>_xlfn.XLOOKUP(tblTargetStatus[[#This Row],[TargetID]],tblTargets[TargetID],tblTargets[CompletionMethod],"")</f>
        <v>AUTO</v>
      </c>
      <c r="U107" t="b">
        <f>COUNTIF(
    tblCost[TargetID],
    tblTargetStatus[[#This Row],[TargetID]]
)&gt;0</f>
        <v>0</v>
      </c>
      <c r="V107" s="81" t="str">
        <f>IF(tblTargetStatus[[#This Row],[HasCost]]=FALSE,
"N/A",
_xlfn.XLOOKUP(
tblTargetStatus[[#This Row],[TargetID]],
tblCost[TargetID],
tblCost[FundingPercent],
""
)
)</f>
        <v>N/A</v>
      </c>
      <c r="W107" t="str">
        <f>IF(
COUNTIF(tblCost[TargetID],tblTargetStatus[[#This Row],[TargetID]])=0,
"",
_xlfn.XLOOKUP(
tblTargetStatus[[#This Row],[TargetID]],
tblCost[TargetID],
tblCost[RemainingRequirements],
""
)
)</f>
        <v/>
      </c>
      <c r="X107" s="79" t="str">
        <f>IF(tblTargetStatus[[#This Row],[HasCost]]=FALSE,"N/A",_xlfn.XLOOKUP(
tblTargetStatus[[#This Row],[TargetID]],
tblCost[TargetID],
tblCost[TargetFunded],
TRUE
))</f>
        <v>N/A</v>
      </c>
      <c r="Y107" t="str" cm="1">
        <f t="array" ref="Y107">_xlfn.TEXTJOIN(
", ",
TRUE,
_xlfn._xlws.FILTER(
tblCost[ResourceID]&amp;": "&amp;tblCost[QuantityRequired],
(tblCost[TargetID]=tblTargetStatus[[#This Row],[TargetID]])*
(tblCost[PlayerPaid]=FALSE),
""
)
)</f>
        <v/>
      </c>
      <c r="Z1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7" t="str" cm="1">
        <f t="array" ref="AA10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08" spans="1:27">
      <c r="A108" t="s">
        <v>135</v>
      </c>
      <c r="B108" t="str">
        <f>_xlfn.XLOOKUP(tblTargetStatus[[#This Row],[TargetID]],tblTargets[TargetID],tblTargets[DisplayName],"")</f>
        <v>Train Lv 1</v>
      </c>
      <c r="C108" t="str">
        <f>IF(tblTargetStatus[[#This Row],[PlayerCompleted]],"COMPLETED",IF(tblTargetStatus[[#This Row],[MissingDependencies]]=0,"READY","BLOCKED"))</f>
        <v>BLOCKED</v>
      </c>
      <c r="D1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8" t="str">
        <f>_xlfn.XLOOKUP(tblTargetStatus[[#This Row],[TargetID]],tblTargets[TargetID],tblTargets[TargetType],"")</f>
        <v>BUILDING</v>
      </c>
      <c r="F108" t="str">
        <f>_xlfn.XLOOKUP(tblTargetStatus[[#This Row],[TargetID]],tblTargets[TargetID],tblTargets[StateType])</f>
        <v/>
      </c>
      <c r="G108">
        <f>_xlfn.LET(
_xlpm.id,tblTargetStatus[[#This Row],[TargetID]],
_xlpm.depCount,COUNTIF(tblDependencies[TargetID],_xlpm.id),
_xlpm.objCount,COUNTIF(tblQuestObjectives[QuestTargetID],_xlpm.id),
_xlpm.depCount+_xlpm.objCount
)</f>
        <v>2</v>
      </c>
      <c r="H108">
        <f>tblTargetStatus[[#This Row],[DependencyCount]]</f>
        <v>2</v>
      </c>
      <c r="I108" cm="1">
        <f t="array" ref="I1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8">
        <f>tblTargetStatus[[#This Row],[CompletedDependencyCount]]</f>
        <v>0</v>
      </c>
      <c r="K108" t="b">
        <f>tblTargetStatus[[#This Row],[CompletedDependencies]]=tblTargetStatus[[#This Row],[TotalDependencies]]</f>
        <v>0</v>
      </c>
      <c r="L108">
        <f>tblTargetStatus[[#This Row],[TotalDependencies]]-tblTargetStatus[[#This Row],[CompletedDependencies]]</f>
        <v>2</v>
      </c>
      <c r="M108" t="str" cm="1">
        <f t="array" ref="M1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building.station@1</v>
      </c>
      <c r="N108" t="str">
        <f>IF(tblTargetStatus[[#This Row],[FirstMissingDependencyID]]="","",_xlfn.XLOOKUP(tblTargetStatus[[#This Row],[FirstMissingDependencyID]],tblTargets[TargetID],tblTargets[DisplayName],tblTargetStatus[[#This Row],[FirstMissingDependencyID]]))</f>
        <v>Station Lv 1</v>
      </c>
      <c r="O108" t="str" cm="1">
        <f t="array" ref="O1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ruby,2000 coin,3000 steel,100 msteel,80 mechanism,10 glass,100 blueprint</v>
      </c>
      <c r="P108" t="str">
        <f>IF(tblTargetStatus[[#This Row],[FirstMissingDependencyID]]="","",_xlfn.XLOOKUP(tblTargetStatus[[#This Row],[FirstMissingDependencyID]],tblTargetStatus[TargetID],tblTargetStatus[Status],""))</f>
        <v>BLOCKED</v>
      </c>
      <c r="Q108" t="str">
        <f>IF(
 tblTargetStatus[[#This Row],[Status]]&lt;&gt;"BLOCKED",
 tblTargetStatus[[#This Row],[Status]],
 IF(
  AND(
   tblTargetStatus[[#This Row],[MissingDependencies]]=1,
   tblTargetStatus[[#This Row],[FirstMissingStatus]]="READY"
  ),
  "ONE AWAY",
  "BLOCKED"
 )
)</f>
        <v>BLOCKED</v>
      </c>
      <c r="R108">
        <f>IF(
 OR(
  tblTargetStatus[[#This Row],[StateType]]="CHARACTER",
  RIGHT(tblTargetStatus[[#This Row],[TargetID]],6)=".maxed"
 ),
 0,
 _xlfn.LET(
  _xlpm.sort,
   _xlfn.XLOOKUP(
    tblTargetStatus[[#This Row],[TargetID]],
    tblChecklist[TargetID],
    tblChecklist[PlayerSort],
    0
   ),
  IF(_xlpm.sort=0,500,_xlpm.sort)
 )
)</f>
        <v>70</v>
      </c>
      <c r="S108" t="str" cm="1">
        <f t="array" ref="S10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Train Lv 2, Train: Freight Carriage Lv 1, Train: Passenger Carriage Lv 1, Train - Automatic Lubricator, Train - Compound Engine, Train - Superheater, Visit Kyoto, Visit Nagasaki, Visit Osaka, Visit Wakayama, Journey Through Japan By Train Finished</v>
      </c>
      <c r="T108" t="str">
        <f>_xlfn.XLOOKUP(tblTargetStatus[[#This Row],[TargetID]],tblTargets[TargetID],tblTargets[CompletionMethod],"")</f>
        <v>PLAYER</v>
      </c>
      <c r="U108" t="b">
        <f>COUNTIF(
    tblCost[TargetID],
    tblTargetStatus[[#This Row],[TargetID]]
)&gt;0</f>
        <v>1</v>
      </c>
      <c r="V108" s="81">
        <f>IF(tblTargetStatus[[#This Row],[HasCost]]=FALSE,
"N/A",
_xlfn.XLOOKUP(
tblTargetStatus[[#This Row],[TargetID]],
tblCost[TargetID],
tblCost[FundingPercent],
""
)
)</f>
        <v>0</v>
      </c>
      <c r="W108">
        <f>IF(
COUNTIF(tblCost[TargetID],tblTargetStatus[[#This Row],[TargetID]])=0,
"",
_xlfn.XLOOKUP(
tblTargetStatus[[#This Row],[TargetID]],
tblCost[TargetID],
tblCost[RemainingRequirements],
""
)
)</f>
        <v>7</v>
      </c>
      <c r="X108" s="79" t="b">
        <f>IF(tblTargetStatus[[#This Row],[HasCost]]=FALSE,"N/A",_xlfn.XLOOKUP(
tblTargetStatus[[#This Row],[TargetID]],
tblCost[TargetID],
tblCost[TargetFunded],
TRUE
))</f>
        <v>0</v>
      </c>
      <c r="Y108" t="str" cm="1">
        <f t="array" ref="Y108">_xlfn.TEXTJOIN(
", ",
TRUE,
_xlfn._xlws.FILTER(
tblCost[ResourceID]&amp;": "&amp;tblCost[QuantityRequired],
(tblCost[TargetID]=tblTargetStatus[[#This Row],[TargetID]])*
(tblCost[PlayerPaid]=FALSE),
""
)
)</f>
        <v>ruby: 10, coin: 2000, steel: 3000, msteel: 100, mechanism: 80, glass: 10, blueprint: 100</v>
      </c>
      <c r="Z1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8" t="str" cm="1">
        <f t="array" ref="AA10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09" spans="1:27">
      <c r="A109" t="s">
        <v>137</v>
      </c>
      <c r="B109" t="str">
        <f>_xlfn.XLOOKUP(tblTargetStatus[[#This Row],[TargetID]],tblTargets[TargetID],tblTargets[DisplayName],"")</f>
        <v>Train Lv 2</v>
      </c>
      <c r="C109" t="str">
        <f>IF(tblTargetStatus[[#This Row],[PlayerCompleted]],"COMPLETED",IF(tblTargetStatus[[#This Row],[MissingDependencies]]=0,"READY","BLOCKED"))</f>
        <v>BLOCKED</v>
      </c>
      <c r="D1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9" t="str">
        <f>_xlfn.XLOOKUP(tblTargetStatus[[#This Row],[TargetID]],tblTargets[TargetID],tblTargets[TargetType],"")</f>
        <v>BUILDING</v>
      </c>
      <c r="F109" t="str">
        <f>_xlfn.XLOOKUP(tblTargetStatus[[#This Row],[TargetID]],tblTargets[TargetID],tblTargets[StateType])</f>
        <v/>
      </c>
      <c r="G109">
        <f>_xlfn.LET(
_xlpm.id,tblTargetStatus[[#This Row],[TargetID]],
_xlpm.depCount,COUNTIF(tblDependencies[TargetID],_xlpm.id),
_xlpm.objCount,COUNTIF(tblQuestObjectives[QuestTargetID],_xlpm.id),
_xlpm.depCount+_xlpm.objCount
)</f>
        <v>2</v>
      </c>
      <c r="H109">
        <f>tblTargetStatus[[#This Row],[DependencyCount]]</f>
        <v>2</v>
      </c>
      <c r="I109" cm="1">
        <f t="array" ref="I1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9">
        <f>tblTargetStatus[[#This Row],[CompletedDependencyCount]]</f>
        <v>0</v>
      </c>
      <c r="K109" t="b">
        <f>tblTargetStatus[[#This Row],[CompletedDependencies]]=tblTargetStatus[[#This Row],[TotalDependencies]]</f>
        <v>0</v>
      </c>
      <c r="L109">
        <f>tblTargetStatus[[#This Row],[TotalDependencies]]-tblTargetStatus[[#This Row],[CompletedDependencies]]</f>
        <v>2</v>
      </c>
      <c r="M109" t="str" cm="1">
        <f t="array" ref="M1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109" t="str">
        <f>IF(tblTargetStatus[[#This Row],[FirstMissingDependencyID]]="","",_xlfn.XLOOKUP(tblTargetStatus[[#This Row],[FirstMissingDependencyID]],tblTargets[TargetID],tblTargets[DisplayName],tblTargetStatus[[#This Row],[FirstMissingDependencyID]]))</f>
        <v>Train Lv 1</v>
      </c>
      <c r="O109" t="str" cm="1">
        <f t="array" ref="O1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ruby,2000 coin,1000 steel,40 mechanism,30 mercury,40 blueprint</v>
      </c>
      <c r="P109" t="str">
        <f>IF(tblTargetStatus[[#This Row],[FirstMissingDependencyID]]="","",_xlfn.XLOOKUP(tblTargetStatus[[#This Row],[FirstMissingDependencyID]],tblTargetStatus[TargetID],tblTargetStatus[Status],""))</f>
        <v>BLOCKED</v>
      </c>
      <c r="Q109" t="str">
        <f>IF(
 tblTargetStatus[[#This Row],[Status]]&lt;&gt;"BLOCKED",
 tblTargetStatus[[#This Row],[Status]],
 IF(
  AND(
   tblTargetStatus[[#This Row],[MissingDependencies]]=1,
   tblTargetStatus[[#This Row],[FirstMissingStatus]]="READY"
  ),
  "ONE AWAY",
  "BLOCKED"
 )
)</f>
        <v>BLOCKED</v>
      </c>
      <c r="R109">
        <f>IF(
 OR(
  tblTargetStatus[[#This Row],[StateType]]="CHARACTER",
  RIGHT(tblTargetStatus[[#This Row],[TargetID]],6)=".maxed"
 ),
 0,
 _xlfn.LET(
  _xlpm.sort,
   _xlfn.XLOOKUP(
    tblTargetStatus[[#This Row],[TargetID]],
    tblChecklist[TargetID],
    tblChecklist[PlayerSort],
    0
   ),
  IF(_xlpm.sort=0,500,_xlpm.sort)
 )
)</f>
        <v>71</v>
      </c>
      <c r="S109" t="str" cm="1">
        <f t="array" ref="S10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train maxed, Visit Aomori, Visit Fukushima, Visit Tokyo, Journey Through Japan By Train Finished</v>
      </c>
      <c r="T109" t="str">
        <f>_xlfn.XLOOKUP(tblTargetStatus[[#This Row],[TargetID]],tblTargets[TargetID],tblTargets[CompletionMethod],"")</f>
        <v>PLAYER</v>
      </c>
      <c r="U109" t="b">
        <f>COUNTIF(
    tblCost[TargetID],
    tblTargetStatus[[#This Row],[TargetID]]
)&gt;0</f>
        <v>1</v>
      </c>
      <c r="V109" s="81">
        <f>IF(tblTargetStatus[[#This Row],[HasCost]]=FALSE,
"N/A",
_xlfn.XLOOKUP(
tblTargetStatus[[#This Row],[TargetID]],
tblCost[TargetID],
tblCost[FundingPercent],
""
)
)</f>
        <v>0</v>
      </c>
      <c r="W109">
        <f>IF(
COUNTIF(tblCost[TargetID],tblTargetStatus[[#This Row],[TargetID]])=0,
"",
_xlfn.XLOOKUP(
tblTargetStatus[[#This Row],[TargetID]],
tblCost[TargetID],
tblCost[RemainingRequirements],
""
)
)</f>
        <v>6</v>
      </c>
      <c r="X109" s="79" t="b">
        <f>IF(tblTargetStatus[[#This Row],[HasCost]]=FALSE,"N/A",_xlfn.XLOOKUP(
tblTargetStatus[[#This Row],[TargetID]],
tblCost[TargetID],
tblCost[TargetFunded],
TRUE
))</f>
        <v>0</v>
      </c>
      <c r="Y109" t="str" cm="1">
        <f t="array" ref="Y109">_xlfn.TEXTJOIN(
", ",
TRUE,
_xlfn._xlws.FILTER(
tblCost[ResourceID]&amp;": "&amp;tblCost[QuantityRequired],
(tblCost[TargetID]=tblTargetStatus[[#This Row],[TargetID]])*
(tblCost[PlayerPaid]=FALSE),
""
)
)</f>
        <v>ruby: 10, coin: 2000, steel: 1000, mechanism: 40, mercury: 30, blueprint: 40</v>
      </c>
      <c r="Z1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9" t="str" cm="1">
        <f t="array" ref="AA10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0" spans="1:27" ht="29">
      <c r="A110" t="s">
        <v>138</v>
      </c>
      <c r="B110" t="str">
        <f>_xlfn.XLOOKUP(tblTargetStatus[[#This Row],[TargetID]],tblTargets[TargetID],tblTargets[DisplayName],"")</f>
        <v>Train: Freight Carriage Lv 1</v>
      </c>
      <c r="C110" t="str">
        <f>IF(tblTargetStatus[[#This Row],[PlayerCompleted]],"COMPLETED",IF(tblTargetStatus[[#This Row],[MissingDependencies]]=0,"READY","BLOCKED"))</f>
        <v>BLOCKED</v>
      </c>
      <c r="D1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0" t="str">
        <f>_xlfn.XLOOKUP(tblTargetStatus[[#This Row],[TargetID]],tblTargets[TargetID],tblTargets[TargetType],"")</f>
        <v>BUILDING</v>
      </c>
      <c r="F110" t="str">
        <f>_xlfn.XLOOKUP(tblTargetStatus[[#This Row],[TargetID]],tblTargets[TargetID],tblTargets[StateType])</f>
        <v/>
      </c>
      <c r="G110">
        <f>_xlfn.LET(
_xlpm.id,tblTargetStatus[[#This Row],[TargetID]],
_xlpm.depCount,COUNTIF(tblDependencies[TargetID],_xlpm.id),
_xlpm.objCount,COUNTIF(tblQuestObjectives[QuestTargetID],_xlpm.id),
_xlpm.depCount+_xlpm.objCount
)</f>
        <v>1</v>
      </c>
      <c r="H110">
        <f>tblTargetStatus[[#This Row],[DependencyCount]]</f>
        <v>1</v>
      </c>
      <c r="I110" cm="1">
        <f t="array" ref="I1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0">
        <f>tblTargetStatus[[#This Row],[CompletedDependencyCount]]</f>
        <v>0</v>
      </c>
      <c r="K110" t="b">
        <f>tblTargetStatus[[#This Row],[CompletedDependencies]]=tblTargetStatus[[#This Row],[TotalDependencies]]</f>
        <v>0</v>
      </c>
      <c r="L110">
        <f>tblTargetStatus[[#This Row],[TotalDependencies]]-tblTargetStatus[[#This Row],[CompletedDependencies]]</f>
        <v>1</v>
      </c>
      <c r="M110" t="str" cm="1">
        <f t="array" ref="M1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110" t="str">
        <f>IF(tblTargetStatus[[#This Row],[FirstMissingDependencyID]]="","",_xlfn.XLOOKUP(tblTargetStatus[[#This Row],[FirstMissingDependencyID]],tblTargets[TargetID],tblTargets[DisplayName],tblTargetStatus[[#This Row],[FirstMissingDependencyID]]))</f>
        <v>Train Lv 1</v>
      </c>
      <c r="O110" s="2" t="str" cm="1">
        <f t="array" ref="O1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ruby,500 coin,500 plank,250 steel,12 mechanism,15 blueprint</v>
      </c>
      <c r="P110" t="str">
        <f>IF(tblTargetStatus[[#This Row],[FirstMissingDependencyID]]="","",_xlfn.XLOOKUP(tblTargetStatus[[#This Row],[FirstMissingDependencyID]],tblTargetStatus[TargetID],tblTargetStatus[Status],""))</f>
        <v>BLOCKED</v>
      </c>
      <c r="Q110" t="str">
        <f>IF(
 tblTargetStatus[[#This Row],[Status]]&lt;&gt;"BLOCKED",
 tblTargetStatus[[#This Row],[Status]],
 IF(
  AND(
   tblTargetStatus[[#This Row],[MissingDependencies]]=1,
   tblTargetStatus[[#This Row],[FirstMissingStatus]]="READY"
  ),
  "ONE AWAY",
  "BLOCKED"
 )
)</f>
        <v>BLOCKED</v>
      </c>
      <c r="R110" t="str">
        <f>IF(
 OR(
  tblTargetStatus[[#This Row],[StateType]]="CHARACTER",
  RIGHT(tblTargetStatus[[#This Row],[TargetID]],6)=".maxed"
 ),
 0,
 _xlfn.LET(
  _xlpm.sort,
   _xlfn.XLOOKUP(
    tblTargetStatus[[#This Row],[TargetID]],
    tblChecklist[TargetID],
    tblChecklist[PlayerSort],
    0
   ),
  IF(_xlpm.sort=0,500,_xlpm.sort)
 )
)</f>
        <v/>
      </c>
      <c r="S110" t="str" cm="1">
        <f t="array" ref="S11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Train: Freight Carriage Lv 2</v>
      </c>
      <c r="T110" t="str">
        <f>_xlfn.XLOOKUP(tblTargetStatus[[#This Row],[TargetID]],tblTargets[TargetID],tblTargets[CompletionMethod],"")</f>
        <v>PLAYER</v>
      </c>
      <c r="U110" t="b">
        <f>COUNTIF(
    tblCost[TargetID],
    tblTargetStatus[[#This Row],[TargetID]]
)&gt;0</f>
        <v>1</v>
      </c>
      <c r="V110" s="81">
        <f>IF(tblTargetStatus[[#This Row],[HasCost]]=FALSE,
"N/A",
_xlfn.XLOOKUP(
tblTargetStatus[[#This Row],[TargetID]],
tblCost[TargetID],
tblCost[FundingPercent],
""
)
)</f>
        <v>0</v>
      </c>
      <c r="W110">
        <f>IF(
COUNTIF(tblCost[TargetID],tblTargetStatus[[#This Row],[TargetID]])=0,
"",
_xlfn.XLOOKUP(
tblTargetStatus[[#This Row],[TargetID]],
tblCost[TargetID],
tblCost[RemainingRequirements],
""
)
)</f>
        <v>6</v>
      </c>
      <c r="X110" s="79" t="b">
        <f>IF(tblTargetStatus[[#This Row],[HasCost]]=FALSE,"N/A",_xlfn.XLOOKUP(
tblTargetStatus[[#This Row],[TargetID]],
tblCost[TargetID],
tblCost[TargetFunded],
TRUE
))</f>
        <v>0</v>
      </c>
      <c r="Y110" t="str" cm="1">
        <f t="array" ref="Y110">_xlfn.TEXTJOIN(
", ",
TRUE,
_xlfn._xlws.FILTER(
tblCost[ResourceID]&amp;": "&amp;tblCost[QuantityRequired],
(tblCost[TargetID]=tblTargetStatus[[#This Row],[TargetID]])*
(tblCost[PlayerPaid]=FALSE),
""
)
)</f>
        <v>ruby: 2, coin: 500, plank: 500, steel: 250, mechanism: 12, blueprint: 15</v>
      </c>
      <c r="Z1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0" t="str" cm="1">
        <f t="array" ref="AA11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1" spans="1:27">
      <c r="A111" t="s">
        <v>141</v>
      </c>
      <c r="B111" t="str">
        <f>_xlfn.XLOOKUP(tblTargetStatus[[#This Row],[TargetID]],tblTargets[TargetID],tblTargets[DisplayName],"")</f>
        <v>Train: Freight Carriage Lv 2</v>
      </c>
      <c r="C111" t="str">
        <f>IF(tblTargetStatus[[#This Row],[PlayerCompleted]],"COMPLETED",IF(tblTargetStatus[[#This Row],[MissingDependencies]]=0,"READY","BLOCKED"))</f>
        <v>BLOCKED</v>
      </c>
      <c r="D1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1" t="str">
        <f>_xlfn.XLOOKUP(tblTargetStatus[[#This Row],[TargetID]],tblTargets[TargetID],tblTargets[TargetType],"")</f>
        <v>BUILDING</v>
      </c>
      <c r="F111" t="str">
        <f>_xlfn.XLOOKUP(tblTargetStatus[[#This Row],[TargetID]],tblTargets[TargetID],tblTargets[StateType])</f>
        <v/>
      </c>
      <c r="G111">
        <f>_xlfn.LET(
_xlpm.id,tblTargetStatus[[#This Row],[TargetID]],
_xlpm.depCount,COUNTIF(tblDependencies[TargetID],_xlpm.id),
_xlpm.objCount,COUNTIF(tblQuestObjectives[QuestTargetID],_xlpm.id),
_xlpm.depCount+_xlpm.objCount
)</f>
        <v>1</v>
      </c>
      <c r="H111">
        <f>tblTargetStatus[[#This Row],[DependencyCount]]</f>
        <v>1</v>
      </c>
      <c r="I111" cm="1">
        <f t="array" ref="I1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1">
        <f>tblTargetStatus[[#This Row],[CompletedDependencyCount]]</f>
        <v>0</v>
      </c>
      <c r="K111" t="b">
        <f>tblTargetStatus[[#This Row],[CompletedDependencies]]=tblTargetStatus[[#This Row],[TotalDependencies]]</f>
        <v>0</v>
      </c>
      <c r="L111">
        <f>tblTargetStatus[[#This Row],[TotalDependencies]]-tblTargetStatus[[#This Row],[CompletedDependencies]]</f>
        <v>1</v>
      </c>
      <c r="M111" t="str" cm="1">
        <f t="array" ref="M1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building.train_freight_carriage@1</v>
      </c>
      <c r="N111" t="str">
        <f>IF(tblTargetStatus[[#This Row],[FirstMissingDependencyID]]="","",_xlfn.XLOOKUP(tblTargetStatus[[#This Row],[FirstMissingDependencyID]],tblTargets[TargetID],tblTargets[DisplayName],tblTargetStatus[[#This Row],[FirstMissingDependencyID]]))</f>
        <v>Train: Freight Carriage Lv 1</v>
      </c>
      <c r="O111" t="str" cm="1">
        <f t="array" ref="O1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ruby,500 coin,500 plank,250 steel,12 mechanism</v>
      </c>
      <c r="P111" t="str">
        <f>IF(tblTargetStatus[[#This Row],[FirstMissingDependencyID]]="","",_xlfn.XLOOKUP(tblTargetStatus[[#This Row],[FirstMissingDependencyID]],tblTargetStatus[TargetID],tblTargetStatus[Status],""))</f>
        <v>BLOCKED</v>
      </c>
      <c r="Q111" t="str">
        <f>IF(
 tblTargetStatus[[#This Row],[Status]]&lt;&gt;"BLOCKED",
 tblTargetStatus[[#This Row],[Status]],
 IF(
  AND(
   tblTargetStatus[[#This Row],[MissingDependencies]]=1,
   tblTargetStatus[[#This Row],[FirstMissingStatus]]="READY"
  ),
  "ONE AWAY",
  "BLOCKED"
 )
)</f>
        <v>BLOCKED</v>
      </c>
      <c r="R111" t="str">
        <f>IF(
 OR(
  tblTargetStatus[[#This Row],[StateType]]="CHARACTER",
  RIGHT(tblTargetStatus[[#This Row],[TargetID]],6)=".maxed"
 ),
 0,
 _xlfn.LET(
  _xlpm.sort,
   _xlfn.XLOOKUP(
    tblTargetStatus[[#This Row],[TargetID]],
    tblChecklist[TargetID],
    tblChecklist[PlayerSort],
    0
   ),
  IF(_xlpm.sort=0,500,_xlpm.sort)
 )
)</f>
        <v/>
      </c>
      <c r="S111" t="str" cm="1">
        <f t="array" ref="S11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11" t="str">
        <f>_xlfn.XLOOKUP(tblTargetStatus[[#This Row],[TargetID]],tblTargets[TargetID],tblTargets[CompletionMethod],"")</f>
        <v>PLAYER</v>
      </c>
      <c r="U111" t="b">
        <f>COUNTIF(
    tblCost[TargetID],
    tblTargetStatus[[#This Row],[TargetID]]
)&gt;0</f>
        <v>1</v>
      </c>
      <c r="V111" s="81">
        <f>IF(tblTargetStatus[[#This Row],[HasCost]]=FALSE,
"N/A",
_xlfn.XLOOKUP(
tblTargetStatus[[#This Row],[TargetID]],
tblCost[TargetID],
tblCost[FundingPercent],
""
)
)</f>
        <v>0</v>
      </c>
      <c r="W111">
        <f>IF(
COUNTIF(tblCost[TargetID],tblTargetStatus[[#This Row],[TargetID]])=0,
"",
_xlfn.XLOOKUP(
tblTargetStatus[[#This Row],[TargetID]],
tblCost[TargetID],
tblCost[RemainingRequirements],
""
)
)</f>
        <v>5</v>
      </c>
      <c r="X111" s="79" t="b">
        <f>IF(tblTargetStatus[[#This Row],[HasCost]]=FALSE,"N/A",_xlfn.XLOOKUP(
tblTargetStatus[[#This Row],[TargetID]],
tblCost[TargetID],
tblCost[TargetFunded],
TRUE
))</f>
        <v>0</v>
      </c>
      <c r="Y111" t="str" cm="1">
        <f t="array" ref="Y111">_xlfn.TEXTJOIN(
", ",
TRUE,
_xlfn._xlws.FILTER(
tblCost[ResourceID]&amp;": "&amp;tblCost[QuantityRequired],
(tblCost[TargetID]=tblTargetStatus[[#This Row],[TargetID]])*
(tblCost[PlayerPaid]=FALSE),
""
)
)</f>
        <v>ruby: 2, coin: 500, plank: 500, steel: 250, mechanism: 12</v>
      </c>
      <c r="Z1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1" t="str" cm="1">
        <f t="array" ref="AA11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2" spans="1:27" ht="29">
      <c r="A112" t="s">
        <v>142</v>
      </c>
      <c r="B112" t="str">
        <f>_xlfn.XLOOKUP(tblTargetStatus[[#This Row],[TargetID]],tblTargets[TargetID],tblTargets[DisplayName],"")</f>
        <v>Train: Passenger Carriage Lv 1</v>
      </c>
      <c r="C112" t="str">
        <f>IF(tblTargetStatus[[#This Row],[PlayerCompleted]],"COMPLETED",IF(tblTargetStatus[[#This Row],[MissingDependencies]]=0,"READY","BLOCKED"))</f>
        <v>BLOCKED</v>
      </c>
      <c r="D1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2" t="str">
        <f>_xlfn.XLOOKUP(tblTargetStatus[[#This Row],[TargetID]],tblTargets[TargetID],tblTargets[TargetType],"")</f>
        <v>BUILDING</v>
      </c>
      <c r="F112" t="str">
        <f>_xlfn.XLOOKUP(tblTargetStatus[[#This Row],[TargetID]],tblTargets[TargetID],tblTargets[StateType])</f>
        <v/>
      </c>
      <c r="G112">
        <f>_xlfn.LET(
_xlpm.id,tblTargetStatus[[#This Row],[TargetID]],
_xlpm.depCount,COUNTIF(tblDependencies[TargetID],_xlpm.id),
_xlpm.objCount,COUNTIF(tblQuestObjectives[QuestTargetID],_xlpm.id),
_xlpm.depCount+_xlpm.objCount
)</f>
        <v>1</v>
      </c>
      <c r="H112">
        <f>tblTargetStatus[[#This Row],[DependencyCount]]</f>
        <v>1</v>
      </c>
      <c r="I112" cm="1">
        <f t="array" ref="I1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2">
        <f>tblTargetStatus[[#This Row],[CompletedDependencyCount]]</f>
        <v>0</v>
      </c>
      <c r="K112" t="b">
        <f>tblTargetStatus[[#This Row],[CompletedDependencies]]=tblTargetStatus[[#This Row],[TotalDependencies]]</f>
        <v>0</v>
      </c>
      <c r="L112">
        <f>tblTargetStatus[[#This Row],[TotalDependencies]]-tblTargetStatus[[#This Row],[CompletedDependencies]]</f>
        <v>1</v>
      </c>
      <c r="M112" t="str" cm="1">
        <f t="array" ref="M1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112" t="str">
        <f>IF(tblTargetStatus[[#This Row],[FirstMissingDependencyID]]="","",_xlfn.XLOOKUP(tblTargetStatus[[#This Row],[FirstMissingDependencyID]],tblTargets[TargetID],tblTargets[DisplayName],tblTargetStatus[[#This Row],[FirstMissingDependencyID]]))</f>
        <v>Train Lv 1</v>
      </c>
      <c r="O112" s="2" t="str" cm="1">
        <f t="array" ref="O1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ruby,500 coin,600 plank,200 steel,12 mechanism,12 glass,15 blueprint</v>
      </c>
      <c r="P112" t="str">
        <f>IF(tblTargetStatus[[#This Row],[FirstMissingDependencyID]]="","",_xlfn.XLOOKUP(tblTargetStatus[[#This Row],[FirstMissingDependencyID]],tblTargetStatus[TargetID],tblTargetStatus[Status],""))</f>
        <v>BLOCKED</v>
      </c>
      <c r="Q112" t="str">
        <f>IF(
 tblTargetStatus[[#This Row],[Status]]&lt;&gt;"BLOCKED",
 tblTargetStatus[[#This Row],[Status]],
 IF(
  AND(
   tblTargetStatus[[#This Row],[MissingDependencies]]=1,
   tblTargetStatus[[#This Row],[FirstMissingStatus]]="READY"
  ),
  "ONE AWAY",
  "BLOCKED"
 )
)</f>
        <v>BLOCKED</v>
      </c>
      <c r="R112" t="str">
        <f>IF(
 OR(
  tblTargetStatus[[#This Row],[StateType]]="CHARACTER",
  RIGHT(tblTargetStatus[[#This Row],[TargetID]],6)=".maxed"
 ),
 0,
 _xlfn.LET(
  _xlpm.sort,
   _xlfn.XLOOKUP(
    tblTargetStatus[[#This Row],[TargetID]],
    tblChecklist[TargetID],
    tblChecklist[PlayerSort],
    0
   ),
  IF(_xlpm.sort=0,500,_xlpm.sort)
 )
)</f>
        <v/>
      </c>
      <c r="S112" t="str" cm="1">
        <f t="array" ref="S11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Train: Passenger Carriage Lv 2, Journey Through Japan By Train Finished</v>
      </c>
      <c r="T112" t="str">
        <f>_xlfn.XLOOKUP(tblTargetStatus[[#This Row],[TargetID]],tblTargets[TargetID],tblTargets[CompletionMethod],"")</f>
        <v>PLAYER</v>
      </c>
      <c r="U112" t="b">
        <f>COUNTIF(
    tblCost[TargetID],
    tblTargetStatus[[#This Row],[TargetID]]
)&gt;0</f>
        <v>1</v>
      </c>
      <c r="V112" s="81">
        <f>IF(tblTargetStatus[[#This Row],[HasCost]]=FALSE,
"N/A",
_xlfn.XLOOKUP(
tblTargetStatus[[#This Row],[TargetID]],
tblCost[TargetID],
tblCost[FundingPercent],
""
)
)</f>
        <v>0</v>
      </c>
      <c r="W112">
        <f>IF(
COUNTIF(tblCost[TargetID],tblTargetStatus[[#This Row],[TargetID]])=0,
"",
_xlfn.XLOOKUP(
tblTargetStatus[[#This Row],[TargetID]],
tblCost[TargetID],
tblCost[RemainingRequirements],
""
)
)</f>
        <v>7</v>
      </c>
      <c r="X112" s="79" t="b">
        <f>IF(tblTargetStatus[[#This Row],[HasCost]]=FALSE,"N/A",_xlfn.XLOOKUP(
tblTargetStatus[[#This Row],[TargetID]],
tblCost[TargetID],
tblCost[TargetFunded],
TRUE
))</f>
        <v>0</v>
      </c>
      <c r="Y112" t="str" cm="1">
        <f t="array" ref="Y112">_xlfn.TEXTJOIN(
", ",
TRUE,
_xlfn._xlws.FILTER(
tblCost[ResourceID]&amp;": "&amp;tblCost[QuantityRequired],
(tblCost[TargetID]=tblTargetStatus[[#This Row],[TargetID]])*
(tblCost[PlayerPaid]=FALSE),
""
)
)</f>
        <v>ruby: 2, coin: 500, plank: 600, steel: 200, mechanism: 12, glass: 12, blueprint: 15</v>
      </c>
      <c r="Z1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2" t="str" cm="1">
        <f t="array" ref="AA11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3" spans="1:27">
      <c r="A113" t="s">
        <v>145</v>
      </c>
      <c r="B113" t="str">
        <f>_xlfn.XLOOKUP(tblTargetStatus[[#This Row],[TargetID]],tblTargets[TargetID],tblTargets[DisplayName],"")</f>
        <v>Train: Passenger Carriage Lv 2</v>
      </c>
      <c r="C113" t="str">
        <f>IF(tblTargetStatus[[#This Row],[PlayerCompleted]],"COMPLETED",IF(tblTargetStatus[[#This Row],[MissingDependencies]]=0,"READY","BLOCKED"))</f>
        <v>BLOCKED</v>
      </c>
      <c r="D1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3" t="str">
        <f>_xlfn.XLOOKUP(tblTargetStatus[[#This Row],[TargetID]],tblTargets[TargetID],tblTargets[TargetType],"")</f>
        <v>BUILDING</v>
      </c>
      <c r="F113" t="str">
        <f>_xlfn.XLOOKUP(tblTargetStatus[[#This Row],[TargetID]],tblTargets[TargetID],tblTargets[StateType])</f>
        <v/>
      </c>
      <c r="G113">
        <f>_xlfn.LET(
_xlpm.id,tblTargetStatus[[#This Row],[TargetID]],
_xlpm.depCount,COUNTIF(tblDependencies[TargetID],_xlpm.id),
_xlpm.objCount,COUNTIF(tblQuestObjectives[QuestTargetID],_xlpm.id),
_xlpm.depCount+_xlpm.objCount
)</f>
        <v>1</v>
      </c>
      <c r="H113">
        <f>tblTargetStatus[[#This Row],[DependencyCount]]</f>
        <v>1</v>
      </c>
      <c r="I113" cm="1">
        <f t="array" ref="I1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3">
        <f>tblTargetStatus[[#This Row],[CompletedDependencyCount]]</f>
        <v>0</v>
      </c>
      <c r="K113" t="b">
        <f>tblTargetStatus[[#This Row],[CompletedDependencies]]=tblTargetStatus[[#This Row],[TotalDependencies]]</f>
        <v>0</v>
      </c>
      <c r="L113">
        <f>tblTargetStatus[[#This Row],[TotalDependencies]]-tblTargetStatus[[#This Row],[CompletedDependencies]]</f>
        <v>1</v>
      </c>
      <c r="M113" t="str" cm="1">
        <f t="array" ref="M1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building.train_passenger_carriage@1</v>
      </c>
      <c r="N113" t="str">
        <f>IF(tblTargetStatus[[#This Row],[FirstMissingDependencyID]]="","",_xlfn.XLOOKUP(tblTargetStatus[[#This Row],[FirstMissingDependencyID]],tblTargets[TargetID],tblTargets[DisplayName],tblTargetStatus[[#This Row],[FirstMissingDependencyID]]))</f>
        <v>Train: Passenger Carriage Lv 1</v>
      </c>
      <c r="O113" t="str" cm="1">
        <f t="array" ref="O1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ruby,500 coin,600 plank,200 steel,12 mechanism,12 glass</v>
      </c>
      <c r="P113" t="str">
        <f>IF(tblTargetStatus[[#This Row],[FirstMissingDependencyID]]="","",_xlfn.XLOOKUP(tblTargetStatus[[#This Row],[FirstMissingDependencyID]],tblTargetStatus[TargetID],tblTargetStatus[Status],""))</f>
        <v>BLOCKED</v>
      </c>
      <c r="Q113" t="str">
        <f>IF(
 tblTargetStatus[[#This Row],[Status]]&lt;&gt;"BLOCKED",
 tblTargetStatus[[#This Row],[Status]],
 IF(
  AND(
   tblTargetStatus[[#This Row],[MissingDependencies]]=1,
   tblTargetStatus[[#This Row],[FirstMissingStatus]]="READY"
  ),
  "ONE AWAY",
  "BLOCKED"
 )
)</f>
        <v>BLOCKED</v>
      </c>
      <c r="R113" t="str">
        <f>IF(
 OR(
  tblTargetStatus[[#This Row],[StateType]]="CHARACTER",
  RIGHT(tblTargetStatus[[#This Row],[TargetID]],6)=".maxed"
 ),
 0,
 _xlfn.LET(
  _xlpm.sort,
   _xlfn.XLOOKUP(
    tblTargetStatus[[#This Row],[TargetID]],
    tblChecklist[TargetID],
    tblChecklist[PlayerSort],
    0
   ),
  IF(_xlpm.sort=0,500,_xlpm.sort)
 )
)</f>
        <v/>
      </c>
      <c r="S113" t="str" cm="1">
        <f t="array" ref="S11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13" t="str">
        <f>_xlfn.XLOOKUP(tblTargetStatus[[#This Row],[TargetID]],tblTargets[TargetID],tblTargets[CompletionMethod],"")</f>
        <v>PLAYER</v>
      </c>
      <c r="U113" t="b">
        <f>COUNTIF(
    tblCost[TargetID],
    tblTargetStatus[[#This Row],[TargetID]]
)&gt;0</f>
        <v>1</v>
      </c>
      <c r="V113" s="81">
        <f>IF(tblTargetStatus[[#This Row],[HasCost]]=FALSE,
"N/A",
_xlfn.XLOOKUP(
tblTargetStatus[[#This Row],[TargetID]],
tblCost[TargetID],
tblCost[FundingPercent],
""
)
)</f>
        <v>0</v>
      </c>
      <c r="W113">
        <f>IF(
COUNTIF(tblCost[TargetID],tblTargetStatus[[#This Row],[TargetID]])=0,
"",
_xlfn.XLOOKUP(
tblTargetStatus[[#This Row],[TargetID]],
tblCost[TargetID],
tblCost[RemainingRequirements],
""
)
)</f>
        <v>6</v>
      </c>
      <c r="X113" s="79" t="b">
        <f>IF(tblTargetStatus[[#This Row],[HasCost]]=FALSE,"N/A",_xlfn.XLOOKUP(
tblTargetStatus[[#This Row],[TargetID]],
tblCost[TargetID],
tblCost[TargetFunded],
TRUE
))</f>
        <v>0</v>
      </c>
      <c r="Y113" t="str" cm="1">
        <f t="array" ref="Y113">_xlfn.TEXTJOIN(
", ",
TRUE,
_xlfn._xlws.FILTER(
tblCost[ResourceID]&amp;": "&amp;tblCost[QuantityRequired],
(tblCost[TargetID]=tblTargetStatus[[#This Row],[TargetID]])*
(tblCost[PlayerPaid]=FALSE),
""
)
)</f>
        <v>ruby: 2, coin: 500, plank: 600, steel: 200, mechanism: 12, glass: 12</v>
      </c>
      <c r="Z1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3" t="str" cm="1">
        <f t="array" ref="AA11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4" spans="1:27">
      <c r="A114" t="s">
        <v>2688</v>
      </c>
      <c r="B114" t="str">
        <f>_xlfn.XLOOKUP(tblTargetStatus[[#This Row],[TargetID]],tblTargets[TargetID],tblTargets[DisplayName],"")</f>
        <v>warehouse maxed</v>
      </c>
      <c r="C114" t="str">
        <f>IF(tblTargetStatus[[#This Row],[PlayerCompleted]],"COMPLETED",IF(tblTargetStatus[[#This Row],[MissingDependencies]]=0,"READY","BLOCKED"))</f>
        <v>BLOCKED</v>
      </c>
      <c r="D1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4" t="str">
        <f>_xlfn.XLOOKUP(tblTargetStatus[[#This Row],[TargetID]],tblTargets[TargetID],tblTargets[TargetType],"")</f>
        <v>BUILDING</v>
      </c>
      <c r="F114" t="str">
        <f>_xlfn.XLOOKUP(tblTargetStatus[[#This Row],[TargetID]],tblTargets[TargetID],tblTargets[StateType])</f>
        <v/>
      </c>
      <c r="G114">
        <f>_xlfn.LET(
_xlpm.id,tblTargetStatus[[#This Row],[TargetID]],
_xlpm.depCount,COUNTIF(tblDependencies[TargetID],_xlpm.id),
_xlpm.objCount,COUNTIF(tblQuestObjectives[QuestTargetID],_xlpm.id),
_xlpm.depCount+_xlpm.objCount
)</f>
        <v>1</v>
      </c>
      <c r="H114">
        <f>tblTargetStatus[[#This Row],[DependencyCount]]</f>
        <v>1</v>
      </c>
      <c r="I114" cm="1">
        <f t="array" ref="I1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4">
        <f>tblTargetStatus[[#This Row],[CompletedDependencyCount]]</f>
        <v>0</v>
      </c>
      <c r="K114" t="b">
        <f>tblTargetStatus[[#This Row],[CompletedDependencies]]=tblTargetStatus[[#This Row],[TotalDependencies]]</f>
        <v>0</v>
      </c>
      <c r="L114">
        <f>tblTargetStatus[[#This Row],[TotalDependencies]]-tblTargetStatus[[#This Row],[CompletedDependencies]]</f>
        <v>1</v>
      </c>
      <c r="M114" t="str" cm="1">
        <f t="array" ref="M1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building.warehouse@7</v>
      </c>
      <c r="N114" t="str">
        <f>IF(tblTargetStatus[[#This Row],[FirstMissingDependencyID]]="","",_xlfn.XLOOKUP(tblTargetStatus[[#This Row],[FirstMissingDependencyID]],tblTargets[TargetID],tblTargets[DisplayName],tblTargetStatus[[#This Row],[FirstMissingDependencyID]]))</f>
        <v>Warehouse Lv 7</v>
      </c>
      <c r="O114" s="2" t="str" cm="1">
        <f t="array" ref="O1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14" t="str">
        <f>IF(tblTargetStatus[[#This Row],[FirstMissingDependencyID]]="","",_xlfn.XLOOKUP(tblTargetStatus[[#This Row],[FirstMissingDependencyID]],tblTargetStatus[TargetID],tblTargetStatus[Status],""))</f>
        <v>BLOCKED</v>
      </c>
      <c r="Q114" t="str">
        <f>IF(
 tblTargetStatus[[#This Row],[Status]]&lt;&gt;"BLOCKED",
 tblTargetStatus[[#This Row],[Status]],
 IF(
  AND(
   tblTargetStatus[[#This Row],[MissingDependencies]]=1,
   tblTargetStatus[[#This Row],[FirstMissingStatus]]="READY"
  ),
  "ONE AWAY",
  "BLOCKED"
 )
)</f>
        <v>BLOCKED</v>
      </c>
      <c r="R114">
        <f>IF(
 OR(
  tblTargetStatus[[#This Row],[StateType]]="CHARACTER",
  RIGHT(tblTargetStatus[[#This Row],[TargetID]],6)=".maxed"
 ),
 0,
 _xlfn.LET(
  _xlpm.sort,
   _xlfn.XLOOKUP(
    tblTargetStatus[[#This Row],[TargetID]],
    tblChecklist[TargetID],
    tblChecklist[PlayerSort],
    0
   ),
  IF(_xlpm.sort=0,500,_xlpm.sort)
 )
)</f>
        <v>0</v>
      </c>
      <c r="S114" t="str" cm="1">
        <f t="array" ref="S11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Warehouse - Stackable Racks Lvl 1, Warehouse - Stackable Racks Lvl 2, Warehouse - Stackable Racks Lvl 3</v>
      </c>
      <c r="T114" t="str">
        <f>_xlfn.XLOOKUP(tblTargetStatus[[#This Row],[TargetID]],tblTargets[TargetID],tblTargets[CompletionMethod],"")</f>
        <v>AUTO</v>
      </c>
      <c r="U114" t="b">
        <f>COUNTIF(
    tblCost[TargetID],
    tblTargetStatus[[#This Row],[TargetID]]
)&gt;0</f>
        <v>0</v>
      </c>
      <c r="V114" s="81" t="str">
        <f>IF(tblTargetStatus[[#This Row],[HasCost]]=FALSE,
"N/A",
_xlfn.XLOOKUP(
tblTargetStatus[[#This Row],[TargetID]],
tblCost[TargetID],
tblCost[FundingPercent],
""
)
)</f>
        <v>N/A</v>
      </c>
      <c r="W114" t="str">
        <f>IF(
COUNTIF(tblCost[TargetID],tblTargetStatus[[#This Row],[TargetID]])=0,
"",
_xlfn.XLOOKUP(
tblTargetStatus[[#This Row],[TargetID]],
tblCost[TargetID],
tblCost[RemainingRequirements],
""
)
)</f>
        <v/>
      </c>
      <c r="X114" s="79" t="str">
        <f>IF(tblTargetStatus[[#This Row],[HasCost]]=FALSE,"N/A",_xlfn.XLOOKUP(
tblTargetStatus[[#This Row],[TargetID]],
tblCost[TargetID],
tblCost[TargetFunded],
TRUE
))</f>
        <v>N/A</v>
      </c>
      <c r="Y114" t="str" cm="1">
        <f t="array" ref="Y114">_xlfn.TEXTJOIN(
", ",
TRUE,
_xlfn._xlws.FILTER(
tblCost[ResourceID]&amp;": "&amp;tblCost[QuantityRequired],
(tblCost[TargetID]=tblTargetStatus[[#This Row],[TargetID]])*
(tblCost[PlayerPaid]=FALSE),
""
)
)</f>
        <v/>
      </c>
      <c r="Z1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4" t="str" cm="1">
        <f t="array" ref="AA11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5" spans="1:27">
      <c r="A115" t="s">
        <v>146</v>
      </c>
      <c r="B115" t="str">
        <f>_xlfn.XLOOKUP(tblTargetStatus[[#This Row],[TargetID]],tblTargets[TargetID],tblTargets[DisplayName],"")</f>
        <v>Warehouse Lv 1</v>
      </c>
      <c r="C115" t="str">
        <f>IF(tblTargetStatus[[#This Row],[PlayerCompleted]],"COMPLETED",IF(tblTargetStatus[[#This Row],[MissingDependencies]]=0,"READY","BLOCKED"))</f>
        <v>BLOCKED</v>
      </c>
      <c r="D1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5" t="str">
        <f>_xlfn.XLOOKUP(tblTargetStatus[[#This Row],[TargetID]],tblTargets[TargetID],tblTargets[TargetType],"")</f>
        <v>BUILDING</v>
      </c>
      <c r="F115" t="str">
        <f>_xlfn.XLOOKUP(tblTargetStatus[[#This Row],[TargetID]],tblTargets[TargetID],tblTargets[StateType])</f>
        <v/>
      </c>
      <c r="G115">
        <f>_xlfn.LET(
_xlpm.id,tblTargetStatus[[#This Row],[TargetID]],
_xlpm.depCount,COUNTIF(tblDependencies[TargetID],_xlpm.id),
_xlpm.objCount,COUNTIF(tblQuestObjectives[QuestTargetID],_xlpm.id),
_xlpm.depCount+_xlpm.objCount
)</f>
        <v>1</v>
      </c>
      <c r="H115">
        <f>tblTargetStatus[[#This Row],[DependencyCount]]</f>
        <v>1</v>
      </c>
      <c r="I115" cm="1">
        <f t="array" ref="I1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5">
        <f>tblTargetStatus[[#This Row],[CompletedDependencyCount]]</f>
        <v>0</v>
      </c>
      <c r="K115" t="b">
        <f>tblTargetStatus[[#This Row],[CompletedDependencies]]=tblTargetStatus[[#This Row],[TotalDependencies]]</f>
        <v>0</v>
      </c>
      <c r="L115">
        <f>tblTargetStatus[[#This Row],[TotalDependencies]]-tblTargetStatus[[#This Row],[CompletedDependencies]]</f>
        <v>1</v>
      </c>
      <c r="M115" t="str" cm="1">
        <f t="array" ref="M1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state.character_level@5</v>
      </c>
      <c r="N115" t="str">
        <f>IF(tblTargetStatus[[#This Row],[FirstMissingDependencyID]]="","",_xlfn.XLOOKUP(tblTargetStatus[[#This Row],[FirstMissingDependencyID]],tblTargets[TargetID],tblTargets[DisplayName],tblTargetStatus[[#This Row],[FirstMissingDependencyID]]))</f>
        <v>Character Level@5</v>
      </c>
      <c r="O115" s="2" t="str" cm="1">
        <f t="array" ref="O1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ruby,100 coin,60 wood,60 stone</v>
      </c>
      <c r="P115" t="str">
        <f>IF(tblTargetStatus[[#This Row],[FirstMissingDependencyID]]="","",_xlfn.XLOOKUP(tblTargetStatus[[#This Row],[FirstMissingDependencyID]],tblTargetStatus[TargetID],tblTargetStatus[Status],""))</f>
        <v>READY</v>
      </c>
      <c r="Q115" t="str">
        <f>IF(
 tblTargetStatus[[#This Row],[Status]]&lt;&gt;"BLOCKED",
 tblTargetStatus[[#This Row],[Status]],
 IF(
  AND(
   tblTargetStatus[[#This Row],[MissingDependencies]]=1,
   tblTargetStatus[[#This Row],[FirstMissingStatus]]="READY"
  ),
  "ONE AWAY",
  "BLOCKED"
 )
)</f>
        <v>ONE AWAY</v>
      </c>
      <c r="R115">
        <f>IF(
 OR(
  tblTargetStatus[[#This Row],[StateType]]="CHARACTER",
  RIGHT(tblTargetStatus[[#This Row],[TargetID]],6)=".maxed"
 ),
 0,
 _xlfn.LET(
  _xlpm.sort,
   _xlfn.XLOOKUP(
    tblTargetStatus[[#This Row],[TargetID]],
    tblChecklist[TargetID],
    tblChecklist[PlayerSort],
    0
   ),
  IF(_xlpm.sort=0,500,_xlpm.sort)
 )
)</f>
        <v>2</v>
      </c>
      <c r="S115" t="str" cm="1">
        <f t="array" ref="S11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Pier Lv 1, Warehouse Lv 2, Shogun's Katana Chapter 2 Finished</v>
      </c>
      <c r="T115" t="str">
        <f>_xlfn.XLOOKUP(tblTargetStatus[[#This Row],[TargetID]],tblTargets[TargetID],tblTargets[CompletionMethod],"")</f>
        <v>PLAYER</v>
      </c>
      <c r="U115" t="b">
        <f>COUNTIF(
    tblCost[TargetID],
    tblTargetStatus[[#This Row],[TargetID]]
)&gt;0</f>
        <v>1</v>
      </c>
      <c r="V115" s="81">
        <f>IF(tblTargetStatus[[#This Row],[HasCost]]=FALSE,
"N/A",
_xlfn.XLOOKUP(
tblTargetStatus[[#This Row],[TargetID]],
tblCost[TargetID],
tblCost[FundingPercent],
""
)
)</f>
        <v>0</v>
      </c>
      <c r="W115">
        <f>IF(
COUNTIF(tblCost[TargetID],tblTargetStatus[[#This Row],[TargetID]])=0,
"",
_xlfn.XLOOKUP(
tblTargetStatus[[#This Row],[TargetID]],
tblCost[TargetID],
tblCost[RemainingRequirements],
""
)
)</f>
        <v>4</v>
      </c>
      <c r="X115" s="79" t="b">
        <f>IF(tblTargetStatus[[#This Row],[HasCost]]=FALSE,"N/A",_xlfn.XLOOKUP(
tblTargetStatus[[#This Row],[TargetID]],
tblCost[TargetID],
tblCost[TargetFunded],
TRUE
))</f>
        <v>0</v>
      </c>
      <c r="Y115" t="str" cm="1">
        <f t="array" ref="Y115">_xlfn.TEXTJOIN(
", ",
TRUE,
_xlfn._xlws.FILTER(
tblCost[ResourceID]&amp;": "&amp;tblCost[QuantityRequired],
(tblCost[TargetID]=tblTargetStatus[[#This Row],[TargetID]])*
(tblCost[PlayerPaid]=FALSE),
""
)
)</f>
        <v>ruby: 1, coin: 100, wood: 60, stone: 60</v>
      </c>
      <c r="Z1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5" t="str" cm="1">
        <f t="array" ref="AA11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6" spans="1:27">
      <c r="A116" t="s">
        <v>148</v>
      </c>
      <c r="B116" t="str">
        <f>_xlfn.XLOOKUP(tblTargetStatus[[#This Row],[TargetID]],tblTargets[TargetID],tblTargets[DisplayName],"")</f>
        <v>Warehouse Lv 2</v>
      </c>
      <c r="C116" t="str">
        <f>IF(tblTargetStatus[[#This Row],[PlayerCompleted]],"COMPLETED",IF(tblTargetStatus[[#This Row],[MissingDependencies]]=0,"READY","BLOCKED"))</f>
        <v>BLOCKED</v>
      </c>
      <c r="D1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6" t="str">
        <f>_xlfn.XLOOKUP(tblTargetStatus[[#This Row],[TargetID]],tblTargets[TargetID],tblTargets[TargetType],"")</f>
        <v>BUILDING</v>
      </c>
      <c r="F116" t="str">
        <f>_xlfn.XLOOKUP(tblTargetStatus[[#This Row],[TargetID]],tblTargets[TargetID],tblTargets[StateType])</f>
        <v/>
      </c>
      <c r="G116">
        <f>_xlfn.LET(
_xlpm.id,tblTargetStatus[[#This Row],[TargetID]],
_xlpm.depCount,COUNTIF(tblDependencies[TargetID],_xlpm.id),
_xlpm.objCount,COUNTIF(tblQuestObjectives[QuestTargetID],_xlpm.id),
_xlpm.depCount+_xlpm.objCount
)</f>
        <v>2</v>
      </c>
      <c r="H116">
        <f>tblTargetStatus[[#This Row],[DependencyCount]]</f>
        <v>2</v>
      </c>
      <c r="I116" cm="1">
        <f t="array" ref="I1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6">
        <f>tblTargetStatus[[#This Row],[CompletedDependencyCount]]</f>
        <v>0</v>
      </c>
      <c r="K116" t="b">
        <f>tblTargetStatus[[#This Row],[CompletedDependencies]]=tblTargetStatus[[#This Row],[TotalDependencies]]</f>
        <v>0</v>
      </c>
      <c r="L116">
        <f>tblTargetStatus[[#This Row],[TotalDependencies]]-tblTargetStatus[[#This Row],[CompletedDependencies]]</f>
        <v>2</v>
      </c>
      <c r="M116" t="str" cm="1">
        <f t="array" ref="M1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building.guild@2</v>
      </c>
      <c r="N116" t="str">
        <f>IF(tblTargetStatus[[#This Row],[FirstMissingDependencyID]]="","",_xlfn.XLOOKUP(tblTargetStatus[[#This Row],[FirstMissingDependencyID]],tblTargets[TargetID],tblTargets[DisplayName],tblTargetStatus[[#This Row],[FirstMissingDependencyID]]))</f>
        <v>Guild Lv 2</v>
      </c>
      <c r="O116" s="2" t="str" cm="1">
        <f t="array" ref="O1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ruby,200 coin,80 wood,80 stone</v>
      </c>
      <c r="P116" t="str">
        <f>IF(tblTargetStatus[[#This Row],[FirstMissingDependencyID]]="","",_xlfn.XLOOKUP(tblTargetStatus[[#This Row],[FirstMissingDependencyID]],tblTargetStatus[TargetID],tblTargetStatus[Status],""))</f>
        <v>READY</v>
      </c>
      <c r="Q116" t="str">
        <f>IF(
 tblTargetStatus[[#This Row],[Status]]&lt;&gt;"BLOCKED",
 tblTargetStatus[[#This Row],[Status]],
 IF(
  AND(
   tblTargetStatus[[#This Row],[MissingDependencies]]=1,
   tblTargetStatus[[#This Row],[FirstMissingStatus]]="READY"
  ),
  "ONE AWAY",
  "BLOCKED"
 )
)</f>
        <v>BLOCKED</v>
      </c>
      <c r="R116">
        <f>IF(
 OR(
  tblTargetStatus[[#This Row],[StateType]]="CHARACTER",
  RIGHT(tblTargetStatus[[#This Row],[TargetID]],6)=".maxed"
 ),
 0,
 _xlfn.LET(
  _xlpm.sort,
   _xlfn.XLOOKUP(
    tblTargetStatus[[#This Row],[TargetID]],
    tblChecklist[TargetID],
    tblChecklist[PlayerSort],
    0
   ),
  IF(_xlpm.sort=0,500,_xlpm.sort)
 )
)</f>
        <v>94</v>
      </c>
      <c r="S116" t="str" cm="1">
        <f t="array" ref="S11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Warehouse Lv 3</v>
      </c>
      <c r="T116" t="str">
        <f>_xlfn.XLOOKUP(tblTargetStatus[[#This Row],[TargetID]],tblTargets[TargetID],tblTargets[CompletionMethod],"")</f>
        <v>PLAYER</v>
      </c>
      <c r="U116" t="b">
        <f>COUNTIF(
    tblCost[TargetID],
    tblTargetStatus[[#This Row],[TargetID]]
)&gt;0</f>
        <v>1</v>
      </c>
      <c r="V116" s="81">
        <f>IF(tblTargetStatus[[#This Row],[HasCost]]=FALSE,
"N/A",
_xlfn.XLOOKUP(
tblTargetStatus[[#This Row],[TargetID]],
tblCost[TargetID],
tblCost[FundingPercent],
""
)
)</f>
        <v>0</v>
      </c>
      <c r="W116">
        <f>IF(
COUNTIF(tblCost[TargetID],tblTargetStatus[[#This Row],[TargetID]])=0,
"",
_xlfn.XLOOKUP(
tblTargetStatus[[#This Row],[TargetID]],
tblCost[TargetID],
tblCost[RemainingRequirements],
""
)
)</f>
        <v>4</v>
      </c>
      <c r="X116" s="79" t="b">
        <f>IF(tblTargetStatus[[#This Row],[HasCost]]=FALSE,"N/A",_xlfn.XLOOKUP(
tblTargetStatus[[#This Row],[TargetID]],
tblCost[TargetID],
tblCost[TargetFunded],
TRUE
))</f>
        <v>0</v>
      </c>
      <c r="Y116" t="str" cm="1">
        <f t="array" ref="Y116">_xlfn.TEXTJOIN(
", ",
TRUE,
_xlfn._xlws.FILTER(
tblCost[ResourceID]&amp;": "&amp;tblCost[QuantityRequired],
(tblCost[TargetID]=tblTargetStatus[[#This Row],[TargetID]])*
(tblCost[PlayerPaid]=FALSE),
""
)
)</f>
        <v>ruby: 2, coin: 200, wood: 80, stone: 80</v>
      </c>
      <c r="Z1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6" t="str" cm="1">
        <f t="array" ref="AA11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7" spans="1:27">
      <c r="A117" t="s">
        <v>149</v>
      </c>
      <c r="B117" t="str">
        <f>_xlfn.XLOOKUP(tblTargetStatus[[#This Row],[TargetID]],tblTargets[TargetID],tblTargets[DisplayName],"")</f>
        <v>Warehouse Lv 3</v>
      </c>
      <c r="C117" t="str">
        <f>IF(tblTargetStatus[[#This Row],[PlayerCompleted]],"COMPLETED",IF(tblTargetStatus[[#This Row],[MissingDependencies]]=0,"READY","BLOCKED"))</f>
        <v>BLOCKED</v>
      </c>
      <c r="D1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7" t="str">
        <f>_xlfn.XLOOKUP(tblTargetStatus[[#This Row],[TargetID]],tblTargets[TargetID],tblTargets[TargetType],"")</f>
        <v>BUILDING</v>
      </c>
      <c r="F117" t="str">
        <f>_xlfn.XLOOKUP(tblTargetStatus[[#This Row],[TargetID]],tblTargets[TargetID],tblTargets[StateType])</f>
        <v/>
      </c>
      <c r="G117">
        <f>_xlfn.LET(
_xlpm.id,tblTargetStatus[[#This Row],[TargetID]],
_xlpm.depCount,COUNTIF(tblDependencies[TargetID],_xlpm.id),
_xlpm.objCount,COUNTIF(tblQuestObjectives[QuestTargetID],_xlpm.id),
_xlpm.depCount+_xlpm.objCount
)</f>
        <v>2</v>
      </c>
      <c r="H117">
        <f>tblTargetStatus[[#This Row],[DependencyCount]]</f>
        <v>2</v>
      </c>
      <c r="I117" cm="1">
        <f t="array" ref="I1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7">
        <f>tblTargetStatus[[#This Row],[CompletedDependencyCount]]</f>
        <v>0</v>
      </c>
      <c r="K117" t="b">
        <f>tblTargetStatus[[#This Row],[CompletedDependencies]]=tblTargetStatus[[#This Row],[TotalDependencies]]</f>
        <v>0</v>
      </c>
      <c r="L117">
        <f>tblTargetStatus[[#This Row],[TotalDependencies]]-tblTargetStatus[[#This Row],[CompletedDependencies]]</f>
        <v>2</v>
      </c>
      <c r="M117" t="str" cm="1">
        <f t="array" ref="M1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building.guild@3</v>
      </c>
      <c r="N117" t="str">
        <f>IF(tblTargetStatus[[#This Row],[FirstMissingDependencyID]]="","",_xlfn.XLOOKUP(tblTargetStatus[[#This Row],[FirstMissingDependencyID]],tblTargets[TargetID],tblTargets[DisplayName],tblTargetStatus[[#This Row],[FirstMissingDependencyID]]))</f>
        <v>Guild Lv 3</v>
      </c>
      <c r="O117" t="str" cm="1">
        <f t="array" ref="O1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ruby,300 coin,200 beam,100 stone</v>
      </c>
      <c r="P117" t="str">
        <f>IF(tblTargetStatus[[#This Row],[FirstMissingDependencyID]]="","",_xlfn.XLOOKUP(tblTargetStatus[[#This Row],[FirstMissingDependencyID]],tblTargetStatus[TargetID],tblTargetStatus[Status],""))</f>
        <v>BLOCKED</v>
      </c>
      <c r="Q117" t="str">
        <f>IF(
 tblTargetStatus[[#This Row],[Status]]&lt;&gt;"BLOCKED",
 tblTargetStatus[[#This Row],[Status]],
 IF(
  AND(
   tblTargetStatus[[#This Row],[MissingDependencies]]=1,
   tblTargetStatus[[#This Row],[FirstMissingStatus]]="READY"
  ),
  "ONE AWAY",
  "BLOCKED"
 )
)</f>
        <v>BLOCKED</v>
      </c>
      <c r="R117">
        <f>IF(
 OR(
  tblTargetStatus[[#This Row],[StateType]]="CHARACTER",
  RIGHT(tblTargetStatus[[#This Row],[TargetID]],6)=".maxed"
 ),
 0,
 _xlfn.LET(
  _xlpm.sort,
   _xlfn.XLOOKUP(
    tblTargetStatus[[#This Row],[TargetID]],
    tblChecklist[TargetID],
    tblChecklist[PlayerSort],
    0
   ),
  IF(_xlpm.sort=0,500,_xlpm.sort)
 )
)</f>
        <v>95</v>
      </c>
      <c r="S117" t="str" cm="1">
        <f t="array" ref="S11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Warehouse Lv 4</v>
      </c>
      <c r="T117" t="str">
        <f>_xlfn.XLOOKUP(tblTargetStatus[[#This Row],[TargetID]],tblTargets[TargetID],tblTargets[CompletionMethod],"")</f>
        <v>PLAYER</v>
      </c>
      <c r="U117" t="b">
        <f>COUNTIF(
    tblCost[TargetID],
    tblTargetStatus[[#This Row],[TargetID]]
)&gt;0</f>
        <v>1</v>
      </c>
      <c r="V117" s="81">
        <f>IF(tblTargetStatus[[#This Row],[HasCost]]=FALSE,
"N/A",
_xlfn.XLOOKUP(
tblTargetStatus[[#This Row],[TargetID]],
tblCost[TargetID],
tblCost[FundingPercent],
""
)
)</f>
        <v>0</v>
      </c>
      <c r="W117">
        <f>IF(
COUNTIF(tblCost[TargetID],tblTargetStatus[[#This Row],[TargetID]])=0,
"",
_xlfn.XLOOKUP(
tblTargetStatus[[#This Row],[TargetID]],
tblCost[TargetID],
tblCost[RemainingRequirements],
""
)
)</f>
        <v>4</v>
      </c>
      <c r="X117" s="79" t="b">
        <f>IF(tblTargetStatus[[#This Row],[HasCost]]=FALSE,"N/A",_xlfn.XLOOKUP(
tblTargetStatus[[#This Row],[TargetID]],
tblCost[TargetID],
tblCost[TargetFunded],
TRUE
))</f>
        <v>0</v>
      </c>
      <c r="Y117" t="str" cm="1">
        <f t="array" ref="Y117">_xlfn.TEXTJOIN(
", ",
TRUE,
_xlfn._xlws.FILTER(
tblCost[ResourceID]&amp;": "&amp;tblCost[QuantityRequired],
(tblCost[TargetID]=tblTargetStatus[[#This Row],[TargetID]])*
(tblCost[PlayerPaid]=FALSE),
""
)
)</f>
        <v>ruby: 3, coin: 300, beam: 200, stone: 100</v>
      </c>
      <c r="Z1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7" t="str" cm="1">
        <f t="array" ref="AA11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8" spans="1:27">
      <c r="A118" t="s">
        <v>150</v>
      </c>
      <c r="B118" t="str">
        <f>_xlfn.XLOOKUP(tblTargetStatus[[#This Row],[TargetID]],tblTargets[TargetID],tblTargets[DisplayName],"")</f>
        <v>Warehouse Lv 4</v>
      </c>
      <c r="C118" t="str">
        <f>IF(tblTargetStatus[[#This Row],[PlayerCompleted]],"COMPLETED",IF(tblTargetStatus[[#This Row],[MissingDependencies]]=0,"READY","BLOCKED"))</f>
        <v>BLOCKED</v>
      </c>
      <c r="D1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8" t="str">
        <f>_xlfn.XLOOKUP(tblTargetStatus[[#This Row],[TargetID]],tblTargets[TargetID],tblTargets[TargetType],"")</f>
        <v>BUILDING</v>
      </c>
      <c r="F118" t="str">
        <f>_xlfn.XLOOKUP(tblTargetStatus[[#This Row],[TargetID]],tblTargets[TargetID],tblTargets[StateType])</f>
        <v/>
      </c>
      <c r="G118">
        <f>_xlfn.LET(
_xlpm.id,tblTargetStatus[[#This Row],[TargetID]],
_xlpm.depCount,COUNTIF(tblDependencies[TargetID],_xlpm.id),
_xlpm.objCount,COUNTIF(tblQuestObjectives[QuestTargetID],_xlpm.id),
_xlpm.depCount+_xlpm.objCount
)</f>
        <v>2</v>
      </c>
      <c r="H118">
        <f>tblTargetStatus[[#This Row],[DependencyCount]]</f>
        <v>2</v>
      </c>
      <c r="I118" cm="1">
        <f t="array" ref="I1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8">
        <f>tblTargetStatus[[#This Row],[CompletedDependencyCount]]</f>
        <v>0</v>
      </c>
      <c r="K118" t="b">
        <f>tblTargetStatus[[#This Row],[CompletedDependencies]]=tblTargetStatus[[#This Row],[TotalDependencies]]</f>
        <v>0</v>
      </c>
      <c r="L118">
        <f>tblTargetStatus[[#This Row],[TotalDependencies]]-tblTargetStatus[[#This Row],[CompletedDependencies]]</f>
        <v>2</v>
      </c>
      <c r="M118" t="str" cm="1">
        <f t="array" ref="M1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building.guild@4</v>
      </c>
      <c r="N118" t="str">
        <f>IF(tblTargetStatus[[#This Row],[FirstMissingDependencyID]]="","",_xlfn.XLOOKUP(tblTargetStatus[[#This Row],[FirstMissingDependencyID]],tblTargets[TargetID],tblTargets[DisplayName],tblTargetStatus[[#This Row],[FirstMissingDependencyID]]))</f>
        <v>Guild Lv 4</v>
      </c>
      <c r="O118" t="str" cm="1">
        <f t="array" ref="O1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ruby,400 coin,280 beam,140 stone</v>
      </c>
      <c r="P118" t="str">
        <f>IF(tblTargetStatus[[#This Row],[FirstMissingDependencyID]]="","",_xlfn.XLOOKUP(tblTargetStatus[[#This Row],[FirstMissingDependencyID]],tblTargetStatus[TargetID],tblTargetStatus[Status],""))</f>
        <v>BLOCKED</v>
      </c>
      <c r="Q118" t="str">
        <f>IF(
 tblTargetStatus[[#This Row],[Status]]&lt;&gt;"BLOCKED",
 tblTargetStatus[[#This Row],[Status]],
 IF(
  AND(
   tblTargetStatus[[#This Row],[MissingDependencies]]=1,
   tblTargetStatus[[#This Row],[FirstMissingStatus]]="READY"
  ),
  "ONE AWAY",
  "BLOCKED"
 )
)</f>
        <v>BLOCKED</v>
      </c>
      <c r="R118">
        <f>IF(
 OR(
  tblTargetStatus[[#This Row],[StateType]]="CHARACTER",
  RIGHT(tblTargetStatus[[#This Row],[TargetID]],6)=".maxed"
 ),
 0,
 _xlfn.LET(
  _xlpm.sort,
   _xlfn.XLOOKUP(
    tblTargetStatus[[#This Row],[TargetID]],
    tblChecklist[TargetID],
    tblChecklist[PlayerSort],
    0
   ),
  IF(_xlpm.sort=0,500,_xlpm.sort)
 )
)</f>
        <v>96</v>
      </c>
      <c r="S118" t="str" cm="1">
        <f t="array" ref="S11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Warehouse Lv 5</v>
      </c>
      <c r="T118" t="str">
        <f>_xlfn.XLOOKUP(tblTargetStatus[[#This Row],[TargetID]],tblTargets[TargetID],tblTargets[CompletionMethod],"")</f>
        <v>PLAYER</v>
      </c>
      <c r="U118" t="b">
        <f>COUNTIF(
    tblCost[TargetID],
    tblTargetStatus[[#This Row],[TargetID]]
)&gt;0</f>
        <v>1</v>
      </c>
      <c r="V118" s="81">
        <f>IF(tblTargetStatus[[#This Row],[HasCost]]=FALSE,
"N/A",
_xlfn.XLOOKUP(
tblTargetStatus[[#This Row],[TargetID]],
tblCost[TargetID],
tblCost[FundingPercent],
""
)
)</f>
        <v>0</v>
      </c>
      <c r="W118">
        <f>IF(
COUNTIF(tblCost[TargetID],tblTargetStatus[[#This Row],[TargetID]])=0,
"",
_xlfn.XLOOKUP(
tblTargetStatus[[#This Row],[TargetID]],
tblCost[TargetID],
tblCost[RemainingRequirements],
""
)
)</f>
        <v>4</v>
      </c>
      <c r="X118" s="79" t="b">
        <f>IF(tblTargetStatus[[#This Row],[HasCost]]=FALSE,"N/A",_xlfn.XLOOKUP(
tblTargetStatus[[#This Row],[TargetID]],
tblCost[TargetID],
tblCost[TargetFunded],
TRUE
))</f>
        <v>0</v>
      </c>
      <c r="Y118" t="str" cm="1">
        <f t="array" ref="Y118">_xlfn.TEXTJOIN(
", ",
TRUE,
_xlfn._xlws.FILTER(
tblCost[ResourceID]&amp;": "&amp;tblCost[QuantityRequired],
(tblCost[TargetID]=tblTargetStatus[[#This Row],[TargetID]])*
(tblCost[PlayerPaid]=FALSE),
""
)
)</f>
        <v>ruby: 4, coin: 400, beam: 280, stone: 140</v>
      </c>
      <c r="Z1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8" t="str" cm="1">
        <f t="array" ref="AA11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19" spans="1:27">
      <c r="A119" t="s">
        <v>151</v>
      </c>
      <c r="B119" t="str">
        <f>_xlfn.XLOOKUP(tblTargetStatus[[#This Row],[TargetID]],tblTargets[TargetID],tblTargets[DisplayName],"")</f>
        <v>Warehouse Lv 5</v>
      </c>
      <c r="C119" t="str">
        <f>IF(tblTargetStatus[[#This Row],[PlayerCompleted]],"COMPLETED",IF(tblTargetStatus[[#This Row],[MissingDependencies]]=0,"READY","BLOCKED"))</f>
        <v>BLOCKED</v>
      </c>
      <c r="D1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9" t="str">
        <f>_xlfn.XLOOKUP(tblTargetStatus[[#This Row],[TargetID]],tblTargets[TargetID],tblTargets[TargetType],"")</f>
        <v>BUILDING</v>
      </c>
      <c r="F119" t="str">
        <f>_xlfn.XLOOKUP(tblTargetStatus[[#This Row],[TargetID]],tblTargets[TargetID],tblTargets[StateType])</f>
        <v/>
      </c>
      <c r="G119">
        <f>_xlfn.LET(
_xlpm.id,tblTargetStatus[[#This Row],[TargetID]],
_xlpm.depCount,COUNTIF(tblDependencies[TargetID],_xlpm.id),
_xlpm.objCount,COUNTIF(tblQuestObjectives[QuestTargetID],_xlpm.id),
_xlpm.depCount+_xlpm.objCount
)</f>
        <v>2</v>
      </c>
      <c r="H119">
        <f>tblTargetStatus[[#This Row],[DependencyCount]]</f>
        <v>2</v>
      </c>
      <c r="I119" cm="1">
        <f t="array" ref="I1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9">
        <f>tblTargetStatus[[#This Row],[CompletedDependencyCount]]</f>
        <v>0</v>
      </c>
      <c r="K119" t="b">
        <f>tblTargetStatus[[#This Row],[CompletedDependencies]]=tblTargetStatus[[#This Row],[TotalDependencies]]</f>
        <v>0</v>
      </c>
      <c r="L119">
        <f>tblTargetStatus[[#This Row],[TotalDependencies]]-tblTargetStatus[[#This Row],[CompletedDependencies]]</f>
        <v>2</v>
      </c>
      <c r="M119" t="str" cm="1">
        <f t="array" ref="M1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119" t="str">
        <f>IF(tblTargetStatus[[#This Row],[FirstMissingDependencyID]]="","",_xlfn.XLOOKUP(tblTargetStatus[[#This Row],[FirstMissingDependencyID]],tblTargets[TargetID],tblTargets[DisplayName],tblTargetStatus[[#This Row],[FirstMissingDependencyID]]))</f>
        <v>Guild Lv 5</v>
      </c>
      <c r="O119" t="str" cm="1">
        <f t="array" ref="O1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ruby,500 coin,360 beam,180 stone</v>
      </c>
      <c r="P119" t="str">
        <f>IF(tblTargetStatus[[#This Row],[FirstMissingDependencyID]]="","",_xlfn.XLOOKUP(tblTargetStatus[[#This Row],[FirstMissingDependencyID]],tblTargetStatus[TargetID],tblTargetStatus[Status],""))</f>
        <v>BLOCKED</v>
      </c>
      <c r="Q119" t="str">
        <f>IF(
 tblTargetStatus[[#This Row],[Status]]&lt;&gt;"BLOCKED",
 tblTargetStatus[[#This Row],[Status]],
 IF(
  AND(
   tblTargetStatus[[#This Row],[MissingDependencies]]=1,
   tblTargetStatus[[#This Row],[FirstMissingStatus]]="READY"
  ),
  "ONE AWAY",
  "BLOCKED"
 )
)</f>
        <v>BLOCKED</v>
      </c>
      <c r="R119">
        <f>IF(
 OR(
  tblTargetStatus[[#This Row],[StateType]]="CHARACTER",
  RIGHT(tblTargetStatus[[#This Row],[TargetID]],6)=".maxed"
 ),
 0,
 _xlfn.LET(
  _xlpm.sort,
   _xlfn.XLOOKUP(
    tblTargetStatus[[#This Row],[TargetID]],
    tblChecklist[TargetID],
    tblChecklist[PlayerSort],
    0
   ),
  IF(_xlpm.sort=0,500,_xlpm.sort)
 )
)</f>
        <v>97</v>
      </c>
      <c r="S119" t="str" cm="1">
        <f t="array" ref="S11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Warehouse Lv 6</v>
      </c>
      <c r="T119" t="str">
        <f>_xlfn.XLOOKUP(tblTargetStatus[[#This Row],[TargetID]],tblTargets[TargetID],tblTargets[CompletionMethod],"")</f>
        <v>PLAYER</v>
      </c>
      <c r="U119" t="b">
        <f>COUNTIF(
    tblCost[TargetID],
    tblTargetStatus[[#This Row],[TargetID]]
)&gt;0</f>
        <v>1</v>
      </c>
      <c r="V119" s="81">
        <f>IF(tblTargetStatus[[#This Row],[HasCost]]=FALSE,
"N/A",
_xlfn.XLOOKUP(
tblTargetStatus[[#This Row],[TargetID]],
tblCost[TargetID],
tblCost[FundingPercent],
""
)
)</f>
        <v>0</v>
      </c>
      <c r="W119">
        <f>IF(
COUNTIF(tblCost[TargetID],tblTargetStatus[[#This Row],[TargetID]])=0,
"",
_xlfn.XLOOKUP(
tblTargetStatus[[#This Row],[TargetID]],
tblCost[TargetID],
tblCost[RemainingRequirements],
""
)
)</f>
        <v>4</v>
      </c>
      <c r="X119" s="79" t="b">
        <f>IF(tblTargetStatus[[#This Row],[HasCost]]=FALSE,"N/A",_xlfn.XLOOKUP(
tblTargetStatus[[#This Row],[TargetID]],
tblCost[TargetID],
tblCost[TargetFunded],
TRUE
))</f>
        <v>0</v>
      </c>
      <c r="Y119" t="str" cm="1">
        <f t="array" ref="Y119">_xlfn.TEXTJOIN(
", ",
TRUE,
_xlfn._xlws.FILTER(
tblCost[ResourceID]&amp;": "&amp;tblCost[QuantityRequired],
(tblCost[TargetID]=tblTargetStatus[[#This Row],[TargetID]])*
(tblCost[PlayerPaid]=FALSE),
""
)
)</f>
        <v>ruby: 5, coin: 500, beam: 360, stone: 180</v>
      </c>
      <c r="Z1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9" t="str" cm="1">
        <f t="array" ref="AA11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0" spans="1:27">
      <c r="A120" t="s">
        <v>152</v>
      </c>
      <c r="B120" t="str">
        <f>_xlfn.XLOOKUP(tblTargetStatus[[#This Row],[TargetID]],tblTargets[TargetID],tblTargets[DisplayName],"")</f>
        <v>Warehouse Lv 6</v>
      </c>
      <c r="C120" t="str">
        <f>IF(tblTargetStatus[[#This Row],[PlayerCompleted]],"COMPLETED",IF(tblTargetStatus[[#This Row],[MissingDependencies]]=0,"READY","BLOCKED"))</f>
        <v>BLOCKED</v>
      </c>
      <c r="D1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0" t="str">
        <f>_xlfn.XLOOKUP(tblTargetStatus[[#This Row],[TargetID]],tblTargets[TargetID],tblTargets[TargetType],"")</f>
        <v>BUILDING</v>
      </c>
      <c r="F120" t="str">
        <f>_xlfn.XLOOKUP(tblTargetStatus[[#This Row],[TargetID]],tblTargets[TargetID],tblTargets[StateType])</f>
        <v/>
      </c>
      <c r="G120">
        <f>_xlfn.LET(
_xlpm.id,tblTargetStatus[[#This Row],[TargetID]],
_xlpm.depCount,COUNTIF(tblDependencies[TargetID],_xlpm.id),
_xlpm.objCount,COUNTIF(tblQuestObjectives[QuestTargetID],_xlpm.id),
_xlpm.depCount+_xlpm.objCount
)</f>
        <v>1</v>
      </c>
      <c r="H120">
        <f>tblTargetStatus[[#This Row],[DependencyCount]]</f>
        <v>1</v>
      </c>
      <c r="I120" cm="1">
        <f t="array" ref="I1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0">
        <f>tblTargetStatus[[#This Row],[CompletedDependencyCount]]</f>
        <v>0</v>
      </c>
      <c r="K120" t="b">
        <f>tblTargetStatus[[#This Row],[CompletedDependencies]]=tblTargetStatus[[#This Row],[TotalDependencies]]</f>
        <v>0</v>
      </c>
      <c r="L120">
        <f>tblTargetStatus[[#This Row],[TotalDependencies]]-tblTargetStatus[[#This Row],[CompletedDependencies]]</f>
        <v>1</v>
      </c>
      <c r="M120" t="str" cm="1">
        <f t="array" ref="M1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building.warehouse@5</v>
      </c>
      <c r="N120" t="str">
        <f>IF(tblTargetStatus[[#This Row],[FirstMissingDependencyID]]="","",_xlfn.XLOOKUP(tblTargetStatus[[#This Row],[FirstMissingDependencyID]],tblTargets[TargetID],tblTargets[DisplayName],tblTargetStatus[[#This Row],[FirstMissingDependencyID]]))</f>
        <v>Warehouse Lv 5</v>
      </c>
      <c r="O120" s="2" t="str" cm="1">
        <f t="array" ref="O1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ruby,600 coin,440 beam,220 stone,20 steel</v>
      </c>
      <c r="P120" t="str">
        <f>IF(tblTargetStatus[[#This Row],[FirstMissingDependencyID]]="","",_xlfn.XLOOKUP(tblTargetStatus[[#This Row],[FirstMissingDependencyID]],tblTargetStatus[TargetID],tblTargetStatus[Status],""))</f>
        <v>BLOCKED</v>
      </c>
      <c r="Q120" t="str">
        <f>IF(
 tblTargetStatus[[#This Row],[Status]]&lt;&gt;"BLOCKED",
 tblTargetStatus[[#This Row],[Status]],
 IF(
  AND(
   tblTargetStatus[[#This Row],[MissingDependencies]]=1,
   tblTargetStatus[[#This Row],[FirstMissingStatus]]="READY"
  ),
  "ONE AWAY",
  "BLOCKED"
 )
)</f>
        <v>BLOCKED</v>
      </c>
      <c r="R120">
        <f>IF(
 OR(
  tblTargetStatus[[#This Row],[StateType]]="CHARACTER",
  RIGHT(tblTargetStatus[[#This Row],[TargetID]],6)=".maxed"
 ),
 0,
 _xlfn.LET(
  _xlpm.sort,
   _xlfn.XLOOKUP(
    tblTargetStatus[[#This Row],[TargetID]],
    tblChecklist[TargetID],
    tblChecklist[PlayerSort],
    0
   ),
  IF(_xlpm.sort=0,500,_xlpm.sort)
 )
)</f>
        <v>98</v>
      </c>
      <c r="S120" t="str" cm="1">
        <f t="array" ref="S12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Warehouse Lv 7</v>
      </c>
      <c r="T120" t="str">
        <f>_xlfn.XLOOKUP(tblTargetStatus[[#This Row],[TargetID]],tblTargets[TargetID],tblTargets[CompletionMethod],"")</f>
        <v>PLAYER</v>
      </c>
      <c r="U120" t="b">
        <f>COUNTIF(
    tblCost[TargetID],
    tblTargetStatus[[#This Row],[TargetID]]
)&gt;0</f>
        <v>1</v>
      </c>
      <c r="V120" s="81">
        <f>IF(tblTargetStatus[[#This Row],[HasCost]]=FALSE,
"N/A",
_xlfn.XLOOKUP(
tblTargetStatus[[#This Row],[TargetID]],
tblCost[TargetID],
tblCost[FundingPercent],
""
)
)</f>
        <v>0</v>
      </c>
      <c r="W120">
        <f>IF(
COUNTIF(tblCost[TargetID],tblTargetStatus[[#This Row],[TargetID]])=0,
"",
_xlfn.XLOOKUP(
tblTargetStatus[[#This Row],[TargetID]],
tblCost[TargetID],
tblCost[RemainingRequirements],
""
)
)</f>
        <v>5</v>
      </c>
      <c r="X120" s="79" t="b">
        <f>IF(tblTargetStatus[[#This Row],[HasCost]]=FALSE,"N/A",_xlfn.XLOOKUP(
tblTargetStatus[[#This Row],[TargetID]],
tblCost[TargetID],
tblCost[TargetFunded],
TRUE
))</f>
        <v>0</v>
      </c>
      <c r="Y120" t="str" cm="1">
        <f t="array" ref="Y120">_xlfn.TEXTJOIN(
", ",
TRUE,
_xlfn._xlws.FILTER(
tblCost[ResourceID]&amp;": "&amp;tblCost[QuantityRequired],
(tblCost[TargetID]=tblTargetStatus[[#This Row],[TargetID]])*
(tblCost[PlayerPaid]=FALSE),
""
)
)</f>
        <v>ruby: 6, coin: 600, beam: 440, stone: 220, steel: 20</v>
      </c>
      <c r="Z1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0" t="str" cm="1">
        <f t="array" ref="AA12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1" spans="1:27">
      <c r="A121" t="s">
        <v>153</v>
      </c>
      <c r="B121" t="str">
        <f>_xlfn.XLOOKUP(tblTargetStatus[[#This Row],[TargetID]],tblTargets[TargetID],tblTargets[DisplayName],"")</f>
        <v>Warehouse Lv 7</v>
      </c>
      <c r="C121" t="str">
        <f>IF(tblTargetStatus[[#This Row],[PlayerCompleted]],"COMPLETED",IF(tblTargetStatus[[#This Row],[MissingDependencies]]=0,"READY","BLOCKED"))</f>
        <v>BLOCKED</v>
      </c>
      <c r="D1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1" t="str">
        <f>_xlfn.XLOOKUP(tblTargetStatus[[#This Row],[TargetID]],tblTargets[TargetID],tblTargets[TargetType],"")</f>
        <v>BUILDING</v>
      </c>
      <c r="F121" t="str">
        <f>_xlfn.XLOOKUP(tblTargetStatus[[#This Row],[TargetID]],tblTargets[TargetID],tblTargets[StateType])</f>
        <v/>
      </c>
      <c r="G121">
        <f>_xlfn.LET(
_xlpm.id,tblTargetStatus[[#This Row],[TargetID]],
_xlpm.depCount,COUNTIF(tblDependencies[TargetID],_xlpm.id),
_xlpm.objCount,COUNTIF(tblQuestObjectives[QuestTargetID],_xlpm.id),
_xlpm.depCount+_xlpm.objCount
)</f>
        <v>1</v>
      </c>
      <c r="H121">
        <f>tblTargetStatus[[#This Row],[DependencyCount]]</f>
        <v>1</v>
      </c>
      <c r="I121" cm="1">
        <f t="array" ref="I1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1">
        <f>tblTargetStatus[[#This Row],[CompletedDependencyCount]]</f>
        <v>0</v>
      </c>
      <c r="K121" t="b">
        <f>tblTargetStatus[[#This Row],[CompletedDependencies]]=tblTargetStatus[[#This Row],[TotalDependencies]]</f>
        <v>0</v>
      </c>
      <c r="L121">
        <f>tblTargetStatus[[#This Row],[TotalDependencies]]-tblTargetStatus[[#This Row],[CompletedDependencies]]</f>
        <v>1</v>
      </c>
      <c r="M121" t="str" cm="1">
        <f t="array" ref="M1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building.warehouse@6</v>
      </c>
      <c r="N121" t="str">
        <f>IF(tblTargetStatus[[#This Row],[FirstMissingDependencyID]]="","",_xlfn.XLOOKUP(tblTargetStatus[[#This Row],[FirstMissingDependencyID]],tblTargets[TargetID],tblTargets[DisplayName],tblTargetStatus[[#This Row],[FirstMissingDependencyID]]))</f>
        <v>Warehouse Lv 6</v>
      </c>
      <c r="O121" s="2" t="str" cm="1">
        <f t="array" ref="O1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7 ruby,700 coin,520 beam,260 stone,30 steel</v>
      </c>
      <c r="P121" t="str">
        <f>IF(tblTargetStatus[[#This Row],[FirstMissingDependencyID]]="","",_xlfn.XLOOKUP(tblTargetStatus[[#This Row],[FirstMissingDependencyID]],tblTargetStatus[TargetID],tblTargetStatus[Status],""))</f>
        <v>BLOCKED</v>
      </c>
      <c r="Q121" t="str">
        <f>IF(
 tblTargetStatus[[#This Row],[Status]]&lt;&gt;"BLOCKED",
 tblTargetStatus[[#This Row],[Status]],
 IF(
  AND(
   tblTargetStatus[[#This Row],[MissingDependencies]]=1,
   tblTargetStatus[[#This Row],[FirstMissingStatus]]="READY"
  ),
  "ONE AWAY",
  "BLOCKED"
 )
)</f>
        <v>BLOCKED</v>
      </c>
      <c r="R121">
        <f>IF(
 OR(
  tblTargetStatus[[#This Row],[StateType]]="CHARACTER",
  RIGHT(tblTargetStatus[[#This Row],[TargetID]],6)=".maxed"
 ),
 0,
 _xlfn.LET(
  _xlpm.sort,
   _xlfn.XLOOKUP(
    tblTargetStatus[[#This Row],[TargetID]],
    tblChecklist[TargetID],
    tblChecklist[PlayerSort],
    0
   ),
  IF(_xlpm.sort=0,500,_xlpm.sort)
 )
)</f>
        <v>99</v>
      </c>
      <c r="S121" t="str" cm="1">
        <f t="array" ref="S12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warehouse maxed</v>
      </c>
      <c r="T121" t="str">
        <f>_xlfn.XLOOKUP(tblTargetStatus[[#This Row],[TargetID]],tblTargets[TargetID],tblTargets[CompletionMethod],"")</f>
        <v>PLAYER</v>
      </c>
      <c r="U121" t="b">
        <f>COUNTIF(
    tblCost[TargetID],
    tblTargetStatus[[#This Row],[TargetID]]
)&gt;0</f>
        <v>1</v>
      </c>
      <c r="V121" s="81">
        <f>IF(tblTargetStatus[[#This Row],[HasCost]]=FALSE,
"N/A",
_xlfn.XLOOKUP(
tblTargetStatus[[#This Row],[TargetID]],
tblCost[TargetID],
tblCost[FundingPercent],
""
)
)</f>
        <v>0</v>
      </c>
      <c r="W121">
        <f>IF(
COUNTIF(tblCost[TargetID],tblTargetStatus[[#This Row],[TargetID]])=0,
"",
_xlfn.XLOOKUP(
tblTargetStatus[[#This Row],[TargetID]],
tblCost[TargetID],
tblCost[RemainingRequirements],
""
)
)</f>
        <v>5</v>
      </c>
      <c r="X121" s="79" t="b">
        <f>IF(tblTargetStatus[[#This Row],[HasCost]]=FALSE,"N/A",_xlfn.XLOOKUP(
tblTargetStatus[[#This Row],[TargetID]],
tblCost[TargetID],
tblCost[TargetFunded],
TRUE
))</f>
        <v>0</v>
      </c>
      <c r="Y121" t="str" cm="1">
        <f t="array" ref="Y121">_xlfn.TEXTJOIN(
", ",
TRUE,
_xlfn._xlws.FILTER(
tblCost[ResourceID]&amp;": "&amp;tblCost[QuantityRequired],
(tblCost[TargetID]=tblTargetStatus[[#This Row],[TargetID]])*
(tblCost[PlayerPaid]=FALSE),
""
)
)</f>
        <v>ruby: 7, coin: 700, beam: 520, stone: 260, steel: 30</v>
      </c>
      <c r="Z1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1" t="str" cm="1">
        <f t="array" ref="AA12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2" spans="1:27">
      <c r="A122" t="s">
        <v>2690</v>
      </c>
      <c r="B122" t="str">
        <f>_xlfn.XLOOKUP(tblTargetStatus[[#This Row],[TargetID]],tblTargets[TargetID],tblTargets[DisplayName],"")</f>
        <v>windmill maxed</v>
      </c>
      <c r="C122" t="str">
        <f>IF(tblTargetStatus[[#This Row],[PlayerCompleted]],"COMPLETED",IF(tblTargetStatus[[#This Row],[MissingDependencies]]=0,"READY","BLOCKED"))</f>
        <v>BLOCKED</v>
      </c>
      <c r="D1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2" t="str">
        <f>_xlfn.XLOOKUP(tblTargetStatus[[#This Row],[TargetID]],tblTargets[TargetID],tblTargets[TargetType],"")</f>
        <v>BUILDING</v>
      </c>
      <c r="F122" t="str">
        <f>_xlfn.XLOOKUP(tblTargetStatus[[#This Row],[TargetID]],tblTargets[TargetID],tblTargets[StateType])</f>
        <v/>
      </c>
      <c r="G122">
        <f>_xlfn.LET(
_xlpm.id,tblTargetStatus[[#This Row],[TargetID]],
_xlpm.depCount,COUNTIF(tblDependencies[TargetID],_xlpm.id),
_xlpm.objCount,COUNTIF(tblQuestObjectives[QuestTargetID],_xlpm.id),
_xlpm.depCount+_xlpm.objCount
)</f>
        <v>1</v>
      </c>
      <c r="H122">
        <f>tblTargetStatus[[#This Row],[DependencyCount]]</f>
        <v>1</v>
      </c>
      <c r="I122" cm="1">
        <f t="array" ref="I1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2">
        <f>tblTargetStatus[[#This Row],[CompletedDependencyCount]]</f>
        <v>0</v>
      </c>
      <c r="K122" t="b">
        <f>tblTargetStatus[[#This Row],[CompletedDependencies]]=tblTargetStatus[[#This Row],[TotalDependencies]]</f>
        <v>0</v>
      </c>
      <c r="L122">
        <f>tblTargetStatus[[#This Row],[TotalDependencies]]-tblTargetStatus[[#This Row],[CompletedDependencies]]</f>
        <v>1</v>
      </c>
      <c r="M122" t="str" cm="1">
        <f t="array" ref="M1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building.windmill@2</v>
      </c>
      <c r="N122" t="str">
        <f>IF(tblTargetStatus[[#This Row],[FirstMissingDependencyID]]="","",_xlfn.XLOOKUP(tblTargetStatus[[#This Row],[FirstMissingDependencyID]],tblTargets[TargetID],tblTargets[DisplayName],tblTargetStatus[[#This Row],[FirstMissingDependencyID]]))</f>
        <v>Windmill Lv 2</v>
      </c>
      <c r="O122" s="2" t="str" cm="1">
        <f t="array" ref="O1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22" t="str">
        <f>IF(tblTargetStatus[[#This Row],[FirstMissingDependencyID]]="","",_xlfn.XLOOKUP(tblTargetStatus[[#This Row],[FirstMissingDependencyID]],tblTargetStatus[TargetID],tblTargetStatus[Status],""))</f>
        <v>BLOCKED</v>
      </c>
      <c r="Q122" t="str">
        <f>IF(
 tblTargetStatus[[#This Row],[Status]]&lt;&gt;"BLOCKED",
 tblTargetStatus[[#This Row],[Status]],
 IF(
  AND(
   tblTargetStatus[[#This Row],[MissingDependencies]]=1,
   tblTargetStatus[[#This Row],[FirstMissingStatus]]="READY"
  ),
  "ONE AWAY",
  "BLOCKED"
 )
)</f>
        <v>BLOCKED</v>
      </c>
      <c r="R122">
        <f>IF(
 OR(
  tblTargetStatus[[#This Row],[StateType]]="CHARACTER",
  RIGHT(tblTargetStatus[[#This Row],[TargetID]],6)=".maxed"
 ),
 0,
 _xlfn.LET(
  _xlpm.sort,
   _xlfn.XLOOKUP(
    tblTargetStatus[[#This Row],[TargetID]],
    tblChecklist[TargetID],
    tblChecklist[PlayerSort],
    0
   ),
  IF(_xlpm.sort=0,500,_xlpm.sort)
 )
)</f>
        <v>0</v>
      </c>
      <c r="S122" t="str" cm="1">
        <f t="array" ref="S12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Windmill -  Bone Meal</v>
      </c>
      <c r="T122" t="str">
        <f>_xlfn.XLOOKUP(tblTargetStatus[[#This Row],[TargetID]],tblTargets[TargetID],tblTargets[CompletionMethod],"")</f>
        <v>AUTO</v>
      </c>
      <c r="U122" t="b">
        <f>COUNTIF(
    tblCost[TargetID],
    tblTargetStatus[[#This Row],[TargetID]]
)&gt;0</f>
        <v>0</v>
      </c>
      <c r="V122" s="81" t="str">
        <f>IF(tblTargetStatus[[#This Row],[HasCost]]=FALSE,
"N/A",
_xlfn.XLOOKUP(
tblTargetStatus[[#This Row],[TargetID]],
tblCost[TargetID],
tblCost[FundingPercent],
""
)
)</f>
        <v>N/A</v>
      </c>
      <c r="W122" t="str">
        <f>IF(
COUNTIF(tblCost[TargetID],tblTargetStatus[[#This Row],[TargetID]])=0,
"",
_xlfn.XLOOKUP(
tblTargetStatus[[#This Row],[TargetID]],
tblCost[TargetID],
tblCost[RemainingRequirements],
""
)
)</f>
        <v/>
      </c>
      <c r="X122" s="79" t="str">
        <f>IF(tblTargetStatus[[#This Row],[HasCost]]=FALSE,"N/A",_xlfn.XLOOKUP(
tblTargetStatus[[#This Row],[TargetID]],
tblCost[TargetID],
tblCost[TargetFunded],
TRUE
))</f>
        <v>N/A</v>
      </c>
      <c r="Y122" t="str" cm="1">
        <f t="array" ref="Y122">_xlfn.TEXTJOIN(
", ",
TRUE,
_xlfn._xlws.FILTER(
tblCost[ResourceID]&amp;": "&amp;tblCost[QuantityRequired],
(tblCost[TargetID]=tblTargetStatus[[#This Row],[TargetID]])*
(tblCost[PlayerPaid]=FALSE),
""
)
)</f>
        <v/>
      </c>
      <c r="Z1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2" t="str" cm="1">
        <f t="array" ref="AA12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3" spans="1:27">
      <c r="A123" t="s">
        <v>154</v>
      </c>
      <c r="B123" t="str">
        <f>_xlfn.XLOOKUP(tblTargetStatus[[#This Row],[TargetID]],tblTargets[TargetID],tblTargets[DisplayName],"")</f>
        <v>Windmill Lv 1</v>
      </c>
      <c r="C123" t="str">
        <f>IF(tblTargetStatus[[#This Row],[PlayerCompleted]],"COMPLETED",IF(tblTargetStatus[[#This Row],[MissingDependencies]]=0,"READY","BLOCKED"))</f>
        <v>BLOCKED</v>
      </c>
      <c r="D1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3" t="str">
        <f>_xlfn.XLOOKUP(tblTargetStatus[[#This Row],[TargetID]],tblTargets[TargetID],tblTargets[TargetType],"")</f>
        <v>BUILDING</v>
      </c>
      <c r="F123" t="str">
        <f>_xlfn.XLOOKUP(tblTargetStatus[[#This Row],[TargetID]],tblTargets[TargetID],tblTargets[StateType])</f>
        <v/>
      </c>
      <c r="G123">
        <f>_xlfn.LET(
_xlpm.id,tblTargetStatus[[#This Row],[TargetID]],
_xlpm.depCount,COUNTIF(tblDependencies[TargetID],_xlpm.id),
_xlpm.objCount,COUNTIF(tblQuestObjectives[QuestTargetID],_xlpm.id),
_xlpm.depCount+_xlpm.objCount
)</f>
        <v>1</v>
      </c>
      <c r="H123">
        <f>tblTargetStatus[[#This Row],[DependencyCount]]</f>
        <v>1</v>
      </c>
      <c r="I123" cm="1">
        <f t="array" ref="I1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3">
        <f>tblTargetStatus[[#This Row],[CompletedDependencyCount]]</f>
        <v>0</v>
      </c>
      <c r="K123" t="b">
        <f>tblTargetStatus[[#This Row],[CompletedDependencies]]=tblTargetStatus[[#This Row],[TotalDependencies]]</f>
        <v>0</v>
      </c>
      <c r="L123">
        <f>tblTargetStatus[[#This Row],[TotalDependencies]]-tblTargetStatus[[#This Row],[CompletedDependencies]]</f>
        <v>1</v>
      </c>
      <c r="M123" t="str" cm="1">
        <f t="array" ref="M1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state.character_level@9</v>
      </c>
      <c r="N123" t="str">
        <f>IF(tblTargetStatus[[#This Row],[FirstMissingDependencyID]]="","",_xlfn.XLOOKUP(tblTargetStatus[[#This Row],[FirstMissingDependencyID]],tblTargets[TargetID],tblTargets[DisplayName],tblTargetStatus[[#This Row],[FirstMissingDependencyID]]))</f>
        <v>Character Level@9</v>
      </c>
      <c r="O123" s="2" t="str" cm="1">
        <f t="array" ref="O1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ruby,300 coin,150 wood,150 stone,40 steel</v>
      </c>
      <c r="P123" t="str">
        <f>IF(tblTargetStatus[[#This Row],[FirstMissingDependencyID]]="","",_xlfn.XLOOKUP(tblTargetStatus[[#This Row],[FirstMissingDependencyID]],tblTargetStatus[TargetID],tblTargetStatus[Status],""))</f>
        <v>READY</v>
      </c>
      <c r="Q123" t="str">
        <f>IF(
 tblTargetStatus[[#This Row],[Status]]&lt;&gt;"BLOCKED",
 tblTargetStatus[[#This Row],[Status]],
 IF(
  AND(
   tblTargetStatus[[#This Row],[MissingDependencies]]=1,
   tblTargetStatus[[#This Row],[FirstMissingStatus]]="READY"
  ),
  "ONE AWAY",
  "BLOCKED"
 )
)</f>
        <v>ONE AWAY</v>
      </c>
      <c r="R123">
        <f>IF(
 OR(
  tblTargetStatus[[#This Row],[StateType]]="CHARACTER",
  RIGHT(tblTargetStatus[[#This Row],[TargetID]],6)=".maxed"
 ),
 0,
 _xlfn.LET(
  _xlpm.sort,
   _xlfn.XLOOKUP(
    tblTargetStatus[[#This Row],[TargetID]],
    tblChecklist[TargetID],
    tblChecklist[PlayerSort],
    0
   ),
  IF(_xlpm.sort=0,500,_xlpm.sort)
 )
)</f>
        <v>9</v>
      </c>
      <c r="S123" t="str" cm="1">
        <f t="array" ref="S12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Windmill Lv 2</v>
      </c>
      <c r="T123" t="str">
        <f>_xlfn.XLOOKUP(tblTargetStatus[[#This Row],[TargetID]],tblTargets[TargetID],tblTargets[CompletionMethod],"")</f>
        <v>PLAYER</v>
      </c>
      <c r="U123" t="b">
        <f>COUNTIF(
    tblCost[TargetID],
    tblTargetStatus[[#This Row],[TargetID]]
)&gt;0</f>
        <v>1</v>
      </c>
      <c r="V123" s="81">
        <f>IF(tblTargetStatus[[#This Row],[HasCost]]=FALSE,
"N/A",
_xlfn.XLOOKUP(
tblTargetStatus[[#This Row],[TargetID]],
tblCost[TargetID],
tblCost[FundingPercent],
""
)
)</f>
        <v>0</v>
      </c>
      <c r="W123">
        <f>IF(
COUNTIF(tblCost[TargetID],tblTargetStatus[[#This Row],[TargetID]])=0,
"",
_xlfn.XLOOKUP(
tblTargetStatus[[#This Row],[TargetID]],
tblCost[TargetID],
tblCost[RemainingRequirements],
""
)
)</f>
        <v>5</v>
      </c>
      <c r="X123" s="79" t="b">
        <f>IF(tblTargetStatus[[#This Row],[HasCost]]=FALSE,"N/A",_xlfn.XLOOKUP(
tblTargetStatus[[#This Row],[TargetID]],
tblCost[TargetID],
tblCost[TargetFunded],
TRUE
))</f>
        <v>0</v>
      </c>
      <c r="Y123" t="str" cm="1">
        <f t="array" ref="Y123">_xlfn.TEXTJOIN(
", ",
TRUE,
_xlfn._xlws.FILTER(
tblCost[ResourceID]&amp;": "&amp;tblCost[QuantityRequired],
(tblCost[TargetID]=tblTargetStatus[[#This Row],[TargetID]])*
(tblCost[PlayerPaid]=FALSE),
""
)
)</f>
        <v>ruby: 1, coin: 300, wood: 150, stone: 150, steel: 40</v>
      </c>
      <c r="Z1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3" t="str" cm="1">
        <f t="array" ref="AA12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4" spans="1:27">
      <c r="A124" t="s">
        <v>156</v>
      </c>
      <c r="B124" t="str">
        <f>_xlfn.XLOOKUP(tblTargetStatus[[#This Row],[TargetID]],tblTargets[TargetID],tblTargets[DisplayName],"")</f>
        <v>Windmill Lv 2</v>
      </c>
      <c r="C124" t="str">
        <f>IF(tblTargetStatus[[#This Row],[PlayerCompleted]],"COMPLETED",IF(tblTargetStatus[[#This Row],[MissingDependencies]]=0,"READY","BLOCKED"))</f>
        <v>BLOCKED</v>
      </c>
      <c r="D1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4" t="str">
        <f>_xlfn.XLOOKUP(tblTargetStatus[[#This Row],[TargetID]],tblTargets[TargetID],tblTargets[TargetType],"")</f>
        <v>BUILDING</v>
      </c>
      <c r="F124" t="str">
        <f>_xlfn.XLOOKUP(tblTargetStatus[[#This Row],[TargetID]],tblTargets[TargetID],tblTargets[StateType])</f>
        <v/>
      </c>
      <c r="G124">
        <f>_xlfn.LET(
_xlpm.id,tblTargetStatus[[#This Row],[TargetID]],
_xlpm.depCount,COUNTIF(tblDependencies[TargetID],_xlpm.id),
_xlpm.objCount,COUNTIF(tblQuestObjectives[QuestTargetID],_xlpm.id),
_xlpm.depCount+_xlpm.objCount
)</f>
        <v>1</v>
      </c>
      <c r="H124">
        <f>tblTargetStatus[[#This Row],[DependencyCount]]</f>
        <v>1</v>
      </c>
      <c r="I124" cm="1">
        <f t="array" ref="I1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4">
        <f>tblTargetStatus[[#This Row],[CompletedDependencyCount]]</f>
        <v>0</v>
      </c>
      <c r="K124" t="b">
        <f>tblTargetStatus[[#This Row],[CompletedDependencies]]=tblTargetStatus[[#This Row],[TotalDependencies]]</f>
        <v>0</v>
      </c>
      <c r="L124">
        <f>tblTargetStatus[[#This Row],[TotalDependencies]]-tblTargetStatus[[#This Row],[CompletedDependencies]]</f>
        <v>1</v>
      </c>
      <c r="M124" t="str" cm="1">
        <f t="array" ref="M1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building.windmill@1</v>
      </c>
      <c r="N124" t="str">
        <f>IF(tblTargetStatus[[#This Row],[FirstMissingDependencyID]]="","",_xlfn.XLOOKUP(tblTargetStatus[[#This Row],[FirstMissingDependencyID]],tblTargets[TargetID],tblTargets[DisplayName],tblTargetStatus[[#This Row],[FirstMissingDependencyID]]))</f>
        <v>Windmill Lv 1</v>
      </c>
      <c r="O124" s="2" t="str" cm="1">
        <f t="array" ref="O1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coin,400 beam,200 stone,30 miron</v>
      </c>
      <c r="P124" t="str">
        <f>IF(tblTargetStatus[[#This Row],[FirstMissingDependencyID]]="","",_xlfn.XLOOKUP(tblTargetStatus[[#This Row],[FirstMissingDependencyID]],tblTargetStatus[TargetID],tblTargetStatus[Status],""))</f>
        <v>BLOCKED</v>
      </c>
      <c r="Q124" t="str">
        <f>IF(
 tblTargetStatus[[#This Row],[Status]]&lt;&gt;"BLOCKED",
 tblTargetStatus[[#This Row],[Status]],
 IF(
  AND(
   tblTargetStatus[[#This Row],[MissingDependencies]]=1,
   tblTargetStatus[[#This Row],[FirstMissingStatus]]="READY"
  ),
  "ONE AWAY",
  "BLOCKED"
 )
)</f>
        <v>BLOCKED</v>
      </c>
      <c r="R124">
        <f>IF(
 OR(
  tblTargetStatus[[#This Row],[StateType]]="CHARACTER",
  RIGHT(tblTargetStatus[[#This Row],[TargetID]],6)=".maxed"
 ),
 0,
 _xlfn.LET(
  _xlpm.sort,
   _xlfn.XLOOKUP(
    tblTargetStatus[[#This Row],[TargetID]],
    tblChecklist[TargetID],
    tblChecklist[PlayerSort],
    0
   ),
  IF(_xlpm.sort=0,500,_xlpm.sort)
 )
)</f>
        <v>15</v>
      </c>
      <c r="S124" t="str" cm="1">
        <f t="array" ref="S12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windmill maxed</v>
      </c>
      <c r="T124" t="str">
        <f>_xlfn.XLOOKUP(tblTargetStatus[[#This Row],[TargetID]],tblTargets[TargetID],tblTargets[CompletionMethod],"")</f>
        <v>PLAYER</v>
      </c>
      <c r="U124" t="b">
        <f>COUNTIF(
    tblCost[TargetID],
    tblTargetStatus[[#This Row],[TargetID]]
)&gt;0</f>
        <v>1</v>
      </c>
      <c r="V124" s="81">
        <f>IF(tblTargetStatus[[#This Row],[HasCost]]=FALSE,
"N/A",
_xlfn.XLOOKUP(
tblTargetStatus[[#This Row],[TargetID]],
tblCost[TargetID],
tblCost[FundingPercent],
""
)
)</f>
        <v>0</v>
      </c>
      <c r="W124">
        <f>IF(
COUNTIF(tblCost[TargetID],tblTargetStatus[[#This Row],[TargetID]])=0,
"",
_xlfn.XLOOKUP(
tblTargetStatus[[#This Row],[TargetID]],
tblCost[TargetID],
tblCost[RemainingRequirements],
""
)
)</f>
        <v>5</v>
      </c>
      <c r="X124" s="79" t="b">
        <f>IF(tblTargetStatus[[#This Row],[HasCost]]=FALSE,"N/A",_xlfn.XLOOKUP(
tblTargetStatus[[#This Row],[TargetID]],
tblCost[TargetID],
tblCost[TargetFunded],
TRUE
))</f>
        <v>0</v>
      </c>
      <c r="Y124" t="str" cm="1">
        <f t="array" ref="Y124">_xlfn.TEXTJOIN(
", ",
TRUE,
_xlfn._xlws.FILTER(
tblCost[ResourceID]&amp;": "&amp;tblCost[QuantityRequired],
(tblCost[TargetID]=tblTargetStatus[[#This Row],[TargetID]])*
(tblCost[PlayerPaid]=FALSE),
""
)
)</f>
        <v>ruby: 3, coin: 500, beam: 400, stone: 200, miron: 30</v>
      </c>
      <c r="Z1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4" t="str" cm="1">
        <f t="array" ref="AA12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5" spans="1:27">
      <c r="A125" t="s">
        <v>2689</v>
      </c>
      <c r="B125" t="str">
        <f>_xlfn.XLOOKUP(tblTargetStatus[[#This Row],[TargetID]],tblTargets[TargetID],tblTargets[DisplayName],"")</f>
        <v>workshop maxed</v>
      </c>
      <c r="C125" t="str">
        <f>IF(tblTargetStatus[[#This Row],[PlayerCompleted]],"COMPLETED",IF(tblTargetStatus[[#This Row],[MissingDependencies]]=0,"READY","BLOCKED"))</f>
        <v>BLOCKED</v>
      </c>
      <c r="D1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5" t="str">
        <f>_xlfn.XLOOKUP(tblTargetStatus[[#This Row],[TargetID]],tblTargets[TargetID],tblTargets[TargetType],"")</f>
        <v>BUILDING</v>
      </c>
      <c r="F125" t="str">
        <f>_xlfn.XLOOKUP(tblTargetStatus[[#This Row],[TargetID]],tblTargets[TargetID],tblTargets[StateType])</f>
        <v/>
      </c>
      <c r="G125">
        <f>_xlfn.LET(
_xlpm.id,tblTargetStatus[[#This Row],[TargetID]],
_xlpm.depCount,COUNTIF(tblDependencies[TargetID],_xlpm.id),
_xlpm.objCount,COUNTIF(tblQuestObjectives[QuestTargetID],_xlpm.id),
_xlpm.depCount+_xlpm.objCount
)</f>
        <v>1</v>
      </c>
      <c r="H125">
        <f>tblTargetStatus[[#This Row],[DependencyCount]]</f>
        <v>1</v>
      </c>
      <c r="I125" cm="1">
        <f t="array" ref="I1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5">
        <f>tblTargetStatus[[#This Row],[CompletedDependencyCount]]</f>
        <v>0</v>
      </c>
      <c r="K125" t="b">
        <f>tblTargetStatus[[#This Row],[CompletedDependencies]]=tblTargetStatus[[#This Row],[TotalDependencies]]</f>
        <v>0</v>
      </c>
      <c r="L125">
        <f>tblTargetStatus[[#This Row],[TotalDependencies]]-tblTargetStatus[[#This Row],[CompletedDependencies]]</f>
        <v>1</v>
      </c>
      <c r="M125" t="str" cm="1">
        <f t="array" ref="M1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125" t="str">
        <f>IF(tblTargetStatus[[#This Row],[FirstMissingDependencyID]]="","",_xlfn.XLOOKUP(tblTargetStatus[[#This Row],[FirstMissingDependencyID]],tblTargets[TargetID],tblTargets[DisplayName],tblTargetStatus[[#This Row],[FirstMissingDependencyID]]))</f>
        <v>Workshop Lv 5</v>
      </c>
      <c r="O125" s="2" t="str" cm="1">
        <f t="array" ref="O1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25" t="str">
        <f>IF(tblTargetStatus[[#This Row],[FirstMissingDependencyID]]="","",_xlfn.XLOOKUP(tblTargetStatus[[#This Row],[FirstMissingDependencyID]],tblTargetStatus[TargetID],tblTargetStatus[Status],""))</f>
        <v>BLOCKED</v>
      </c>
      <c r="Q125" t="str">
        <f>IF(
 tblTargetStatus[[#This Row],[Status]]&lt;&gt;"BLOCKED",
 tblTargetStatus[[#This Row],[Status]],
 IF(
  AND(
   tblTargetStatus[[#This Row],[MissingDependencies]]=1,
   tblTargetStatus[[#This Row],[FirstMissingStatus]]="READY"
  ),
  "ONE AWAY",
  "BLOCKED"
 )
)</f>
        <v>BLOCKED</v>
      </c>
      <c r="R125">
        <f>IF(
 OR(
  tblTargetStatus[[#This Row],[StateType]]="CHARACTER",
  RIGHT(tblTargetStatus[[#This Row],[TargetID]],6)=".maxed"
 ),
 0,
 _xlfn.LET(
  _xlpm.sort,
   _xlfn.XLOOKUP(
    tblTargetStatus[[#This Row],[TargetID]],
    tblChecklist[TargetID],
    tblChecklist[PlayerSort],
    0
   ),
  IF(_xlpm.sort=0,500,_xlpm.sort)
 )
)</f>
        <v>0</v>
      </c>
      <c r="S125" t="str" cm="1">
        <f t="array" ref="S12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 Conveyor Lvl 1, Workshop - Conveyor Lvl 1, Workshop - Explosive Mechanical Spider, Workshop - Mechanical Spider, Workshop - Mechanism, Workshop - Shield For A Hero Lvl 1, Workshop - Shield For A Hero Lvl 2, Workshop - Shield For A Hero Lvl 3, Workshop - Shield For A Hero Lvl 4, Workshop - Shield For A Hero Lvl 4+, Workshop - Steamobile, Workshop - Strong Glue, Workshop - Throwing Net, Workshop - Zen Fountain</v>
      </c>
      <c r="T125" t="str">
        <f>_xlfn.XLOOKUP(tblTargetStatus[[#This Row],[TargetID]],tblTargets[TargetID],tblTargets[CompletionMethod],"")</f>
        <v>AUTO</v>
      </c>
      <c r="U125" t="b">
        <f>COUNTIF(
    tblCost[TargetID],
    tblTargetStatus[[#This Row],[TargetID]]
)&gt;0</f>
        <v>0</v>
      </c>
      <c r="V125" s="81" t="str">
        <f>IF(tblTargetStatus[[#This Row],[HasCost]]=FALSE,
"N/A",
_xlfn.XLOOKUP(
tblTargetStatus[[#This Row],[TargetID]],
tblCost[TargetID],
tblCost[FundingPercent],
""
)
)</f>
        <v>N/A</v>
      </c>
      <c r="W125" t="str">
        <f>IF(
COUNTIF(tblCost[TargetID],tblTargetStatus[[#This Row],[TargetID]])=0,
"",
_xlfn.XLOOKUP(
tblTargetStatus[[#This Row],[TargetID]],
tblCost[TargetID],
tblCost[RemainingRequirements],
""
)
)</f>
        <v/>
      </c>
      <c r="X125" s="79" t="str">
        <f>IF(tblTargetStatus[[#This Row],[HasCost]]=FALSE,"N/A",_xlfn.XLOOKUP(
tblTargetStatus[[#This Row],[TargetID]],
tblCost[TargetID],
tblCost[TargetFunded],
TRUE
))</f>
        <v>N/A</v>
      </c>
      <c r="Y125" t="str" cm="1">
        <f t="array" ref="Y125">_xlfn.TEXTJOIN(
", ",
TRUE,
_xlfn._xlws.FILTER(
tblCost[ResourceID]&amp;": "&amp;tblCost[QuantityRequired],
(tblCost[TargetID]=tblTargetStatus[[#This Row],[TargetID]])*
(tblCost[PlayerPaid]=FALSE),
""
)
)</f>
        <v/>
      </c>
      <c r="Z1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5" t="str" cm="1">
        <f t="array" ref="AA12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6" spans="1:27">
      <c r="A126" t="s">
        <v>157</v>
      </c>
      <c r="B126" t="str">
        <f>_xlfn.XLOOKUP(tblTargetStatus[[#This Row],[TargetID]],tblTargets[TargetID],tblTargets[DisplayName],"")</f>
        <v>Workshop Lv 1</v>
      </c>
      <c r="C126" t="str">
        <f>IF(tblTargetStatus[[#This Row],[PlayerCompleted]],"COMPLETED",IF(tblTargetStatus[[#This Row],[MissingDependencies]]=0,"READY","BLOCKED"))</f>
        <v>BLOCKED</v>
      </c>
      <c r="D1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6" t="str">
        <f>_xlfn.XLOOKUP(tblTargetStatus[[#This Row],[TargetID]],tblTargets[TargetID],tblTargets[TargetType],"")</f>
        <v>BUILDING</v>
      </c>
      <c r="F126" t="str">
        <f>_xlfn.XLOOKUP(tblTargetStatus[[#This Row],[TargetID]],tblTargets[TargetID],tblTargets[StateType])</f>
        <v/>
      </c>
      <c r="G126">
        <f>_xlfn.LET(
_xlpm.id,tblTargetStatus[[#This Row],[TargetID]],
_xlpm.depCount,COUNTIF(tblDependencies[TargetID],_xlpm.id),
_xlpm.objCount,COUNTIF(tblQuestObjectives[QuestTargetID],_xlpm.id),
_xlpm.depCount+_xlpm.objCount
)</f>
        <v>1</v>
      </c>
      <c r="H126">
        <f>tblTargetStatus[[#This Row],[DependencyCount]]</f>
        <v>1</v>
      </c>
      <c r="I126" cm="1">
        <f t="array" ref="I1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6">
        <f>tblTargetStatus[[#This Row],[CompletedDependencyCount]]</f>
        <v>0</v>
      </c>
      <c r="K126" t="b">
        <f>tblTargetStatus[[#This Row],[CompletedDependencies]]=tblTargetStatus[[#This Row],[TotalDependencies]]</f>
        <v>0</v>
      </c>
      <c r="L126">
        <f>tblTargetStatus[[#This Row],[TotalDependencies]]-tblTargetStatus[[#This Row],[CompletedDependencies]]</f>
        <v>1</v>
      </c>
      <c r="M126" t="str" cm="1">
        <f t="array" ref="M1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state.character_level@2</v>
      </c>
      <c r="N126" t="str">
        <f>IF(tblTargetStatus[[#This Row],[FirstMissingDependencyID]]="","",_xlfn.XLOOKUP(tblTargetStatus[[#This Row],[FirstMissingDependencyID]],tblTargets[TargetID],tblTargets[DisplayName],tblTargetStatus[[#This Row],[FirstMissingDependencyID]]))</f>
        <v>Character Level@2</v>
      </c>
      <c r="O126" s="2" t="str" cm="1">
        <f t="array" ref="O1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ruby,20 coin,10 wood,10 stone</v>
      </c>
      <c r="P126" t="str">
        <f>IF(tblTargetStatus[[#This Row],[FirstMissingDependencyID]]="","",_xlfn.XLOOKUP(tblTargetStatus[[#This Row],[FirstMissingDependencyID]],tblTargetStatus[TargetID],tblTargetStatus[Status],""))</f>
        <v>READY</v>
      </c>
      <c r="Q126" t="str">
        <f>IF(
 tblTargetStatus[[#This Row],[Status]]&lt;&gt;"BLOCKED",
 tblTargetStatus[[#This Row],[Status]],
 IF(
  AND(
   tblTargetStatus[[#This Row],[MissingDependencies]]=1,
   tblTargetStatus[[#This Row],[FirstMissingStatus]]="READY"
  ),
  "ONE AWAY",
  "BLOCKED"
 )
)</f>
        <v>ONE AWAY</v>
      </c>
      <c r="R126">
        <f>IF(
 OR(
  tblTargetStatus[[#This Row],[StateType]]="CHARACTER",
  RIGHT(tblTargetStatus[[#This Row],[TargetID]],6)=".maxed"
 ),
 0,
 _xlfn.LET(
  _xlpm.sort,
   _xlfn.XLOOKUP(
    tblTargetStatus[[#This Row],[TargetID]],
    tblChecklist[TargetID],
    tblChecklist[PlayerSort],
    0
   ),
  IF(_xlpm.sort=0,500,_xlpm.sort)
 )
)</f>
        <v>30</v>
      </c>
      <c r="S126" t="str" cm="1">
        <f t="array" ref="S12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Lv 2</v>
      </c>
      <c r="T126" t="str">
        <f>_xlfn.XLOOKUP(tblTargetStatus[[#This Row],[TargetID]],tblTargets[TargetID],tblTargets[CompletionMethod],"")</f>
        <v>PLAYER</v>
      </c>
      <c r="U126" t="b">
        <f>COUNTIF(
    tblCost[TargetID],
    tblTargetStatus[[#This Row],[TargetID]]
)&gt;0</f>
        <v>1</v>
      </c>
      <c r="V126" s="81">
        <f>IF(tblTargetStatus[[#This Row],[HasCost]]=FALSE,
"N/A",
_xlfn.XLOOKUP(
tblTargetStatus[[#This Row],[TargetID]],
tblCost[TargetID],
tblCost[FundingPercent],
""
)
)</f>
        <v>0</v>
      </c>
      <c r="W126">
        <f>IF(
COUNTIF(tblCost[TargetID],tblTargetStatus[[#This Row],[TargetID]])=0,
"",
_xlfn.XLOOKUP(
tblTargetStatus[[#This Row],[TargetID]],
tblCost[TargetID],
tblCost[RemainingRequirements],
""
)
)</f>
        <v>4</v>
      </c>
      <c r="X126" s="79" t="b">
        <f>IF(tblTargetStatus[[#This Row],[HasCost]]=FALSE,"N/A",_xlfn.XLOOKUP(
tblTargetStatus[[#This Row],[TargetID]],
tblCost[TargetID],
tblCost[TargetFunded],
TRUE
))</f>
        <v>0</v>
      </c>
      <c r="Y126" t="str" cm="1">
        <f t="array" ref="Y126">_xlfn.TEXTJOIN(
", ",
TRUE,
_xlfn._xlws.FILTER(
tblCost[ResourceID]&amp;": "&amp;tblCost[QuantityRequired],
(tblCost[TargetID]=tblTargetStatus[[#This Row],[TargetID]])*
(tblCost[PlayerPaid]=FALSE),
""
)
)</f>
        <v>ruby: 1, coin: 20, wood: 10, stone: 10</v>
      </c>
      <c r="Z1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6" t="str" cm="1">
        <f t="array" ref="AA12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7" spans="1:27">
      <c r="A127" t="s">
        <v>159</v>
      </c>
      <c r="B127" t="str">
        <f>_xlfn.XLOOKUP(tblTargetStatus[[#This Row],[TargetID]],tblTargets[TargetID],tblTargets[DisplayName],"")</f>
        <v>Workshop Lv 2</v>
      </c>
      <c r="C127" t="str">
        <f>IF(tblTargetStatus[[#This Row],[PlayerCompleted]],"COMPLETED",IF(tblTargetStatus[[#This Row],[MissingDependencies]]=0,"READY","BLOCKED"))</f>
        <v>BLOCKED</v>
      </c>
      <c r="D1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7" t="str">
        <f>_xlfn.XLOOKUP(tblTargetStatus[[#This Row],[TargetID]],tblTargets[TargetID],tblTargets[TargetType],"")</f>
        <v>BUILDING</v>
      </c>
      <c r="F127" t="str">
        <f>_xlfn.XLOOKUP(tblTargetStatus[[#This Row],[TargetID]],tblTargets[TargetID],tblTargets[StateType])</f>
        <v/>
      </c>
      <c r="G127">
        <f>_xlfn.LET(
_xlpm.id,tblTargetStatus[[#This Row],[TargetID]],
_xlpm.depCount,COUNTIF(tblDependencies[TargetID],_xlpm.id),
_xlpm.objCount,COUNTIF(tblQuestObjectives[QuestTargetID],_xlpm.id),
_xlpm.depCount+_xlpm.objCount
)</f>
        <v>1</v>
      </c>
      <c r="H127">
        <f>tblTargetStatus[[#This Row],[DependencyCount]]</f>
        <v>1</v>
      </c>
      <c r="I127" cm="1">
        <f t="array" ref="I1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7">
        <f>tblTargetStatus[[#This Row],[CompletedDependencyCount]]</f>
        <v>0</v>
      </c>
      <c r="K127" t="b">
        <f>tblTargetStatus[[#This Row],[CompletedDependencies]]=tblTargetStatus[[#This Row],[TotalDependencies]]</f>
        <v>0</v>
      </c>
      <c r="L127">
        <f>tblTargetStatus[[#This Row],[TotalDependencies]]-tblTargetStatus[[#This Row],[CompletedDependencies]]</f>
        <v>1</v>
      </c>
      <c r="M127" t="str" cm="1">
        <f t="array" ref="M1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building.workshop@1</v>
      </c>
      <c r="N127" t="str">
        <f>IF(tblTargetStatus[[#This Row],[FirstMissingDependencyID]]="","",_xlfn.XLOOKUP(tblTargetStatus[[#This Row],[FirstMissingDependencyID]],tblTargets[TargetID],tblTargets[DisplayName],tblTargetStatus[[#This Row],[FirstMissingDependencyID]]))</f>
        <v>Workshop Lv 1</v>
      </c>
      <c r="O127" s="2" t="str" cm="1">
        <f t="array" ref="O1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ruby,80 coin,40 wood,40 stone</v>
      </c>
      <c r="P127" t="str">
        <f>IF(tblTargetStatus[[#This Row],[FirstMissingDependencyID]]="","",_xlfn.XLOOKUP(tblTargetStatus[[#This Row],[FirstMissingDependencyID]],tblTargetStatus[TargetID],tblTargetStatus[Status],""))</f>
        <v>BLOCKED</v>
      </c>
      <c r="Q127" t="str">
        <f>IF(
 tblTargetStatus[[#This Row],[Status]]&lt;&gt;"BLOCKED",
 tblTargetStatus[[#This Row],[Status]],
 IF(
  AND(
   tblTargetStatus[[#This Row],[MissingDependencies]]=1,
   tblTargetStatus[[#This Row],[FirstMissingStatus]]="READY"
  ),
  "ONE AWAY",
  "BLOCKED"
 )
)</f>
        <v>BLOCKED</v>
      </c>
      <c r="R127">
        <f>IF(
 OR(
  tblTargetStatus[[#This Row],[StateType]]="CHARACTER",
  RIGHT(tblTargetStatus[[#This Row],[TargetID]],6)=".maxed"
 ),
 0,
 _xlfn.LET(
  _xlpm.sort,
   _xlfn.XLOOKUP(
    tblTargetStatus[[#This Row],[TargetID]],
    tblChecklist[TargetID],
    tblChecklist[PlayerSort],
    0
   ),
  IF(_xlpm.sort=0,500,_xlpm.sort)
 )
)</f>
        <v>31</v>
      </c>
      <c r="S127" t="str" cm="1">
        <f t="array" ref="S12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Lv 3</v>
      </c>
      <c r="T127" t="str">
        <f>_xlfn.XLOOKUP(tblTargetStatus[[#This Row],[TargetID]],tblTargets[TargetID],tblTargets[CompletionMethod],"")</f>
        <v>PLAYER</v>
      </c>
      <c r="U127" t="b">
        <f>COUNTIF(
    tblCost[TargetID],
    tblTargetStatus[[#This Row],[TargetID]]
)&gt;0</f>
        <v>1</v>
      </c>
      <c r="V127" s="81">
        <f>IF(tblTargetStatus[[#This Row],[HasCost]]=FALSE,
"N/A",
_xlfn.XLOOKUP(
tblTargetStatus[[#This Row],[TargetID]],
tblCost[TargetID],
tblCost[FundingPercent],
""
)
)</f>
        <v>0</v>
      </c>
      <c r="W127">
        <f>IF(
COUNTIF(tblCost[TargetID],tblTargetStatus[[#This Row],[TargetID]])=0,
"",
_xlfn.XLOOKUP(
tblTargetStatus[[#This Row],[TargetID]],
tblCost[TargetID],
tblCost[RemainingRequirements],
""
)
)</f>
        <v>4</v>
      </c>
      <c r="X127" s="79" t="b">
        <f>IF(tblTargetStatus[[#This Row],[HasCost]]=FALSE,"N/A",_xlfn.XLOOKUP(
tblTargetStatus[[#This Row],[TargetID]],
tblCost[TargetID],
tblCost[TargetFunded],
TRUE
))</f>
        <v>0</v>
      </c>
      <c r="Y127" t="str" cm="1">
        <f t="array" ref="Y127">_xlfn.TEXTJOIN(
", ",
TRUE,
_xlfn._xlws.FILTER(
tblCost[ResourceID]&amp;": "&amp;tblCost[QuantityRequired],
(tblCost[TargetID]=tblTargetStatus[[#This Row],[TargetID]])*
(tblCost[PlayerPaid]=FALSE),
""
)
)</f>
        <v>ruby: 2, coin: 80, wood: 40, stone: 40</v>
      </c>
      <c r="Z1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7" t="str" cm="1">
        <f t="array" ref="AA12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8" spans="1:27">
      <c r="A128" t="s">
        <v>160</v>
      </c>
      <c r="B128" t="str">
        <f>_xlfn.XLOOKUP(tblTargetStatus[[#This Row],[TargetID]],tblTargets[TargetID],tblTargets[DisplayName],"")</f>
        <v>Workshop Lv 3</v>
      </c>
      <c r="C128" t="str">
        <f>IF(tblTargetStatus[[#This Row],[PlayerCompleted]],"COMPLETED",IF(tblTargetStatus[[#This Row],[MissingDependencies]]=0,"READY","BLOCKED"))</f>
        <v>BLOCKED</v>
      </c>
      <c r="D1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8" t="str">
        <f>_xlfn.XLOOKUP(tblTargetStatus[[#This Row],[TargetID]],tblTargets[TargetID],tblTargets[TargetType],"")</f>
        <v>BUILDING</v>
      </c>
      <c r="F128" t="str">
        <f>_xlfn.XLOOKUP(tblTargetStatus[[#This Row],[TargetID]],tblTargets[TargetID],tblTargets[StateType])</f>
        <v/>
      </c>
      <c r="G128">
        <f>_xlfn.LET(
_xlpm.id,tblTargetStatus[[#This Row],[TargetID]],
_xlpm.depCount,COUNTIF(tblDependencies[TargetID],_xlpm.id),
_xlpm.objCount,COUNTIF(tblQuestObjectives[QuestTargetID],_xlpm.id),
_xlpm.depCount+_xlpm.objCount
)</f>
        <v>1</v>
      </c>
      <c r="H128">
        <f>tblTargetStatus[[#This Row],[DependencyCount]]</f>
        <v>1</v>
      </c>
      <c r="I128" cm="1">
        <f t="array" ref="I1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8">
        <f>tblTargetStatus[[#This Row],[CompletedDependencyCount]]</f>
        <v>0</v>
      </c>
      <c r="K128" t="b">
        <f>tblTargetStatus[[#This Row],[CompletedDependencies]]=tblTargetStatus[[#This Row],[TotalDependencies]]</f>
        <v>0</v>
      </c>
      <c r="L128">
        <f>tblTargetStatus[[#This Row],[TotalDependencies]]-tblTargetStatus[[#This Row],[CompletedDependencies]]</f>
        <v>1</v>
      </c>
      <c r="M128" t="str" cm="1">
        <f t="array" ref="M1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building.workshop@2</v>
      </c>
      <c r="N128" t="str">
        <f>IF(tblTargetStatus[[#This Row],[FirstMissingDependencyID]]="","",_xlfn.XLOOKUP(tblTargetStatus[[#This Row],[FirstMissingDependencyID]],tblTargets[TargetID],tblTargets[DisplayName],tblTargetStatus[[#This Row],[FirstMissingDependencyID]]))</f>
        <v>Workshop Lv 2</v>
      </c>
      <c r="O128" s="2" t="str" cm="1">
        <f t="array" ref="O1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ruby,160 coin,160 beam,80 stone</v>
      </c>
      <c r="P128" t="str">
        <f>IF(tblTargetStatus[[#This Row],[FirstMissingDependencyID]]="","",_xlfn.XLOOKUP(tblTargetStatus[[#This Row],[FirstMissingDependencyID]],tblTargetStatus[TargetID],tblTargetStatus[Status],""))</f>
        <v>BLOCKED</v>
      </c>
      <c r="Q128" t="str">
        <f>IF(
 tblTargetStatus[[#This Row],[Status]]&lt;&gt;"BLOCKED",
 tblTargetStatus[[#This Row],[Status]],
 IF(
  AND(
   tblTargetStatus[[#This Row],[MissingDependencies]]=1,
   tblTargetStatus[[#This Row],[FirstMissingStatus]]="READY"
  ),
  "ONE AWAY",
  "BLOCKED"
 )
)</f>
        <v>BLOCKED</v>
      </c>
      <c r="R128">
        <f>IF(
 OR(
  tblTargetStatus[[#This Row],[StateType]]="CHARACTER",
  RIGHT(tblTargetStatus[[#This Row],[TargetID]],6)=".maxed"
 ),
 0,
 _xlfn.LET(
  _xlpm.sort,
   _xlfn.XLOOKUP(
    tblTargetStatus[[#This Row],[TargetID]],
    tblChecklist[TargetID],
    tblChecklist[PlayerSort],
    0
   ),
  IF(_xlpm.sort=0,500,_xlpm.sort)
 )
)</f>
        <v>32</v>
      </c>
      <c r="S128" t="str" cm="1">
        <f t="array" ref="S12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Lv 4</v>
      </c>
      <c r="T128" t="str">
        <f>_xlfn.XLOOKUP(tblTargetStatus[[#This Row],[TargetID]],tblTargets[TargetID],tblTargets[CompletionMethod],"")</f>
        <v>PLAYER</v>
      </c>
      <c r="U128" t="b">
        <f>COUNTIF(
    tblCost[TargetID],
    tblTargetStatus[[#This Row],[TargetID]]
)&gt;0</f>
        <v>1</v>
      </c>
      <c r="V128" s="81">
        <f>IF(tblTargetStatus[[#This Row],[HasCost]]=FALSE,
"N/A",
_xlfn.XLOOKUP(
tblTargetStatus[[#This Row],[TargetID]],
tblCost[TargetID],
tblCost[FundingPercent],
""
)
)</f>
        <v>0</v>
      </c>
      <c r="W128">
        <f>IF(
COUNTIF(tblCost[TargetID],tblTargetStatus[[#This Row],[TargetID]])=0,
"",
_xlfn.XLOOKUP(
tblTargetStatus[[#This Row],[TargetID]],
tblCost[TargetID],
tblCost[RemainingRequirements],
""
)
)</f>
        <v>4</v>
      </c>
      <c r="X128" s="79" t="b">
        <f>IF(tblTargetStatus[[#This Row],[HasCost]]=FALSE,"N/A",_xlfn.XLOOKUP(
tblTargetStatus[[#This Row],[TargetID]],
tblCost[TargetID],
tblCost[TargetFunded],
TRUE
))</f>
        <v>0</v>
      </c>
      <c r="Y128" t="str" cm="1">
        <f t="array" ref="Y128">_xlfn.TEXTJOIN(
", ",
TRUE,
_xlfn._xlws.FILTER(
tblCost[ResourceID]&amp;": "&amp;tblCost[QuantityRequired],
(tblCost[TargetID]=tblTargetStatus[[#This Row],[TargetID]])*
(tblCost[PlayerPaid]=FALSE),
""
)
)</f>
        <v>ruby: 3, coin: 160, beam: 160, stone: 80</v>
      </c>
      <c r="Z1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8" t="str" cm="1">
        <f t="array" ref="AA12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29" spans="1:27">
      <c r="A129" t="s">
        <v>161</v>
      </c>
      <c r="B129" t="str">
        <f>_xlfn.XLOOKUP(tblTargetStatus[[#This Row],[TargetID]],tblTargets[TargetID],tblTargets[DisplayName],"")</f>
        <v>Workshop Lv 4</v>
      </c>
      <c r="C129" t="str">
        <f>IF(tblTargetStatus[[#This Row],[PlayerCompleted]],"COMPLETED",IF(tblTargetStatus[[#This Row],[MissingDependencies]]=0,"READY","BLOCKED"))</f>
        <v>BLOCKED</v>
      </c>
      <c r="D1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9" t="str">
        <f>_xlfn.XLOOKUP(tblTargetStatus[[#This Row],[TargetID]],tblTargets[TargetID],tblTargets[TargetType],"")</f>
        <v>BUILDING</v>
      </c>
      <c r="F129" t="str">
        <f>_xlfn.XLOOKUP(tblTargetStatus[[#This Row],[TargetID]],tblTargets[TargetID],tblTargets[StateType])</f>
        <v/>
      </c>
      <c r="G129">
        <f>_xlfn.LET(
_xlpm.id,tblTargetStatus[[#This Row],[TargetID]],
_xlpm.depCount,COUNTIF(tblDependencies[TargetID],_xlpm.id),
_xlpm.objCount,COUNTIF(tblQuestObjectives[QuestTargetID],_xlpm.id),
_xlpm.depCount+_xlpm.objCount
)</f>
        <v>1</v>
      </c>
      <c r="H129">
        <f>tblTargetStatus[[#This Row],[DependencyCount]]</f>
        <v>1</v>
      </c>
      <c r="I129" cm="1">
        <f t="array" ref="I1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9">
        <f>tblTargetStatus[[#This Row],[CompletedDependencyCount]]</f>
        <v>0</v>
      </c>
      <c r="K129" t="b">
        <f>tblTargetStatus[[#This Row],[CompletedDependencies]]=tblTargetStatus[[#This Row],[TotalDependencies]]</f>
        <v>0</v>
      </c>
      <c r="L129">
        <f>tblTargetStatus[[#This Row],[TotalDependencies]]-tblTargetStatus[[#This Row],[CompletedDependencies]]</f>
        <v>1</v>
      </c>
      <c r="M129" t="str" cm="1">
        <f t="array" ref="M1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building.workshop@3</v>
      </c>
      <c r="N129" t="str">
        <f>IF(tblTargetStatus[[#This Row],[FirstMissingDependencyID]]="","",_xlfn.XLOOKUP(tblTargetStatus[[#This Row],[FirstMissingDependencyID]],tblTargets[TargetID],tblTargets[DisplayName],tblTargetStatus[[#This Row],[FirstMissingDependencyID]]))</f>
        <v>Workshop Lv 3</v>
      </c>
      <c r="O129" s="2" t="str" cm="1">
        <f t="array" ref="O1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ruby,500 coin,500 beam,250 stone,20 steel</v>
      </c>
      <c r="P129" t="str">
        <f>IF(tblTargetStatus[[#This Row],[FirstMissingDependencyID]]="","",_xlfn.XLOOKUP(tblTargetStatus[[#This Row],[FirstMissingDependencyID]],tblTargetStatus[TargetID],tblTargetStatus[Status],""))</f>
        <v>BLOCKED</v>
      </c>
      <c r="Q129" t="str">
        <f>IF(
 tblTargetStatus[[#This Row],[Status]]&lt;&gt;"BLOCKED",
 tblTargetStatus[[#This Row],[Status]],
 IF(
  AND(
   tblTargetStatus[[#This Row],[MissingDependencies]]=1,
   tblTargetStatus[[#This Row],[FirstMissingStatus]]="READY"
  ),
  "ONE AWAY",
  "BLOCKED"
 )
)</f>
        <v>BLOCKED</v>
      </c>
      <c r="R129">
        <f>IF(
 OR(
  tblTargetStatus[[#This Row],[StateType]]="CHARACTER",
  RIGHT(tblTargetStatus[[#This Row],[TargetID]],6)=".maxed"
 ),
 0,
 _xlfn.LET(
  _xlpm.sort,
   _xlfn.XLOOKUP(
    tblTargetStatus[[#This Row],[TargetID]],
    tblChecklist[TargetID],
    tblChecklist[PlayerSort],
    0
   ),
  IF(_xlpm.sort=0,500,_xlpm.sort)
 )
)</f>
        <v>33</v>
      </c>
      <c r="S129" t="str" cm="1">
        <f t="array" ref="S12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Lv 5</v>
      </c>
      <c r="T129" t="str">
        <f>_xlfn.XLOOKUP(tblTargetStatus[[#This Row],[TargetID]],tblTargets[TargetID],tblTargets[CompletionMethod],"")</f>
        <v>PLAYER</v>
      </c>
      <c r="U129" t="b">
        <f>COUNTIF(
    tblCost[TargetID],
    tblTargetStatus[[#This Row],[TargetID]]
)&gt;0</f>
        <v>1</v>
      </c>
      <c r="V129" s="81">
        <f>IF(tblTargetStatus[[#This Row],[HasCost]]=FALSE,
"N/A",
_xlfn.XLOOKUP(
tblTargetStatus[[#This Row],[TargetID]],
tblCost[TargetID],
tblCost[FundingPercent],
""
)
)</f>
        <v>0</v>
      </c>
      <c r="W129">
        <f>IF(
COUNTIF(tblCost[TargetID],tblTargetStatus[[#This Row],[TargetID]])=0,
"",
_xlfn.XLOOKUP(
tblTargetStatus[[#This Row],[TargetID]],
tblCost[TargetID],
tblCost[RemainingRequirements],
""
)
)</f>
        <v>5</v>
      </c>
      <c r="X129" s="79" t="b">
        <f>IF(tblTargetStatus[[#This Row],[HasCost]]=FALSE,"N/A",_xlfn.XLOOKUP(
tblTargetStatus[[#This Row],[TargetID]],
tblCost[TargetID],
tblCost[TargetFunded],
TRUE
))</f>
        <v>0</v>
      </c>
      <c r="Y129" t="str" cm="1">
        <f t="array" ref="Y129">_xlfn.TEXTJOIN(
", ",
TRUE,
_xlfn._xlws.FILTER(
tblCost[ResourceID]&amp;": "&amp;tblCost[QuantityRequired],
(tblCost[TargetID]=tblTargetStatus[[#This Row],[TargetID]])*
(tblCost[PlayerPaid]=FALSE),
""
)
)</f>
        <v>ruby: 4, coin: 500, beam: 500, stone: 250, steel: 20</v>
      </c>
      <c r="Z1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9" t="str" cm="1">
        <f t="array" ref="AA12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0" spans="1:27">
      <c r="A130" t="s">
        <v>162</v>
      </c>
      <c r="B130" t="str">
        <f>_xlfn.XLOOKUP(tblTargetStatus[[#This Row],[TargetID]],tblTargets[TargetID],tblTargets[DisplayName],"")</f>
        <v>Workshop Lv 5</v>
      </c>
      <c r="C130" t="str">
        <f>IF(tblTargetStatus[[#This Row],[PlayerCompleted]],"COMPLETED",IF(tblTargetStatus[[#This Row],[MissingDependencies]]=0,"READY","BLOCKED"))</f>
        <v>BLOCKED</v>
      </c>
      <c r="D1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0" t="str">
        <f>_xlfn.XLOOKUP(tblTargetStatus[[#This Row],[TargetID]],tblTargets[TargetID],tblTargets[TargetType],"")</f>
        <v>BUILDING</v>
      </c>
      <c r="F130" t="str">
        <f>_xlfn.XLOOKUP(tblTargetStatus[[#This Row],[TargetID]],tblTargets[TargetID],tblTargets[StateType])</f>
        <v/>
      </c>
      <c r="G130">
        <f>_xlfn.LET(
_xlpm.id,tblTargetStatus[[#This Row],[TargetID]],
_xlpm.depCount,COUNTIF(tblDependencies[TargetID],_xlpm.id),
_xlpm.objCount,COUNTIF(tblQuestObjectives[QuestTargetID],_xlpm.id),
_xlpm.depCount+_xlpm.objCount
)</f>
        <v>1</v>
      </c>
      <c r="H130">
        <f>tblTargetStatus[[#This Row],[DependencyCount]]</f>
        <v>1</v>
      </c>
      <c r="I130" cm="1">
        <f t="array" ref="I1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0">
        <f>tblTargetStatus[[#This Row],[CompletedDependencyCount]]</f>
        <v>0</v>
      </c>
      <c r="K130" t="b">
        <f>tblTargetStatus[[#This Row],[CompletedDependencies]]=tblTargetStatus[[#This Row],[TotalDependencies]]</f>
        <v>0</v>
      </c>
      <c r="L130">
        <f>tblTargetStatus[[#This Row],[TotalDependencies]]-tblTargetStatus[[#This Row],[CompletedDependencies]]</f>
        <v>1</v>
      </c>
      <c r="M130" t="str" cm="1">
        <f t="array" ref="M1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building.workshop@4</v>
      </c>
      <c r="N130" t="str">
        <f>IF(tblTargetStatus[[#This Row],[FirstMissingDependencyID]]="","",_xlfn.XLOOKUP(tblTargetStatus[[#This Row],[FirstMissingDependencyID]],tblTargets[TargetID],tblTargets[DisplayName],tblTargetStatus[[#This Row],[FirstMissingDependencyID]]))</f>
        <v>Workshop Lv 4</v>
      </c>
      <c r="O130" s="2" t="str" cm="1">
        <f t="array" ref="O1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coin,600 beam,300 stone,40 steel</v>
      </c>
      <c r="P130" t="str">
        <f>IF(tblTargetStatus[[#This Row],[FirstMissingDependencyID]]="","",_xlfn.XLOOKUP(tblTargetStatus[[#This Row],[FirstMissingDependencyID]],tblTargetStatus[TargetID],tblTargetStatus[Status],""))</f>
        <v>BLOCKED</v>
      </c>
      <c r="Q130" t="str">
        <f>IF(
 tblTargetStatus[[#This Row],[Status]]&lt;&gt;"BLOCKED",
 tblTargetStatus[[#This Row],[Status]],
 IF(
  AND(
   tblTargetStatus[[#This Row],[MissingDependencies]]=1,
   tblTargetStatus[[#This Row],[FirstMissingStatus]]="READY"
  ),
  "ONE AWAY",
  "BLOCKED"
 )
)</f>
        <v>BLOCKED</v>
      </c>
      <c r="R130">
        <f>IF(
 OR(
  tblTargetStatus[[#This Row],[StateType]]="CHARACTER",
  RIGHT(tblTargetStatus[[#This Row],[TargetID]],6)=".maxed"
 ),
 0,
 _xlfn.LET(
  _xlpm.sort,
   _xlfn.XLOOKUP(
    tblTargetStatus[[#This Row],[TargetID]],
    tblChecklist[TargetID],
    tblChecklist[PlayerSort],
    0
   ),
  IF(_xlpm.sort=0,500,_xlpm.sort)
 )
)</f>
        <v>34</v>
      </c>
      <c r="S130" t="str" cm="1">
        <f t="array" ref="S13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maxed, Barometer, Cinema Projector, Necklace For Haruka, Safe, Solver 1 Prototype, Telescope</v>
      </c>
      <c r="T130" t="str">
        <f>_xlfn.XLOOKUP(tblTargetStatus[[#This Row],[TargetID]],tblTargets[TargetID],tblTargets[CompletionMethod],"")</f>
        <v>PLAYER</v>
      </c>
      <c r="U130" t="b">
        <f>COUNTIF(
    tblCost[TargetID],
    tblTargetStatus[[#This Row],[TargetID]]
)&gt;0</f>
        <v>1</v>
      </c>
      <c r="V130" s="81">
        <f>IF(tblTargetStatus[[#This Row],[HasCost]]=FALSE,
"N/A",
_xlfn.XLOOKUP(
tblTargetStatus[[#This Row],[TargetID]],
tblCost[TargetID],
tblCost[FundingPercent],
""
)
)</f>
        <v>0</v>
      </c>
      <c r="W130">
        <f>IF(
COUNTIF(tblCost[TargetID],tblTargetStatus[[#This Row],[TargetID]])=0,
"",
_xlfn.XLOOKUP(
tblTargetStatus[[#This Row],[TargetID]],
tblCost[TargetID],
tblCost[RemainingRequirements],
""
)
)</f>
        <v>5</v>
      </c>
      <c r="X130" s="79" t="b">
        <f>IF(tblTargetStatus[[#This Row],[HasCost]]=FALSE,"N/A",_xlfn.XLOOKUP(
tblTargetStatus[[#This Row],[TargetID]],
tblCost[TargetID],
tblCost[TargetFunded],
TRUE
))</f>
        <v>0</v>
      </c>
      <c r="Y130" t="str" cm="1">
        <f t="array" ref="Y130">_xlfn.TEXTJOIN(
", ",
TRUE,
_xlfn._xlws.FILTER(
tblCost[ResourceID]&amp;": "&amp;tblCost[QuantityRequired],
(tblCost[TargetID]=tblTargetStatus[[#This Row],[TargetID]])*
(tblCost[PlayerPaid]=FALSE),
""
)
)</f>
        <v>ruby: 5, coin: 1000, beam: 600, stone: 300, steel: 40</v>
      </c>
      <c r="Z1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0" t="str" cm="1">
        <f t="array" ref="AA13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1" spans="1:27">
      <c r="A131" t="s">
        <v>2562</v>
      </c>
      <c r="B131" t="str">
        <f>_xlfn.XLOOKUP(tblTargetStatus[[#This Row],[TargetID]],tblTargets[TargetID],tblTargets[DisplayName],"")</f>
        <v>Armory</v>
      </c>
      <c r="C131" t="str">
        <f>IF(tblTargetStatus[[#This Row],[PlayerCompleted]],"COMPLETED",IF(tblTargetStatus[[#This Row],[MissingDependencies]]=0,"READY","BLOCKED"))</f>
        <v>BLOCKED</v>
      </c>
      <c r="D1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1" t="str">
        <f>_xlfn.XLOOKUP(tblTargetStatus[[#This Row],[TargetID]],tblTargets[TargetID],tblTargets[TargetType],"")</f>
        <v>CITADEL</v>
      </c>
      <c r="F131" t="str">
        <f>_xlfn.XLOOKUP(tblTargetStatus[[#This Row],[TargetID]],tblTargets[TargetID],tblTargets[StateType])</f>
        <v/>
      </c>
      <c r="G131">
        <f>_xlfn.LET(
_xlpm.id,tblTargetStatus[[#This Row],[TargetID]],
_xlpm.depCount,COUNTIF(tblDependencies[TargetID],_xlpm.id),
_xlpm.objCount,COUNTIF(tblQuestObjectives[QuestTargetID],_xlpm.id),
_xlpm.depCount+_xlpm.objCount
)</f>
        <v>2</v>
      </c>
      <c r="H131">
        <f>tblTargetStatus[[#This Row],[DependencyCount]]</f>
        <v>2</v>
      </c>
      <c r="I131" cm="1">
        <f t="array" ref="I1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1">
        <f>tblTargetStatus[[#This Row],[CompletedDependencyCount]]</f>
        <v>0</v>
      </c>
      <c r="K131" t="b">
        <f>tblTargetStatus[[#This Row],[CompletedDependencies]]=tblTargetStatus[[#This Row],[TotalDependencies]]</f>
        <v>0</v>
      </c>
      <c r="L131">
        <f>tblTargetStatus[[#This Row],[TotalDependencies]]-tblTargetStatus[[#This Row],[CompletedDependencies]]</f>
        <v>2</v>
      </c>
      <c r="M131" t="str" cm="1">
        <f t="array" ref="M1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31" t="str">
        <f>IF(tblTargetStatus[[#This Row],[FirstMissingDependencyID]]="","",_xlfn.XLOOKUP(tblTargetStatus[[#This Row],[FirstMissingDependencyID]],tblTargets[TargetID],tblTargets[DisplayName],tblTargetStatus[[#This Row],[FirstMissingDependencyID]]))</f>
        <v>Dungeon - Great Hall</v>
      </c>
      <c r="O131" t="str" cm="1">
        <f t="array" ref="O1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beam,500 coin,15 page,3 ruby,100 steel,500 stone</v>
      </c>
      <c r="P131" t="str">
        <f>IF(tblTargetStatus[[#This Row],[FirstMissingDependencyID]]="","",_xlfn.XLOOKUP(tblTargetStatus[[#This Row],[FirstMissingDependencyID]],tblTargetStatus[TargetID],tblTargetStatus[Status],""))</f>
        <v>BLOCKED</v>
      </c>
      <c r="Q131" t="str">
        <f>IF(
 tblTargetStatus[[#This Row],[Status]]&lt;&gt;"BLOCKED",
 tblTargetStatus[[#This Row],[Status]],
 IF(
  AND(
   tblTargetStatus[[#This Row],[MissingDependencies]]=1,
   tblTargetStatus[[#This Row],[FirstMissingStatus]]="READY"
  ),
  "ONE AWAY",
  "BLOCKED"
 )
)</f>
        <v>BLOCKED</v>
      </c>
      <c r="R131">
        <f>IF(
 OR(
  tblTargetStatus[[#This Row],[StateType]]="CHARACTER",
  RIGHT(tblTargetStatus[[#This Row],[TargetID]],6)=".maxed"
 ),
 0,
 _xlfn.LET(
  _xlpm.sort,
   _xlfn.XLOOKUP(
    tblTargetStatus[[#This Row],[TargetID]],
    tblChecklist[TargetID],
    tblChecklist[PlayerSort],
    0
   ),
  IF(_xlpm.sort=0,500,_xlpm.sort)
 )
)</f>
        <v>500</v>
      </c>
      <c r="S131" t="str" cm="1">
        <f t="array" ref="S13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Armory 1 Lv 1</v>
      </c>
      <c r="T131" t="str">
        <f>_xlfn.XLOOKUP(tblTargetStatus[[#This Row],[TargetID]],tblTargets[TargetID],tblTargets[CompletionMethod],"")</f>
        <v>PLAYER</v>
      </c>
      <c r="U131" t="b">
        <f>COUNTIF(
    tblCost[TargetID],
    tblTargetStatus[[#This Row],[TargetID]]
)&gt;0</f>
        <v>1</v>
      </c>
      <c r="V131" s="81">
        <f>IF(tblTargetStatus[[#This Row],[HasCost]]=FALSE,
"N/A",
_xlfn.XLOOKUP(
tblTargetStatus[[#This Row],[TargetID]],
tblCost[TargetID],
tblCost[FundingPercent],
""
)
)</f>
        <v>0</v>
      </c>
      <c r="W131">
        <f>IF(
COUNTIF(tblCost[TargetID],tblTargetStatus[[#This Row],[TargetID]])=0,
"",
_xlfn.XLOOKUP(
tblTargetStatus[[#This Row],[TargetID]],
tblCost[TargetID],
tblCost[RemainingRequirements],
""
)
)</f>
        <v>6</v>
      </c>
      <c r="X131" s="79" t="b">
        <f>IF(tblTargetStatus[[#This Row],[HasCost]]=FALSE,"N/A",_xlfn.XLOOKUP(
tblTargetStatus[[#This Row],[TargetID]],
tblCost[TargetID],
tblCost[TargetFunded],
TRUE
))</f>
        <v>0</v>
      </c>
      <c r="Y131" t="str" cm="1">
        <f t="array" ref="Y131">_xlfn.TEXTJOIN(
", ",
TRUE,
_xlfn._xlws.FILTER(
tblCost[ResourceID]&amp;": "&amp;tblCost[QuantityRequired],
(tblCost[TargetID]=tblTargetStatus[[#This Row],[TargetID]])*
(tblCost[PlayerPaid]=FALSE),
""
)
)</f>
        <v>beam: 500, coin: 500, page: 15, ruby: 3, steel: 100, stone: 500</v>
      </c>
      <c r="Z1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1" t="str" cm="1">
        <f t="array" ref="AA13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2" spans="1:27">
      <c r="A132" t="s">
        <v>2564</v>
      </c>
      <c r="B132" t="str">
        <f>_xlfn.XLOOKUP(tblTargetStatus[[#This Row],[TargetID]],tblTargets[TargetID],tblTargets[DisplayName],"")</f>
        <v>Attic</v>
      </c>
      <c r="C132" t="str">
        <f>IF(tblTargetStatus[[#This Row],[PlayerCompleted]],"COMPLETED",IF(tblTargetStatus[[#This Row],[MissingDependencies]]=0,"READY","BLOCKED"))</f>
        <v>BLOCKED</v>
      </c>
      <c r="D1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2" t="str">
        <f>_xlfn.XLOOKUP(tblTargetStatus[[#This Row],[TargetID]],tblTargets[TargetID],tblTargets[TargetType],"")</f>
        <v>CITADEL</v>
      </c>
      <c r="F132" t="str">
        <f>_xlfn.XLOOKUP(tblTargetStatus[[#This Row],[TargetID]],tblTargets[TargetID],tblTargets[StateType])</f>
        <v/>
      </c>
      <c r="G132">
        <f>_xlfn.LET(
_xlpm.id,tblTargetStatus[[#This Row],[TargetID]],
_xlpm.depCount,COUNTIF(tblDependencies[TargetID],_xlpm.id),
_xlpm.objCount,COUNTIF(tblQuestObjectives[QuestTargetID],_xlpm.id),
_xlpm.depCount+_xlpm.objCount
)</f>
        <v>2</v>
      </c>
      <c r="H132">
        <f>tblTargetStatus[[#This Row],[DependencyCount]]</f>
        <v>2</v>
      </c>
      <c r="I132" cm="1">
        <f t="array" ref="I1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2">
        <f>tblTargetStatus[[#This Row],[CompletedDependencyCount]]</f>
        <v>0</v>
      </c>
      <c r="K132" t="b">
        <f>tblTargetStatus[[#This Row],[CompletedDependencies]]=tblTargetStatus[[#This Row],[TotalDependencies]]</f>
        <v>0</v>
      </c>
      <c r="L132">
        <f>tblTargetStatus[[#This Row],[TotalDependencies]]-tblTargetStatus[[#This Row],[CompletedDependencies]]</f>
        <v>2</v>
      </c>
      <c r="M132" t="str" cm="1">
        <f t="array" ref="M1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32" t="str">
        <f>IF(tblTargetStatus[[#This Row],[FirstMissingDependencyID]]="","",_xlfn.XLOOKUP(tblTargetStatus[[#This Row],[FirstMissingDependencyID]],tblTargets[TargetID],tblTargets[DisplayName],tblTargetStatus[[#This Row],[FirstMissingDependencyID]]))</f>
        <v>Dungeon - Great Hall</v>
      </c>
      <c r="O132" t="str" cm="1">
        <f t="array" ref="O1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32" t="str">
        <f>IF(tblTargetStatus[[#This Row],[FirstMissingDependencyID]]="","",_xlfn.XLOOKUP(tblTargetStatus[[#This Row],[FirstMissingDependencyID]],tblTargetStatus[TargetID],tblTargetStatus[Status],""))</f>
        <v>BLOCKED</v>
      </c>
      <c r="Q132" t="str">
        <f>IF(
 tblTargetStatus[[#This Row],[Status]]&lt;&gt;"BLOCKED",
 tblTargetStatus[[#This Row],[Status]],
 IF(
  AND(
   tblTargetStatus[[#This Row],[MissingDependencies]]=1,
   tblTargetStatus[[#This Row],[FirstMissingStatus]]="READY"
  ),
  "ONE AWAY",
  "BLOCKED"
 )
)</f>
        <v>BLOCKED</v>
      </c>
      <c r="R132">
        <f>IF(
 OR(
  tblTargetStatus[[#This Row],[StateType]]="CHARACTER",
  RIGHT(tblTargetStatus[[#This Row],[TargetID]],6)=".maxed"
 ),
 0,
 _xlfn.LET(
  _xlpm.sort,
   _xlfn.XLOOKUP(
    tblTargetStatus[[#This Row],[TargetID]],
    tblChecklist[TargetID],
    tblChecklist[PlayerSort],
    0
   ),
  IF(_xlpm.sort=0,500,_xlpm.sort)
 )
)</f>
        <v>500</v>
      </c>
      <c r="S132" t="str" cm="1">
        <f t="array" ref="S13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Attic Lv 1</v>
      </c>
      <c r="T132" t="str">
        <f>_xlfn.XLOOKUP(tblTargetStatus[[#This Row],[TargetID]],tblTargets[TargetID],tblTargets[CompletionMethod],"")</f>
        <v>PLAYER</v>
      </c>
      <c r="U132" t="b">
        <f>COUNTIF(
    tblCost[TargetID],
    tblTargetStatus[[#This Row],[TargetID]]
)&gt;0</f>
        <v>1</v>
      </c>
      <c r="V132" s="81">
        <f>IF(tblTargetStatus[[#This Row],[HasCost]]=FALSE,
"N/A",
_xlfn.XLOOKUP(
tblTargetStatus[[#This Row],[TargetID]],
tblCost[TargetID],
tblCost[FundingPercent],
""
)
)</f>
        <v>0</v>
      </c>
      <c r="W132">
        <f>IF(
COUNTIF(tblCost[TargetID],tblTargetStatus[[#This Row],[TargetID]])=0,
"",
_xlfn.XLOOKUP(
tblTargetStatus[[#This Row],[TargetID]],
tblCost[TargetID],
tblCost[RemainingRequirements],
""
)
)</f>
        <v>5</v>
      </c>
      <c r="X132" s="79" t="b">
        <f>IF(tblTargetStatus[[#This Row],[HasCost]]=FALSE,"N/A",_xlfn.XLOOKUP(
tblTargetStatus[[#This Row],[TargetID]],
tblCost[TargetID],
tblCost[TargetFunded],
TRUE
))</f>
        <v>0</v>
      </c>
      <c r="Y132" t="str" cm="1">
        <f t="array" ref="Y132">_xlfn.TEXTJOIN(
", ",
TRUE,
_xlfn._xlws.FILTER(
tblCost[ResourceID]&amp;": "&amp;tblCost[QuantityRequired],
(tblCost[TargetID]=tblTargetStatus[[#This Row],[TargetID]])*
(tblCost[PlayerPaid]=FALSE),
""
)
)</f>
        <v>beam: 400, coin: 400, page: 10, ruby: 2, stone: 400</v>
      </c>
      <c r="Z1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2" t="str" cm="1">
        <f t="array" ref="AA13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3" spans="1:27">
      <c r="A133" t="s">
        <v>2565</v>
      </c>
      <c r="B133" t="str">
        <f>_xlfn.XLOOKUP(tblTargetStatus[[#This Row],[TargetID]],tblTargets[TargetID],tblTargets[DisplayName],"")</f>
        <v>Cheese Cave</v>
      </c>
      <c r="C133" t="str">
        <f>IF(tblTargetStatus[[#This Row],[PlayerCompleted]],"COMPLETED",IF(tblTargetStatus[[#This Row],[MissingDependencies]]=0,"READY","BLOCKED"))</f>
        <v>BLOCKED</v>
      </c>
      <c r="D1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3" t="str">
        <f>_xlfn.XLOOKUP(tblTargetStatus[[#This Row],[TargetID]],tblTargets[TargetID],tblTargets[TargetType],"")</f>
        <v>CITADEL</v>
      </c>
      <c r="F133" t="str">
        <f>_xlfn.XLOOKUP(tblTargetStatus[[#This Row],[TargetID]],tblTargets[TargetID],tblTargets[StateType])</f>
        <v/>
      </c>
      <c r="G133">
        <f>_xlfn.LET(
_xlpm.id,tblTargetStatus[[#This Row],[TargetID]],
_xlpm.depCount,COUNTIF(tblDependencies[TargetID],_xlpm.id),
_xlpm.objCount,COUNTIF(tblQuestObjectives[QuestTargetID],_xlpm.id),
_xlpm.depCount+_xlpm.objCount
)</f>
        <v>2</v>
      </c>
      <c r="H133">
        <f>tblTargetStatus[[#This Row],[DependencyCount]]</f>
        <v>2</v>
      </c>
      <c r="I133" cm="1">
        <f t="array" ref="I1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3">
        <f>tblTargetStatus[[#This Row],[CompletedDependencyCount]]</f>
        <v>0</v>
      </c>
      <c r="K133" t="b">
        <f>tblTargetStatus[[#This Row],[CompletedDependencies]]=tblTargetStatus[[#This Row],[TotalDependencies]]</f>
        <v>0</v>
      </c>
      <c r="L133">
        <f>tblTargetStatus[[#This Row],[TotalDependencies]]-tblTargetStatus[[#This Row],[CompletedDependencies]]</f>
        <v>2</v>
      </c>
      <c r="M133" t="str" cm="1">
        <f t="array" ref="M1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133" t="str">
        <f>IF(tblTargetStatus[[#This Row],[FirstMissingDependencyID]]="","",_xlfn.XLOOKUP(tblTargetStatus[[#This Row],[FirstMissingDependencyID]],tblTargets[TargetID],tblTargets[DisplayName],tblTargetStatus[[#This Row],[FirstMissingDependencyID]]))</f>
        <v>Great Hall</v>
      </c>
      <c r="O133" t="str" cm="1">
        <f t="array" ref="O1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1000 coin,10 enzyme,5 grimoire,600 plank,5 ruby,10 softcheese,100 stone</v>
      </c>
      <c r="P133" t="str">
        <f>IF(tblTargetStatus[[#This Row],[FirstMissingDependencyID]]="","",_xlfn.XLOOKUP(tblTargetStatus[[#This Row],[FirstMissingDependencyID]],tblTargetStatus[TargetID],tblTargetStatus[Status],""))</f>
        <v>BLOCKED</v>
      </c>
      <c r="Q133" t="str">
        <f>IF(
 tblTargetStatus[[#This Row],[Status]]&lt;&gt;"BLOCKED",
 tblTargetStatus[[#This Row],[Status]],
 IF(
  AND(
   tblTargetStatus[[#This Row],[MissingDependencies]]=1,
   tblTargetStatus[[#This Row],[FirstMissingStatus]]="READY"
  ),
  "ONE AWAY",
  "BLOCKED"
 )
)</f>
        <v>BLOCKED</v>
      </c>
      <c r="R133">
        <f>IF(
 OR(
  tblTargetStatus[[#This Row],[StateType]]="CHARACTER",
  RIGHT(tblTargetStatus[[#This Row],[TargetID]],6)=".maxed"
 ),
 0,
 _xlfn.LET(
  _xlpm.sort,
   _xlfn.XLOOKUP(
    tblTargetStatus[[#This Row],[TargetID]],
    tblChecklist[TargetID],
    tblChecklist[PlayerSort],
    0
   ),
  IF(_xlpm.sort=0,500,_xlpm.sort)
 )
)</f>
        <v>500</v>
      </c>
      <c r="S133" t="str" cm="1">
        <f t="array" ref="S13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33" t="str">
        <f>_xlfn.XLOOKUP(tblTargetStatus[[#This Row],[TargetID]],tblTargets[TargetID],tblTargets[CompletionMethod],"")</f>
        <v>PLAYER</v>
      </c>
      <c r="U133" t="b">
        <f>COUNTIF(
    tblCost[TargetID],
    tblTargetStatus[[#This Row],[TargetID]]
)&gt;0</f>
        <v>1</v>
      </c>
      <c r="V133" s="81">
        <f>IF(tblTargetStatus[[#This Row],[HasCost]]=FALSE,
"N/A",
_xlfn.XLOOKUP(
tblTargetStatus[[#This Row],[TargetID]],
tblCost[TargetID],
tblCost[FundingPercent],
""
)
)</f>
        <v>0</v>
      </c>
      <c r="W133">
        <f>IF(
COUNTIF(tblCost[TargetID],tblTargetStatus[[#This Row],[TargetID]])=0,
"",
_xlfn.XLOOKUP(
tblTargetStatus[[#This Row],[TargetID]],
tblCost[TargetID],
tblCost[RemainingRequirements],
""
)
)</f>
        <v>7</v>
      </c>
      <c r="X133" s="79" t="b">
        <f>IF(tblTargetStatus[[#This Row],[HasCost]]=FALSE,"N/A",_xlfn.XLOOKUP(
tblTargetStatus[[#This Row],[TargetID]],
tblCost[TargetID],
tblCost[TargetFunded],
TRUE
))</f>
        <v>0</v>
      </c>
      <c r="Y133" t="str" cm="1">
        <f t="array" ref="Y133">_xlfn.TEXTJOIN(
", ",
TRUE,
_xlfn._xlws.FILTER(
tblCost[ResourceID]&amp;": "&amp;tblCost[QuantityRequired],
(tblCost[TargetID]=tblTargetStatus[[#This Row],[TargetID]])*
(tblCost[PlayerPaid]=FALSE),
""
)
)</f>
        <v>coin: 1000, enzyme: 10, grimoire: 5, plank: 600, ruby: 5, softcheese: 10, stone: 100</v>
      </c>
      <c r="Z1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3" t="str" cm="1">
        <f t="array" ref="AA13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4" spans="1:27">
      <c r="A134" t="s">
        <v>2566</v>
      </c>
      <c r="B134" t="str">
        <f>_xlfn.XLOOKUP(tblTargetStatus[[#This Row],[TargetID]],tblTargets[TargetID],tblTargets[DisplayName],"")</f>
        <v>Courtyard</v>
      </c>
      <c r="C134" t="str">
        <f>IF(tblTargetStatus[[#This Row],[PlayerCompleted]],"COMPLETED",IF(tblTargetStatus[[#This Row],[MissingDependencies]]=0,"READY","BLOCKED"))</f>
        <v>BLOCKED</v>
      </c>
      <c r="D1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4" t="str">
        <f>_xlfn.XLOOKUP(tblTargetStatus[[#This Row],[TargetID]],tblTargets[TargetID],tblTargets[TargetType],"")</f>
        <v>CITADEL</v>
      </c>
      <c r="F134" t="str">
        <f>_xlfn.XLOOKUP(tblTargetStatus[[#This Row],[TargetID]],tblTargets[TargetID],tblTargets[StateType])</f>
        <v/>
      </c>
      <c r="G134">
        <f>_xlfn.LET(
_xlpm.id,tblTargetStatus[[#This Row],[TargetID]],
_xlpm.depCount,COUNTIF(tblDependencies[TargetID],_xlpm.id),
_xlpm.objCount,COUNTIF(tblQuestObjectives[QuestTargetID],_xlpm.id),
_xlpm.depCount+_xlpm.objCount
)</f>
        <v>3</v>
      </c>
      <c r="H134">
        <f>tblTargetStatus[[#This Row],[DependencyCount]]</f>
        <v>3</v>
      </c>
      <c r="I134" cm="1">
        <f t="array" ref="I1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4">
        <f>tblTargetStatus[[#This Row],[CompletedDependencyCount]]</f>
        <v>0</v>
      </c>
      <c r="K134" t="b">
        <f>tblTargetStatus[[#This Row],[CompletedDependencies]]=tblTargetStatus[[#This Row],[TotalDependencies]]</f>
        <v>0</v>
      </c>
      <c r="L134">
        <f>tblTargetStatus[[#This Row],[TotalDependencies]]-tblTargetStatus[[#This Row],[CompletedDependencies]]</f>
        <v>3</v>
      </c>
      <c r="M134" t="str" cm="1">
        <f t="array" ref="M1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134" t="str">
        <f>IF(tblTargetStatus[[#This Row],[FirstMissingDependencyID]]="","",_xlfn.XLOOKUP(tblTargetStatus[[#This Row],[FirstMissingDependencyID]],tblTargets[TargetID],tblTargets[DisplayName],tblTargetStatus[[#This Row],[FirstMissingDependencyID]]))</f>
        <v>Great Hall</v>
      </c>
      <c r="O134" t="str" cm="1">
        <f t="array" ref="O1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beam,500 coin,15 page,3 ruby,500 stone</v>
      </c>
      <c r="P134" t="str">
        <f>IF(tblTargetStatus[[#This Row],[FirstMissingDependencyID]]="","",_xlfn.XLOOKUP(tblTargetStatus[[#This Row],[FirstMissingDependencyID]],tblTargetStatus[TargetID],tblTargetStatus[Status],""))</f>
        <v>BLOCKED</v>
      </c>
      <c r="Q134" t="str">
        <f>IF(
 tblTargetStatus[[#This Row],[Status]]&lt;&gt;"BLOCKED",
 tblTargetStatus[[#This Row],[Status]],
 IF(
  AND(
   tblTargetStatus[[#This Row],[MissingDependencies]]=1,
   tblTargetStatus[[#This Row],[FirstMissingStatus]]="READY"
  ),
  "ONE AWAY",
  "BLOCKED"
 )
)</f>
        <v>BLOCKED</v>
      </c>
      <c r="R134">
        <f>IF(
 OR(
  tblTargetStatus[[#This Row],[StateType]]="CHARACTER",
  RIGHT(tblTargetStatus[[#This Row],[TargetID]],6)=".maxed"
 ),
 0,
 _xlfn.LET(
  _xlpm.sort,
   _xlfn.XLOOKUP(
    tblTargetStatus[[#This Row],[TargetID]],
    tblChecklist[TargetID],
    tblChecklist[PlayerSort],
    0
   ),
  IF(_xlpm.sort=0,500,_xlpm.sort)
 )
)</f>
        <v>500</v>
      </c>
      <c r="S134" t="str" cm="1">
        <f t="array" ref="S13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Courtyard 1 Lv 1, Courtyard 2 Lv 1</v>
      </c>
      <c r="T134" t="str">
        <f>_xlfn.XLOOKUP(tblTargetStatus[[#This Row],[TargetID]],tblTargets[TargetID],tblTargets[CompletionMethod],"")</f>
        <v>PLAYER</v>
      </c>
      <c r="U134" t="b">
        <f>COUNTIF(
    tblCost[TargetID],
    tblTargetStatus[[#This Row],[TargetID]]
)&gt;0</f>
        <v>1</v>
      </c>
      <c r="V134" s="81">
        <f>IF(tblTargetStatus[[#This Row],[HasCost]]=FALSE,
"N/A",
_xlfn.XLOOKUP(
tblTargetStatus[[#This Row],[TargetID]],
tblCost[TargetID],
tblCost[FundingPercent],
""
)
)</f>
        <v>0</v>
      </c>
      <c r="W134">
        <f>IF(
COUNTIF(tblCost[TargetID],tblTargetStatus[[#This Row],[TargetID]])=0,
"",
_xlfn.XLOOKUP(
tblTargetStatus[[#This Row],[TargetID]],
tblCost[TargetID],
tblCost[RemainingRequirements],
""
)
)</f>
        <v>5</v>
      </c>
      <c r="X134" s="79" t="b">
        <f>IF(tblTargetStatus[[#This Row],[HasCost]]=FALSE,"N/A",_xlfn.XLOOKUP(
tblTargetStatus[[#This Row],[TargetID]],
tblCost[TargetID],
tblCost[TargetFunded],
TRUE
))</f>
        <v>0</v>
      </c>
      <c r="Y134" t="str" cm="1">
        <f t="array" ref="Y134">_xlfn.TEXTJOIN(
", ",
TRUE,
_xlfn._xlws.FILTER(
tblCost[ResourceID]&amp;": "&amp;tblCost[QuantityRequired],
(tblCost[TargetID]=tblTargetStatus[[#This Row],[TargetID]])*
(tblCost[PlayerPaid]=FALSE),
""
)
)</f>
        <v>beam: 500, coin: 500, page: 15, ruby: 3, stone: 500</v>
      </c>
      <c r="Z1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4" t="str" cm="1">
        <f t="array" ref="AA13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5" spans="1:27">
      <c r="A135" t="s">
        <v>2567</v>
      </c>
      <c r="B135" t="str">
        <f>_xlfn.XLOOKUP(tblTargetStatus[[#This Row],[TargetID]],tblTargets[TargetID],tblTargets[DisplayName],"")</f>
        <v>Gallery</v>
      </c>
      <c r="C135" t="str">
        <f>IF(tblTargetStatus[[#This Row],[PlayerCompleted]],"COMPLETED",IF(tblTargetStatus[[#This Row],[MissingDependencies]]=0,"READY","BLOCKED"))</f>
        <v>BLOCKED</v>
      </c>
      <c r="D1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5" t="str">
        <f>_xlfn.XLOOKUP(tblTargetStatus[[#This Row],[TargetID]],tblTargets[TargetID],tblTargets[TargetType],"")</f>
        <v>CITADEL</v>
      </c>
      <c r="F135" t="str">
        <f>_xlfn.XLOOKUP(tblTargetStatus[[#This Row],[TargetID]],tblTargets[TargetID],tblTargets[StateType])</f>
        <v/>
      </c>
      <c r="G135">
        <f>_xlfn.LET(
_xlpm.id,tblTargetStatus[[#This Row],[TargetID]],
_xlpm.depCount,COUNTIF(tblDependencies[TargetID],_xlpm.id),
_xlpm.objCount,COUNTIF(tblQuestObjectives[QuestTargetID],_xlpm.id),
_xlpm.depCount+_xlpm.objCount
)</f>
        <v>2</v>
      </c>
      <c r="H135">
        <f>tblTargetStatus[[#This Row],[DependencyCount]]</f>
        <v>2</v>
      </c>
      <c r="I135" cm="1">
        <f t="array" ref="I1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5">
        <f>tblTargetStatus[[#This Row],[CompletedDependencyCount]]</f>
        <v>0</v>
      </c>
      <c r="K135" t="b">
        <f>tblTargetStatus[[#This Row],[CompletedDependencies]]=tblTargetStatus[[#This Row],[TotalDependencies]]</f>
        <v>0</v>
      </c>
      <c r="L135">
        <f>tblTargetStatus[[#This Row],[TotalDependencies]]-tblTargetStatus[[#This Row],[CompletedDependencies]]</f>
        <v>2</v>
      </c>
      <c r="M135" t="str" cm="1">
        <f t="array" ref="M1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35" t="str">
        <f>IF(tblTargetStatus[[#This Row],[FirstMissingDependencyID]]="","",_xlfn.XLOOKUP(tblTargetStatus[[#This Row],[FirstMissingDependencyID]],tblTargets[TargetID],tblTargets[DisplayName],tblTargetStatus[[#This Row],[FirstMissingDependencyID]]))</f>
        <v>Dungeon - Great Hall</v>
      </c>
      <c r="O135" t="str" cm="1">
        <f t="array" ref="O1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beam,500 coin,15 page,3 ruby,100 steel,500 stone</v>
      </c>
      <c r="P135" t="str">
        <f>IF(tblTargetStatus[[#This Row],[FirstMissingDependencyID]]="","",_xlfn.XLOOKUP(tblTargetStatus[[#This Row],[FirstMissingDependencyID]],tblTargetStatus[TargetID],tblTargetStatus[Status],""))</f>
        <v>BLOCKED</v>
      </c>
      <c r="Q135" t="str">
        <f>IF(
 tblTargetStatus[[#This Row],[Status]]&lt;&gt;"BLOCKED",
 tblTargetStatus[[#This Row],[Status]],
 IF(
  AND(
   tblTargetStatus[[#This Row],[MissingDependencies]]=1,
   tblTargetStatus[[#This Row],[FirstMissingStatus]]="READY"
  ),
  "ONE AWAY",
  "BLOCKED"
 )
)</f>
        <v>BLOCKED</v>
      </c>
      <c r="R135">
        <f>IF(
 OR(
  tblTargetStatus[[#This Row],[StateType]]="CHARACTER",
  RIGHT(tblTargetStatus[[#This Row],[TargetID]],6)=".maxed"
 ),
 0,
 _xlfn.LET(
  _xlpm.sort,
   _xlfn.XLOOKUP(
    tblTargetStatus[[#This Row],[TargetID]],
    tblChecklist[TargetID],
    tblChecklist[PlayerSort],
    0
   ),
  IF(_xlpm.sort=0,500,_xlpm.sort)
 )
)</f>
        <v>500</v>
      </c>
      <c r="S135" t="str" cm="1">
        <f t="array" ref="S13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1 Lv 1, Gallery 2 Lv 1, Gallery 3 Lv 1</v>
      </c>
      <c r="T135" t="str">
        <f>_xlfn.XLOOKUP(tblTargetStatus[[#This Row],[TargetID]],tblTargets[TargetID],tblTargets[CompletionMethod],"")</f>
        <v>PLAYER</v>
      </c>
      <c r="U135" t="b">
        <f>COUNTIF(
    tblCost[TargetID],
    tblTargetStatus[[#This Row],[TargetID]]
)&gt;0</f>
        <v>1</v>
      </c>
      <c r="V135" s="81">
        <f>IF(tblTargetStatus[[#This Row],[HasCost]]=FALSE,
"N/A",
_xlfn.XLOOKUP(
tblTargetStatus[[#This Row],[TargetID]],
tblCost[TargetID],
tblCost[FundingPercent],
""
)
)</f>
        <v>0</v>
      </c>
      <c r="W135">
        <f>IF(
COUNTIF(tblCost[TargetID],tblTargetStatus[[#This Row],[TargetID]])=0,
"",
_xlfn.XLOOKUP(
tblTargetStatus[[#This Row],[TargetID]],
tblCost[TargetID],
tblCost[RemainingRequirements],
""
)
)</f>
        <v>6</v>
      </c>
      <c r="X135" s="79" t="b">
        <f>IF(tblTargetStatus[[#This Row],[HasCost]]=FALSE,"N/A",_xlfn.XLOOKUP(
tblTargetStatus[[#This Row],[TargetID]],
tblCost[TargetID],
tblCost[TargetFunded],
TRUE
))</f>
        <v>0</v>
      </c>
      <c r="Y135" t="str" cm="1">
        <f t="array" ref="Y135">_xlfn.TEXTJOIN(
", ",
TRUE,
_xlfn._xlws.FILTER(
tblCost[ResourceID]&amp;": "&amp;tblCost[QuantityRequired],
(tblCost[TargetID]=tblTargetStatus[[#This Row],[TargetID]])*
(tblCost[PlayerPaid]=FALSE),
""
)
)</f>
        <v>beam: 500, coin: 500, page: 15, ruby: 3, steel: 100, stone: 500</v>
      </c>
      <c r="Z1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5" t="str" cm="1">
        <f t="array" ref="AA13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6" spans="1:27">
      <c r="A136" t="s">
        <v>2568</v>
      </c>
      <c r="B136" t="str">
        <f>_xlfn.XLOOKUP(tblTargetStatus[[#This Row],[TargetID]],tblTargets[TargetID],tblTargets[DisplayName],"")</f>
        <v>Great Hall</v>
      </c>
      <c r="C136" t="str">
        <f>IF(tblTargetStatus[[#This Row],[PlayerCompleted]],"COMPLETED",IF(tblTargetStatus[[#This Row],[MissingDependencies]]=0,"READY","BLOCKED"))</f>
        <v>BLOCKED</v>
      </c>
      <c r="D1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6" t="str">
        <f>_xlfn.XLOOKUP(tblTargetStatus[[#This Row],[TargetID]],tblTargets[TargetID],tblTargets[TargetType],"")</f>
        <v>CITADEL</v>
      </c>
      <c r="F136" t="str">
        <f>_xlfn.XLOOKUP(tblTargetStatus[[#This Row],[TargetID]],tblTargets[TargetID],tblTargets[StateType])</f>
        <v/>
      </c>
      <c r="G136">
        <f>_xlfn.LET(
_xlpm.id,tblTargetStatus[[#This Row],[TargetID]],
_xlpm.depCount,COUNTIF(tblDependencies[TargetID],_xlpm.id),
_xlpm.objCount,COUNTIF(tblQuestObjectives[QuestTargetID],_xlpm.id),
_xlpm.depCount+_xlpm.objCount
)</f>
        <v>1</v>
      </c>
      <c r="H136">
        <f>tblTargetStatus[[#This Row],[DependencyCount]]</f>
        <v>1</v>
      </c>
      <c r="I136" cm="1">
        <f t="array" ref="I1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6">
        <f>tblTargetStatus[[#This Row],[CompletedDependencyCount]]</f>
        <v>0</v>
      </c>
      <c r="K136" t="b">
        <f>tblTargetStatus[[#This Row],[CompletedDependencies]]=tblTargetStatus[[#This Row],[TotalDependencies]]</f>
        <v>0</v>
      </c>
      <c r="L136">
        <f>tblTargetStatus[[#This Row],[TotalDependencies]]-tblTargetStatus[[#This Row],[CompletedDependencies]]</f>
        <v>1</v>
      </c>
      <c r="M136" t="str" cm="1">
        <f t="array" ref="M1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building.dungeon@3</v>
      </c>
      <c r="N136" t="str">
        <f>IF(tblTargetStatus[[#This Row],[FirstMissingDependencyID]]="","",_xlfn.XLOOKUP(tblTargetStatus[[#This Row],[FirstMissingDependencyID]],tblTargets[TargetID],tblTargets[DisplayName],tblTargetStatus[[#This Row],[FirstMissingDependencyID]]))</f>
        <v>Dungeon Lv 3</v>
      </c>
      <c r="O136" s="2" t="str" cm="1">
        <f t="array" ref="O1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600 beam,800 coin,20 page,5 ruby,600 stone</v>
      </c>
      <c r="P136" t="str">
        <f>IF(tblTargetStatus[[#This Row],[FirstMissingDependencyID]]="","",_xlfn.XLOOKUP(tblTargetStatus[[#This Row],[FirstMissingDependencyID]],tblTargetStatus[TargetID],tblTargetStatus[Status],""))</f>
        <v>BLOCKED</v>
      </c>
      <c r="Q136" t="str">
        <f>IF(
 tblTargetStatus[[#This Row],[Status]]&lt;&gt;"BLOCKED",
 tblTargetStatus[[#This Row],[Status]],
 IF(
  AND(
   tblTargetStatus[[#This Row],[MissingDependencies]]=1,
   tblTargetStatus[[#This Row],[FirstMissingStatus]]="READY"
  ),
  "ONE AWAY",
  "BLOCKED"
 )
)</f>
        <v>BLOCKED</v>
      </c>
      <c r="R136">
        <f>IF(
 OR(
  tblTargetStatus[[#This Row],[StateType]]="CHARACTER",
  RIGHT(tblTargetStatus[[#This Row],[TargetID]],6)=".maxed"
 ),
 0,
 _xlfn.LET(
  _xlpm.sort,
   _xlfn.XLOOKUP(
    tblTargetStatus[[#This Row],[TargetID]],
    tblChecklist[TargetID],
    tblChecklist[PlayerSort],
    0
   ),
  IF(_xlpm.sort=0,500,_xlpm.sort)
 )
)</f>
        <v>500</v>
      </c>
      <c r="S136" t="str" cm="1">
        <f t="array" ref="S13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Cheese Cave, Courtyard, Historical Library 1 Lv 1, Historical Library 2 Lv 1, Horse Lv 1, Statue Lv 1, Tame A Critter</v>
      </c>
      <c r="T136" t="str">
        <f>_xlfn.XLOOKUP(tblTargetStatus[[#This Row],[TargetID]],tblTargets[TargetID],tblTargets[CompletionMethod],"")</f>
        <v>PLAYER</v>
      </c>
      <c r="U136" t="b">
        <f>COUNTIF(
    tblCost[TargetID],
    tblTargetStatus[[#This Row],[TargetID]]
)&gt;0</f>
        <v>1</v>
      </c>
      <c r="V136" s="81">
        <f>IF(tblTargetStatus[[#This Row],[HasCost]]=FALSE,
"N/A",
_xlfn.XLOOKUP(
tblTargetStatus[[#This Row],[TargetID]],
tblCost[TargetID],
tblCost[FundingPercent],
""
)
)</f>
        <v>0</v>
      </c>
      <c r="W136">
        <f>IF(
COUNTIF(tblCost[TargetID],tblTargetStatus[[#This Row],[TargetID]])=0,
"",
_xlfn.XLOOKUP(
tblTargetStatus[[#This Row],[TargetID]],
tblCost[TargetID],
tblCost[RemainingRequirements],
""
)
)</f>
        <v>5</v>
      </c>
      <c r="X136" s="79" t="b">
        <f>IF(tblTargetStatus[[#This Row],[HasCost]]=FALSE,"N/A",_xlfn.XLOOKUP(
tblTargetStatus[[#This Row],[TargetID]],
tblCost[TargetID],
tblCost[TargetFunded],
TRUE
))</f>
        <v>0</v>
      </c>
      <c r="Y136" t="str" cm="1">
        <f t="array" ref="Y136">_xlfn.TEXTJOIN(
", ",
TRUE,
_xlfn._xlws.FILTER(
tblCost[ResourceID]&amp;": "&amp;tblCost[QuantityRequired],
(tblCost[TargetID]=tblTargetStatus[[#This Row],[TargetID]])*
(tblCost[PlayerPaid]=FALSE),
""
)
)</f>
        <v>beam: 600, coin: 800, page: 20, ruby: 5, stone: 600</v>
      </c>
      <c r="Z1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6" t="str" cm="1">
        <f t="array" ref="AA13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7" spans="1:27">
      <c r="A137" t="s">
        <v>2569</v>
      </c>
      <c r="B137" t="str">
        <f>_xlfn.XLOOKUP(tblTargetStatus[[#This Row],[TargetID]],tblTargets[TargetID],tblTargets[DisplayName],"")</f>
        <v>Kitchen and Buttery</v>
      </c>
      <c r="C137" t="str">
        <f>IF(tblTargetStatus[[#This Row],[PlayerCompleted]],"COMPLETED",IF(tblTargetStatus[[#This Row],[MissingDependencies]]=0,"READY","BLOCKED"))</f>
        <v>BLOCKED</v>
      </c>
      <c r="D1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7" t="str">
        <f>_xlfn.XLOOKUP(tblTargetStatus[[#This Row],[TargetID]],tblTargets[TargetID],tblTargets[TargetType],"")</f>
        <v>CITADEL</v>
      </c>
      <c r="F137" t="str">
        <f>_xlfn.XLOOKUP(tblTargetStatus[[#This Row],[TargetID]],tblTargets[TargetID],tblTargets[StateType])</f>
        <v/>
      </c>
      <c r="G137">
        <f>_xlfn.LET(
_xlpm.id,tblTargetStatus[[#This Row],[TargetID]],
_xlpm.depCount,COUNTIF(tblDependencies[TargetID],_xlpm.id),
_xlpm.objCount,COUNTIF(tblQuestObjectives[QuestTargetID],_xlpm.id),
_xlpm.depCount+_xlpm.objCount
)</f>
        <v>2</v>
      </c>
      <c r="H137">
        <f>tblTargetStatus[[#This Row],[DependencyCount]]</f>
        <v>2</v>
      </c>
      <c r="I137" cm="1">
        <f t="array" ref="I1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7">
        <f>tblTargetStatus[[#This Row],[CompletedDependencyCount]]</f>
        <v>0</v>
      </c>
      <c r="K137" t="b">
        <f>tblTargetStatus[[#This Row],[CompletedDependencies]]=tblTargetStatus[[#This Row],[TotalDependencies]]</f>
        <v>0</v>
      </c>
      <c r="L137">
        <f>tblTargetStatus[[#This Row],[TotalDependencies]]-tblTargetStatus[[#This Row],[CompletedDependencies]]</f>
        <v>2</v>
      </c>
      <c r="M137" t="str" cm="1">
        <f t="array" ref="M1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37" t="str">
        <f>IF(tblTargetStatus[[#This Row],[FirstMissingDependencyID]]="","",_xlfn.XLOOKUP(tblTargetStatus[[#This Row],[FirstMissingDependencyID]],tblTargets[TargetID],tblTargets[DisplayName],tblTargetStatus[[#This Row],[FirstMissingDependencyID]]))</f>
        <v>Dungeon - Great Hall</v>
      </c>
      <c r="O137" t="str" cm="1">
        <f t="array" ref="O1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37" t="str">
        <f>IF(tblTargetStatus[[#This Row],[FirstMissingDependencyID]]="","",_xlfn.XLOOKUP(tblTargetStatus[[#This Row],[FirstMissingDependencyID]],tblTargetStatus[TargetID],tblTargetStatus[Status],""))</f>
        <v>BLOCKED</v>
      </c>
      <c r="Q137" t="str">
        <f>IF(
 tblTargetStatus[[#This Row],[Status]]&lt;&gt;"BLOCKED",
 tblTargetStatus[[#This Row],[Status]],
 IF(
  AND(
   tblTargetStatus[[#This Row],[MissingDependencies]]=1,
   tblTargetStatus[[#This Row],[FirstMissingStatus]]="READY"
  ),
  "ONE AWAY",
  "BLOCKED"
 )
)</f>
        <v>BLOCKED</v>
      </c>
      <c r="R137">
        <f>IF(
 OR(
  tblTargetStatus[[#This Row],[StateType]]="CHARACTER",
  RIGHT(tblTargetStatus[[#This Row],[TargetID]],6)=".maxed"
 ),
 0,
 _xlfn.LET(
  _xlpm.sort,
   _xlfn.XLOOKUP(
    tblTargetStatus[[#This Row],[TargetID]],
    tblChecklist[TargetID],
    tblChecklist[PlayerSort],
    0
   ),
  IF(_xlpm.sort=0,500,_xlpm.sort)
 )
)</f>
        <v>500</v>
      </c>
      <c r="S137" t="str" cm="1">
        <f t="array" ref="S13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Kitchen And Buttery 1 Lv 1, Kitchen And Buttery 2 Lv 1</v>
      </c>
      <c r="T137" t="str">
        <f>_xlfn.XLOOKUP(tblTargetStatus[[#This Row],[TargetID]],tblTargets[TargetID],tblTargets[CompletionMethod],"")</f>
        <v>PLAYER</v>
      </c>
      <c r="U137" t="b">
        <f>COUNTIF(
    tblCost[TargetID],
    tblTargetStatus[[#This Row],[TargetID]]
)&gt;0</f>
        <v>1</v>
      </c>
      <c r="V137" s="81">
        <f>IF(tblTargetStatus[[#This Row],[HasCost]]=FALSE,
"N/A",
_xlfn.XLOOKUP(
tblTargetStatus[[#This Row],[TargetID]],
tblCost[TargetID],
tblCost[FundingPercent],
""
)
)</f>
        <v>0</v>
      </c>
      <c r="W137">
        <f>IF(
COUNTIF(tblCost[TargetID],tblTargetStatus[[#This Row],[TargetID]])=0,
"",
_xlfn.XLOOKUP(
tblTargetStatus[[#This Row],[TargetID]],
tblCost[TargetID],
tblCost[RemainingRequirements],
""
)
)</f>
        <v>5</v>
      </c>
      <c r="X137" s="79" t="b">
        <f>IF(tblTargetStatus[[#This Row],[HasCost]]=FALSE,"N/A",_xlfn.XLOOKUP(
tblTargetStatus[[#This Row],[TargetID]],
tblCost[TargetID],
tblCost[TargetFunded],
TRUE
))</f>
        <v>0</v>
      </c>
      <c r="Y137" t="str" cm="1">
        <f t="array" ref="Y137">_xlfn.TEXTJOIN(
", ",
TRUE,
_xlfn._xlws.FILTER(
tblCost[ResourceID]&amp;": "&amp;tblCost[QuantityRequired],
(tblCost[TargetID]=tblTargetStatus[[#This Row],[TargetID]])*
(tblCost[PlayerPaid]=FALSE),
""
)
)</f>
        <v>beam: 400, coin: 400, page: 10, ruby: 2, stone: 400</v>
      </c>
      <c r="Z1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7" t="str" cm="1">
        <f t="array" ref="AA13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8" spans="1:27">
      <c r="A138" t="s">
        <v>2570</v>
      </c>
      <c r="B138" t="str">
        <f>_xlfn.XLOOKUP(tblTargetStatus[[#This Row],[TargetID]],tblTargets[TargetID],tblTargets[DisplayName],"")</f>
        <v>Lair lvl. 1</v>
      </c>
      <c r="C138" t="str">
        <f>IF(tblTargetStatus[[#This Row],[PlayerCompleted]],"COMPLETED",IF(tblTargetStatus[[#This Row],[MissingDependencies]]=0,"READY","BLOCKED"))</f>
        <v>BLOCKED</v>
      </c>
      <c r="D1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8" t="str">
        <f>_xlfn.XLOOKUP(tblTargetStatus[[#This Row],[TargetID]],tblTargets[TargetID],tblTargets[TargetType],"")</f>
        <v>CITADEL</v>
      </c>
      <c r="F138" t="str">
        <f>_xlfn.XLOOKUP(tblTargetStatus[[#This Row],[TargetID]],tblTargets[TargetID],tblTargets[StateType])</f>
        <v/>
      </c>
      <c r="G138">
        <f>_xlfn.LET(
_xlpm.id,tblTargetStatus[[#This Row],[TargetID]],
_xlpm.depCount,COUNTIF(tblDependencies[TargetID],_xlpm.id),
_xlpm.objCount,COUNTIF(tblQuestObjectives[QuestTargetID],_xlpm.id),
_xlpm.depCount+_xlpm.objCount
)</f>
        <v>3</v>
      </c>
      <c r="H138">
        <f>tblTargetStatus[[#This Row],[DependencyCount]]</f>
        <v>3</v>
      </c>
      <c r="I138" cm="1">
        <f t="array" ref="I1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8">
        <f>tblTargetStatus[[#This Row],[CompletedDependencyCount]]</f>
        <v>0</v>
      </c>
      <c r="K138" t="b">
        <f>tblTargetStatus[[#This Row],[CompletedDependencies]]=tblTargetStatus[[#This Row],[TotalDependencies]]</f>
        <v>0</v>
      </c>
      <c r="L138">
        <f>tblTargetStatus[[#This Row],[TotalDependencies]]-tblTargetStatus[[#This Row],[CompletedDependencies]]</f>
        <v>3</v>
      </c>
      <c r="M138" t="str" cm="1">
        <f t="array" ref="M1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38" t="str">
        <f>IF(tblTargetStatus[[#This Row],[FirstMissingDependencyID]]="","",_xlfn.XLOOKUP(tblTargetStatus[[#This Row],[FirstMissingDependencyID]],tblTargets[TargetID],tblTargets[DisplayName],tblTargetStatus[[#This Row],[FirstMissingDependencyID]]))</f>
        <v>Dungeon - Great Hall</v>
      </c>
      <c r="O138" t="str" cm="1">
        <f t="array" ref="O1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crypto,17 grimoire,10 inarizushi,5 ruby,3 treasure,300 wood</v>
      </c>
      <c r="P138" t="str">
        <f>IF(tblTargetStatus[[#This Row],[FirstMissingDependencyID]]="","",_xlfn.XLOOKUP(tblTargetStatus[[#This Row],[FirstMissingDependencyID]],tblTargetStatus[TargetID],tblTargetStatus[Status],""))</f>
        <v>BLOCKED</v>
      </c>
      <c r="Q138" t="str">
        <f>IF(
 tblTargetStatus[[#This Row],[Status]]&lt;&gt;"BLOCKED",
 tblTargetStatus[[#This Row],[Status]],
 IF(
  AND(
   tblTargetStatus[[#This Row],[MissingDependencies]]=1,
   tblTargetStatus[[#This Row],[FirstMissingStatus]]="READY"
  ),
  "ONE AWAY",
  "BLOCKED"
 )
)</f>
        <v>BLOCKED</v>
      </c>
      <c r="R138">
        <f>IF(
 OR(
  tblTargetStatus[[#This Row],[StateType]]="CHARACTER",
  RIGHT(tblTargetStatus[[#This Row],[TargetID]],6)=".maxed"
 ),
 0,
 _xlfn.LET(
  _xlpm.sort,
   _xlfn.XLOOKUP(
    tblTargetStatus[[#This Row],[TargetID]],
    tblChecklist[TargetID],
    tblChecklist[PlayerSort],
    0
   ),
  IF(_xlpm.sort=0,500,_xlpm.sort)
 )
)</f>
        <v>50</v>
      </c>
      <c r="S138" t="str" cm="1">
        <f t="array" ref="S13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Lair lvl. 2</v>
      </c>
      <c r="T138" t="str">
        <f>_xlfn.XLOOKUP(tblTargetStatus[[#This Row],[TargetID]],tblTargets[TargetID],tblTargets[CompletionMethod],"")</f>
        <v>PLAYER</v>
      </c>
      <c r="U138" t="b">
        <f>COUNTIF(
    tblCost[TargetID],
    tblTargetStatus[[#This Row],[TargetID]]
)&gt;0</f>
        <v>1</v>
      </c>
      <c r="V138" s="81">
        <f>IF(tblTargetStatus[[#This Row],[HasCost]]=FALSE,
"N/A",
_xlfn.XLOOKUP(
tblTargetStatus[[#This Row],[TargetID]],
tblCost[TargetID],
tblCost[FundingPercent],
""
)
)</f>
        <v>0</v>
      </c>
      <c r="W138">
        <f>IF(
COUNTIF(tblCost[TargetID],tblTargetStatus[[#This Row],[TargetID]])=0,
"",
_xlfn.XLOOKUP(
tblTargetStatus[[#This Row],[TargetID]],
tblCost[TargetID],
tblCost[RemainingRequirements],
""
)
)</f>
        <v>6</v>
      </c>
      <c r="X138" s="79" t="b">
        <f>IF(tblTargetStatus[[#This Row],[HasCost]]=FALSE,"N/A",_xlfn.XLOOKUP(
tblTargetStatus[[#This Row],[TargetID]],
tblCost[TargetID],
tblCost[TargetFunded],
TRUE
))</f>
        <v>0</v>
      </c>
      <c r="Y138" t="str" cm="1">
        <f t="array" ref="Y138">_xlfn.TEXTJOIN(
", ",
TRUE,
_xlfn._xlws.FILTER(
tblCost[ResourceID]&amp;": "&amp;tblCost[QuantityRequired],
(tblCost[TargetID]=tblTargetStatus[[#This Row],[TargetID]])*
(tblCost[PlayerPaid]=FALSE),
""
)
)</f>
        <v>crypto: 200, grimoire: 17, inarizushi: 10, ruby: 5, treasure: 3, wood: 300</v>
      </c>
      <c r="Z1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8" t="str" cm="1">
        <f t="array" ref="AA13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39" spans="1:27" ht="29">
      <c r="A139" t="s">
        <v>2571</v>
      </c>
      <c r="B139" t="str">
        <f>_xlfn.XLOOKUP(tblTargetStatus[[#This Row],[TargetID]],tblTargets[TargetID],tblTargets[DisplayName],"")</f>
        <v>Lair lvl. 2</v>
      </c>
      <c r="C139" t="str">
        <f>IF(tblTargetStatus[[#This Row],[PlayerCompleted]],"COMPLETED",IF(tblTargetStatus[[#This Row],[MissingDependencies]]=0,"READY","BLOCKED"))</f>
        <v>BLOCKED</v>
      </c>
      <c r="D1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9" t="str">
        <f>_xlfn.XLOOKUP(tblTargetStatus[[#This Row],[TargetID]],tblTargets[TargetID],tblTargets[TargetType],"")</f>
        <v>CITADEL</v>
      </c>
      <c r="F139" t="str">
        <f>_xlfn.XLOOKUP(tblTargetStatus[[#This Row],[TargetID]],tblTargets[TargetID],tblTargets[StateType])</f>
        <v/>
      </c>
      <c r="G139">
        <f>_xlfn.LET(
_xlpm.id,tblTargetStatus[[#This Row],[TargetID]],
_xlpm.depCount,COUNTIF(tblDependencies[TargetID],_xlpm.id),
_xlpm.objCount,COUNTIF(tblQuestObjectives[QuestTargetID],_xlpm.id),
_xlpm.depCount+_xlpm.objCount
)</f>
        <v>1</v>
      </c>
      <c r="H139">
        <f>tblTargetStatus[[#This Row],[DependencyCount]]</f>
        <v>1</v>
      </c>
      <c r="I139" cm="1">
        <f t="array" ref="I1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9">
        <f>tblTargetStatus[[#This Row],[CompletedDependencyCount]]</f>
        <v>0</v>
      </c>
      <c r="K139" t="b">
        <f>tblTargetStatus[[#This Row],[CompletedDependencies]]=tblTargetStatus[[#This Row],[TotalDependencies]]</f>
        <v>0</v>
      </c>
      <c r="L139">
        <f>tblTargetStatus[[#This Row],[TotalDependencies]]-tblTargetStatus[[#This Row],[CompletedDependencies]]</f>
        <v>1</v>
      </c>
      <c r="M139" t="str" cm="1">
        <f t="array" ref="M1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citadel.lair_lvl_1</v>
      </c>
      <c r="N139" t="str">
        <f>IF(tblTargetStatus[[#This Row],[FirstMissingDependencyID]]="","",_xlfn.XLOOKUP(tblTargetStatus[[#This Row],[FirstMissingDependencyID]],tblTargets[TargetID],tblTargets[DisplayName],tblTargetStatus[[#This Row],[FirstMissingDependencyID]]))</f>
        <v>Lair lvl. 1</v>
      </c>
      <c r="O139" s="2" t="str" cm="1">
        <f t="array" ref="O1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crypto,19 grimoire,20 inarizushi,10 ruby,6 treasure,600 wood</v>
      </c>
      <c r="P139" t="str">
        <f>IF(tblTargetStatus[[#This Row],[FirstMissingDependencyID]]="","",_xlfn.XLOOKUP(tblTargetStatus[[#This Row],[FirstMissingDependencyID]],tblTargetStatus[TargetID],tblTargetStatus[Status],""))</f>
        <v>BLOCKED</v>
      </c>
      <c r="Q139" t="str">
        <f>IF(
 tblTargetStatus[[#This Row],[Status]]&lt;&gt;"BLOCKED",
 tblTargetStatus[[#This Row],[Status]],
 IF(
  AND(
   tblTargetStatus[[#This Row],[MissingDependencies]]=1,
   tblTargetStatus[[#This Row],[FirstMissingStatus]]="READY"
  ),
  "ONE AWAY",
  "BLOCKED"
 )
)</f>
        <v>BLOCKED</v>
      </c>
      <c r="R139">
        <f>IF(
 OR(
  tblTargetStatus[[#This Row],[StateType]]="CHARACTER",
  RIGHT(tblTargetStatus[[#This Row],[TargetID]],6)=".maxed"
 ),
 0,
 _xlfn.LET(
  _xlpm.sort,
   _xlfn.XLOOKUP(
    tblTargetStatus[[#This Row],[TargetID]],
    tblChecklist[TargetID],
    tblChecklist[PlayerSort],
    0
   ),
  IF(_xlpm.sort=0,500,_xlpm.sort)
 )
)</f>
        <v>500</v>
      </c>
      <c r="S139" t="str" cm="1">
        <f t="array" ref="S13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39" t="str">
        <f>_xlfn.XLOOKUP(tblTargetStatus[[#This Row],[TargetID]],tblTargets[TargetID],tblTargets[CompletionMethod],"")</f>
        <v>PLAYER</v>
      </c>
      <c r="U139" t="b">
        <f>COUNTIF(
    tblCost[TargetID],
    tblTargetStatus[[#This Row],[TargetID]]
)&gt;0</f>
        <v>1</v>
      </c>
      <c r="V139" s="81">
        <f>IF(tblTargetStatus[[#This Row],[HasCost]]=FALSE,
"N/A",
_xlfn.XLOOKUP(
tblTargetStatus[[#This Row],[TargetID]],
tblCost[TargetID],
tblCost[FundingPercent],
""
)
)</f>
        <v>0</v>
      </c>
      <c r="W139">
        <f>IF(
COUNTIF(tblCost[TargetID],tblTargetStatus[[#This Row],[TargetID]])=0,
"",
_xlfn.XLOOKUP(
tblTargetStatus[[#This Row],[TargetID]],
tblCost[TargetID],
tblCost[RemainingRequirements],
""
)
)</f>
        <v>6</v>
      </c>
      <c r="X139" s="79" t="b">
        <f>IF(tblTargetStatus[[#This Row],[HasCost]]=FALSE,"N/A",_xlfn.XLOOKUP(
tblTargetStatus[[#This Row],[TargetID]],
tblCost[TargetID],
tblCost[TargetFunded],
TRUE
))</f>
        <v>0</v>
      </c>
      <c r="Y139" t="str" cm="1">
        <f t="array" ref="Y139">_xlfn.TEXTJOIN(
", ",
TRUE,
_xlfn._xlws.FILTER(
tblCost[ResourceID]&amp;": "&amp;tblCost[QuantityRequired],
(tblCost[TargetID]=tblTargetStatus[[#This Row],[TargetID]])*
(tblCost[PlayerPaid]=FALSE),
""
)
)</f>
        <v>crypto: 400, grimoire: 19, inarizushi: 20, ruby: 10, treasure: 6, wood: 600</v>
      </c>
      <c r="Z1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9" t="str" cm="1">
        <f t="array" ref="AA13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0" spans="1:27">
      <c r="A140" t="s">
        <v>2572</v>
      </c>
      <c r="B140" t="str">
        <f>_xlfn.XLOOKUP(tblTargetStatus[[#This Row],[TargetID]],tblTargets[TargetID],tblTargets[DisplayName],"")</f>
        <v>Mushroom Farm</v>
      </c>
      <c r="C140" t="str">
        <f>IF(tblTargetStatus[[#This Row],[PlayerCompleted]],"COMPLETED",IF(tblTargetStatus[[#This Row],[MissingDependencies]]=0,"READY","BLOCKED"))</f>
        <v>BLOCKED</v>
      </c>
      <c r="D1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0" t="str">
        <f>_xlfn.XLOOKUP(tblTargetStatus[[#This Row],[TargetID]],tblTargets[TargetID],tblTargets[TargetType],"")</f>
        <v>CITADEL</v>
      </c>
      <c r="F140" t="str">
        <f>_xlfn.XLOOKUP(tblTargetStatus[[#This Row],[TargetID]],tblTargets[TargetID],tblTargets[StateType])</f>
        <v/>
      </c>
      <c r="G140">
        <f>_xlfn.LET(
_xlpm.id,tblTargetStatus[[#This Row],[TargetID]],
_xlpm.depCount,COUNTIF(tblDependencies[TargetID],_xlpm.id),
_xlpm.objCount,COUNTIF(tblQuestObjectives[QuestTargetID],_xlpm.id),
_xlpm.depCount+_xlpm.objCount
)</f>
        <v>1</v>
      </c>
      <c r="H140">
        <f>tblTargetStatus[[#This Row],[DependencyCount]]</f>
        <v>1</v>
      </c>
      <c r="I140" cm="1">
        <f t="array" ref="I1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0">
        <f>tblTargetStatus[[#This Row],[CompletedDependencyCount]]</f>
        <v>0</v>
      </c>
      <c r="K140" t="b">
        <f>tblTargetStatus[[#This Row],[CompletedDependencies]]=tblTargetStatus[[#This Row],[TotalDependencies]]</f>
        <v>0</v>
      </c>
      <c r="L140">
        <f>tblTargetStatus[[#This Row],[TotalDependencies]]-tblTargetStatus[[#This Row],[CompletedDependencies]]</f>
        <v>1</v>
      </c>
      <c r="M140" t="str" cm="1">
        <f t="array" ref="M1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40" t="str">
        <f>IF(tblTargetStatus[[#This Row],[FirstMissingDependencyID]]="","",_xlfn.XLOOKUP(tblTargetStatus[[#This Row],[FirstMissingDependencyID]],tblTargets[TargetID],tblTargets[DisplayName],tblTargetStatus[[#This Row],[FirstMissingDependencyID]]))</f>
        <v>Dungeon - Great Hall</v>
      </c>
      <c r="O140" t="str" cm="1">
        <f t="array" ref="O1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40" t="str">
        <f>IF(tblTargetStatus[[#This Row],[FirstMissingDependencyID]]="","",_xlfn.XLOOKUP(tblTargetStatus[[#This Row],[FirstMissingDependencyID]],tblTargetStatus[TargetID],tblTargetStatus[Status],""))</f>
        <v>BLOCKED</v>
      </c>
      <c r="Q140" t="str">
        <f>IF(
 tblTargetStatus[[#This Row],[Status]]&lt;&gt;"BLOCKED",
 tblTargetStatus[[#This Row],[Status]],
 IF(
  AND(
   tblTargetStatus[[#This Row],[MissingDependencies]]=1,
   tblTargetStatus[[#This Row],[FirstMissingStatus]]="READY"
  ),
  "ONE AWAY",
  "BLOCKED"
 )
)</f>
        <v>BLOCKED</v>
      </c>
      <c r="R140">
        <f>IF(
 OR(
  tblTargetStatus[[#This Row],[StateType]]="CHARACTER",
  RIGHT(tblTargetStatus[[#This Row],[TargetID]],6)=".maxed"
 ),
 0,
 _xlfn.LET(
  _xlpm.sort,
   _xlfn.XLOOKUP(
    tblTargetStatus[[#This Row],[TargetID]],
    tblChecklist[TargetID],
    tblChecklist[PlayerSort],
    0
   ),
  IF(_xlpm.sort=0,500,_xlpm.sort)
 )
)</f>
        <v>500</v>
      </c>
      <c r="S140" t="str" cm="1">
        <f t="array" ref="S14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Mushroom Farm Lv 1</v>
      </c>
      <c r="T140" t="str">
        <f>_xlfn.XLOOKUP(tblTargetStatus[[#This Row],[TargetID]],tblTargets[TargetID],tblTargets[CompletionMethod],"")</f>
        <v>PLAYER</v>
      </c>
      <c r="U140" t="b">
        <f>COUNTIF(
    tblCost[TargetID],
    tblTargetStatus[[#This Row],[TargetID]]
)&gt;0</f>
        <v>1</v>
      </c>
      <c r="V140" s="81">
        <f>IF(tblTargetStatus[[#This Row],[HasCost]]=FALSE,
"N/A",
_xlfn.XLOOKUP(
tblTargetStatus[[#This Row],[TargetID]],
tblCost[TargetID],
tblCost[FundingPercent],
""
)
)</f>
        <v>0</v>
      </c>
      <c r="W140">
        <f>IF(
COUNTIF(tblCost[TargetID],tblTargetStatus[[#This Row],[TargetID]])=0,
"",
_xlfn.XLOOKUP(
tblTargetStatus[[#This Row],[TargetID]],
tblCost[TargetID],
tblCost[RemainingRequirements],
""
)
)</f>
        <v>5</v>
      </c>
      <c r="X140" s="79" t="b">
        <f>IF(tblTargetStatus[[#This Row],[HasCost]]=FALSE,"N/A",_xlfn.XLOOKUP(
tblTargetStatus[[#This Row],[TargetID]],
tblCost[TargetID],
tblCost[TargetFunded],
TRUE
))</f>
        <v>0</v>
      </c>
      <c r="Y140" t="str" cm="1">
        <f t="array" ref="Y140">_xlfn.TEXTJOIN(
", ",
TRUE,
_xlfn._xlws.FILTER(
tblCost[ResourceID]&amp;": "&amp;tblCost[QuantityRequired],
(tblCost[TargetID]=tblTargetStatus[[#This Row],[TargetID]])*
(tblCost[PlayerPaid]=FALSE),
""
)
)</f>
        <v>beam: 400, coin: 400, page: 10, ruby: 2, stone: 400</v>
      </c>
      <c r="Z1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0" t="str" cm="1">
        <f t="array" ref="AA14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1" spans="1:27">
      <c r="A141" t="s">
        <v>2573</v>
      </c>
      <c r="B141" t="str">
        <f>_xlfn.XLOOKUP(tblTargetStatus[[#This Row],[TargetID]],tblTargets[TargetID],tblTargets[DisplayName],"")</f>
        <v>Orangery</v>
      </c>
      <c r="C141" t="str">
        <f>IF(tblTargetStatus[[#This Row],[PlayerCompleted]],"COMPLETED",IF(tblTargetStatus[[#This Row],[MissingDependencies]]=0,"READY","BLOCKED"))</f>
        <v>BLOCKED</v>
      </c>
      <c r="D1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1" t="str">
        <f>_xlfn.XLOOKUP(tblTargetStatus[[#This Row],[TargetID]],tblTargets[TargetID],tblTargets[TargetType],"")</f>
        <v>CITADEL</v>
      </c>
      <c r="F141" t="str">
        <f>_xlfn.XLOOKUP(tblTargetStatus[[#This Row],[TargetID]],tblTargets[TargetID],tblTargets[StateType])</f>
        <v/>
      </c>
      <c r="G141">
        <f>_xlfn.LET(
_xlpm.id,tblTargetStatus[[#This Row],[TargetID]],
_xlpm.depCount,COUNTIF(tblDependencies[TargetID],_xlpm.id),
_xlpm.objCount,COUNTIF(tblQuestObjectives[QuestTargetID],_xlpm.id),
_xlpm.depCount+_xlpm.objCount
)</f>
        <v>1</v>
      </c>
      <c r="H141">
        <f>tblTargetStatus[[#This Row],[DependencyCount]]</f>
        <v>1</v>
      </c>
      <c r="I141" cm="1">
        <f t="array" ref="I1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1">
        <f>tblTargetStatus[[#This Row],[CompletedDependencyCount]]</f>
        <v>0</v>
      </c>
      <c r="K141" t="b">
        <f>tblTargetStatus[[#This Row],[CompletedDependencies]]=tblTargetStatus[[#This Row],[TotalDependencies]]</f>
        <v>0</v>
      </c>
      <c r="L141">
        <f>tblTargetStatus[[#This Row],[TotalDependencies]]-tblTargetStatus[[#This Row],[CompletedDependencies]]</f>
        <v>1</v>
      </c>
      <c r="M141" t="str" cm="1">
        <f t="array" ref="M1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41" t="str">
        <f>IF(tblTargetStatus[[#This Row],[FirstMissingDependencyID]]="","",_xlfn.XLOOKUP(tblTargetStatus[[#This Row],[FirstMissingDependencyID]],tblTargets[TargetID],tblTargets[DisplayName],tblTargetStatus[[#This Row],[FirstMissingDependencyID]]))</f>
        <v>Dungeon - Great Hall</v>
      </c>
      <c r="O141" t="str" cm="1">
        <f t="array" ref="O1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41" t="str">
        <f>IF(tblTargetStatus[[#This Row],[FirstMissingDependencyID]]="","",_xlfn.XLOOKUP(tblTargetStatus[[#This Row],[FirstMissingDependencyID]],tblTargetStatus[TargetID],tblTargetStatus[Status],""))</f>
        <v>BLOCKED</v>
      </c>
      <c r="Q141" t="str">
        <f>IF(
 tblTargetStatus[[#This Row],[Status]]&lt;&gt;"BLOCKED",
 tblTargetStatus[[#This Row],[Status]],
 IF(
  AND(
   tblTargetStatus[[#This Row],[MissingDependencies]]=1,
   tblTargetStatus[[#This Row],[FirstMissingStatus]]="READY"
  ),
  "ONE AWAY",
  "BLOCKED"
 )
)</f>
        <v>BLOCKED</v>
      </c>
      <c r="R141">
        <f>IF(
 OR(
  tblTargetStatus[[#This Row],[StateType]]="CHARACTER",
  RIGHT(tblTargetStatus[[#This Row],[TargetID]],6)=".maxed"
 ),
 0,
 _xlfn.LET(
  _xlpm.sort,
   _xlfn.XLOOKUP(
    tblTargetStatus[[#This Row],[TargetID]],
    tblChecklist[TargetID],
    tblChecklist[PlayerSort],
    0
   ),
  IF(_xlpm.sort=0,500,_xlpm.sort)
 )
)</f>
        <v>500</v>
      </c>
      <c r="S141" t="str" cm="1">
        <f t="array" ref="S14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Orangery Lv 1</v>
      </c>
      <c r="T141" t="str">
        <f>_xlfn.XLOOKUP(tblTargetStatus[[#This Row],[TargetID]],tblTargets[TargetID],tblTargets[CompletionMethod],"")</f>
        <v>PLAYER</v>
      </c>
      <c r="U141" t="b">
        <f>COUNTIF(
    tblCost[TargetID],
    tblTargetStatus[[#This Row],[TargetID]]
)&gt;0</f>
        <v>1</v>
      </c>
      <c r="V141" s="81">
        <f>IF(tblTargetStatus[[#This Row],[HasCost]]=FALSE,
"N/A",
_xlfn.XLOOKUP(
tblTargetStatus[[#This Row],[TargetID]],
tblCost[TargetID],
tblCost[FundingPercent],
""
)
)</f>
        <v>0</v>
      </c>
      <c r="W141">
        <f>IF(
COUNTIF(tblCost[TargetID],tblTargetStatus[[#This Row],[TargetID]])=0,
"",
_xlfn.XLOOKUP(
tblTargetStatus[[#This Row],[TargetID]],
tblCost[TargetID],
tblCost[RemainingRequirements],
""
)
)</f>
        <v>5</v>
      </c>
      <c r="X141" s="79" t="b">
        <f>IF(tblTargetStatus[[#This Row],[HasCost]]=FALSE,"N/A",_xlfn.XLOOKUP(
tblTargetStatus[[#This Row],[TargetID]],
tblCost[TargetID],
tblCost[TargetFunded],
TRUE
))</f>
        <v>0</v>
      </c>
      <c r="Y141" t="str" cm="1">
        <f t="array" ref="Y141">_xlfn.TEXTJOIN(
", ",
TRUE,
_xlfn._xlws.FILTER(
tblCost[ResourceID]&amp;": "&amp;tblCost[QuantityRequired],
(tblCost[TargetID]=tblTargetStatus[[#This Row],[TargetID]])*
(tblCost[PlayerPaid]=FALSE),
""
)
)</f>
        <v>beam: 400, coin: 400, page: 10, ruby: 2, stone: 400</v>
      </c>
      <c r="Z1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1" t="str" cm="1">
        <f t="array" ref="AA14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2" spans="1:27">
      <c r="A142" t="s">
        <v>2574</v>
      </c>
      <c r="B142" t="str">
        <f>_xlfn.XLOOKUP(tblTargetStatus[[#This Row],[TargetID]],tblTargets[TargetID],tblTargets[DisplayName],"")</f>
        <v>Pantry</v>
      </c>
      <c r="C142" t="str">
        <f>IF(tblTargetStatus[[#This Row],[PlayerCompleted]],"COMPLETED",IF(tblTargetStatus[[#This Row],[MissingDependencies]]=0,"READY","BLOCKED"))</f>
        <v>BLOCKED</v>
      </c>
      <c r="D1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2" t="str">
        <f>_xlfn.XLOOKUP(tblTargetStatus[[#This Row],[TargetID]],tblTargets[TargetID],tblTargets[TargetType],"")</f>
        <v>CITADEL</v>
      </c>
      <c r="F142" t="str">
        <f>_xlfn.XLOOKUP(tblTargetStatus[[#This Row],[TargetID]],tblTargets[TargetID],tblTargets[StateType])</f>
        <v/>
      </c>
      <c r="G142">
        <f>_xlfn.LET(
_xlpm.id,tblTargetStatus[[#This Row],[TargetID]],
_xlpm.depCount,COUNTIF(tblDependencies[TargetID],_xlpm.id),
_xlpm.objCount,COUNTIF(tblQuestObjectives[QuestTargetID],_xlpm.id),
_xlpm.depCount+_xlpm.objCount
)</f>
        <v>2</v>
      </c>
      <c r="H142">
        <f>tblTargetStatus[[#This Row],[DependencyCount]]</f>
        <v>2</v>
      </c>
      <c r="I142" cm="1">
        <f t="array" ref="I1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2">
        <f>tblTargetStatus[[#This Row],[CompletedDependencyCount]]</f>
        <v>0</v>
      </c>
      <c r="K142" t="b">
        <f>tblTargetStatus[[#This Row],[CompletedDependencies]]=tblTargetStatus[[#This Row],[TotalDependencies]]</f>
        <v>0</v>
      </c>
      <c r="L142">
        <f>tblTargetStatus[[#This Row],[TotalDependencies]]-tblTargetStatus[[#This Row],[CompletedDependencies]]</f>
        <v>2</v>
      </c>
      <c r="M142" t="str" cm="1">
        <f t="array" ref="M1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42" t="str">
        <f>IF(tblTargetStatus[[#This Row],[FirstMissingDependencyID]]="","",_xlfn.XLOOKUP(tblTargetStatus[[#This Row],[FirstMissingDependencyID]],tblTargets[TargetID],tblTargets[DisplayName],tblTargetStatus[[#This Row],[FirstMissingDependencyID]]))</f>
        <v>Dungeon - Great Hall</v>
      </c>
      <c r="O142" t="str" cm="1">
        <f t="array" ref="O1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42" t="str">
        <f>IF(tblTargetStatus[[#This Row],[FirstMissingDependencyID]]="","",_xlfn.XLOOKUP(tblTargetStatus[[#This Row],[FirstMissingDependencyID]],tblTargetStatus[TargetID],tblTargetStatus[Status],""))</f>
        <v>BLOCKED</v>
      </c>
      <c r="Q142" t="str">
        <f>IF(
 tblTargetStatus[[#This Row],[Status]]&lt;&gt;"BLOCKED",
 tblTargetStatus[[#This Row],[Status]],
 IF(
  AND(
   tblTargetStatus[[#This Row],[MissingDependencies]]=1,
   tblTargetStatus[[#This Row],[FirstMissingStatus]]="READY"
  ),
  "ONE AWAY",
  "BLOCKED"
 )
)</f>
        <v>BLOCKED</v>
      </c>
      <c r="R142">
        <f>IF(
 OR(
  tblTargetStatus[[#This Row],[StateType]]="CHARACTER",
  RIGHT(tblTargetStatus[[#This Row],[TargetID]],6)=".maxed"
 ),
 0,
 _xlfn.LET(
  _xlpm.sort,
   _xlfn.XLOOKUP(
    tblTargetStatus[[#This Row],[TargetID]],
    tblChecklist[TargetID],
    tblChecklist[PlayerSort],
    0
   ),
  IF(_xlpm.sort=0,500,_xlpm.sort)
 )
)</f>
        <v>500</v>
      </c>
      <c r="S142" t="str" cm="1">
        <f t="array" ref="S14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1 Lv 1, Pantry 2 Lv 1, Pantry 3 Lv 1, Pantry 4 Lv 1</v>
      </c>
      <c r="T142" t="str">
        <f>_xlfn.XLOOKUP(tblTargetStatus[[#This Row],[TargetID]],tblTargets[TargetID],tblTargets[CompletionMethod],"")</f>
        <v>PLAYER</v>
      </c>
      <c r="U142" t="b">
        <f>COUNTIF(
    tblCost[TargetID],
    tblTargetStatus[[#This Row],[TargetID]]
)&gt;0</f>
        <v>1</v>
      </c>
      <c r="V142" s="81">
        <f>IF(tblTargetStatus[[#This Row],[HasCost]]=FALSE,
"N/A",
_xlfn.XLOOKUP(
tblTargetStatus[[#This Row],[TargetID]],
tblCost[TargetID],
tblCost[FundingPercent],
""
)
)</f>
        <v>0</v>
      </c>
      <c r="W142">
        <f>IF(
COUNTIF(tblCost[TargetID],tblTargetStatus[[#This Row],[TargetID]])=0,
"",
_xlfn.XLOOKUP(
tblTargetStatus[[#This Row],[TargetID]],
tblCost[TargetID],
tblCost[RemainingRequirements],
""
)
)</f>
        <v>5</v>
      </c>
      <c r="X142" s="79" t="b">
        <f>IF(tblTargetStatus[[#This Row],[HasCost]]=FALSE,"N/A",_xlfn.XLOOKUP(
tblTargetStatus[[#This Row],[TargetID]],
tblCost[TargetID],
tblCost[TargetFunded],
TRUE
))</f>
        <v>0</v>
      </c>
      <c r="Y142" t="str" cm="1">
        <f t="array" ref="Y142">_xlfn.TEXTJOIN(
", ",
TRUE,
_xlfn._xlws.FILTER(
tblCost[ResourceID]&amp;": "&amp;tblCost[QuantityRequired],
(tblCost[TargetID]=tblTargetStatus[[#This Row],[TargetID]])*
(tblCost[PlayerPaid]=FALSE),
""
)
)</f>
        <v>beam: 400, coin: 400, page: 10, ruby: 2, stone: 400</v>
      </c>
      <c r="Z1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2" t="str" cm="1">
        <f t="array" ref="AA14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3" spans="1:27">
      <c r="A143" t="s">
        <v>2575</v>
      </c>
      <c r="B143" t="str">
        <f>_xlfn.XLOOKUP(tblTargetStatus[[#This Row],[TargetID]],tblTargets[TargetID],tblTargets[DisplayName],"")</f>
        <v>Tavern</v>
      </c>
      <c r="C143" t="str">
        <f>IF(tblTargetStatus[[#This Row],[PlayerCompleted]],"COMPLETED",IF(tblTargetStatus[[#This Row],[MissingDependencies]]=0,"READY","BLOCKED"))</f>
        <v>BLOCKED</v>
      </c>
      <c r="D1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3" t="str">
        <f>_xlfn.XLOOKUP(tblTargetStatus[[#This Row],[TargetID]],tblTargets[TargetID],tblTargets[TargetType],"")</f>
        <v>CITADEL</v>
      </c>
      <c r="F143" t="str">
        <f>_xlfn.XLOOKUP(tblTargetStatus[[#This Row],[TargetID]],tblTargets[TargetID],tblTargets[StateType])</f>
        <v/>
      </c>
      <c r="G143">
        <f>_xlfn.LET(
_xlpm.id,tblTargetStatus[[#This Row],[TargetID]],
_xlpm.depCount,COUNTIF(tblDependencies[TargetID],_xlpm.id),
_xlpm.objCount,COUNTIF(tblQuestObjectives[QuestTargetID],_xlpm.id),
_xlpm.depCount+_xlpm.objCount
)</f>
        <v>2</v>
      </c>
      <c r="H143">
        <f>tblTargetStatus[[#This Row],[DependencyCount]]</f>
        <v>2</v>
      </c>
      <c r="I143" cm="1">
        <f t="array" ref="I1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3">
        <f>tblTargetStatus[[#This Row],[CompletedDependencyCount]]</f>
        <v>0</v>
      </c>
      <c r="K143" t="b">
        <f>tblTargetStatus[[#This Row],[CompletedDependencies]]=tblTargetStatus[[#This Row],[TotalDependencies]]</f>
        <v>0</v>
      </c>
      <c r="L143">
        <f>tblTargetStatus[[#This Row],[TotalDependencies]]-tblTargetStatus[[#This Row],[CompletedDependencies]]</f>
        <v>2</v>
      </c>
      <c r="M143" t="str" cm="1">
        <f t="array" ref="M1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43" t="str">
        <f>IF(tblTargetStatus[[#This Row],[FirstMissingDependencyID]]="","",_xlfn.XLOOKUP(tblTargetStatus[[#This Row],[FirstMissingDependencyID]],tblTargets[TargetID],tblTargets[DisplayName],tblTargetStatus[[#This Row],[FirstMissingDependencyID]]))</f>
        <v>Dungeon - Great Hall</v>
      </c>
      <c r="O143" t="str" cm="1">
        <f t="array" ref="O1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43" t="str">
        <f>IF(tblTargetStatus[[#This Row],[FirstMissingDependencyID]]="","",_xlfn.XLOOKUP(tblTargetStatus[[#This Row],[FirstMissingDependencyID]],tblTargetStatus[TargetID],tblTargetStatus[Status],""))</f>
        <v>BLOCKED</v>
      </c>
      <c r="Q143" t="str">
        <f>IF(
 tblTargetStatus[[#This Row],[Status]]&lt;&gt;"BLOCKED",
 tblTargetStatus[[#This Row],[Status]],
 IF(
  AND(
   tblTargetStatus[[#This Row],[MissingDependencies]]=1,
   tblTargetStatus[[#This Row],[FirstMissingStatus]]="READY"
  ),
  "ONE AWAY",
  "BLOCKED"
 )
)</f>
        <v>BLOCKED</v>
      </c>
      <c r="R143">
        <f>IF(
 OR(
  tblTargetStatus[[#This Row],[StateType]]="CHARACTER",
  RIGHT(tblTargetStatus[[#This Row],[TargetID]],6)=".maxed"
 ),
 0,
 _xlfn.LET(
  _xlpm.sort,
   _xlfn.XLOOKUP(
    tblTargetStatus[[#This Row],[TargetID]],
    tblChecklist[TargetID],
    tblChecklist[PlayerSort],
    0
   ),
  IF(_xlpm.sort=0,500,_xlpm.sort)
 )
)</f>
        <v>500</v>
      </c>
      <c r="S143" t="str" cm="1">
        <f t="array" ref="S14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Tavern Lv 1</v>
      </c>
      <c r="T143" t="str">
        <f>_xlfn.XLOOKUP(tblTargetStatus[[#This Row],[TargetID]],tblTargets[TargetID],tblTargets[CompletionMethod],"")</f>
        <v>PLAYER</v>
      </c>
      <c r="U143" t="b">
        <f>COUNTIF(
    tblCost[TargetID],
    tblTargetStatus[[#This Row],[TargetID]]
)&gt;0</f>
        <v>1</v>
      </c>
      <c r="V143" s="81">
        <f>IF(tblTargetStatus[[#This Row],[HasCost]]=FALSE,
"N/A",
_xlfn.XLOOKUP(
tblTargetStatus[[#This Row],[TargetID]],
tblCost[TargetID],
tblCost[FundingPercent],
""
)
)</f>
        <v>0</v>
      </c>
      <c r="W143">
        <f>IF(
COUNTIF(tblCost[TargetID],tblTargetStatus[[#This Row],[TargetID]])=0,
"",
_xlfn.XLOOKUP(
tblTargetStatus[[#This Row],[TargetID]],
tblCost[TargetID],
tblCost[RemainingRequirements],
""
)
)</f>
        <v>5</v>
      </c>
      <c r="X143" s="79" t="b">
        <f>IF(tblTargetStatus[[#This Row],[HasCost]]=FALSE,"N/A",_xlfn.XLOOKUP(
tblTargetStatus[[#This Row],[TargetID]],
tblCost[TargetID],
tblCost[TargetFunded],
TRUE
))</f>
        <v>0</v>
      </c>
      <c r="Y143" t="str" cm="1">
        <f t="array" ref="Y143">_xlfn.TEXTJOIN(
", ",
TRUE,
_xlfn._xlws.FILTER(
tblCost[ResourceID]&amp;": "&amp;tblCost[QuantityRequired],
(tblCost[TargetID]=tblTargetStatus[[#This Row],[TargetID]])*
(tblCost[PlayerPaid]=FALSE),
""
)
)</f>
        <v>beam: 400, coin: 400, page: 10, ruby: 2, stone: 400</v>
      </c>
      <c r="Z1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3" t="str" cm="1">
        <f t="array" ref="AA14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4" spans="1:27">
      <c r="A144" t="s">
        <v>2576</v>
      </c>
      <c r="B144" t="str">
        <f>_xlfn.XLOOKUP(tblTargetStatus[[#This Row],[TargetID]],tblTargets[TargetID],tblTargets[DisplayName],"")</f>
        <v>Treasury</v>
      </c>
      <c r="C144" t="str">
        <f>IF(tblTargetStatus[[#This Row],[PlayerCompleted]],"COMPLETED",IF(tblTargetStatus[[#This Row],[MissingDependencies]]=0,"READY","BLOCKED"))</f>
        <v>BLOCKED</v>
      </c>
      <c r="D1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4" t="str">
        <f>_xlfn.XLOOKUP(tblTargetStatus[[#This Row],[TargetID]],tblTargets[TargetID],tblTargets[TargetType],"")</f>
        <v>CITADEL</v>
      </c>
      <c r="F144" t="str">
        <f>_xlfn.XLOOKUP(tblTargetStatus[[#This Row],[TargetID]],tblTargets[TargetID],tblTargets[StateType])</f>
        <v/>
      </c>
      <c r="G144">
        <f>_xlfn.LET(
_xlpm.id,tblTargetStatus[[#This Row],[TargetID]],
_xlpm.depCount,COUNTIF(tblDependencies[TargetID],_xlpm.id),
_xlpm.objCount,COUNTIF(tblQuestObjectives[QuestTargetID],_xlpm.id),
_xlpm.depCount+_xlpm.objCount
)</f>
        <v>2</v>
      </c>
      <c r="H144">
        <f>tblTargetStatus[[#This Row],[DependencyCount]]</f>
        <v>2</v>
      </c>
      <c r="I144" cm="1">
        <f t="array" ref="I1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4">
        <f>tblTargetStatus[[#This Row],[CompletedDependencyCount]]</f>
        <v>0</v>
      </c>
      <c r="K144" t="b">
        <f>tblTargetStatus[[#This Row],[CompletedDependencies]]=tblTargetStatus[[#This Row],[TotalDependencies]]</f>
        <v>0</v>
      </c>
      <c r="L144">
        <f>tblTargetStatus[[#This Row],[TotalDependencies]]-tblTargetStatus[[#This Row],[CompletedDependencies]]</f>
        <v>2</v>
      </c>
      <c r="M144" t="str" cm="1">
        <f t="array" ref="M1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44" t="str">
        <f>IF(tblTargetStatus[[#This Row],[FirstMissingDependencyID]]="","",_xlfn.XLOOKUP(tblTargetStatus[[#This Row],[FirstMissingDependencyID]],tblTargets[TargetID],tblTargets[DisplayName],tblTargetStatus[[#This Row],[FirstMissingDependencyID]]))</f>
        <v>Dungeon - Great Hall</v>
      </c>
      <c r="O144" t="str" cm="1">
        <f t="array" ref="O1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600 beam,600 coin,20 page,3 ruby,300 steel,600 stone</v>
      </c>
      <c r="P144" t="str">
        <f>IF(tblTargetStatus[[#This Row],[FirstMissingDependencyID]]="","",_xlfn.XLOOKUP(tblTargetStatus[[#This Row],[FirstMissingDependencyID]],tblTargetStatus[TargetID],tblTargetStatus[Status],""))</f>
        <v>BLOCKED</v>
      </c>
      <c r="Q144" t="str">
        <f>IF(
 tblTargetStatus[[#This Row],[Status]]&lt;&gt;"BLOCKED",
 tblTargetStatus[[#This Row],[Status]],
 IF(
  AND(
   tblTargetStatus[[#This Row],[MissingDependencies]]=1,
   tblTargetStatus[[#This Row],[FirstMissingStatus]]="READY"
  ),
  "ONE AWAY",
  "BLOCKED"
 )
)</f>
        <v>BLOCKED</v>
      </c>
      <c r="R144">
        <f>IF(
 OR(
  tblTargetStatus[[#This Row],[StateType]]="CHARACTER",
  RIGHT(tblTargetStatus[[#This Row],[TargetID]],6)=".maxed"
 ),
 0,
 _xlfn.LET(
  _xlpm.sort,
   _xlfn.XLOOKUP(
    tblTargetStatus[[#This Row],[TargetID]],
    tblChecklist[TargetID],
    tblChecklist[PlayerSort],
    0
   ),
  IF(_xlpm.sort=0,500,_xlpm.sort)
 )
)</f>
        <v>500</v>
      </c>
      <c r="S144" t="str" cm="1">
        <f t="array" ref="S14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Treasury 1 Lv 1, Treasury 2 Lv 1, Treasury 3 Lv 1</v>
      </c>
      <c r="T144" t="str">
        <f>_xlfn.XLOOKUP(tblTargetStatus[[#This Row],[TargetID]],tblTargets[TargetID],tblTargets[CompletionMethod],"")</f>
        <v>PLAYER</v>
      </c>
      <c r="U144" t="b">
        <f>COUNTIF(
    tblCost[TargetID],
    tblTargetStatus[[#This Row],[TargetID]]
)&gt;0</f>
        <v>1</v>
      </c>
      <c r="V144" s="81">
        <f>IF(tblTargetStatus[[#This Row],[HasCost]]=FALSE,
"N/A",
_xlfn.XLOOKUP(
tblTargetStatus[[#This Row],[TargetID]],
tblCost[TargetID],
tblCost[FundingPercent],
""
)
)</f>
        <v>0</v>
      </c>
      <c r="W144">
        <f>IF(
COUNTIF(tblCost[TargetID],tblTargetStatus[[#This Row],[TargetID]])=0,
"",
_xlfn.XLOOKUP(
tblTargetStatus[[#This Row],[TargetID]],
tblCost[TargetID],
tblCost[RemainingRequirements],
""
)
)</f>
        <v>6</v>
      </c>
      <c r="X144" s="79" t="b">
        <f>IF(tblTargetStatus[[#This Row],[HasCost]]=FALSE,"N/A",_xlfn.XLOOKUP(
tblTargetStatus[[#This Row],[TargetID]],
tblCost[TargetID],
tblCost[TargetFunded],
TRUE
))</f>
        <v>0</v>
      </c>
      <c r="Y144" t="str" cm="1">
        <f t="array" ref="Y144">_xlfn.TEXTJOIN(
", ",
TRUE,
_xlfn._xlws.FILTER(
tblCost[ResourceID]&amp;": "&amp;tblCost[QuantityRequired],
(tblCost[TargetID]=tblTargetStatus[[#This Row],[TargetID]])*
(tblCost[PlayerPaid]=FALSE),
""
)
)</f>
        <v>beam: 600, coin: 600, page: 20, ruby: 3, steel: 300, stone: 600</v>
      </c>
      <c r="Z1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4" t="str" cm="1">
        <f t="array" ref="AA14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5" spans="1:27" ht="29">
      <c r="A145" t="s">
        <v>6058</v>
      </c>
      <c r="B145" t="str">
        <f>_xlfn.XLOOKUP(tblTargetStatus[[#This Row],[TargetID]],tblTargets[TargetID],tblTargets[DisplayName],"")</f>
        <v>Tunnel</v>
      </c>
      <c r="C145" t="str">
        <f>IF(tblTargetStatus[[#This Row],[PlayerCompleted]],"COMPLETED",IF(tblTargetStatus[[#This Row],[MissingDependencies]]=0,"READY","BLOCKED"))</f>
        <v>BLOCKED</v>
      </c>
      <c r="D1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5" t="str">
        <f>_xlfn.XLOOKUP(tblTargetStatus[[#This Row],[TargetID]],tblTargets[TargetID],tblTargets[TargetType],"")</f>
        <v>CITADEL</v>
      </c>
      <c r="F145" t="str">
        <f>_xlfn.XLOOKUP(tblTargetStatus[[#This Row],[TargetID]],tblTargets[TargetID],tblTargets[StateType])</f>
        <v/>
      </c>
      <c r="G145">
        <f>_xlfn.LET(
_xlpm.id,tblTargetStatus[[#This Row],[TargetID]],
_xlpm.depCount,COUNTIF(tblDependencies[TargetID],_xlpm.id),
_xlpm.objCount,COUNTIF(tblQuestObjectives[QuestTargetID],_xlpm.id),
_xlpm.depCount+_xlpm.objCount
)</f>
        <v>1</v>
      </c>
      <c r="H145">
        <f>tblTargetStatus[[#This Row],[DependencyCount]]</f>
        <v>1</v>
      </c>
      <c r="I145" cm="1">
        <f t="array" ref="I1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5">
        <f>tblTargetStatus[[#This Row],[CompletedDependencyCount]]</f>
        <v>0</v>
      </c>
      <c r="K145" t="b">
        <f>tblTargetStatus[[#This Row],[CompletedDependencies]]=tblTargetStatus[[#This Row],[TotalDependencies]]</f>
        <v>0</v>
      </c>
      <c r="L145">
        <f>tblTargetStatus[[#This Row],[TotalDependencies]]-tblTargetStatus[[#This Row],[CompletedDependencies]]</f>
        <v>1</v>
      </c>
      <c r="M145" t="str" cm="1">
        <f t="array" ref="M1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quest.ahead_of_time_chapter_2.accepted</v>
      </c>
      <c r="N145" t="str">
        <f>IF(tblTargetStatus[[#This Row],[FirstMissingDependencyID]]="","",_xlfn.XLOOKUP(tblTargetStatus[[#This Row],[FirstMissingDependencyID]],tblTargets[TargetID],tblTargets[DisplayName],tblTargetStatus[[#This Row],[FirstMissingDependencyID]]))</f>
        <v>Ahead of Time Chapter 2 Accepted</v>
      </c>
      <c r="O145" s="2" t="str" cm="1">
        <f t="array" ref="O1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ruby:5,coin:1000,beam:8000,stone:500,steel:1000,mechanism:40,petard:100,pcard:100,blueprint:100</v>
      </c>
      <c r="P145" t="str">
        <f>IF(tblTargetStatus[[#This Row],[FirstMissingDependencyID]]="","",_xlfn.XLOOKUP(tblTargetStatus[[#This Row],[FirstMissingDependencyID]],tblTargetStatus[TargetID],tblTargetStatus[Status],""))</f>
        <v>BLOCKED</v>
      </c>
      <c r="Q145" t="str">
        <f>IF(
 tblTargetStatus[[#This Row],[Status]]&lt;&gt;"BLOCKED",
 tblTargetStatus[[#This Row],[Status]],
 IF(
  AND(
   tblTargetStatus[[#This Row],[MissingDependencies]]=1,
   tblTargetStatus[[#This Row],[FirstMissingStatus]]="READY"
  ),
  "ONE AWAY",
  "BLOCKED"
 )
)</f>
        <v>BLOCKED</v>
      </c>
      <c r="R145">
        <f>IF(
 OR(
  tblTargetStatus[[#This Row],[StateType]]="CHARACTER",
  RIGHT(tblTargetStatus[[#This Row],[TargetID]],6)=".maxed"
 ),
 0,
 _xlfn.LET(
  _xlpm.sort,
   _xlfn.XLOOKUP(
    tblTargetStatus[[#This Row],[TargetID]],
    tblChecklist[TargetID],
    tblChecklist[PlayerSort],
    0
   ),
  IF(_xlpm.sort=0,500,_xlpm.sort)
 )
)</f>
        <v>500</v>
      </c>
      <c r="S145" t="str" cm="1">
        <f t="array" ref="S14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Send Train to Sapporo, Ahead of Time Chapter 2 Finished</v>
      </c>
      <c r="T145" t="str">
        <f>_xlfn.XLOOKUP(tblTargetStatus[[#This Row],[TargetID]],tblTargets[TargetID],tblTargets[CompletionMethod],"")</f>
        <v>PLAYER</v>
      </c>
      <c r="U145" t="b">
        <f>COUNTIF(
    tblCost[TargetID],
    tblTargetStatus[[#This Row],[TargetID]]
)&gt;0</f>
        <v>1</v>
      </c>
      <c r="V145" s="81">
        <f>IF(tblTargetStatus[[#This Row],[HasCost]]=FALSE,
"N/A",
_xlfn.XLOOKUP(
tblTargetStatus[[#This Row],[TargetID]],
tblCost[TargetID],
tblCost[FundingPercent],
""
)
)</f>
        <v>0</v>
      </c>
      <c r="W145">
        <f>IF(
COUNTIF(tblCost[TargetID],tblTargetStatus[[#This Row],[TargetID]])=0,
"",
_xlfn.XLOOKUP(
tblTargetStatus[[#This Row],[TargetID]],
tblCost[TargetID],
tblCost[RemainingRequirements],
""
)
)</f>
        <v>9</v>
      </c>
      <c r="X145" s="79" t="b">
        <f>IF(tblTargetStatus[[#This Row],[HasCost]]=FALSE,"N/A",_xlfn.XLOOKUP(
tblTargetStatus[[#This Row],[TargetID]],
tblCost[TargetID],
tblCost[TargetFunded],
TRUE
))</f>
        <v>0</v>
      </c>
      <c r="Y145" t="str" cm="1">
        <f t="array" ref="Y145">_xlfn.TEXTJOIN(
", ",
TRUE,
_xlfn._xlws.FILTER(
tblCost[ResourceID]&amp;": "&amp;tblCost[QuantityRequired],
(tblCost[TargetID]=tblTargetStatus[[#This Row],[TargetID]])*
(tblCost[PlayerPaid]=FALSE),
""
)
)</f>
        <v>ruby: 5, coin: 1000, beam: 8000, stone: 500, steel: 1000, mechanism: 40, petard: 100, pcard: 100, blueprint: 100</v>
      </c>
      <c r="Z1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5" t="str" cm="1">
        <f t="array" ref="AA14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6" spans="1:27" ht="29">
      <c r="A146" t="s">
        <v>5749</v>
      </c>
      <c r="B146" t="str">
        <f>_xlfn.XLOOKUP(tblTargetStatus[[#This Row],[TargetID]],tblTargets[TargetID],tblTargets[DisplayName],"")</f>
        <v>Alchemist Hall Lv 1</v>
      </c>
      <c r="C146" t="str">
        <f>IF(tblTargetStatus[[#This Row],[PlayerCompleted]],"COMPLETED",IF(tblTargetStatus[[#This Row],[MissingDependencies]]=0,"READY","BLOCKED"))</f>
        <v>BLOCKED</v>
      </c>
      <c r="D1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6" t="str">
        <f>_xlfn.XLOOKUP(tblTargetStatus[[#This Row],[TargetID]],tblTargets[TargetID],tblTargets[TargetType],"")</f>
        <v>COLLECTION</v>
      </c>
      <c r="F146" t="str">
        <f>_xlfn.XLOOKUP(tblTargetStatus[[#This Row],[TargetID]],tblTargets[TargetID],tblTargets[StateType])</f>
        <v/>
      </c>
      <c r="G146">
        <f>_xlfn.LET(
_xlpm.id,tblTargetStatus[[#This Row],[TargetID]],
_xlpm.depCount,COUNTIF(tblDependencies[TargetID],_xlpm.id),
_xlpm.objCount,COUNTIF(tblQuestObjectives[QuestTargetID],_xlpm.id),
_xlpm.depCount+_xlpm.objCount
)</f>
        <v>1</v>
      </c>
      <c r="H146">
        <f>tblTargetStatus[[#This Row],[DependencyCount]]</f>
        <v>1</v>
      </c>
      <c r="I146" cm="1">
        <f t="array" ref="I1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6">
        <f>tblTargetStatus[[#This Row],[CompletedDependencyCount]]</f>
        <v>0</v>
      </c>
      <c r="K146" t="b">
        <f>tblTargetStatus[[#This Row],[CompletedDependencies]]=tblTargetStatus[[#This Row],[TotalDependencies]]</f>
        <v>0</v>
      </c>
      <c r="L146">
        <f>tblTargetStatus[[#This Row],[TotalDependencies]]-tblTargetStatus[[#This Row],[CompletedDependencies]]</f>
        <v>1</v>
      </c>
      <c r="M146" t="str" cm="1">
        <f t="array" ref="M1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collection.cave_in_alchemist_hall@1</v>
      </c>
      <c r="N146" t="str">
        <f>IF(tblTargetStatus[[#This Row],[FirstMissingDependencyID]]="","",_xlfn.XLOOKUP(tblTargetStatus[[#This Row],[FirstMissingDependencyID]],tblTargets[TargetID],tblTargets[DisplayName],tblTargetStatus[[#This Row],[FirstMissingDependencyID]]))</f>
        <v>Cave-in Alchemist Hall</v>
      </c>
      <c r="O146" s="2" t="str" cm="1">
        <f t="array" ref="O1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cherry, 20 catalyst, 20 mercury, 10 hide, 20 mandrake, 5 grimoire, 10 violetcrystal, 111 reagent</v>
      </c>
      <c r="P146" t="str">
        <f>IF(tblTargetStatus[[#This Row],[FirstMissingDependencyID]]="","",_xlfn.XLOOKUP(tblTargetStatus[[#This Row],[FirstMissingDependencyID]],tblTargetStatus[TargetID],tblTargetStatus[Status],""))</f>
        <v>BLOCKED</v>
      </c>
      <c r="Q146" t="str">
        <f>IF(
 tblTargetStatus[[#This Row],[Status]]&lt;&gt;"BLOCKED",
 tblTargetStatus[[#This Row],[Status]],
 IF(
  AND(
   tblTargetStatus[[#This Row],[MissingDependencies]]=1,
   tblTargetStatus[[#This Row],[FirstMissingStatus]]="READY"
  ),
  "ONE AWAY",
  "BLOCKED"
 )
)</f>
        <v>BLOCKED</v>
      </c>
      <c r="R146">
        <f>IF(
 OR(
  tblTargetStatus[[#This Row],[StateType]]="CHARACTER",
  RIGHT(tblTargetStatus[[#This Row],[TargetID]],6)=".maxed"
 ),
 0,
 _xlfn.LET(
  _xlpm.sort,
   _xlfn.XLOOKUP(
    tblTargetStatus[[#This Row],[TargetID]],
    tblChecklist[TargetID],
    tblChecklist[PlayerSort],
    0
   ),
  IF(_xlpm.sort=0,500,_xlpm.sort)
 )
)</f>
        <v>500</v>
      </c>
      <c r="S146" t="str" cm="1">
        <f t="array" ref="S14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 Hall Lv 2, Letter from the Dark Lady Finished</v>
      </c>
      <c r="T146" t="str">
        <f>_xlfn.XLOOKUP(tblTargetStatus[[#This Row],[TargetID]],tblTargets[TargetID],tblTargets[CompletionMethod],"")</f>
        <v>PLAYER</v>
      </c>
      <c r="U146" t="b">
        <f>COUNTIF(
    tblCost[TargetID],
    tblTargetStatus[[#This Row],[TargetID]]
)&gt;0</f>
        <v>1</v>
      </c>
      <c r="V146" s="81">
        <f>IF(tblTargetStatus[[#This Row],[HasCost]]=FALSE,
"N/A",
_xlfn.XLOOKUP(
tblTargetStatus[[#This Row],[TargetID]],
tblCost[TargetID],
tblCost[FundingPercent],
""
)
)</f>
        <v>0</v>
      </c>
      <c r="W146">
        <f>IF(
COUNTIF(tblCost[TargetID],tblTargetStatus[[#This Row],[TargetID]])=0,
"",
_xlfn.XLOOKUP(
tblTargetStatus[[#This Row],[TargetID]],
tblCost[TargetID],
tblCost[RemainingRequirements],
""
)
)</f>
        <v>8</v>
      </c>
      <c r="X146" s="79" t="b">
        <f>IF(tblTargetStatus[[#This Row],[HasCost]]=FALSE,"N/A",_xlfn.XLOOKUP(
tblTargetStatus[[#This Row],[TargetID]],
tblCost[TargetID],
tblCost[TargetFunded],
TRUE
))</f>
        <v>0</v>
      </c>
      <c r="Y146" t="str" cm="1">
        <f t="array" ref="Y146">_xlfn.TEXTJOIN(
", ",
TRUE,
_xlfn._xlws.FILTER(
tblCost[ResourceID]&amp;": "&amp;tblCost[QuantityRequired],
(tblCost[TargetID]=tblTargetStatus[[#This Row],[TargetID]])*
(tblCost[PlayerPaid]=FALSE),
""
)
)</f>
        <v>cherry: 20, catalyst: 20, mercury: 20, hide: 10, mandrake: 20, grimoire: 5, violetcrystal: 10, reagent: 111</v>
      </c>
      <c r="Z1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6" t="str" cm="1">
        <f t="array" ref="AA14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7" spans="1:27" ht="29">
      <c r="A147" t="s">
        <v>5750</v>
      </c>
      <c r="B147" t="str">
        <f>_xlfn.XLOOKUP(tblTargetStatus[[#This Row],[TargetID]],tblTargets[TargetID],tblTargets[DisplayName],"")</f>
        <v>Alchemist Hall Lv 2</v>
      </c>
      <c r="C147" t="str">
        <f>IF(tblTargetStatus[[#This Row],[PlayerCompleted]],"COMPLETED",IF(tblTargetStatus[[#This Row],[MissingDependencies]]=0,"READY","BLOCKED"))</f>
        <v>BLOCKED</v>
      </c>
      <c r="D1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7" t="str">
        <f>_xlfn.XLOOKUP(tblTargetStatus[[#This Row],[TargetID]],tblTargets[TargetID],tblTargets[TargetType],"")</f>
        <v>COLLECTION</v>
      </c>
      <c r="F147" t="str">
        <f>_xlfn.XLOOKUP(tblTargetStatus[[#This Row],[TargetID]],tblTargets[TargetID],tblTargets[StateType])</f>
        <v/>
      </c>
      <c r="G147">
        <f>_xlfn.LET(
_xlpm.id,tblTargetStatus[[#This Row],[TargetID]],
_xlpm.depCount,COUNTIF(tblDependencies[TargetID],_xlpm.id),
_xlpm.objCount,COUNTIF(tblQuestObjectives[QuestTargetID],_xlpm.id),
_xlpm.depCount+_xlpm.objCount
)</f>
        <v>1</v>
      </c>
      <c r="H147">
        <f>tblTargetStatus[[#This Row],[DependencyCount]]</f>
        <v>1</v>
      </c>
      <c r="I147" cm="1">
        <f t="array" ref="I1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7">
        <f>tblTargetStatus[[#This Row],[CompletedDependencyCount]]</f>
        <v>0</v>
      </c>
      <c r="K147" t="b">
        <f>tblTargetStatus[[#This Row],[CompletedDependencies]]=tblTargetStatus[[#This Row],[TotalDependencies]]</f>
        <v>0</v>
      </c>
      <c r="L147">
        <f>tblTargetStatus[[#This Row],[TotalDependencies]]-tblTargetStatus[[#This Row],[CompletedDependencies]]</f>
        <v>1</v>
      </c>
      <c r="M147" t="str" cm="1">
        <f t="array" ref="M1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collection.alchemist_hall_1@1</v>
      </c>
      <c r="N147" t="str">
        <f>IF(tblTargetStatus[[#This Row],[FirstMissingDependencyID]]="","",_xlfn.XLOOKUP(tblTargetStatus[[#This Row],[FirstMissingDependencyID]],tblTargets[TargetID],tblTargets[DisplayName],tblTargetStatus[[#This Row],[FirstMissingDependencyID]]))</f>
        <v>Alchemist Hall Lv 1</v>
      </c>
      <c r="O147" s="2" t="str" cm="1">
        <f t="array" ref="O1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cherry, 40 catalyst, 40 mercury, 20 hide, 40 mandrake, 10 grimoire, 20 violetcrystal, 222 reagent</v>
      </c>
      <c r="P147" t="str">
        <f>IF(tblTargetStatus[[#This Row],[FirstMissingDependencyID]]="","",_xlfn.XLOOKUP(tblTargetStatus[[#This Row],[FirstMissingDependencyID]],tblTargetStatus[TargetID],tblTargetStatus[Status],""))</f>
        <v>BLOCKED</v>
      </c>
      <c r="Q147" t="str">
        <f>IF(
 tblTargetStatus[[#This Row],[Status]]&lt;&gt;"BLOCKED",
 tblTargetStatus[[#This Row],[Status]],
 IF(
  AND(
   tblTargetStatus[[#This Row],[MissingDependencies]]=1,
   tblTargetStatus[[#This Row],[FirstMissingStatus]]="READY"
  ),
  "ONE AWAY",
  "BLOCKED"
 )
)</f>
        <v>BLOCKED</v>
      </c>
      <c r="R147">
        <f>IF(
 OR(
  tblTargetStatus[[#This Row],[StateType]]="CHARACTER",
  RIGHT(tblTargetStatus[[#This Row],[TargetID]],6)=".maxed"
 ),
 0,
 _xlfn.LET(
  _xlpm.sort,
   _xlfn.XLOOKUP(
    tblTargetStatus[[#This Row],[TargetID]],
    tblChecklist[TargetID],
    tblChecklist[PlayerSort],
    0
   ),
  IF(_xlpm.sort=0,500,_xlpm.sort)
 )
)</f>
        <v>500</v>
      </c>
      <c r="S147" t="str" cm="1">
        <f t="array" ref="S14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47" t="str">
        <f>_xlfn.XLOOKUP(tblTargetStatus[[#This Row],[TargetID]],tblTargets[TargetID],tblTargets[CompletionMethod],"")</f>
        <v>PLAYER</v>
      </c>
      <c r="U147" t="b">
        <f>COUNTIF(
    tblCost[TargetID],
    tblTargetStatus[[#This Row],[TargetID]]
)&gt;0</f>
        <v>1</v>
      </c>
      <c r="V147" s="81">
        <f>IF(tblTargetStatus[[#This Row],[HasCost]]=FALSE,
"N/A",
_xlfn.XLOOKUP(
tblTargetStatus[[#This Row],[TargetID]],
tblCost[TargetID],
tblCost[FundingPercent],
""
)
)</f>
        <v>0</v>
      </c>
      <c r="W147">
        <f>IF(
COUNTIF(tblCost[TargetID],tblTargetStatus[[#This Row],[TargetID]])=0,
"",
_xlfn.XLOOKUP(
tblTargetStatus[[#This Row],[TargetID]],
tblCost[TargetID],
tblCost[RemainingRequirements],
""
)
)</f>
        <v>8</v>
      </c>
      <c r="X147" s="79" t="b">
        <f>IF(tblTargetStatus[[#This Row],[HasCost]]=FALSE,"N/A",_xlfn.XLOOKUP(
tblTargetStatus[[#This Row],[TargetID]],
tblCost[TargetID],
tblCost[TargetFunded],
TRUE
))</f>
        <v>0</v>
      </c>
      <c r="Y147" t="str" cm="1">
        <f t="array" ref="Y147">_xlfn.TEXTJOIN(
", ",
TRUE,
_xlfn._xlws.FILTER(
tblCost[ResourceID]&amp;": "&amp;tblCost[QuantityRequired],
(tblCost[TargetID]=tblTargetStatus[[#This Row],[TargetID]])*
(tblCost[PlayerPaid]=FALSE),
""
)
)</f>
        <v>cherry: 40, catalyst: 40, mercury: 40, hide: 20, mandrake: 40, grimoire: 10, violetcrystal: 20, reagent: 222</v>
      </c>
      <c r="Z1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7" t="str" cm="1">
        <f t="array" ref="AA14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8" spans="1:27" ht="29">
      <c r="A148" t="s">
        <v>5751</v>
      </c>
      <c r="B148" t="str">
        <f>_xlfn.XLOOKUP(tblTargetStatus[[#This Row],[TargetID]],tblTargets[TargetID],tblTargets[DisplayName],"")</f>
        <v>Alchemist Hall Lv 1</v>
      </c>
      <c r="C148" t="str">
        <f>IF(tblTargetStatus[[#This Row],[PlayerCompleted]],"COMPLETED",IF(tblTargetStatus[[#This Row],[MissingDependencies]]=0,"READY","BLOCKED"))</f>
        <v>BLOCKED</v>
      </c>
      <c r="D1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8" t="str">
        <f>_xlfn.XLOOKUP(tblTargetStatus[[#This Row],[TargetID]],tblTargets[TargetID],tblTargets[TargetType],"")</f>
        <v>COLLECTION</v>
      </c>
      <c r="F148" t="str">
        <f>_xlfn.XLOOKUP(tblTargetStatus[[#This Row],[TargetID]],tblTargets[TargetID],tblTargets[StateType])</f>
        <v/>
      </c>
      <c r="G148">
        <f>_xlfn.LET(
_xlpm.id,tblTargetStatus[[#This Row],[TargetID]],
_xlpm.depCount,COUNTIF(tblDependencies[TargetID],_xlpm.id),
_xlpm.objCount,COUNTIF(tblQuestObjectives[QuestTargetID],_xlpm.id),
_xlpm.depCount+_xlpm.objCount
)</f>
        <v>1</v>
      </c>
      <c r="H148">
        <f>tblTargetStatus[[#This Row],[DependencyCount]]</f>
        <v>1</v>
      </c>
      <c r="I148" cm="1">
        <f t="array" ref="I1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8">
        <f>tblTargetStatus[[#This Row],[CompletedDependencyCount]]</f>
        <v>0</v>
      </c>
      <c r="K148" t="b">
        <f>tblTargetStatus[[#This Row],[CompletedDependencies]]=tblTargetStatus[[#This Row],[TotalDependencies]]</f>
        <v>0</v>
      </c>
      <c r="L148">
        <f>tblTargetStatus[[#This Row],[TotalDependencies]]-tblTargetStatus[[#This Row],[CompletedDependencies]]</f>
        <v>1</v>
      </c>
      <c r="M148" t="str" cm="1">
        <f t="array" ref="M1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collection.cave_in_alchemist_hall@1</v>
      </c>
      <c r="N148" t="str">
        <f>IF(tblTargetStatus[[#This Row],[FirstMissingDependencyID]]="","",_xlfn.XLOOKUP(tblTargetStatus[[#This Row],[FirstMissingDependencyID]],tblTargets[TargetID],tblTargets[DisplayName],tblTargetStatus[[#This Row],[FirstMissingDependencyID]]))</f>
        <v>Cave-in Alchemist Hall</v>
      </c>
      <c r="O148" s="2" t="str" cm="1">
        <f t="array" ref="O1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herbs, 10 herbs.2, 20 mushrooms, 24 bone, 24 bone.2, 20 page, 1 scroll, 10 quartz</v>
      </c>
      <c r="P148" t="str">
        <f>IF(tblTargetStatus[[#This Row],[FirstMissingDependencyID]]="","",_xlfn.XLOOKUP(tblTargetStatus[[#This Row],[FirstMissingDependencyID]],tblTargetStatus[TargetID],tblTargetStatus[Status],""))</f>
        <v>BLOCKED</v>
      </c>
      <c r="Q148" t="str">
        <f>IF(
 tblTargetStatus[[#This Row],[Status]]&lt;&gt;"BLOCKED",
 tblTargetStatus[[#This Row],[Status]],
 IF(
  AND(
   tblTargetStatus[[#This Row],[MissingDependencies]]=1,
   tblTargetStatus[[#This Row],[FirstMissingStatus]]="READY"
  ),
  "ONE AWAY",
  "BLOCKED"
 )
)</f>
        <v>BLOCKED</v>
      </c>
      <c r="R148">
        <f>IF(
 OR(
  tblTargetStatus[[#This Row],[StateType]]="CHARACTER",
  RIGHT(tblTargetStatus[[#This Row],[TargetID]],6)=".maxed"
 ),
 0,
 _xlfn.LET(
  _xlpm.sort,
   _xlfn.XLOOKUP(
    tblTargetStatus[[#This Row],[TargetID]],
    tblChecklist[TargetID],
    tblChecklist[PlayerSort],
    0
   ),
  IF(_xlpm.sort=0,500,_xlpm.sort)
 )
)</f>
        <v>500</v>
      </c>
      <c r="S148" t="str" cm="1">
        <f t="array" ref="S14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 Hall Lv 2, Letter from the Dark Lady Finished</v>
      </c>
      <c r="T148" t="str">
        <f>_xlfn.XLOOKUP(tblTargetStatus[[#This Row],[TargetID]],tblTargets[TargetID],tblTargets[CompletionMethod],"")</f>
        <v>PLAYER</v>
      </c>
      <c r="U148" t="b">
        <f>COUNTIF(
    tblCost[TargetID],
    tblTargetStatus[[#This Row],[TargetID]]
)&gt;0</f>
        <v>1</v>
      </c>
      <c r="V148" s="81">
        <f>IF(tblTargetStatus[[#This Row],[HasCost]]=FALSE,
"N/A",
_xlfn.XLOOKUP(
tblTargetStatus[[#This Row],[TargetID]],
tblCost[TargetID],
tblCost[FundingPercent],
""
)
)</f>
        <v>0</v>
      </c>
      <c r="W148">
        <f>IF(
COUNTIF(tblCost[TargetID],tblTargetStatus[[#This Row],[TargetID]])=0,
"",
_xlfn.XLOOKUP(
tblTargetStatus[[#This Row],[TargetID]],
tblCost[TargetID],
tblCost[RemainingRequirements],
""
)
)</f>
        <v>8</v>
      </c>
      <c r="X148" s="79" t="b">
        <f>IF(tblTargetStatus[[#This Row],[HasCost]]=FALSE,"N/A",_xlfn.XLOOKUP(
tblTargetStatus[[#This Row],[TargetID]],
tblCost[TargetID],
tblCost[TargetFunded],
TRUE
))</f>
        <v>0</v>
      </c>
      <c r="Y148" t="str" cm="1">
        <f t="array" ref="Y148">_xlfn.TEXTJOIN(
", ",
TRUE,
_xlfn._xlws.FILTER(
tblCost[ResourceID]&amp;": "&amp;tblCost[QuantityRequired],
(tblCost[TargetID]=tblTargetStatus[[#This Row],[TargetID]])*
(tblCost[PlayerPaid]=FALSE),
""
)
)</f>
        <v>herbs: 10, herbs: 10, mushrooms: 20, bone: 24, bone: 24, page: 20, scroll: 1, quartz: 10</v>
      </c>
      <c r="Z1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8" t="str" cm="1">
        <f t="array" ref="AA14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49" spans="1:27" ht="29">
      <c r="A149" t="s">
        <v>5752</v>
      </c>
      <c r="B149" t="str">
        <f>_xlfn.XLOOKUP(tblTargetStatus[[#This Row],[TargetID]],tblTargets[TargetID],tblTargets[DisplayName],"")</f>
        <v>Alchemist Hall Lv 2</v>
      </c>
      <c r="C149" t="str">
        <f>IF(tblTargetStatus[[#This Row],[PlayerCompleted]],"COMPLETED",IF(tblTargetStatus[[#This Row],[MissingDependencies]]=0,"READY","BLOCKED"))</f>
        <v>BLOCKED</v>
      </c>
      <c r="D1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9" t="str">
        <f>_xlfn.XLOOKUP(tblTargetStatus[[#This Row],[TargetID]],tblTargets[TargetID],tblTargets[TargetType],"")</f>
        <v>COLLECTION</v>
      </c>
      <c r="F149" t="str">
        <f>_xlfn.XLOOKUP(tblTargetStatus[[#This Row],[TargetID]],tblTargets[TargetID],tblTargets[StateType])</f>
        <v/>
      </c>
      <c r="G149">
        <f>_xlfn.LET(
_xlpm.id,tblTargetStatus[[#This Row],[TargetID]],
_xlpm.depCount,COUNTIF(tblDependencies[TargetID],_xlpm.id),
_xlpm.objCount,COUNTIF(tblQuestObjectives[QuestTargetID],_xlpm.id),
_xlpm.depCount+_xlpm.objCount
)</f>
        <v>1</v>
      </c>
      <c r="H149">
        <f>tblTargetStatus[[#This Row],[DependencyCount]]</f>
        <v>1</v>
      </c>
      <c r="I149" cm="1">
        <f t="array" ref="I1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9">
        <f>tblTargetStatus[[#This Row],[CompletedDependencyCount]]</f>
        <v>0</v>
      </c>
      <c r="K149" t="b">
        <f>tblTargetStatus[[#This Row],[CompletedDependencies]]=tblTargetStatus[[#This Row],[TotalDependencies]]</f>
        <v>0</v>
      </c>
      <c r="L149">
        <f>tblTargetStatus[[#This Row],[TotalDependencies]]-tblTargetStatus[[#This Row],[CompletedDependencies]]</f>
        <v>1</v>
      </c>
      <c r="M149" t="str" cm="1">
        <f t="array" ref="M1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collection.alchemist_hall_2@1</v>
      </c>
      <c r="N149" t="str">
        <f>IF(tblTargetStatus[[#This Row],[FirstMissingDependencyID]]="","",_xlfn.XLOOKUP(tblTargetStatus[[#This Row],[FirstMissingDependencyID]],tblTargets[TargetID],tblTargets[DisplayName],tblTargetStatus[[#This Row],[FirstMissingDependencyID]]))</f>
        <v>Alchemist Hall Lv 1</v>
      </c>
      <c r="O149" s="2" t="str" cm="1">
        <f t="array" ref="O1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herbs, 20 herbs.2, 40 mushrooms, 48 bone, 48 bone.2, 40 page, 2 scroll, 20 quartz</v>
      </c>
      <c r="P149" t="str">
        <f>IF(tblTargetStatus[[#This Row],[FirstMissingDependencyID]]="","",_xlfn.XLOOKUP(tblTargetStatus[[#This Row],[FirstMissingDependencyID]],tblTargetStatus[TargetID],tblTargetStatus[Status],""))</f>
        <v>BLOCKED</v>
      </c>
      <c r="Q149" t="str">
        <f>IF(
 tblTargetStatus[[#This Row],[Status]]&lt;&gt;"BLOCKED",
 tblTargetStatus[[#This Row],[Status]],
 IF(
  AND(
   tblTargetStatus[[#This Row],[MissingDependencies]]=1,
   tblTargetStatus[[#This Row],[FirstMissingStatus]]="READY"
  ),
  "ONE AWAY",
  "BLOCKED"
 )
)</f>
        <v>BLOCKED</v>
      </c>
      <c r="R149">
        <f>IF(
 OR(
  tblTargetStatus[[#This Row],[StateType]]="CHARACTER",
  RIGHT(tblTargetStatus[[#This Row],[TargetID]],6)=".maxed"
 ),
 0,
 _xlfn.LET(
  _xlpm.sort,
   _xlfn.XLOOKUP(
    tblTargetStatus[[#This Row],[TargetID]],
    tblChecklist[TargetID],
    tblChecklist[PlayerSort],
    0
   ),
  IF(_xlpm.sort=0,500,_xlpm.sort)
 )
)</f>
        <v>500</v>
      </c>
      <c r="S149" t="str" cm="1">
        <f t="array" ref="S14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49" t="str">
        <f>_xlfn.XLOOKUP(tblTargetStatus[[#This Row],[TargetID]],tblTargets[TargetID],tblTargets[CompletionMethod],"")</f>
        <v>PLAYER</v>
      </c>
      <c r="U149" t="b">
        <f>COUNTIF(
    tblCost[TargetID],
    tblTargetStatus[[#This Row],[TargetID]]
)&gt;0</f>
        <v>1</v>
      </c>
      <c r="V149" s="81">
        <f>IF(tblTargetStatus[[#This Row],[HasCost]]=FALSE,
"N/A",
_xlfn.XLOOKUP(
tblTargetStatus[[#This Row],[TargetID]],
tblCost[TargetID],
tblCost[FundingPercent],
""
)
)</f>
        <v>0</v>
      </c>
      <c r="W149">
        <f>IF(
COUNTIF(tblCost[TargetID],tblTargetStatus[[#This Row],[TargetID]])=0,
"",
_xlfn.XLOOKUP(
tblTargetStatus[[#This Row],[TargetID]],
tblCost[TargetID],
tblCost[RemainingRequirements],
""
)
)</f>
        <v>8</v>
      </c>
      <c r="X149" s="79" t="b">
        <f>IF(tblTargetStatus[[#This Row],[HasCost]]=FALSE,"N/A",_xlfn.XLOOKUP(
tblTargetStatus[[#This Row],[TargetID]],
tblCost[TargetID],
tblCost[TargetFunded],
TRUE
))</f>
        <v>0</v>
      </c>
      <c r="Y149" t="str" cm="1">
        <f t="array" ref="Y149">_xlfn.TEXTJOIN(
", ",
TRUE,
_xlfn._xlws.FILTER(
tblCost[ResourceID]&amp;": "&amp;tblCost[QuantityRequired],
(tblCost[TargetID]=tblTargetStatus[[#This Row],[TargetID]])*
(tblCost[PlayerPaid]=FALSE),
""
)
)</f>
        <v>herbs: 20, herbs: 20, mushrooms: 40, bone: 48, bone: 48, page: 40, scroll: 2, quartz: 20</v>
      </c>
      <c r="Z1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9" t="str" cm="1">
        <f t="array" ref="AA14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0" spans="1:27" ht="29">
      <c r="A150" t="s">
        <v>5753</v>
      </c>
      <c r="B150" t="str">
        <f>_xlfn.XLOOKUP(tblTargetStatus[[#This Row],[TargetID]],tblTargets[TargetID],tblTargets[DisplayName],"")</f>
        <v>Alchemist Hall Lv 1</v>
      </c>
      <c r="C150" t="str">
        <f>IF(tblTargetStatus[[#This Row],[PlayerCompleted]],"COMPLETED",IF(tblTargetStatus[[#This Row],[MissingDependencies]]=0,"READY","BLOCKED"))</f>
        <v>BLOCKED</v>
      </c>
      <c r="D1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0" t="str">
        <f>_xlfn.XLOOKUP(tblTargetStatus[[#This Row],[TargetID]],tblTargets[TargetID],tblTargets[TargetType],"")</f>
        <v>COLLECTION</v>
      </c>
      <c r="F150" t="str">
        <f>_xlfn.XLOOKUP(tblTargetStatus[[#This Row],[TargetID]],tblTargets[TargetID],tblTargets[StateType])</f>
        <v/>
      </c>
      <c r="G150">
        <f>_xlfn.LET(
_xlpm.id,tblTargetStatus[[#This Row],[TargetID]],
_xlpm.depCount,COUNTIF(tblDependencies[TargetID],_xlpm.id),
_xlpm.objCount,COUNTIF(tblQuestObjectives[QuestTargetID],_xlpm.id),
_xlpm.depCount+_xlpm.objCount
)</f>
        <v>1</v>
      </c>
      <c r="H150">
        <f>tblTargetStatus[[#This Row],[DependencyCount]]</f>
        <v>1</v>
      </c>
      <c r="I150" cm="1">
        <f t="array" ref="I1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0">
        <f>tblTargetStatus[[#This Row],[CompletedDependencyCount]]</f>
        <v>0</v>
      </c>
      <c r="K150" t="b">
        <f>tblTargetStatus[[#This Row],[CompletedDependencies]]=tblTargetStatus[[#This Row],[TotalDependencies]]</f>
        <v>0</v>
      </c>
      <c r="L150">
        <f>tblTargetStatus[[#This Row],[TotalDependencies]]-tblTargetStatus[[#This Row],[CompletedDependencies]]</f>
        <v>1</v>
      </c>
      <c r="M150" t="str" cm="1">
        <f t="array" ref="M1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collection.cave_in_alchemist_hall@1</v>
      </c>
      <c r="N150" t="str">
        <f>IF(tblTargetStatus[[#This Row],[FirstMissingDependencyID]]="","",_xlfn.XLOOKUP(tblTargetStatus[[#This Row],[FirstMissingDependencyID]],tblTargets[TargetID],tblTargets[DisplayName],tblTargetStatus[[#This Row],[FirstMissingDependencyID]]))</f>
        <v>Cave-in Alchemist Hall</v>
      </c>
      <c r="O150" s="2" t="str" cm="1">
        <f t="array" ref="O1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12 bonemeal, 24 ginkgo, 24 ginkgo.2, 10 grimoire, 10 bluecrystal</v>
      </c>
      <c r="P150" t="str">
        <f>IF(tblTargetStatus[[#This Row],[FirstMissingDependencyID]]="","",_xlfn.XLOOKUP(tblTargetStatus[[#This Row],[FirstMissingDependencyID]],tblTargetStatus[TargetID],tblTargetStatus[Status],""))</f>
        <v>BLOCKED</v>
      </c>
      <c r="Q150" t="str">
        <f>IF(
 tblTargetStatus[[#This Row],[Status]]&lt;&gt;"BLOCKED",
 tblTargetStatus[[#This Row],[Status]],
 IF(
  AND(
   tblTargetStatus[[#This Row],[MissingDependencies]]=1,
   tblTargetStatus[[#This Row],[FirstMissingStatus]]="READY"
  ),
  "ONE AWAY",
  "BLOCKED"
 )
)</f>
        <v>BLOCKED</v>
      </c>
      <c r="R150">
        <f>IF(
 OR(
  tblTargetStatus[[#This Row],[StateType]]="CHARACTER",
  RIGHT(tblTargetStatus[[#This Row],[TargetID]],6)=".maxed"
 ),
 0,
 _xlfn.LET(
  _xlpm.sort,
   _xlfn.XLOOKUP(
    tblTargetStatus[[#This Row],[TargetID]],
    tblChecklist[TargetID],
    tblChecklist[PlayerSort],
    0
   ),
  IF(_xlpm.sort=0,500,_xlpm.sort)
 )
)</f>
        <v>500</v>
      </c>
      <c r="S150" t="str" cm="1">
        <f t="array" ref="S15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 Hall Lv 2, Letter from the Dark Lady Finished</v>
      </c>
      <c r="T150" t="str">
        <f>_xlfn.XLOOKUP(tblTargetStatus[[#This Row],[TargetID]],tblTargets[TargetID],tblTargets[CompletionMethod],"")</f>
        <v>PLAYER</v>
      </c>
      <c r="U150" t="b">
        <f>COUNTIF(
    tblCost[TargetID],
    tblTargetStatus[[#This Row],[TargetID]]
)&gt;0</f>
        <v>1</v>
      </c>
      <c r="V150" s="81">
        <f>IF(tblTargetStatus[[#This Row],[HasCost]]=FALSE,
"N/A",
_xlfn.XLOOKUP(
tblTargetStatus[[#This Row],[TargetID]],
tblCost[TargetID],
tblCost[FundingPercent],
""
)
)</f>
        <v>0</v>
      </c>
      <c r="W150">
        <f>IF(
COUNTIF(tblCost[TargetID],tblTargetStatus[[#This Row],[TargetID]])=0,
"",
_xlfn.XLOOKUP(
tblTargetStatus[[#This Row],[TargetID]],
tblCost[TargetID],
tblCost[RemainingRequirements],
""
)
)</f>
        <v>5</v>
      </c>
      <c r="X150" s="79" t="b">
        <f>IF(tblTargetStatus[[#This Row],[HasCost]]=FALSE,"N/A",_xlfn.XLOOKUP(
tblTargetStatus[[#This Row],[TargetID]],
tblCost[TargetID],
tblCost[TargetFunded],
TRUE
))</f>
        <v>0</v>
      </c>
      <c r="Y150" t="str" cm="1">
        <f t="array" ref="Y150">_xlfn.TEXTJOIN(
", ",
TRUE,
_xlfn._xlws.FILTER(
tblCost[ResourceID]&amp;": "&amp;tblCost[QuantityRequired],
(tblCost[TargetID]=tblTargetStatus[[#This Row],[TargetID]])*
(tblCost[PlayerPaid]=FALSE),
""
)
)</f>
        <v>bonemeal: 12, ginkgo: 24, ginkgo: 24, grimoire: 10, bluecrystal: 10</v>
      </c>
      <c r="Z1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0" t="str" cm="1">
        <f t="array" ref="AA15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1" spans="1:27" ht="29">
      <c r="A151" t="s">
        <v>5754</v>
      </c>
      <c r="B151" t="str">
        <f>_xlfn.XLOOKUP(tblTargetStatus[[#This Row],[TargetID]],tblTargets[TargetID],tblTargets[DisplayName],"")</f>
        <v>Alchemist Hall Lv 2</v>
      </c>
      <c r="C151" t="str">
        <f>IF(tblTargetStatus[[#This Row],[PlayerCompleted]],"COMPLETED",IF(tblTargetStatus[[#This Row],[MissingDependencies]]=0,"READY","BLOCKED"))</f>
        <v>BLOCKED</v>
      </c>
      <c r="D1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1" t="str">
        <f>_xlfn.XLOOKUP(tblTargetStatus[[#This Row],[TargetID]],tblTargets[TargetID],tblTargets[TargetType],"")</f>
        <v>COLLECTION</v>
      </c>
      <c r="F151" t="str">
        <f>_xlfn.XLOOKUP(tblTargetStatus[[#This Row],[TargetID]],tblTargets[TargetID],tblTargets[StateType])</f>
        <v/>
      </c>
      <c r="G151">
        <f>_xlfn.LET(
_xlpm.id,tblTargetStatus[[#This Row],[TargetID]],
_xlpm.depCount,COUNTIF(tblDependencies[TargetID],_xlpm.id),
_xlpm.objCount,COUNTIF(tblQuestObjectives[QuestTargetID],_xlpm.id),
_xlpm.depCount+_xlpm.objCount
)</f>
        <v>1</v>
      </c>
      <c r="H151">
        <f>tblTargetStatus[[#This Row],[DependencyCount]]</f>
        <v>1</v>
      </c>
      <c r="I151" cm="1">
        <f t="array" ref="I1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1">
        <f>tblTargetStatus[[#This Row],[CompletedDependencyCount]]</f>
        <v>0</v>
      </c>
      <c r="K151" t="b">
        <f>tblTargetStatus[[#This Row],[CompletedDependencies]]=tblTargetStatus[[#This Row],[TotalDependencies]]</f>
        <v>0</v>
      </c>
      <c r="L151">
        <f>tblTargetStatus[[#This Row],[TotalDependencies]]-tblTargetStatus[[#This Row],[CompletedDependencies]]</f>
        <v>1</v>
      </c>
      <c r="M151" t="str" cm="1">
        <f t="array" ref="M1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collection.alchemist_hall_3@1</v>
      </c>
      <c r="N151" t="str">
        <f>IF(tblTargetStatus[[#This Row],[FirstMissingDependencyID]]="","",_xlfn.XLOOKUP(tblTargetStatus[[#This Row],[FirstMissingDependencyID]],tblTargets[TargetID],tblTargets[DisplayName],tblTargetStatus[[#This Row],[FirstMissingDependencyID]]))</f>
        <v>Alchemist Hall Lv 1</v>
      </c>
      <c r="O151" s="2" t="str" cm="1">
        <f t="array" ref="O1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24 bonemeal, 48 ginkgo, 48 ginkgo.2, 20 grimoire, 20 bluecrystal</v>
      </c>
      <c r="P151" t="str">
        <f>IF(tblTargetStatus[[#This Row],[FirstMissingDependencyID]]="","",_xlfn.XLOOKUP(tblTargetStatus[[#This Row],[FirstMissingDependencyID]],tblTargetStatus[TargetID],tblTargetStatus[Status],""))</f>
        <v>BLOCKED</v>
      </c>
      <c r="Q151" t="str">
        <f>IF(
 tblTargetStatus[[#This Row],[Status]]&lt;&gt;"BLOCKED",
 tblTargetStatus[[#This Row],[Status]],
 IF(
  AND(
   tblTargetStatus[[#This Row],[MissingDependencies]]=1,
   tblTargetStatus[[#This Row],[FirstMissingStatus]]="READY"
  ),
  "ONE AWAY",
  "BLOCKED"
 )
)</f>
        <v>BLOCKED</v>
      </c>
      <c r="R151">
        <f>IF(
 OR(
  tblTargetStatus[[#This Row],[StateType]]="CHARACTER",
  RIGHT(tblTargetStatus[[#This Row],[TargetID]],6)=".maxed"
 ),
 0,
 _xlfn.LET(
  _xlpm.sort,
   _xlfn.XLOOKUP(
    tblTargetStatus[[#This Row],[TargetID]],
    tblChecklist[TargetID],
    tblChecklist[PlayerSort],
    0
   ),
  IF(_xlpm.sort=0,500,_xlpm.sort)
 )
)</f>
        <v>500</v>
      </c>
      <c r="S151" t="str" cm="1">
        <f t="array" ref="S15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51" t="str">
        <f>_xlfn.XLOOKUP(tblTargetStatus[[#This Row],[TargetID]],tblTargets[TargetID],tblTargets[CompletionMethod],"")</f>
        <v>PLAYER</v>
      </c>
      <c r="U151" t="b">
        <f>COUNTIF(
    tblCost[TargetID],
    tblTargetStatus[[#This Row],[TargetID]]
)&gt;0</f>
        <v>1</v>
      </c>
      <c r="V151" s="81">
        <f>IF(tblTargetStatus[[#This Row],[HasCost]]=FALSE,
"N/A",
_xlfn.XLOOKUP(
tblTargetStatus[[#This Row],[TargetID]],
tblCost[TargetID],
tblCost[FundingPercent],
""
)
)</f>
        <v>0</v>
      </c>
      <c r="W151">
        <f>IF(
COUNTIF(tblCost[TargetID],tblTargetStatus[[#This Row],[TargetID]])=0,
"",
_xlfn.XLOOKUP(
tblTargetStatus[[#This Row],[TargetID]],
tblCost[TargetID],
tblCost[RemainingRequirements],
""
)
)</f>
        <v>5</v>
      </c>
      <c r="X151" s="79" t="b">
        <f>IF(tblTargetStatus[[#This Row],[HasCost]]=FALSE,"N/A",_xlfn.XLOOKUP(
tblTargetStatus[[#This Row],[TargetID]],
tblCost[TargetID],
tblCost[TargetFunded],
TRUE
))</f>
        <v>0</v>
      </c>
      <c r="Y151" t="str" cm="1">
        <f t="array" ref="Y151">_xlfn.TEXTJOIN(
", ",
TRUE,
_xlfn._xlws.FILTER(
tblCost[ResourceID]&amp;": "&amp;tblCost[QuantityRequired],
(tblCost[TargetID]=tblTargetStatus[[#This Row],[TargetID]])*
(tblCost[PlayerPaid]=FALSE),
""
)
)</f>
        <v>bonemeal: 24, ginkgo: 48, ginkgo: 48, grimoire: 20, bluecrystal: 20</v>
      </c>
      <c r="Z1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1" t="str" cm="1">
        <f t="array" ref="AA15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2" spans="1:27" ht="43.5">
      <c r="A152" t="s">
        <v>2577</v>
      </c>
      <c r="B152" t="str">
        <f>_xlfn.XLOOKUP(tblTargetStatus[[#This Row],[TargetID]],tblTargets[TargetID],tblTargets[DisplayName],"")</f>
        <v>Armory 1 Lv 1</v>
      </c>
      <c r="C152" t="str">
        <f>IF(tblTargetStatus[[#This Row],[PlayerCompleted]],"COMPLETED",IF(tblTargetStatus[[#This Row],[MissingDependencies]]=0,"READY","BLOCKED"))</f>
        <v>BLOCKED</v>
      </c>
      <c r="D1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2" t="str">
        <f>_xlfn.XLOOKUP(tblTargetStatus[[#This Row],[TargetID]],tblTargets[TargetID],tblTargets[TargetType],"")</f>
        <v>COLLECTION</v>
      </c>
      <c r="F152" t="str">
        <f>_xlfn.XLOOKUP(tblTargetStatus[[#This Row],[TargetID]],tblTargets[TargetID],tblTargets[StateType])</f>
        <v/>
      </c>
      <c r="G152">
        <f>_xlfn.LET(
_xlpm.id,tblTargetStatus[[#This Row],[TargetID]],
_xlpm.depCount,COUNTIF(tblDependencies[TargetID],_xlpm.id),
_xlpm.objCount,COUNTIF(tblQuestObjectives[QuestTargetID],_xlpm.id),
_xlpm.depCount+_xlpm.objCount
)</f>
        <v>1</v>
      </c>
      <c r="H152">
        <f>tblTargetStatus[[#This Row],[DependencyCount]]</f>
        <v>1</v>
      </c>
      <c r="I152" cm="1">
        <f t="array" ref="I1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2">
        <f>tblTargetStatus[[#This Row],[CompletedDependencyCount]]</f>
        <v>0</v>
      </c>
      <c r="K152" t="b">
        <f>tblTargetStatus[[#This Row],[CompletedDependencies]]=tblTargetStatus[[#This Row],[TotalDependencies]]</f>
        <v>0</v>
      </c>
      <c r="L152">
        <f>tblTargetStatus[[#This Row],[TotalDependencies]]-tblTargetStatus[[#This Row],[CompletedDependencies]]</f>
        <v>1</v>
      </c>
      <c r="M152" t="str" cm="1">
        <f t="array" ref="M1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citadel.armory</v>
      </c>
      <c r="N152" t="str">
        <f>IF(tblTargetStatus[[#This Row],[FirstMissingDependencyID]]="","",_xlfn.XLOOKUP(tblTargetStatus[[#This Row],[FirstMissingDependencyID]],tblTargets[TargetID],tblTargets[DisplayName],tblTargetStatus[[#This Row],[FirstMissingDependencyID]]))</f>
        <v>Armory</v>
      </c>
      <c r="O152" s="2" t="str" cm="1">
        <f t="array" ref="O1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armor1,3 armor2,3 armor3,3 armor4,3 shield1,3 shield2,3 shield3,3 shield4,3 sword1,3 sword2,3 sword3,3 sword4</v>
      </c>
      <c r="P152" t="str">
        <f>IF(tblTargetStatus[[#This Row],[FirstMissingDependencyID]]="","",_xlfn.XLOOKUP(tblTargetStatus[[#This Row],[FirstMissingDependencyID]],tblTargetStatus[TargetID],tblTargetStatus[Status],""))</f>
        <v>BLOCKED</v>
      </c>
      <c r="Q152" t="str">
        <f>IF(
 tblTargetStatus[[#This Row],[Status]]&lt;&gt;"BLOCKED",
 tblTargetStatus[[#This Row],[Status]],
 IF(
  AND(
   tblTargetStatus[[#This Row],[MissingDependencies]]=1,
   tblTargetStatus[[#This Row],[FirstMissingStatus]]="READY"
  ),
  "ONE AWAY",
  "BLOCKED"
 )
)</f>
        <v>BLOCKED</v>
      </c>
      <c r="R152">
        <f>IF(
 OR(
  tblTargetStatus[[#This Row],[StateType]]="CHARACTER",
  RIGHT(tblTargetStatus[[#This Row],[TargetID]],6)=".maxed"
 ),
 0,
 _xlfn.LET(
  _xlpm.sort,
   _xlfn.XLOOKUP(
    tblTargetStatus[[#This Row],[TargetID]],
    tblChecklist[TargetID],
    tblChecklist[PlayerSort],
    0
   ),
  IF(_xlpm.sort=0,500,_xlpm.sort)
 )
)</f>
        <v>500</v>
      </c>
      <c r="S152" t="str" cm="1">
        <f t="array" ref="S15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Armory 1 Lv 2</v>
      </c>
      <c r="T152" t="str">
        <f>_xlfn.XLOOKUP(tblTargetStatus[[#This Row],[TargetID]],tblTargets[TargetID],tblTargets[CompletionMethod],"")</f>
        <v>PLAYER</v>
      </c>
      <c r="U152" t="b">
        <f>COUNTIF(
    tblCost[TargetID],
    tblTargetStatus[[#This Row],[TargetID]]
)&gt;0</f>
        <v>1</v>
      </c>
      <c r="V152" s="81">
        <f>IF(tblTargetStatus[[#This Row],[HasCost]]=FALSE,
"N/A",
_xlfn.XLOOKUP(
tblTargetStatus[[#This Row],[TargetID]],
tblCost[TargetID],
tblCost[FundingPercent],
""
)
)</f>
        <v>0</v>
      </c>
      <c r="W152">
        <f>IF(
COUNTIF(tblCost[TargetID],tblTargetStatus[[#This Row],[TargetID]])=0,
"",
_xlfn.XLOOKUP(
tblTargetStatus[[#This Row],[TargetID]],
tblCost[TargetID],
tblCost[RemainingRequirements],
""
)
)</f>
        <v>12</v>
      </c>
      <c r="X152" s="79" t="b">
        <f>IF(tblTargetStatus[[#This Row],[HasCost]]=FALSE,"N/A",_xlfn.XLOOKUP(
tblTargetStatus[[#This Row],[TargetID]],
tblCost[TargetID],
tblCost[TargetFunded],
TRUE
))</f>
        <v>0</v>
      </c>
      <c r="Y152" t="str" cm="1">
        <f t="array" ref="Y152">_xlfn.TEXTJOIN(
", ",
TRUE,
_xlfn._xlws.FILTER(
tblCost[ResourceID]&amp;": "&amp;tblCost[QuantityRequired],
(tblCost[TargetID]=tblTargetStatus[[#This Row],[TargetID]])*
(tblCost[PlayerPaid]=FALSE),
""
)
)</f>
        <v>armor1: 3, armor2: 3, armor3: 3, armor4: 3, shield1: 3, shield2: 3, shield3: 3, shield4: 3, sword1: 3, sword2: 3, sword3: 3, sword4: 3</v>
      </c>
      <c r="Z1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2" t="str" cm="1">
        <f t="array" ref="AA15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3" spans="1:27">
      <c r="A153" t="s">
        <v>2579</v>
      </c>
      <c r="B153" t="str">
        <f>_xlfn.XLOOKUP(tblTargetStatus[[#This Row],[TargetID]],tblTargets[TargetID],tblTargets[DisplayName],"")</f>
        <v>Armory 1 Lv 2</v>
      </c>
      <c r="C153" t="str">
        <f>IF(tblTargetStatus[[#This Row],[PlayerCompleted]],"COMPLETED",IF(tblTargetStatus[[#This Row],[MissingDependencies]]=0,"READY","BLOCKED"))</f>
        <v>BLOCKED</v>
      </c>
      <c r="D1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3" t="str">
        <f>_xlfn.XLOOKUP(tblTargetStatus[[#This Row],[TargetID]],tblTargets[TargetID],tblTargets[TargetType],"")</f>
        <v>COLLECTION</v>
      </c>
      <c r="F153" t="str">
        <f>_xlfn.XLOOKUP(tblTargetStatus[[#This Row],[TargetID]],tblTargets[TargetID],tblTargets[StateType])</f>
        <v/>
      </c>
      <c r="G153">
        <f>_xlfn.LET(
_xlpm.id,tblTargetStatus[[#This Row],[TargetID]],
_xlpm.depCount,COUNTIF(tblDependencies[TargetID],_xlpm.id),
_xlpm.objCount,COUNTIF(tblQuestObjectives[QuestTargetID],_xlpm.id),
_xlpm.depCount+_xlpm.objCount
)</f>
        <v>1</v>
      </c>
      <c r="H153">
        <f>tblTargetStatus[[#This Row],[DependencyCount]]</f>
        <v>1</v>
      </c>
      <c r="I153" cm="1">
        <f t="array" ref="I1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3">
        <f>tblTargetStatus[[#This Row],[CompletedDependencyCount]]</f>
        <v>0</v>
      </c>
      <c r="K153" t="b">
        <f>tblTargetStatus[[#This Row],[CompletedDependencies]]=tblTargetStatus[[#This Row],[TotalDependencies]]</f>
        <v>0</v>
      </c>
      <c r="L153">
        <f>tblTargetStatus[[#This Row],[TotalDependencies]]-tblTargetStatus[[#This Row],[CompletedDependencies]]</f>
        <v>1</v>
      </c>
      <c r="M153" t="str" cm="1">
        <f t="array" ref="M1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collection.armory_1@1</v>
      </c>
      <c r="N153" t="str">
        <f>IF(tblTargetStatus[[#This Row],[FirstMissingDependencyID]]="","",_xlfn.XLOOKUP(tblTargetStatus[[#This Row],[FirstMissingDependencyID]],tblTargets[TargetID],tblTargets[DisplayName],tblTargetStatus[[#This Row],[FirstMissingDependencyID]]))</f>
        <v>Armory 1 Lv 1</v>
      </c>
      <c r="O153" t="str" cm="1">
        <f t="array" ref="O1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armor1,6 armor2,6 armor3,6 armor4,6 shield1,6 shield2,6 shield3,6 shield4,6 sword1,6 sword2,6 sword3,6 sword4</v>
      </c>
      <c r="P153" t="str">
        <f>IF(tblTargetStatus[[#This Row],[FirstMissingDependencyID]]="","",_xlfn.XLOOKUP(tblTargetStatus[[#This Row],[FirstMissingDependencyID]],tblTargetStatus[TargetID],tblTargetStatus[Status],""))</f>
        <v>BLOCKED</v>
      </c>
      <c r="Q153" t="str">
        <f>IF(
 tblTargetStatus[[#This Row],[Status]]&lt;&gt;"BLOCKED",
 tblTargetStatus[[#This Row],[Status]],
 IF(
  AND(
   tblTargetStatus[[#This Row],[MissingDependencies]]=1,
   tblTargetStatus[[#This Row],[FirstMissingStatus]]="READY"
  ),
  "ONE AWAY",
  "BLOCKED"
 )
)</f>
        <v>BLOCKED</v>
      </c>
      <c r="R153">
        <f>IF(
 OR(
  tblTargetStatus[[#This Row],[StateType]]="CHARACTER",
  RIGHT(tblTargetStatus[[#This Row],[TargetID]],6)=".maxed"
 ),
 0,
 _xlfn.LET(
  _xlpm.sort,
   _xlfn.XLOOKUP(
    tblTargetStatus[[#This Row],[TargetID]],
    tblChecklist[TargetID],
    tblChecklist[PlayerSort],
    0
   ),
  IF(_xlpm.sort=0,500,_xlpm.sort)
 )
)</f>
        <v>500</v>
      </c>
      <c r="S153" t="str" cm="1">
        <f t="array" ref="S15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Armory 1 Lv 3</v>
      </c>
      <c r="T153" t="str">
        <f>_xlfn.XLOOKUP(tblTargetStatus[[#This Row],[TargetID]],tblTargets[TargetID],tblTargets[CompletionMethod],"")</f>
        <v>PLAYER</v>
      </c>
      <c r="U153" t="b">
        <f>COUNTIF(
    tblCost[TargetID],
    tblTargetStatus[[#This Row],[TargetID]]
)&gt;0</f>
        <v>1</v>
      </c>
      <c r="V153" s="81">
        <f>IF(tblTargetStatus[[#This Row],[HasCost]]=FALSE,
"N/A",
_xlfn.XLOOKUP(
tblTargetStatus[[#This Row],[TargetID]],
tblCost[TargetID],
tblCost[FundingPercent],
""
)
)</f>
        <v>0</v>
      </c>
      <c r="W153">
        <f>IF(
COUNTIF(tblCost[TargetID],tblTargetStatus[[#This Row],[TargetID]])=0,
"",
_xlfn.XLOOKUP(
tblTargetStatus[[#This Row],[TargetID]],
tblCost[TargetID],
tblCost[RemainingRequirements],
""
)
)</f>
        <v>12</v>
      </c>
      <c r="X153" s="79" t="b">
        <f>IF(tblTargetStatus[[#This Row],[HasCost]]=FALSE,"N/A",_xlfn.XLOOKUP(
tblTargetStatus[[#This Row],[TargetID]],
tblCost[TargetID],
tblCost[TargetFunded],
TRUE
))</f>
        <v>0</v>
      </c>
      <c r="Y153" t="str" cm="1">
        <f t="array" ref="Y153">_xlfn.TEXTJOIN(
", ",
TRUE,
_xlfn._xlws.FILTER(
tblCost[ResourceID]&amp;": "&amp;tblCost[QuantityRequired],
(tblCost[TargetID]=tblTargetStatus[[#This Row],[TargetID]])*
(tblCost[PlayerPaid]=FALSE),
""
)
)</f>
        <v>armor1: 6, armor2: 6, armor3: 6, armor4: 6, shield1: 6, shield2: 6, shield3: 6, shield4: 6, sword1: 6, sword2: 6, sword3: 6, sword4: 6</v>
      </c>
      <c r="Z1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3" t="str" cm="1">
        <f t="array" ref="AA15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4" spans="1:27">
      <c r="A154" t="s">
        <v>2580</v>
      </c>
      <c r="B154" t="str">
        <f>_xlfn.XLOOKUP(tblTargetStatus[[#This Row],[TargetID]],tblTargets[TargetID],tblTargets[DisplayName],"")</f>
        <v>Armory 1 Lv 3</v>
      </c>
      <c r="C154" t="str">
        <f>IF(tblTargetStatus[[#This Row],[PlayerCompleted]],"COMPLETED",IF(tblTargetStatus[[#This Row],[MissingDependencies]]=0,"READY","BLOCKED"))</f>
        <v>BLOCKED</v>
      </c>
      <c r="D1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4" t="str">
        <f>_xlfn.XLOOKUP(tblTargetStatus[[#This Row],[TargetID]],tblTargets[TargetID],tblTargets[TargetType],"")</f>
        <v>COLLECTION</v>
      </c>
      <c r="F154" t="str">
        <f>_xlfn.XLOOKUP(tblTargetStatus[[#This Row],[TargetID]],tblTargets[TargetID],tblTargets[StateType])</f>
        <v/>
      </c>
      <c r="G154">
        <f>_xlfn.LET(
_xlpm.id,tblTargetStatus[[#This Row],[TargetID]],
_xlpm.depCount,COUNTIF(tblDependencies[TargetID],_xlpm.id),
_xlpm.objCount,COUNTIF(tblQuestObjectives[QuestTargetID],_xlpm.id),
_xlpm.depCount+_xlpm.objCount
)</f>
        <v>1</v>
      </c>
      <c r="H154">
        <f>tblTargetStatus[[#This Row],[DependencyCount]]</f>
        <v>1</v>
      </c>
      <c r="I154" cm="1">
        <f t="array" ref="I1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4">
        <f>tblTargetStatus[[#This Row],[CompletedDependencyCount]]</f>
        <v>0</v>
      </c>
      <c r="K154" t="b">
        <f>tblTargetStatus[[#This Row],[CompletedDependencies]]=tblTargetStatus[[#This Row],[TotalDependencies]]</f>
        <v>0</v>
      </c>
      <c r="L154">
        <f>tblTargetStatus[[#This Row],[TotalDependencies]]-tblTargetStatus[[#This Row],[CompletedDependencies]]</f>
        <v>1</v>
      </c>
      <c r="M154" t="str" cm="1">
        <f t="array" ref="M1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collection.armory_1@2</v>
      </c>
      <c r="N154" t="str">
        <f>IF(tblTargetStatus[[#This Row],[FirstMissingDependencyID]]="","",_xlfn.XLOOKUP(tblTargetStatus[[#This Row],[FirstMissingDependencyID]],tblTargets[TargetID],tblTargets[DisplayName],tblTargetStatus[[#This Row],[FirstMissingDependencyID]]))</f>
        <v>Armory 1 Lv 2</v>
      </c>
      <c r="O154" t="str" cm="1">
        <f t="array" ref="O1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armor1,9 armor2,9 armor3,9 armor4,9 shield1,9 shield2,9 shield3,9 shield4,9 sword1,9 sword2,9 sword3,9 sword4</v>
      </c>
      <c r="P154" t="str">
        <f>IF(tblTargetStatus[[#This Row],[FirstMissingDependencyID]]="","",_xlfn.XLOOKUP(tblTargetStatus[[#This Row],[FirstMissingDependencyID]],tblTargetStatus[TargetID],tblTargetStatus[Status],""))</f>
        <v>BLOCKED</v>
      </c>
      <c r="Q154" t="str">
        <f>IF(
 tblTargetStatus[[#This Row],[Status]]&lt;&gt;"BLOCKED",
 tblTargetStatus[[#This Row],[Status]],
 IF(
  AND(
   tblTargetStatus[[#This Row],[MissingDependencies]]=1,
   tblTargetStatus[[#This Row],[FirstMissingStatus]]="READY"
  ),
  "ONE AWAY",
  "BLOCKED"
 )
)</f>
        <v>BLOCKED</v>
      </c>
      <c r="R154">
        <f>IF(
 OR(
  tblTargetStatus[[#This Row],[StateType]]="CHARACTER",
  RIGHT(tblTargetStatus[[#This Row],[TargetID]],6)=".maxed"
 ),
 0,
 _xlfn.LET(
  _xlpm.sort,
   _xlfn.XLOOKUP(
    tblTargetStatus[[#This Row],[TargetID]],
    tblChecklist[TargetID],
    tblChecklist[PlayerSort],
    0
   ),
  IF(_xlpm.sort=0,500,_xlpm.sort)
 )
)</f>
        <v>500</v>
      </c>
      <c r="S154" t="str" cm="1">
        <f t="array" ref="S15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54" t="str">
        <f>_xlfn.XLOOKUP(tblTargetStatus[[#This Row],[TargetID]],tblTargets[TargetID],tblTargets[CompletionMethod],"")</f>
        <v>PLAYER</v>
      </c>
      <c r="U154" t="b">
        <f>COUNTIF(
    tblCost[TargetID],
    tblTargetStatus[[#This Row],[TargetID]]
)&gt;0</f>
        <v>1</v>
      </c>
      <c r="V154" s="81">
        <f>IF(tblTargetStatus[[#This Row],[HasCost]]=FALSE,
"N/A",
_xlfn.XLOOKUP(
tblTargetStatus[[#This Row],[TargetID]],
tblCost[TargetID],
tblCost[FundingPercent],
""
)
)</f>
        <v>0</v>
      </c>
      <c r="W154">
        <f>IF(
COUNTIF(tblCost[TargetID],tblTargetStatus[[#This Row],[TargetID]])=0,
"",
_xlfn.XLOOKUP(
tblTargetStatus[[#This Row],[TargetID]],
tblCost[TargetID],
tblCost[RemainingRequirements],
""
)
)</f>
        <v>12</v>
      </c>
      <c r="X154" s="79" t="b">
        <f>IF(tblTargetStatus[[#This Row],[HasCost]]=FALSE,"N/A",_xlfn.XLOOKUP(
tblTargetStatus[[#This Row],[TargetID]],
tblCost[TargetID],
tblCost[TargetFunded],
TRUE
))</f>
        <v>0</v>
      </c>
      <c r="Y154" t="str" cm="1">
        <f t="array" ref="Y154">_xlfn.TEXTJOIN(
", ",
TRUE,
_xlfn._xlws.FILTER(
tblCost[ResourceID]&amp;": "&amp;tblCost[QuantityRequired],
(tblCost[TargetID]=tblTargetStatus[[#This Row],[TargetID]])*
(tblCost[PlayerPaid]=FALSE),
""
)
)</f>
        <v>armor1: 9, armor2: 9, armor3: 9, armor4: 9, shield1: 9, shield2: 9, shield3: 9, shield4: 9, sword1: 9, sword2: 9, sword3: 9, sword4: 9</v>
      </c>
      <c r="Z1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4" t="str" cm="1">
        <f t="array" ref="AA15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5" spans="1:27">
      <c r="A155" t="s">
        <v>2581</v>
      </c>
      <c r="B155" t="str">
        <f>_xlfn.XLOOKUP(tblTargetStatus[[#This Row],[TargetID]],tblTargets[TargetID],tblTargets[DisplayName],"")</f>
        <v>Armory 2 Lv 1</v>
      </c>
      <c r="C155" t="str">
        <f>IF(tblTargetStatus[[#This Row],[PlayerCompleted]],"COMPLETED",IF(tblTargetStatus[[#This Row],[MissingDependencies]]=0,"READY","BLOCKED"))</f>
        <v>BLOCKED</v>
      </c>
      <c r="D1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5" t="str">
        <f>_xlfn.XLOOKUP(tblTargetStatus[[#This Row],[TargetID]],tblTargets[TargetID],tblTargets[TargetType],"")</f>
        <v>COLLECTION</v>
      </c>
      <c r="F155" t="str">
        <f>_xlfn.XLOOKUP(tblTargetStatus[[#This Row],[TargetID]],tblTargets[TargetID],tblTargets[StateType])</f>
        <v/>
      </c>
      <c r="G155">
        <f>_xlfn.LET(
_xlpm.id,tblTargetStatus[[#This Row],[TargetID]],
_xlpm.depCount,COUNTIF(tblDependencies[TargetID],_xlpm.id),
_xlpm.objCount,COUNTIF(tblQuestObjectives[QuestTargetID],_xlpm.id),
_xlpm.depCount+_xlpm.objCount
)</f>
        <v>1</v>
      </c>
      <c r="H155">
        <f>tblTargetStatus[[#This Row],[DependencyCount]]</f>
        <v>1</v>
      </c>
      <c r="I155" cm="1">
        <f t="array" ref="I1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5">
        <f>tblTargetStatus[[#This Row],[CompletedDependencyCount]]</f>
        <v>0</v>
      </c>
      <c r="K155" t="b">
        <f>tblTargetStatus[[#This Row],[CompletedDependencies]]=tblTargetStatus[[#This Row],[TotalDependencies]]</f>
        <v>0</v>
      </c>
      <c r="L155">
        <f>tblTargetStatus[[#This Row],[TotalDependencies]]-tblTargetStatus[[#This Row],[CompletedDependencies]]</f>
        <v>1</v>
      </c>
      <c r="M155" t="str" cm="1">
        <f t="array" ref="M1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quest.the_ordinary_days_of_an_adventurer_chapter_7.finished</v>
      </c>
      <c r="N155" t="str">
        <f>IF(tblTargetStatus[[#This Row],[FirstMissingDependencyID]]="","",_xlfn.XLOOKUP(tblTargetStatus[[#This Row],[FirstMissingDependencyID]],tblTargets[TargetID],tblTargets[DisplayName],tblTargetStatus[[#This Row],[FirstMissingDependencyID]]))</f>
        <v>The Ordinary Days of an Adventurer Chapter 7 Finished</v>
      </c>
      <c r="O155" t="str" cm="1">
        <f t="array" ref="O1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armor4p,3 shield4p,3 sword4p</v>
      </c>
      <c r="P155" t="str">
        <f>IF(tblTargetStatus[[#This Row],[FirstMissingDependencyID]]="","",_xlfn.XLOOKUP(tblTargetStatus[[#This Row],[FirstMissingDependencyID]],tblTargetStatus[TargetID],tblTargetStatus[Status],""))</f>
        <v>BLOCKED</v>
      </c>
      <c r="Q155" t="str">
        <f>IF(
 tblTargetStatus[[#This Row],[Status]]&lt;&gt;"BLOCKED",
 tblTargetStatus[[#This Row],[Status]],
 IF(
  AND(
   tblTargetStatus[[#This Row],[MissingDependencies]]=1,
   tblTargetStatus[[#This Row],[FirstMissingStatus]]="READY"
  ),
  "ONE AWAY",
  "BLOCKED"
 )
)</f>
        <v>BLOCKED</v>
      </c>
      <c r="R155">
        <f>IF(
 OR(
  tblTargetStatus[[#This Row],[StateType]]="CHARACTER",
  RIGHT(tblTargetStatus[[#This Row],[TargetID]],6)=".maxed"
 ),
 0,
 _xlfn.LET(
  _xlpm.sort,
   _xlfn.XLOOKUP(
    tblTargetStatus[[#This Row],[TargetID]],
    tblChecklist[TargetID],
    tblChecklist[PlayerSort],
    0
   ),
  IF(_xlpm.sort=0,500,_xlpm.sort)
 )
)</f>
        <v>500</v>
      </c>
      <c r="S155" t="str" cm="1">
        <f t="array" ref="S15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55" t="str">
        <f>_xlfn.XLOOKUP(tblTargetStatus[[#This Row],[TargetID]],tblTargets[TargetID],tblTargets[CompletionMethod],"")</f>
        <v>PLAYER</v>
      </c>
      <c r="U155" t="b">
        <f>COUNTIF(
    tblCost[TargetID],
    tblTargetStatus[[#This Row],[TargetID]]
)&gt;0</f>
        <v>1</v>
      </c>
      <c r="V155" s="81">
        <f>IF(tblTargetStatus[[#This Row],[HasCost]]=FALSE,
"N/A",
_xlfn.XLOOKUP(
tblTargetStatus[[#This Row],[TargetID]],
tblCost[TargetID],
tblCost[FundingPercent],
""
)
)</f>
        <v>0</v>
      </c>
      <c r="W155">
        <f>IF(
COUNTIF(tblCost[TargetID],tblTargetStatus[[#This Row],[TargetID]])=0,
"",
_xlfn.XLOOKUP(
tblTargetStatus[[#This Row],[TargetID]],
tblCost[TargetID],
tblCost[RemainingRequirements],
""
)
)</f>
        <v>3</v>
      </c>
      <c r="X155" s="79" t="b">
        <f>IF(tblTargetStatus[[#This Row],[HasCost]]=FALSE,"N/A",_xlfn.XLOOKUP(
tblTargetStatus[[#This Row],[TargetID]],
tblCost[TargetID],
tblCost[TargetFunded],
TRUE
))</f>
        <v>0</v>
      </c>
      <c r="Y155" t="str" cm="1">
        <f t="array" ref="Y155">_xlfn.TEXTJOIN(
", ",
TRUE,
_xlfn._xlws.FILTER(
tblCost[ResourceID]&amp;": "&amp;tblCost[QuantityRequired],
(tblCost[TargetID]=tblTargetStatus[[#This Row],[TargetID]])*
(tblCost[PlayerPaid]=FALSE),
""
)
)</f>
        <v>armor4p: 3, shield4p: 3, sword4p: 3</v>
      </c>
      <c r="Z1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5" t="str" cm="1">
        <f t="array" ref="AA15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6" spans="1:27" ht="29">
      <c r="A156" t="s">
        <v>2582</v>
      </c>
      <c r="B156" t="str">
        <f>_xlfn.XLOOKUP(tblTargetStatus[[#This Row],[TargetID]],tblTargets[TargetID],tblTargets[DisplayName],"")</f>
        <v>Attic Lv 1</v>
      </c>
      <c r="C156" t="str">
        <f>IF(tblTargetStatus[[#This Row],[PlayerCompleted]],"COMPLETED",IF(tblTargetStatus[[#This Row],[MissingDependencies]]=0,"READY","BLOCKED"))</f>
        <v>BLOCKED</v>
      </c>
      <c r="D1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6" t="str">
        <f>_xlfn.XLOOKUP(tblTargetStatus[[#This Row],[TargetID]],tblTargets[TargetID],tblTargets[TargetType],"")</f>
        <v>COLLECTION</v>
      </c>
      <c r="F156" t="str">
        <f>_xlfn.XLOOKUP(tblTargetStatus[[#This Row],[TargetID]],tblTargets[TargetID],tblTargets[StateType])</f>
        <v/>
      </c>
      <c r="G156">
        <f>_xlfn.LET(
_xlpm.id,tblTargetStatus[[#This Row],[TargetID]],
_xlpm.depCount,COUNTIF(tblDependencies[TargetID],_xlpm.id),
_xlpm.objCount,COUNTIF(tblQuestObjectives[QuestTargetID],_xlpm.id),
_xlpm.depCount+_xlpm.objCount
)</f>
        <v>1</v>
      </c>
      <c r="H156">
        <f>tblTargetStatus[[#This Row],[DependencyCount]]</f>
        <v>1</v>
      </c>
      <c r="I156" cm="1">
        <f t="array" ref="I1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6">
        <f>tblTargetStatus[[#This Row],[CompletedDependencyCount]]</f>
        <v>0</v>
      </c>
      <c r="K156" t="b">
        <f>tblTargetStatus[[#This Row],[CompletedDependencies]]=tblTargetStatus[[#This Row],[TotalDependencies]]</f>
        <v>0</v>
      </c>
      <c r="L156">
        <f>tblTargetStatus[[#This Row],[TotalDependencies]]-tblTargetStatus[[#This Row],[CompletedDependencies]]</f>
        <v>1</v>
      </c>
      <c r="M156" t="str" cm="1">
        <f t="array" ref="M1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citadel.attic</v>
      </c>
      <c r="N156" t="str">
        <f>IF(tblTargetStatus[[#This Row],[FirstMissingDependencyID]]="","",_xlfn.XLOOKUP(tblTargetStatus[[#This Row],[FirstMissingDependencyID]],tblTargets[TargetID],tblTargets[DisplayName],tblTargetStatus[[#This Row],[FirstMissingDependencyID]]))</f>
        <v>Attic</v>
      </c>
      <c r="O156" s="2" t="str" cm="1">
        <f t="array" ref="O1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drum,20 fan,3 firework,10 katana,3 kimono,3 ninja,3 samurai,20 shuriken,20 spikes</v>
      </c>
      <c r="P156" t="str">
        <f>IF(tblTargetStatus[[#This Row],[FirstMissingDependencyID]]="","",_xlfn.XLOOKUP(tblTargetStatus[[#This Row],[FirstMissingDependencyID]],tblTargetStatus[TargetID],tblTargetStatus[Status],""))</f>
        <v>BLOCKED</v>
      </c>
      <c r="Q156" t="str">
        <f>IF(
 tblTargetStatus[[#This Row],[Status]]&lt;&gt;"BLOCKED",
 tblTargetStatus[[#This Row],[Status]],
 IF(
  AND(
   tblTargetStatus[[#This Row],[MissingDependencies]]=1,
   tblTargetStatus[[#This Row],[FirstMissingStatus]]="READY"
  ),
  "ONE AWAY",
  "BLOCKED"
 )
)</f>
        <v>BLOCKED</v>
      </c>
      <c r="R156">
        <f>IF(
 OR(
  tblTargetStatus[[#This Row],[StateType]]="CHARACTER",
  RIGHT(tblTargetStatus[[#This Row],[TargetID]],6)=".maxed"
 ),
 0,
 _xlfn.LET(
  _xlpm.sort,
   _xlfn.XLOOKUP(
    tblTargetStatus[[#This Row],[TargetID]],
    tblChecklist[TargetID],
    tblChecklist[PlayerSort],
    0
   ),
  IF(_xlpm.sort=0,500,_xlpm.sort)
 )
)</f>
        <v>500</v>
      </c>
      <c r="S156" t="str" cm="1">
        <f t="array" ref="S15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Attic Lv 2</v>
      </c>
      <c r="T156" t="str">
        <f>_xlfn.XLOOKUP(tblTargetStatus[[#This Row],[TargetID]],tblTargets[TargetID],tblTargets[CompletionMethod],"")</f>
        <v>PLAYER</v>
      </c>
      <c r="U156" t="b">
        <f>COUNTIF(
    tblCost[TargetID],
    tblTargetStatus[[#This Row],[TargetID]]
)&gt;0</f>
        <v>1</v>
      </c>
      <c r="V156" s="81">
        <f>IF(tblTargetStatus[[#This Row],[HasCost]]=FALSE,
"N/A",
_xlfn.XLOOKUP(
tblTargetStatus[[#This Row],[TargetID]],
tblCost[TargetID],
tblCost[FundingPercent],
""
)
)</f>
        <v>0</v>
      </c>
      <c r="W156">
        <f>IF(
COUNTIF(tblCost[TargetID],tblTargetStatus[[#This Row],[TargetID]])=0,
"",
_xlfn.XLOOKUP(
tblTargetStatus[[#This Row],[TargetID]],
tblCost[TargetID],
tblCost[RemainingRequirements],
""
)
)</f>
        <v>9</v>
      </c>
      <c r="X156" s="79" t="b">
        <f>IF(tblTargetStatus[[#This Row],[HasCost]]=FALSE,"N/A",_xlfn.XLOOKUP(
tblTargetStatus[[#This Row],[TargetID]],
tblCost[TargetID],
tblCost[TargetFunded],
TRUE
))</f>
        <v>0</v>
      </c>
      <c r="Y156" t="str" cm="1">
        <f t="array" ref="Y156">_xlfn.TEXTJOIN(
", ",
TRUE,
_xlfn._xlws.FILTER(
tblCost[ResourceID]&amp;": "&amp;tblCost[QuantityRequired],
(tblCost[TargetID]=tblTargetStatus[[#This Row],[TargetID]])*
(tblCost[PlayerPaid]=FALSE),
""
)
)</f>
        <v>drum: 3, fan: 20, firework: 3, katana: 10, kimono: 3, ninja: 3, samurai: 3, shuriken: 20, spikes: 20</v>
      </c>
      <c r="Z1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6" t="str" cm="1">
        <f t="array" ref="AA15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7" spans="1:27">
      <c r="A157" t="s">
        <v>2583</v>
      </c>
      <c r="B157" t="str">
        <f>_xlfn.XLOOKUP(tblTargetStatus[[#This Row],[TargetID]],tblTargets[TargetID],tblTargets[DisplayName],"")</f>
        <v>Attic Lv 2</v>
      </c>
      <c r="C157" t="str">
        <f>IF(tblTargetStatus[[#This Row],[PlayerCompleted]],"COMPLETED",IF(tblTargetStatus[[#This Row],[MissingDependencies]]=0,"READY","BLOCKED"))</f>
        <v>BLOCKED</v>
      </c>
      <c r="D1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7" t="str">
        <f>_xlfn.XLOOKUP(tblTargetStatus[[#This Row],[TargetID]],tblTargets[TargetID],tblTargets[TargetType],"")</f>
        <v>COLLECTION</v>
      </c>
      <c r="F157" t="str">
        <f>_xlfn.XLOOKUP(tblTargetStatus[[#This Row],[TargetID]],tblTargets[TargetID],tblTargets[StateType])</f>
        <v/>
      </c>
      <c r="G157">
        <f>_xlfn.LET(
_xlpm.id,tblTargetStatus[[#This Row],[TargetID]],
_xlpm.depCount,COUNTIF(tblDependencies[TargetID],_xlpm.id),
_xlpm.objCount,COUNTIF(tblQuestObjectives[QuestTargetID],_xlpm.id),
_xlpm.depCount+_xlpm.objCount
)</f>
        <v>1</v>
      </c>
      <c r="H157">
        <f>tblTargetStatus[[#This Row],[DependencyCount]]</f>
        <v>1</v>
      </c>
      <c r="I157" cm="1">
        <f t="array" ref="I1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7">
        <f>tblTargetStatus[[#This Row],[CompletedDependencyCount]]</f>
        <v>0</v>
      </c>
      <c r="K157" t="b">
        <f>tblTargetStatus[[#This Row],[CompletedDependencies]]=tblTargetStatus[[#This Row],[TotalDependencies]]</f>
        <v>0</v>
      </c>
      <c r="L157">
        <f>tblTargetStatus[[#This Row],[TotalDependencies]]-tblTargetStatus[[#This Row],[CompletedDependencies]]</f>
        <v>1</v>
      </c>
      <c r="M157" t="str" cm="1">
        <f t="array" ref="M1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collection.attic@1</v>
      </c>
      <c r="N157" t="str">
        <f>IF(tblTargetStatus[[#This Row],[FirstMissingDependencyID]]="","",_xlfn.XLOOKUP(tblTargetStatus[[#This Row],[FirstMissingDependencyID]],tblTargets[TargetID],tblTargets[DisplayName],tblTargetStatus[[#This Row],[FirstMissingDependencyID]]))</f>
        <v>Attic Lv 1</v>
      </c>
      <c r="O157" t="str" cm="1">
        <f t="array" ref="O1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drum,40 fan,6 firework,20 katana,6 kimono,6 ninja,6 samurai,40 shuriken,40 spikes</v>
      </c>
      <c r="P157" t="str">
        <f>IF(tblTargetStatus[[#This Row],[FirstMissingDependencyID]]="","",_xlfn.XLOOKUP(tblTargetStatus[[#This Row],[FirstMissingDependencyID]],tblTargetStatus[TargetID],tblTargetStatus[Status],""))</f>
        <v>BLOCKED</v>
      </c>
      <c r="Q157" t="str">
        <f>IF(
 tblTargetStatus[[#This Row],[Status]]&lt;&gt;"BLOCKED",
 tblTargetStatus[[#This Row],[Status]],
 IF(
  AND(
   tblTargetStatus[[#This Row],[MissingDependencies]]=1,
   tblTargetStatus[[#This Row],[FirstMissingStatus]]="READY"
  ),
  "ONE AWAY",
  "BLOCKED"
 )
)</f>
        <v>BLOCKED</v>
      </c>
      <c r="R157">
        <f>IF(
 OR(
  tblTargetStatus[[#This Row],[StateType]]="CHARACTER",
  RIGHT(tblTargetStatus[[#This Row],[TargetID]],6)=".maxed"
 ),
 0,
 _xlfn.LET(
  _xlpm.sort,
   _xlfn.XLOOKUP(
    tblTargetStatus[[#This Row],[TargetID]],
    tblChecklist[TargetID],
    tblChecklist[PlayerSort],
    0
   ),
  IF(_xlpm.sort=0,500,_xlpm.sort)
 )
)</f>
        <v>500</v>
      </c>
      <c r="S157" t="str" cm="1">
        <f t="array" ref="S15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Attic Lv 3</v>
      </c>
      <c r="T157" t="str">
        <f>_xlfn.XLOOKUP(tblTargetStatus[[#This Row],[TargetID]],tblTargets[TargetID],tblTargets[CompletionMethod],"")</f>
        <v>PLAYER</v>
      </c>
      <c r="U157" t="b">
        <f>COUNTIF(
    tblCost[TargetID],
    tblTargetStatus[[#This Row],[TargetID]]
)&gt;0</f>
        <v>1</v>
      </c>
      <c r="V157" s="81">
        <f>IF(tblTargetStatus[[#This Row],[HasCost]]=FALSE,
"N/A",
_xlfn.XLOOKUP(
tblTargetStatus[[#This Row],[TargetID]],
tblCost[TargetID],
tblCost[FundingPercent],
""
)
)</f>
        <v>0</v>
      </c>
      <c r="W157">
        <f>IF(
COUNTIF(tblCost[TargetID],tblTargetStatus[[#This Row],[TargetID]])=0,
"",
_xlfn.XLOOKUP(
tblTargetStatus[[#This Row],[TargetID]],
tblCost[TargetID],
tblCost[RemainingRequirements],
""
)
)</f>
        <v>9</v>
      </c>
      <c r="X157" s="79" t="b">
        <f>IF(tblTargetStatus[[#This Row],[HasCost]]=FALSE,"N/A",_xlfn.XLOOKUP(
tblTargetStatus[[#This Row],[TargetID]],
tblCost[TargetID],
tblCost[TargetFunded],
TRUE
))</f>
        <v>0</v>
      </c>
      <c r="Y157" t="str" cm="1">
        <f t="array" ref="Y157">_xlfn.TEXTJOIN(
", ",
TRUE,
_xlfn._xlws.FILTER(
tblCost[ResourceID]&amp;": "&amp;tblCost[QuantityRequired],
(tblCost[TargetID]=tblTargetStatus[[#This Row],[TargetID]])*
(tblCost[PlayerPaid]=FALSE),
""
)
)</f>
        <v>drum: 6, fan: 40, firework: 6, katana: 20, kimono: 6, ninja: 6, samurai: 6, shuriken: 40, spikes: 40</v>
      </c>
      <c r="Z1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7" t="str" cm="1">
        <f t="array" ref="AA15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8" spans="1:27">
      <c r="A158" t="s">
        <v>2584</v>
      </c>
      <c r="B158" t="str">
        <f>_xlfn.XLOOKUP(tblTargetStatus[[#This Row],[TargetID]],tblTargets[TargetID],tblTargets[DisplayName],"")</f>
        <v>Attic Lv 3</v>
      </c>
      <c r="C158" t="str">
        <f>IF(tblTargetStatus[[#This Row],[PlayerCompleted]],"COMPLETED",IF(tblTargetStatus[[#This Row],[MissingDependencies]]=0,"READY","BLOCKED"))</f>
        <v>BLOCKED</v>
      </c>
      <c r="D1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8" t="str">
        <f>_xlfn.XLOOKUP(tblTargetStatus[[#This Row],[TargetID]],tblTargets[TargetID],tblTargets[TargetType],"")</f>
        <v>COLLECTION</v>
      </c>
      <c r="F158" t="str">
        <f>_xlfn.XLOOKUP(tblTargetStatus[[#This Row],[TargetID]],tblTargets[TargetID],tblTargets[StateType])</f>
        <v/>
      </c>
      <c r="G158">
        <f>_xlfn.LET(
_xlpm.id,tblTargetStatus[[#This Row],[TargetID]],
_xlpm.depCount,COUNTIF(tblDependencies[TargetID],_xlpm.id),
_xlpm.objCount,COUNTIF(tblQuestObjectives[QuestTargetID],_xlpm.id),
_xlpm.depCount+_xlpm.objCount
)</f>
        <v>1</v>
      </c>
      <c r="H158">
        <f>tblTargetStatus[[#This Row],[DependencyCount]]</f>
        <v>1</v>
      </c>
      <c r="I158" cm="1">
        <f t="array" ref="I1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8">
        <f>tblTargetStatus[[#This Row],[CompletedDependencyCount]]</f>
        <v>0</v>
      </c>
      <c r="K158" t="b">
        <f>tblTargetStatus[[#This Row],[CompletedDependencies]]=tblTargetStatus[[#This Row],[TotalDependencies]]</f>
        <v>0</v>
      </c>
      <c r="L158">
        <f>tblTargetStatus[[#This Row],[TotalDependencies]]-tblTargetStatus[[#This Row],[CompletedDependencies]]</f>
        <v>1</v>
      </c>
      <c r="M158" t="str" cm="1">
        <f t="array" ref="M1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collection.attic@2</v>
      </c>
      <c r="N158" t="str">
        <f>IF(tblTargetStatus[[#This Row],[FirstMissingDependencyID]]="","",_xlfn.XLOOKUP(tblTargetStatus[[#This Row],[FirstMissingDependencyID]],tblTargets[TargetID],tblTargets[DisplayName],tblTargetStatus[[#This Row],[FirstMissingDependencyID]]))</f>
        <v>Attic Lv 2</v>
      </c>
      <c r="O158" t="str" cm="1">
        <f t="array" ref="O1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drum,60 fan,9 firework,30 katana,9 kimono,9 ninja,9 samurai,60 shuriken,60 spikes</v>
      </c>
      <c r="P158" t="str">
        <f>IF(tblTargetStatus[[#This Row],[FirstMissingDependencyID]]="","",_xlfn.XLOOKUP(tblTargetStatus[[#This Row],[FirstMissingDependencyID]],tblTargetStatus[TargetID],tblTargetStatus[Status],""))</f>
        <v>BLOCKED</v>
      </c>
      <c r="Q158" t="str">
        <f>IF(
 tblTargetStatus[[#This Row],[Status]]&lt;&gt;"BLOCKED",
 tblTargetStatus[[#This Row],[Status]],
 IF(
  AND(
   tblTargetStatus[[#This Row],[MissingDependencies]]=1,
   tblTargetStatus[[#This Row],[FirstMissingStatus]]="READY"
  ),
  "ONE AWAY",
  "BLOCKED"
 )
)</f>
        <v>BLOCKED</v>
      </c>
      <c r="R158">
        <f>IF(
 OR(
  tblTargetStatus[[#This Row],[StateType]]="CHARACTER",
  RIGHT(tblTargetStatus[[#This Row],[TargetID]],6)=".maxed"
 ),
 0,
 _xlfn.LET(
  _xlpm.sort,
   _xlfn.XLOOKUP(
    tblTargetStatus[[#This Row],[TargetID]],
    tblChecklist[TargetID],
    tblChecklist[PlayerSort],
    0
   ),
  IF(_xlpm.sort=0,500,_xlpm.sort)
 )
)</f>
        <v>500</v>
      </c>
      <c r="S158" t="str" cm="1">
        <f t="array" ref="S15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Attic Lv 4</v>
      </c>
      <c r="T158" t="str">
        <f>_xlfn.XLOOKUP(tblTargetStatus[[#This Row],[TargetID]],tblTargets[TargetID],tblTargets[CompletionMethod],"")</f>
        <v>PLAYER</v>
      </c>
      <c r="U158" t="b">
        <f>COUNTIF(
    tblCost[TargetID],
    tblTargetStatus[[#This Row],[TargetID]]
)&gt;0</f>
        <v>1</v>
      </c>
      <c r="V158" s="81">
        <f>IF(tblTargetStatus[[#This Row],[HasCost]]=FALSE,
"N/A",
_xlfn.XLOOKUP(
tblTargetStatus[[#This Row],[TargetID]],
tblCost[TargetID],
tblCost[FundingPercent],
""
)
)</f>
        <v>0</v>
      </c>
      <c r="W158">
        <f>IF(
COUNTIF(tblCost[TargetID],tblTargetStatus[[#This Row],[TargetID]])=0,
"",
_xlfn.XLOOKUP(
tblTargetStatus[[#This Row],[TargetID]],
tblCost[TargetID],
tblCost[RemainingRequirements],
""
)
)</f>
        <v>9</v>
      </c>
      <c r="X158" s="79" t="b">
        <f>IF(tblTargetStatus[[#This Row],[HasCost]]=FALSE,"N/A",_xlfn.XLOOKUP(
tblTargetStatus[[#This Row],[TargetID]],
tblCost[TargetID],
tblCost[TargetFunded],
TRUE
))</f>
        <v>0</v>
      </c>
      <c r="Y158" t="str" cm="1">
        <f t="array" ref="Y158">_xlfn.TEXTJOIN(
", ",
TRUE,
_xlfn._xlws.FILTER(
tblCost[ResourceID]&amp;": "&amp;tblCost[QuantityRequired],
(tblCost[TargetID]=tblTargetStatus[[#This Row],[TargetID]])*
(tblCost[PlayerPaid]=FALSE),
""
)
)</f>
        <v>drum: 9, fan: 60, firework: 9, katana: 30, kimono: 9, ninja: 9, samurai: 9, shuriken: 60, spikes: 60</v>
      </c>
      <c r="Z1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8" t="str" cm="1">
        <f t="array" ref="AA15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59" spans="1:27">
      <c r="A159" t="s">
        <v>2585</v>
      </c>
      <c r="B159" t="str">
        <f>_xlfn.XLOOKUP(tblTargetStatus[[#This Row],[TargetID]],tblTargets[TargetID],tblTargets[DisplayName],"")</f>
        <v>Attic Lv 4</v>
      </c>
      <c r="C159" t="str">
        <f>IF(tblTargetStatus[[#This Row],[PlayerCompleted]],"COMPLETED",IF(tblTargetStatus[[#This Row],[MissingDependencies]]=0,"READY","BLOCKED"))</f>
        <v>BLOCKED</v>
      </c>
      <c r="D1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9" t="str">
        <f>_xlfn.XLOOKUP(tblTargetStatus[[#This Row],[TargetID]],tblTargets[TargetID],tblTargets[TargetType],"")</f>
        <v>COLLECTION</v>
      </c>
      <c r="F159" t="str">
        <f>_xlfn.XLOOKUP(tblTargetStatus[[#This Row],[TargetID]],tblTargets[TargetID],tblTargets[StateType])</f>
        <v/>
      </c>
      <c r="G159">
        <f>_xlfn.LET(
_xlpm.id,tblTargetStatus[[#This Row],[TargetID]],
_xlpm.depCount,COUNTIF(tblDependencies[TargetID],_xlpm.id),
_xlpm.objCount,COUNTIF(tblQuestObjectives[QuestTargetID],_xlpm.id),
_xlpm.depCount+_xlpm.objCount
)</f>
        <v>1</v>
      </c>
      <c r="H159">
        <f>tblTargetStatus[[#This Row],[DependencyCount]]</f>
        <v>1</v>
      </c>
      <c r="I159" cm="1">
        <f t="array" ref="I1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9">
        <f>tblTargetStatus[[#This Row],[CompletedDependencyCount]]</f>
        <v>0</v>
      </c>
      <c r="K159" t="b">
        <f>tblTargetStatus[[#This Row],[CompletedDependencies]]=tblTargetStatus[[#This Row],[TotalDependencies]]</f>
        <v>0</v>
      </c>
      <c r="L159">
        <f>tblTargetStatus[[#This Row],[TotalDependencies]]-tblTargetStatus[[#This Row],[CompletedDependencies]]</f>
        <v>1</v>
      </c>
      <c r="M159" t="str" cm="1">
        <f t="array" ref="M1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collection.attic@3</v>
      </c>
      <c r="N159" t="str">
        <f>IF(tblTargetStatus[[#This Row],[FirstMissingDependencyID]]="","",_xlfn.XLOOKUP(tblTargetStatus[[#This Row],[FirstMissingDependencyID]],tblTargets[TargetID],tblTargets[DisplayName],tblTargetStatus[[#This Row],[FirstMissingDependencyID]]))</f>
        <v>Attic Lv 3</v>
      </c>
      <c r="O159" t="str" cm="1">
        <f t="array" ref="O1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12 drum,80 fan,12 firework,40 katana,12 kimono,12 ninja,12 samurai,80 shuriken,80 spikes</v>
      </c>
      <c r="P159" t="str">
        <f>IF(tblTargetStatus[[#This Row],[FirstMissingDependencyID]]="","",_xlfn.XLOOKUP(tblTargetStatus[[#This Row],[FirstMissingDependencyID]],tblTargetStatus[TargetID],tblTargetStatus[Status],""))</f>
        <v>BLOCKED</v>
      </c>
      <c r="Q159" t="str">
        <f>IF(
 tblTargetStatus[[#This Row],[Status]]&lt;&gt;"BLOCKED",
 tblTargetStatus[[#This Row],[Status]],
 IF(
  AND(
   tblTargetStatus[[#This Row],[MissingDependencies]]=1,
   tblTargetStatus[[#This Row],[FirstMissingStatus]]="READY"
  ),
  "ONE AWAY",
  "BLOCKED"
 )
)</f>
        <v>BLOCKED</v>
      </c>
      <c r="R159">
        <f>IF(
 OR(
  tblTargetStatus[[#This Row],[StateType]]="CHARACTER",
  RIGHT(tblTargetStatus[[#This Row],[TargetID]],6)=".maxed"
 ),
 0,
 _xlfn.LET(
  _xlpm.sort,
   _xlfn.XLOOKUP(
    tblTargetStatus[[#This Row],[TargetID]],
    tblChecklist[TargetID],
    tblChecklist[PlayerSort],
    0
   ),
  IF(_xlpm.sort=0,500,_xlpm.sort)
 )
)</f>
        <v>500</v>
      </c>
      <c r="S159" t="str" cm="1">
        <f t="array" ref="S15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Attic Lv 5</v>
      </c>
      <c r="T159" t="str">
        <f>_xlfn.XLOOKUP(tblTargetStatus[[#This Row],[TargetID]],tblTargets[TargetID],tblTargets[CompletionMethod],"")</f>
        <v>PLAYER</v>
      </c>
      <c r="U159" t="b">
        <f>COUNTIF(
    tblCost[TargetID],
    tblTargetStatus[[#This Row],[TargetID]]
)&gt;0</f>
        <v>1</v>
      </c>
      <c r="V159" s="81">
        <f>IF(tblTargetStatus[[#This Row],[HasCost]]=FALSE,
"N/A",
_xlfn.XLOOKUP(
tblTargetStatus[[#This Row],[TargetID]],
tblCost[TargetID],
tblCost[FundingPercent],
""
)
)</f>
        <v>0</v>
      </c>
      <c r="W159">
        <f>IF(
COUNTIF(tblCost[TargetID],tblTargetStatus[[#This Row],[TargetID]])=0,
"",
_xlfn.XLOOKUP(
tblTargetStatus[[#This Row],[TargetID]],
tblCost[TargetID],
tblCost[RemainingRequirements],
""
)
)</f>
        <v>9</v>
      </c>
      <c r="X159" s="79" t="b">
        <f>IF(tblTargetStatus[[#This Row],[HasCost]]=FALSE,"N/A",_xlfn.XLOOKUP(
tblTargetStatus[[#This Row],[TargetID]],
tblCost[TargetID],
tblCost[TargetFunded],
TRUE
))</f>
        <v>0</v>
      </c>
      <c r="Y159" t="str" cm="1">
        <f t="array" ref="Y159">_xlfn.TEXTJOIN(
", ",
TRUE,
_xlfn._xlws.FILTER(
tblCost[ResourceID]&amp;": "&amp;tblCost[QuantityRequired],
(tblCost[TargetID]=tblTargetStatus[[#This Row],[TargetID]])*
(tblCost[PlayerPaid]=FALSE),
""
)
)</f>
        <v>drum: 12, fan: 80, firework: 12, katana: 40, kimono: 12, ninja: 12, samurai: 12, shuriken: 80, spikes: 80</v>
      </c>
      <c r="Z1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9" t="str" cm="1">
        <f t="array" ref="AA15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60" spans="1:27">
      <c r="A160" t="s">
        <v>2586</v>
      </c>
      <c r="B160" t="str">
        <f>_xlfn.XLOOKUP(tblTargetStatus[[#This Row],[TargetID]],tblTargets[TargetID],tblTargets[DisplayName],"")</f>
        <v>Attic Lv 5</v>
      </c>
      <c r="C160" t="str">
        <f>IF(tblTargetStatus[[#This Row],[PlayerCompleted]],"COMPLETED",IF(tblTargetStatus[[#This Row],[MissingDependencies]]=0,"READY","BLOCKED"))</f>
        <v>BLOCKED</v>
      </c>
      <c r="D1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0" t="str">
        <f>_xlfn.XLOOKUP(tblTargetStatus[[#This Row],[TargetID]],tblTargets[TargetID],tblTargets[TargetType],"")</f>
        <v>COLLECTION</v>
      </c>
      <c r="F160" t="str">
        <f>_xlfn.XLOOKUP(tblTargetStatus[[#This Row],[TargetID]],tblTargets[TargetID],tblTargets[StateType])</f>
        <v/>
      </c>
      <c r="G160">
        <f>_xlfn.LET(
_xlpm.id,tblTargetStatus[[#This Row],[TargetID]],
_xlpm.depCount,COUNTIF(tblDependencies[TargetID],_xlpm.id),
_xlpm.objCount,COUNTIF(tblQuestObjectives[QuestTargetID],_xlpm.id),
_xlpm.depCount+_xlpm.objCount
)</f>
        <v>1</v>
      </c>
      <c r="H160">
        <f>tblTargetStatus[[#This Row],[DependencyCount]]</f>
        <v>1</v>
      </c>
      <c r="I160" cm="1">
        <f t="array" ref="I1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0">
        <f>tblTargetStatus[[#This Row],[CompletedDependencyCount]]</f>
        <v>0</v>
      </c>
      <c r="K160" t="b">
        <f>tblTargetStatus[[#This Row],[CompletedDependencies]]=tblTargetStatus[[#This Row],[TotalDependencies]]</f>
        <v>0</v>
      </c>
      <c r="L160">
        <f>tblTargetStatus[[#This Row],[TotalDependencies]]-tblTargetStatus[[#This Row],[CompletedDependencies]]</f>
        <v>1</v>
      </c>
      <c r="M160" t="str" cm="1">
        <f t="array" ref="M1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collection.attic@4</v>
      </c>
      <c r="N160" t="str">
        <f>IF(tblTargetStatus[[#This Row],[FirstMissingDependencyID]]="","",_xlfn.XLOOKUP(tblTargetStatus[[#This Row],[FirstMissingDependencyID]],tblTargets[TargetID],tblTargets[DisplayName],tblTargetStatus[[#This Row],[FirstMissingDependencyID]]))</f>
        <v>Attic Lv 4</v>
      </c>
      <c r="O160" t="str" cm="1">
        <f t="array" ref="O1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drum,100 fan,15 firework,50 katana,15 kimono,15 ninja,15 samurai,100 shuriken,100 spikes</v>
      </c>
      <c r="P160" t="str">
        <f>IF(tblTargetStatus[[#This Row],[FirstMissingDependencyID]]="","",_xlfn.XLOOKUP(tblTargetStatus[[#This Row],[FirstMissingDependencyID]],tblTargetStatus[TargetID],tblTargetStatus[Status],""))</f>
        <v>BLOCKED</v>
      </c>
      <c r="Q160" t="str">
        <f>IF(
 tblTargetStatus[[#This Row],[Status]]&lt;&gt;"BLOCKED",
 tblTargetStatus[[#This Row],[Status]],
 IF(
  AND(
   tblTargetStatus[[#This Row],[MissingDependencies]]=1,
   tblTargetStatus[[#This Row],[FirstMissingStatus]]="READY"
  ),
  "ONE AWAY",
  "BLOCKED"
 )
)</f>
        <v>BLOCKED</v>
      </c>
      <c r="R160">
        <f>IF(
 OR(
  tblTargetStatus[[#This Row],[StateType]]="CHARACTER",
  RIGHT(tblTargetStatus[[#This Row],[TargetID]],6)=".maxed"
 ),
 0,
 _xlfn.LET(
  _xlpm.sort,
   _xlfn.XLOOKUP(
    tblTargetStatus[[#This Row],[TargetID]],
    tblChecklist[TargetID],
    tblChecklist[PlayerSort],
    0
   ),
  IF(_xlpm.sort=0,500,_xlpm.sort)
 )
)</f>
        <v>500</v>
      </c>
      <c r="S160" t="str" cm="1">
        <f t="array" ref="S16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60" t="str">
        <f>_xlfn.XLOOKUP(tblTargetStatus[[#This Row],[TargetID]],tblTargets[TargetID],tblTargets[CompletionMethod],"")</f>
        <v>PLAYER</v>
      </c>
      <c r="U160" t="b">
        <f>COUNTIF(
    tblCost[TargetID],
    tblTargetStatus[[#This Row],[TargetID]]
)&gt;0</f>
        <v>1</v>
      </c>
      <c r="V160" s="81">
        <f>IF(tblTargetStatus[[#This Row],[HasCost]]=FALSE,
"N/A",
_xlfn.XLOOKUP(
tblTargetStatus[[#This Row],[TargetID]],
tblCost[TargetID],
tblCost[FundingPercent],
""
)
)</f>
        <v>0</v>
      </c>
      <c r="W160">
        <f>IF(
COUNTIF(tblCost[TargetID],tblTargetStatus[[#This Row],[TargetID]])=0,
"",
_xlfn.XLOOKUP(
tblTargetStatus[[#This Row],[TargetID]],
tblCost[TargetID],
tblCost[RemainingRequirements],
""
)
)</f>
        <v>9</v>
      </c>
      <c r="X160" s="79" t="b">
        <f>IF(tblTargetStatus[[#This Row],[HasCost]]=FALSE,"N/A",_xlfn.XLOOKUP(
tblTargetStatus[[#This Row],[TargetID]],
tblCost[TargetID],
tblCost[TargetFunded],
TRUE
))</f>
        <v>0</v>
      </c>
      <c r="Y160" t="str" cm="1">
        <f t="array" ref="Y160">_xlfn.TEXTJOIN(
", ",
TRUE,
_xlfn._xlws.FILTER(
tblCost[ResourceID]&amp;": "&amp;tblCost[QuantityRequired],
(tblCost[TargetID]=tblTargetStatus[[#This Row],[TargetID]])*
(tblCost[PlayerPaid]=FALSE),
""
)
)</f>
        <v>drum: 15, fan: 100, firework: 15, katana: 50, kimono: 15, ninja: 15, samurai: 15, shuriken: 100, spikes: 100</v>
      </c>
      <c r="Z1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0" t="str" cm="1">
        <f t="array" ref="AA16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61" spans="1:27" ht="43.5">
      <c r="A161" t="s">
        <v>5631</v>
      </c>
      <c r="B161" t="str">
        <f>_xlfn.XLOOKUP(tblTargetStatus[[#This Row],[TargetID]],tblTargets[TargetID],tblTargets[DisplayName],"")</f>
        <v>Bone Dragon Lv 1</v>
      </c>
      <c r="C161" t="str">
        <f>IF(tblTargetStatus[[#This Row],[PlayerCompleted]],"COMPLETED",IF(tblTargetStatus[[#This Row],[MissingDependencies]]=0,"READY","BLOCKED"))</f>
        <v>BLOCKED</v>
      </c>
      <c r="D1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1" t="str">
        <f>_xlfn.XLOOKUP(tblTargetStatus[[#This Row],[TargetID]],tblTargets[TargetID],tblTargets[TargetType],"")</f>
        <v>COLLECTION</v>
      </c>
      <c r="F161" t="str">
        <f>_xlfn.XLOOKUP(tblTargetStatus[[#This Row],[TargetID]],tblTargets[TargetID],tblTargets[StateType])</f>
        <v/>
      </c>
      <c r="G161">
        <f>_xlfn.LET(
_xlpm.id,tblTargetStatus[[#This Row],[TargetID]],
_xlpm.depCount,COUNTIF(tblDependencies[TargetID],_xlpm.id),
_xlpm.objCount,COUNTIF(tblQuestObjectives[QuestTargetID],_xlpm.id),
_xlpm.depCount+_xlpm.objCount
)</f>
        <v>1</v>
      </c>
      <c r="H161">
        <f>tblTargetStatus[[#This Row],[DependencyCount]]</f>
        <v>1</v>
      </c>
      <c r="I161" cm="1">
        <f t="array" ref="I1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1">
        <f>tblTargetStatus[[#This Row],[CompletedDependencyCount]]</f>
        <v>0</v>
      </c>
      <c r="K161" t="b">
        <f>tblTargetStatus[[#This Row],[CompletedDependencies]]=tblTargetStatus[[#This Row],[TotalDependencies]]</f>
        <v>0</v>
      </c>
      <c r="L161">
        <f>tblTargetStatus[[#This Row],[TotalDependencies]]-tblTargetStatus[[#This Row],[CompletedDependencies]]</f>
        <v>1</v>
      </c>
      <c r="M161" t="str" cm="1">
        <f t="array" ref="M1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collection.cave_in_bone_dragon@1</v>
      </c>
      <c r="N161" t="str">
        <f>IF(tblTargetStatus[[#This Row],[FirstMissingDependencyID]]="","",_xlfn.XLOOKUP(tblTargetStatus[[#This Row],[FirstMissingDependencyID]],tblTargets[TargetID],tblTargets[DisplayName],tblTargetStatus[[#This Row],[FirstMissingDependencyID]]))</f>
        <v>Cave-in Bone Dragon</v>
      </c>
      <c r="O161" s="2" t="str" cm="1">
        <f t="array" ref="O1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bone, 10 teeth, 11 bonemeal, 2 diamond, 150 bone.2, 30 bone.3, 30 bone.4, 30 bone.5, 30 bone.6, 555 crypto, 5 grimoire</v>
      </c>
      <c r="P161" t="str">
        <f>IF(tblTargetStatus[[#This Row],[FirstMissingDependencyID]]="","",_xlfn.XLOOKUP(tblTargetStatus[[#This Row],[FirstMissingDependencyID]],tblTargetStatus[TargetID],tblTargetStatus[Status],""))</f>
        <v>BLOCKED</v>
      </c>
      <c r="Q161" t="str">
        <f>IF(
 tblTargetStatus[[#This Row],[Status]]&lt;&gt;"BLOCKED",
 tblTargetStatus[[#This Row],[Status]],
 IF(
  AND(
   tblTargetStatus[[#This Row],[MissingDependencies]]=1,
   tblTargetStatus[[#This Row],[FirstMissingStatus]]="READY"
  ),
  "ONE AWAY",
  "BLOCKED"
 )
)</f>
        <v>BLOCKED</v>
      </c>
      <c r="R161">
        <f>IF(
 OR(
  tblTargetStatus[[#This Row],[StateType]]="CHARACTER",
  RIGHT(tblTargetStatus[[#This Row],[TargetID]],6)=".maxed"
 ),
 0,
 _xlfn.LET(
  _xlpm.sort,
   _xlfn.XLOOKUP(
    tblTargetStatus[[#This Row],[TargetID]],
    tblChecklist[TargetID],
    tblChecklist[PlayerSort],
    0
   ),
  IF(_xlpm.sort=0,500,_xlpm.sort)
 )
)</f>
        <v>500</v>
      </c>
      <c r="S161" t="str" cm="1">
        <f t="array" ref="S16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Bone Dragon Lv 2, Letter from the Dark Lady Finished</v>
      </c>
      <c r="T161" t="str">
        <f>_xlfn.XLOOKUP(tblTargetStatus[[#This Row],[TargetID]],tblTargets[TargetID],tblTargets[CompletionMethod],"")</f>
        <v>PLAYER</v>
      </c>
      <c r="U161" t="b">
        <f>COUNTIF(
    tblCost[TargetID],
    tblTargetStatus[[#This Row],[TargetID]]
)&gt;0</f>
        <v>1</v>
      </c>
      <c r="V161" s="81">
        <f>IF(tblTargetStatus[[#This Row],[HasCost]]=FALSE,
"N/A",
_xlfn.XLOOKUP(
tblTargetStatus[[#This Row],[TargetID]],
tblCost[TargetID],
tblCost[FundingPercent],
""
)
)</f>
        <v>0</v>
      </c>
      <c r="W161">
        <f>IF(
COUNTIF(tblCost[TargetID],tblTargetStatus[[#This Row],[TargetID]])=0,
"",
_xlfn.XLOOKUP(
tblTargetStatus[[#This Row],[TargetID]],
tblCost[TargetID],
tblCost[RemainingRequirements],
""
)
)</f>
        <v>11</v>
      </c>
      <c r="X161" s="79" t="b">
        <f>IF(tblTargetStatus[[#This Row],[HasCost]]=FALSE,"N/A",_xlfn.XLOOKUP(
tblTargetStatus[[#This Row],[TargetID]],
tblCost[TargetID],
tblCost[TargetFunded],
TRUE
))</f>
        <v>0</v>
      </c>
      <c r="Y161" t="str" cm="1">
        <f t="array" ref="Y161">_xlfn.TEXTJOIN(
", ",
TRUE,
_xlfn._xlws.FILTER(
tblCost[ResourceID]&amp;": "&amp;tblCost[QuantityRequired],
(tblCost[TargetID]=tblTargetStatus[[#This Row],[TargetID]])*
(tblCost[PlayerPaid]=FALSE),
""
)
)</f>
        <v>bone: 30, teeth: 10, bonemeal: 11, diamond: 2, bone: 150, bone: 30, bone: 30, bone: 30, bone: 30, crypto: 555, grimoire: 5</v>
      </c>
      <c r="Z1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1" t="str" cm="1">
        <f t="array" ref="AA16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62" spans="1:27" ht="43.5">
      <c r="A162" t="s">
        <v>5632</v>
      </c>
      <c r="B162" t="str">
        <f>_xlfn.XLOOKUP(tblTargetStatus[[#This Row],[TargetID]],tblTargets[TargetID],tblTargets[DisplayName],"")</f>
        <v>Bone Dragon Lv 2</v>
      </c>
      <c r="C162" t="str">
        <f>IF(tblTargetStatus[[#This Row],[PlayerCompleted]],"COMPLETED",IF(tblTargetStatus[[#This Row],[MissingDependencies]]=0,"READY","BLOCKED"))</f>
        <v>BLOCKED</v>
      </c>
      <c r="D1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2" t="str">
        <f>_xlfn.XLOOKUP(tblTargetStatus[[#This Row],[TargetID]],tblTargets[TargetID],tblTargets[TargetType],"")</f>
        <v>COLLECTION</v>
      </c>
      <c r="F162" t="str">
        <f>_xlfn.XLOOKUP(tblTargetStatus[[#This Row],[TargetID]],tblTargets[TargetID],tblTargets[StateType])</f>
        <v/>
      </c>
      <c r="G162">
        <f>_xlfn.LET(
_xlpm.id,tblTargetStatus[[#This Row],[TargetID]],
_xlpm.depCount,COUNTIF(tblDependencies[TargetID],_xlpm.id),
_xlpm.objCount,COUNTIF(tblQuestObjectives[QuestTargetID],_xlpm.id),
_xlpm.depCount+_xlpm.objCount
)</f>
        <v>1</v>
      </c>
      <c r="H162">
        <f>tblTargetStatus[[#This Row],[DependencyCount]]</f>
        <v>1</v>
      </c>
      <c r="I162" cm="1">
        <f t="array" ref="I1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2">
        <f>tblTargetStatus[[#This Row],[CompletedDependencyCount]]</f>
        <v>0</v>
      </c>
      <c r="K162" t="b">
        <f>tblTargetStatus[[#This Row],[CompletedDependencies]]=tblTargetStatus[[#This Row],[TotalDependencies]]</f>
        <v>0</v>
      </c>
      <c r="L162">
        <f>tblTargetStatus[[#This Row],[TotalDependencies]]-tblTargetStatus[[#This Row],[CompletedDependencies]]</f>
        <v>1</v>
      </c>
      <c r="M162" t="str" cm="1">
        <f t="array" ref="M1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collection.bone_dragon@1</v>
      </c>
      <c r="N162" t="str">
        <f>IF(tblTargetStatus[[#This Row],[FirstMissingDependencyID]]="","",_xlfn.XLOOKUP(tblTargetStatus[[#This Row],[FirstMissingDependencyID]],tblTargets[TargetID],tblTargets[DisplayName],tblTargetStatus[[#This Row],[FirstMissingDependencyID]]))</f>
        <v>Bone Dragon Lv 1</v>
      </c>
      <c r="O162" s="2" t="str" cm="1">
        <f t="array" ref="O1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 bone, 20 teeth, 22 bonemeal, 4 diamond, 300 bone.2, 60 bone.3, 60 bone.4, 60 bone.5, 60 bone.6, 1110 crypto, 10 grimoire</v>
      </c>
      <c r="P162" t="str">
        <f>IF(tblTargetStatus[[#This Row],[FirstMissingDependencyID]]="","",_xlfn.XLOOKUP(tblTargetStatus[[#This Row],[FirstMissingDependencyID]],tblTargetStatus[TargetID],tblTargetStatus[Status],""))</f>
        <v>BLOCKED</v>
      </c>
      <c r="Q162" t="str">
        <f>IF(
 tblTargetStatus[[#This Row],[Status]]&lt;&gt;"BLOCKED",
 tblTargetStatus[[#This Row],[Status]],
 IF(
  AND(
   tblTargetStatus[[#This Row],[MissingDependencies]]=1,
   tblTargetStatus[[#This Row],[FirstMissingStatus]]="READY"
  ),
  "ONE AWAY",
  "BLOCKED"
 )
)</f>
        <v>BLOCKED</v>
      </c>
      <c r="R162">
        <f>IF(
 OR(
  tblTargetStatus[[#This Row],[StateType]]="CHARACTER",
  RIGHT(tblTargetStatus[[#This Row],[TargetID]],6)=".maxed"
 ),
 0,
 _xlfn.LET(
  _xlpm.sort,
   _xlfn.XLOOKUP(
    tblTargetStatus[[#This Row],[TargetID]],
    tblChecklist[TargetID],
    tblChecklist[PlayerSort],
    0
   ),
  IF(_xlpm.sort=0,500,_xlpm.sort)
 )
)</f>
        <v>500</v>
      </c>
      <c r="S162" t="str" cm="1">
        <f t="array" ref="S16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62" t="str">
        <f>_xlfn.XLOOKUP(tblTargetStatus[[#This Row],[TargetID]],tblTargets[TargetID],tblTargets[CompletionMethod],"")</f>
        <v>PLAYER</v>
      </c>
      <c r="U162" t="b">
        <f>COUNTIF(
    tblCost[TargetID],
    tblTargetStatus[[#This Row],[TargetID]]
)&gt;0</f>
        <v>1</v>
      </c>
      <c r="V162" s="81">
        <f>IF(tblTargetStatus[[#This Row],[HasCost]]=FALSE,
"N/A",
_xlfn.XLOOKUP(
tblTargetStatus[[#This Row],[TargetID]],
tblCost[TargetID],
tblCost[FundingPercent],
""
)
)</f>
        <v>0</v>
      </c>
      <c r="W162">
        <f>IF(
COUNTIF(tblCost[TargetID],tblTargetStatus[[#This Row],[TargetID]])=0,
"",
_xlfn.XLOOKUP(
tblTargetStatus[[#This Row],[TargetID]],
tblCost[TargetID],
tblCost[RemainingRequirements],
""
)
)</f>
        <v>11</v>
      </c>
      <c r="X162" s="79" t="b">
        <f>IF(tblTargetStatus[[#This Row],[HasCost]]=FALSE,"N/A",_xlfn.XLOOKUP(
tblTargetStatus[[#This Row],[TargetID]],
tblCost[TargetID],
tblCost[TargetFunded],
TRUE
))</f>
        <v>0</v>
      </c>
      <c r="Y162" t="str" cm="1">
        <f t="array" ref="Y162">_xlfn.TEXTJOIN(
", ",
TRUE,
_xlfn._xlws.FILTER(
tblCost[ResourceID]&amp;": "&amp;tblCost[QuantityRequired],
(tblCost[TargetID]=tblTargetStatus[[#This Row],[TargetID]])*
(tblCost[PlayerPaid]=FALSE),
""
)
)</f>
        <v>bone: 60, teeth: 20, bonemeal: 22, diamond: 4, bone: 300, bone: 60, bone: 60, bone: 60, bone: 60, crypto: 1110, grimoire: 10</v>
      </c>
      <c r="Z1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2" t="str" cm="1">
        <f t="array" ref="AA16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63" spans="1:27">
      <c r="A163" t="s">
        <v>5573</v>
      </c>
      <c r="B163" t="str">
        <f>_xlfn.XLOOKUP(tblTargetStatus[[#This Row],[TargetID]],tblTargets[TargetID],tblTargets[DisplayName],"")</f>
        <v>Broken Lever</v>
      </c>
      <c r="C163" t="str">
        <f>IF(tblTargetStatus[[#This Row],[PlayerCompleted]],"COMPLETED",IF(tblTargetStatus[[#This Row],[MissingDependencies]]=0,"READY","BLOCKED"))</f>
        <v>BLOCKED</v>
      </c>
      <c r="D1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3" t="str">
        <f>_xlfn.XLOOKUP(tblTargetStatus[[#This Row],[TargetID]],tblTargets[TargetID],tblTargets[TargetType],"")</f>
        <v>COLLECTION</v>
      </c>
      <c r="F163" t="str">
        <f>_xlfn.XLOOKUP(tblTargetStatus[[#This Row],[TargetID]],tblTargets[TargetID],tblTargets[StateType])</f>
        <v/>
      </c>
      <c r="G163">
        <f>_xlfn.LET(
_xlpm.id,tblTargetStatus[[#This Row],[TargetID]],
_xlpm.depCount,COUNTIF(tblDependencies[TargetID],_xlpm.id),
_xlpm.objCount,COUNTIF(tblQuestObjectives[QuestTargetID],_xlpm.id),
_xlpm.depCount+_xlpm.objCount
)</f>
        <v>1</v>
      </c>
      <c r="H163">
        <f>tblTargetStatus[[#This Row],[DependencyCount]]</f>
        <v>1</v>
      </c>
      <c r="I163" cm="1">
        <f t="array" ref="I1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3">
        <f>tblTargetStatus[[#This Row],[CompletedDependencyCount]]</f>
        <v>0</v>
      </c>
      <c r="K163" t="b">
        <f>tblTargetStatus[[#This Row],[CompletedDependencies]]=tblTargetStatus[[#This Row],[TotalDependencies]]</f>
        <v>0</v>
      </c>
      <c r="L163">
        <f>tblTargetStatus[[#This Row],[TotalDependencies]]-tblTargetStatus[[#This Row],[CompletedDependencies]]</f>
        <v>1</v>
      </c>
      <c r="M163" t="str" cm="1">
        <f t="array" ref="M1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quest.letter_from_the_dark_lady.accepted</v>
      </c>
      <c r="N163" t="str">
        <f>IF(tblTargetStatus[[#This Row],[FirstMissingDependencyID]]="","",_xlfn.XLOOKUP(tblTargetStatus[[#This Row],[FirstMissingDependencyID]],tblTargets[TargetID],tblTargets[DisplayName],tblTargetStatus[[#This Row],[FirstMissingDependencyID]]))</f>
        <v>Letter from the Dark Lady Accepted</v>
      </c>
      <c r="O163" s="2" t="str" cm="1">
        <f t="array" ref="O1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mechanism</v>
      </c>
      <c r="P163" t="str">
        <f>IF(tblTargetStatus[[#This Row],[FirstMissingDependencyID]]="","",_xlfn.XLOOKUP(tblTargetStatus[[#This Row],[FirstMissingDependencyID]],tblTargetStatus[TargetID],tblTargetStatus[Status],""))</f>
        <v>BLOCKED</v>
      </c>
      <c r="Q163" t="str">
        <f>IF(
 tblTargetStatus[[#This Row],[Status]]&lt;&gt;"BLOCKED",
 tblTargetStatus[[#This Row],[Status]],
 IF(
  AND(
   tblTargetStatus[[#This Row],[MissingDependencies]]=1,
   tblTargetStatus[[#This Row],[FirstMissingStatus]]="READY"
  ),
  "ONE AWAY",
  "BLOCKED"
 )
)</f>
        <v>BLOCKED</v>
      </c>
      <c r="R163">
        <f>IF(
 OR(
  tblTargetStatus[[#This Row],[StateType]]="CHARACTER",
  RIGHT(tblTargetStatus[[#This Row],[TargetID]],6)=".maxed"
 ),
 0,
 _xlfn.LET(
  _xlpm.sort,
   _xlfn.XLOOKUP(
    tblTargetStatus[[#This Row],[TargetID]],
    tblChecklist[TargetID],
    tblChecklist[PlayerSort],
    0
   ),
  IF(_xlpm.sort=0,500,_xlpm.sort)
 )
)</f>
        <v>500</v>
      </c>
      <c r="S163" t="str" cm="1">
        <f t="array" ref="S16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Collapsed Staircase, Letter from the Dark Lady Finished</v>
      </c>
      <c r="T163" t="str">
        <f>_xlfn.XLOOKUP(tblTargetStatus[[#This Row],[TargetID]],tblTargets[TargetID],tblTargets[CompletionMethod],"")</f>
        <v>PLAYER</v>
      </c>
      <c r="U163" t="b">
        <f>COUNTIF(
    tblCost[TargetID],
    tblTargetStatus[[#This Row],[TargetID]]
)&gt;0</f>
        <v>1</v>
      </c>
      <c r="V163" s="81">
        <f>IF(tblTargetStatus[[#This Row],[HasCost]]=FALSE,
"N/A",
_xlfn.XLOOKUP(
tblTargetStatus[[#This Row],[TargetID]],
tblCost[TargetID],
tblCost[FundingPercent],
""
)
)</f>
        <v>0</v>
      </c>
      <c r="W163">
        <f>IF(
COUNTIF(tblCost[TargetID],tblTargetStatus[[#This Row],[TargetID]])=0,
"",
_xlfn.XLOOKUP(
tblTargetStatus[[#This Row],[TargetID]],
tblCost[TargetID],
tblCost[RemainingRequirements],
""
)
)</f>
        <v>1</v>
      </c>
      <c r="X163" s="79" t="b">
        <f>IF(tblTargetStatus[[#This Row],[HasCost]]=FALSE,"N/A",_xlfn.XLOOKUP(
tblTargetStatus[[#This Row],[TargetID]],
tblCost[TargetID],
tblCost[TargetFunded],
TRUE
))</f>
        <v>0</v>
      </c>
      <c r="Y163" t="str" cm="1">
        <f t="array" ref="Y163">_xlfn.TEXTJOIN(
", ",
TRUE,
_xlfn._xlws.FILTER(
tblCost[ResourceID]&amp;": "&amp;tblCost[QuantityRequired],
(tblCost[TargetID]=tblTargetStatus[[#This Row],[TargetID]])*
(tblCost[PlayerPaid]=FALSE),
""
)
)</f>
        <v>mechanism: 5</v>
      </c>
      <c r="Z1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3" t="str" cm="1">
        <f t="array" ref="AA16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64" spans="1:27">
      <c r="A164" t="s">
        <v>5655</v>
      </c>
      <c r="B164" t="str">
        <f>_xlfn.XLOOKUP(tblTargetStatus[[#This Row],[TargetID]],tblTargets[TargetID],tblTargets[DisplayName],"")</f>
        <v>Broken Minecart</v>
      </c>
      <c r="C164" t="str">
        <f>IF(tblTargetStatus[[#This Row],[PlayerCompleted]],"COMPLETED",IF(tblTargetStatus[[#This Row],[MissingDependencies]]=0,"READY","BLOCKED"))</f>
        <v>BLOCKED</v>
      </c>
      <c r="D1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4" t="str">
        <f>_xlfn.XLOOKUP(tblTargetStatus[[#This Row],[TargetID]],tblTargets[TargetID],tblTargets[TargetType],"")</f>
        <v>COLLECTION</v>
      </c>
      <c r="F164" t="str">
        <f>_xlfn.XLOOKUP(tblTargetStatus[[#This Row],[TargetID]],tblTargets[TargetID],tblTargets[StateType])</f>
        <v/>
      </c>
      <c r="G164">
        <f>_xlfn.LET(
_xlpm.id,tblTargetStatus[[#This Row],[TargetID]],
_xlpm.depCount,COUNTIF(tblDependencies[TargetID],_xlpm.id),
_xlpm.objCount,COUNTIF(tblQuestObjectives[QuestTargetID],_xlpm.id),
_xlpm.depCount+_xlpm.objCount
)</f>
        <v>1</v>
      </c>
      <c r="H164">
        <f>tblTargetStatus[[#This Row],[DependencyCount]]</f>
        <v>1</v>
      </c>
      <c r="I164" cm="1">
        <f t="array" ref="I1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4">
        <f>tblTargetStatus[[#This Row],[CompletedDependencyCount]]</f>
        <v>0</v>
      </c>
      <c r="K164" t="b">
        <f>tblTargetStatus[[#This Row],[CompletedDependencies]]=tblTargetStatus[[#This Row],[TotalDependencies]]</f>
        <v>0</v>
      </c>
      <c r="L164">
        <f>tblTargetStatus[[#This Row],[TotalDependencies]]-tblTargetStatus[[#This Row],[CompletedDependencies]]</f>
        <v>1</v>
      </c>
      <c r="M164" t="str" cm="1">
        <f t="array" ref="M1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collection.rotten_ladder@1</v>
      </c>
      <c r="N164" t="str">
        <f>IF(tblTargetStatus[[#This Row],[FirstMissingDependencyID]]="","",_xlfn.XLOOKUP(tblTargetStatus[[#This Row],[FirstMissingDependencyID]],tblTargets[TargetID],tblTargets[DisplayName],tblTargetStatus[[#This Row],[FirstMissingDependencyID]]))</f>
        <v>Rotten Ladder</v>
      </c>
      <c r="O164" s="2" t="str" cm="1">
        <f t="array" ref="O1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msteel</v>
      </c>
      <c r="P164" t="str">
        <f>IF(tblTargetStatus[[#This Row],[FirstMissingDependencyID]]="","",_xlfn.XLOOKUP(tblTargetStatus[[#This Row],[FirstMissingDependencyID]],tblTargetStatus[TargetID],tblTargetStatus[Status],""))</f>
        <v>BLOCKED</v>
      </c>
      <c r="Q164" t="str">
        <f>IF(
 tblTargetStatus[[#This Row],[Status]]&lt;&gt;"BLOCKED",
 tblTargetStatus[[#This Row],[Status]],
 IF(
  AND(
   tblTargetStatus[[#This Row],[MissingDependencies]]=1,
   tblTargetStatus[[#This Row],[FirstMissingStatus]]="READY"
  ),
  "ONE AWAY",
  "BLOCKED"
 )
)</f>
        <v>BLOCKED</v>
      </c>
      <c r="R164">
        <f>IF(
 OR(
  tblTargetStatus[[#This Row],[StateType]]="CHARACTER",
  RIGHT(tblTargetStatus[[#This Row],[TargetID]],6)=".maxed"
 ),
 0,
 _xlfn.LET(
  _xlpm.sort,
   _xlfn.XLOOKUP(
    tblTargetStatus[[#This Row],[TargetID]],
    tblChecklist[TargetID],
    tblChecklist[PlayerSort],
    0
   ),
  IF(_xlpm.sort=0,500,_xlpm.sort)
 )
)</f>
        <v>500</v>
      </c>
      <c r="S164" t="str" cm="1">
        <f t="array" ref="S16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Crystal Cave, Letter from the Dark Lady Finished</v>
      </c>
      <c r="T164" t="str">
        <f>_xlfn.XLOOKUP(tblTargetStatus[[#This Row],[TargetID]],tblTargets[TargetID],tblTargets[CompletionMethod],"")</f>
        <v>PLAYER</v>
      </c>
      <c r="U164" t="b">
        <f>COUNTIF(
    tblCost[TargetID],
    tblTargetStatus[[#This Row],[TargetID]]
)&gt;0</f>
        <v>1</v>
      </c>
      <c r="V164" s="81">
        <f>IF(tblTargetStatus[[#This Row],[HasCost]]=FALSE,
"N/A",
_xlfn.XLOOKUP(
tblTargetStatus[[#This Row],[TargetID]],
tblCost[TargetID],
tblCost[FundingPercent],
""
)
)</f>
        <v>0</v>
      </c>
      <c r="W164">
        <f>IF(
COUNTIF(tblCost[TargetID],tblTargetStatus[[#This Row],[TargetID]])=0,
"",
_xlfn.XLOOKUP(
tblTargetStatus[[#This Row],[TargetID]],
tblCost[TargetID],
tblCost[RemainingRequirements],
""
)
)</f>
        <v>1</v>
      </c>
      <c r="X164" s="79" t="b">
        <f>IF(tblTargetStatus[[#This Row],[HasCost]]=FALSE,"N/A",_xlfn.XLOOKUP(
tblTargetStatus[[#This Row],[TargetID]],
tblCost[TargetID],
tblCost[TargetFunded],
TRUE
))</f>
        <v>0</v>
      </c>
      <c r="Y164" t="str" cm="1">
        <f t="array" ref="Y164">_xlfn.TEXTJOIN(
", ",
TRUE,
_xlfn._xlws.FILTER(
tblCost[ResourceID]&amp;": "&amp;tblCost[QuantityRequired],
(tblCost[TargetID]=tblTargetStatus[[#This Row],[TargetID]])*
(tblCost[PlayerPaid]=FALSE),
""
)
)</f>
        <v>msteel: 20</v>
      </c>
      <c r="Z1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4" t="str" cm="1">
        <f t="array" ref="AA16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65" spans="1:27">
      <c r="A165" t="s">
        <v>5767</v>
      </c>
      <c r="B165" t="str">
        <f>_xlfn.XLOOKUP(tblTargetStatus[[#This Row],[TargetID]],tblTargets[TargetID],tblTargets[DisplayName],"")</f>
        <v>Cave-in Alchemist Hall</v>
      </c>
      <c r="C165" t="str">
        <f>IF(tblTargetStatus[[#This Row],[PlayerCompleted]],"COMPLETED",IF(tblTargetStatus[[#This Row],[MissingDependencies]]=0,"READY","BLOCKED"))</f>
        <v>BLOCKED</v>
      </c>
      <c r="D1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5" t="str">
        <f>_xlfn.XLOOKUP(tblTargetStatus[[#This Row],[TargetID]],tblTargets[TargetID],tblTargets[TargetType],"")</f>
        <v>COLLECTION</v>
      </c>
      <c r="F165" t="str">
        <f>_xlfn.XLOOKUP(tblTargetStatus[[#This Row],[TargetID]],tblTargets[TargetID],tblTargets[StateType])</f>
        <v/>
      </c>
      <c r="G165">
        <f>_xlfn.LET(
_xlpm.id,tblTargetStatus[[#This Row],[TargetID]],
_xlpm.depCount,COUNTIF(tblDependencies[TargetID],_xlpm.id),
_xlpm.objCount,COUNTIF(tblQuestObjectives[QuestTargetID],_xlpm.id),
_xlpm.depCount+_xlpm.objCount
)</f>
        <v>1</v>
      </c>
      <c r="H165">
        <f>tblTargetStatus[[#This Row],[DependencyCount]]</f>
        <v>1</v>
      </c>
      <c r="I165" cm="1">
        <f t="array" ref="I1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5">
        <f>tblTargetStatus[[#This Row],[CompletedDependencyCount]]</f>
        <v>0</v>
      </c>
      <c r="K165" t="b">
        <f>tblTargetStatus[[#This Row],[CompletedDependencies]]=tblTargetStatus[[#This Row],[TotalDependencies]]</f>
        <v>0</v>
      </c>
      <c r="L165">
        <f>tblTargetStatus[[#This Row],[TotalDependencies]]-tblTargetStatus[[#This Row],[CompletedDependencies]]</f>
        <v>1</v>
      </c>
      <c r="M165" t="str" cm="1">
        <f t="array" ref="M1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collection.collapsed_staircase@1</v>
      </c>
      <c r="N165" t="str">
        <f>IF(tblTargetStatus[[#This Row],[FirstMissingDependencyID]]="","",_xlfn.XLOOKUP(tblTargetStatus[[#This Row],[FirstMissingDependencyID]],tblTargets[TargetID],tblTargets[DisplayName],tblTargetStatus[[#This Row],[FirstMissingDependencyID]]))</f>
        <v>Collapsed Staircase</v>
      </c>
      <c r="O165" s="2" t="str" cm="1">
        <f t="array" ref="O1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petard</v>
      </c>
      <c r="P165" t="str">
        <f>IF(tblTargetStatus[[#This Row],[FirstMissingDependencyID]]="","",_xlfn.XLOOKUP(tblTargetStatus[[#This Row],[FirstMissingDependencyID]],tblTargetStatus[TargetID],tblTargetStatus[Status],""))</f>
        <v>BLOCKED</v>
      </c>
      <c r="Q165" t="str">
        <f>IF(
 tblTargetStatus[[#This Row],[Status]]&lt;&gt;"BLOCKED",
 tblTargetStatus[[#This Row],[Status]],
 IF(
  AND(
   tblTargetStatus[[#This Row],[MissingDependencies]]=1,
   tblTargetStatus[[#This Row],[FirstMissingStatus]]="READY"
  ),
  "ONE AWAY",
  "BLOCKED"
 )
)</f>
        <v>BLOCKED</v>
      </c>
      <c r="R165">
        <f>IF(
 OR(
  tblTargetStatus[[#This Row],[StateType]]="CHARACTER",
  RIGHT(tblTargetStatus[[#This Row],[TargetID]],6)=".maxed"
 ),
 0,
 _xlfn.LET(
  _xlpm.sort,
   _xlfn.XLOOKUP(
    tblTargetStatus[[#This Row],[TargetID]],
    tblChecklist[TargetID],
    tblChecklist[PlayerSort],
    0
   ),
  IF(_xlpm.sort=0,500,_xlpm.sort)
 )
)</f>
        <v>500</v>
      </c>
      <c r="S165" t="str" cm="1">
        <f t="array" ref="S16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 Hall Lv 1, Alchemist Hall Lv 1, Alchemist Hall Lv 1, Letter from the Dark Lady Finished</v>
      </c>
      <c r="T165" t="str">
        <f>_xlfn.XLOOKUP(tblTargetStatus[[#This Row],[TargetID]],tblTargets[TargetID],tblTargets[CompletionMethod],"")</f>
        <v>PLAYER</v>
      </c>
      <c r="U165" t="b">
        <f>COUNTIF(
    tblCost[TargetID],
    tblTargetStatus[[#This Row],[TargetID]]
)&gt;0</f>
        <v>1</v>
      </c>
      <c r="V165" s="81">
        <f>IF(tblTargetStatus[[#This Row],[HasCost]]=FALSE,
"N/A",
_xlfn.XLOOKUP(
tblTargetStatus[[#This Row],[TargetID]],
tblCost[TargetID],
tblCost[FundingPercent],
""
)
)</f>
        <v>0</v>
      </c>
      <c r="W165">
        <f>IF(
COUNTIF(tblCost[TargetID],tblTargetStatus[[#This Row],[TargetID]])=0,
"",
_xlfn.XLOOKUP(
tblTargetStatus[[#This Row],[TargetID]],
tblCost[TargetID],
tblCost[RemainingRequirements],
""
)
)</f>
        <v>1</v>
      </c>
      <c r="X165" s="79" t="b">
        <f>IF(tblTargetStatus[[#This Row],[HasCost]]=FALSE,"N/A",_xlfn.XLOOKUP(
tblTargetStatus[[#This Row],[TargetID]],
tblCost[TargetID],
tblCost[TargetFunded],
TRUE
))</f>
        <v>0</v>
      </c>
      <c r="Y165" t="str" cm="1">
        <f t="array" ref="Y165">_xlfn.TEXTJOIN(
", ",
TRUE,
_xlfn._xlws.FILTER(
tblCost[ResourceID]&amp;": "&amp;tblCost[QuantityRequired],
(tblCost[TargetID]=tblTargetStatus[[#This Row],[TargetID]])*
(tblCost[PlayerPaid]=FALSE),
""
)
)</f>
        <v>petard: 30</v>
      </c>
      <c r="Z1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5" t="str" cm="1">
        <f t="array" ref="AA16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66" spans="1:27">
      <c r="A166" t="s">
        <v>5654</v>
      </c>
      <c r="B166" t="str">
        <f>_xlfn.XLOOKUP(tblTargetStatus[[#This Row],[TargetID]],tblTargets[TargetID],tblTargets[DisplayName],"")</f>
        <v>Cave-in Bone Dragon</v>
      </c>
      <c r="C166" t="str">
        <f>IF(tblTargetStatus[[#This Row],[PlayerCompleted]],"COMPLETED",IF(tblTargetStatus[[#This Row],[MissingDependencies]]=0,"READY","BLOCKED"))</f>
        <v>BLOCKED</v>
      </c>
      <c r="D1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6" t="str">
        <f>_xlfn.XLOOKUP(tblTargetStatus[[#This Row],[TargetID]],tblTargets[TargetID],tblTargets[TargetType],"")</f>
        <v>COLLECTION</v>
      </c>
      <c r="F166" t="str">
        <f>_xlfn.XLOOKUP(tblTargetStatus[[#This Row],[TargetID]],tblTargets[TargetID],tblTargets[StateType])</f>
        <v/>
      </c>
      <c r="G166">
        <f>_xlfn.LET(
_xlpm.id,tblTargetStatus[[#This Row],[TargetID]],
_xlpm.depCount,COUNTIF(tblDependencies[TargetID],_xlpm.id),
_xlpm.objCount,COUNTIF(tblQuestObjectives[QuestTargetID],_xlpm.id),
_xlpm.depCount+_xlpm.objCount
)</f>
        <v>1</v>
      </c>
      <c r="H166">
        <f>tblTargetStatus[[#This Row],[DependencyCount]]</f>
        <v>1</v>
      </c>
      <c r="I166" cm="1">
        <f t="array" ref="I1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6">
        <f>tblTargetStatus[[#This Row],[CompletedDependencyCount]]</f>
        <v>0</v>
      </c>
      <c r="K166" t="b">
        <f>tblTargetStatus[[#This Row],[CompletedDependencies]]=tblTargetStatus[[#This Row],[TotalDependencies]]</f>
        <v>0</v>
      </c>
      <c r="L166">
        <f>tblTargetStatus[[#This Row],[TotalDependencies]]-tblTargetStatus[[#This Row],[CompletedDependencies]]</f>
        <v>1</v>
      </c>
      <c r="M166" t="str" cm="1">
        <f t="array" ref="M1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collection.collapsed_staircase@1</v>
      </c>
      <c r="N166" t="str">
        <f>IF(tblTargetStatus[[#This Row],[FirstMissingDependencyID]]="","",_xlfn.XLOOKUP(tblTargetStatus[[#This Row],[FirstMissingDependencyID]],tblTargets[TargetID],tblTargets[DisplayName],tblTargetStatus[[#This Row],[FirstMissingDependencyID]]))</f>
        <v>Collapsed Staircase</v>
      </c>
      <c r="O166" s="2" t="str" cm="1">
        <f t="array" ref="O1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petard</v>
      </c>
      <c r="P166" t="str">
        <f>IF(tblTargetStatus[[#This Row],[FirstMissingDependencyID]]="","",_xlfn.XLOOKUP(tblTargetStatus[[#This Row],[FirstMissingDependencyID]],tblTargetStatus[TargetID],tblTargetStatus[Status],""))</f>
        <v>BLOCKED</v>
      </c>
      <c r="Q166" t="str">
        <f>IF(
 tblTargetStatus[[#This Row],[Status]]&lt;&gt;"BLOCKED",
 tblTargetStatus[[#This Row],[Status]],
 IF(
  AND(
   tblTargetStatus[[#This Row],[MissingDependencies]]=1,
   tblTargetStatus[[#This Row],[FirstMissingStatus]]="READY"
  ),
  "ONE AWAY",
  "BLOCKED"
 )
)</f>
        <v>BLOCKED</v>
      </c>
      <c r="R166">
        <f>IF(
 OR(
  tblTargetStatus[[#This Row],[StateType]]="CHARACTER",
  RIGHT(tblTargetStatus[[#This Row],[TargetID]],6)=".maxed"
 ),
 0,
 _xlfn.LET(
  _xlpm.sort,
   _xlfn.XLOOKUP(
    tblTargetStatus[[#This Row],[TargetID]],
    tblChecklist[TargetID],
    tblChecklist[PlayerSort],
    0
   ),
  IF(_xlpm.sort=0,500,_xlpm.sort)
 )
)</f>
        <v>500</v>
      </c>
      <c r="S166" t="str" cm="1">
        <f t="array" ref="S16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Bone Dragon Lv 1, Letter from the Dark Lady Finished</v>
      </c>
      <c r="T166" t="str">
        <f>_xlfn.XLOOKUP(tblTargetStatus[[#This Row],[TargetID]],tblTargets[TargetID],tblTargets[CompletionMethod],"")</f>
        <v>PLAYER</v>
      </c>
      <c r="U166" t="b">
        <f>COUNTIF(
    tblCost[TargetID],
    tblTargetStatus[[#This Row],[TargetID]]
)&gt;0</f>
        <v>1</v>
      </c>
      <c r="V166" s="81">
        <f>IF(tblTargetStatus[[#This Row],[HasCost]]=FALSE,
"N/A",
_xlfn.XLOOKUP(
tblTargetStatus[[#This Row],[TargetID]],
tblCost[TargetID],
tblCost[FundingPercent],
""
)
)</f>
        <v>0</v>
      </c>
      <c r="W166">
        <f>IF(
COUNTIF(tblCost[TargetID],tblTargetStatus[[#This Row],[TargetID]])=0,
"",
_xlfn.XLOOKUP(
tblTargetStatus[[#This Row],[TargetID]],
tblCost[TargetID],
tblCost[RemainingRequirements],
""
)
)</f>
        <v>1</v>
      </c>
      <c r="X166" s="79" t="b">
        <f>IF(tblTargetStatus[[#This Row],[HasCost]]=FALSE,"N/A",_xlfn.XLOOKUP(
tblTargetStatus[[#This Row],[TargetID]],
tblCost[TargetID],
tblCost[TargetFunded],
TRUE
))</f>
        <v>0</v>
      </c>
      <c r="Y166" t="str" cm="1">
        <f t="array" ref="Y166">_xlfn.TEXTJOIN(
", ",
TRUE,
_xlfn._xlws.FILTER(
tblCost[ResourceID]&amp;": "&amp;tblCost[QuantityRequired],
(tblCost[TargetID]=tblTargetStatus[[#This Row],[TargetID]])*
(tblCost[PlayerPaid]=FALSE),
""
)
)</f>
        <v>petard: 30</v>
      </c>
      <c r="Z1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6" t="str" cm="1">
        <f t="array" ref="AA16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67" spans="1:27">
      <c r="A167" t="s">
        <v>5652</v>
      </c>
      <c r="B167" t="str">
        <f>_xlfn.XLOOKUP(tblTargetStatus[[#This Row],[TargetID]],tblTargets[TargetID],tblTargets[DisplayName],"")</f>
        <v>Collapsed Staircase</v>
      </c>
      <c r="C167" t="str">
        <f>IF(tblTargetStatus[[#This Row],[PlayerCompleted]],"COMPLETED",IF(tblTargetStatus[[#This Row],[MissingDependencies]]=0,"READY","BLOCKED"))</f>
        <v>BLOCKED</v>
      </c>
      <c r="D1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7" t="str">
        <f>_xlfn.XLOOKUP(tblTargetStatus[[#This Row],[TargetID]],tblTargets[TargetID],tblTargets[TargetType],"")</f>
        <v>COLLECTION</v>
      </c>
      <c r="F167" t="str">
        <f>_xlfn.XLOOKUP(tblTargetStatus[[#This Row],[TargetID]],tblTargets[TargetID],tblTargets[StateType])</f>
        <v/>
      </c>
      <c r="G167">
        <f>_xlfn.LET(
_xlpm.id,tblTargetStatus[[#This Row],[TargetID]],
_xlpm.depCount,COUNTIF(tblDependencies[TargetID],_xlpm.id),
_xlpm.objCount,COUNTIF(tblQuestObjectives[QuestTargetID],_xlpm.id),
_xlpm.depCount+_xlpm.objCount
)</f>
        <v>1</v>
      </c>
      <c r="H167">
        <f>tblTargetStatus[[#This Row],[DependencyCount]]</f>
        <v>1</v>
      </c>
      <c r="I167" cm="1">
        <f t="array" ref="I1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7">
        <f>tblTargetStatus[[#This Row],[CompletedDependencyCount]]</f>
        <v>0</v>
      </c>
      <c r="K167" t="b">
        <f>tblTargetStatus[[#This Row],[CompletedDependencies]]=tblTargetStatus[[#This Row],[TotalDependencies]]</f>
        <v>0</v>
      </c>
      <c r="L167">
        <f>tblTargetStatus[[#This Row],[TotalDependencies]]-tblTargetStatus[[#This Row],[CompletedDependencies]]</f>
        <v>1</v>
      </c>
      <c r="M167" t="str" cm="1">
        <f t="array" ref="M1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collection.broken_lever@1</v>
      </c>
      <c r="N167" t="str">
        <f>IF(tblTargetStatus[[#This Row],[FirstMissingDependencyID]]="","",_xlfn.XLOOKUP(tblTargetStatus[[#This Row],[FirstMissingDependencyID]],tblTargets[TargetID],tblTargets[DisplayName],tblTargetStatus[[#This Row],[FirstMissingDependencyID]]))</f>
        <v>Broken Lever</v>
      </c>
      <c r="O167" s="2" t="str" cm="1">
        <f t="array" ref="O1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beam, 150 stone, 10 bonemeal, 5 blueprint</v>
      </c>
      <c r="P167" t="str">
        <f>IF(tblTargetStatus[[#This Row],[FirstMissingDependencyID]]="","",_xlfn.XLOOKUP(tblTargetStatus[[#This Row],[FirstMissingDependencyID]],tblTargetStatus[TargetID],tblTargetStatus[Status],""))</f>
        <v>BLOCKED</v>
      </c>
      <c r="Q167" t="str">
        <f>IF(
 tblTargetStatus[[#This Row],[Status]]&lt;&gt;"BLOCKED",
 tblTargetStatus[[#This Row],[Status]],
 IF(
  AND(
   tblTargetStatus[[#This Row],[MissingDependencies]]=1,
   tblTargetStatus[[#This Row],[FirstMissingStatus]]="READY"
  ),
  "ONE AWAY",
  "BLOCKED"
 )
)</f>
        <v>BLOCKED</v>
      </c>
      <c r="R167">
        <f>IF(
 OR(
  tblTargetStatus[[#This Row],[StateType]]="CHARACTER",
  RIGHT(tblTargetStatus[[#This Row],[TargetID]],6)=".maxed"
 ),
 0,
 _xlfn.LET(
  _xlpm.sort,
   _xlfn.XLOOKUP(
    tblTargetStatus[[#This Row],[TargetID]],
    tblChecklist[TargetID],
    tblChecklist[PlayerSort],
    0
   ),
  IF(_xlpm.sort=0,500,_xlpm.sort)
 )
)</f>
        <v>500</v>
      </c>
      <c r="S167" t="str" cm="1">
        <f t="array" ref="S16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Cave-in Alchemist Hall, Cave-in Bone Dragon, Rotten Ladder, Collection Staircase, Letter from the Dark Lady Finished</v>
      </c>
      <c r="T167" t="str">
        <f>_xlfn.XLOOKUP(tblTargetStatus[[#This Row],[TargetID]],tblTargets[TargetID],tblTargets[CompletionMethod],"")</f>
        <v>PLAYER</v>
      </c>
      <c r="U167" t="b">
        <f>COUNTIF(
    tblCost[TargetID],
    tblTargetStatus[[#This Row],[TargetID]]
)&gt;0</f>
        <v>1</v>
      </c>
      <c r="V167" s="81">
        <f>IF(tblTargetStatus[[#This Row],[HasCost]]=FALSE,
"N/A",
_xlfn.XLOOKUP(
tblTargetStatus[[#This Row],[TargetID]],
tblCost[TargetID],
tblCost[FundingPercent],
""
)
)</f>
        <v>0</v>
      </c>
      <c r="W167">
        <f>IF(
COUNTIF(tblCost[TargetID],tblTargetStatus[[#This Row],[TargetID]])=0,
"",
_xlfn.XLOOKUP(
tblTargetStatus[[#This Row],[TargetID]],
tblCost[TargetID],
tblCost[RemainingRequirements],
""
)
)</f>
        <v>4</v>
      </c>
      <c r="X167" s="79" t="b">
        <f>IF(tblTargetStatus[[#This Row],[HasCost]]=FALSE,"N/A",_xlfn.XLOOKUP(
tblTargetStatus[[#This Row],[TargetID]],
tblCost[TargetID],
tblCost[TargetFunded],
TRUE
))</f>
        <v>0</v>
      </c>
      <c r="Y167" t="str" cm="1">
        <f t="array" ref="Y167">_xlfn.TEXTJOIN(
", ",
TRUE,
_xlfn._xlws.FILTER(
tblCost[ResourceID]&amp;": "&amp;tblCost[QuantityRequired],
(tblCost[TargetID]=tblTargetStatus[[#This Row],[TargetID]])*
(tblCost[PlayerPaid]=FALSE),
""
)
)</f>
        <v>beam: 50, stone: 150, bonemeal: 10, blueprint: 5</v>
      </c>
      <c r="Z1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7" t="str" cm="1">
        <f t="array" ref="AA16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68" spans="1:27">
      <c r="A168" t="s">
        <v>2587</v>
      </c>
      <c r="B168" t="str">
        <f>_xlfn.XLOOKUP(tblTargetStatus[[#This Row],[TargetID]],tblTargets[TargetID],tblTargets[DisplayName],"")</f>
        <v>Courtyard 1 Lv 1</v>
      </c>
      <c r="C168" t="str">
        <f>IF(tblTargetStatus[[#This Row],[PlayerCompleted]],"COMPLETED",IF(tblTargetStatus[[#This Row],[MissingDependencies]]=0,"READY","BLOCKED"))</f>
        <v>BLOCKED</v>
      </c>
      <c r="D1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8" t="str">
        <f>_xlfn.XLOOKUP(tblTargetStatus[[#This Row],[TargetID]],tblTargets[TargetID],tblTargets[TargetType],"")</f>
        <v>COLLECTION</v>
      </c>
      <c r="F168" t="str">
        <f>_xlfn.XLOOKUP(tblTargetStatus[[#This Row],[TargetID]],tblTargets[TargetID],tblTargets[StateType])</f>
        <v/>
      </c>
      <c r="G168">
        <f>_xlfn.LET(
_xlpm.id,tblTargetStatus[[#This Row],[TargetID]],
_xlpm.depCount,COUNTIF(tblDependencies[TargetID],_xlpm.id),
_xlpm.objCount,COUNTIF(tblQuestObjectives[QuestTargetID],_xlpm.id),
_xlpm.depCount+_xlpm.objCount
)</f>
        <v>2</v>
      </c>
      <c r="H168">
        <f>tblTargetStatus[[#This Row],[DependencyCount]]</f>
        <v>2</v>
      </c>
      <c r="I168" cm="1">
        <f t="array" ref="I1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8">
        <f>tblTargetStatus[[#This Row],[CompletedDependencyCount]]</f>
        <v>0</v>
      </c>
      <c r="K168" t="b">
        <f>tblTargetStatus[[#This Row],[CompletedDependencies]]=tblTargetStatus[[#This Row],[TotalDependencies]]</f>
        <v>0</v>
      </c>
      <c r="L168">
        <f>tblTargetStatus[[#This Row],[TotalDependencies]]-tblTargetStatus[[#This Row],[CompletedDependencies]]</f>
        <v>2</v>
      </c>
      <c r="M168" t="str" cm="1">
        <f t="array" ref="M1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citadel.courtyard</v>
      </c>
      <c r="N168" t="str">
        <f>IF(tblTargetStatus[[#This Row],[FirstMissingDependencyID]]="","",_xlfn.XLOOKUP(tblTargetStatus[[#This Row],[FirstMissingDependencyID]],tblTargets[TargetID],tblTargets[DisplayName],tblTargetStatus[[#This Row],[FirstMissingDependencyID]]))</f>
        <v>Courtyard</v>
      </c>
      <c r="O168" t="str" cm="1">
        <f t="array" ref="O1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ginkgo,5 herbs,5 herbs.2,5 herbs.3,15 honey,10 porcini,5 strawberry,5 strawberry.2,5 strawberry.3,50 wood</v>
      </c>
      <c r="P168" t="str">
        <f>IF(tblTargetStatus[[#This Row],[FirstMissingDependencyID]]="","",_xlfn.XLOOKUP(tblTargetStatus[[#This Row],[FirstMissingDependencyID]],tblTargetStatus[TargetID],tblTargetStatus[Status],""))</f>
        <v>BLOCKED</v>
      </c>
      <c r="Q168" t="str">
        <f>IF(
 tblTargetStatus[[#This Row],[Status]]&lt;&gt;"BLOCKED",
 tblTargetStatus[[#This Row],[Status]],
 IF(
  AND(
   tblTargetStatus[[#This Row],[MissingDependencies]]=1,
   tblTargetStatus[[#This Row],[FirstMissingStatus]]="READY"
  ),
  "ONE AWAY",
  "BLOCKED"
 )
)</f>
        <v>BLOCKED</v>
      </c>
      <c r="R168">
        <f>IF(
 OR(
  tblTargetStatus[[#This Row],[StateType]]="CHARACTER",
  RIGHT(tblTargetStatus[[#This Row],[TargetID]],6)=".maxed"
 ),
 0,
 _xlfn.LET(
  _xlpm.sort,
   _xlfn.XLOOKUP(
    tblTargetStatus[[#This Row],[TargetID]],
    tblChecklist[TargetID],
    tblChecklist[PlayerSort],
    0
   ),
  IF(_xlpm.sort=0,500,_xlpm.sort)
 )
)</f>
        <v>500</v>
      </c>
      <c r="S168" t="str" cm="1">
        <f t="array" ref="S16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Courtyard 1 Lv 2</v>
      </c>
      <c r="T168" t="str">
        <f>_xlfn.XLOOKUP(tblTargetStatus[[#This Row],[TargetID]],tblTargets[TargetID],tblTargets[CompletionMethod],"")</f>
        <v>PLAYER</v>
      </c>
      <c r="U168" t="b">
        <f>COUNTIF(
    tblCost[TargetID],
    tblTargetStatus[[#This Row],[TargetID]]
)&gt;0</f>
        <v>1</v>
      </c>
      <c r="V168" s="81">
        <f>IF(tblTargetStatus[[#This Row],[HasCost]]=FALSE,
"N/A",
_xlfn.XLOOKUP(
tblTargetStatus[[#This Row],[TargetID]],
tblCost[TargetID],
tblCost[FundingPercent],
""
)
)</f>
        <v>0</v>
      </c>
      <c r="W168">
        <f>IF(
COUNTIF(tblCost[TargetID],tblTargetStatus[[#This Row],[TargetID]])=0,
"",
_xlfn.XLOOKUP(
tblTargetStatus[[#This Row],[TargetID]],
tblCost[TargetID],
tblCost[RemainingRequirements],
""
)
)</f>
        <v>10</v>
      </c>
      <c r="X168" s="79" t="b">
        <f>IF(tblTargetStatus[[#This Row],[HasCost]]=FALSE,"N/A",_xlfn.XLOOKUP(
tblTargetStatus[[#This Row],[TargetID]],
tblCost[TargetID],
tblCost[TargetFunded],
TRUE
))</f>
        <v>0</v>
      </c>
      <c r="Y168" t="str" cm="1">
        <f t="array" ref="Y168">_xlfn.TEXTJOIN(
", ",
TRUE,
_xlfn._xlws.FILTER(
tblCost[ResourceID]&amp;": "&amp;tblCost[QuantityRequired],
(tblCost[TargetID]=tblTargetStatus[[#This Row],[TargetID]])*
(tblCost[PlayerPaid]=FALSE),
""
)
)</f>
        <v>ginkgo: 20, herbs: 5, herbs: 5, herbs: 5, honey: 15, porcini: 10, strawberry: 5, strawberry: 5, strawberry: 5, wood: 50</v>
      </c>
      <c r="Z1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8" t="str" cm="1">
        <f t="array" ref="AA16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69" spans="1:27">
      <c r="A169" t="s">
        <v>2588</v>
      </c>
      <c r="B169" t="str">
        <f>_xlfn.XLOOKUP(tblTargetStatus[[#This Row],[TargetID]],tblTargets[TargetID],tblTargets[DisplayName],"")</f>
        <v>Courtyard 1 Lv 2</v>
      </c>
      <c r="C169" t="str">
        <f>IF(tblTargetStatus[[#This Row],[PlayerCompleted]],"COMPLETED",IF(tblTargetStatus[[#This Row],[MissingDependencies]]=0,"READY","BLOCKED"))</f>
        <v>BLOCKED</v>
      </c>
      <c r="D1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9" t="str">
        <f>_xlfn.XLOOKUP(tblTargetStatus[[#This Row],[TargetID]],tblTargets[TargetID],tblTargets[TargetType],"")</f>
        <v>COLLECTION</v>
      </c>
      <c r="F169" t="str">
        <f>_xlfn.XLOOKUP(tblTargetStatus[[#This Row],[TargetID]],tblTargets[TargetID],tblTargets[StateType])</f>
        <v/>
      </c>
      <c r="G169">
        <f>_xlfn.LET(
_xlpm.id,tblTargetStatus[[#This Row],[TargetID]],
_xlpm.depCount,COUNTIF(tblDependencies[TargetID],_xlpm.id),
_xlpm.objCount,COUNTIF(tblQuestObjectives[QuestTargetID],_xlpm.id),
_xlpm.depCount+_xlpm.objCount
)</f>
        <v>1</v>
      </c>
      <c r="H169">
        <f>tblTargetStatus[[#This Row],[DependencyCount]]</f>
        <v>1</v>
      </c>
      <c r="I169" cm="1">
        <f t="array" ref="I1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9">
        <f>tblTargetStatus[[#This Row],[CompletedDependencyCount]]</f>
        <v>0</v>
      </c>
      <c r="K169" t="b">
        <f>tblTargetStatus[[#This Row],[CompletedDependencies]]=tblTargetStatus[[#This Row],[TotalDependencies]]</f>
        <v>0</v>
      </c>
      <c r="L169">
        <f>tblTargetStatus[[#This Row],[TotalDependencies]]-tblTargetStatus[[#This Row],[CompletedDependencies]]</f>
        <v>1</v>
      </c>
      <c r="M169" t="str" cm="1">
        <f t="array" ref="M1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collection.courtyard_1@1</v>
      </c>
      <c r="N169" t="str">
        <f>IF(tblTargetStatus[[#This Row],[FirstMissingDependencyID]]="","",_xlfn.XLOOKUP(tblTargetStatus[[#This Row],[FirstMissingDependencyID]],tblTargets[TargetID],tblTargets[DisplayName],tblTargetStatus[[#This Row],[FirstMissingDependencyID]]))</f>
        <v>Courtyard 1 Lv 1</v>
      </c>
      <c r="O169" t="str" cm="1">
        <f t="array" ref="O1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ginkgo,10 herbs,10 herbs.2,10 herbs.3,30 honey,20 porcini,10 strawberry,10 strawberry.2,10 strawberry.3,100 wood</v>
      </c>
      <c r="P169" t="str">
        <f>IF(tblTargetStatus[[#This Row],[FirstMissingDependencyID]]="","",_xlfn.XLOOKUP(tblTargetStatus[[#This Row],[FirstMissingDependencyID]],tblTargetStatus[TargetID],tblTargetStatus[Status],""))</f>
        <v>BLOCKED</v>
      </c>
      <c r="Q169" t="str">
        <f>IF(
 tblTargetStatus[[#This Row],[Status]]&lt;&gt;"BLOCKED",
 tblTargetStatus[[#This Row],[Status]],
 IF(
  AND(
   tblTargetStatus[[#This Row],[MissingDependencies]]=1,
   tblTargetStatus[[#This Row],[FirstMissingStatus]]="READY"
  ),
  "ONE AWAY",
  "BLOCKED"
 )
)</f>
        <v>BLOCKED</v>
      </c>
      <c r="R169">
        <f>IF(
 OR(
  tblTargetStatus[[#This Row],[StateType]]="CHARACTER",
  RIGHT(tblTargetStatus[[#This Row],[TargetID]],6)=".maxed"
 ),
 0,
 _xlfn.LET(
  _xlpm.sort,
   _xlfn.XLOOKUP(
    tblTargetStatus[[#This Row],[TargetID]],
    tblChecklist[TargetID],
    tblChecklist[PlayerSort],
    0
   ),
  IF(_xlpm.sort=0,500,_xlpm.sort)
 )
)</f>
        <v>500</v>
      </c>
      <c r="S169" t="str" cm="1">
        <f t="array" ref="S16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69" t="str">
        <f>_xlfn.XLOOKUP(tblTargetStatus[[#This Row],[TargetID]],tblTargets[TargetID],tblTargets[CompletionMethod],"")</f>
        <v>PLAYER</v>
      </c>
      <c r="U169" t="b">
        <f>COUNTIF(
    tblCost[TargetID],
    tblTargetStatus[[#This Row],[TargetID]]
)&gt;0</f>
        <v>1</v>
      </c>
      <c r="V169" s="81">
        <f>IF(tblTargetStatus[[#This Row],[HasCost]]=FALSE,
"N/A",
_xlfn.XLOOKUP(
tblTargetStatus[[#This Row],[TargetID]],
tblCost[TargetID],
tblCost[FundingPercent],
""
)
)</f>
        <v>0</v>
      </c>
      <c r="W169">
        <f>IF(
COUNTIF(tblCost[TargetID],tblTargetStatus[[#This Row],[TargetID]])=0,
"",
_xlfn.XLOOKUP(
tblTargetStatus[[#This Row],[TargetID]],
tblCost[TargetID],
tblCost[RemainingRequirements],
""
)
)</f>
        <v>10</v>
      </c>
      <c r="X169" s="79" t="b">
        <f>IF(tblTargetStatus[[#This Row],[HasCost]]=FALSE,"N/A",_xlfn.XLOOKUP(
tblTargetStatus[[#This Row],[TargetID]],
tblCost[TargetID],
tblCost[TargetFunded],
TRUE
))</f>
        <v>0</v>
      </c>
      <c r="Y169" t="str" cm="1">
        <f t="array" ref="Y169">_xlfn.TEXTJOIN(
", ",
TRUE,
_xlfn._xlws.FILTER(
tblCost[ResourceID]&amp;": "&amp;tblCost[QuantityRequired],
(tblCost[TargetID]=tblTargetStatus[[#This Row],[TargetID]])*
(tblCost[PlayerPaid]=FALSE),
""
)
)</f>
        <v>ginkgo: 40, herbs: 10, herbs: 10, herbs: 10, honey: 30, porcini: 20, strawberry: 10, strawberry: 10, strawberry: 10, wood: 100</v>
      </c>
      <c r="Z1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9" t="str" cm="1">
        <f t="array" ref="AA16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0" spans="1:27">
      <c r="A170" t="s">
        <v>2589</v>
      </c>
      <c r="B170" t="str">
        <f>_xlfn.XLOOKUP(tblTargetStatus[[#This Row],[TargetID]],tblTargets[TargetID],tblTargets[DisplayName],"")</f>
        <v>Courtyard 2 Lv 1</v>
      </c>
      <c r="C170" t="str">
        <f>IF(tblTargetStatus[[#This Row],[PlayerCompleted]],"COMPLETED",IF(tblTargetStatus[[#This Row],[MissingDependencies]]=0,"READY","BLOCKED"))</f>
        <v>BLOCKED</v>
      </c>
      <c r="D1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0" t="str">
        <f>_xlfn.XLOOKUP(tblTargetStatus[[#This Row],[TargetID]],tblTargets[TargetID],tblTargets[TargetType],"")</f>
        <v>COLLECTION</v>
      </c>
      <c r="F170" t="str">
        <f>_xlfn.XLOOKUP(tblTargetStatus[[#This Row],[TargetID]],tblTargets[TargetID],tblTargets[StateType])</f>
        <v/>
      </c>
      <c r="G170">
        <f>_xlfn.LET(
_xlpm.id,tblTargetStatus[[#This Row],[TargetID]],
_xlpm.depCount,COUNTIF(tblDependencies[TargetID],_xlpm.id),
_xlpm.objCount,COUNTIF(tblQuestObjectives[QuestTargetID],_xlpm.id),
_xlpm.depCount+_xlpm.objCount
)</f>
        <v>2</v>
      </c>
      <c r="H170">
        <f>tblTargetStatus[[#This Row],[DependencyCount]]</f>
        <v>2</v>
      </c>
      <c r="I170" cm="1">
        <f t="array" ref="I1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0">
        <f>tblTargetStatus[[#This Row],[CompletedDependencyCount]]</f>
        <v>0</v>
      </c>
      <c r="K170" t="b">
        <f>tblTargetStatus[[#This Row],[CompletedDependencies]]=tblTargetStatus[[#This Row],[TotalDependencies]]</f>
        <v>0</v>
      </c>
      <c r="L170">
        <f>tblTargetStatus[[#This Row],[TotalDependencies]]-tblTargetStatus[[#This Row],[CompletedDependencies]]</f>
        <v>2</v>
      </c>
      <c r="M170" t="str" cm="1">
        <f t="array" ref="M1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citadel.courtyard</v>
      </c>
      <c r="N170" t="str">
        <f>IF(tblTargetStatus[[#This Row],[FirstMissingDependencyID]]="","",_xlfn.XLOOKUP(tblTargetStatus[[#This Row],[FirstMissingDependencyID]],tblTargets[TargetID],tblTargets[DisplayName],tblTargetStatus[[#This Row],[FirstMissingDependencyID]]))</f>
        <v>Courtyard</v>
      </c>
      <c r="O170" t="str" cm="1">
        <f t="array" ref="O1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bamboo,15 bamboo.2,15 bamboo.3</v>
      </c>
      <c r="P170" t="str">
        <f>IF(tblTargetStatus[[#This Row],[FirstMissingDependencyID]]="","",_xlfn.XLOOKUP(tblTargetStatus[[#This Row],[FirstMissingDependencyID]],tblTargetStatus[TargetID],tblTargetStatus[Status],""))</f>
        <v>BLOCKED</v>
      </c>
      <c r="Q170" t="str">
        <f>IF(
 tblTargetStatus[[#This Row],[Status]]&lt;&gt;"BLOCKED",
 tblTargetStatus[[#This Row],[Status]],
 IF(
  AND(
   tblTargetStatus[[#This Row],[MissingDependencies]]=1,
   tblTargetStatus[[#This Row],[FirstMissingStatus]]="READY"
  ),
  "ONE AWAY",
  "BLOCKED"
 )
)</f>
        <v>BLOCKED</v>
      </c>
      <c r="R170">
        <f>IF(
 OR(
  tblTargetStatus[[#This Row],[StateType]]="CHARACTER",
  RIGHT(tblTargetStatus[[#This Row],[TargetID]],6)=".maxed"
 ),
 0,
 _xlfn.LET(
  _xlpm.sort,
   _xlfn.XLOOKUP(
    tblTargetStatus[[#This Row],[TargetID]],
    tblChecklist[TargetID],
    tblChecklist[PlayerSort],
    0
   ),
  IF(_xlpm.sort=0,500,_xlpm.sort)
 )
)</f>
        <v>500</v>
      </c>
      <c r="S170" t="str" cm="1">
        <f t="array" ref="S17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70" t="str">
        <f>_xlfn.XLOOKUP(tblTargetStatus[[#This Row],[TargetID]],tblTargets[TargetID],tblTargets[CompletionMethod],"")</f>
        <v>PLAYER</v>
      </c>
      <c r="U170" t="b">
        <f>COUNTIF(
    tblCost[TargetID],
    tblTargetStatus[[#This Row],[TargetID]]
)&gt;0</f>
        <v>1</v>
      </c>
      <c r="V170" s="81">
        <f>IF(tblTargetStatus[[#This Row],[HasCost]]=FALSE,
"N/A",
_xlfn.XLOOKUP(
tblTargetStatus[[#This Row],[TargetID]],
tblCost[TargetID],
tblCost[FundingPercent],
""
)
)</f>
        <v>0</v>
      </c>
      <c r="W170">
        <f>IF(
COUNTIF(tblCost[TargetID],tblTargetStatus[[#This Row],[TargetID]])=0,
"",
_xlfn.XLOOKUP(
tblTargetStatus[[#This Row],[TargetID]],
tblCost[TargetID],
tblCost[RemainingRequirements],
""
)
)</f>
        <v>3</v>
      </c>
      <c r="X170" s="79" t="b">
        <f>IF(tblTargetStatus[[#This Row],[HasCost]]=FALSE,"N/A",_xlfn.XLOOKUP(
tblTargetStatus[[#This Row],[TargetID]],
tblCost[TargetID],
tblCost[TargetFunded],
TRUE
))</f>
        <v>0</v>
      </c>
      <c r="Y170" t="str" cm="1">
        <f t="array" ref="Y170">_xlfn.TEXTJOIN(
", ",
TRUE,
_xlfn._xlws.FILTER(
tblCost[ResourceID]&amp;": "&amp;tblCost[QuantityRequired],
(tblCost[TargetID]=tblTargetStatus[[#This Row],[TargetID]])*
(tblCost[PlayerPaid]=FALSE),
""
)
)</f>
        <v>bamboo: 15, bamboo: 15, bamboo: 15</v>
      </c>
      <c r="Z1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0" t="str" cm="1">
        <f t="array" ref="AA17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1" spans="1:27" ht="29">
      <c r="A171" t="s">
        <v>5926</v>
      </c>
      <c r="B171" t="str">
        <f>_xlfn.XLOOKUP(tblTargetStatus[[#This Row],[TargetID]],tblTargets[TargetID],tblTargets[DisplayName],"")</f>
        <v>Crystal Cave</v>
      </c>
      <c r="C171" t="str">
        <f>IF(tblTargetStatus[[#This Row],[PlayerCompleted]],"COMPLETED",IF(tblTargetStatus[[#This Row],[MissingDependencies]]=0,"READY","BLOCKED"))</f>
        <v>BLOCKED</v>
      </c>
      <c r="D1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1" t="str">
        <f>_xlfn.XLOOKUP(tblTargetStatus[[#This Row],[TargetID]],tblTargets[TargetID],tblTargets[TargetType],"")</f>
        <v>COLLECTION</v>
      </c>
      <c r="F171" t="str">
        <f>_xlfn.XLOOKUP(tblTargetStatus[[#This Row],[TargetID]],tblTargets[TargetID],tblTargets[StateType])</f>
        <v/>
      </c>
      <c r="G171">
        <f>_xlfn.LET(
_xlpm.id,tblTargetStatus[[#This Row],[TargetID]],
_xlpm.depCount,COUNTIF(tblDependencies[TargetID],_xlpm.id),
_xlpm.objCount,COUNTIF(tblQuestObjectives[QuestTargetID],_xlpm.id),
_xlpm.depCount+_xlpm.objCount
)</f>
        <v>1</v>
      </c>
      <c r="H171">
        <f>tblTargetStatus[[#This Row],[DependencyCount]]</f>
        <v>1</v>
      </c>
      <c r="I171" cm="1">
        <f t="array" ref="I1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1">
        <f>tblTargetStatus[[#This Row],[CompletedDependencyCount]]</f>
        <v>0</v>
      </c>
      <c r="K171" t="b">
        <f>tblTargetStatus[[#This Row],[CompletedDependencies]]=tblTargetStatus[[#This Row],[TotalDependencies]]</f>
        <v>0</v>
      </c>
      <c r="L171">
        <f>tblTargetStatus[[#This Row],[TotalDependencies]]-tblTargetStatus[[#This Row],[CompletedDependencies]]</f>
        <v>1</v>
      </c>
      <c r="M171" t="str" cm="1">
        <f t="array" ref="M1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collection.broken_minecart@1</v>
      </c>
      <c r="N171" t="str">
        <f>IF(tblTargetStatus[[#This Row],[FirstMissingDependencyID]]="","",_xlfn.XLOOKUP(tblTargetStatus[[#This Row],[FirstMissingDependencyID]],tblTargets[TargetID],tblTargets[DisplayName],tblTargetStatus[[#This Row],[FirstMissingDependencyID]]))</f>
        <v>Broken Minecart</v>
      </c>
      <c r="O171" s="2" t="str" cm="1">
        <f t="array" ref="O1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quartz, 20 bluecrystal, 20 greencrystal, 20 redcrystal, 20 violetcrystal</v>
      </c>
      <c r="P171" t="str">
        <f>IF(tblTargetStatus[[#This Row],[FirstMissingDependencyID]]="","",_xlfn.XLOOKUP(tblTargetStatus[[#This Row],[FirstMissingDependencyID]],tblTargetStatus[TargetID],tblTargetStatus[Status],""))</f>
        <v>BLOCKED</v>
      </c>
      <c r="Q171" t="str">
        <f>IF(
 tblTargetStatus[[#This Row],[Status]]&lt;&gt;"BLOCKED",
 tblTargetStatus[[#This Row],[Status]],
 IF(
  AND(
   tblTargetStatus[[#This Row],[MissingDependencies]]=1,
   tblTargetStatus[[#This Row],[FirstMissingStatus]]="READY"
  ),
  "ONE AWAY",
  "BLOCKED"
 )
)</f>
        <v>BLOCKED</v>
      </c>
      <c r="R171">
        <f>IF(
 OR(
  tblTargetStatus[[#This Row],[StateType]]="CHARACTER",
  RIGHT(tblTargetStatus[[#This Row],[TargetID]],6)=".maxed"
 ),
 0,
 _xlfn.LET(
  _xlpm.sort,
   _xlfn.XLOOKUP(
    tblTargetStatus[[#This Row],[TargetID]],
    tblChecklist[TargetID],
    tblChecklist[PlayerSort],
    0
   ),
  IF(_xlpm.sort=0,500,_xlpm.sort)
 )
)</f>
        <v>500</v>
      </c>
      <c r="S171" t="str" cm="1">
        <f t="array" ref="S17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71" t="str">
        <f>_xlfn.XLOOKUP(tblTargetStatus[[#This Row],[TargetID]],tblTargets[TargetID],tblTargets[CompletionMethod],"")</f>
        <v>PLAYER</v>
      </c>
      <c r="U171" t="b">
        <f>COUNTIF(
    tblCost[TargetID],
    tblTargetStatus[[#This Row],[TargetID]]
)&gt;0</f>
        <v>1</v>
      </c>
      <c r="V171" s="81">
        <f>IF(tblTargetStatus[[#This Row],[HasCost]]=FALSE,
"N/A",
_xlfn.XLOOKUP(
tblTargetStatus[[#This Row],[TargetID]],
tblCost[TargetID],
tblCost[FundingPercent],
""
)
)</f>
        <v>0</v>
      </c>
      <c r="W171">
        <f>IF(
COUNTIF(tblCost[TargetID],tblTargetStatus[[#This Row],[TargetID]])=0,
"",
_xlfn.XLOOKUP(
tblTargetStatus[[#This Row],[TargetID]],
tblCost[TargetID],
tblCost[RemainingRequirements],
""
)
)</f>
        <v>5</v>
      </c>
      <c r="X171" s="79" t="b">
        <f>IF(tblTargetStatus[[#This Row],[HasCost]]=FALSE,"N/A",_xlfn.XLOOKUP(
tblTargetStatus[[#This Row],[TargetID]],
tblCost[TargetID],
tblCost[TargetFunded],
TRUE
))</f>
        <v>0</v>
      </c>
      <c r="Y171" t="str" cm="1">
        <f t="array" ref="Y171">_xlfn.TEXTJOIN(
", ",
TRUE,
_xlfn._xlws.FILTER(
tblCost[ResourceID]&amp;": "&amp;tblCost[QuantityRequired],
(tblCost[TargetID]=tblTargetStatus[[#This Row],[TargetID]])*
(tblCost[PlayerPaid]=FALSE),
""
)
)</f>
        <v>quartz: 20, bluecrystal: 20, greencrystal: 20, redcrystal: 20, violetcrystal: 20</v>
      </c>
      <c r="Z1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1" t="str" cm="1">
        <f t="array" ref="AA17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2" spans="1:27" ht="29">
      <c r="A172" t="s">
        <v>2590</v>
      </c>
      <c r="B172" t="str">
        <f>_xlfn.XLOOKUP(tblTargetStatus[[#This Row],[TargetID]],tblTargets[TargetID],tblTargets[DisplayName],"")</f>
        <v>Gallery 1 Lv 1</v>
      </c>
      <c r="C172" t="str">
        <f>IF(tblTargetStatus[[#This Row],[PlayerCompleted]],"COMPLETED",IF(tblTargetStatus[[#This Row],[MissingDependencies]]=0,"READY","BLOCKED"))</f>
        <v>BLOCKED</v>
      </c>
      <c r="D1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2" t="str">
        <f>_xlfn.XLOOKUP(tblTargetStatus[[#This Row],[TargetID]],tblTargets[TargetID],tblTargets[TargetType],"")</f>
        <v>COLLECTION</v>
      </c>
      <c r="F172" t="str">
        <f>_xlfn.XLOOKUP(tblTargetStatus[[#This Row],[TargetID]],tblTargets[TargetID],tblTargets[StateType])</f>
        <v/>
      </c>
      <c r="G172">
        <f>_xlfn.LET(
_xlpm.id,tblTargetStatus[[#This Row],[TargetID]],
_xlpm.depCount,COUNTIF(tblDependencies[TargetID],_xlpm.id),
_xlpm.objCount,COUNTIF(tblQuestObjectives[QuestTargetID],_xlpm.id),
_xlpm.depCount+_xlpm.objCount
)</f>
        <v>1</v>
      </c>
      <c r="H172">
        <f>tblTargetStatus[[#This Row],[DependencyCount]]</f>
        <v>1</v>
      </c>
      <c r="I172" cm="1">
        <f t="array" ref="I1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2">
        <f>tblTargetStatus[[#This Row],[CompletedDependencyCount]]</f>
        <v>0</v>
      </c>
      <c r="K172" t="b">
        <f>tblTargetStatus[[#This Row],[CompletedDependencies]]=tblTargetStatus[[#This Row],[TotalDependencies]]</f>
        <v>0</v>
      </c>
      <c r="L172">
        <f>tblTargetStatus[[#This Row],[TotalDependencies]]-tblTargetStatus[[#This Row],[CompletedDependencies]]</f>
        <v>1</v>
      </c>
      <c r="M172" t="str" cm="1">
        <f t="array" ref="M1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citadel.gallery</v>
      </c>
      <c r="N172" t="str">
        <f>IF(tblTargetStatus[[#This Row],[FirstMissingDependencyID]]="","",_xlfn.XLOOKUP(tblTargetStatus[[#This Row],[FirstMissingDependencyID]],tblTargets[TargetID],tblTargets[DisplayName],tblTargetStatus[[#This Row],[FirstMissingDependencyID]]))</f>
        <v>Gallery</v>
      </c>
      <c r="O172" s="2" t="str" cm="1">
        <f t="array" ref="O1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apy,10 cinnabar,10 mandrake,15 miron,15 reagent,5 titanium</v>
      </c>
      <c r="P172" t="str">
        <f>IF(tblTargetStatus[[#This Row],[FirstMissingDependencyID]]="","",_xlfn.XLOOKUP(tblTargetStatus[[#This Row],[FirstMissingDependencyID]],tblTargetStatus[TargetID],tblTargetStatus[Status],""))</f>
        <v>BLOCKED</v>
      </c>
      <c r="Q172" t="str">
        <f>IF(
 tblTargetStatus[[#This Row],[Status]]&lt;&gt;"BLOCKED",
 tblTargetStatus[[#This Row],[Status]],
 IF(
  AND(
   tblTargetStatus[[#This Row],[MissingDependencies]]=1,
   tblTargetStatus[[#This Row],[FirstMissingStatus]]="READY"
  ),
  "ONE AWAY",
  "BLOCKED"
 )
)</f>
        <v>BLOCKED</v>
      </c>
      <c r="R172">
        <f>IF(
 OR(
  tblTargetStatus[[#This Row],[StateType]]="CHARACTER",
  RIGHT(tblTargetStatus[[#This Row],[TargetID]],6)=".maxed"
 ),
 0,
 _xlfn.LET(
  _xlpm.sort,
   _xlfn.XLOOKUP(
    tblTargetStatus[[#This Row],[TargetID]],
    tblChecklist[TargetID],
    tblChecklist[PlayerSort],
    0
   ),
  IF(_xlpm.sort=0,500,_xlpm.sort)
 )
)</f>
        <v>500</v>
      </c>
      <c r="S172" t="str" cm="1">
        <f t="array" ref="S17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1 Lv 2</v>
      </c>
      <c r="T172" t="str">
        <f>_xlfn.XLOOKUP(tblTargetStatus[[#This Row],[TargetID]],tblTargets[TargetID],tblTargets[CompletionMethod],"")</f>
        <v>PLAYER</v>
      </c>
      <c r="U172" t="b">
        <f>COUNTIF(
    tblCost[TargetID],
    tblTargetStatus[[#This Row],[TargetID]]
)&gt;0</f>
        <v>1</v>
      </c>
      <c r="V172" s="81">
        <f>IF(tblTargetStatus[[#This Row],[HasCost]]=FALSE,
"N/A",
_xlfn.XLOOKUP(
tblTargetStatus[[#This Row],[TargetID]],
tblCost[TargetID],
tblCost[FundingPercent],
""
)
)</f>
        <v>0</v>
      </c>
      <c r="W172">
        <f>IF(
COUNTIF(tblCost[TargetID],tblTargetStatus[[#This Row],[TargetID]])=0,
"",
_xlfn.XLOOKUP(
tblTargetStatus[[#This Row],[TargetID]],
tblCost[TargetID],
tblCost[RemainingRequirements],
""
)
)</f>
        <v>6</v>
      </c>
      <c r="X172" s="79" t="b">
        <f>IF(tblTargetStatus[[#This Row],[HasCost]]=FALSE,"N/A",_xlfn.XLOOKUP(
tblTargetStatus[[#This Row],[TargetID]],
tblCost[TargetID],
tblCost[TargetFunded],
TRUE
))</f>
        <v>0</v>
      </c>
      <c r="Y172" t="str" cm="1">
        <f t="array" ref="Y172">_xlfn.TEXTJOIN(
", ",
TRUE,
_xlfn._xlws.FILTER(
tblCost[ResourceID]&amp;": "&amp;tblCost[QuantityRequired],
(tblCost[TargetID]=tblTargetStatus[[#This Row],[TargetID]])*
(tblCost[PlayerPaid]=FALSE),
""
)
)</f>
        <v>apy: 5, cinnabar: 10, mandrake: 10, miron: 15, reagent: 15, titanium: 5</v>
      </c>
      <c r="Z1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2" t="str" cm="1">
        <f t="array" ref="AA17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3" spans="1:27">
      <c r="A173" t="s">
        <v>2591</v>
      </c>
      <c r="B173" t="str">
        <f>_xlfn.XLOOKUP(tblTargetStatus[[#This Row],[TargetID]],tblTargets[TargetID],tblTargets[DisplayName],"")</f>
        <v>Gallery 1 Lv 2</v>
      </c>
      <c r="C173" t="str">
        <f>IF(tblTargetStatus[[#This Row],[PlayerCompleted]],"COMPLETED",IF(tblTargetStatus[[#This Row],[MissingDependencies]]=0,"READY","BLOCKED"))</f>
        <v>BLOCKED</v>
      </c>
      <c r="D1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3" t="str">
        <f>_xlfn.XLOOKUP(tblTargetStatus[[#This Row],[TargetID]],tblTargets[TargetID],tblTargets[TargetType],"")</f>
        <v>COLLECTION</v>
      </c>
      <c r="F173" t="str">
        <f>_xlfn.XLOOKUP(tblTargetStatus[[#This Row],[TargetID]],tblTargets[TargetID],tblTargets[StateType])</f>
        <v/>
      </c>
      <c r="G173">
        <f>_xlfn.LET(
_xlpm.id,tblTargetStatus[[#This Row],[TargetID]],
_xlpm.depCount,COUNTIF(tblDependencies[TargetID],_xlpm.id),
_xlpm.objCount,COUNTIF(tblQuestObjectives[QuestTargetID],_xlpm.id),
_xlpm.depCount+_xlpm.objCount
)</f>
        <v>1</v>
      </c>
      <c r="H173">
        <f>tblTargetStatus[[#This Row],[DependencyCount]]</f>
        <v>1</v>
      </c>
      <c r="I173" cm="1">
        <f t="array" ref="I1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3">
        <f>tblTargetStatus[[#This Row],[CompletedDependencyCount]]</f>
        <v>0</v>
      </c>
      <c r="K173" t="b">
        <f>tblTargetStatus[[#This Row],[CompletedDependencies]]=tblTargetStatus[[#This Row],[TotalDependencies]]</f>
        <v>0</v>
      </c>
      <c r="L173">
        <f>tblTargetStatus[[#This Row],[TotalDependencies]]-tblTargetStatus[[#This Row],[CompletedDependencies]]</f>
        <v>1</v>
      </c>
      <c r="M173" t="str" cm="1">
        <f t="array" ref="M1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collection.gallery_1@1</v>
      </c>
      <c r="N173" t="str">
        <f>IF(tblTargetStatus[[#This Row],[FirstMissingDependencyID]]="","",_xlfn.XLOOKUP(tblTargetStatus[[#This Row],[FirstMissingDependencyID]],tblTargets[TargetID],tblTargets[DisplayName],tblTargetStatus[[#This Row],[FirstMissingDependencyID]]))</f>
        <v>Gallery 1 Lv 1</v>
      </c>
      <c r="O173" t="str" cm="1">
        <f t="array" ref="O1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apy,20 cinnabar,20 mandrake,30 miron,30 reagent,10 titanium</v>
      </c>
      <c r="P173" t="str">
        <f>IF(tblTargetStatus[[#This Row],[FirstMissingDependencyID]]="","",_xlfn.XLOOKUP(tblTargetStatus[[#This Row],[FirstMissingDependencyID]],tblTargetStatus[TargetID],tblTargetStatus[Status],""))</f>
        <v>BLOCKED</v>
      </c>
      <c r="Q173" t="str">
        <f>IF(
 tblTargetStatus[[#This Row],[Status]]&lt;&gt;"BLOCKED",
 tblTargetStatus[[#This Row],[Status]],
 IF(
  AND(
   tblTargetStatus[[#This Row],[MissingDependencies]]=1,
   tblTargetStatus[[#This Row],[FirstMissingStatus]]="READY"
  ),
  "ONE AWAY",
  "BLOCKED"
 )
)</f>
        <v>BLOCKED</v>
      </c>
      <c r="R173">
        <f>IF(
 OR(
  tblTargetStatus[[#This Row],[StateType]]="CHARACTER",
  RIGHT(tblTargetStatus[[#This Row],[TargetID]],6)=".maxed"
 ),
 0,
 _xlfn.LET(
  _xlpm.sort,
   _xlfn.XLOOKUP(
    tblTargetStatus[[#This Row],[TargetID]],
    tblChecklist[TargetID],
    tblChecklist[PlayerSort],
    0
   ),
  IF(_xlpm.sort=0,500,_xlpm.sort)
 )
)</f>
        <v>500</v>
      </c>
      <c r="S173" t="str" cm="1">
        <f t="array" ref="S17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1 Lv 3</v>
      </c>
      <c r="T173" t="str">
        <f>_xlfn.XLOOKUP(tblTargetStatus[[#This Row],[TargetID]],tblTargets[TargetID],tblTargets[CompletionMethod],"")</f>
        <v>PLAYER</v>
      </c>
      <c r="U173" t="b">
        <f>COUNTIF(
    tblCost[TargetID],
    tblTargetStatus[[#This Row],[TargetID]]
)&gt;0</f>
        <v>1</v>
      </c>
      <c r="V173" s="81">
        <f>IF(tblTargetStatus[[#This Row],[HasCost]]=FALSE,
"N/A",
_xlfn.XLOOKUP(
tblTargetStatus[[#This Row],[TargetID]],
tblCost[TargetID],
tblCost[FundingPercent],
""
)
)</f>
        <v>0</v>
      </c>
      <c r="W173">
        <f>IF(
COUNTIF(tblCost[TargetID],tblTargetStatus[[#This Row],[TargetID]])=0,
"",
_xlfn.XLOOKUP(
tblTargetStatus[[#This Row],[TargetID]],
tblCost[TargetID],
tblCost[RemainingRequirements],
""
)
)</f>
        <v>6</v>
      </c>
      <c r="X173" s="79" t="b">
        <f>IF(tblTargetStatus[[#This Row],[HasCost]]=FALSE,"N/A",_xlfn.XLOOKUP(
tblTargetStatus[[#This Row],[TargetID]],
tblCost[TargetID],
tblCost[TargetFunded],
TRUE
))</f>
        <v>0</v>
      </c>
      <c r="Y173" t="str" cm="1">
        <f t="array" ref="Y173">_xlfn.TEXTJOIN(
", ",
TRUE,
_xlfn._xlws.FILTER(
tblCost[ResourceID]&amp;": "&amp;tblCost[QuantityRequired],
(tblCost[TargetID]=tblTargetStatus[[#This Row],[TargetID]])*
(tblCost[PlayerPaid]=FALSE),
""
)
)</f>
        <v>apy: 10, cinnabar: 20, mandrake: 20, miron: 30, reagent: 30, titanium: 10</v>
      </c>
      <c r="Z1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3" t="str" cm="1">
        <f t="array" ref="AA17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4" spans="1:27">
      <c r="A174" t="s">
        <v>2592</v>
      </c>
      <c r="B174" t="str">
        <f>_xlfn.XLOOKUP(tblTargetStatus[[#This Row],[TargetID]],tblTargets[TargetID],tblTargets[DisplayName],"")</f>
        <v>Gallery 1 Lv 3</v>
      </c>
      <c r="C174" t="str">
        <f>IF(tblTargetStatus[[#This Row],[PlayerCompleted]],"COMPLETED",IF(tblTargetStatus[[#This Row],[MissingDependencies]]=0,"READY","BLOCKED"))</f>
        <v>BLOCKED</v>
      </c>
      <c r="D1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4" t="str">
        <f>_xlfn.XLOOKUP(tblTargetStatus[[#This Row],[TargetID]],tblTargets[TargetID],tblTargets[TargetType],"")</f>
        <v>COLLECTION</v>
      </c>
      <c r="F174" t="str">
        <f>_xlfn.XLOOKUP(tblTargetStatus[[#This Row],[TargetID]],tblTargets[TargetID],tblTargets[StateType])</f>
        <v/>
      </c>
      <c r="G174">
        <f>_xlfn.LET(
_xlpm.id,tblTargetStatus[[#This Row],[TargetID]],
_xlpm.depCount,COUNTIF(tblDependencies[TargetID],_xlpm.id),
_xlpm.objCount,COUNTIF(tblQuestObjectives[QuestTargetID],_xlpm.id),
_xlpm.depCount+_xlpm.objCount
)</f>
        <v>1</v>
      </c>
      <c r="H174">
        <f>tblTargetStatus[[#This Row],[DependencyCount]]</f>
        <v>1</v>
      </c>
      <c r="I174" cm="1">
        <f t="array" ref="I1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4">
        <f>tblTargetStatus[[#This Row],[CompletedDependencyCount]]</f>
        <v>0</v>
      </c>
      <c r="K174" t="b">
        <f>tblTargetStatus[[#This Row],[CompletedDependencies]]=tblTargetStatus[[#This Row],[TotalDependencies]]</f>
        <v>0</v>
      </c>
      <c r="L174">
        <f>tblTargetStatus[[#This Row],[TotalDependencies]]-tblTargetStatus[[#This Row],[CompletedDependencies]]</f>
        <v>1</v>
      </c>
      <c r="M174" t="str" cm="1">
        <f t="array" ref="M1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collection.gallery_1@2</v>
      </c>
      <c r="N174" t="str">
        <f>IF(tblTargetStatus[[#This Row],[FirstMissingDependencyID]]="","",_xlfn.XLOOKUP(tblTargetStatus[[#This Row],[FirstMissingDependencyID]],tblTargets[TargetID],tblTargets[DisplayName],tblTargetStatus[[#This Row],[FirstMissingDependencyID]]))</f>
        <v>Gallery 1 Lv 2</v>
      </c>
      <c r="O174" t="str" cm="1">
        <f t="array" ref="O1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apy,30 cinnabar,30 mandrake,45 miron,45 reagent,15 titanium</v>
      </c>
      <c r="P174" t="str">
        <f>IF(tblTargetStatus[[#This Row],[FirstMissingDependencyID]]="","",_xlfn.XLOOKUP(tblTargetStatus[[#This Row],[FirstMissingDependencyID]],tblTargetStatus[TargetID],tblTargetStatus[Status],""))</f>
        <v>BLOCKED</v>
      </c>
      <c r="Q174" t="str">
        <f>IF(
 tblTargetStatus[[#This Row],[Status]]&lt;&gt;"BLOCKED",
 tblTargetStatus[[#This Row],[Status]],
 IF(
  AND(
   tblTargetStatus[[#This Row],[MissingDependencies]]=1,
   tblTargetStatus[[#This Row],[FirstMissingStatus]]="READY"
  ),
  "ONE AWAY",
  "BLOCKED"
 )
)</f>
        <v>BLOCKED</v>
      </c>
      <c r="R174">
        <f>IF(
 OR(
  tblTargetStatus[[#This Row],[StateType]]="CHARACTER",
  RIGHT(tblTargetStatus[[#This Row],[TargetID]],6)=".maxed"
 ),
 0,
 _xlfn.LET(
  _xlpm.sort,
   _xlfn.XLOOKUP(
    tblTargetStatus[[#This Row],[TargetID]],
    tblChecklist[TargetID],
    tblChecklist[PlayerSort],
    0
   ),
  IF(_xlpm.sort=0,500,_xlpm.sort)
 )
)</f>
        <v>500</v>
      </c>
      <c r="S174" t="str" cm="1">
        <f t="array" ref="S17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1 Lv 4</v>
      </c>
      <c r="T174" t="str">
        <f>_xlfn.XLOOKUP(tblTargetStatus[[#This Row],[TargetID]],tblTargets[TargetID],tblTargets[CompletionMethod],"")</f>
        <v>PLAYER</v>
      </c>
      <c r="U174" t="b">
        <f>COUNTIF(
    tblCost[TargetID],
    tblTargetStatus[[#This Row],[TargetID]]
)&gt;0</f>
        <v>1</v>
      </c>
      <c r="V174" s="81">
        <f>IF(tblTargetStatus[[#This Row],[HasCost]]=FALSE,
"N/A",
_xlfn.XLOOKUP(
tblTargetStatus[[#This Row],[TargetID]],
tblCost[TargetID],
tblCost[FundingPercent],
""
)
)</f>
        <v>0</v>
      </c>
      <c r="W174">
        <f>IF(
COUNTIF(tblCost[TargetID],tblTargetStatus[[#This Row],[TargetID]])=0,
"",
_xlfn.XLOOKUP(
tblTargetStatus[[#This Row],[TargetID]],
tblCost[TargetID],
tblCost[RemainingRequirements],
""
)
)</f>
        <v>6</v>
      </c>
      <c r="X174" s="79" t="b">
        <f>IF(tblTargetStatus[[#This Row],[HasCost]]=FALSE,"N/A",_xlfn.XLOOKUP(
tblTargetStatus[[#This Row],[TargetID]],
tblCost[TargetID],
tblCost[TargetFunded],
TRUE
))</f>
        <v>0</v>
      </c>
      <c r="Y174" t="str" cm="1">
        <f t="array" ref="Y174">_xlfn.TEXTJOIN(
", ",
TRUE,
_xlfn._xlws.FILTER(
tblCost[ResourceID]&amp;": "&amp;tblCost[QuantityRequired],
(tblCost[TargetID]=tblTargetStatus[[#This Row],[TargetID]])*
(tblCost[PlayerPaid]=FALSE),
""
)
)</f>
        <v>apy: 15, cinnabar: 30, mandrake: 30, miron: 45, reagent: 45, titanium: 15</v>
      </c>
      <c r="Z1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4" t="str" cm="1">
        <f t="array" ref="AA17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5" spans="1:27">
      <c r="A175" t="s">
        <v>2593</v>
      </c>
      <c r="B175" t="str">
        <f>_xlfn.XLOOKUP(tblTargetStatus[[#This Row],[TargetID]],tblTargets[TargetID],tblTargets[DisplayName],"")</f>
        <v>Gallery 1 Lv 4</v>
      </c>
      <c r="C175" t="str">
        <f>IF(tblTargetStatus[[#This Row],[PlayerCompleted]],"COMPLETED",IF(tblTargetStatus[[#This Row],[MissingDependencies]]=0,"READY","BLOCKED"))</f>
        <v>BLOCKED</v>
      </c>
      <c r="D1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5" t="str">
        <f>_xlfn.XLOOKUP(tblTargetStatus[[#This Row],[TargetID]],tblTargets[TargetID],tblTargets[TargetType],"")</f>
        <v>COLLECTION</v>
      </c>
      <c r="F175" t="str">
        <f>_xlfn.XLOOKUP(tblTargetStatus[[#This Row],[TargetID]],tblTargets[TargetID],tblTargets[StateType])</f>
        <v/>
      </c>
      <c r="G175">
        <f>_xlfn.LET(
_xlpm.id,tblTargetStatus[[#This Row],[TargetID]],
_xlpm.depCount,COUNTIF(tblDependencies[TargetID],_xlpm.id),
_xlpm.objCount,COUNTIF(tblQuestObjectives[QuestTargetID],_xlpm.id),
_xlpm.depCount+_xlpm.objCount
)</f>
        <v>1</v>
      </c>
      <c r="H175">
        <f>tblTargetStatus[[#This Row],[DependencyCount]]</f>
        <v>1</v>
      </c>
      <c r="I175" cm="1">
        <f t="array" ref="I1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5">
        <f>tblTargetStatus[[#This Row],[CompletedDependencyCount]]</f>
        <v>0</v>
      </c>
      <c r="K175" t="b">
        <f>tblTargetStatus[[#This Row],[CompletedDependencies]]=tblTargetStatus[[#This Row],[TotalDependencies]]</f>
        <v>0</v>
      </c>
      <c r="L175">
        <f>tblTargetStatus[[#This Row],[TotalDependencies]]-tblTargetStatus[[#This Row],[CompletedDependencies]]</f>
        <v>1</v>
      </c>
      <c r="M175" t="str" cm="1">
        <f t="array" ref="M1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collection.gallery_1@3</v>
      </c>
      <c r="N175" t="str">
        <f>IF(tblTargetStatus[[#This Row],[FirstMissingDependencyID]]="","",_xlfn.XLOOKUP(tblTargetStatus[[#This Row],[FirstMissingDependencyID]],tblTargets[TargetID],tblTargets[DisplayName],tblTargetStatus[[#This Row],[FirstMissingDependencyID]]))</f>
        <v>Gallery 1 Lv 3</v>
      </c>
      <c r="O175" t="str" cm="1">
        <f t="array" ref="O1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apy,40 cinnabar,40 mandrake,60 miron,60 reagent,20 titanium</v>
      </c>
      <c r="P175" t="str">
        <f>IF(tblTargetStatus[[#This Row],[FirstMissingDependencyID]]="","",_xlfn.XLOOKUP(tblTargetStatus[[#This Row],[FirstMissingDependencyID]],tblTargetStatus[TargetID],tblTargetStatus[Status],""))</f>
        <v>BLOCKED</v>
      </c>
      <c r="Q175" t="str">
        <f>IF(
 tblTargetStatus[[#This Row],[Status]]&lt;&gt;"BLOCKED",
 tblTargetStatus[[#This Row],[Status]],
 IF(
  AND(
   tblTargetStatus[[#This Row],[MissingDependencies]]=1,
   tblTargetStatus[[#This Row],[FirstMissingStatus]]="READY"
  ),
  "ONE AWAY",
  "BLOCKED"
 )
)</f>
        <v>BLOCKED</v>
      </c>
      <c r="R175">
        <f>IF(
 OR(
  tblTargetStatus[[#This Row],[StateType]]="CHARACTER",
  RIGHT(tblTargetStatus[[#This Row],[TargetID]],6)=".maxed"
 ),
 0,
 _xlfn.LET(
  _xlpm.sort,
   _xlfn.XLOOKUP(
    tblTargetStatus[[#This Row],[TargetID]],
    tblChecklist[TargetID],
    tblChecklist[PlayerSort],
    0
   ),
  IF(_xlpm.sort=0,500,_xlpm.sort)
 )
)</f>
        <v>500</v>
      </c>
      <c r="S175" t="str" cm="1">
        <f t="array" ref="S17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1 Lv 5</v>
      </c>
      <c r="T175" t="str">
        <f>_xlfn.XLOOKUP(tblTargetStatus[[#This Row],[TargetID]],tblTargets[TargetID],tblTargets[CompletionMethod],"")</f>
        <v>PLAYER</v>
      </c>
      <c r="U175" t="b">
        <f>COUNTIF(
    tblCost[TargetID],
    tblTargetStatus[[#This Row],[TargetID]]
)&gt;0</f>
        <v>1</v>
      </c>
      <c r="V175" s="81">
        <f>IF(tblTargetStatus[[#This Row],[HasCost]]=FALSE,
"N/A",
_xlfn.XLOOKUP(
tblTargetStatus[[#This Row],[TargetID]],
tblCost[TargetID],
tblCost[FundingPercent],
""
)
)</f>
        <v>0</v>
      </c>
      <c r="W175">
        <f>IF(
COUNTIF(tblCost[TargetID],tblTargetStatus[[#This Row],[TargetID]])=0,
"",
_xlfn.XLOOKUP(
tblTargetStatus[[#This Row],[TargetID]],
tblCost[TargetID],
tblCost[RemainingRequirements],
""
)
)</f>
        <v>6</v>
      </c>
      <c r="X175" s="79" t="b">
        <f>IF(tblTargetStatus[[#This Row],[HasCost]]=FALSE,"N/A",_xlfn.XLOOKUP(
tblTargetStatus[[#This Row],[TargetID]],
tblCost[TargetID],
tblCost[TargetFunded],
TRUE
))</f>
        <v>0</v>
      </c>
      <c r="Y175" t="str" cm="1">
        <f t="array" ref="Y175">_xlfn.TEXTJOIN(
", ",
TRUE,
_xlfn._xlws.FILTER(
tblCost[ResourceID]&amp;": "&amp;tblCost[QuantityRequired],
(tblCost[TargetID]=tblTargetStatus[[#This Row],[TargetID]])*
(tblCost[PlayerPaid]=FALSE),
""
)
)</f>
        <v>apy: 20, cinnabar: 40, mandrake: 40, miron: 60, reagent: 60, titanium: 20</v>
      </c>
      <c r="Z1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5" t="str" cm="1">
        <f t="array" ref="AA17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6" spans="1:27">
      <c r="A176" t="s">
        <v>2594</v>
      </c>
      <c r="B176" t="str">
        <f>_xlfn.XLOOKUP(tblTargetStatus[[#This Row],[TargetID]],tblTargets[TargetID],tblTargets[DisplayName],"")</f>
        <v>Gallery 1 Lv 5</v>
      </c>
      <c r="C176" t="str">
        <f>IF(tblTargetStatus[[#This Row],[PlayerCompleted]],"COMPLETED",IF(tblTargetStatus[[#This Row],[MissingDependencies]]=0,"READY","BLOCKED"))</f>
        <v>BLOCKED</v>
      </c>
      <c r="D1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6" t="str">
        <f>_xlfn.XLOOKUP(tblTargetStatus[[#This Row],[TargetID]],tblTargets[TargetID],tblTargets[TargetType],"")</f>
        <v>COLLECTION</v>
      </c>
      <c r="F176" t="str">
        <f>_xlfn.XLOOKUP(tblTargetStatus[[#This Row],[TargetID]],tblTargets[TargetID],tblTargets[StateType])</f>
        <v/>
      </c>
      <c r="G176">
        <f>_xlfn.LET(
_xlpm.id,tblTargetStatus[[#This Row],[TargetID]],
_xlpm.depCount,COUNTIF(tblDependencies[TargetID],_xlpm.id),
_xlpm.objCount,COUNTIF(tblQuestObjectives[QuestTargetID],_xlpm.id),
_xlpm.depCount+_xlpm.objCount
)</f>
        <v>1</v>
      </c>
      <c r="H176">
        <f>tblTargetStatus[[#This Row],[DependencyCount]]</f>
        <v>1</v>
      </c>
      <c r="I176" cm="1">
        <f t="array" ref="I1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6">
        <f>tblTargetStatus[[#This Row],[CompletedDependencyCount]]</f>
        <v>0</v>
      </c>
      <c r="K176" t="b">
        <f>tblTargetStatus[[#This Row],[CompletedDependencies]]=tblTargetStatus[[#This Row],[TotalDependencies]]</f>
        <v>0</v>
      </c>
      <c r="L176">
        <f>tblTargetStatus[[#This Row],[TotalDependencies]]-tblTargetStatus[[#This Row],[CompletedDependencies]]</f>
        <v>1</v>
      </c>
      <c r="M176" t="str" cm="1">
        <f t="array" ref="M1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collection.gallery_1@4</v>
      </c>
      <c r="N176" t="str">
        <f>IF(tblTargetStatus[[#This Row],[FirstMissingDependencyID]]="","",_xlfn.XLOOKUP(tblTargetStatus[[#This Row],[FirstMissingDependencyID]],tblTargets[TargetID],tblTargets[DisplayName],tblTargetStatus[[#This Row],[FirstMissingDependencyID]]))</f>
        <v>Gallery 1 Lv 4</v>
      </c>
      <c r="O176" t="str" cm="1">
        <f t="array" ref="O1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25 apy,50 cinnabar,50 mandrake,75 miron,75 reagent,25 titanium</v>
      </c>
      <c r="P176" t="str">
        <f>IF(tblTargetStatus[[#This Row],[FirstMissingDependencyID]]="","",_xlfn.XLOOKUP(tblTargetStatus[[#This Row],[FirstMissingDependencyID]],tblTargetStatus[TargetID],tblTargetStatus[Status],""))</f>
        <v>BLOCKED</v>
      </c>
      <c r="Q176" t="str">
        <f>IF(
 tblTargetStatus[[#This Row],[Status]]&lt;&gt;"BLOCKED",
 tblTargetStatus[[#This Row],[Status]],
 IF(
  AND(
   tblTargetStatus[[#This Row],[MissingDependencies]]=1,
   tblTargetStatus[[#This Row],[FirstMissingStatus]]="READY"
  ),
  "ONE AWAY",
  "BLOCKED"
 )
)</f>
        <v>BLOCKED</v>
      </c>
      <c r="R176">
        <f>IF(
 OR(
  tblTargetStatus[[#This Row],[StateType]]="CHARACTER",
  RIGHT(tblTargetStatus[[#This Row],[TargetID]],6)=".maxed"
 ),
 0,
 _xlfn.LET(
  _xlpm.sort,
   _xlfn.XLOOKUP(
    tblTargetStatus[[#This Row],[TargetID]],
    tblChecklist[TargetID],
    tblChecklist[PlayerSort],
    0
   ),
  IF(_xlpm.sort=0,500,_xlpm.sort)
 )
)</f>
        <v>500</v>
      </c>
      <c r="S176" t="str" cm="1">
        <f t="array" ref="S17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76" t="str">
        <f>_xlfn.XLOOKUP(tblTargetStatus[[#This Row],[TargetID]],tblTargets[TargetID],tblTargets[CompletionMethod],"")</f>
        <v>PLAYER</v>
      </c>
      <c r="U176" t="b">
        <f>COUNTIF(
    tblCost[TargetID],
    tblTargetStatus[[#This Row],[TargetID]]
)&gt;0</f>
        <v>1</v>
      </c>
      <c r="V176" s="81">
        <f>IF(tblTargetStatus[[#This Row],[HasCost]]=FALSE,
"N/A",
_xlfn.XLOOKUP(
tblTargetStatus[[#This Row],[TargetID]],
tblCost[TargetID],
tblCost[FundingPercent],
""
)
)</f>
        <v>0</v>
      </c>
      <c r="W176">
        <f>IF(
COUNTIF(tblCost[TargetID],tblTargetStatus[[#This Row],[TargetID]])=0,
"",
_xlfn.XLOOKUP(
tblTargetStatus[[#This Row],[TargetID]],
tblCost[TargetID],
tblCost[RemainingRequirements],
""
)
)</f>
        <v>6</v>
      </c>
      <c r="X176" s="79" t="b">
        <f>IF(tblTargetStatus[[#This Row],[HasCost]]=FALSE,"N/A",_xlfn.XLOOKUP(
tblTargetStatus[[#This Row],[TargetID]],
tblCost[TargetID],
tblCost[TargetFunded],
TRUE
))</f>
        <v>0</v>
      </c>
      <c r="Y176" t="str" cm="1">
        <f t="array" ref="Y176">_xlfn.TEXTJOIN(
", ",
TRUE,
_xlfn._xlws.FILTER(
tblCost[ResourceID]&amp;": "&amp;tblCost[QuantityRequired],
(tblCost[TargetID]=tblTargetStatus[[#This Row],[TargetID]])*
(tblCost[PlayerPaid]=FALSE),
""
)
)</f>
        <v>apy: 25, cinnabar: 50, mandrake: 50, miron: 75, reagent: 75, titanium: 25</v>
      </c>
      <c r="Z1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6" t="str" cm="1">
        <f t="array" ref="AA17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7" spans="1:27">
      <c r="A177" t="s">
        <v>2595</v>
      </c>
      <c r="B177" t="str">
        <f>_xlfn.XLOOKUP(tblTargetStatus[[#This Row],[TargetID]],tblTargets[TargetID],tblTargets[DisplayName],"")</f>
        <v>Gallery 2 Lv 1</v>
      </c>
      <c r="C177" t="str">
        <f>IF(tblTargetStatus[[#This Row],[PlayerCompleted]],"COMPLETED",IF(tblTargetStatus[[#This Row],[MissingDependencies]]=0,"READY","BLOCKED"))</f>
        <v>BLOCKED</v>
      </c>
      <c r="D1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7" t="str">
        <f>_xlfn.XLOOKUP(tblTargetStatus[[#This Row],[TargetID]],tblTargets[TargetID],tblTargets[TargetType],"")</f>
        <v>COLLECTION</v>
      </c>
      <c r="F177" t="str">
        <f>_xlfn.XLOOKUP(tblTargetStatus[[#This Row],[TargetID]],tblTargets[TargetID],tblTargets[StateType])</f>
        <v/>
      </c>
      <c r="G177">
        <f>_xlfn.LET(
_xlpm.id,tblTargetStatus[[#This Row],[TargetID]],
_xlpm.depCount,COUNTIF(tblDependencies[TargetID],_xlpm.id),
_xlpm.objCount,COUNTIF(tblQuestObjectives[QuestTargetID],_xlpm.id),
_xlpm.depCount+_xlpm.objCount
)</f>
        <v>1</v>
      </c>
      <c r="H177">
        <f>tblTargetStatus[[#This Row],[DependencyCount]]</f>
        <v>1</v>
      </c>
      <c r="I177" cm="1">
        <f t="array" ref="I1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7">
        <f>tblTargetStatus[[#This Row],[CompletedDependencyCount]]</f>
        <v>0</v>
      </c>
      <c r="K177" t="b">
        <f>tblTargetStatus[[#This Row],[CompletedDependencies]]=tblTargetStatus[[#This Row],[TotalDependencies]]</f>
        <v>0</v>
      </c>
      <c r="L177">
        <f>tblTargetStatus[[#This Row],[TotalDependencies]]-tblTargetStatus[[#This Row],[CompletedDependencies]]</f>
        <v>1</v>
      </c>
      <c r="M177" t="str" cm="1">
        <f t="array" ref="M1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citadel.gallery</v>
      </c>
      <c r="N177" t="str">
        <f>IF(tblTargetStatus[[#This Row],[FirstMissingDependencyID]]="","",_xlfn.XLOOKUP(tblTargetStatus[[#This Row],[FirstMissingDependencyID]],tblTargets[TargetID],tblTargets[DisplayName],tblTargetStatus[[#This Row],[FirstMissingDependencyID]]))</f>
        <v>Gallery</v>
      </c>
      <c r="O177" s="2" t="str" cm="1">
        <f t="array" ref="O1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hide,1 horn,3 teeth</v>
      </c>
      <c r="P177" t="str">
        <f>IF(tblTargetStatus[[#This Row],[FirstMissingDependencyID]]="","",_xlfn.XLOOKUP(tblTargetStatus[[#This Row],[FirstMissingDependencyID]],tblTargetStatus[TargetID],tblTargetStatus[Status],""))</f>
        <v>BLOCKED</v>
      </c>
      <c r="Q177" t="str">
        <f>IF(
 tblTargetStatus[[#This Row],[Status]]&lt;&gt;"BLOCKED",
 tblTargetStatus[[#This Row],[Status]],
 IF(
  AND(
   tblTargetStatus[[#This Row],[MissingDependencies]]=1,
   tblTargetStatus[[#This Row],[FirstMissingStatus]]="READY"
  ),
  "ONE AWAY",
  "BLOCKED"
 )
)</f>
        <v>BLOCKED</v>
      </c>
      <c r="R177">
        <f>IF(
 OR(
  tblTargetStatus[[#This Row],[StateType]]="CHARACTER",
  RIGHT(tblTargetStatus[[#This Row],[TargetID]],6)=".maxed"
 ),
 0,
 _xlfn.LET(
  _xlpm.sort,
   _xlfn.XLOOKUP(
    tblTargetStatus[[#This Row],[TargetID]],
    tblChecklist[TargetID],
    tblChecklist[PlayerSort],
    0
   ),
  IF(_xlpm.sort=0,500,_xlpm.sort)
 )
)</f>
        <v>500</v>
      </c>
      <c r="S177" t="str" cm="1">
        <f t="array" ref="S17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2 Lv 2</v>
      </c>
      <c r="T177" t="str">
        <f>_xlfn.XLOOKUP(tblTargetStatus[[#This Row],[TargetID]],tblTargets[TargetID],tblTargets[CompletionMethod],"")</f>
        <v>PLAYER</v>
      </c>
      <c r="U177" t="b">
        <f>COUNTIF(
    tblCost[TargetID],
    tblTargetStatus[[#This Row],[TargetID]]
)&gt;0</f>
        <v>1</v>
      </c>
      <c r="V177" s="81">
        <f>IF(tblTargetStatus[[#This Row],[HasCost]]=FALSE,
"N/A",
_xlfn.XLOOKUP(
tblTargetStatus[[#This Row],[TargetID]],
tblCost[TargetID],
tblCost[FundingPercent],
""
)
)</f>
        <v>0</v>
      </c>
      <c r="W177">
        <f>IF(
COUNTIF(tblCost[TargetID],tblTargetStatus[[#This Row],[TargetID]])=0,
"",
_xlfn.XLOOKUP(
tblTargetStatus[[#This Row],[TargetID]],
tblCost[TargetID],
tblCost[RemainingRequirements],
""
)
)</f>
        <v>3</v>
      </c>
      <c r="X177" s="79" t="b">
        <f>IF(tblTargetStatus[[#This Row],[HasCost]]=FALSE,"N/A",_xlfn.XLOOKUP(
tblTargetStatus[[#This Row],[TargetID]],
tblCost[TargetID],
tblCost[TargetFunded],
TRUE
))</f>
        <v>0</v>
      </c>
      <c r="Y177" t="str" cm="1">
        <f t="array" ref="Y177">_xlfn.TEXTJOIN(
", ",
TRUE,
_xlfn._xlws.FILTER(
tblCost[ResourceID]&amp;": "&amp;tblCost[QuantityRequired],
(tblCost[TargetID]=tblTargetStatus[[#This Row],[TargetID]])*
(tblCost[PlayerPaid]=FALSE),
""
)
)</f>
        <v>hide: 3, horn: 1, teeth: 3</v>
      </c>
      <c r="Z1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7" t="str" cm="1">
        <f t="array" ref="AA17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8" spans="1:27">
      <c r="A178" t="s">
        <v>2596</v>
      </c>
      <c r="B178" t="str">
        <f>_xlfn.XLOOKUP(tblTargetStatus[[#This Row],[TargetID]],tblTargets[TargetID],tblTargets[DisplayName],"")</f>
        <v>Gallery 2 Lv 2</v>
      </c>
      <c r="C178" t="str">
        <f>IF(tblTargetStatus[[#This Row],[PlayerCompleted]],"COMPLETED",IF(tblTargetStatus[[#This Row],[MissingDependencies]]=0,"READY","BLOCKED"))</f>
        <v>BLOCKED</v>
      </c>
      <c r="D1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8" t="str">
        <f>_xlfn.XLOOKUP(tblTargetStatus[[#This Row],[TargetID]],tblTargets[TargetID],tblTargets[TargetType],"")</f>
        <v>COLLECTION</v>
      </c>
      <c r="F178" t="str">
        <f>_xlfn.XLOOKUP(tblTargetStatus[[#This Row],[TargetID]],tblTargets[TargetID],tblTargets[StateType])</f>
        <v/>
      </c>
      <c r="G178">
        <f>_xlfn.LET(
_xlpm.id,tblTargetStatus[[#This Row],[TargetID]],
_xlpm.depCount,COUNTIF(tblDependencies[TargetID],_xlpm.id),
_xlpm.objCount,COUNTIF(tblQuestObjectives[QuestTargetID],_xlpm.id),
_xlpm.depCount+_xlpm.objCount
)</f>
        <v>1</v>
      </c>
      <c r="H178">
        <f>tblTargetStatus[[#This Row],[DependencyCount]]</f>
        <v>1</v>
      </c>
      <c r="I178" cm="1">
        <f t="array" ref="I1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8">
        <f>tblTargetStatus[[#This Row],[CompletedDependencyCount]]</f>
        <v>0</v>
      </c>
      <c r="K178" t="b">
        <f>tblTargetStatus[[#This Row],[CompletedDependencies]]=tblTargetStatus[[#This Row],[TotalDependencies]]</f>
        <v>0</v>
      </c>
      <c r="L178">
        <f>tblTargetStatus[[#This Row],[TotalDependencies]]-tblTargetStatus[[#This Row],[CompletedDependencies]]</f>
        <v>1</v>
      </c>
      <c r="M178" t="str" cm="1">
        <f t="array" ref="M1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collection.gallery_2@1</v>
      </c>
      <c r="N178" t="str">
        <f>IF(tblTargetStatus[[#This Row],[FirstMissingDependencyID]]="","",_xlfn.XLOOKUP(tblTargetStatus[[#This Row],[FirstMissingDependencyID]],tblTargets[TargetID],tblTargets[DisplayName],tblTargetStatus[[#This Row],[FirstMissingDependencyID]]))</f>
        <v>Gallery 2 Lv 1</v>
      </c>
      <c r="O178" t="str" cm="1">
        <f t="array" ref="O1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hide,2 horn,6 teeth</v>
      </c>
      <c r="P178" t="str">
        <f>IF(tblTargetStatus[[#This Row],[FirstMissingDependencyID]]="","",_xlfn.XLOOKUP(tblTargetStatus[[#This Row],[FirstMissingDependencyID]],tblTargetStatus[TargetID],tblTargetStatus[Status],""))</f>
        <v>BLOCKED</v>
      </c>
      <c r="Q178" t="str">
        <f>IF(
 tblTargetStatus[[#This Row],[Status]]&lt;&gt;"BLOCKED",
 tblTargetStatus[[#This Row],[Status]],
 IF(
  AND(
   tblTargetStatus[[#This Row],[MissingDependencies]]=1,
   tblTargetStatus[[#This Row],[FirstMissingStatus]]="READY"
  ),
  "ONE AWAY",
  "BLOCKED"
 )
)</f>
        <v>BLOCKED</v>
      </c>
      <c r="R178">
        <f>IF(
 OR(
  tblTargetStatus[[#This Row],[StateType]]="CHARACTER",
  RIGHT(tblTargetStatus[[#This Row],[TargetID]],6)=".maxed"
 ),
 0,
 _xlfn.LET(
  _xlpm.sort,
   _xlfn.XLOOKUP(
    tblTargetStatus[[#This Row],[TargetID]],
    tblChecklist[TargetID],
    tblChecklist[PlayerSort],
    0
   ),
  IF(_xlpm.sort=0,500,_xlpm.sort)
 )
)</f>
        <v>500</v>
      </c>
      <c r="S178" t="str" cm="1">
        <f t="array" ref="S17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2 Lv 3</v>
      </c>
      <c r="T178" t="str">
        <f>_xlfn.XLOOKUP(tblTargetStatus[[#This Row],[TargetID]],tblTargets[TargetID],tblTargets[CompletionMethod],"")</f>
        <v>PLAYER</v>
      </c>
      <c r="U178" t="b">
        <f>COUNTIF(
    tblCost[TargetID],
    tblTargetStatus[[#This Row],[TargetID]]
)&gt;0</f>
        <v>1</v>
      </c>
      <c r="V178" s="81">
        <f>IF(tblTargetStatus[[#This Row],[HasCost]]=FALSE,
"N/A",
_xlfn.XLOOKUP(
tblTargetStatus[[#This Row],[TargetID]],
tblCost[TargetID],
tblCost[FundingPercent],
""
)
)</f>
        <v>0</v>
      </c>
      <c r="W178">
        <f>IF(
COUNTIF(tblCost[TargetID],tblTargetStatus[[#This Row],[TargetID]])=0,
"",
_xlfn.XLOOKUP(
tblTargetStatus[[#This Row],[TargetID]],
tblCost[TargetID],
tblCost[RemainingRequirements],
""
)
)</f>
        <v>3</v>
      </c>
      <c r="X178" s="79" t="b">
        <f>IF(tblTargetStatus[[#This Row],[HasCost]]=FALSE,"N/A",_xlfn.XLOOKUP(
tblTargetStatus[[#This Row],[TargetID]],
tblCost[TargetID],
tblCost[TargetFunded],
TRUE
))</f>
        <v>0</v>
      </c>
      <c r="Y178" t="str" cm="1">
        <f t="array" ref="Y178">_xlfn.TEXTJOIN(
", ",
TRUE,
_xlfn._xlws.FILTER(
tblCost[ResourceID]&amp;": "&amp;tblCost[QuantityRequired],
(tblCost[TargetID]=tblTargetStatus[[#This Row],[TargetID]])*
(tblCost[PlayerPaid]=FALSE),
""
)
)</f>
        <v>hide: 6, horn: 2, teeth: 6</v>
      </c>
      <c r="Z1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8" t="str" cm="1">
        <f t="array" ref="AA17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79" spans="1:27">
      <c r="A179" t="s">
        <v>2597</v>
      </c>
      <c r="B179" t="str">
        <f>_xlfn.XLOOKUP(tblTargetStatus[[#This Row],[TargetID]],tblTargets[TargetID],tblTargets[DisplayName],"")</f>
        <v>Gallery 2 Lv 3</v>
      </c>
      <c r="C179" t="str">
        <f>IF(tblTargetStatus[[#This Row],[PlayerCompleted]],"COMPLETED",IF(tblTargetStatus[[#This Row],[MissingDependencies]]=0,"READY","BLOCKED"))</f>
        <v>BLOCKED</v>
      </c>
      <c r="D1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9" t="str">
        <f>_xlfn.XLOOKUP(tblTargetStatus[[#This Row],[TargetID]],tblTargets[TargetID],tblTargets[TargetType],"")</f>
        <v>COLLECTION</v>
      </c>
      <c r="F179" t="str">
        <f>_xlfn.XLOOKUP(tblTargetStatus[[#This Row],[TargetID]],tblTargets[TargetID],tblTargets[StateType])</f>
        <v/>
      </c>
      <c r="G179">
        <f>_xlfn.LET(
_xlpm.id,tblTargetStatus[[#This Row],[TargetID]],
_xlpm.depCount,COUNTIF(tblDependencies[TargetID],_xlpm.id),
_xlpm.objCount,COUNTIF(tblQuestObjectives[QuestTargetID],_xlpm.id),
_xlpm.depCount+_xlpm.objCount
)</f>
        <v>1</v>
      </c>
      <c r="H179">
        <f>tblTargetStatus[[#This Row],[DependencyCount]]</f>
        <v>1</v>
      </c>
      <c r="I179" cm="1">
        <f t="array" ref="I1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9">
        <f>tblTargetStatus[[#This Row],[CompletedDependencyCount]]</f>
        <v>0</v>
      </c>
      <c r="K179" t="b">
        <f>tblTargetStatus[[#This Row],[CompletedDependencies]]=tblTargetStatus[[#This Row],[TotalDependencies]]</f>
        <v>0</v>
      </c>
      <c r="L179">
        <f>tblTargetStatus[[#This Row],[TotalDependencies]]-tblTargetStatus[[#This Row],[CompletedDependencies]]</f>
        <v>1</v>
      </c>
      <c r="M179" t="str" cm="1">
        <f t="array" ref="M1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collection.gallery_2@2</v>
      </c>
      <c r="N179" t="str">
        <f>IF(tblTargetStatus[[#This Row],[FirstMissingDependencyID]]="","",_xlfn.XLOOKUP(tblTargetStatus[[#This Row],[FirstMissingDependencyID]],tblTargets[TargetID],tblTargets[DisplayName],tblTargetStatus[[#This Row],[FirstMissingDependencyID]]))</f>
        <v>Gallery 2 Lv 2</v>
      </c>
      <c r="O179" t="str" cm="1">
        <f t="array" ref="O1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hide,3 horn,9 teeth</v>
      </c>
      <c r="P179" t="str">
        <f>IF(tblTargetStatus[[#This Row],[FirstMissingDependencyID]]="","",_xlfn.XLOOKUP(tblTargetStatus[[#This Row],[FirstMissingDependencyID]],tblTargetStatus[TargetID],tblTargetStatus[Status],""))</f>
        <v>BLOCKED</v>
      </c>
      <c r="Q179" t="str">
        <f>IF(
 tblTargetStatus[[#This Row],[Status]]&lt;&gt;"BLOCKED",
 tblTargetStatus[[#This Row],[Status]],
 IF(
  AND(
   tblTargetStatus[[#This Row],[MissingDependencies]]=1,
   tblTargetStatus[[#This Row],[FirstMissingStatus]]="READY"
  ),
  "ONE AWAY",
  "BLOCKED"
 )
)</f>
        <v>BLOCKED</v>
      </c>
      <c r="R179">
        <f>IF(
 OR(
  tblTargetStatus[[#This Row],[StateType]]="CHARACTER",
  RIGHT(tblTargetStatus[[#This Row],[TargetID]],6)=".maxed"
 ),
 0,
 _xlfn.LET(
  _xlpm.sort,
   _xlfn.XLOOKUP(
    tblTargetStatus[[#This Row],[TargetID]],
    tblChecklist[TargetID],
    tblChecklist[PlayerSort],
    0
   ),
  IF(_xlpm.sort=0,500,_xlpm.sort)
 )
)</f>
        <v>500</v>
      </c>
      <c r="S179" t="str" cm="1">
        <f t="array" ref="S17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2 Lv 4</v>
      </c>
      <c r="T179" t="str">
        <f>_xlfn.XLOOKUP(tblTargetStatus[[#This Row],[TargetID]],tblTargets[TargetID],tblTargets[CompletionMethod],"")</f>
        <v>PLAYER</v>
      </c>
      <c r="U179" t="b">
        <f>COUNTIF(
    tblCost[TargetID],
    tblTargetStatus[[#This Row],[TargetID]]
)&gt;0</f>
        <v>1</v>
      </c>
      <c r="V179" s="81">
        <f>IF(tblTargetStatus[[#This Row],[HasCost]]=FALSE,
"N/A",
_xlfn.XLOOKUP(
tblTargetStatus[[#This Row],[TargetID]],
tblCost[TargetID],
tblCost[FundingPercent],
""
)
)</f>
        <v>0</v>
      </c>
      <c r="W179">
        <f>IF(
COUNTIF(tblCost[TargetID],tblTargetStatus[[#This Row],[TargetID]])=0,
"",
_xlfn.XLOOKUP(
tblTargetStatus[[#This Row],[TargetID]],
tblCost[TargetID],
tblCost[RemainingRequirements],
""
)
)</f>
        <v>3</v>
      </c>
      <c r="X179" s="79" t="b">
        <f>IF(tblTargetStatus[[#This Row],[HasCost]]=FALSE,"N/A",_xlfn.XLOOKUP(
tblTargetStatus[[#This Row],[TargetID]],
tblCost[TargetID],
tblCost[TargetFunded],
TRUE
))</f>
        <v>0</v>
      </c>
      <c r="Y179" t="str" cm="1">
        <f t="array" ref="Y179">_xlfn.TEXTJOIN(
", ",
TRUE,
_xlfn._xlws.FILTER(
tblCost[ResourceID]&amp;": "&amp;tblCost[QuantityRequired],
(tblCost[TargetID]=tblTargetStatus[[#This Row],[TargetID]])*
(tblCost[PlayerPaid]=FALSE),
""
)
)</f>
        <v>hide: 9, horn: 3, teeth: 9</v>
      </c>
      <c r="Z1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9" t="str" cm="1">
        <f t="array" ref="AA17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0" spans="1:27">
      <c r="A180" t="s">
        <v>2598</v>
      </c>
      <c r="B180" t="str">
        <f>_xlfn.XLOOKUP(tblTargetStatus[[#This Row],[TargetID]],tblTargets[TargetID],tblTargets[DisplayName],"")</f>
        <v>Gallery 2 Lv 4</v>
      </c>
      <c r="C180" t="str">
        <f>IF(tblTargetStatus[[#This Row],[PlayerCompleted]],"COMPLETED",IF(tblTargetStatus[[#This Row],[MissingDependencies]]=0,"READY","BLOCKED"))</f>
        <v>BLOCKED</v>
      </c>
      <c r="D1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0" t="str">
        <f>_xlfn.XLOOKUP(tblTargetStatus[[#This Row],[TargetID]],tblTargets[TargetID],tblTargets[TargetType],"")</f>
        <v>COLLECTION</v>
      </c>
      <c r="F180" t="str">
        <f>_xlfn.XLOOKUP(tblTargetStatus[[#This Row],[TargetID]],tblTargets[TargetID],tblTargets[StateType])</f>
        <v/>
      </c>
      <c r="G180">
        <f>_xlfn.LET(
_xlpm.id,tblTargetStatus[[#This Row],[TargetID]],
_xlpm.depCount,COUNTIF(tblDependencies[TargetID],_xlpm.id),
_xlpm.objCount,COUNTIF(tblQuestObjectives[QuestTargetID],_xlpm.id),
_xlpm.depCount+_xlpm.objCount
)</f>
        <v>1</v>
      </c>
      <c r="H180">
        <f>tblTargetStatus[[#This Row],[DependencyCount]]</f>
        <v>1</v>
      </c>
      <c r="I180" cm="1">
        <f t="array" ref="I1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0">
        <f>tblTargetStatus[[#This Row],[CompletedDependencyCount]]</f>
        <v>0</v>
      </c>
      <c r="K180" t="b">
        <f>tblTargetStatus[[#This Row],[CompletedDependencies]]=tblTargetStatus[[#This Row],[TotalDependencies]]</f>
        <v>0</v>
      </c>
      <c r="L180">
        <f>tblTargetStatus[[#This Row],[TotalDependencies]]-tblTargetStatus[[#This Row],[CompletedDependencies]]</f>
        <v>1</v>
      </c>
      <c r="M180" t="str" cm="1">
        <f t="array" ref="M1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collection.gallery_2@3</v>
      </c>
      <c r="N180" t="str">
        <f>IF(tblTargetStatus[[#This Row],[FirstMissingDependencyID]]="","",_xlfn.XLOOKUP(tblTargetStatus[[#This Row],[FirstMissingDependencyID]],tblTargets[TargetID],tblTargets[DisplayName],tblTargetStatus[[#This Row],[FirstMissingDependencyID]]))</f>
        <v>Gallery 2 Lv 3</v>
      </c>
      <c r="O180" t="str" cm="1">
        <f t="array" ref="O1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12 hide,4 horn,12 teeth</v>
      </c>
      <c r="P180" t="str">
        <f>IF(tblTargetStatus[[#This Row],[FirstMissingDependencyID]]="","",_xlfn.XLOOKUP(tblTargetStatus[[#This Row],[FirstMissingDependencyID]],tblTargetStatus[TargetID],tblTargetStatus[Status],""))</f>
        <v>BLOCKED</v>
      </c>
      <c r="Q180" t="str">
        <f>IF(
 tblTargetStatus[[#This Row],[Status]]&lt;&gt;"BLOCKED",
 tblTargetStatus[[#This Row],[Status]],
 IF(
  AND(
   tblTargetStatus[[#This Row],[MissingDependencies]]=1,
   tblTargetStatus[[#This Row],[FirstMissingStatus]]="READY"
  ),
  "ONE AWAY",
  "BLOCKED"
 )
)</f>
        <v>BLOCKED</v>
      </c>
      <c r="R180">
        <f>IF(
 OR(
  tblTargetStatus[[#This Row],[StateType]]="CHARACTER",
  RIGHT(tblTargetStatus[[#This Row],[TargetID]],6)=".maxed"
 ),
 0,
 _xlfn.LET(
  _xlpm.sort,
   _xlfn.XLOOKUP(
    tblTargetStatus[[#This Row],[TargetID]],
    tblChecklist[TargetID],
    tblChecklist[PlayerSort],
    0
   ),
  IF(_xlpm.sort=0,500,_xlpm.sort)
 )
)</f>
        <v>500</v>
      </c>
      <c r="S180" t="str" cm="1">
        <f t="array" ref="S18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2 Lv 5</v>
      </c>
      <c r="T180" t="str">
        <f>_xlfn.XLOOKUP(tblTargetStatus[[#This Row],[TargetID]],tblTargets[TargetID],tblTargets[CompletionMethod],"")</f>
        <v>PLAYER</v>
      </c>
      <c r="U180" t="b">
        <f>COUNTIF(
    tblCost[TargetID],
    tblTargetStatus[[#This Row],[TargetID]]
)&gt;0</f>
        <v>1</v>
      </c>
      <c r="V180" s="81">
        <f>IF(tblTargetStatus[[#This Row],[HasCost]]=FALSE,
"N/A",
_xlfn.XLOOKUP(
tblTargetStatus[[#This Row],[TargetID]],
tblCost[TargetID],
tblCost[FundingPercent],
""
)
)</f>
        <v>0</v>
      </c>
      <c r="W180">
        <f>IF(
COUNTIF(tblCost[TargetID],tblTargetStatus[[#This Row],[TargetID]])=0,
"",
_xlfn.XLOOKUP(
tblTargetStatus[[#This Row],[TargetID]],
tblCost[TargetID],
tblCost[RemainingRequirements],
""
)
)</f>
        <v>3</v>
      </c>
      <c r="X180" s="79" t="b">
        <f>IF(tblTargetStatus[[#This Row],[HasCost]]=FALSE,"N/A",_xlfn.XLOOKUP(
tblTargetStatus[[#This Row],[TargetID]],
tblCost[TargetID],
tblCost[TargetFunded],
TRUE
))</f>
        <v>0</v>
      </c>
      <c r="Y180" t="str" cm="1">
        <f t="array" ref="Y180">_xlfn.TEXTJOIN(
", ",
TRUE,
_xlfn._xlws.FILTER(
tblCost[ResourceID]&amp;": "&amp;tblCost[QuantityRequired],
(tblCost[TargetID]=tblTargetStatus[[#This Row],[TargetID]])*
(tblCost[PlayerPaid]=FALSE),
""
)
)</f>
        <v>hide: 12, horn: 4, teeth: 12</v>
      </c>
      <c r="Z1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0" t="str" cm="1">
        <f t="array" ref="AA18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1" spans="1:27">
      <c r="A181" t="s">
        <v>2599</v>
      </c>
      <c r="B181" t="str">
        <f>_xlfn.XLOOKUP(tblTargetStatus[[#This Row],[TargetID]],tblTargets[TargetID],tblTargets[DisplayName],"")</f>
        <v>Gallery 2 Lv 5</v>
      </c>
      <c r="C181" t="str">
        <f>IF(tblTargetStatus[[#This Row],[PlayerCompleted]],"COMPLETED",IF(tblTargetStatus[[#This Row],[MissingDependencies]]=0,"READY","BLOCKED"))</f>
        <v>BLOCKED</v>
      </c>
      <c r="D1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1" t="str">
        <f>_xlfn.XLOOKUP(tblTargetStatus[[#This Row],[TargetID]],tblTargets[TargetID],tblTargets[TargetType],"")</f>
        <v>COLLECTION</v>
      </c>
      <c r="F181" t="str">
        <f>_xlfn.XLOOKUP(tblTargetStatus[[#This Row],[TargetID]],tblTargets[TargetID],tblTargets[StateType])</f>
        <v/>
      </c>
      <c r="G181">
        <f>_xlfn.LET(
_xlpm.id,tblTargetStatus[[#This Row],[TargetID]],
_xlpm.depCount,COUNTIF(tblDependencies[TargetID],_xlpm.id),
_xlpm.objCount,COUNTIF(tblQuestObjectives[QuestTargetID],_xlpm.id),
_xlpm.depCount+_xlpm.objCount
)</f>
        <v>1</v>
      </c>
      <c r="H181">
        <f>tblTargetStatus[[#This Row],[DependencyCount]]</f>
        <v>1</v>
      </c>
      <c r="I181" cm="1">
        <f t="array" ref="I1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1">
        <f>tblTargetStatus[[#This Row],[CompletedDependencyCount]]</f>
        <v>0</v>
      </c>
      <c r="K181" t="b">
        <f>tblTargetStatus[[#This Row],[CompletedDependencies]]=tblTargetStatus[[#This Row],[TotalDependencies]]</f>
        <v>0</v>
      </c>
      <c r="L181">
        <f>tblTargetStatus[[#This Row],[TotalDependencies]]-tblTargetStatus[[#This Row],[CompletedDependencies]]</f>
        <v>1</v>
      </c>
      <c r="M181" t="str" cm="1">
        <f t="array" ref="M1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collection.gallery_2@4</v>
      </c>
      <c r="N181" t="str">
        <f>IF(tblTargetStatus[[#This Row],[FirstMissingDependencyID]]="","",_xlfn.XLOOKUP(tblTargetStatus[[#This Row],[FirstMissingDependencyID]],tblTargets[TargetID],tblTargets[DisplayName],tblTargetStatus[[#This Row],[FirstMissingDependencyID]]))</f>
        <v>Gallery 2 Lv 4</v>
      </c>
      <c r="O181" t="str" cm="1">
        <f t="array" ref="O1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hide,5 horn,15 teeth</v>
      </c>
      <c r="P181" t="str">
        <f>IF(tblTargetStatus[[#This Row],[FirstMissingDependencyID]]="","",_xlfn.XLOOKUP(tblTargetStatus[[#This Row],[FirstMissingDependencyID]],tblTargetStatus[TargetID],tblTargetStatus[Status],""))</f>
        <v>BLOCKED</v>
      </c>
      <c r="Q181" t="str">
        <f>IF(
 tblTargetStatus[[#This Row],[Status]]&lt;&gt;"BLOCKED",
 tblTargetStatus[[#This Row],[Status]],
 IF(
  AND(
   tblTargetStatus[[#This Row],[MissingDependencies]]=1,
   tblTargetStatus[[#This Row],[FirstMissingStatus]]="READY"
  ),
  "ONE AWAY",
  "BLOCKED"
 )
)</f>
        <v>BLOCKED</v>
      </c>
      <c r="R181">
        <f>IF(
 OR(
  tblTargetStatus[[#This Row],[StateType]]="CHARACTER",
  RIGHT(tblTargetStatus[[#This Row],[TargetID]],6)=".maxed"
 ),
 0,
 _xlfn.LET(
  _xlpm.sort,
   _xlfn.XLOOKUP(
    tblTargetStatus[[#This Row],[TargetID]],
    tblChecklist[TargetID],
    tblChecklist[PlayerSort],
    0
   ),
  IF(_xlpm.sort=0,500,_xlpm.sort)
 )
)</f>
        <v>500</v>
      </c>
      <c r="S181" t="str" cm="1">
        <f t="array" ref="S18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81" t="str">
        <f>_xlfn.XLOOKUP(tblTargetStatus[[#This Row],[TargetID]],tblTargets[TargetID],tblTargets[CompletionMethod],"")</f>
        <v>PLAYER</v>
      </c>
      <c r="U181" t="b">
        <f>COUNTIF(
    tblCost[TargetID],
    tblTargetStatus[[#This Row],[TargetID]]
)&gt;0</f>
        <v>1</v>
      </c>
      <c r="V181" s="81">
        <f>IF(tblTargetStatus[[#This Row],[HasCost]]=FALSE,
"N/A",
_xlfn.XLOOKUP(
tblTargetStatus[[#This Row],[TargetID]],
tblCost[TargetID],
tblCost[FundingPercent],
""
)
)</f>
        <v>0</v>
      </c>
      <c r="W181">
        <f>IF(
COUNTIF(tblCost[TargetID],tblTargetStatus[[#This Row],[TargetID]])=0,
"",
_xlfn.XLOOKUP(
tblTargetStatus[[#This Row],[TargetID]],
tblCost[TargetID],
tblCost[RemainingRequirements],
""
)
)</f>
        <v>3</v>
      </c>
      <c r="X181" s="79" t="b">
        <f>IF(tblTargetStatus[[#This Row],[HasCost]]=FALSE,"N/A",_xlfn.XLOOKUP(
tblTargetStatus[[#This Row],[TargetID]],
tblCost[TargetID],
tblCost[TargetFunded],
TRUE
))</f>
        <v>0</v>
      </c>
      <c r="Y181" t="str" cm="1">
        <f t="array" ref="Y181">_xlfn.TEXTJOIN(
", ",
TRUE,
_xlfn._xlws.FILTER(
tblCost[ResourceID]&amp;": "&amp;tblCost[QuantityRequired],
(tblCost[TargetID]=tblTargetStatus[[#This Row],[TargetID]])*
(tblCost[PlayerPaid]=FALSE),
""
)
)</f>
        <v>hide: 15, horn: 5, teeth: 15</v>
      </c>
      <c r="Z1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1" t="str" cm="1">
        <f t="array" ref="AA18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2" spans="1:27">
      <c r="A182" t="s">
        <v>2600</v>
      </c>
      <c r="B182" t="str">
        <f>_xlfn.XLOOKUP(tblTargetStatus[[#This Row],[TargetID]],tblTargets[TargetID],tblTargets[DisplayName],"")</f>
        <v>Gallery 3 Lv 1</v>
      </c>
      <c r="C182" t="str">
        <f>IF(tblTargetStatus[[#This Row],[PlayerCompleted]],"COMPLETED",IF(tblTargetStatus[[#This Row],[MissingDependencies]]=0,"READY","BLOCKED"))</f>
        <v>BLOCKED</v>
      </c>
      <c r="D1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2" t="str">
        <f>_xlfn.XLOOKUP(tblTargetStatus[[#This Row],[TargetID]],tblTargets[TargetID],tblTargets[TargetType],"")</f>
        <v>COLLECTION</v>
      </c>
      <c r="F182" t="str">
        <f>_xlfn.XLOOKUP(tblTargetStatus[[#This Row],[TargetID]],tblTargets[TargetID],tblTargets[StateType])</f>
        <v/>
      </c>
      <c r="G182">
        <f>_xlfn.LET(
_xlpm.id,tblTargetStatus[[#This Row],[TargetID]],
_xlpm.depCount,COUNTIF(tblDependencies[TargetID],_xlpm.id),
_xlpm.objCount,COUNTIF(tblQuestObjectives[QuestTargetID],_xlpm.id),
_xlpm.depCount+_xlpm.objCount
)</f>
        <v>2</v>
      </c>
      <c r="H182">
        <f>tblTargetStatus[[#This Row],[DependencyCount]]</f>
        <v>2</v>
      </c>
      <c r="I182" cm="1">
        <f t="array" ref="I1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2">
        <f>tblTargetStatus[[#This Row],[CompletedDependencyCount]]</f>
        <v>0</v>
      </c>
      <c r="K182" t="b">
        <f>tblTargetStatus[[#This Row],[CompletedDependencies]]=tblTargetStatus[[#This Row],[TotalDependencies]]</f>
        <v>0</v>
      </c>
      <c r="L182">
        <f>tblTargetStatus[[#This Row],[TotalDependencies]]-tblTargetStatus[[#This Row],[CompletedDependencies]]</f>
        <v>2</v>
      </c>
      <c r="M182" t="str" cm="1">
        <f t="array" ref="M1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citadel.gallery</v>
      </c>
      <c r="N182" t="str">
        <f>IF(tblTargetStatus[[#This Row],[FirstMissingDependencyID]]="","",_xlfn.XLOOKUP(tblTargetStatus[[#This Row],[FirstMissingDependencyID]],tblTargets[TargetID],tblTargets[DisplayName],tblTargetStatus[[#This Row],[FirstMissingDependencyID]]))</f>
        <v>Gallery</v>
      </c>
      <c r="O182" t="str" cm="1">
        <f t="array" ref="O1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bluecrystal,5 greencrystal,5 quartz,5 redcrystal,5 violetcrystal</v>
      </c>
      <c r="P182" t="str">
        <f>IF(tblTargetStatus[[#This Row],[FirstMissingDependencyID]]="","",_xlfn.XLOOKUP(tblTargetStatus[[#This Row],[FirstMissingDependencyID]],tblTargetStatus[TargetID],tblTargetStatus[Status],""))</f>
        <v>BLOCKED</v>
      </c>
      <c r="Q182" t="str">
        <f>IF(
 tblTargetStatus[[#This Row],[Status]]&lt;&gt;"BLOCKED",
 tblTargetStatus[[#This Row],[Status]],
 IF(
  AND(
   tblTargetStatus[[#This Row],[MissingDependencies]]=1,
   tblTargetStatus[[#This Row],[FirstMissingStatus]]="READY"
  ),
  "ONE AWAY",
  "BLOCKED"
 )
)</f>
        <v>BLOCKED</v>
      </c>
      <c r="R182">
        <f>IF(
 OR(
  tblTargetStatus[[#This Row],[StateType]]="CHARACTER",
  RIGHT(tblTargetStatus[[#This Row],[TargetID]],6)=".maxed"
 ),
 0,
 _xlfn.LET(
  _xlpm.sort,
   _xlfn.XLOOKUP(
    tblTargetStatus[[#This Row],[TargetID]],
    tblChecklist[TargetID],
    tblChecklist[PlayerSort],
    0
   ),
  IF(_xlpm.sort=0,500,_xlpm.sort)
 )
)</f>
        <v>500</v>
      </c>
      <c r="S182" t="str" cm="1">
        <f t="array" ref="S18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3 Lv 2</v>
      </c>
      <c r="T182" t="str">
        <f>_xlfn.XLOOKUP(tblTargetStatus[[#This Row],[TargetID]],tblTargets[TargetID],tblTargets[CompletionMethod],"")</f>
        <v>PLAYER</v>
      </c>
      <c r="U182" t="b">
        <f>COUNTIF(
    tblCost[TargetID],
    tblTargetStatus[[#This Row],[TargetID]]
)&gt;0</f>
        <v>1</v>
      </c>
      <c r="V182" s="81">
        <f>IF(tblTargetStatus[[#This Row],[HasCost]]=FALSE,
"N/A",
_xlfn.XLOOKUP(
tblTargetStatus[[#This Row],[TargetID]],
tblCost[TargetID],
tblCost[FundingPercent],
""
)
)</f>
        <v>0</v>
      </c>
      <c r="W182">
        <f>IF(
COUNTIF(tblCost[TargetID],tblTargetStatus[[#This Row],[TargetID]])=0,
"",
_xlfn.XLOOKUP(
tblTargetStatus[[#This Row],[TargetID]],
tblCost[TargetID],
tblCost[RemainingRequirements],
""
)
)</f>
        <v>5</v>
      </c>
      <c r="X182" s="79" t="b">
        <f>IF(tblTargetStatus[[#This Row],[HasCost]]=FALSE,"N/A",_xlfn.XLOOKUP(
tblTargetStatus[[#This Row],[TargetID]],
tblCost[TargetID],
tblCost[TargetFunded],
TRUE
))</f>
        <v>0</v>
      </c>
      <c r="Y182" t="str" cm="1">
        <f t="array" ref="Y182">_xlfn.TEXTJOIN(
", ",
TRUE,
_xlfn._xlws.FILTER(
tblCost[ResourceID]&amp;": "&amp;tblCost[QuantityRequired],
(tblCost[TargetID]=tblTargetStatus[[#This Row],[TargetID]])*
(tblCost[PlayerPaid]=FALSE),
""
)
)</f>
        <v>bluecrystal: 5, greencrystal: 5, quartz: 5, redcrystal: 5, violetcrystal: 5</v>
      </c>
      <c r="Z1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2" t="str" cm="1">
        <f t="array" ref="AA18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3" spans="1:27">
      <c r="A183" t="s">
        <v>2601</v>
      </c>
      <c r="B183" t="str">
        <f>_xlfn.XLOOKUP(tblTargetStatus[[#This Row],[TargetID]],tblTargets[TargetID],tblTargets[DisplayName],"")</f>
        <v>Gallery 3 Lv 2</v>
      </c>
      <c r="C183" t="str">
        <f>IF(tblTargetStatus[[#This Row],[PlayerCompleted]],"COMPLETED",IF(tblTargetStatus[[#This Row],[MissingDependencies]]=0,"READY","BLOCKED"))</f>
        <v>BLOCKED</v>
      </c>
      <c r="D1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3" t="str">
        <f>_xlfn.XLOOKUP(tblTargetStatus[[#This Row],[TargetID]],tblTargets[TargetID],tblTargets[TargetType],"")</f>
        <v>COLLECTION</v>
      </c>
      <c r="F183" t="str">
        <f>_xlfn.XLOOKUP(tblTargetStatus[[#This Row],[TargetID]],tblTargets[TargetID],tblTargets[StateType])</f>
        <v/>
      </c>
      <c r="G183">
        <f>_xlfn.LET(
_xlpm.id,tblTargetStatus[[#This Row],[TargetID]],
_xlpm.depCount,COUNTIF(tblDependencies[TargetID],_xlpm.id),
_xlpm.objCount,COUNTIF(tblQuestObjectives[QuestTargetID],_xlpm.id),
_xlpm.depCount+_xlpm.objCount
)</f>
        <v>1</v>
      </c>
      <c r="H183">
        <f>tblTargetStatus[[#This Row],[DependencyCount]]</f>
        <v>1</v>
      </c>
      <c r="I183" cm="1">
        <f t="array" ref="I1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3">
        <f>tblTargetStatus[[#This Row],[CompletedDependencyCount]]</f>
        <v>0</v>
      </c>
      <c r="K183" t="b">
        <f>tblTargetStatus[[#This Row],[CompletedDependencies]]=tblTargetStatus[[#This Row],[TotalDependencies]]</f>
        <v>0</v>
      </c>
      <c r="L183">
        <f>tblTargetStatus[[#This Row],[TotalDependencies]]-tblTargetStatus[[#This Row],[CompletedDependencies]]</f>
        <v>1</v>
      </c>
      <c r="M183" t="str" cm="1">
        <f t="array" ref="M1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collection.gallery_3@1</v>
      </c>
      <c r="N183" t="str">
        <f>IF(tblTargetStatus[[#This Row],[FirstMissingDependencyID]]="","",_xlfn.XLOOKUP(tblTargetStatus[[#This Row],[FirstMissingDependencyID]],tblTargets[TargetID],tblTargets[DisplayName],tblTargetStatus[[#This Row],[FirstMissingDependencyID]]))</f>
        <v>Gallery 3 Lv 1</v>
      </c>
      <c r="O183" t="str" cm="1">
        <f t="array" ref="O1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bluecrystal,10 greencrystal,10 quartz,10 redcrystal,10 violetcrystal</v>
      </c>
      <c r="P183" t="str">
        <f>IF(tblTargetStatus[[#This Row],[FirstMissingDependencyID]]="","",_xlfn.XLOOKUP(tblTargetStatus[[#This Row],[FirstMissingDependencyID]],tblTargetStatus[TargetID],tblTargetStatus[Status],""))</f>
        <v>BLOCKED</v>
      </c>
      <c r="Q183" t="str">
        <f>IF(
 tblTargetStatus[[#This Row],[Status]]&lt;&gt;"BLOCKED",
 tblTargetStatus[[#This Row],[Status]],
 IF(
  AND(
   tblTargetStatus[[#This Row],[MissingDependencies]]=1,
   tblTargetStatus[[#This Row],[FirstMissingStatus]]="READY"
  ),
  "ONE AWAY",
  "BLOCKED"
 )
)</f>
        <v>BLOCKED</v>
      </c>
      <c r="R183">
        <f>IF(
 OR(
  tblTargetStatus[[#This Row],[StateType]]="CHARACTER",
  RIGHT(tblTargetStatus[[#This Row],[TargetID]],6)=".maxed"
 ),
 0,
 _xlfn.LET(
  _xlpm.sort,
   _xlfn.XLOOKUP(
    tblTargetStatus[[#This Row],[TargetID]],
    tblChecklist[TargetID],
    tblChecklist[PlayerSort],
    0
   ),
  IF(_xlpm.sort=0,500,_xlpm.sort)
 )
)</f>
        <v>500</v>
      </c>
      <c r="S183" t="str" cm="1">
        <f t="array" ref="S18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3 Lv 3</v>
      </c>
      <c r="T183" t="str">
        <f>_xlfn.XLOOKUP(tblTargetStatus[[#This Row],[TargetID]],tblTargets[TargetID],tblTargets[CompletionMethod],"")</f>
        <v>PLAYER</v>
      </c>
      <c r="U183" t="b">
        <f>COUNTIF(
    tblCost[TargetID],
    tblTargetStatus[[#This Row],[TargetID]]
)&gt;0</f>
        <v>1</v>
      </c>
      <c r="V183" s="81">
        <f>IF(tblTargetStatus[[#This Row],[HasCost]]=FALSE,
"N/A",
_xlfn.XLOOKUP(
tblTargetStatus[[#This Row],[TargetID]],
tblCost[TargetID],
tblCost[FundingPercent],
""
)
)</f>
        <v>0</v>
      </c>
      <c r="W183">
        <f>IF(
COUNTIF(tblCost[TargetID],tblTargetStatus[[#This Row],[TargetID]])=0,
"",
_xlfn.XLOOKUP(
tblTargetStatus[[#This Row],[TargetID]],
tblCost[TargetID],
tblCost[RemainingRequirements],
""
)
)</f>
        <v>5</v>
      </c>
      <c r="X183" s="79" t="b">
        <f>IF(tblTargetStatus[[#This Row],[HasCost]]=FALSE,"N/A",_xlfn.XLOOKUP(
tblTargetStatus[[#This Row],[TargetID]],
tblCost[TargetID],
tblCost[TargetFunded],
TRUE
))</f>
        <v>0</v>
      </c>
      <c r="Y183" t="str" cm="1">
        <f t="array" ref="Y183">_xlfn.TEXTJOIN(
", ",
TRUE,
_xlfn._xlws.FILTER(
tblCost[ResourceID]&amp;": "&amp;tblCost[QuantityRequired],
(tblCost[TargetID]=tblTargetStatus[[#This Row],[TargetID]])*
(tblCost[PlayerPaid]=FALSE),
""
)
)</f>
        <v>bluecrystal: 10, greencrystal: 10, quartz: 10, redcrystal: 10, violetcrystal: 10</v>
      </c>
      <c r="Z1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3" t="str" cm="1">
        <f t="array" ref="AA18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4" spans="1:27">
      <c r="A184" t="s">
        <v>2602</v>
      </c>
      <c r="B184" t="str">
        <f>_xlfn.XLOOKUP(tblTargetStatus[[#This Row],[TargetID]],tblTargets[TargetID],tblTargets[DisplayName],"")</f>
        <v>Gallery 3 Lv 3</v>
      </c>
      <c r="C184" t="str">
        <f>IF(tblTargetStatus[[#This Row],[PlayerCompleted]],"COMPLETED",IF(tblTargetStatus[[#This Row],[MissingDependencies]]=0,"READY","BLOCKED"))</f>
        <v>BLOCKED</v>
      </c>
      <c r="D1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4" t="str">
        <f>_xlfn.XLOOKUP(tblTargetStatus[[#This Row],[TargetID]],tblTargets[TargetID],tblTargets[TargetType],"")</f>
        <v>COLLECTION</v>
      </c>
      <c r="F184" t="str">
        <f>_xlfn.XLOOKUP(tblTargetStatus[[#This Row],[TargetID]],tblTargets[TargetID],tblTargets[StateType])</f>
        <v/>
      </c>
      <c r="G184">
        <f>_xlfn.LET(
_xlpm.id,tblTargetStatus[[#This Row],[TargetID]],
_xlpm.depCount,COUNTIF(tblDependencies[TargetID],_xlpm.id),
_xlpm.objCount,COUNTIF(tblQuestObjectives[QuestTargetID],_xlpm.id),
_xlpm.depCount+_xlpm.objCount
)</f>
        <v>1</v>
      </c>
      <c r="H184">
        <f>tblTargetStatus[[#This Row],[DependencyCount]]</f>
        <v>1</v>
      </c>
      <c r="I184" cm="1">
        <f t="array" ref="I1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4">
        <f>tblTargetStatus[[#This Row],[CompletedDependencyCount]]</f>
        <v>0</v>
      </c>
      <c r="K184" t="b">
        <f>tblTargetStatus[[#This Row],[CompletedDependencies]]=tblTargetStatus[[#This Row],[TotalDependencies]]</f>
        <v>0</v>
      </c>
      <c r="L184">
        <f>tblTargetStatus[[#This Row],[TotalDependencies]]-tblTargetStatus[[#This Row],[CompletedDependencies]]</f>
        <v>1</v>
      </c>
      <c r="M184" t="str" cm="1">
        <f t="array" ref="M1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collection.gallery_3@2</v>
      </c>
      <c r="N184" t="str">
        <f>IF(tblTargetStatus[[#This Row],[FirstMissingDependencyID]]="","",_xlfn.XLOOKUP(tblTargetStatus[[#This Row],[FirstMissingDependencyID]],tblTargets[TargetID],tblTargets[DisplayName],tblTargetStatus[[#This Row],[FirstMissingDependencyID]]))</f>
        <v>Gallery 3 Lv 2</v>
      </c>
      <c r="O184" t="str" cm="1">
        <f t="array" ref="O1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bluecrystal,15 greencrystal,15 quartz,15 redcrystal,15 violetcrystal</v>
      </c>
      <c r="P184" t="str">
        <f>IF(tblTargetStatus[[#This Row],[FirstMissingDependencyID]]="","",_xlfn.XLOOKUP(tblTargetStatus[[#This Row],[FirstMissingDependencyID]],tblTargetStatus[TargetID],tblTargetStatus[Status],""))</f>
        <v>BLOCKED</v>
      </c>
      <c r="Q184" t="str">
        <f>IF(
 tblTargetStatus[[#This Row],[Status]]&lt;&gt;"BLOCKED",
 tblTargetStatus[[#This Row],[Status]],
 IF(
  AND(
   tblTargetStatus[[#This Row],[MissingDependencies]]=1,
   tblTargetStatus[[#This Row],[FirstMissingStatus]]="READY"
  ),
  "ONE AWAY",
  "BLOCKED"
 )
)</f>
        <v>BLOCKED</v>
      </c>
      <c r="R184">
        <f>IF(
 OR(
  tblTargetStatus[[#This Row],[StateType]]="CHARACTER",
  RIGHT(tblTargetStatus[[#This Row],[TargetID]],6)=".maxed"
 ),
 0,
 _xlfn.LET(
  _xlpm.sort,
   _xlfn.XLOOKUP(
    tblTargetStatus[[#This Row],[TargetID]],
    tblChecklist[TargetID],
    tblChecklist[PlayerSort],
    0
   ),
  IF(_xlpm.sort=0,500,_xlpm.sort)
 )
)</f>
        <v>500</v>
      </c>
      <c r="S184" t="str" cm="1">
        <f t="array" ref="S18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3 Lv 4</v>
      </c>
      <c r="T184" t="str">
        <f>_xlfn.XLOOKUP(tblTargetStatus[[#This Row],[TargetID]],tblTargets[TargetID],tblTargets[CompletionMethod],"")</f>
        <v>PLAYER</v>
      </c>
      <c r="U184" t="b">
        <f>COUNTIF(
    tblCost[TargetID],
    tblTargetStatus[[#This Row],[TargetID]]
)&gt;0</f>
        <v>1</v>
      </c>
      <c r="V184" s="81">
        <f>IF(tblTargetStatus[[#This Row],[HasCost]]=FALSE,
"N/A",
_xlfn.XLOOKUP(
tblTargetStatus[[#This Row],[TargetID]],
tblCost[TargetID],
tblCost[FundingPercent],
""
)
)</f>
        <v>0</v>
      </c>
      <c r="W184">
        <f>IF(
COUNTIF(tblCost[TargetID],tblTargetStatus[[#This Row],[TargetID]])=0,
"",
_xlfn.XLOOKUP(
tblTargetStatus[[#This Row],[TargetID]],
tblCost[TargetID],
tblCost[RemainingRequirements],
""
)
)</f>
        <v>5</v>
      </c>
      <c r="X184" s="79" t="b">
        <f>IF(tblTargetStatus[[#This Row],[HasCost]]=FALSE,"N/A",_xlfn.XLOOKUP(
tblTargetStatus[[#This Row],[TargetID]],
tblCost[TargetID],
tblCost[TargetFunded],
TRUE
))</f>
        <v>0</v>
      </c>
      <c r="Y184" t="str" cm="1">
        <f t="array" ref="Y184">_xlfn.TEXTJOIN(
", ",
TRUE,
_xlfn._xlws.FILTER(
tblCost[ResourceID]&amp;": "&amp;tblCost[QuantityRequired],
(tblCost[TargetID]=tblTargetStatus[[#This Row],[TargetID]])*
(tblCost[PlayerPaid]=FALSE),
""
)
)</f>
        <v>bluecrystal: 15, greencrystal: 15, quartz: 15, redcrystal: 15, violetcrystal: 15</v>
      </c>
      <c r="Z1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4" t="str" cm="1">
        <f t="array" ref="AA18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5" spans="1:27">
      <c r="A185" t="s">
        <v>2603</v>
      </c>
      <c r="B185" t="str">
        <f>_xlfn.XLOOKUP(tblTargetStatus[[#This Row],[TargetID]],tblTargets[TargetID],tblTargets[DisplayName],"")</f>
        <v>Gallery 3 Lv 4</v>
      </c>
      <c r="C185" t="str">
        <f>IF(tblTargetStatus[[#This Row],[PlayerCompleted]],"COMPLETED",IF(tblTargetStatus[[#This Row],[MissingDependencies]]=0,"READY","BLOCKED"))</f>
        <v>BLOCKED</v>
      </c>
      <c r="D1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5" t="str">
        <f>_xlfn.XLOOKUP(tblTargetStatus[[#This Row],[TargetID]],tblTargets[TargetID],tblTargets[TargetType],"")</f>
        <v>COLLECTION</v>
      </c>
      <c r="F185" t="str">
        <f>_xlfn.XLOOKUP(tblTargetStatus[[#This Row],[TargetID]],tblTargets[TargetID],tblTargets[StateType])</f>
        <v/>
      </c>
      <c r="G185">
        <f>_xlfn.LET(
_xlpm.id,tblTargetStatus[[#This Row],[TargetID]],
_xlpm.depCount,COUNTIF(tblDependencies[TargetID],_xlpm.id),
_xlpm.objCount,COUNTIF(tblQuestObjectives[QuestTargetID],_xlpm.id),
_xlpm.depCount+_xlpm.objCount
)</f>
        <v>1</v>
      </c>
      <c r="H185">
        <f>tblTargetStatus[[#This Row],[DependencyCount]]</f>
        <v>1</v>
      </c>
      <c r="I185" cm="1">
        <f t="array" ref="I1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5">
        <f>tblTargetStatus[[#This Row],[CompletedDependencyCount]]</f>
        <v>0</v>
      </c>
      <c r="K185" t="b">
        <f>tblTargetStatus[[#This Row],[CompletedDependencies]]=tblTargetStatus[[#This Row],[TotalDependencies]]</f>
        <v>0</v>
      </c>
      <c r="L185">
        <f>tblTargetStatus[[#This Row],[TotalDependencies]]-tblTargetStatus[[#This Row],[CompletedDependencies]]</f>
        <v>1</v>
      </c>
      <c r="M185" t="str" cm="1">
        <f t="array" ref="M1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collection.gallery_3@3</v>
      </c>
      <c r="N185" t="str">
        <f>IF(tblTargetStatus[[#This Row],[FirstMissingDependencyID]]="","",_xlfn.XLOOKUP(tblTargetStatus[[#This Row],[FirstMissingDependencyID]],tblTargets[TargetID],tblTargets[DisplayName],tblTargetStatus[[#This Row],[FirstMissingDependencyID]]))</f>
        <v>Gallery 3 Lv 3</v>
      </c>
      <c r="O185" t="str" cm="1">
        <f t="array" ref="O1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bluecrystal,20 greencrystal,20 quartz,20 redcrystal,20 violetcrystal</v>
      </c>
      <c r="P185" t="str">
        <f>IF(tblTargetStatus[[#This Row],[FirstMissingDependencyID]]="","",_xlfn.XLOOKUP(tblTargetStatus[[#This Row],[FirstMissingDependencyID]],tblTargetStatus[TargetID],tblTargetStatus[Status],""))</f>
        <v>BLOCKED</v>
      </c>
      <c r="Q185" t="str">
        <f>IF(
 tblTargetStatus[[#This Row],[Status]]&lt;&gt;"BLOCKED",
 tblTargetStatus[[#This Row],[Status]],
 IF(
  AND(
   tblTargetStatus[[#This Row],[MissingDependencies]]=1,
   tblTargetStatus[[#This Row],[FirstMissingStatus]]="READY"
  ),
  "ONE AWAY",
  "BLOCKED"
 )
)</f>
        <v>BLOCKED</v>
      </c>
      <c r="R185">
        <f>IF(
 OR(
  tblTargetStatus[[#This Row],[StateType]]="CHARACTER",
  RIGHT(tblTargetStatus[[#This Row],[TargetID]],6)=".maxed"
 ),
 0,
 _xlfn.LET(
  _xlpm.sort,
   _xlfn.XLOOKUP(
    tblTargetStatus[[#This Row],[TargetID]],
    tblChecklist[TargetID],
    tblChecklist[PlayerSort],
    0
   ),
  IF(_xlpm.sort=0,500,_xlpm.sort)
 )
)</f>
        <v>500</v>
      </c>
      <c r="S185" t="str" cm="1">
        <f t="array" ref="S18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Gallery 3 Lv 5</v>
      </c>
      <c r="T185" t="str">
        <f>_xlfn.XLOOKUP(tblTargetStatus[[#This Row],[TargetID]],tblTargets[TargetID],tblTargets[CompletionMethod],"")</f>
        <v>PLAYER</v>
      </c>
      <c r="U185" t="b">
        <f>COUNTIF(
    tblCost[TargetID],
    tblTargetStatus[[#This Row],[TargetID]]
)&gt;0</f>
        <v>1</v>
      </c>
      <c r="V185" s="81">
        <f>IF(tblTargetStatus[[#This Row],[HasCost]]=FALSE,
"N/A",
_xlfn.XLOOKUP(
tblTargetStatus[[#This Row],[TargetID]],
tblCost[TargetID],
tblCost[FundingPercent],
""
)
)</f>
        <v>0</v>
      </c>
      <c r="W185">
        <f>IF(
COUNTIF(tblCost[TargetID],tblTargetStatus[[#This Row],[TargetID]])=0,
"",
_xlfn.XLOOKUP(
tblTargetStatus[[#This Row],[TargetID]],
tblCost[TargetID],
tblCost[RemainingRequirements],
""
)
)</f>
        <v>5</v>
      </c>
      <c r="X185" s="79" t="b">
        <f>IF(tblTargetStatus[[#This Row],[HasCost]]=FALSE,"N/A",_xlfn.XLOOKUP(
tblTargetStatus[[#This Row],[TargetID]],
tblCost[TargetID],
tblCost[TargetFunded],
TRUE
))</f>
        <v>0</v>
      </c>
      <c r="Y185" t="str" cm="1">
        <f t="array" ref="Y185">_xlfn.TEXTJOIN(
", ",
TRUE,
_xlfn._xlws.FILTER(
tblCost[ResourceID]&amp;": "&amp;tblCost[QuantityRequired],
(tblCost[TargetID]=tblTargetStatus[[#This Row],[TargetID]])*
(tblCost[PlayerPaid]=FALSE),
""
)
)</f>
        <v>bluecrystal: 20, greencrystal: 20, quartz: 20, redcrystal: 20, violetcrystal: 20</v>
      </c>
      <c r="Z1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5" t="str" cm="1">
        <f t="array" ref="AA18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6" spans="1:27">
      <c r="A186" t="s">
        <v>2604</v>
      </c>
      <c r="B186" t="str">
        <f>_xlfn.XLOOKUP(tblTargetStatus[[#This Row],[TargetID]],tblTargets[TargetID],tblTargets[DisplayName],"")</f>
        <v>Gallery 3 Lv 5</v>
      </c>
      <c r="C186" t="str">
        <f>IF(tblTargetStatus[[#This Row],[PlayerCompleted]],"COMPLETED",IF(tblTargetStatus[[#This Row],[MissingDependencies]]=0,"READY","BLOCKED"))</f>
        <v>BLOCKED</v>
      </c>
      <c r="D1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6" t="str">
        <f>_xlfn.XLOOKUP(tblTargetStatus[[#This Row],[TargetID]],tblTargets[TargetID],tblTargets[TargetType],"")</f>
        <v>COLLECTION</v>
      </c>
      <c r="F186" t="str">
        <f>_xlfn.XLOOKUP(tblTargetStatus[[#This Row],[TargetID]],tblTargets[TargetID],tblTargets[StateType])</f>
        <v/>
      </c>
      <c r="G186">
        <f>_xlfn.LET(
_xlpm.id,tblTargetStatus[[#This Row],[TargetID]],
_xlpm.depCount,COUNTIF(tblDependencies[TargetID],_xlpm.id),
_xlpm.objCount,COUNTIF(tblQuestObjectives[QuestTargetID],_xlpm.id),
_xlpm.depCount+_xlpm.objCount
)</f>
        <v>1</v>
      </c>
      <c r="H186">
        <f>tblTargetStatus[[#This Row],[DependencyCount]]</f>
        <v>1</v>
      </c>
      <c r="I186" cm="1">
        <f t="array" ref="I1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6">
        <f>tblTargetStatus[[#This Row],[CompletedDependencyCount]]</f>
        <v>0</v>
      </c>
      <c r="K186" t="b">
        <f>tblTargetStatus[[#This Row],[CompletedDependencies]]=tblTargetStatus[[#This Row],[TotalDependencies]]</f>
        <v>0</v>
      </c>
      <c r="L186">
        <f>tblTargetStatus[[#This Row],[TotalDependencies]]-tblTargetStatus[[#This Row],[CompletedDependencies]]</f>
        <v>1</v>
      </c>
      <c r="M186" t="str" cm="1">
        <f t="array" ref="M1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collection.gallery_3@4</v>
      </c>
      <c r="N186" t="str">
        <f>IF(tblTargetStatus[[#This Row],[FirstMissingDependencyID]]="","",_xlfn.XLOOKUP(tblTargetStatus[[#This Row],[FirstMissingDependencyID]],tblTargets[TargetID],tblTargets[DisplayName],tblTargetStatus[[#This Row],[FirstMissingDependencyID]]))</f>
        <v>Gallery 3 Lv 4</v>
      </c>
      <c r="O186" t="str" cm="1">
        <f t="array" ref="O1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25 bluecrystal,25 greencrystal,25 quartz,25 redcrystal,25 violetcrystal</v>
      </c>
      <c r="P186" t="str">
        <f>IF(tblTargetStatus[[#This Row],[FirstMissingDependencyID]]="","",_xlfn.XLOOKUP(tblTargetStatus[[#This Row],[FirstMissingDependencyID]],tblTargetStatus[TargetID],tblTargetStatus[Status],""))</f>
        <v>BLOCKED</v>
      </c>
      <c r="Q186" t="str">
        <f>IF(
 tblTargetStatus[[#This Row],[Status]]&lt;&gt;"BLOCKED",
 tblTargetStatus[[#This Row],[Status]],
 IF(
  AND(
   tblTargetStatus[[#This Row],[MissingDependencies]]=1,
   tblTargetStatus[[#This Row],[FirstMissingStatus]]="READY"
  ),
  "ONE AWAY",
  "BLOCKED"
 )
)</f>
        <v>BLOCKED</v>
      </c>
      <c r="R186">
        <f>IF(
 OR(
  tblTargetStatus[[#This Row],[StateType]]="CHARACTER",
  RIGHT(tblTargetStatus[[#This Row],[TargetID]],6)=".maxed"
 ),
 0,
 _xlfn.LET(
  _xlpm.sort,
   _xlfn.XLOOKUP(
    tblTargetStatus[[#This Row],[TargetID]],
    tblChecklist[TargetID],
    tblChecklist[PlayerSort],
    0
   ),
  IF(_xlpm.sort=0,500,_xlpm.sort)
 )
)</f>
        <v>500</v>
      </c>
      <c r="S186" t="str" cm="1">
        <f t="array" ref="S18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86" t="str">
        <f>_xlfn.XLOOKUP(tblTargetStatus[[#This Row],[TargetID]],tblTargets[TargetID],tblTargets[CompletionMethod],"")</f>
        <v>PLAYER</v>
      </c>
      <c r="U186" t="b">
        <f>COUNTIF(
    tblCost[TargetID],
    tblTargetStatus[[#This Row],[TargetID]]
)&gt;0</f>
        <v>1</v>
      </c>
      <c r="V186" s="81">
        <f>IF(tblTargetStatus[[#This Row],[HasCost]]=FALSE,
"N/A",
_xlfn.XLOOKUP(
tblTargetStatus[[#This Row],[TargetID]],
tblCost[TargetID],
tblCost[FundingPercent],
""
)
)</f>
        <v>0</v>
      </c>
      <c r="W186">
        <f>IF(
COUNTIF(tblCost[TargetID],tblTargetStatus[[#This Row],[TargetID]])=0,
"",
_xlfn.XLOOKUP(
tblTargetStatus[[#This Row],[TargetID]],
tblCost[TargetID],
tblCost[RemainingRequirements],
""
)
)</f>
        <v>5</v>
      </c>
      <c r="X186" s="79" t="b">
        <f>IF(tblTargetStatus[[#This Row],[HasCost]]=FALSE,"N/A",_xlfn.XLOOKUP(
tblTargetStatus[[#This Row],[TargetID]],
tblCost[TargetID],
tblCost[TargetFunded],
TRUE
))</f>
        <v>0</v>
      </c>
      <c r="Y186" t="str" cm="1">
        <f t="array" ref="Y186">_xlfn.TEXTJOIN(
", ",
TRUE,
_xlfn._xlws.FILTER(
tblCost[ResourceID]&amp;": "&amp;tblCost[QuantityRequired],
(tblCost[TargetID]=tblTargetStatus[[#This Row],[TargetID]])*
(tblCost[PlayerPaid]=FALSE),
""
)
)</f>
        <v>bluecrystal: 25, greencrystal: 25, quartz: 25, redcrystal: 25, violetcrystal: 25</v>
      </c>
      <c r="Z1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6" t="str" cm="1">
        <f t="array" ref="AA18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7" spans="1:27">
      <c r="A187" t="s">
        <v>2605</v>
      </c>
      <c r="B187" t="str">
        <f>_xlfn.XLOOKUP(tblTargetStatus[[#This Row],[TargetID]],tblTargets[TargetID],tblTargets[DisplayName],"")</f>
        <v>Historical Library 1 Lv 1</v>
      </c>
      <c r="C187" t="str">
        <f>IF(tblTargetStatus[[#This Row],[PlayerCompleted]],"COMPLETED",IF(tblTargetStatus[[#This Row],[MissingDependencies]]=0,"READY","BLOCKED"))</f>
        <v>BLOCKED</v>
      </c>
      <c r="D1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7" t="str">
        <f>_xlfn.XLOOKUP(tblTargetStatus[[#This Row],[TargetID]],tblTargets[TargetID],tblTargets[TargetType],"")</f>
        <v>COLLECTION</v>
      </c>
      <c r="F187" t="str">
        <f>_xlfn.XLOOKUP(tblTargetStatus[[#This Row],[TargetID]],tblTargets[TargetID],tblTargets[StateType])</f>
        <v/>
      </c>
      <c r="G187">
        <f>_xlfn.LET(
_xlpm.id,tblTargetStatus[[#This Row],[TargetID]],
_xlpm.depCount,COUNTIF(tblDependencies[TargetID],_xlpm.id),
_xlpm.objCount,COUNTIF(tblQuestObjectives[QuestTargetID],_xlpm.id),
_xlpm.depCount+_xlpm.objCount
)</f>
        <v>2</v>
      </c>
      <c r="H187">
        <f>tblTargetStatus[[#This Row],[DependencyCount]]</f>
        <v>2</v>
      </c>
      <c r="I187" cm="1">
        <f t="array" ref="I1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7">
        <f>tblTargetStatus[[#This Row],[CompletedDependencyCount]]</f>
        <v>0</v>
      </c>
      <c r="K187" t="b">
        <f>tblTargetStatus[[#This Row],[CompletedDependencies]]=tblTargetStatus[[#This Row],[TotalDependencies]]</f>
        <v>0</v>
      </c>
      <c r="L187">
        <f>tblTargetStatus[[#This Row],[TotalDependencies]]-tblTargetStatus[[#This Row],[CompletedDependencies]]</f>
        <v>2</v>
      </c>
      <c r="M187" t="str" cm="1">
        <f t="array" ref="M1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187" t="str">
        <f>IF(tblTargetStatus[[#This Row],[FirstMissingDependencyID]]="","",_xlfn.XLOOKUP(tblTargetStatus[[#This Row],[FirstMissingDependencyID]],tblTargets[TargetID],tblTargets[DisplayName],tblTargetStatus[[#This Row],[FirstMissingDependencyID]]))</f>
        <v>Great Hall</v>
      </c>
      <c r="O187" t="str" cm="1">
        <f t="array" ref="O1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blueprint,10 grimoire,30 page,1 scroll</v>
      </c>
      <c r="P187" t="str">
        <f>IF(tblTargetStatus[[#This Row],[FirstMissingDependencyID]]="","",_xlfn.XLOOKUP(tblTargetStatus[[#This Row],[FirstMissingDependencyID]],tblTargetStatus[TargetID],tblTargetStatus[Status],""))</f>
        <v>BLOCKED</v>
      </c>
      <c r="Q187" t="str">
        <f>IF(
 tblTargetStatus[[#This Row],[Status]]&lt;&gt;"BLOCKED",
 tblTargetStatus[[#This Row],[Status]],
 IF(
  AND(
   tblTargetStatus[[#This Row],[MissingDependencies]]=1,
   tblTargetStatus[[#This Row],[FirstMissingStatus]]="READY"
  ),
  "ONE AWAY",
  "BLOCKED"
 )
)</f>
        <v>BLOCKED</v>
      </c>
      <c r="R187">
        <f>IF(
 OR(
  tblTargetStatus[[#This Row],[StateType]]="CHARACTER",
  RIGHT(tblTargetStatus[[#This Row],[TargetID]],6)=".maxed"
 ),
 0,
 _xlfn.LET(
  _xlpm.sort,
   _xlfn.XLOOKUP(
    tblTargetStatus[[#This Row],[TargetID]],
    tblChecklist[TargetID],
    tblChecklist[PlayerSort],
    0
   ),
  IF(_xlpm.sort=0,500,_xlpm.sort)
 )
)</f>
        <v>500</v>
      </c>
      <c r="S187" t="str" cm="1">
        <f t="array" ref="S18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Historical Library 1 Lv 2</v>
      </c>
      <c r="T187" t="str">
        <f>_xlfn.XLOOKUP(tblTargetStatus[[#This Row],[TargetID]],tblTargets[TargetID],tblTargets[CompletionMethod],"")</f>
        <v>PLAYER</v>
      </c>
      <c r="U187" t="b">
        <f>COUNTIF(
    tblCost[TargetID],
    tblTargetStatus[[#This Row],[TargetID]]
)&gt;0</f>
        <v>1</v>
      </c>
      <c r="V187" s="81">
        <f>IF(tblTargetStatus[[#This Row],[HasCost]]=FALSE,
"N/A",
_xlfn.XLOOKUP(
tblTargetStatus[[#This Row],[TargetID]],
tblCost[TargetID],
tblCost[FundingPercent],
""
)
)</f>
        <v>0</v>
      </c>
      <c r="W187">
        <f>IF(
COUNTIF(tblCost[TargetID],tblTargetStatus[[#This Row],[TargetID]])=0,
"",
_xlfn.XLOOKUP(
tblTargetStatus[[#This Row],[TargetID]],
tblCost[TargetID],
tblCost[RemainingRequirements],
""
)
)</f>
        <v>4</v>
      </c>
      <c r="X187" s="79" t="b">
        <f>IF(tblTargetStatus[[#This Row],[HasCost]]=FALSE,"N/A",_xlfn.XLOOKUP(
tblTargetStatus[[#This Row],[TargetID]],
tblCost[TargetID],
tblCost[TargetFunded],
TRUE
))</f>
        <v>0</v>
      </c>
      <c r="Y187" t="str" cm="1">
        <f t="array" ref="Y187">_xlfn.TEXTJOIN(
", ",
TRUE,
_xlfn._xlws.FILTER(
tblCost[ResourceID]&amp;": "&amp;tblCost[QuantityRequired],
(tblCost[TargetID]=tblTargetStatus[[#This Row],[TargetID]])*
(tblCost[PlayerPaid]=FALSE),
""
)
)</f>
        <v>blueprint: 20, grimoire: 10, page: 30, scroll: 1</v>
      </c>
      <c r="Z1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7" t="str" cm="1">
        <f t="array" ref="AA18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8" spans="1:27">
      <c r="A188" t="s">
        <v>2606</v>
      </c>
      <c r="B188" t="str">
        <f>_xlfn.XLOOKUP(tblTargetStatus[[#This Row],[TargetID]],tblTargets[TargetID],tblTargets[DisplayName],"")</f>
        <v>Historical Library 1 Lv 2</v>
      </c>
      <c r="C188" t="str">
        <f>IF(tblTargetStatus[[#This Row],[PlayerCompleted]],"COMPLETED",IF(tblTargetStatus[[#This Row],[MissingDependencies]]=0,"READY","BLOCKED"))</f>
        <v>BLOCKED</v>
      </c>
      <c r="D1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8" t="str">
        <f>_xlfn.XLOOKUP(tblTargetStatus[[#This Row],[TargetID]],tblTargets[TargetID],tblTargets[TargetType],"")</f>
        <v>COLLECTION</v>
      </c>
      <c r="F188" t="str">
        <f>_xlfn.XLOOKUP(tblTargetStatus[[#This Row],[TargetID]],tblTargets[TargetID],tblTargets[StateType])</f>
        <v/>
      </c>
      <c r="G188">
        <f>_xlfn.LET(
_xlpm.id,tblTargetStatus[[#This Row],[TargetID]],
_xlpm.depCount,COUNTIF(tblDependencies[TargetID],_xlpm.id),
_xlpm.objCount,COUNTIF(tblQuestObjectives[QuestTargetID],_xlpm.id),
_xlpm.depCount+_xlpm.objCount
)</f>
        <v>1</v>
      </c>
      <c r="H188">
        <f>tblTargetStatus[[#This Row],[DependencyCount]]</f>
        <v>1</v>
      </c>
      <c r="I188" cm="1">
        <f t="array" ref="I1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8">
        <f>tblTargetStatus[[#This Row],[CompletedDependencyCount]]</f>
        <v>0</v>
      </c>
      <c r="K188" t="b">
        <f>tblTargetStatus[[#This Row],[CompletedDependencies]]=tblTargetStatus[[#This Row],[TotalDependencies]]</f>
        <v>0</v>
      </c>
      <c r="L188">
        <f>tblTargetStatus[[#This Row],[TotalDependencies]]-tblTargetStatus[[#This Row],[CompletedDependencies]]</f>
        <v>1</v>
      </c>
      <c r="M188" t="str" cm="1">
        <f t="array" ref="M1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collection.historical_library_1@1</v>
      </c>
      <c r="N188" t="str">
        <f>IF(tblTargetStatus[[#This Row],[FirstMissingDependencyID]]="","",_xlfn.XLOOKUP(tblTargetStatus[[#This Row],[FirstMissingDependencyID]],tblTargets[TargetID],tblTargets[DisplayName],tblTargetStatus[[#This Row],[FirstMissingDependencyID]]))</f>
        <v>Historical Library 1 Lv 1</v>
      </c>
      <c r="O188" t="str" cm="1">
        <f t="array" ref="O1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blueprint,20 grimoire,60 page,2 scroll</v>
      </c>
      <c r="P188" t="str">
        <f>IF(tblTargetStatus[[#This Row],[FirstMissingDependencyID]]="","",_xlfn.XLOOKUP(tblTargetStatus[[#This Row],[FirstMissingDependencyID]],tblTargetStatus[TargetID],tblTargetStatus[Status],""))</f>
        <v>BLOCKED</v>
      </c>
      <c r="Q188" t="str">
        <f>IF(
 tblTargetStatus[[#This Row],[Status]]&lt;&gt;"BLOCKED",
 tblTargetStatus[[#This Row],[Status]],
 IF(
  AND(
   tblTargetStatus[[#This Row],[MissingDependencies]]=1,
   tblTargetStatus[[#This Row],[FirstMissingStatus]]="READY"
  ),
  "ONE AWAY",
  "BLOCKED"
 )
)</f>
        <v>BLOCKED</v>
      </c>
      <c r="R188">
        <f>IF(
 OR(
  tblTargetStatus[[#This Row],[StateType]]="CHARACTER",
  RIGHT(tblTargetStatus[[#This Row],[TargetID]],6)=".maxed"
 ),
 0,
 _xlfn.LET(
  _xlpm.sort,
   _xlfn.XLOOKUP(
    tblTargetStatus[[#This Row],[TargetID]],
    tblChecklist[TargetID],
    tblChecklist[PlayerSort],
    0
   ),
  IF(_xlpm.sort=0,500,_xlpm.sort)
 )
)</f>
        <v>20</v>
      </c>
      <c r="S188" t="str" cm="1">
        <f t="array" ref="S18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Historical Library 1 Lv 3</v>
      </c>
      <c r="T188" t="str">
        <f>_xlfn.XLOOKUP(tblTargetStatus[[#This Row],[TargetID]],tblTargets[TargetID],tblTargets[CompletionMethod],"")</f>
        <v>PLAYER</v>
      </c>
      <c r="U188" t="b">
        <f>COUNTIF(
    tblCost[TargetID],
    tblTargetStatus[[#This Row],[TargetID]]
)&gt;0</f>
        <v>1</v>
      </c>
      <c r="V188" s="81">
        <f>IF(tblTargetStatus[[#This Row],[HasCost]]=FALSE,
"N/A",
_xlfn.XLOOKUP(
tblTargetStatus[[#This Row],[TargetID]],
tblCost[TargetID],
tblCost[FundingPercent],
""
)
)</f>
        <v>0</v>
      </c>
      <c r="W188">
        <f>IF(
COUNTIF(tblCost[TargetID],tblTargetStatus[[#This Row],[TargetID]])=0,
"",
_xlfn.XLOOKUP(
tblTargetStatus[[#This Row],[TargetID]],
tblCost[TargetID],
tblCost[RemainingRequirements],
""
)
)</f>
        <v>4</v>
      </c>
      <c r="X188" s="79" t="b">
        <f>IF(tblTargetStatus[[#This Row],[HasCost]]=FALSE,"N/A",_xlfn.XLOOKUP(
tblTargetStatus[[#This Row],[TargetID]],
tblCost[TargetID],
tblCost[TargetFunded],
TRUE
))</f>
        <v>0</v>
      </c>
      <c r="Y188" t="str" cm="1">
        <f t="array" ref="Y188">_xlfn.TEXTJOIN(
", ",
TRUE,
_xlfn._xlws.FILTER(
tblCost[ResourceID]&amp;": "&amp;tblCost[QuantityRequired],
(tblCost[TargetID]=tblTargetStatus[[#This Row],[TargetID]])*
(tblCost[PlayerPaid]=FALSE),
""
)
)</f>
        <v>blueprint: 40, grimoire: 20, page: 60, scroll: 2</v>
      </c>
      <c r="Z1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8" t="str" cm="1">
        <f t="array" ref="AA18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89" spans="1:27">
      <c r="A189" t="s">
        <v>2607</v>
      </c>
      <c r="B189" t="str">
        <f>_xlfn.XLOOKUP(tblTargetStatus[[#This Row],[TargetID]],tblTargets[TargetID],tblTargets[DisplayName],"")</f>
        <v>Historical Library 1 Lv 3</v>
      </c>
      <c r="C189" t="str">
        <f>IF(tblTargetStatus[[#This Row],[PlayerCompleted]],"COMPLETED",IF(tblTargetStatus[[#This Row],[MissingDependencies]]=0,"READY","BLOCKED"))</f>
        <v>BLOCKED</v>
      </c>
      <c r="D1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9" t="str">
        <f>_xlfn.XLOOKUP(tblTargetStatus[[#This Row],[TargetID]],tblTargets[TargetID],tblTargets[TargetType],"")</f>
        <v>COLLECTION</v>
      </c>
      <c r="F189" t="str">
        <f>_xlfn.XLOOKUP(tblTargetStatus[[#This Row],[TargetID]],tblTargets[TargetID],tblTargets[StateType])</f>
        <v/>
      </c>
      <c r="G189">
        <f>_xlfn.LET(
_xlpm.id,tblTargetStatus[[#This Row],[TargetID]],
_xlpm.depCount,COUNTIF(tblDependencies[TargetID],_xlpm.id),
_xlpm.objCount,COUNTIF(tblQuestObjectives[QuestTargetID],_xlpm.id),
_xlpm.depCount+_xlpm.objCount
)</f>
        <v>1</v>
      </c>
      <c r="H189">
        <f>tblTargetStatus[[#This Row],[DependencyCount]]</f>
        <v>1</v>
      </c>
      <c r="I189" cm="1">
        <f t="array" ref="I1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9">
        <f>tblTargetStatus[[#This Row],[CompletedDependencyCount]]</f>
        <v>0</v>
      </c>
      <c r="K189" t="b">
        <f>tblTargetStatus[[#This Row],[CompletedDependencies]]=tblTargetStatus[[#This Row],[TotalDependencies]]</f>
        <v>0</v>
      </c>
      <c r="L189">
        <f>tblTargetStatus[[#This Row],[TotalDependencies]]-tblTargetStatus[[#This Row],[CompletedDependencies]]</f>
        <v>1</v>
      </c>
      <c r="M189" t="str" cm="1">
        <f t="array" ref="M1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collection.historical_library_1@2</v>
      </c>
      <c r="N189" t="str">
        <f>IF(tblTargetStatus[[#This Row],[FirstMissingDependencyID]]="","",_xlfn.XLOOKUP(tblTargetStatus[[#This Row],[FirstMissingDependencyID]],tblTargets[TargetID],tblTargets[DisplayName],tblTargetStatus[[#This Row],[FirstMissingDependencyID]]))</f>
        <v>Historical Library 1 Lv 2</v>
      </c>
      <c r="O189" t="str" cm="1">
        <f t="array" ref="O1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 blueprint,30 grimoire,90 page,3 scroll</v>
      </c>
      <c r="P189" t="str">
        <f>IF(tblTargetStatus[[#This Row],[FirstMissingDependencyID]]="","",_xlfn.XLOOKUP(tblTargetStatus[[#This Row],[FirstMissingDependencyID]],tblTargetStatus[TargetID],tblTargetStatus[Status],""))</f>
        <v>BLOCKED</v>
      </c>
      <c r="Q189" t="str">
        <f>IF(
 tblTargetStatus[[#This Row],[Status]]&lt;&gt;"BLOCKED",
 tblTargetStatus[[#This Row],[Status]],
 IF(
  AND(
   tblTargetStatus[[#This Row],[MissingDependencies]]=1,
   tblTargetStatus[[#This Row],[FirstMissingStatus]]="READY"
  ),
  "ONE AWAY",
  "BLOCKED"
 )
)</f>
        <v>BLOCKED</v>
      </c>
      <c r="R189">
        <f>IF(
 OR(
  tblTargetStatus[[#This Row],[StateType]]="CHARACTER",
  RIGHT(tblTargetStatus[[#This Row],[TargetID]],6)=".maxed"
 ),
 0,
 _xlfn.LET(
  _xlpm.sort,
   _xlfn.XLOOKUP(
    tblTargetStatus[[#This Row],[TargetID]],
    tblChecklist[TargetID],
    tblChecklist[PlayerSort],
    0
   ),
  IF(_xlpm.sort=0,500,_xlpm.sort)
 )
)</f>
        <v>500</v>
      </c>
      <c r="S189" t="str" cm="1">
        <f t="array" ref="S18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89" t="str">
        <f>_xlfn.XLOOKUP(tblTargetStatus[[#This Row],[TargetID]],tblTargets[TargetID],tblTargets[CompletionMethod],"")</f>
        <v>PLAYER</v>
      </c>
      <c r="U189" t="b">
        <f>COUNTIF(
    tblCost[TargetID],
    tblTargetStatus[[#This Row],[TargetID]]
)&gt;0</f>
        <v>1</v>
      </c>
      <c r="V189" s="81">
        <f>IF(tblTargetStatus[[#This Row],[HasCost]]=FALSE,
"N/A",
_xlfn.XLOOKUP(
tblTargetStatus[[#This Row],[TargetID]],
tblCost[TargetID],
tblCost[FundingPercent],
""
)
)</f>
        <v>0</v>
      </c>
      <c r="W189">
        <f>IF(
COUNTIF(tblCost[TargetID],tblTargetStatus[[#This Row],[TargetID]])=0,
"",
_xlfn.XLOOKUP(
tblTargetStatus[[#This Row],[TargetID]],
tblCost[TargetID],
tblCost[RemainingRequirements],
""
)
)</f>
        <v>4</v>
      </c>
      <c r="X189" s="79" t="b">
        <f>IF(tblTargetStatus[[#This Row],[HasCost]]=FALSE,"N/A",_xlfn.XLOOKUP(
tblTargetStatus[[#This Row],[TargetID]],
tblCost[TargetID],
tblCost[TargetFunded],
TRUE
))</f>
        <v>0</v>
      </c>
      <c r="Y189" t="str" cm="1">
        <f t="array" ref="Y189">_xlfn.TEXTJOIN(
", ",
TRUE,
_xlfn._xlws.FILTER(
tblCost[ResourceID]&amp;": "&amp;tblCost[QuantityRequired],
(tblCost[TargetID]=tblTargetStatus[[#This Row],[TargetID]])*
(tblCost[PlayerPaid]=FALSE),
""
)
)</f>
        <v>blueprint: 60, grimoire: 30, page: 90, scroll: 3</v>
      </c>
      <c r="Z1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9" t="str" cm="1">
        <f t="array" ref="AA18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0" spans="1:27">
      <c r="A190" t="s">
        <v>2608</v>
      </c>
      <c r="B190" t="str">
        <f>_xlfn.XLOOKUP(tblTargetStatus[[#This Row],[TargetID]],tblTargets[TargetID],tblTargets[DisplayName],"")</f>
        <v>Historical Library 2 Lv 1</v>
      </c>
      <c r="C190" t="str">
        <f>IF(tblTargetStatus[[#This Row],[PlayerCompleted]],"COMPLETED",IF(tblTargetStatus[[#This Row],[MissingDependencies]]=0,"READY","BLOCKED"))</f>
        <v>BLOCKED</v>
      </c>
      <c r="D1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0" t="str">
        <f>_xlfn.XLOOKUP(tblTargetStatus[[#This Row],[TargetID]],tblTargets[TargetID],tblTargets[TargetType],"")</f>
        <v>COLLECTION</v>
      </c>
      <c r="F190" t="str">
        <f>_xlfn.XLOOKUP(tblTargetStatus[[#This Row],[TargetID]],tblTargets[TargetID],tblTargets[StateType])</f>
        <v/>
      </c>
      <c r="G190">
        <f>_xlfn.LET(
_xlpm.id,tblTargetStatus[[#This Row],[TargetID]],
_xlpm.depCount,COUNTIF(tblDependencies[TargetID],_xlpm.id),
_xlpm.objCount,COUNTIF(tblQuestObjectives[QuestTargetID],_xlpm.id),
_xlpm.depCount+_xlpm.objCount
)</f>
        <v>1</v>
      </c>
      <c r="H190">
        <f>tblTargetStatus[[#This Row],[DependencyCount]]</f>
        <v>1</v>
      </c>
      <c r="I190" cm="1">
        <f t="array" ref="I1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0">
        <f>tblTargetStatus[[#This Row],[CompletedDependencyCount]]</f>
        <v>0</v>
      </c>
      <c r="K190" t="b">
        <f>tblTargetStatus[[#This Row],[CompletedDependencies]]=tblTargetStatus[[#This Row],[TotalDependencies]]</f>
        <v>0</v>
      </c>
      <c r="L190">
        <f>tblTargetStatus[[#This Row],[TotalDependencies]]-tblTargetStatus[[#This Row],[CompletedDependencies]]</f>
        <v>1</v>
      </c>
      <c r="M190" t="str" cm="1">
        <f t="array" ref="M1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190" t="str">
        <f>IF(tblTargetStatus[[#This Row],[FirstMissingDependencyID]]="","",_xlfn.XLOOKUP(tblTargetStatus[[#This Row],[FirstMissingDependencyID]],tblTargets[TargetID],tblTargets[DisplayName],tblTargetStatus[[#This Row],[FirstMissingDependencyID]]))</f>
        <v>Great Hall</v>
      </c>
      <c r="O190" s="2" t="str" cm="1">
        <f t="array" ref="O1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map1,10 map2,5 map3</v>
      </c>
      <c r="P190" t="str">
        <f>IF(tblTargetStatus[[#This Row],[FirstMissingDependencyID]]="","",_xlfn.XLOOKUP(tblTargetStatus[[#This Row],[FirstMissingDependencyID]],tblTargetStatus[TargetID],tblTargetStatus[Status],""))</f>
        <v>BLOCKED</v>
      </c>
      <c r="Q190" t="str">
        <f>IF(
 tblTargetStatus[[#This Row],[Status]]&lt;&gt;"BLOCKED",
 tblTargetStatus[[#This Row],[Status]],
 IF(
  AND(
   tblTargetStatus[[#This Row],[MissingDependencies]]=1,
   tblTargetStatus[[#This Row],[FirstMissingStatus]]="READY"
  ),
  "ONE AWAY",
  "BLOCKED"
 )
)</f>
        <v>BLOCKED</v>
      </c>
      <c r="R190">
        <f>IF(
 OR(
  tblTargetStatus[[#This Row],[StateType]]="CHARACTER",
  RIGHT(tblTargetStatus[[#This Row],[TargetID]],6)=".maxed"
 ),
 0,
 _xlfn.LET(
  _xlpm.sort,
   _xlfn.XLOOKUP(
    tblTargetStatus[[#This Row],[TargetID]],
    tblChecklist[TargetID],
    tblChecklist[PlayerSort],
    0
   ),
  IF(_xlpm.sort=0,500,_xlpm.sort)
 )
)</f>
        <v>500</v>
      </c>
      <c r="S190" t="str" cm="1">
        <f t="array" ref="S19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Historical Library 2 Lv 2</v>
      </c>
      <c r="T190" t="str">
        <f>_xlfn.XLOOKUP(tblTargetStatus[[#This Row],[TargetID]],tblTargets[TargetID],tblTargets[CompletionMethod],"")</f>
        <v>PLAYER</v>
      </c>
      <c r="U190" t="b">
        <f>COUNTIF(
    tblCost[TargetID],
    tblTargetStatus[[#This Row],[TargetID]]
)&gt;0</f>
        <v>1</v>
      </c>
      <c r="V190" s="81">
        <f>IF(tblTargetStatus[[#This Row],[HasCost]]=FALSE,
"N/A",
_xlfn.XLOOKUP(
tblTargetStatus[[#This Row],[TargetID]],
tblCost[TargetID],
tblCost[FundingPercent],
""
)
)</f>
        <v>0</v>
      </c>
      <c r="W190">
        <f>IF(
COUNTIF(tblCost[TargetID],tblTargetStatus[[#This Row],[TargetID]])=0,
"",
_xlfn.XLOOKUP(
tblTargetStatus[[#This Row],[TargetID]],
tblCost[TargetID],
tblCost[RemainingRequirements],
""
)
)</f>
        <v>3</v>
      </c>
      <c r="X190" s="79" t="b">
        <f>IF(tblTargetStatus[[#This Row],[HasCost]]=FALSE,"N/A",_xlfn.XLOOKUP(
tblTargetStatus[[#This Row],[TargetID]],
tblCost[TargetID],
tblCost[TargetFunded],
TRUE
))</f>
        <v>0</v>
      </c>
      <c r="Y190" t="str" cm="1">
        <f t="array" ref="Y190">_xlfn.TEXTJOIN(
", ",
TRUE,
_xlfn._xlws.FILTER(
tblCost[ResourceID]&amp;": "&amp;tblCost[QuantityRequired],
(tblCost[TargetID]=tblTargetStatus[[#This Row],[TargetID]])*
(tblCost[PlayerPaid]=FALSE),
""
)
)</f>
        <v>map1: 20, map2: 10, map3: 5</v>
      </c>
      <c r="Z1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0" t="str" cm="1">
        <f t="array" ref="AA19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1" spans="1:27">
      <c r="A191" t="s">
        <v>2609</v>
      </c>
      <c r="B191" t="str">
        <f>_xlfn.XLOOKUP(tblTargetStatus[[#This Row],[TargetID]],tblTargets[TargetID],tblTargets[DisplayName],"")</f>
        <v>Historical Library 2 Lv 2</v>
      </c>
      <c r="C191" t="str">
        <f>IF(tblTargetStatus[[#This Row],[PlayerCompleted]],"COMPLETED",IF(tblTargetStatus[[#This Row],[MissingDependencies]]=0,"READY","BLOCKED"))</f>
        <v>BLOCKED</v>
      </c>
      <c r="D1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1" t="str">
        <f>_xlfn.XLOOKUP(tblTargetStatus[[#This Row],[TargetID]],tblTargets[TargetID],tblTargets[TargetType],"")</f>
        <v>COLLECTION</v>
      </c>
      <c r="F191" t="str">
        <f>_xlfn.XLOOKUP(tblTargetStatus[[#This Row],[TargetID]],tblTargets[TargetID],tblTargets[StateType])</f>
        <v/>
      </c>
      <c r="G191">
        <f>_xlfn.LET(
_xlpm.id,tblTargetStatus[[#This Row],[TargetID]],
_xlpm.depCount,COUNTIF(tblDependencies[TargetID],_xlpm.id),
_xlpm.objCount,COUNTIF(tblQuestObjectives[QuestTargetID],_xlpm.id),
_xlpm.depCount+_xlpm.objCount
)</f>
        <v>1</v>
      </c>
      <c r="H191">
        <f>tblTargetStatus[[#This Row],[DependencyCount]]</f>
        <v>1</v>
      </c>
      <c r="I191" cm="1">
        <f t="array" ref="I1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1">
        <f>tblTargetStatus[[#This Row],[CompletedDependencyCount]]</f>
        <v>0</v>
      </c>
      <c r="K191" t="b">
        <f>tblTargetStatus[[#This Row],[CompletedDependencies]]=tblTargetStatus[[#This Row],[TotalDependencies]]</f>
        <v>0</v>
      </c>
      <c r="L191">
        <f>tblTargetStatus[[#This Row],[TotalDependencies]]-tblTargetStatus[[#This Row],[CompletedDependencies]]</f>
        <v>1</v>
      </c>
      <c r="M191" t="str" cm="1">
        <f t="array" ref="M1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collection.historical_library_2@1</v>
      </c>
      <c r="N191" t="str">
        <f>IF(tblTargetStatus[[#This Row],[FirstMissingDependencyID]]="","",_xlfn.XLOOKUP(tblTargetStatus[[#This Row],[FirstMissingDependencyID]],tblTargets[TargetID],tblTargets[DisplayName],tblTargetStatus[[#This Row],[FirstMissingDependencyID]]))</f>
        <v>Historical Library 2 Lv 1</v>
      </c>
      <c r="O191" t="str" cm="1">
        <f t="array" ref="O1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map1,20 map2,10 map3</v>
      </c>
      <c r="P191" t="str">
        <f>IF(tblTargetStatus[[#This Row],[FirstMissingDependencyID]]="","",_xlfn.XLOOKUP(tblTargetStatus[[#This Row],[FirstMissingDependencyID]],tblTargetStatus[TargetID],tblTargetStatus[Status],""))</f>
        <v>BLOCKED</v>
      </c>
      <c r="Q191" t="str">
        <f>IF(
 tblTargetStatus[[#This Row],[Status]]&lt;&gt;"BLOCKED",
 tblTargetStatus[[#This Row],[Status]],
 IF(
  AND(
   tblTargetStatus[[#This Row],[MissingDependencies]]=1,
   tblTargetStatus[[#This Row],[FirstMissingStatus]]="READY"
  ),
  "ONE AWAY",
  "BLOCKED"
 )
)</f>
        <v>BLOCKED</v>
      </c>
      <c r="R191">
        <f>IF(
 OR(
  tblTargetStatus[[#This Row],[StateType]]="CHARACTER",
  RIGHT(tblTargetStatus[[#This Row],[TargetID]],6)=".maxed"
 ),
 0,
 _xlfn.LET(
  _xlpm.sort,
   _xlfn.XLOOKUP(
    tblTargetStatus[[#This Row],[TargetID]],
    tblChecklist[TargetID],
    tblChecklist[PlayerSort],
    0
   ),
  IF(_xlpm.sort=0,500,_xlpm.sort)
 )
)</f>
        <v>500</v>
      </c>
      <c r="S191" t="str" cm="1">
        <f t="array" ref="S19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Historical Library 2 Lv 3</v>
      </c>
      <c r="T191" t="str">
        <f>_xlfn.XLOOKUP(tblTargetStatus[[#This Row],[TargetID]],tblTargets[TargetID],tblTargets[CompletionMethod],"")</f>
        <v>PLAYER</v>
      </c>
      <c r="U191" t="b">
        <f>COUNTIF(
    tblCost[TargetID],
    tblTargetStatus[[#This Row],[TargetID]]
)&gt;0</f>
        <v>1</v>
      </c>
      <c r="V191" s="81">
        <f>IF(tblTargetStatus[[#This Row],[HasCost]]=FALSE,
"N/A",
_xlfn.XLOOKUP(
tblTargetStatus[[#This Row],[TargetID]],
tblCost[TargetID],
tblCost[FundingPercent],
""
)
)</f>
        <v>0</v>
      </c>
      <c r="W191">
        <f>IF(
COUNTIF(tblCost[TargetID],tblTargetStatus[[#This Row],[TargetID]])=0,
"",
_xlfn.XLOOKUP(
tblTargetStatus[[#This Row],[TargetID]],
tblCost[TargetID],
tblCost[RemainingRequirements],
""
)
)</f>
        <v>3</v>
      </c>
      <c r="X191" s="79" t="b">
        <f>IF(tblTargetStatus[[#This Row],[HasCost]]=FALSE,"N/A",_xlfn.XLOOKUP(
tblTargetStatus[[#This Row],[TargetID]],
tblCost[TargetID],
tblCost[TargetFunded],
TRUE
))</f>
        <v>0</v>
      </c>
      <c r="Y191" t="str" cm="1">
        <f t="array" ref="Y191">_xlfn.TEXTJOIN(
", ",
TRUE,
_xlfn._xlws.FILTER(
tblCost[ResourceID]&amp;": "&amp;tblCost[QuantityRequired],
(tblCost[TargetID]=tblTargetStatus[[#This Row],[TargetID]])*
(tblCost[PlayerPaid]=FALSE),
""
)
)</f>
        <v>map1: 40, map2: 20, map3: 10</v>
      </c>
      <c r="Z1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1" t="str" cm="1">
        <f t="array" ref="AA19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2" spans="1:27">
      <c r="A192" t="s">
        <v>2610</v>
      </c>
      <c r="B192" t="str">
        <f>_xlfn.XLOOKUP(tblTargetStatus[[#This Row],[TargetID]],tblTargets[TargetID],tblTargets[DisplayName],"")</f>
        <v>Historical Library 2 Lv 3</v>
      </c>
      <c r="C192" t="str">
        <f>IF(tblTargetStatus[[#This Row],[PlayerCompleted]],"COMPLETED",IF(tblTargetStatus[[#This Row],[MissingDependencies]]=0,"READY","BLOCKED"))</f>
        <v>BLOCKED</v>
      </c>
      <c r="D1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2" t="str">
        <f>_xlfn.XLOOKUP(tblTargetStatus[[#This Row],[TargetID]],tblTargets[TargetID],tblTargets[TargetType],"")</f>
        <v>COLLECTION</v>
      </c>
      <c r="F192" t="str">
        <f>_xlfn.XLOOKUP(tblTargetStatus[[#This Row],[TargetID]],tblTargets[TargetID],tblTargets[StateType])</f>
        <v/>
      </c>
      <c r="G192">
        <f>_xlfn.LET(
_xlpm.id,tblTargetStatus[[#This Row],[TargetID]],
_xlpm.depCount,COUNTIF(tblDependencies[TargetID],_xlpm.id),
_xlpm.objCount,COUNTIF(tblQuestObjectives[QuestTargetID],_xlpm.id),
_xlpm.depCount+_xlpm.objCount
)</f>
        <v>1</v>
      </c>
      <c r="H192">
        <f>tblTargetStatus[[#This Row],[DependencyCount]]</f>
        <v>1</v>
      </c>
      <c r="I192" cm="1">
        <f t="array" ref="I1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2">
        <f>tblTargetStatus[[#This Row],[CompletedDependencyCount]]</f>
        <v>0</v>
      </c>
      <c r="K192" t="b">
        <f>tblTargetStatus[[#This Row],[CompletedDependencies]]=tblTargetStatus[[#This Row],[TotalDependencies]]</f>
        <v>0</v>
      </c>
      <c r="L192">
        <f>tblTargetStatus[[#This Row],[TotalDependencies]]-tblTargetStatus[[#This Row],[CompletedDependencies]]</f>
        <v>1</v>
      </c>
      <c r="M192" t="str" cm="1">
        <f t="array" ref="M1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collection.historical_library_2@2</v>
      </c>
      <c r="N192" t="str">
        <f>IF(tblTargetStatus[[#This Row],[FirstMissingDependencyID]]="","",_xlfn.XLOOKUP(tblTargetStatus[[#This Row],[FirstMissingDependencyID]],tblTargets[TargetID],tblTargets[DisplayName],tblTargetStatus[[#This Row],[FirstMissingDependencyID]]))</f>
        <v>Historical Library 2 Lv 2</v>
      </c>
      <c r="O192" t="str" cm="1">
        <f t="array" ref="O1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 map1,30 map2,15 map3</v>
      </c>
      <c r="P192" t="str">
        <f>IF(tblTargetStatus[[#This Row],[FirstMissingDependencyID]]="","",_xlfn.XLOOKUP(tblTargetStatus[[#This Row],[FirstMissingDependencyID]],tblTargetStatus[TargetID],tblTargetStatus[Status],""))</f>
        <v>BLOCKED</v>
      </c>
      <c r="Q192" t="str">
        <f>IF(
 tblTargetStatus[[#This Row],[Status]]&lt;&gt;"BLOCKED",
 tblTargetStatus[[#This Row],[Status]],
 IF(
  AND(
   tblTargetStatus[[#This Row],[MissingDependencies]]=1,
   tblTargetStatus[[#This Row],[FirstMissingStatus]]="READY"
  ),
  "ONE AWAY",
  "BLOCKED"
 )
)</f>
        <v>BLOCKED</v>
      </c>
      <c r="R192">
        <f>IF(
 OR(
  tblTargetStatus[[#This Row],[StateType]]="CHARACTER",
  RIGHT(tblTargetStatus[[#This Row],[TargetID]],6)=".maxed"
 ),
 0,
 _xlfn.LET(
  _xlpm.sort,
   _xlfn.XLOOKUP(
    tblTargetStatus[[#This Row],[TargetID]],
    tblChecklist[TargetID],
    tblChecklist[PlayerSort],
    0
   ),
  IF(_xlpm.sort=0,500,_xlpm.sort)
 )
)</f>
        <v>21</v>
      </c>
      <c r="S192" t="str" cm="1">
        <f t="array" ref="S19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92" t="str">
        <f>_xlfn.XLOOKUP(tblTargetStatus[[#This Row],[TargetID]],tblTargets[TargetID],tblTargets[CompletionMethod],"")</f>
        <v>PLAYER</v>
      </c>
      <c r="U192" t="b">
        <f>COUNTIF(
    tblCost[TargetID],
    tblTargetStatus[[#This Row],[TargetID]]
)&gt;0</f>
        <v>1</v>
      </c>
      <c r="V192" s="81">
        <f>IF(tblTargetStatus[[#This Row],[HasCost]]=FALSE,
"N/A",
_xlfn.XLOOKUP(
tblTargetStatus[[#This Row],[TargetID]],
tblCost[TargetID],
tblCost[FundingPercent],
""
)
)</f>
        <v>0</v>
      </c>
      <c r="W192">
        <f>IF(
COUNTIF(tblCost[TargetID],tblTargetStatus[[#This Row],[TargetID]])=0,
"",
_xlfn.XLOOKUP(
tblTargetStatus[[#This Row],[TargetID]],
tblCost[TargetID],
tblCost[RemainingRequirements],
""
)
)</f>
        <v>3</v>
      </c>
      <c r="X192" s="79" t="b">
        <f>IF(tblTargetStatus[[#This Row],[HasCost]]=FALSE,"N/A",_xlfn.XLOOKUP(
tblTargetStatus[[#This Row],[TargetID]],
tblCost[TargetID],
tblCost[TargetFunded],
TRUE
))</f>
        <v>0</v>
      </c>
      <c r="Y192" t="str" cm="1">
        <f t="array" ref="Y192">_xlfn.TEXTJOIN(
", ",
TRUE,
_xlfn._xlws.FILTER(
tblCost[ResourceID]&amp;": "&amp;tblCost[QuantityRequired],
(tblCost[TargetID]=tblTargetStatus[[#This Row],[TargetID]])*
(tblCost[PlayerPaid]=FALSE),
""
)
)</f>
        <v>map1: 60, map2: 30, map3: 15</v>
      </c>
      <c r="Z1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2" t="str" cm="1">
        <f t="array" ref="AA19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3" spans="1:27">
      <c r="A193" t="s">
        <v>2611</v>
      </c>
      <c r="B193" t="str">
        <f>_xlfn.XLOOKUP(tblTargetStatus[[#This Row],[TargetID]],tblTargets[TargetID],tblTargets[DisplayName],"")</f>
        <v>Horse Lv 1</v>
      </c>
      <c r="C193" t="str">
        <f>IF(tblTargetStatus[[#This Row],[PlayerCompleted]],"COMPLETED",IF(tblTargetStatus[[#This Row],[MissingDependencies]]=0,"READY","BLOCKED"))</f>
        <v>BLOCKED</v>
      </c>
      <c r="D1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3" t="str">
        <f>_xlfn.XLOOKUP(tblTargetStatus[[#This Row],[TargetID]],tblTargets[TargetID],tblTargets[TargetType],"")</f>
        <v>COLLECTION</v>
      </c>
      <c r="F193" t="str">
        <f>_xlfn.XLOOKUP(tblTargetStatus[[#This Row],[TargetID]],tblTargets[TargetID],tblTargets[StateType])</f>
        <v/>
      </c>
      <c r="G193">
        <f>_xlfn.LET(
_xlpm.id,tblTargetStatus[[#This Row],[TargetID]],
_xlpm.depCount,COUNTIF(tblDependencies[TargetID],_xlpm.id),
_xlpm.objCount,COUNTIF(tblQuestObjectives[QuestTargetID],_xlpm.id),
_xlpm.depCount+_xlpm.objCount
)</f>
        <v>2</v>
      </c>
      <c r="H193">
        <f>tblTargetStatus[[#This Row],[DependencyCount]]</f>
        <v>2</v>
      </c>
      <c r="I193" cm="1">
        <f t="array" ref="I1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3">
        <f>tblTargetStatus[[#This Row],[CompletedDependencyCount]]</f>
        <v>0</v>
      </c>
      <c r="K193" t="b">
        <f>tblTargetStatus[[#This Row],[CompletedDependencies]]=tblTargetStatus[[#This Row],[TotalDependencies]]</f>
        <v>0</v>
      </c>
      <c r="L193">
        <f>tblTargetStatus[[#This Row],[TotalDependencies]]-tblTargetStatus[[#This Row],[CompletedDependencies]]</f>
        <v>2</v>
      </c>
      <c r="M193" t="str" cm="1">
        <f t="array" ref="M1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193" t="str">
        <f>IF(tblTargetStatus[[#This Row],[FirstMissingDependencyID]]="","",_xlfn.XLOOKUP(tblTargetStatus[[#This Row],[FirstMissingDependencyID]],tblTargets[TargetID],tblTargets[DisplayName],tblTargetStatus[[#This Row],[FirstMissingDependencyID]]))</f>
        <v>Great Hall</v>
      </c>
      <c r="O193" t="str" cm="1">
        <f t="array" ref="O1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3000 coin</v>
      </c>
      <c r="P193" t="str">
        <f>IF(tblTargetStatus[[#This Row],[FirstMissingDependencyID]]="","",_xlfn.XLOOKUP(tblTargetStatus[[#This Row],[FirstMissingDependencyID]],tblTargetStatus[TargetID],tblTargetStatus[Status],""))</f>
        <v>BLOCKED</v>
      </c>
      <c r="Q193" t="str">
        <f>IF(
 tblTargetStatus[[#This Row],[Status]]&lt;&gt;"BLOCKED",
 tblTargetStatus[[#This Row],[Status]],
 IF(
  AND(
   tblTargetStatus[[#This Row],[MissingDependencies]]=1,
   tblTargetStatus[[#This Row],[FirstMissingStatus]]="READY"
  ),
  "ONE AWAY",
  "BLOCKED"
 )
)</f>
        <v>BLOCKED</v>
      </c>
      <c r="R193">
        <f>IF(
 OR(
  tblTargetStatus[[#This Row],[StateType]]="CHARACTER",
  RIGHT(tblTargetStatus[[#This Row],[TargetID]],6)=".maxed"
 ),
 0,
 _xlfn.LET(
  _xlpm.sort,
   _xlfn.XLOOKUP(
    tblTargetStatus[[#This Row],[TargetID]],
    tblChecklist[TargetID],
    tblChecklist[PlayerSort],
    0
   ),
  IF(_xlpm.sort=0,500,_xlpm.sort)
 )
)</f>
        <v>800</v>
      </c>
      <c r="S193" t="str" cm="1">
        <f t="array" ref="S19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93" t="str">
        <f>_xlfn.XLOOKUP(tblTargetStatus[[#This Row],[TargetID]],tblTargets[TargetID],tblTargets[CompletionMethod],"")</f>
        <v>PLAYER</v>
      </c>
      <c r="U193" t="b">
        <f>COUNTIF(
    tblCost[TargetID],
    tblTargetStatus[[#This Row],[TargetID]]
)&gt;0</f>
        <v>1</v>
      </c>
      <c r="V193" s="81">
        <f>IF(tblTargetStatus[[#This Row],[HasCost]]=FALSE,
"N/A",
_xlfn.XLOOKUP(
tblTargetStatus[[#This Row],[TargetID]],
tblCost[TargetID],
tblCost[FundingPercent],
""
)
)</f>
        <v>0</v>
      </c>
      <c r="W193">
        <f>IF(
COUNTIF(tblCost[TargetID],tblTargetStatus[[#This Row],[TargetID]])=0,
"",
_xlfn.XLOOKUP(
tblTargetStatus[[#This Row],[TargetID]],
tblCost[TargetID],
tblCost[RemainingRequirements],
""
)
)</f>
        <v>1</v>
      </c>
      <c r="X193" s="79" t="b">
        <f>IF(tblTargetStatus[[#This Row],[HasCost]]=FALSE,"N/A",_xlfn.XLOOKUP(
tblTargetStatus[[#This Row],[TargetID]],
tblCost[TargetID],
tblCost[TargetFunded],
TRUE
))</f>
        <v>0</v>
      </c>
      <c r="Y193" t="str" cm="1">
        <f t="array" ref="Y193">_xlfn.TEXTJOIN(
", ",
TRUE,
_xlfn._xlws.FILTER(
tblCost[ResourceID]&amp;": "&amp;tblCost[QuantityRequired],
(tblCost[TargetID]=tblTargetStatus[[#This Row],[TargetID]])*
(tblCost[PlayerPaid]=FALSE),
""
)
)</f>
        <v>coin: 3000</v>
      </c>
      <c r="Z1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3" t="str" cm="1">
        <f t="array" ref="AA19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4" spans="1:27" ht="43.5">
      <c r="A194" t="s">
        <v>2612</v>
      </c>
      <c r="B194" t="str">
        <f>_xlfn.XLOOKUP(tblTargetStatus[[#This Row],[TargetID]],tblTargets[TargetID],tblTargets[DisplayName],"")</f>
        <v>Kitchen And Buttery 1 Lv 1</v>
      </c>
      <c r="C194" t="str">
        <f>IF(tblTargetStatus[[#This Row],[PlayerCompleted]],"COMPLETED",IF(tblTargetStatus[[#This Row],[MissingDependencies]]=0,"READY","BLOCKED"))</f>
        <v>BLOCKED</v>
      </c>
      <c r="D1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4" t="str">
        <f>_xlfn.XLOOKUP(tblTargetStatus[[#This Row],[TargetID]],tblTargets[TargetID],tblTargets[TargetType],"")</f>
        <v>COLLECTION</v>
      </c>
      <c r="F194" t="str">
        <f>_xlfn.XLOOKUP(tblTargetStatus[[#This Row],[TargetID]],tblTargets[TargetID],tblTargets[StateType])</f>
        <v/>
      </c>
      <c r="G194">
        <f>_xlfn.LET(
_xlpm.id,tblTargetStatus[[#This Row],[TargetID]],
_xlpm.depCount,COUNTIF(tblDependencies[TargetID],_xlpm.id),
_xlpm.objCount,COUNTIF(tblQuestObjectives[QuestTargetID],_xlpm.id),
_xlpm.depCount+_xlpm.objCount
)</f>
        <v>1</v>
      </c>
      <c r="H194">
        <f>tblTargetStatus[[#This Row],[DependencyCount]]</f>
        <v>1</v>
      </c>
      <c r="I194" cm="1">
        <f t="array" ref="I1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4">
        <f>tblTargetStatus[[#This Row],[CompletedDependencyCount]]</f>
        <v>0</v>
      </c>
      <c r="K194" t="b">
        <f>tblTargetStatus[[#This Row],[CompletedDependencies]]=tblTargetStatus[[#This Row],[TotalDependencies]]</f>
        <v>0</v>
      </c>
      <c r="L194">
        <f>tblTargetStatus[[#This Row],[TotalDependencies]]-tblTargetStatus[[#This Row],[CompletedDependencies]]</f>
        <v>1</v>
      </c>
      <c r="M194" t="str" cm="1">
        <f t="array" ref="M1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citadel.kitchen_and_buttery</v>
      </c>
      <c r="N194" t="str">
        <f>IF(tblTargetStatus[[#This Row],[FirstMissingDependencyID]]="","",_xlfn.XLOOKUP(tblTargetStatus[[#This Row],[FirstMissingDependencyID]],tblTargets[TargetID],tblTargets[DisplayName],tblTargetStatus[[#This Row],[FirstMissingDependencyID]]))</f>
        <v>Kitchen and Buttery</v>
      </c>
      <c r="O194" s="2" t="str" cm="1">
        <f t="array" ref="O1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honey,10 jam,15 oil,50 plank,50 plank.2,50 plank.3,50 plank.4,50 plank.5,50 plank.6,50 plank.7,50 plank.8,15 soy</v>
      </c>
      <c r="P194" t="str">
        <f>IF(tblTargetStatus[[#This Row],[FirstMissingDependencyID]]="","",_xlfn.XLOOKUP(tblTargetStatus[[#This Row],[FirstMissingDependencyID]],tblTargetStatus[TargetID],tblTargetStatus[Status],""))</f>
        <v>BLOCKED</v>
      </c>
      <c r="Q194" t="str">
        <f>IF(
 tblTargetStatus[[#This Row],[Status]]&lt;&gt;"BLOCKED",
 tblTargetStatus[[#This Row],[Status]],
 IF(
  AND(
   tblTargetStatus[[#This Row],[MissingDependencies]]=1,
   tblTargetStatus[[#This Row],[FirstMissingStatus]]="READY"
  ),
  "ONE AWAY",
  "BLOCKED"
 )
)</f>
        <v>BLOCKED</v>
      </c>
      <c r="R194">
        <f>IF(
 OR(
  tblTargetStatus[[#This Row],[StateType]]="CHARACTER",
  RIGHT(tblTargetStatus[[#This Row],[TargetID]],6)=".maxed"
 ),
 0,
 _xlfn.LET(
  _xlpm.sort,
   _xlfn.XLOOKUP(
    tblTargetStatus[[#This Row],[TargetID]],
    tblChecklist[TargetID],
    tblChecklist[PlayerSort],
    0
   ),
  IF(_xlpm.sort=0,500,_xlpm.sort)
 )
)</f>
        <v>500</v>
      </c>
      <c r="S194" t="str" cm="1">
        <f t="array" ref="S19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Kitchen And Buttery 1 Lv 2</v>
      </c>
      <c r="T194" t="str">
        <f>_xlfn.XLOOKUP(tblTargetStatus[[#This Row],[TargetID]],tblTargets[TargetID],tblTargets[CompletionMethod],"")</f>
        <v>PLAYER</v>
      </c>
      <c r="U194" t="b">
        <f>COUNTIF(
    tblCost[TargetID],
    tblTargetStatus[[#This Row],[TargetID]]
)&gt;0</f>
        <v>1</v>
      </c>
      <c r="V194" s="81">
        <f>IF(tblTargetStatus[[#This Row],[HasCost]]=FALSE,
"N/A",
_xlfn.XLOOKUP(
tblTargetStatus[[#This Row],[TargetID]],
tblCost[TargetID],
tblCost[FundingPercent],
""
)
)</f>
        <v>0</v>
      </c>
      <c r="W194">
        <f>IF(
COUNTIF(tblCost[TargetID],tblTargetStatus[[#This Row],[TargetID]])=0,
"",
_xlfn.XLOOKUP(
tblTargetStatus[[#This Row],[TargetID]],
tblCost[TargetID],
tblCost[RemainingRequirements],
""
)
)</f>
        <v>12</v>
      </c>
      <c r="X194" s="79" t="b">
        <f>IF(tblTargetStatus[[#This Row],[HasCost]]=FALSE,"N/A",_xlfn.XLOOKUP(
tblTargetStatus[[#This Row],[TargetID]],
tblCost[TargetID],
tblCost[TargetFunded],
TRUE
))</f>
        <v>0</v>
      </c>
      <c r="Y194" t="str" cm="1">
        <f t="array" ref="Y194">_xlfn.TEXTJOIN(
", ",
TRUE,
_xlfn._xlws.FILTER(
tblCost[ResourceID]&amp;": "&amp;tblCost[QuantityRequired],
(tblCost[TargetID]=tblTargetStatus[[#This Row],[TargetID]])*
(tblCost[PlayerPaid]=FALSE),
""
)
)</f>
        <v>honey: 10, jam: 10, oil: 15, plank: 50, plank: 50, plank: 50, plank: 50, plank: 50, plank: 50, plank: 50, plank: 50, soy: 15</v>
      </c>
      <c r="Z1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4" t="str" cm="1">
        <f t="array" ref="AA19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5" spans="1:27">
      <c r="A195" t="s">
        <v>2613</v>
      </c>
      <c r="B195" t="str">
        <f>_xlfn.XLOOKUP(tblTargetStatus[[#This Row],[TargetID]],tblTargets[TargetID],tblTargets[DisplayName],"")</f>
        <v>Kitchen And Buttery 1 Lv 2</v>
      </c>
      <c r="C195" t="str">
        <f>IF(tblTargetStatus[[#This Row],[PlayerCompleted]],"COMPLETED",IF(tblTargetStatus[[#This Row],[MissingDependencies]]=0,"READY","BLOCKED"))</f>
        <v>BLOCKED</v>
      </c>
      <c r="D1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5" t="str">
        <f>_xlfn.XLOOKUP(tblTargetStatus[[#This Row],[TargetID]],tblTargets[TargetID],tblTargets[TargetType],"")</f>
        <v>COLLECTION</v>
      </c>
      <c r="F195" t="str">
        <f>_xlfn.XLOOKUP(tblTargetStatus[[#This Row],[TargetID]],tblTargets[TargetID],tblTargets[StateType])</f>
        <v/>
      </c>
      <c r="G195">
        <f>_xlfn.LET(
_xlpm.id,tblTargetStatus[[#This Row],[TargetID]],
_xlpm.depCount,COUNTIF(tblDependencies[TargetID],_xlpm.id),
_xlpm.objCount,COUNTIF(tblQuestObjectives[QuestTargetID],_xlpm.id),
_xlpm.depCount+_xlpm.objCount
)</f>
        <v>1</v>
      </c>
      <c r="H195">
        <f>tblTargetStatus[[#This Row],[DependencyCount]]</f>
        <v>1</v>
      </c>
      <c r="I195" cm="1">
        <f t="array" ref="I1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5">
        <f>tblTargetStatus[[#This Row],[CompletedDependencyCount]]</f>
        <v>0</v>
      </c>
      <c r="K195" t="b">
        <f>tblTargetStatus[[#This Row],[CompletedDependencies]]=tblTargetStatus[[#This Row],[TotalDependencies]]</f>
        <v>0</v>
      </c>
      <c r="L195">
        <f>tblTargetStatus[[#This Row],[TotalDependencies]]-tblTargetStatus[[#This Row],[CompletedDependencies]]</f>
        <v>1</v>
      </c>
      <c r="M195" t="str" cm="1">
        <f t="array" ref="M1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collection.kitchen_and_buttery_1@1</v>
      </c>
      <c r="N195" t="str">
        <f>IF(tblTargetStatus[[#This Row],[FirstMissingDependencyID]]="","",_xlfn.XLOOKUP(tblTargetStatus[[#This Row],[FirstMissingDependencyID]],tblTargets[TargetID],tblTargets[DisplayName],tblTargetStatus[[#This Row],[FirstMissingDependencyID]]))</f>
        <v>Kitchen And Buttery 1 Lv 1</v>
      </c>
      <c r="O195" t="str" cm="1">
        <f t="array" ref="O1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honey,20 jam,30 oil,100 plank,100 plank.2,100 plank.3,100 plank.4,100 plank.5,100 plank.6,100 plank.7,100 plank.8,30 soy</v>
      </c>
      <c r="P195" t="str">
        <f>IF(tblTargetStatus[[#This Row],[FirstMissingDependencyID]]="","",_xlfn.XLOOKUP(tblTargetStatus[[#This Row],[FirstMissingDependencyID]],tblTargetStatus[TargetID],tblTargetStatus[Status],""))</f>
        <v>BLOCKED</v>
      </c>
      <c r="Q195" t="str">
        <f>IF(
 tblTargetStatus[[#This Row],[Status]]&lt;&gt;"BLOCKED",
 tblTargetStatus[[#This Row],[Status]],
 IF(
  AND(
   tblTargetStatus[[#This Row],[MissingDependencies]]=1,
   tblTargetStatus[[#This Row],[FirstMissingStatus]]="READY"
  ),
  "ONE AWAY",
  "BLOCKED"
 )
)</f>
        <v>BLOCKED</v>
      </c>
      <c r="R195">
        <f>IF(
 OR(
  tblTargetStatus[[#This Row],[StateType]]="CHARACTER",
  RIGHT(tblTargetStatus[[#This Row],[TargetID]],6)=".maxed"
 ),
 0,
 _xlfn.LET(
  _xlpm.sort,
   _xlfn.XLOOKUP(
    tblTargetStatus[[#This Row],[TargetID]],
    tblChecklist[TargetID],
    tblChecklist[PlayerSort],
    0
   ),
  IF(_xlpm.sort=0,500,_xlpm.sort)
 )
)</f>
        <v>500</v>
      </c>
      <c r="S195" t="str" cm="1">
        <f t="array" ref="S19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Kitchen And Buttery 1 Lv 3</v>
      </c>
      <c r="T195" t="str">
        <f>_xlfn.XLOOKUP(tblTargetStatus[[#This Row],[TargetID]],tblTargets[TargetID],tblTargets[CompletionMethod],"")</f>
        <v>PLAYER</v>
      </c>
      <c r="U195" t="b">
        <f>COUNTIF(
    tblCost[TargetID],
    tblTargetStatus[[#This Row],[TargetID]]
)&gt;0</f>
        <v>1</v>
      </c>
      <c r="V195" s="81">
        <f>IF(tblTargetStatus[[#This Row],[HasCost]]=FALSE,
"N/A",
_xlfn.XLOOKUP(
tblTargetStatus[[#This Row],[TargetID]],
tblCost[TargetID],
tblCost[FundingPercent],
""
)
)</f>
        <v>0</v>
      </c>
      <c r="W195">
        <f>IF(
COUNTIF(tblCost[TargetID],tblTargetStatus[[#This Row],[TargetID]])=0,
"",
_xlfn.XLOOKUP(
tblTargetStatus[[#This Row],[TargetID]],
tblCost[TargetID],
tblCost[RemainingRequirements],
""
)
)</f>
        <v>12</v>
      </c>
      <c r="X195" s="79" t="b">
        <f>IF(tblTargetStatus[[#This Row],[HasCost]]=FALSE,"N/A",_xlfn.XLOOKUP(
tblTargetStatus[[#This Row],[TargetID]],
tblCost[TargetID],
tblCost[TargetFunded],
TRUE
))</f>
        <v>0</v>
      </c>
      <c r="Y195" t="str" cm="1">
        <f t="array" ref="Y195">_xlfn.TEXTJOIN(
", ",
TRUE,
_xlfn._xlws.FILTER(
tblCost[ResourceID]&amp;": "&amp;tblCost[QuantityRequired],
(tblCost[TargetID]=tblTargetStatus[[#This Row],[TargetID]])*
(tblCost[PlayerPaid]=FALSE),
""
)
)</f>
        <v>honey: 20, jam: 20, oil: 30, plank: 100, plank: 100, plank: 100, plank: 100, plank: 100, plank: 100, plank: 100, plank: 100, soy: 30</v>
      </c>
      <c r="Z1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5" t="str" cm="1">
        <f t="array" ref="AA19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6" spans="1:27">
      <c r="A196" t="s">
        <v>2614</v>
      </c>
      <c r="B196" t="str">
        <f>_xlfn.XLOOKUP(tblTargetStatus[[#This Row],[TargetID]],tblTargets[TargetID],tblTargets[DisplayName],"")</f>
        <v>Kitchen And Buttery 1 Lv 3</v>
      </c>
      <c r="C196" t="str">
        <f>IF(tblTargetStatus[[#This Row],[PlayerCompleted]],"COMPLETED",IF(tblTargetStatus[[#This Row],[MissingDependencies]]=0,"READY","BLOCKED"))</f>
        <v>BLOCKED</v>
      </c>
      <c r="D1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6" t="str">
        <f>_xlfn.XLOOKUP(tblTargetStatus[[#This Row],[TargetID]],tblTargets[TargetID],tblTargets[TargetType],"")</f>
        <v>COLLECTION</v>
      </c>
      <c r="F196" t="str">
        <f>_xlfn.XLOOKUP(tblTargetStatus[[#This Row],[TargetID]],tblTargets[TargetID],tblTargets[StateType])</f>
        <v/>
      </c>
      <c r="G196">
        <f>_xlfn.LET(
_xlpm.id,tblTargetStatus[[#This Row],[TargetID]],
_xlpm.depCount,COUNTIF(tblDependencies[TargetID],_xlpm.id),
_xlpm.objCount,COUNTIF(tblQuestObjectives[QuestTargetID],_xlpm.id),
_xlpm.depCount+_xlpm.objCount
)</f>
        <v>1</v>
      </c>
      <c r="H196">
        <f>tblTargetStatus[[#This Row],[DependencyCount]]</f>
        <v>1</v>
      </c>
      <c r="I196" cm="1">
        <f t="array" ref="I1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6">
        <f>tblTargetStatus[[#This Row],[CompletedDependencyCount]]</f>
        <v>0</v>
      </c>
      <c r="K196" t="b">
        <f>tblTargetStatus[[#This Row],[CompletedDependencies]]=tblTargetStatus[[#This Row],[TotalDependencies]]</f>
        <v>0</v>
      </c>
      <c r="L196">
        <f>tblTargetStatus[[#This Row],[TotalDependencies]]-tblTargetStatus[[#This Row],[CompletedDependencies]]</f>
        <v>1</v>
      </c>
      <c r="M196" t="str" cm="1">
        <f t="array" ref="M1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collection.kitchen_and_buttery_1@2</v>
      </c>
      <c r="N196" t="str">
        <f>IF(tblTargetStatus[[#This Row],[FirstMissingDependencyID]]="","",_xlfn.XLOOKUP(tblTargetStatus[[#This Row],[FirstMissingDependencyID]],tblTargets[TargetID],tblTargets[DisplayName],tblTargetStatus[[#This Row],[FirstMissingDependencyID]]))</f>
        <v>Kitchen And Buttery 1 Lv 2</v>
      </c>
      <c r="O196" t="str" cm="1">
        <f t="array" ref="O1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honey,30 jam,45 oil,150 plank,150 plank.2,150 plank.3,150 plank.4,150 plank.5,150 plank.6,150 plank.7,150 plank.8,45 soy</v>
      </c>
      <c r="P196" t="str">
        <f>IF(tblTargetStatus[[#This Row],[FirstMissingDependencyID]]="","",_xlfn.XLOOKUP(tblTargetStatus[[#This Row],[FirstMissingDependencyID]],tblTargetStatus[TargetID],tblTargetStatus[Status],""))</f>
        <v>BLOCKED</v>
      </c>
      <c r="Q196" t="str">
        <f>IF(
 tblTargetStatus[[#This Row],[Status]]&lt;&gt;"BLOCKED",
 tblTargetStatus[[#This Row],[Status]],
 IF(
  AND(
   tblTargetStatus[[#This Row],[MissingDependencies]]=1,
   tblTargetStatus[[#This Row],[FirstMissingStatus]]="READY"
  ),
  "ONE AWAY",
  "BLOCKED"
 )
)</f>
        <v>BLOCKED</v>
      </c>
      <c r="R196">
        <f>IF(
 OR(
  tblTargetStatus[[#This Row],[StateType]]="CHARACTER",
  RIGHT(tblTargetStatus[[#This Row],[TargetID]],6)=".maxed"
 ),
 0,
 _xlfn.LET(
  _xlpm.sort,
   _xlfn.XLOOKUP(
    tblTargetStatus[[#This Row],[TargetID]],
    tblChecklist[TargetID],
    tblChecklist[PlayerSort],
    0
   ),
  IF(_xlpm.sort=0,500,_xlpm.sort)
 )
)</f>
        <v>500</v>
      </c>
      <c r="S196" t="str" cm="1">
        <f t="array" ref="S19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Kitchen And Buttery 1 Lv 4</v>
      </c>
      <c r="T196" t="str">
        <f>_xlfn.XLOOKUP(tblTargetStatus[[#This Row],[TargetID]],tblTargets[TargetID],tblTargets[CompletionMethod],"")</f>
        <v>PLAYER</v>
      </c>
      <c r="U196" t="b">
        <f>COUNTIF(
    tblCost[TargetID],
    tblTargetStatus[[#This Row],[TargetID]]
)&gt;0</f>
        <v>1</v>
      </c>
      <c r="V196" s="81">
        <f>IF(tblTargetStatus[[#This Row],[HasCost]]=FALSE,
"N/A",
_xlfn.XLOOKUP(
tblTargetStatus[[#This Row],[TargetID]],
tblCost[TargetID],
tblCost[FundingPercent],
""
)
)</f>
        <v>0</v>
      </c>
      <c r="W196">
        <f>IF(
COUNTIF(tblCost[TargetID],tblTargetStatus[[#This Row],[TargetID]])=0,
"",
_xlfn.XLOOKUP(
tblTargetStatus[[#This Row],[TargetID]],
tblCost[TargetID],
tblCost[RemainingRequirements],
""
)
)</f>
        <v>12</v>
      </c>
      <c r="X196" s="79" t="b">
        <f>IF(tblTargetStatus[[#This Row],[HasCost]]=FALSE,"N/A",_xlfn.XLOOKUP(
tblTargetStatus[[#This Row],[TargetID]],
tblCost[TargetID],
tblCost[TargetFunded],
TRUE
))</f>
        <v>0</v>
      </c>
      <c r="Y196" t="str" cm="1">
        <f t="array" ref="Y196">_xlfn.TEXTJOIN(
", ",
TRUE,
_xlfn._xlws.FILTER(
tblCost[ResourceID]&amp;": "&amp;tblCost[QuantityRequired],
(tblCost[TargetID]=tblTargetStatus[[#This Row],[TargetID]])*
(tblCost[PlayerPaid]=FALSE),
""
)
)</f>
        <v>honey: 30, jam: 30, oil: 45, plank: 150, plank: 150, plank: 150, plank: 150, plank: 150, plank: 150, plank: 150, plank: 150, soy: 45</v>
      </c>
      <c r="Z1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6" t="str" cm="1">
        <f t="array" ref="AA19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7" spans="1:27">
      <c r="A197" t="s">
        <v>2615</v>
      </c>
      <c r="B197" t="str">
        <f>_xlfn.XLOOKUP(tblTargetStatus[[#This Row],[TargetID]],tblTargets[TargetID],tblTargets[DisplayName],"")</f>
        <v>Kitchen And Buttery 1 Lv 4</v>
      </c>
      <c r="C197" t="str">
        <f>IF(tblTargetStatus[[#This Row],[PlayerCompleted]],"COMPLETED",IF(tblTargetStatus[[#This Row],[MissingDependencies]]=0,"READY","BLOCKED"))</f>
        <v>BLOCKED</v>
      </c>
      <c r="D1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7" t="str">
        <f>_xlfn.XLOOKUP(tblTargetStatus[[#This Row],[TargetID]],tblTargets[TargetID],tblTargets[TargetType],"")</f>
        <v>COLLECTION</v>
      </c>
      <c r="F197" t="str">
        <f>_xlfn.XLOOKUP(tblTargetStatus[[#This Row],[TargetID]],tblTargets[TargetID],tblTargets[StateType])</f>
        <v/>
      </c>
      <c r="G197">
        <f>_xlfn.LET(
_xlpm.id,tblTargetStatus[[#This Row],[TargetID]],
_xlpm.depCount,COUNTIF(tblDependencies[TargetID],_xlpm.id),
_xlpm.objCount,COUNTIF(tblQuestObjectives[QuestTargetID],_xlpm.id),
_xlpm.depCount+_xlpm.objCount
)</f>
        <v>1</v>
      </c>
      <c r="H197">
        <f>tblTargetStatus[[#This Row],[DependencyCount]]</f>
        <v>1</v>
      </c>
      <c r="I197" cm="1">
        <f t="array" ref="I1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7">
        <f>tblTargetStatus[[#This Row],[CompletedDependencyCount]]</f>
        <v>0</v>
      </c>
      <c r="K197" t="b">
        <f>tblTargetStatus[[#This Row],[CompletedDependencies]]=tblTargetStatus[[#This Row],[TotalDependencies]]</f>
        <v>0</v>
      </c>
      <c r="L197">
        <f>tblTargetStatus[[#This Row],[TotalDependencies]]-tblTargetStatus[[#This Row],[CompletedDependencies]]</f>
        <v>1</v>
      </c>
      <c r="M197" t="str" cm="1">
        <f t="array" ref="M1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collection.kitchen_and_buttery_1@3</v>
      </c>
      <c r="N197" t="str">
        <f>IF(tblTargetStatus[[#This Row],[FirstMissingDependencyID]]="","",_xlfn.XLOOKUP(tblTargetStatus[[#This Row],[FirstMissingDependencyID]],tblTargets[TargetID],tblTargets[DisplayName],tblTargetStatus[[#This Row],[FirstMissingDependencyID]]))</f>
        <v>Kitchen And Buttery 1 Lv 3</v>
      </c>
      <c r="O197" t="str" cm="1">
        <f t="array" ref="O1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honey,40 jam,60 oil,200 plank,200 plank.2,200 plank.3,200 plank.4,200 plank.5,200 plank.6,200 plank.7,200 plank.8,60 soy</v>
      </c>
      <c r="P197" t="str">
        <f>IF(tblTargetStatus[[#This Row],[FirstMissingDependencyID]]="","",_xlfn.XLOOKUP(tblTargetStatus[[#This Row],[FirstMissingDependencyID]],tblTargetStatus[TargetID],tblTargetStatus[Status],""))</f>
        <v>BLOCKED</v>
      </c>
      <c r="Q197" t="str">
        <f>IF(
 tblTargetStatus[[#This Row],[Status]]&lt;&gt;"BLOCKED",
 tblTargetStatus[[#This Row],[Status]],
 IF(
  AND(
   tblTargetStatus[[#This Row],[MissingDependencies]]=1,
   tblTargetStatus[[#This Row],[FirstMissingStatus]]="READY"
  ),
  "ONE AWAY",
  "BLOCKED"
 )
)</f>
        <v>BLOCKED</v>
      </c>
      <c r="R197">
        <f>IF(
 OR(
  tblTargetStatus[[#This Row],[StateType]]="CHARACTER",
  RIGHT(tblTargetStatus[[#This Row],[TargetID]],6)=".maxed"
 ),
 0,
 _xlfn.LET(
  _xlpm.sort,
   _xlfn.XLOOKUP(
    tblTargetStatus[[#This Row],[TargetID]],
    tblChecklist[TargetID],
    tblChecklist[PlayerSort],
    0
   ),
  IF(_xlpm.sort=0,500,_xlpm.sort)
 )
)</f>
        <v>23</v>
      </c>
      <c r="S197" t="str" cm="1">
        <f t="array" ref="S19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Kitchen And Buttery 1 Lv 5</v>
      </c>
      <c r="T197" t="str">
        <f>_xlfn.XLOOKUP(tblTargetStatus[[#This Row],[TargetID]],tblTargets[TargetID],tblTargets[CompletionMethod],"")</f>
        <v>PLAYER</v>
      </c>
      <c r="U197" t="b">
        <f>COUNTIF(
    tblCost[TargetID],
    tblTargetStatus[[#This Row],[TargetID]]
)&gt;0</f>
        <v>1</v>
      </c>
      <c r="V197" s="81">
        <f>IF(tblTargetStatus[[#This Row],[HasCost]]=FALSE,
"N/A",
_xlfn.XLOOKUP(
tblTargetStatus[[#This Row],[TargetID]],
tblCost[TargetID],
tblCost[FundingPercent],
""
)
)</f>
        <v>0</v>
      </c>
      <c r="W197">
        <f>IF(
COUNTIF(tblCost[TargetID],tblTargetStatus[[#This Row],[TargetID]])=0,
"",
_xlfn.XLOOKUP(
tblTargetStatus[[#This Row],[TargetID]],
tblCost[TargetID],
tblCost[RemainingRequirements],
""
)
)</f>
        <v>12</v>
      </c>
      <c r="X197" s="79" t="b">
        <f>IF(tblTargetStatus[[#This Row],[HasCost]]=FALSE,"N/A",_xlfn.XLOOKUP(
tblTargetStatus[[#This Row],[TargetID]],
tblCost[TargetID],
tblCost[TargetFunded],
TRUE
))</f>
        <v>0</v>
      </c>
      <c r="Y197" t="str" cm="1">
        <f t="array" ref="Y197">_xlfn.TEXTJOIN(
", ",
TRUE,
_xlfn._xlws.FILTER(
tblCost[ResourceID]&amp;": "&amp;tblCost[QuantityRequired],
(tblCost[TargetID]=tblTargetStatus[[#This Row],[TargetID]])*
(tblCost[PlayerPaid]=FALSE),
""
)
)</f>
        <v>honey: 40, jam: 40, oil: 60, plank: 200, plank: 200, plank: 200, plank: 200, plank: 200, plank: 200, plank: 200, plank: 200, soy: 60</v>
      </c>
      <c r="Z1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7" t="str" cm="1">
        <f t="array" ref="AA19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8" spans="1:27">
      <c r="A198" t="s">
        <v>2616</v>
      </c>
      <c r="B198" t="str">
        <f>_xlfn.XLOOKUP(tblTargetStatus[[#This Row],[TargetID]],tblTargets[TargetID],tblTargets[DisplayName],"")</f>
        <v>Kitchen And Buttery 1 Lv 5</v>
      </c>
      <c r="C198" t="str">
        <f>IF(tblTargetStatus[[#This Row],[PlayerCompleted]],"COMPLETED",IF(tblTargetStatus[[#This Row],[MissingDependencies]]=0,"READY","BLOCKED"))</f>
        <v>BLOCKED</v>
      </c>
      <c r="D1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8" t="str">
        <f>_xlfn.XLOOKUP(tblTargetStatus[[#This Row],[TargetID]],tblTargets[TargetID],tblTargets[TargetType],"")</f>
        <v>COLLECTION</v>
      </c>
      <c r="F198" t="str">
        <f>_xlfn.XLOOKUP(tblTargetStatus[[#This Row],[TargetID]],tblTargets[TargetID],tblTargets[StateType])</f>
        <v/>
      </c>
      <c r="G198">
        <f>_xlfn.LET(
_xlpm.id,tblTargetStatus[[#This Row],[TargetID]],
_xlpm.depCount,COUNTIF(tblDependencies[TargetID],_xlpm.id),
_xlpm.objCount,COUNTIF(tblQuestObjectives[QuestTargetID],_xlpm.id),
_xlpm.depCount+_xlpm.objCount
)</f>
        <v>1</v>
      </c>
      <c r="H198">
        <f>tblTargetStatus[[#This Row],[DependencyCount]]</f>
        <v>1</v>
      </c>
      <c r="I198" cm="1">
        <f t="array" ref="I1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8">
        <f>tblTargetStatus[[#This Row],[CompletedDependencyCount]]</f>
        <v>0</v>
      </c>
      <c r="K198" t="b">
        <f>tblTargetStatus[[#This Row],[CompletedDependencies]]=tblTargetStatus[[#This Row],[TotalDependencies]]</f>
        <v>0</v>
      </c>
      <c r="L198">
        <f>tblTargetStatus[[#This Row],[TotalDependencies]]-tblTargetStatus[[#This Row],[CompletedDependencies]]</f>
        <v>1</v>
      </c>
      <c r="M198" t="str" cm="1">
        <f t="array" ref="M1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collection.kitchen_and_buttery_1@4</v>
      </c>
      <c r="N198" t="str">
        <f>IF(tblTargetStatus[[#This Row],[FirstMissingDependencyID]]="","",_xlfn.XLOOKUP(tblTargetStatus[[#This Row],[FirstMissingDependencyID]],tblTargets[TargetID],tblTargets[DisplayName],tblTargetStatus[[#This Row],[FirstMissingDependencyID]]))</f>
        <v>Kitchen And Buttery 1 Lv 4</v>
      </c>
      <c r="O198" t="str" cm="1">
        <f t="array" ref="O1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honey,50 jam,75 oil,250 plank,250 plank.2,250 plank.3,250 plank.4,250 plank.5,250 plank.6,250 plank.7,250 plank.8,75 soy</v>
      </c>
      <c r="P198" t="str">
        <f>IF(tblTargetStatus[[#This Row],[FirstMissingDependencyID]]="","",_xlfn.XLOOKUP(tblTargetStatus[[#This Row],[FirstMissingDependencyID]],tblTargetStatus[TargetID],tblTargetStatus[Status],""))</f>
        <v>BLOCKED</v>
      </c>
      <c r="Q198" t="str">
        <f>IF(
 tblTargetStatus[[#This Row],[Status]]&lt;&gt;"BLOCKED",
 tblTargetStatus[[#This Row],[Status]],
 IF(
  AND(
   tblTargetStatus[[#This Row],[MissingDependencies]]=1,
   tblTargetStatus[[#This Row],[FirstMissingStatus]]="READY"
  ),
  "ONE AWAY",
  "BLOCKED"
 )
)</f>
        <v>BLOCKED</v>
      </c>
      <c r="R198">
        <f>IF(
 OR(
  tblTargetStatus[[#This Row],[StateType]]="CHARACTER",
  RIGHT(tblTargetStatus[[#This Row],[TargetID]],6)=".maxed"
 ),
 0,
 _xlfn.LET(
  _xlpm.sort,
   _xlfn.XLOOKUP(
    tblTargetStatus[[#This Row],[TargetID]],
    tblChecklist[TargetID],
    tblChecklist[PlayerSort],
    0
   ),
  IF(_xlpm.sort=0,500,_xlpm.sort)
 )
)</f>
        <v>500</v>
      </c>
      <c r="S198" t="str" cm="1">
        <f t="array" ref="S19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98" t="str">
        <f>_xlfn.XLOOKUP(tblTargetStatus[[#This Row],[TargetID]],tblTargets[TargetID],tblTargets[CompletionMethod],"")</f>
        <v>PLAYER</v>
      </c>
      <c r="U198" t="b">
        <f>COUNTIF(
    tblCost[TargetID],
    tblTargetStatus[[#This Row],[TargetID]]
)&gt;0</f>
        <v>1</v>
      </c>
      <c r="V198" s="81">
        <f>IF(tblTargetStatus[[#This Row],[HasCost]]=FALSE,
"N/A",
_xlfn.XLOOKUP(
tblTargetStatus[[#This Row],[TargetID]],
tblCost[TargetID],
tblCost[FundingPercent],
""
)
)</f>
        <v>0</v>
      </c>
      <c r="W198">
        <f>IF(
COUNTIF(tblCost[TargetID],tblTargetStatus[[#This Row],[TargetID]])=0,
"",
_xlfn.XLOOKUP(
tblTargetStatus[[#This Row],[TargetID]],
tblCost[TargetID],
tblCost[RemainingRequirements],
""
)
)</f>
        <v>12</v>
      </c>
      <c r="X198" s="79" t="b">
        <f>IF(tblTargetStatus[[#This Row],[HasCost]]=FALSE,"N/A",_xlfn.XLOOKUP(
tblTargetStatus[[#This Row],[TargetID]],
tblCost[TargetID],
tblCost[TargetFunded],
TRUE
))</f>
        <v>0</v>
      </c>
      <c r="Y198" t="str" cm="1">
        <f t="array" ref="Y198">_xlfn.TEXTJOIN(
", ",
TRUE,
_xlfn._xlws.FILTER(
tblCost[ResourceID]&amp;": "&amp;tblCost[QuantityRequired],
(tblCost[TargetID]=tblTargetStatus[[#This Row],[TargetID]])*
(tblCost[PlayerPaid]=FALSE),
""
)
)</f>
        <v>honey: 50, jam: 50, oil: 75, plank: 250, plank: 250, plank: 250, plank: 250, plank: 250, plank: 250, plank: 250, plank: 250, soy: 75</v>
      </c>
      <c r="Z1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8" t="str" cm="1">
        <f t="array" ref="AA19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199" spans="1:27" ht="29">
      <c r="A199" t="s">
        <v>2617</v>
      </c>
      <c r="B199" t="str">
        <f>_xlfn.XLOOKUP(tblTargetStatus[[#This Row],[TargetID]],tblTargets[TargetID],tblTargets[DisplayName],"")</f>
        <v>Kitchen And Buttery 2 Lv 1</v>
      </c>
      <c r="C199" t="str">
        <f>IF(tblTargetStatus[[#This Row],[PlayerCompleted]],"COMPLETED",IF(tblTargetStatus[[#This Row],[MissingDependencies]]=0,"READY","BLOCKED"))</f>
        <v>BLOCKED</v>
      </c>
      <c r="D1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9" t="str">
        <f>_xlfn.XLOOKUP(tblTargetStatus[[#This Row],[TargetID]],tblTargets[TargetID],tblTargets[TargetType],"")</f>
        <v>COLLECTION</v>
      </c>
      <c r="F199" t="str">
        <f>_xlfn.XLOOKUP(tblTargetStatus[[#This Row],[TargetID]],tblTargets[TargetID],tblTargets[StateType])</f>
        <v/>
      </c>
      <c r="G199">
        <f>_xlfn.LET(
_xlpm.id,tblTargetStatus[[#This Row],[TargetID]],
_xlpm.depCount,COUNTIF(tblDependencies[TargetID],_xlpm.id),
_xlpm.objCount,COUNTIF(tblQuestObjectives[QuestTargetID],_xlpm.id),
_xlpm.depCount+_xlpm.objCount
)</f>
        <v>1</v>
      </c>
      <c r="H199">
        <f>tblTargetStatus[[#This Row],[DependencyCount]]</f>
        <v>1</v>
      </c>
      <c r="I199" cm="1">
        <f t="array" ref="I1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9">
        <f>tblTargetStatus[[#This Row],[CompletedDependencyCount]]</f>
        <v>0</v>
      </c>
      <c r="K199" t="b">
        <f>tblTargetStatus[[#This Row],[CompletedDependencies]]=tblTargetStatus[[#This Row],[TotalDependencies]]</f>
        <v>0</v>
      </c>
      <c r="L199">
        <f>tblTargetStatus[[#This Row],[TotalDependencies]]-tblTargetStatus[[#This Row],[CompletedDependencies]]</f>
        <v>1</v>
      </c>
      <c r="M199" t="str" cm="1">
        <f t="array" ref="M1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citadel.kitchen_and_buttery</v>
      </c>
      <c r="N199" t="str">
        <f>IF(tblTargetStatus[[#This Row],[FirstMissingDependencyID]]="","",_xlfn.XLOOKUP(tblTargetStatus[[#This Row],[FirstMissingDependencyID]],tblTargets[TargetID],tblTargets[DisplayName],tblTargetStatus[[#This Row],[FirstMissingDependencyID]]))</f>
        <v>Kitchen and Buttery</v>
      </c>
      <c r="O199" s="2" t="str" cm="1">
        <f t="array" ref="O1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charcoal,20 oil,100 plank,100 plank.2,200 plank.3</v>
      </c>
      <c r="P199" t="str">
        <f>IF(tblTargetStatus[[#This Row],[FirstMissingDependencyID]]="","",_xlfn.XLOOKUP(tblTargetStatus[[#This Row],[FirstMissingDependencyID]],tblTargetStatus[TargetID],tblTargetStatus[Status],""))</f>
        <v>BLOCKED</v>
      </c>
      <c r="Q199" t="str">
        <f>IF(
 tblTargetStatus[[#This Row],[Status]]&lt;&gt;"BLOCKED",
 tblTargetStatus[[#This Row],[Status]],
 IF(
  AND(
   tblTargetStatus[[#This Row],[MissingDependencies]]=1,
   tblTargetStatus[[#This Row],[FirstMissingStatus]]="READY"
  ),
  "ONE AWAY",
  "BLOCKED"
 )
)</f>
        <v>BLOCKED</v>
      </c>
      <c r="R199">
        <f>IF(
 OR(
  tblTargetStatus[[#This Row],[StateType]]="CHARACTER",
  RIGHT(tblTargetStatus[[#This Row],[TargetID]],6)=".maxed"
 ),
 0,
 _xlfn.LET(
  _xlpm.sort,
   _xlfn.XLOOKUP(
    tblTargetStatus[[#This Row],[TargetID]],
    tblChecklist[TargetID],
    tblChecklist[PlayerSort],
    0
   ),
  IF(_xlpm.sort=0,500,_xlpm.sort)
 )
)</f>
        <v>500</v>
      </c>
      <c r="S199" t="str" cm="1">
        <f t="array" ref="S19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199" t="str">
        <f>_xlfn.XLOOKUP(tblTargetStatus[[#This Row],[TargetID]],tblTargets[TargetID],tblTargets[CompletionMethod],"")</f>
        <v>PLAYER</v>
      </c>
      <c r="U199" t="b">
        <f>COUNTIF(
    tblCost[TargetID],
    tblTargetStatus[[#This Row],[TargetID]]
)&gt;0</f>
        <v>1</v>
      </c>
      <c r="V199" s="81">
        <f>IF(tblTargetStatus[[#This Row],[HasCost]]=FALSE,
"N/A",
_xlfn.XLOOKUP(
tblTargetStatus[[#This Row],[TargetID]],
tblCost[TargetID],
tblCost[FundingPercent],
""
)
)</f>
        <v>0</v>
      </c>
      <c r="W199">
        <f>IF(
COUNTIF(tblCost[TargetID],tblTargetStatus[[#This Row],[TargetID]])=0,
"",
_xlfn.XLOOKUP(
tblTargetStatus[[#This Row],[TargetID]],
tblCost[TargetID],
tblCost[RemainingRequirements],
""
)
)</f>
        <v>5</v>
      </c>
      <c r="X199" s="79" t="b">
        <f>IF(tblTargetStatus[[#This Row],[HasCost]]=FALSE,"N/A",_xlfn.XLOOKUP(
tblTargetStatus[[#This Row],[TargetID]],
tblCost[TargetID],
tblCost[TargetFunded],
TRUE
))</f>
        <v>0</v>
      </c>
      <c r="Y199" t="str" cm="1">
        <f t="array" ref="Y199">_xlfn.TEXTJOIN(
", ",
TRUE,
_xlfn._xlws.FILTER(
tblCost[ResourceID]&amp;": "&amp;tblCost[QuantityRequired],
(tblCost[TargetID]=tblTargetStatus[[#This Row],[TargetID]])*
(tblCost[PlayerPaid]=FALSE),
""
)
)</f>
        <v>charcoal: 100, oil: 20, plank: 100, plank: 100, plank: 200</v>
      </c>
      <c r="Z1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9" t="str" cm="1">
        <f t="array" ref="AA19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0" spans="1:27" ht="43.5">
      <c r="A200" t="s">
        <v>2618</v>
      </c>
      <c r="B200" t="str">
        <f>_xlfn.XLOOKUP(tblTargetStatus[[#This Row],[TargetID]],tblTargets[TargetID],tblTargets[DisplayName],"")</f>
        <v>Mushroom Farm Lv 1</v>
      </c>
      <c r="C200" t="str">
        <f>IF(tblTargetStatus[[#This Row],[PlayerCompleted]],"COMPLETED",IF(tblTargetStatus[[#This Row],[MissingDependencies]]=0,"READY","BLOCKED"))</f>
        <v>BLOCKED</v>
      </c>
      <c r="D2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0" t="str">
        <f>_xlfn.XLOOKUP(tblTargetStatus[[#This Row],[TargetID]],tblTargets[TargetID],tblTargets[TargetType],"")</f>
        <v>COLLECTION</v>
      </c>
      <c r="F200" t="str">
        <f>_xlfn.XLOOKUP(tblTargetStatus[[#This Row],[TargetID]],tblTargets[TargetID],tblTargets[StateType])</f>
        <v/>
      </c>
      <c r="G200">
        <f>_xlfn.LET(
_xlpm.id,tblTargetStatus[[#This Row],[TargetID]],
_xlpm.depCount,COUNTIF(tblDependencies[TargetID],_xlpm.id),
_xlpm.objCount,COUNTIF(tblQuestObjectives[QuestTargetID],_xlpm.id),
_xlpm.depCount+_xlpm.objCount
)</f>
        <v>1</v>
      </c>
      <c r="H200">
        <f>tblTargetStatus[[#This Row],[DependencyCount]]</f>
        <v>1</v>
      </c>
      <c r="I200" cm="1">
        <f t="array" ref="I2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0">
        <f>tblTargetStatus[[#This Row],[CompletedDependencyCount]]</f>
        <v>0</v>
      </c>
      <c r="K200" t="b">
        <f>tblTargetStatus[[#This Row],[CompletedDependencies]]=tblTargetStatus[[#This Row],[TotalDependencies]]</f>
        <v>0</v>
      </c>
      <c r="L200">
        <f>tblTargetStatus[[#This Row],[TotalDependencies]]-tblTargetStatus[[#This Row],[CompletedDependencies]]</f>
        <v>1</v>
      </c>
      <c r="M200" t="str" cm="1">
        <f t="array" ref="M2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citadel.mushroom_farm</v>
      </c>
      <c r="N200" t="str">
        <f>IF(tblTargetStatus[[#This Row],[FirstMissingDependencyID]]="","",_xlfn.XLOOKUP(tblTargetStatus[[#This Row],[FirstMissingDependencyID]],tblTargets[TargetID],tblTargets[DisplayName],tblTargetStatus[[#This Row],[FirstMissingDependencyID]]))</f>
        <v>Mushroom Farm</v>
      </c>
      <c r="O200" s="2" t="str" cm="1">
        <f t="array" ref="O2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mushrooms,10 mushrooms.2,10 mushrooms.3,10 mushrooms.4,10 mushrooms.5,10 mushrooms.6</v>
      </c>
      <c r="P200" t="str">
        <f>IF(tblTargetStatus[[#This Row],[FirstMissingDependencyID]]="","",_xlfn.XLOOKUP(tblTargetStatus[[#This Row],[FirstMissingDependencyID]],tblTargetStatus[TargetID],tblTargetStatus[Status],""))</f>
        <v>BLOCKED</v>
      </c>
      <c r="Q200" t="str">
        <f>IF(
 tblTargetStatus[[#This Row],[Status]]&lt;&gt;"BLOCKED",
 tblTargetStatus[[#This Row],[Status]],
 IF(
  AND(
   tblTargetStatus[[#This Row],[MissingDependencies]]=1,
   tblTargetStatus[[#This Row],[FirstMissingStatus]]="READY"
  ),
  "ONE AWAY",
  "BLOCKED"
 )
)</f>
        <v>BLOCKED</v>
      </c>
      <c r="R200">
        <f>IF(
 OR(
  tblTargetStatus[[#This Row],[StateType]]="CHARACTER",
  RIGHT(tblTargetStatus[[#This Row],[TargetID]],6)=".maxed"
 ),
 0,
 _xlfn.LET(
  _xlpm.sort,
   _xlfn.XLOOKUP(
    tblTargetStatus[[#This Row],[TargetID]],
    tblChecklist[TargetID],
    tblChecklist[PlayerSort],
    0
   ),
  IF(_xlpm.sort=0,500,_xlpm.sort)
 )
)</f>
        <v>500</v>
      </c>
      <c r="S200" t="str" cm="1">
        <f t="array" ref="S20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Mushroom Farm Lv 2</v>
      </c>
      <c r="T200" t="str">
        <f>_xlfn.XLOOKUP(tblTargetStatus[[#This Row],[TargetID]],tblTargets[TargetID],tblTargets[CompletionMethod],"")</f>
        <v>PLAYER</v>
      </c>
      <c r="U200" t="b">
        <f>COUNTIF(
    tblCost[TargetID],
    tblTargetStatus[[#This Row],[TargetID]]
)&gt;0</f>
        <v>1</v>
      </c>
      <c r="V200" s="81">
        <f>IF(tblTargetStatus[[#This Row],[HasCost]]=FALSE,
"N/A",
_xlfn.XLOOKUP(
tblTargetStatus[[#This Row],[TargetID]],
tblCost[TargetID],
tblCost[FundingPercent],
""
)
)</f>
        <v>0</v>
      </c>
      <c r="W200">
        <f>IF(
COUNTIF(tblCost[TargetID],tblTargetStatus[[#This Row],[TargetID]])=0,
"",
_xlfn.XLOOKUP(
tblTargetStatus[[#This Row],[TargetID]],
tblCost[TargetID],
tblCost[RemainingRequirements],
""
)
)</f>
        <v>6</v>
      </c>
      <c r="X200" s="79" t="b">
        <f>IF(tblTargetStatus[[#This Row],[HasCost]]=FALSE,"N/A",_xlfn.XLOOKUP(
tblTargetStatus[[#This Row],[TargetID]],
tblCost[TargetID],
tblCost[TargetFunded],
TRUE
))</f>
        <v>0</v>
      </c>
      <c r="Y200" t="str" cm="1">
        <f t="array" ref="Y200">_xlfn.TEXTJOIN(
", ",
TRUE,
_xlfn._xlws.FILTER(
tblCost[ResourceID]&amp;": "&amp;tblCost[QuantityRequired],
(tblCost[TargetID]=tblTargetStatus[[#This Row],[TargetID]])*
(tblCost[PlayerPaid]=FALSE),
""
)
)</f>
        <v>mushrooms: 10, mushrooms: 10, mushrooms: 10, mushrooms: 10, mushrooms: 10, mushrooms: 10</v>
      </c>
      <c r="Z2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0" t="str" cm="1">
        <f t="array" ref="AA20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1" spans="1:27">
      <c r="A201" t="s">
        <v>2619</v>
      </c>
      <c r="B201" t="str">
        <f>_xlfn.XLOOKUP(tblTargetStatus[[#This Row],[TargetID]],tblTargets[TargetID],tblTargets[DisplayName],"")</f>
        <v>Mushroom Farm Lv 2</v>
      </c>
      <c r="C201" t="str">
        <f>IF(tblTargetStatus[[#This Row],[PlayerCompleted]],"COMPLETED",IF(tblTargetStatus[[#This Row],[MissingDependencies]]=0,"READY","BLOCKED"))</f>
        <v>BLOCKED</v>
      </c>
      <c r="D2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1" t="str">
        <f>_xlfn.XLOOKUP(tblTargetStatus[[#This Row],[TargetID]],tblTargets[TargetID],tblTargets[TargetType],"")</f>
        <v>COLLECTION</v>
      </c>
      <c r="F201" t="str">
        <f>_xlfn.XLOOKUP(tblTargetStatus[[#This Row],[TargetID]],tblTargets[TargetID],tblTargets[StateType])</f>
        <v/>
      </c>
      <c r="G201">
        <f>_xlfn.LET(
_xlpm.id,tblTargetStatus[[#This Row],[TargetID]],
_xlpm.depCount,COUNTIF(tblDependencies[TargetID],_xlpm.id),
_xlpm.objCount,COUNTIF(tblQuestObjectives[QuestTargetID],_xlpm.id),
_xlpm.depCount+_xlpm.objCount
)</f>
        <v>1</v>
      </c>
      <c r="H201">
        <f>tblTargetStatus[[#This Row],[DependencyCount]]</f>
        <v>1</v>
      </c>
      <c r="I201" cm="1">
        <f t="array" ref="I2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1">
        <f>tblTargetStatus[[#This Row],[CompletedDependencyCount]]</f>
        <v>0</v>
      </c>
      <c r="K201" t="b">
        <f>tblTargetStatus[[#This Row],[CompletedDependencies]]=tblTargetStatus[[#This Row],[TotalDependencies]]</f>
        <v>0</v>
      </c>
      <c r="L201">
        <f>tblTargetStatus[[#This Row],[TotalDependencies]]-tblTargetStatus[[#This Row],[CompletedDependencies]]</f>
        <v>1</v>
      </c>
      <c r="M201" t="str" cm="1">
        <f t="array" ref="M2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collection.mushroom_farm@1</v>
      </c>
      <c r="N201" t="str">
        <f>IF(tblTargetStatus[[#This Row],[FirstMissingDependencyID]]="","",_xlfn.XLOOKUP(tblTargetStatus[[#This Row],[FirstMissingDependencyID]],tblTargets[TargetID],tblTargets[DisplayName],tblTargetStatus[[#This Row],[FirstMissingDependencyID]]))</f>
        <v>Mushroom Farm Lv 1</v>
      </c>
      <c r="O201" t="str" cm="1">
        <f t="array" ref="O2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mushrooms,20 mushrooms.2,20 mushrooms.3,20 mushrooms.4,20 mushrooms.5,20 mushrooms.6</v>
      </c>
      <c r="P201" t="str">
        <f>IF(tblTargetStatus[[#This Row],[FirstMissingDependencyID]]="","",_xlfn.XLOOKUP(tblTargetStatus[[#This Row],[FirstMissingDependencyID]],tblTargetStatus[TargetID],tblTargetStatus[Status],""))</f>
        <v>BLOCKED</v>
      </c>
      <c r="Q201" t="str">
        <f>IF(
 tblTargetStatus[[#This Row],[Status]]&lt;&gt;"BLOCKED",
 tblTargetStatus[[#This Row],[Status]],
 IF(
  AND(
   tblTargetStatus[[#This Row],[MissingDependencies]]=1,
   tblTargetStatus[[#This Row],[FirstMissingStatus]]="READY"
  ),
  "ONE AWAY",
  "BLOCKED"
 )
)</f>
        <v>BLOCKED</v>
      </c>
      <c r="R201">
        <f>IF(
 OR(
  tblTargetStatus[[#This Row],[StateType]]="CHARACTER",
  RIGHT(tblTargetStatus[[#This Row],[TargetID]],6)=".maxed"
 ),
 0,
 _xlfn.LET(
  _xlpm.sort,
   _xlfn.XLOOKUP(
    tblTargetStatus[[#This Row],[TargetID]],
    tblChecklist[TargetID],
    tblChecklist[PlayerSort],
    0
   ),
  IF(_xlpm.sort=0,500,_xlpm.sort)
 )
)</f>
        <v>500</v>
      </c>
      <c r="S201" t="str" cm="1">
        <f t="array" ref="S20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01" t="str">
        <f>_xlfn.XLOOKUP(tblTargetStatus[[#This Row],[TargetID]],tblTargets[TargetID],tblTargets[CompletionMethod],"")</f>
        <v>PLAYER</v>
      </c>
      <c r="U201" t="b">
        <f>COUNTIF(
    tblCost[TargetID],
    tblTargetStatus[[#This Row],[TargetID]]
)&gt;0</f>
        <v>1</v>
      </c>
      <c r="V201" s="81">
        <f>IF(tblTargetStatus[[#This Row],[HasCost]]=FALSE,
"N/A",
_xlfn.XLOOKUP(
tblTargetStatus[[#This Row],[TargetID]],
tblCost[TargetID],
tblCost[FundingPercent],
""
)
)</f>
        <v>0</v>
      </c>
      <c r="W201">
        <f>IF(
COUNTIF(tblCost[TargetID],tblTargetStatus[[#This Row],[TargetID]])=0,
"",
_xlfn.XLOOKUP(
tblTargetStatus[[#This Row],[TargetID]],
tblCost[TargetID],
tblCost[RemainingRequirements],
""
)
)</f>
        <v>6</v>
      </c>
      <c r="X201" s="79" t="b">
        <f>IF(tblTargetStatus[[#This Row],[HasCost]]=FALSE,"N/A",_xlfn.XLOOKUP(
tblTargetStatus[[#This Row],[TargetID]],
tblCost[TargetID],
tblCost[TargetFunded],
TRUE
))</f>
        <v>0</v>
      </c>
      <c r="Y201" t="str" cm="1">
        <f t="array" ref="Y201">_xlfn.TEXTJOIN(
", ",
TRUE,
_xlfn._xlws.FILTER(
tblCost[ResourceID]&amp;": "&amp;tblCost[QuantityRequired],
(tblCost[TargetID]=tblTargetStatus[[#This Row],[TargetID]])*
(tblCost[PlayerPaid]=FALSE),
""
)
)</f>
        <v>mushrooms: 20, mushrooms: 20, mushrooms: 20, mushrooms: 20, mushrooms: 20, mushrooms: 20</v>
      </c>
      <c r="Z2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1" t="str" cm="1">
        <f t="array" ref="AA20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2" spans="1:27" ht="29">
      <c r="A202" t="s">
        <v>2620</v>
      </c>
      <c r="B202" t="str">
        <f>_xlfn.XLOOKUP(tblTargetStatus[[#This Row],[TargetID]],tblTargets[TargetID],tblTargets[DisplayName],"")</f>
        <v>Orangery Lv 1</v>
      </c>
      <c r="C202" t="str">
        <f>IF(tblTargetStatus[[#This Row],[PlayerCompleted]],"COMPLETED",IF(tblTargetStatus[[#This Row],[MissingDependencies]]=0,"READY","BLOCKED"))</f>
        <v>BLOCKED</v>
      </c>
      <c r="D2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2" t="str">
        <f>_xlfn.XLOOKUP(tblTargetStatus[[#This Row],[TargetID]],tblTargets[TargetID],tblTargets[TargetType],"")</f>
        <v>COLLECTION</v>
      </c>
      <c r="F202" t="str">
        <f>_xlfn.XLOOKUP(tblTargetStatus[[#This Row],[TargetID]],tblTargets[TargetID],tblTargets[StateType])</f>
        <v/>
      </c>
      <c r="G202">
        <f>_xlfn.LET(
_xlpm.id,tblTargetStatus[[#This Row],[TargetID]],
_xlpm.depCount,COUNTIF(tblDependencies[TargetID],_xlpm.id),
_xlpm.objCount,COUNTIF(tblQuestObjectives[QuestTargetID],_xlpm.id),
_xlpm.depCount+_xlpm.objCount
)</f>
        <v>1</v>
      </c>
      <c r="H202">
        <f>tblTargetStatus[[#This Row],[DependencyCount]]</f>
        <v>1</v>
      </c>
      <c r="I202" cm="1">
        <f t="array" ref="I2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2">
        <f>tblTargetStatus[[#This Row],[CompletedDependencyCount]]</f>
        <v>0</v>
      </c>
      <c r="K202" t="b">
        <f>tblTargetStatus[[#This Row],[CompletedDependencies]]=tblTargetStatus[[#This Row],[TotalDependencies]]</f>
        <v>0</v>
      </c>
      <c r="L202">
        <f>tblTargetStatus[[#This Row],[TotalDependencies]]-tblTargetStatus[[#This Row],[CompletedDependencies]]</f>
        <v>1</v>
      </c>
      <c r="M202" t="str" cm="1">
        <f t="array" ref="M2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citadel.orangery</v>
      </c>
      <c r="N202" t="str">
        <f>IF(tblTargetStatus[[#This Row],[FirstMissingDependencyID]]="","",_xlfn.XLOOKUP(tblTargetStatus[[#This Row],[FirstMissingDependencyID]],tblTargets[TargetID],tblTargets[DisplayName],tblTargetStatus[[#This Row],[FirstMissingDependencyID]]))</f>
        <v>Orangery</v>
      </c>
      <c r="O202" s="2" t="str" cm="1">
        <f t="array" ref="O2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cherry,10 cherry.2,10 cherry.3,10 cherry.4,10 cherry.5,10 cherry.6,50 stone,50 stone.2</v>
      </c>
      <c r="P202" t="str">
        <f>IF(tblTargetStatus[[#This Row],[FirstMissingDependencyID]]="","",_xlfn.XLOOKUP(tblTargetStatus[[#This Row],[FirstMissingDependencyID]],tblTargetStatus[TargetID],tblTargetStatus[Status],""))</f>
        <v>BLOCKED</v>
      </c>
      <c r="Q202" t="str">
        <f>IF(
 tblTargetStatus[[#This Row],[Status]]&lt;&gt;"BLOCKED",
 tblTargetStatus[[#This Row],[Status]],
 IF(
  AND(
   tblTargetStatus[[#This Row],[MissingDependencies]]=1,
   tblTargetStatus[[#This Row],[FirstMissingStatus]]="READY"
  ),
  "ONE AWAY",
  "BLOCKED"
 )
)</f>
        <v>BLOCKED</v>
      </c>
      <c r="R202">
        <f>IF(
 OR(
  tblTargetStatus[[#This Row],[StateType]]="CHARACTER",
  RIGHT(tblTargetStatus[[#This Row],[TargetID]],6)=".maxed"
 ),
 0,
 _xlfn.LET(
  _xlpm.sort,
   _xlfn.XLOOKUP(
    tblTargetStatus[[#This Row],[TargetID]],
    tblChecklist[TargetID],
    tblChecklist[PlayerSort],
    0
   ),
  IF(_xlpm.sort=0,500,_xlpm.sort)
 )
)</f>
        <v>500</v>
      </c>
      <c r="S202" t="str" cm="1">
        <f t="array" ref="S20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Orangery Lv 2</v>
      </c>
      <c r="T202" t="str">
        <f>_xlfn.XLOOKUP(tblTargetStatus[[#This Row],[TargetID]],tblTargets[TargetID],tblTargets[CompletionMethod],"")</f>
        <v>PLAYER</v>
      </c>
      <c r="U202" t="b">
        <f>COUNTIF(
    tblCost[TargetID],
    tblTargetStatus[[#This Row],[TargetID]]
)&gt;0</f>
        <v>1</v>
      </c>
      <c r="V202" s="81">
        <f>IF(tblTargetStatus[[#This Row],[HasCost]]=FALSE,
"N/A",
_xlfn.XLOOKUP(
tblTargetStatus[[#This Row],[TargetID]],
tblCost[TargetID],
tblCost[FundingPercent],
""
)
)</f>
        <v>0</v>
      </c>
      <c r="W202">
        <f>IF(
COUNTIF(tblCost[TargetID],tblTargetStatus[[#This Row],[TargetID]])=0,
"",
_xlfn.XLOOKUP(
tblTargetStatus[[#This Row],[TargetID]],
tblCost[TargetID],
tblCost[RemainingRequirements],
""
)
)</f>
        <v>8</v>
      </c>
      <c r="X202" s="79" t="b">
        <f>IF(tblTargetStatus[[#This Row],[HasCost]]=FALSE,"N/A",_xlfn.XLOOKUP(
tblTargetStatus[[#This Row],[TargetID]],
tblCost[TargetID],
tblCost[TargetFunded],
TRUE
))</f>
        <v>0</v>
      </c>
      <c r="Y202" t="str" cm="1">
        <f t="array" ref="Y202">_xlfn.TEXTJOIN(
", ",
TRUE,
_xlfn._xlws.FILTER(
tblCost[ResourceID]&amp;": "&amp;tblCost[QuantityRequired],
(tblCost[TargetID]=tblTargetStatus[[#This Row],[TargetID]])*
(tblCost[PlayerPaid]=FALSE),
""
)
)</f>
        <v>cherry: 10, cherry: 10, cherry: 10, cherry: 10, cherry: 10, cherry: 10, stone: 50, stone: 50</v>
      </c>
      <c r="Z2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2" t="str" cm="1">
        <f t="array" ref="AA20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3" spans="1:27">
      <c r="A203" t="s">
        <v>2621</v>
      </c>
      <c r="B203" t="str">
        <f>_xlfn.XLOOKUP(tblTargetStatus[[#This Row],[TargetID]],tblTargets[TargetID],tblTargets[DisplayName],"")</f>
        <v>Orangery Lv 2</v>
      </c>
      <c r="C203" t="str">
        <f>IF(tblTargetStatus[[#This Row],[PlayerCompleted]],"COMPLETED",IF(tblTargetStatus[[#This Row],[MissingDependencies]]=0,"READY","BLOCKED"))</f>
        <v>BLOCKED</v>
      </c>
      <c r="D2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3" t="str">
        <f>_xlfn.XLOOKUP(tblTargetStatus[[#This Row],[TargetID]],tblTargets[TargetID],tblTargets[TargetType],"")</f>
        <v>COLLECTION</v>
      </c>
      <c r="F203" t="str">
        <f>_xlfn.XLOOKUP(tblTargetStatus[[#This Row],[TargetID]],tblTargets[TargetID],tblTargets[StateType])</f>
        <v/>
      </c>
      <c r="G203">
        <f>_xlfn.LET(
_xlpm.id,tblTargetStatus[[#This Row],[TargetID]],
_xlpm.depCount,COUNTIF(tblDependencies[TargetID],_xlpm.id),
_xlpm.objCount,COUNTIF(tblQuestObjectives[QuestTargetID],_xlpm.id),
_xlpm.depCount+_xlpm.objCount
)</f>
        <v>1</v>
      </c>
      <c r="H203">
        <f>tblTargetStatus[[#This Row],[DependencyCount]]</f>
        <v>1</v>
      </c>
      <c r="I203" cm="1">
        <f t="array" ref="I2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3">
        <f>tblTargetStatus[[#This Row],[CompletedDependencyCount]]</f>
        <v>0</v>
      </c>
      <c r="K203" t="b">
        <f>tblTargetStatus[[#This Row],[CompletedDependencies]]=tblTargetStatus[[#This Row],[TotalDependencies]]</f>
        <v>0</v>
      </c>
      <c r="L203">
        <f>tblTargetStatus[[#This Row],[TotalDependencies]]-tblTargetStatus[[#This Row],[CompletedDependencies]]</f>
        <v>1</v>
      </c>
      <c r="M203" t="str" cm="1">
        <f t="array" ref="M2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collection.orangery@1</v>
      </c>
      <c r="N203" t="str">
        <f>IF(tblTargetStatus[[#This Row],[FirstMissingDependencyID]]="","",_xlfn.XLOOKUP(tblTargetStatus[[#This Row],[FirstMissingDependencyID]],tblTargets[TargetID],tblTargets[DisplayName],tblTargetStatus[[#This Row],[FirstMissingDependencyID]]))</f>
        <v>Orangery Lv 1</v>
      </c>
      <c r="O203" t="str" cm="1">
        <f t="array" ref="O2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cherry,20 cherry.2,20 cherry.3,20 cherry.4,20 cherry.5,20 cherry.6,100 stone,100 stone.2</v>
      </c>
      <c r="P203" t="str">
        <f>IF(tblTargetStatus[[#This Row],[FirstMissingDependencyID]]="","",_xlfn.XLOOKUP(tblTargetStatus[[#This Row],[FirstMissingDependencyID]],tblTargetStatus[TargetID],tblTargetStatus[Status],""))</f>
        <v>BLOCKED</v>
      </c>
      <c r="Q203" t="str">
        <f>IF(
 tblTargetStatus[[#This Row],[Status]]&lt;&gt;"BLOCKED",
 tblTargetStatus[[#This Row],[Status]],
 IF(
  AND(
   tblTargetStatus[[#This Row],[MissingDependencies]]=1,
   tblTargetStatus[[#This Row],[FirstMissingStatus]]="READY"
  ),
  "ONE AWAY",
  "BLOCKED"
 )
)</f>
        <v>BLOCKED</v>
      </c>
      <c r="R203">
        <f>IF(
 OR(
  tblTargetStatus[[#This Row],[StateType]]="CHARACTER",
  RIGHT(tblTargetStatus[[#This Row],[TargetID]],6)=".maxed"
 ),
 0,
 _xlfn.LET(
  _xlpm.sort,
   _xlfn.XLOOKUP(
    tblTargetStatus[[#This Row],[TargetID]],
    tblChecklist[TargetID],
    tblChecklist[PlayerSort],
    0
   ),
  IF(_xlpm.sort=0,500,_xlpm.sort)
 )
)</f>
        <v>500</v>
      </c>
      <c r="S203" t="str" cm="1">
        <f t="array" ref="S20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03" t="str">
        <f>_xlfn.XLOOKUP(tblTargetStatus[[#This Row],[TargetID]],tblTargets[TargetID],tblTargets[CompletionMethod],"")</f>
        <v>PLAYER</v>
      </c>
      <c r="U203" t="b">
        <f>COUNTIF(
    tblCost[TargetID],
    tblTargetStatus[[#This Row],[TargetID]]
)&gt;0</f>
        <v>1</v>
      </c>
      <c r="V203" s="81">
        <f>IF(tblTargetStatus[[#This Row],[HasCost]]=FALSE,
"N/A",
_xlfn.XLOOKUP(
tblTargetStatus[[#This Row],[TargetID]],
tblCost[TargetID],
tblCost[FundingPercent],
""
)
)</f>
        <v>0</v>
      </c>
      <c r="W203">
        <f>IF(
COUNTIF(tblCost[TargetID],tblTargetStatus[[#This Row],[TargetID]])=0,
"",
_xlfn.XLOOKUP(
tblTargetStatus[[#This Row],[TargetID]],
tblCost[TargetID],
tblCost[RemainingRequirements],
""
)
)</f>
        <v>8</v>
      </c>
      <c r="X203" s="79" t="b">
        <f>IF(tblTargetStatus[[#This Row],[HasCost]]=FALSE,"N/A",_xlfn.XLOOKUP(
tblTargetStatus[[#This Row],[TargetID]],
tblCost[TargetID],
tblCost[TargetFunded],
TRUE
))</f>
        <v>0</v>
      </c>
      <c r="Y203" t="str" cm="1">
        <f t="array" ref="Y203">_xlfn.TEXTJOIN(
", ",
TRUE,
_xlfn._xlws.FILTER(
tblCost[ResourceID]&amp;": "&amp;tblCost[QuantityRequired],
(tblCost[TargetID]=tblTargetStatus[[#This Row],[TargetID]])*
(tblCost[PlayerPaid]=FALSE),
""
)
)</f>
        <v>cherry: 20, cherry: 20, cherry: 20, cherry: 20, cherry: 20, cherry: 20, stone: 100, stone: 100</v>
      </c>
      <c r="Z2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3" t="str" cm="1">
        <f t="array" ref="AA20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4" spans="1:27" ht="43.5">
      <c r="A204" t="s">
        <v>2622</v>
      </c>
      <c r="B204" t="str">
        <f>_xlfn.XLOOKUP(tblTargetStatus[[#This Row],[TargetID]],tblTargets[TargetID],tblTargets[DisplayName],"")</f>
        <v>Pantry 1 Lv 1</v>
      </c>
      <c r="C204" t="str">
        <f>IF(tblTargetStatus[[#This Row],[PlayerCompleted]],"COMPLETED",IF(tblTargetStatus[[#This Row],[MissingDependencies]]=0,"READY","BLOCKED"))</f>
        <v>BLOCKED</v>
      </c>
      <c r="D2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4" t="str">
        <f>_xlfn.XLOOKUP(tblTargetStatus[[#This Row],[TargetID]],tblTargets[TargetID],tblTargets[TargetType],"")</f>
        <v>COLLECTION</v>
      </c>
      <c r="F204" t="str">
        <f>_xlfn.XLOOKUP(tblTargetStatus[[#This Row],[TargetID]],tblTargets[TargetID],tblTargets[StateType])</f>
        <v/>
      </c>
      <c r="G204">
        <f>_xlfn.LET(
_xlpm.id,tblTargetStatus[[#This Row],[TargetID]],
_xlpm.depCount,COUNTIF(tblDependencies[TargetID],_xlpm.id),
_xlpm.objCount,COUNTIF(tblQuestObjectives[QuestTargetID],_xlpm.id),
_xlpm.depCount+_xlpm.objCount
)</f>
        <v>1</v>
      </c>
      <c r="H204">
        <f>tblTargetStatus[[#This Row],[DependencyCount]]</f>
        <v>1</v>
      </c>
      <c r="I204" cm="1">
        <f t="array" ref="I2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4">
        <f>tblTargetStatus[[#This Row],[CompletedDependencyCount]]</f>
        <v>0</v>
      </c>
      <c r="K204" t="b">
        <f>tblTargetStatus[[#This Row],[CompletedDependencies]]=tblTargetStatus[[#This Row],[TotalDependencies]]</f>
        <v>0</v>
      </c>
      <c r="L204">
        <f>tblTargetStatus[[#This Row],[TotalDependencies]]-tblTargetStatus[[#This Row],[CompletedDependencies]]</f>
        <v>1</v>
      </c>
      <c r="M204" t="str" cm="1">
        <f t="array" ref="M2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citadel.pantry</v>
      </c>
      <c r="N204" t="str">
        <f>IF(tblTargetStatus[[#This Row],[FirstMissingDependencyID]]="","",_xlfn.XLOOKUP(tblTargetStatus[[#This Row],[FirstMissingDependencyID]],tblTargets[TargetID],tblTargets[DisplayName],tblTargetStatus[[#This Row],[FirstMissingDependencyID]]))</f>
        <v>Pantry</v>
      </c>
      <c r="O204" s="2" t="str" cm="1">
        <f t="array" ref="O2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avocado,10 beans,10 dates,40 flour,10 glass,10 paper,40 rice,10 salmon,10 silk,5 spices,10 thread,5 tuna</v>
      </c>
      <c r="P204" t="str">
        <f>IF(tblTargetStatus[[#This Row],[FirstMissingDependencyID]]="","",_xlfn.XLOOKUP(tblTargetStatus[[#This Row],[FirstMissingDependencyID]],tblTargetStatus[TargetID],tblTargetStatus[Status],""))</f>
        <v>BLOCKED</v>
      </c>
      <c r="Q204" t="str">
        <f>IF(
 tblTargetStatus[[#This Row],[Status]]&lt;&gt;"BLOCKED",
 tblTargetStatus[[#This Row],[Status]],
 IF(
  AND(
   tblTargetStatus[[#This Row],[MissingDependencies]]=1,
   tblTargetStatus[[#This Row],[FirstMissingStatus]]="READY"
  ),
  "ONE AWAY",
  "BLOCKED"
 )
)</f>
        <v>BLOCKED</v>
      </c>
      <c r="R204">
        <f>IF(
 OR(
  tblTargetStatus[[#This Row],[StateType]]="CHARACTER",
  RIGHT(tblTargetStatus[[#This Row],[TargetID]],6)=".maxed"
 ),
 0,
 _xlfn.LET(
  _xlpm.sort,
   _xlfn.XLOOKUP(
    tblTargetStatus[[#This Row],[TargetID]],
    tblChecklist[TargetID],
    tblChecklist[PlayerSort],
    0
   ),
  IF(_xlpm.sort=0,500,_xlpm.sort)
 )
)</f>
        <v>500</v>
      </c>
      <c r="S204" t="str" cm="1">
        <f t="array" ref="S20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1 Lv 2</v>
      </c>
      <c r="T204" t="str">
        <f>_xlfn.XLOOKUP(tblTargetStatus[[#This Row],[TargetID]],tblTargets[TargetID],tblTargets[CompletionMethod],"")</f>
        <v>PLAYER</v>
      </c>
      <c r="U204" t="b">
        <f>COUNTIF(
    tblCost[TargetID],
    tblTargetStatus[[#This Row],[TargetID]]
)&gt;0</f>
        <v>1</v>
      </c>
      <c r="V204" s="81">
        <f>IF(tblTargetStatus[[#This Row],[HasCost]]=FALSE,
"N/A",
_xlfn.XLOOKUP(
tblTargetStatus[[#This Row],[TargetID]],
tblCost[TargetID],
tblCost[FundingPercent],
""
)
)</f>
        <v>0</v>
      </c>
      <c r="W204">
        <f>IF(
COUNTIF(tblCost[TargetID],tblTargetStatus[[#This Row],[TargetID]])=0,
"",
_xlfn.XLOOKUP(
tblTargetStatus[[#This Row],[TargetID]],
tblCost[TargetID],
tblCost[RemainingRequirements],
""
)
)</f>
        <v>12</v>
      </c>
      <c r="X204" s="79" t="b">
        <f>IF(tblTargetStatus[[#This Row],[HasCost]]=FALSE,"N/A",_xlfn.XLOOKUP(
tblTargetStatus[[#This Row],[TargetID]],
tblCost[TargetID],
tblCost[TargetFunded],
TRUE
))</f>
        <v>0</v>
      </c>
      <c r="Y204" t="str" cm="1">
        <f t="array" ref="Y204">_xlfn.TEXTJOIN(
", ",
TRUE,
_xlfn._xlws.FILTER(
tblCost[ResourceID]&amp;": "&amp;tblCost[QuantityRequired],
(tblCost[TargetID]=tblTargetStatus[[#This Row],[TargetID]])*
(tblCost[PlayerPaid]=FALSE),
""
)
)</f>
        <v>avocado: 5, beans: 10, dates: 10, flour: 40, glass: 10, paper: 10, rice: 40, salmon: 10, silk: 10, spices: 5, thread: 10, tuna: 5</v>
      </c>
      <c r="Z2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4" t="str" cm="1">
        <f t="array" ref="AA20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5" spans="1:27">
      <c r="A205" t="s">
        <v>2623</v>
      </c>
      <c r="B205" t="str">
        <f>_xlfn.XLOOKUP(tblTargetStatus[[#This Row],[TargetID]],tblTargets[TargetID],tblTargets[DisplayName],"")</f>
        <v>Pantry 1 Lv 2</v>
      </c>
      <c r="C205" t="str">
        <f>IF(tblTargetStatus[[#This Row],[PlayerCompleted]],"COMPLETED",IF(tblTargetStatus[[#This Row],[MissingDependencies]]=0,"READY","BLOCKED"))</f>
        <v>BLOCKED</v>
      </c>
      <c r="D2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5" t="str">
        <f>_xlfn.XLOOKUP(tblTargetStatus[[#This Row],[TargetID]],tblTargets[TargetID],tblTargets[TargetType],"")</f>
        <v>COLLECTION</v>
      </c>
      <c r="F205" t="str">
        <f>_xlfn.XLOOKUP(tblTargetStatus[[#This Row],[TargetID]],tblTargets[TargetID],tblTargets[StateType])</f>
        <v/>
      </c>
      <c r="G205">
        <f>_xlfn.LET(
_xlpm.id,tblTargetStatus[[#This Row],[TargetID]],
_xlpm.depCount,COUNTIF(tblDependencies[TargetID],_xlpm.id),
_xlpm.objCount,COUNTIF(tblQuestObjectives[QuestTargetID],_xlpm.id),
_xlpm.depCount+_xlpm.objCount
)</f>
        <v>1</v>
      </c>
      <c r="H205">
        <f>tblTargetStatus[[#This Row],[DependencyCount]]</f>
        <v>1</v>
      </c>
      <c r="I205" cm="1">
        <f t="array" ref="I2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5">
        <f>tblTargetStatus[[#This Row],[CompletedDependencyCount]]</f>
        <v>0</v>
      </c>
      <c r="K205" t="b">
        <f>tblTargetStatus[[#This Row],[CompletedDependencies]]=tblTargetStatus[[#This Row],[TotalDependencies]]</f>
        <v>0</v>
      </c>
      <c r="L205">
        <f>tblTargetStatus[[#This Row],[TotalDependencies]]-tblTargetStatus[[#This Row],[CompletedDependencies]]</f>
        <v>1</v>
      </c>
      <c r="M205" t="str" cm="1">
        <f t="array" ref="M2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collection.pantry_1@1</v>
      </c>
      <c r="N205" t="str">
        <f>IF(tblTargetStatus[[#This Row],[FirstMissingDependencyID]]="","",_xlfn.XLOOKUP(tblTargetStatus[[#This Row],[FirstMissingDependencyID]],tblTargets[TargetID],tblTargets[DisplayName],tblTargetStatus[[#This Row],[FirstMissingDependencyID]]))</f>
        <v>Pantry 1 Lv 1</v>
      </c>
      <c r="O205" t="str" cm="1">
        <f t="array" ref="O2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avocado,20 beans,20 dates,80 flour,20 glass,20 paper,80 rice,20 salmon,20 silk,10 spices,20 thread,10 tuna</v>
      </c>
      <c r="P205" t="str">
        <f>IF(tblTargetStatus[[#This Row],[FirstMissingDependencyID]]="","",_xlfn.XLOOKUP(tblTargetStatus[[#This Row],[FirstMissingDependencyID]],tblTargetStatus[TargetID],tblTargetStatus[Status],""))</f>
        <v>BLOCKED</v>
      </c>
      <c r="Q205" t="str">
        <f>IF(
 tblTargetStatus[[#This Row],[Status]]&lt;&gt;"BLOCKED",
 tblTargetStatus[[#This Row],[Status]],
 IF(
  AND(
   tblTargetStatus[[#This Row],[MissingDependencies]]=1,
   tblTargetStatus[[#This Row],[FirstMissingStatus]]="READY"
  ),
  "ONE AWAY",
  "BLOCKED"
 )
)</f>
        <v>BLOCKED</v>
      </c>
      <c r="R205">
        <f>IF(
 OR(
  tblTargetStatus[[#This Row],[StateType]]="CHARACTER",
  RIGHT(tblTargetStatus[[#This Row],[TargetID]],6)=".maxed"
 ),
 0,
 _xlfn.LET(
  _xlpm.sort,
   _xlfn.XLOOKUP(
    tblTargetStatus[[#This Row],[TargetID]],
    tblChecklist[TargetID],
    tblChecklist[PlayerSort],
    0
   ),
  IF(_xlpm.sort=0,500,_xlpm.sort)
 )
)</f>
        <v>500</v>
      </c>
      <c r="S205" t="str" cm="1">
        <f t="array" ref="S20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1 Lv 3</v>
      </c>
      <c r="T205" t="str">
        <f>_xlfn.XLOOKUP(tblTargetStatus[[#This Row],[TargetID]],tblTargets[TargetID],tblTargets[CompletionMethod],"")</f>
        <v>PLAYER</v>
      </c>
      <c r="U205" t="b">
        <f>COUNTIF(
    tblCost[TargetID],
    tblTargetStatus[[#This Row],[TargetID]]
)&gt;0</f>
        <v>1</v>
      </c>
      <c r="V205" s="81">
        <f>IF(tblTargetStatus[[#This Row],[HasCost]]=FALSE,
"N/A",
_xlfn.XLOOKUP(
tblTargetStatus[[#This Row],[TargetID]],
tblCost[TargetID],
tblCost[FundingPercent],
""
)
)</f>
        <v>0</v>
      </c>
      <c r="W205">
        <f>IF(
COUNTIF(tblCost[TargetID],tblTargetStatus[[#This Row],[TargetID]])=0,
"",
_xlfn.XLOOKUP(
tblTargetStatus[[#This Row],[TargetID]],
tblCost[TargetID],
tblCost[RemainingRequirements],
""
)
)</f>
        <v>12</v>
      </c>
      <c r="X205" s="79" t="b">
        <f>IF(tblTargetStatus[[#This Row],[HasCost]]=FALSE,"N/A",_xlfn.XLOOKUP(
tblTargetStatus[[#This Row],[TargetID]],
tblCost[TargetID],
tblCost[TargetFunded],
TRUE
))</f>
        <v>0</v>
      </c>
      <c r="Y205" t="str" cm="1">
        <f t="array" ref="Y205">_xlfn.TEXTJOIN(
", ",
TRUE,
_xlfn._xlws.FILTER(
tblCost[ResourceID]&amp;": "&amp;tblCost[QuantityRequired],
(tblCost[TargetID]=tblTargetStatus[[#This Row],[TargetID]])*
(tblCost[PlayerPaid]=FALSE),
""
)
)</f>
        <v>avocado: 10, beans: 20, dates: 20, flour: 80, glass: 20, paper: 20, rice: 80, salmon: 20, silk: 20, spices: 10, thread: 20, tuna: 10</v>
      </c>
      <c r="Z2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5" t="str" cm="1">
        <f t="array" ref="AA20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6" spans="1:27">
      <c r="A206" t="s">
        <v>2624</v>
      </c>
      <c r="B206" t="str">
        <f>_xlfn.XLOOKUP(tblTargetStatus[[#This Row],[TargetID]],tblTargets[TargetID],tblTargets[DisplayName],"")</f>
        <v>Pantry 1 Lv 3</v>
      </c>
      <c r="C206" t="str">
        <f>IF(tblTargetStatus[[#This Row],[PlayerCompleted]],"COMPLETED",IF(tblTargetStatus[[#This Row],[MissingDependencies]]=0,"READY","BLOCKED"))</f>
        <v>BLOCKED</v>
      </c>
      <c r="D2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6" t="str">
        <f>_xlfn.XLOOKUP(tblTargetStatus[[#This Row],[TargetID]],tblTargets[TargetID],tblTargets[TargetType],"")</f>
        <v>COLLECTION</v>
      </c>
      <c r="F206" t="str">
        <f>_xlfn.XLOOKUP(tblTargetStatus[[#This Row],[TargetID]],tblTargets[TargetID],tblTargets[StateType])</f>
        <v/>
      </c>
      <c r="G206">
        <f>_xlfn.LET(
_xlpm.id,tblTargetStatus[[#This Row],[TargetID]],
_xlpm.depCount,COUNTIF(tblDependencies[TargetID],_xlpm.id),
_xlpm.objCount,COUNTIF(tblQuestObjectives[QuestTargetID],_xlpm.id),
_xlpm.depCount+_xlpm.objCount
)</f>
        <v>1</v>
      </c>
      <c r="H206">
        <f>tblTargetStatus[[#This Row],[DependencyCount]]</f>
        <v>1</v>
      </c>
      <c r="I206" cm="1">
        <f t="array" ref="I2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6">
        <f>tblTargetStatus[[#This Row],[CompletedDependencyCount]]</f>
        <v>0</v>
      </c>
      <c r="K206" t="b">
        <f>tblTargetStatus[[#This Row],[CompletedDependencies]]=tblTargetStatus[[#This Row],[TotalDependencies]]</f>
        <v>0</v>
      </c>
      <c r="L206">
        <f>tblTargetStatus[[#This Row],[TotalDependencies]]-tblTargetStatus[[#This Row],[CompletedDependencies]]</f>
        <v>1</v>
      </c>
      <c r="M206" t="str" cm="1">
        <f t="array" ref="M2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collection.pantry_1@2</v>
      </c>
      <c r="N206" t="str">
        <f>IF(tblTargetStatus[[#This Row],[FirstMissingDependencyID]]="","",_xlfn.XLOOKUP(tblTargetStatus[[#This Row],[FirstMissingDependencyID]],tblTargets[TargetID],tblTargets[DisplayName],tblTargetStatus[[#This Row],[FirstMissingDependencyID]]))</f>
        <v>Pantry 1 Lv 2</v>
      </c>
      <c r="O206" t="str" cm="1">
        <f t="array" ref="O2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avocado,30 beans,30 dates,120 flour,30 glass,30 paper,120 rice,30 salmon,30 silk,15 spices,30 thread,15 tuna</v>
      </c>
      <c r="P206" t="str">
        <f>IF(tblTargetStatus[[#This Row],[FirstMissingDependencyID]]="","",_xlfn.XLOOKUP(tblTargetStatus[[#This Row],[FirstMissingDependencyID]],tblTargetStatus[TargetID],tblTargetStatus[Status],""))</f>
        <v>BLOCKED</v>
      </c>
      <c r="Q206" t="str">
        <f>IF(
 tblTargetStatus[[#This Row],[Status]]&lt;&gt;"BLOCKED",
 tblTargetStatus[[#This Row],[Status]],
 IF(
  AND(
   tblTargetStatus[[#This Row],[MissingDependencies]]=1,
   tblTargetStatus[[#This Row],[FirstMissingStatus]]="READY"
  ),
  "ONE AWAY",
  "BLOCKED"
 )
)</f>
        <v>BLOCKED</v>
      </c>
      <c r="R206">
        <f>IF(
 OR(
  tblTargetStatus[[#This Row],[StateType]]="CHARACTER",
  RIGHT(tblTargetStatus[[#This Row],[TargetID]],6)=".maxed"
 ),
 0,
 _xlfn.LET(
  _xlpm.sort,
   _xlfn.XLOOKUP(
    tblTargetStatus[[#This Row],[TargetID]],
    tblChecklist[TargetID],
    tblChecklist[PlayerSort],
    0
   ),
  IF(_xlpm.sort=0,500,_xlpm.sort)
 )
)</f>
        <v>500</v>
      </c>
      <c r="S206" t="str" cm="1">
        <f t="array" ref="S20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1 Lv 4</v>
      </c>
      <c r="T206" t="str">
        <f>_xlfn.XLOOKUP(tblTargetStatus[[#This Row],[TargetID]],tblTargets[TargetID],tblTargets[CompletionMethod],"")</f>
        <v>PLAYER</v>
      </c>
      <c r="U206" t="b">
        <f>COUNTIF(
    tblCost[TargetID],
    tblTargetStatus[[#This Row],[TargetID]]
)&gt;0</f>
        <v>1</v>
      </c>
      <c r="V206" s="81">
        <f>IF(tblTargetStatus[[#This Row],[HasCost]]=FALSE,
"N/A",
_xlfn.XLOOKUP(
tblTargetStatus[[#This Row],[TargetID]],
tblCost[TargetID],
tblCost[FundingPercent],
""
)
)</f>
        <v>0</v>
      </c>
      <c r="W206">
        <f>IF(
COUNTIF(tblCost[TargetID],tblTargetStatus[[#This Row],[TargetID]])=0,
"",
_xlfn.XLOOKUP(
tblTargetStatus[[#This Row],[TargetID]],
tblCost[TargetID],
tblCost[RemainingRequirements],
""
)
)</f>
        <v>12</v>
      </c>
      <c r="X206" s="79" t="b">
        <f>IF(tblTargetStatus[[#This Row],[HasCost]]=FALSE,"N/A",_xlfn.XLOOKUP(
tblTargetStatus[[#This Row],[TargetID]],
tblCost[TargetID],
tblCost[TargetFunded],
TRUE
))</f>
        <v>0</v>
      </c>
      <c r="Y206" t="str" cm="1">
        <f t="array" ref="Y206">_xlfn.TEXTJOIN(
", ",
TRUE,
_xlfn._xlws.FILTER(
tblCost[ResourceID]&amp;": "&amp;tblCost[QuantityRequired],
(tblCost[TargetID]=tblTargetStatus[[#This Row],[TargetID]])*
(tblCost[PlayerPaid]=FALSE),
""
)
)</f>
        <v>avocado: 15, beans: 30, dates: 30, flour: 120, glass: 30, paper: 30, rice: 120, salmon: 30, silk: 30, spices: 15, thread: 30, tuna: 15</v>
      </c>
      <c r="Z2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6" t="str" cm="1">
        <f t="array" ref="AA20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7" spans="1:27">
      <c r="A207" t="s">
        <v>2625</v>
      </c>
      <c r="B207" t="str">
        <f>_xlfn.XLOOKUP(tblTargetStatus[[#This Row],[TargetID]],tblTargets[TargetID],tblTargets[DisplayName],"")</f>
        <v>Pantry 1 Lv 4</v>
      </c>
      <c r="C207" t="str">
        <f>IF(tblTargetStatus[[#This Row],[PlayerCompleted]],"COMPLETED",IF(tblTargetStatus[[#This Row],[MissingDependencies]]=0,"READY","BLOCKED"))</f>
        <v>BLOCKED</v>
      </c>
      <c r="D2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7" t="str">
        <f>_xlfn.XLOOKUP(tblTargetStatus[[#This Row],[TargetID]],tblTargets[TargetID],tblTargets[TargetType],"")</f>
        <v>COLLECTION</v>
      </c>
      <c r="F207" t="str">
        <f>_xlfn.XLOOKUP(tblTargetStatus[[#This Row],[TargetID]],tblTargets[TargetID],tblTargets[StateType])</f>
        <v/>
      </c>
      <c r="G207">
        <f>_xlfn.LET(
_xlpm.id,tblTargetStatus[[#This Row],[TargetID]],
_xlpm.depCount,COUNTIF(tblDependencies[TargetID],_xlpm.id),
_xlpm.objCount,COUNTIF(tblQuestObjectives[QuestTargetID],_xlpm.id),
_xlpm.depCount+_xlpm.objCount
)</f>
        <v>1</v>
      </c>
      <c r="H207">
        <f>tblTargetStatus[[#This Row],[DependencyCount]]</f>
        <v>1</v>
      </c>
      <c r="I207" cm="1">
        <f t="array" ref="I2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7">
        <f>tblTargetStatus[[#This Row],[CompletedDependencyCount]]</f>
        <v>0</v>
      </c>
      <c r="K207" t="b">
        <f>tblTargetStatus[[#This Row],[CompletedDependencies]]=tblTargetStatus[[#This Row],[TotalDependencies]]</f>
        <v>0</v>
      </c>
      <c r="L207">
        <f>tblTargetStatus[[#This Row],[TotalDependencies]]-tblTargetStatus[[#This Row],[CompletedDependencies]]</f>
        <v>1</v>
      </c>
      <c r="M207" t="str" cm="1">
        <f t="array" ref="M2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collection.pantry_1@3</v>
      </c>
      <c r="N207" t="str">
        <f>IF(tblTargetStatus[[#This Row],[FirstMissingDependencyID]]="","",_xlfn.XLOOKUP(tblTargetStatus[[#This Row],[FirstMissingDependencyID]],tblTargets[TargetID],tblTargets[DisplayName],tblTargetStatus[[#This Row],[FirstMissingDependencyID]]))</f>
        <v>Pantry 1 Lv 3</v>
      </c>
      <c r="O207" t="str" cm="1">
        <f t="array" ref="O2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avocado,40 beans,40 dates,160 flour,40 glass,40 paper,160 rice,40 salmon,40 silk,20 spices,40 thread,20 tuna</v>
      </c>
      <c r="P207" t="str">
        <f>IF(tblTargetStatus[[#This Row],[FirstMissingDependencyID]]="","",_xlfn.XLOOKUP(tblTargetStatus[[#This Row],[FirstMissingDependencyID]],tblTargetStatus[TargetID],tblTargetStatus[Status],""))</f>
        <v>BLOCKED</v>
      </c>
      <c r="Q207" t="str">
        <f>IF(
 tblTargetStatus[[#This Row],[Status]]&lt;&gt;"BLOCKED",
 tblTargetStatus[[#This Row],[Status]],
 IF(
  AND(
   tblTargetStatus[[#This Row],[MissingDependencies]]=1,
   tblTargetStatus[[#This Row],[FirstMissingStatus]]="READY"
  ),
  "ONE AWAY",
  "BLOCKED"
 )
)</f>
        <v>BLOCKED</v>
      </c>
      <c r="R207">
        <f>IF(
 OR(
  tblTargetStatus[[#This Row],[StateType]]="CHARACTER",
  RIGHT(tblTargetStatus[[#This Row],[TargetID]],6)=".maxed"
 ),
 0,
 _xlfn.LET(
  _xlpm.sort,
   _xlfn.XLOOKUP(
    tblTargetStatus[[#This Row],[TargetID]],
    tblChecklist[TargetID],
    tblChecklist[PlayerSort],
    0
   ),
  IF(_xlpm.sort=0,500,_xlpm.sort)
 )
)</f>
        <v>500</v>
      </c>
      <c r="S207" t="str" cm="1">
        <f t="array" ref="S20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1 Lv 5</v>
      </c>
      <c r="T207" t="str">
        <f>_xlfn.XLOOKUP(tblTargetStatus[[#This Row],[TargetID]],tblTargets[TargetID],tblTargets[CompletionMethod],"")</f>
        <v>PLAYER</v>
      </c>
      <c r="U207" t="b">
        <f>COUNTIF(
    tblCost[TargetID],
    tblTargetStatus[[#This Row],[TargetID]]
)&gt;0</f>
        <v>1</v>
      </c>
      <c r="V207" s="81">
        <f>IF(tblTargetStatus[[#This Row],[HasCost]]=FALSE,
"N/A",
_xlfn.XLOOKUP(
tblTargetStatus[[#This Row],[TargetID]],
tblCost[TargetID],
tblCost[FundingPercent],
""
)
)</f>
        <v>0</v>
      </c>
      <c r="W207">
        <f>IF(
COUNTIF(tblCost[TargetID],tblTargetStatus[[#This Row],[TargetID]])=0,
"",
_xlfn.XLOOKUP(
tblTargetStatus[[#This Row],[TargetID]],
tblCost[TargetID],
tblCost[RemainingRequirements],
""
)
)</f>
        <v>12</v>
      </c>
      <c r="X207" s="79" t="b">
        <f>IF(tblTargetStatus[[#This Row],[HasCost]]=FALSE,"N/A",_xlfn.XLOOKUP(
tblTargetStatus[[#This Row],[TargetID]],
tblCost[TargetID],
tblCost[TargetFunded],
TRUE
))</f>
        <v>0</v>
      </c>
      <c r="Y207" t="str" cm="1">
        <f t="array" ref="Y207">_xlfn.TEXTJOIN(
", ",
TRUE,
_xlfn._xlws.FILTER(
tblCost[ResourceID]&amp;": "&amp;tblCost[QuantityRequired],
(tblCost[TargetID]=tblTargetStatus[[#This Row],[TargetID]])*
(tblCost[PlayerPaid]=FALSE),
""
)
)</f>
        <v>avocado: 20, beans: 40, dates: 40, flour: 160, glass: 40, paper: 40, rice: 160, salmon: 40, silk: 40, spices: 20, thread: 40, tuna: 20</v>
      </c>
      <c r="Z2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7" t="str" cm="1">
        <f t="array" ref="AA20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8" spans="1:27">
      <c r="A208" t="s">
        <v>2626</v>
      </c>
      <c r="B208" t="str">
        <f>_xlfn.XLOOKUP(tblTargetStatus[[#This Row],[TargetID]],tblTargets[TargetID],tblTargets[DisplayName],"")</f>
        <v>Pantry 1 Lv 5</v>
      </c>
      <c r="C208" t="str">
        <f>IF(tblTargetStatus[[#This Row],[PlayerCompleted]],"COMPLETED",IF(tblTargetStatus[[#This Row],[MissingDependencies]]=0,"READY","BLOCKED"))</f>
        <v>BLOCKED</v>
      </c>
      <c r="D2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8" t="str">
        <f>_xlfn.XLOOKUP(tblTargetStatus[[#This Row],[TargetID]],tblTargets[TargetID],tblTargets[TargetType],"")</f>
        <v>COLLECTION</v>
      </c>
      <c r="F208" t="str">
        <f>_xlfn.XLOOKUP(tblTargetStatus[[#This Row],[TargetID]],tblTargets[TargetID],tblTargets[StateType])</f>
        <v/>
      </c>
      <c r="G208">
        <f>_xlfn.LET(
_xlpm.id,tblTargetStatus[[#This Row],[TargetID]],
_xlpm.depCount,COUNTIF(tblDependencies[TargetID],_xlpm.id),
_xlpm.objCount,COUNTIF(tblQuestObjectives[QuestTargetID],_xlpm.id),
_xlpm.depCount+_xlpm.objCount
)</f>
        <v>1</v>
      </c>
      <c r="H208">
        <f>tblTargetStatus[[#This Row],[DependencyCount]]</f>
        <v>1</v>
      </c>
      <c r="I208" cm="1">
        <f t="array" ref="I2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8">
        <f>tblTargetStatus[[#This Row],[CompletedDependencyCount]]</f>
        <v>0</v>
      </c>
      <c r="K208" t="b">
        <f>tblTargetStatus[[#This Row],[CompletedDependencies]]=tblTargetStatus[[#This Row],[TotalDependencies]]</f>
        <v>0</v>
      </c>
      <c r="L208">
        <f>tblTargetStatus[[#This Row],[TotalDependencies]]-tblTargetStatus[[#This Row],[CompletedDependencies]]</f>
        <v>1</v>
      </c>
      <c r="M208" t="str" cm="1">
        <f t="array" ref="M2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collection.pantry_1@4</v>
      </c>
      <c r="N208" t="str">
        <f>IF(tblTargetStatus[[#This Row],[FirstMissingDependencyID]]="","",_xlfn.XLOOKUP(tblTargetStatus[[#This Row],[FirstMissingDependencyID]],tblTargets[TargetID],tblTargets[DisplayName],tblTargetStatus[[#This Row],[FirstMissingDependencyID]]))</f>
        <v>Pantry 1 Lv 4</v>
      </c>
      <c r="O208" t="str" cm="1">
        <f t="array" ref="O2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25 avocado,50 beans,50 dates,200 flour,50 glass,50 paper,200 rice,50 salmon,50 silk,25 spices,50 thread,25 tuna</v>
      </c>
      <c r="P208" t="str">
        <f>IF(tblTargetStatus[[#This Row],[FirstMissingDependencyID]]="","",_xlfn.XLOOKUP(tblTargetStatus[[#This Row],[FirstMissingDependencyID]],tblTargetStatus[TargetID],tblTargetStatus[Status],""))</f>
        <v>BLOCKED</v>
      </c>
      <c r="Q208" t="str">
        <f>IF(
 tblTargetStatus[[#This Row],[Status]]&lt;&gt;"BLOCKED",
 tblTargetStatus[[#This Row],[Status]],
 IF(
  AND(
   tblTargetStatus[[#This Row],[MissingDependencies]]=1,
   tblTargetStatus[[#This Row],[FirstMissingStatus]]="READY"
  ),
  "ONE AWAY",
  "BLOCKED"
 )
)</f>
        <v>BLOCKED</v>
      </c>
      <c r="R208">
        <f>IF(
 OR(
  tblTargetStatus[[#This Row],[StateType]]="CHARACTER",
  RIGHT(tblTargetStatus[[#This Row],[TargetID]],6)=".maxed"
 ),
 0,
 _xlfn.LET(
  _xlpm.sort,
   _xlfn.XLOOKUP(
    tblTargetStatus[[#This Row],[TargetID]],
    tblChecklist[TargetID],
    tblChecklist[PlayerSort],
    0
   ),
  IF(_xlpm.sort=0,500,_xlpm.sort)
 )
)</f>
        <v>24</v>
      </c>
      <c r="S208" t="str" cm="1">
        <f t="array" ref="S20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08" t="str">
        <f>_xlfn.XLOOKUP(tblTargetStatus[[#This Row],[TargetID]],tblTargets[TargetID],tblTargets[CompletionMethod],"")</f>
        <v>PLAYER</v>
      </c>
      <c r="U208" t="b">
        <f>COUNTIF(
    tblCost[TargetID],
    tblTargetStatus[[#This Row],[TargetID]]
)&gt;0</f>
        <v>1</v>
      </c>
      <c r="V208" s="81">
        <f>IF(tblTargetStatus[[#This Row],[HasCost]]=FALSE,
"N/A",
_xlfn.XLOOKUP(
tblTargetStatus[[#This Row],[TargetID]],
tblCost[TargetID],
tblCost[FundingPercent],
""
)
)</f>
        <v>0</v>
      </c>
      <c r="W208">
        <f>IF(
COUNTIF(tblCost[TargetID],tblTargetStatus[[#This Row],[TargetID]])=0,
"",
_xlfn.XLOOKUP(
tblTargetStatus[[#This Row],[TargetID]],
tblCost[TargetID],
tblCost[RemainingRequirements],
""
)
)</f>
        <v>12</v>
      </c>
      <c r="X208" s="79" t="b">
        <f>IF(tblTargetStatus[[#This Row],[HasCost]]=FALSE,"N/A",_xlfn.XLOOKUP(
tblTargetStatus[[#This Row],[TargetID]],
tblCost[TargetID],
tblCost[TargetFunded],
TRUE
))</f>
        <v>0</v>
      </c>
      <c r="Y208" t="str" cm="1">
        <f t="array" ref="Y208">_xlfn.TEXTJOIN(
", ",
TRUE,
_xlfn._xlws.FILTER(
tblCost[ResourceID]&amp;": "&amp;tblCost[QuantityRequired],
(tblCost[TargetID]=tblTargetStatus[[#This Row],[TargetID]])*
(tblCost[PlayerPaid]=FALSE),
""
)
)</f>
        <v>avocado: 25, beans: 50, dates: 50, flour: 200, glass: 50, paper: 50, rice: 200, salmon: 50, silk: 50, spices: 25, thread: 50, tuna: 25</v>
      </c>
      <c r="Z2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8" t="str" cm="1">
        <f t="array" ref="AA20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09" spans="1:27">
      <c r="A209" t="s">
        <v>2627</v>
      </c>
      <c r="B209" t="str">
        <f>_xlfn.XLOOKUP(tblTargetStatus[[#This Row],[TargetID]],tblTargets[TargetID],tblTargets[DisplayName],"")</f>
        <v>Pantry 2 Lv 1</v>
      </c>
      <c r="C209" t="str">
        <f>IF(tblTargetStatus[[#This Row],[PlayerCompleted]],"COMPLETED",IF(tblTargetStatus[[#This Row],[MissingDependencies]]=0,"READY","BLOCKED"))</f>
        <v>BLOCKED</v>
      </c>
      <c r="D2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9" t="str">
        <f>_xlfn.XLOOKUP(tblTargetStatus[[#This Row],[TargetID]],tblTargets[TargetID],tblTargets[TargetType],"")</f>
        <v>COLLECTION</v>
      </c>
      <c r="F209" t="str">
        <f>_xlfn.XLOOKUP(tblTargetStatus[[#This Row],[TargetID]],tblTargets[TargetID],tblTargets[StateType])</f>
        <v/>
      </c>
      <c r="G209">
        <f>_xlfn.LET(
_xlpm.id,tblTargetStatus[[#This Row],[TargetID]],
_xlpm.depCount,COUNTIF(tblDependencies[TargetID],_xlpm.id),
_xlpm.objCount,COUNTIF(tblQuestObjectives[QuestTargetID],_xlpm.id),
_xlpm.depCount+_xlpm.objCount
)</f>
        <v>1</v>
      </c>
      <c r="H209">
        <f>tblTargetStatus[[#This Row],[DependencyCount]]</f>
        <v>1</v>
      </c>
      <c r="I209" cm="1">
        <f t="array" ref="I2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9">
        <f>tblTargetStatus[[#This Row],[CompletedDependencyCount]]</f>
        <v>0</v>
      </c>
      <c r="K209" t="b">
        <f>tblTargetStatus[[#This Row],[CompletedDependencies]]=tblTargetStatus[[#This Row],[TotalDependencies]]</f>
        <v>0</v>
      </c>
      <c r="L209">
        <f>tblTargetStatus[[#This Row],[TotalDependencies]]-tblTargetStatus[[#This Row],[CompletedDependencies]]</f>
        <v>1</v>
      </c>
      <c r="M209" t="str" cm="1">
        <f t="array" ref="M2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citadel.pantry</v>
      </c>
      <c r="N209" t="str">
        <f>IF(tblTargetStatus[[#This Row],[FirstMissingDependencyID]]="","",_xlfn.XLOOKUP(tblTargetStatus[[#This Row],[FirstMissingDependencyID]],tblTargets[TargetID],tblTargets[DisplayName],tblTargetStatus[[#This Row],[FirstMissingDependencyID]]))</f>
        <v>Pantry</v>
      </c>
      <c r="O209" s="2" t="str" cm="1">
        <f t="array" ref="O2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plank,100 plank.2,100 steel,100 stone</v>
      </c>
      <c r="P209" t="str">
        <f>IF(tblTargetStatus[[#This Row],[FirstMissingDependencyID]]="","",_xlfn.XLOOKUP(tblTargetStatus[[#This Row],[FirstMissingDependencyID]],tblTargetStatus[TargetID],tblTargetStatus[Status],""))</f>
        <v>BLOCKED</v>
      </c>
      <c r="Q209" t="str">
        <f>IF(
 tblTargetStatus[[#This Row],[Status]]&lt;&gt;"BLOCKED",
 tblTargetStatus[[#This Row],[Status]],
 IF(
  AND(
   tblTargetStatus[[#This Row],[MissingDependencies]]=1,
   tblTargetStatus[[#This Row],[FirstMissingStatus]]="READY"
  ),
  "ONE AWAY",
  "BLOCKED"
 )
)</f>
        <v>BLOCKED</v>
      </c>
      <c r="R209">
        <f>IF(
 OR(
  tblTargetStatus[[#This Row],[StateType]]="CHARACTER",
  RIGHT(tblTargetStatus[[#This Row],[TargetID]],6)=".maxed"
 ),
 0,
 _xlfn.LET(
  _xlpm.sort,
   _xlfn.XLOOKUP(
    tblTargetStatus[[#This Row],[TargetID]],
    tblChecklist[TargetID],
    tblChecklist[PlayerSort],
    0
   ),
  IF(_xlpm.sort=0,500,_xlpm.sort)
 )
)</f>
        <v>500</v>
      </c>
      <c r="S209" t="str" cm="1">
        <f t="array" ref="S20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2 Lv 2</v>
      </c>
      <c r="T209" t="str">
        <f>_xlfn.XLOOKUP(tblTargetStatus[[#This Row],[TargetID]],tblTargets[TargetID],tblTargets[CompletionMethod],"")</f>
        <v>PLAYER</v>
      </c>
      <c r="U209" t="b">
        <f>COUNTIF(
    tblCost[TargetID],
    tblTargetStatus[[#This Row],[TargetID]]
)&gt;0</f>
        <v>1</v>
      </c>
      <c r="V209" s="81">
        <f>IF(tblTargetStatus[[#This Row],[HasCost]]=FALSE,
"N/A",
_xlfn.XLOOKUP(
tblTargetStatus[[#This Row],[TargetID]],
tblCost[TargetID],
tblCost[FundingPercent],
""
)
)</f>
        <v>0</v>
      </c>
      <c r="W209">
        <f>IF(
COUNTIF(tblCost[TargetID],tblTargetStatus[[#This Row],[TargetID]])=0,
"",
_xlfn.XLOOKUP(
tblTargetStatus[[#This Row],[TargetID]],
tblCost[TargetID],
tblCost[RemainingRequirements],
""
)
)</f>
        <v>4</v>
      </c>
      <c r="X209" s="79" t="b">
        <f>IF(tblTargetStatus[[#This Row],[HasCost]]=FALSE,"N/A",_xlfn.XLOOKUP(
tblTargetStatus[[#This Row],[TargetID]],
tblCost[TargetID],
tblCost[TargetFunded],
TRUE
))</f>
        <v>0</v>
      </c>
      <c r="Y209" t="str" cm="1">
        <f t="array" ref="Y209">_xlfn.TEXTJOIN(
", ",
TRUE,
_xlfn._xlws.FILTER(
tblCost[ResourceID]&amp;": "&amp;tblCost[QuantityRequired],
(tblCost[TargetID]=tblTargetStatus[[#This Row],[TargetID]])*
(tblCost[PlayerPaid]=FALSE),
""
)
)</f>
        <v>plank: 100, plank: 100, steel: 100, stone: 100</v>
      </c>
      <c r="Z2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9" t="str" cm="1">
        <f t="array" ref="AA20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0" spans="1:27">
      <c r="A210" t="s">
        <v>2628</v>
      </c>
      <c r="B210" t="str">
        <f>_xlfn.XLOOKUP(tblTargetStatus[[#This Row],[TargetID]],tblTargets[TargetID],tblTargets[DisplayName],"")</f>
        <v>Pantry 2 Lv 2</v>
      </c>
      <c r="C210" t="str">
        <f>IF(tblTargetStatus[[#This Row],[PlayerCompleted]],"COMPLETED",IF(tblTargetStatus[[#This Row],[MissingDependencies]]=0,"READY","BLOCKED"))</f>
        <v>BLOCKED</v>
      </c>
      <c r="D2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0" t="str">
        <f>_xlfn.XLOOKUP(tblTargetStatus[[#This Row],[TargetID]],tblTargets[TargetID],tblTargets[TargetType],"")</f>
        <v>COLLECTION</v>
      </c>
      <c r="F210" t="str">
        <f>_xlfn.XLOOKUP(tblTargetStatus[[#This Row],[TargetID]],tblTargets[TargetID],tblTargets[StateType])</f>
        <v/>
      </c>
      <c r="G210">
        <f>_xlfn.LET(
_xlpm.id,tblTargetStatus[[#This Row],[TargetID]],
_xlpm.depCount,COUNTIF(tblDependencies[TargetID],_xlpm.id),
_xlpm.objCount,COUNTIF(tblQuestObjectives[QuestTargetID],_xlpm.id),
_xlpm.depCount+_xlpm.objCount
)</f>
        <v>1</v>
      </c>
      <c r="H210">
        <f>tblTargetStatus[[#This Row],[DependencyCount]]</f>
        <v>1</v>
      </c>
      <c r="I210" cm="1">
        <f t="array" ref="I2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0">
        <f>tblTargetStatus[[#This Row],[CompletedDependencyCount]]</f>
        <v>0</v>
      </c>
      <c r="K210" t="b">
        <f>tblTargetStatus[[#This Row],[CompletedDependencies]]=tblTargetStatus[[#This Row],[TotalDependencies]]</f>
        <v>0</v>
      </c>
      <c r="L210">
        <f>tblTargetStatus[[#This Row],[TotalDependencies]]-tblTargetStatus[[#This Row],[CompletedDependencies]]</f>
        <v>1</v>
      </c>
      <c r="M210" t="str" cm="1">
        <f t="array" ref="M2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collection.pantry_2@1</v>
      </c>
      <c r="N210" t="str">
        <f>IF(tblTargetStatus[[#This Row],[FirstMissingDependencyID]]="","",_xlfn.XLOOKUP(tblTargetStatus[[#This Row],[FirstMissingDependencyID]],tblTargets[TargetID],tblTargets[DisplayName],tblTargetStatus[[#This Row],[FirstMissingDependencyID]]))</f>
        <v>Pantry 2 Lv 1</v>
      </c>
      <c r="O210" t="str" cm="1">
        <f t="array" ref="O2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plank,200 plank.2,200 steel,200 stone</v>
      </c>
      <c r="P210" t="str">
        <f>IF(tblTargetStatus[[#This Row],[FirstMissingDependencyID]]="","",_xlfn.XLOOKUP(tblTargetStatus[[#This Row],[FirstMissingDependencyID]],tblTargetStatus[TargetID],tblTargetStatus[Status],""))</f>
        <v>BLOCKED</v>
      </c>
      <c r="Q210" t="str">
        <f>IF(
 tblTargetStatus[[#This Row],[Status]]&lt;&gt;"BLOCKED",
 tblTargetStatus[[#This Row],[Status]],
 IF(
  AND(
   tblTargetStatus[[#This Row],[MissingDependencies]]=1,
   tblTargetStatus[[#This Row],[FirstMissingStatus]]="READY"
  ),
  "ONE AWAY",
  "BLOCKED"
 )
)</f>
        <v>BLOCKED</v>
      </c>
      <c r="R210">
        <f>IF(
 OR(
  tblTargetStatus[[#This Row],[StateType]]="CHARACTER",
  RIGHT(tblTargetStatus[[#This Row],[TargetID]],6)=".maxed"
 ),
 0,
 _xlfn.LET(
  _xlpm.sort,
   _xlfn.XLOOKUP(
    tblTargetStatus[[#This Row],[TargetID]],
    tblChecklist[TargetID],
    tblChecklist[PlayerSort],
    0
   ),
  IF(_xlpm.sort=0,500,_xlpm.sort)
 )
)</f>
        <v>500</v>
      </c>
      <c r="S210" t="str" cm="1">
        <f t="array" ref="S21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2 Lv 3</v>
      </c>
      <c r="T210" t="str">
        <f>_xlfn.XLOOKUP(tblTargetStatus[[#This Row],[TargetID]],tblTargets[TargetID],tblTargets[CompletionMethod],"")</f>
        <v>PLAYER</v>
      </c>
      <c r="U210" t="b">
        <f>COUNTIF(
    tblCost[TargetID],
    tblTargetStatus[[#This Row],[TargetID]]
)&gt;0</f>
        <v>1</v>
      </c>
      <c r="V210" s="81">
        <f>IF(tblTargetStatus[[#This Row],[HasCost]]=FALSE,
"N/A",
_xlfn.XLOOKUP(
tblTargetStatus[[#This Row],[TargetID]],
tblCost[TargetID],
tblCost[FundingPercent],
""
)
)</f>
        <v>0</v>
      </c>
      <c r="W210">
        <f>IF(
COUNTIF(tblCost[TargetID],tblTargetStatus[[#This Row],[TargetID]])=0,
"",
_xlfn.XLOOKUP(
tblTargetStatus[[#This Row],[TargetID]],
tblCost[TargetID],
tblCost[RemainingRequirements],
""
)
)</f>
        <v>4</v>
      </c>
      <c r="X210" s="79" t="b">
        <f>IF(tblTargetStatus[[#This Row],[HasCost]]=FALSE,"N/A",_xlfn.XLOOKUP(
tblTargetStatus[[#This Row],[TargetID]],
tblCost[TargetID],
tblCost[TargetFunded],
TRUE
))</f>
        <v>0</v>
      </c>
      <c r="Y210" t="str" cm="1">
        <f t="array" ref="Y210">_xlfn.TEXTJOIN(
", ",
TRUE,
_xlfn._xlws.FILTER(
tblCost[ResourceID]&amp;": "&amp;tblCost[QuantityRequired],
(tblCost[TargetID]=tblTargetStatus[[#This Row],[TargetID]])*
(tblCost[PlayerPaid]=FALSE),
""
)
)</f>
        <v>plank: 200, plank: 200, steel: 200, stone: 200</v>
      </c>
      <c r="Z2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0" t="str" cm="1">
        <f t="array" ref="AA21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1" spans="1:27">
      <c r="A211" t="s">
        <v>2629</v>
      </c>
      <c r="B211" t="str">
        <f>_xlfn.XLOOKUP(tblTargetStatus[[#This Row],[TargetID]],tblTargets[TargetID],tblTargets[DisplayName],"")</f>
        <v>Pantry 2 Lv 3</v>
      </c>
      <c r="C211" t="str">
        <f>IF(tblTargetStatus[[#This Row],[PlayerCompleted]],"COMPLETED",IF(tblTargetStatus[[#This Row],[MissingDependencies]]=0,"READY","BLOCKED"))</f>
        <v>BLOCKED</v>
      </c>
      <c r="D2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1" t="str">
        <f>_xlfn.XLOOKUP(tblTargetStatus[[#This Row],[TargetID]],tblTargets[TargetID],tblTargets[TargetType],"")</f>
        <v>COLLECTION</v>
      </c>
      <c r="F211" t="str">
        <f>_xlfn.XLOOKUP(tblTargetStatus[[#This Row],[TargetID]],tblTargets[TargetID],tblTargets[StateType])</f>
        <v/>
      </c>
      <c r="G211">
        <f>_xlfn.LET(
_xlpm.id,tblTargetStatus[[#This Row],[TargetID]],
_xlpm.depCount,COUNTIF(tblDependencies[TargetID],_xlpm.id),
_xlpm.objCount,COUNTIF(tblQuestObjectives[QuestTargetID],_xlpm.id),
_xlpm.depCount+_xlpm.objCount
)</f>
        <v>1</v>
      </c>
      <c r="H211">
        <f>tblTargetStatus[[#This Row],[DependencyCount]]</f>
        <v>1</v>
      </c>
      <c r="I211" cm="1">
        <f t="array" ref="I2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1">
        <f>tblTargetStatus[[#This Row],[CompletedDependencyCount]]</f>
        <v>0</v>
      </c>
      <c r="K211" t="b">
        <f>tblTargetStatus[[#This Row],[CompletedDependencies]]=tblTargetStatus[[#This Row],[TotalDependencies]]</f>
        <v>0</v>
      </c>
      <c r="L211">
        <f>tblTargetStatus[[#This Row],[TotalDependencies]]-tblTargetStatus[[#This Row],[CompletedDependencies]]</f>
        <v>1</v>
      </c>
      <c r="M211" t="str" cm="1">
        <f t="array" ref="M2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collection.pantry_2@2</v>
      </c>
      <c r="N211" t="str">
        <f>IF(tblTargetStatus[[#This Row],[FirstMissingDependencyID]]="","",_xlfn.XLOOKUP(tblTargetStatus[[#This Row],[FirstMissingDependencyID]],tblTargets[TargetID],tblTargets[DisplayName],tblTargetStatus[[#This Row],[FirstMissingDependencyID]]))</f>
        <v>Pantry 2 Lv 2</v>
      </c>
      <c r="O211" t="str" cm="1">
        <f t="array" ref="O2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plank,300 plank.2,300 steel,300 stone</v>
      </c>
      <c r="P211" t="str">
        <f>IF(tblTargetStatus[[#This Row],[FirstMissingDependencyID]]="","",_xlfn.XLOOKUP(tblTargetStatus[[#This Row],[FirstMissingDependencyID]],tblTargetStatus[TargetID],tblTargetStatus[Status],""))</f>
        <v>BLOCKED</v>
      </c>
      <c r="Q211" t="str">
        <f>IF(
 tblTargetStatus[[#This Row],[Status]]&lt;&gt;"BLOCKED",
 tblTargetStatus[[#This Row],[Status]],
 IF(
  AND(
   tblTargetStatus[[#This Row],[MissingDependencies]]=1,
   tblTargetStatus[[#This Row],[FirstMissingStatus]]="READY"
  ),
  "ONE AWAY",
  "BLOCKED"
 )
)</f>
        <v>BLOCKED</v>
      </c>
      <c r="R211">
        <f>IF(
 OR(
  tblTargetStatus[[#This Row],[StateType]]="CHARACTER",
  RIGHT(tblTargetStatus[[#This Row],[TargetID]],6)=".maxed"
 ),
 0,
 _xlfn.LET(
  _xlpm.sort,
   _xlfn.XLOOKUP(
    tblTargetStatus[[#This Row],[TargetID]],
    tblChecklist[TargetID],
    tblChecklist[PlayerSort],
    0
   ),
  IF(_xlpm.sort=0,500,_xlpm.sort)
 )
)</f>
        <v>500</v>
      </c>
      <c r="S211" t="str" cm="1">
        <f t="array" ref="S21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2 Lv 4</v>
      </c>
      <c r="T211" t="str">
        <f>_xlfn.XLOOKUP(tblTargetStatus[[#This Row],[TargetID]],tblTargets[TargetID],tblTargets[CompletionMethod],"")</f>
        <v>PLAYER</v>
      </c>
      <c r="U211" t="b">
        <f>COUNTIF(
    tblCost[TargetID],
    tblTargetStatus[[#This Row],[TargetID]]
)&gt;0</f>
        <v>1</v>
      </c>
      <c r="V211" s="81">
        <f>IF(tblTargetStatus[[#This Row],[HasCost]]=FALSE,
"N/A",
_xlfn.XLOOKUP(
tblTargetStatus[[#This Row],[TargetID]],
tblCost[TargetID],
tblCost[FundingPercent],
""
)
)</f>
        <v>0</v>
      </c>
      <c r="W211">
        <f>IF(
COUNTIF(tblCost[TargetID],tblTargetStatus[[#This Row],[TargetID]])=0,
"",
_xlfn.XLOOKUP(
tblTargetStatus[[#This Row],[TargetID]],
tblCost[TargetID],
tblCost[RemainingRequirements],
""
)
)</f>
        <v>4</v>
      </c>
      <c r="X211" s="79" t="b">
        <f>IF(tblTargetStatus[[#This Row],[HasCost]]=FALSE,"N/A",_xlfn.XLOOKUP(
tblTargetStatus[[#This Row],[TargetID]],
tblCost[TargetID],
tblCost[TargetFunded],
TRUE
))</f>
        <v>0</v>
      </c>
      <c r="Y211" t="str" cm="1">
        <f t="array" ref="Y211">_xlfn.TEXTJOIN(
", ",
TRUE,
_xlfn._xlws.FILTER(
tblCost[ResourceID]&amp;": "&amp;tblCost[QuantityRequired],
(tblCost[TargetID]=tblTargetStatus[[#This Row],[TargetID]])*
(tblCost[PlayerPaid]=FALSE),
""
)
)</f>
        <v>plank: 300, plank: 300, steel: 300, stone: 300</v>
      </c>
      <c r="Z2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1" t="str" cm="1">
        <f t="array" ref="AA21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2" spans="1:27">
      <c r="A212" t="s">
        <v>2630</v>
      </c>
      <c r="B212" t="str">
        <f>_xlfn.XLOOKUP(tblTargetStatus[[#This Row],[TargetID]],tblTargets[TargetID],tblTargets[DisplayName],"")</f>
        <v>Pantry 2 Lv 4</v>
      </c>
      <c r="C212" t="str">
        <f>IF(tblTargetStatus[[#This Row],[PlayerCompleted]],"COMPLETED",IF(tblTargetStatus[[#This Row],[MissingDependencies]]=0,"READY","BLOCKED"))</f>
        <v>BLOCKED</v>
      </c>
      <c r="D2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2" t="str">
        <f>_xlfn.XLOOKUP(tblTargetStatus[[#This Row],[TargetID]],tblTargets[TargetID],tblTargets[TargetType],"")</f>
        <v>COLLECTION</v>
      </c>
      <c r="F212" t="str">
        <f>_xlfn.XLOOKUP(tblTargetStatus[[#This Row],[TargetID]],tblTargets[TargetID],tblTargets[StateType])</f>
        <v/>
      </c>
      <c r="G212">
        <f>_xlfn.LET(
_xlpm.id,tblTargetStatus[[#This Row],[TargetID]],
_xlpm.depCount,COUNTIF(tblDependencies[TargetID],_xlpm.id),
_xlpm.objCount,COUNTIF(tblQuestObjectives[QuestTargetID],_xlpm.id),
_xlpm.depCount+_xlpm.objCount
)</f>
        <v>1</v>
      </c>
      <c r="H212">
        <f>tblTargetStatus[[#This Row],[DependencyCount]]</f>
        <v>1</v>
      </c>
      <c r="I212" cm="1">
        <f t="array" ref="I2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2">
        <f>tblTargetStatus[[#This Row],[CompletedDependencyCount]]</f>
        <v>0</v>
      </c>
      <c r="K212" t="b">
        <f>tblTargetStatus[[#This Row],[CompletedDependencies]]=tblTargetStatus[[#This Row],[TotalDependencies]]</f>
        <v>0</v>
      </c>
      <c r="L212">
        <f>tblTargetStatus[[#This Row],[TotalDependencies]]-tblTargetStatus[[#This Row],[CompletedDependencies]]</f>
        <v>1</v>
      </c>
      <c r="M212" t="str" cm="1">
        <f t="array" ref="M2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collection.pantry_2@3</v>
      </c>
      <c r="N212" t="str">
        <f>IF(tblTargetStatus[[#This Row],[FirstMissingDependencyID]]="","",_xlfn.XLOOKUP(tblTargetStatus[[#This Row],[FirstMissingDependencyID]],tblTargets[TargetID],tblTargets[DisplayName],tblTargetStatus[[#This Row],[FirstMissingDependencyID]]))</f>
        <v>Pantry 2 Lv 3</v>
      </c>
      <c r="O212" t="str" cm="1">
        <f t="array" ref="O2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plank,400 plank.2,400 steel,400 stone</v>
      </c>
      <c r="P212" t="str">
        <f>IF(tblTargetStatus[[#This Row],[FirstMissingDependencyID]]="","",_xlfn.XLOOKUP(tblTargetStatus[[#This Row],[FirstMissingDependencyID]],tblTargetStatus[TargetID],tblTargetStatus[Status],""))</f>
        <v>BLOCKED</v>
      </c>
      <c r="Q212" t="str">
        <f>IF(
 tblTargetStatus[[#This Row],[Status]]&lt;&gt;"BLOCKED",
 tblTargetStatus[[#This Row],[Status]],
 IF(
  AND(
   tblTargetStatus[[#This Row],[MissingDependencies]]=1,
   tblTargetStatus[[#This Row],[FirstMissingStatus]]="READY"
  ),
  "ONE AWAY",
  "BLOCKED"
 )
)</f>
        <v>BLOCKED</v>
      </c>
      <c r="R212">
        <f>IF(
 OR(
  tblTargetStatus[[#This Row],[StateType]]="CHARACTER",
  RIGHT(tblTargetStatus[[#This Row],[TargetID]],6)=".maxed"
 ),
 0,
 _xlfn.LET(
  _xlpm.sort,
   _xlfn.XLOOKUP(
    tblTargetStatus[[#This Row],[TargetID]],
    tblChecklist[TargetID],
    tblChecklist[PlayerSort],
    0
   ),
  IF(_xlpm.sort=0,500,_xlpm.sort)
 )
)</f>
        <v>500</v>
      </c>
      <c r="S212" t="str" cm="1">
        <f t="array" ref="S21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2 Lv 5</v>
      </c>
      <c r="T212" t="str">
        <f>_xlfn.XLOOKUP(tblTargetStatus[[#This Row],[TargetID]],tblTargets[TargetID],tblTargets[CompletionMethod],"")</f>
        <v>PLAYER</v>
      </c>
      <c r="U212" t="b">
        <f>COUNTIF(
    tblCost[TargetID],
    tblTargetStatus[[#This Row],[TargetID]]
)&gt;0</f>
        <v>1</v>
      </c>
      <c r="V212" s="81">
        <f>IF(tblTargetStatus[[#This Row],[HasCost]]=FALSE,
"N/A",
_xlfn.XLOOKUP(
tblTargetStatus[[#This Row],[TargetID]],
tblCost[TargetID],
tblCost[FundingPercent],
""
)
)</f>
        <v>0</v>
      </c>
      <c r="W212">
        <f>IF(
COUNTIF(tblCost[TargetID],tblTargetStatus[[#This Row],[TargetID]])=0,
"",
_xlfn.XLOOKUP(
tblTargetStatus[[#This Row],[TargetID]],
tblCost[TargetID],
tblCost[RemainingRequirements],
""
)
)</f>
        <v>4</v>
      </c>
      <c r="X212" s="79" t="b">
        <f>IF(tblTargetStatus[[#This Row],[HasCost]]=FALSE,"N/A",_xlfn.XLOOKUP(
tblTargetStatus[[#This Row],[TargetID]],
tblCost[TargetID],
tblCost[TargetFunded],
TRUE
))</f>
        <v>0</v>
      </c>
      <c r="Y212" t="str" cm="1">
        <f t="array" ref="Y212">_xlfn.TEXTJOIN(
", ",
TRUE,
_xlfn._xlws.FILTER(
tblCost[ResourceID]&amp;": "&amp;tblCost[QuantityRequired],
(tblCost[TargetID]=tblTargetStatus[[#This Row],[TargetID]])*
(tblCost[PlayerPaid]=FALSE),
""
)
)</f>
        <v>plank: 400, plank: 400, steel: 400, stone: 400</v>
      </c>
      <c r="Z2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2" t="str" cm="1">
        <f t="array" ref="AA21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3" spans="1:27">
      <c r="A213" t="s">
        <v>2631</v>
      </c>
      <c r="B213" t="str">
        <f>_xlfn.XLOOKUP(tblTargetStatus[[#This Row],[TargetID]],tblTargets[TargetID],tblTargets[DisplayName],"")</f>
        <v>Pantry 2 Lv 5</v>
      </c>
      <c r="C213" t="str">
        <f>IF(tblTargetStatus[[#This Row],[PlayerCompleted]],"COMPLETED",IF(tblTargetStatus[[#This Row],[MissingDependencies]]=0,"READY","BLOCKED"))</f>
        <v>BLOCKED</v>
      </c>
      <c r="D2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3" t="str">
        <f>_xlfn.XLOOKUP(tblTargetStatus[[#This Row],[TargetID]],tblTargets[TargetID],tblTargets[TargetType],"")</f>
        <v>COLLECTION</v>
      </c>
      <c r="F213" t="str">
        <f>_xlfn.XLOOKUP(tblTargetStatus[[#This Row],[TargetID]],tblTargets[TargetID],tblTargets[StateType])</f>
        <v/>
      </c>
      <c r="G213">
        <f>_xlfn.LET(
_xlpm.id,tblTargetStatus[[#This Row],[TargetID]],
_xlpm.depCount,COUNTIF(tblDependencies[TargetID],_xlpm.id),
_xlpm.objCount,COUNTIF(tblQuestObjectives[QuestTargetID],_xlpm.id),
_xlpm.depCount+_xlpm.objCount
)</f>
        <v>1</v>
      </c>
      <c r="H213">
        <f>tblTargetStatus[[#This Row],[DependencyCount]]</f>
        <v>1</v>
      </c>
      <c r="I213" cm="1">
        <f t="array" ref="I2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3">
        <f>tblTargetStatus[[#This Row],[CompletedDependencyCount]]</f>
        <v>0</v>
      </c>
      <c r="K213" t="b">
        <f>tblTargetStatus[[#This Row],[CompletedDependencies]]=tblTargetStatus[[#This Row],[TotalDependencies]]</f>
        <v>0</v>
      </c>
      <c r="L213">
        <f>tblTargetStatus[[#This Row],[TotalDependencies]]-tblTargetStatus[[#This Row],[CompletedDependencies]]</f>
        <v>1</v>
      </c>
      <c r="M213" t="str" cm="1">
        <f t="array" ref="M2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collection.pantry_2@4</v>
      </c>
      <c r="N213" t="str">
        <f>IF(tblTargetStatus[[#This Row],[FirstMissingDependencyID]]="","",_xlfn.XLOOKUP(tblTargetStatus[[#This Row],[FirstMissingDependencyID]],tblTargets[TargetID],tblTargets[DisplayName],tblTargetStatus[[#This Row],[FirstMissingDependencyID]]))</f>
        <v>Pantry 2 Lv 4</v>
      </c>
      <c r="O213" t="str" cm="1">
        <f t="array" ref="O2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plank,500 plank.2,500 steel,500 stone</v>
      </c>
      <c r="P213" t="str">
        <f>IF(tblTargetStatus[[#This Row],[FirstMissingDependencyID]]="","",_xlfn.XLOOKUP(tblTargetStatus[[#This Row],[FirstMissingDependencyID]],tblTargetStatus[TargetID],tblTargetStatus[Status],""))</f>
        <v>BLOCKED</v>
      </c>
      <c r="Q213" t="str">
        <f>IF(
 tblTargetStatus[[#This Row],[Status]]&lt;&gt;"BLOCKED",
 tblTargetStatus[[#This Row],[Status]],
 IF(
  AND(
   tblTargetStatus[[#This Row],[MissingDependencies]]=1,
   tblTargetStatus[[#This Row],[FirstMissingStatus]]="READY"
  ),
  "ONE AWAY",
  "BLOCKED"
 )
)</f>
        <v>BLOCKED</v>
      </c>
      <c r="R213">
        <f>IF(
 OR(
  tblTargetStatus[[#This Row],[StateType]]="CHARACTER",
  RIGHT(tblTargetStatus[[#This Row],[TargetID]],6)=".maxed"
 ),
 0,
 _xlfn.LET(
  _xlpm.sort,
   _xlfn.XLOOKUP(
    tblTargetStatus[[#This Row],[TargetID]],
    tblChecklist[TargetID],
    tblChecklist[PlayerSort],
    0
   ),
  IF(_xlpm.sort=0,500,_xlpm.sort)
 )
)</f>
        <v>500</v>
      </c>
      <c r="S213" t="str" cm="1">
        <f t="array" ref="S21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13" t="str">
        <f>_xlfn.XLOOKUP(tblTargetStatus[[#This Row],[TargetID]],tblTargets[TargetID],tblTargets[CompletionMethod],"")</f>
        <v>PLAYER</v>
      </c>
      <c r="U213" t="b">
        <f>COUNTIF(
    tblCost[TargetID],
    tblTargetStatus[[#This Row],[TargetID]]
)&gt;0</f>
        <v>1</v>
      </c>
      <c r="V213" s="81">
        <f>IF(tblTargetStatus[[#This Row],[HasCost]]=FALSE,
"N/A",
_xlfn.XLOOKUP(
tblTargetStatus[[#This Row],[TargetID]],
tblCost[TargetID],
tblCost[FundingPercent],
""
)
)</f>
        <v>0</v>
      </c>
      <c r="W213">
        <f>IF(
COUNTIF(tblCost[TargetID],tblTargetStatus[[#This Row],[TargetID]])=0,
"",
_xlfn.XLOOKUP(
tblTargetStatus[[#This Row],[TargetID]],
tblCost[TargetID],
tblCost[RemainingRequirements],
""
)
)</f>
        <v>4</v>
      </c>
      <c r="X213" s="79" t="b">
        <f>IF(tblTargetStatus[[#This Row],[HasCost]]=FALSE,"N/A",_xlfn.XLOOKUP(
tblTargetStatus[[#This Row],[TargetID]],
tblCost[TargetID],
tblCost[TargetFunded],
TRUE
))</f>
        <v>0</v>
      </c>
      <c r="Y213" t="str" cm="1">
        <f t="array" ref="Y213">_xlfn.TEXTJOIN(
", ",
TRUE,
_xlfn._xlws.FILTER(
tblCost[ResourceID]&amp;": "&amp;tblCost[QuantityRequired],
(tblCost[TargetID]=tblTargetStatus[[#This Row],[TargetID]])*
(tblCost[PlayerPaid]=FALSE),
""
)
)</f>
        <v>plank: 500, plank: 500, steel: 500, stone: 500</v>
      </c>
      <c r="Z2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3" t="str" cm="1">
        <f t="array" ref="AA21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4" spans="1:27" ht="29">
      <c r="A214" t="s">
        <v>2632</v>
      </c>
      <c r="B214" t="str">
        <f>_xlfn.XLOOKUP(tblTargetStatus[[#This Row],[TargetID]],tblTargets[TargetID],tblTargets[DisplayName],"")</f>
        <v>Pantry 3 Lv 1</v>
      </c>
      <c r="C214" t="str">
        <f>IF(tblTargetStatus[[#This Row],[PlayerCompleted]],"COMPLETED",IF(tblTargetStatus[[#This Row],[MissingDependencies]]=0,"READY","BLOCKED"))</f>
        <v>BLOCKED</v>
      </c>
      <c r="D2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4" t="str">
        <f>_xlfn.XLOOKUP(tblTargetStatus[[#This Row],[TargetID]],tblTargets[TargetID],tblTargets[TargetType],"")</f>
        <v>COLLECTION</v>
      </c>
      <c r="F214" t="str">
        <f>_xlfn.XLOOKUP(tblTargetStatus[[#This Row],[TargetID]],tblTargets[TargetID],tblTargets[StateType])</f>
        <v/>
      </c>
      <c r="G214">
        <f>_xlfn.LET(
_xlpm.id,tblTargetStatus[[#This Row],[TargetID]],
_xlpm.depCount,COUNTIF(tblDependencies[TargetID],_xlpm.id),
_xlpm.objCount,COUNTIF(tblQuestObjectives[QuestTargetID],_xlpm.id),
_xlpm.depCount+_xlpm.objCount
)</f>
        <v>1</v>
      </c>
      <c r="H214">
        <f>tblTargetStatus[[#This Row],[DependencyCount]]</f>
        <v>1</v>
      </c>
      <c r="I214" cm="1">
        <f t="array" ref="I2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4">
        <f>tblTargetStatus[[#This Row],[CompletedDependencyCount]]</f>
        <v>0</v>
      </c>
      <c r="K214" t="b">
        <f>tblTargetStatus[[#This Row],[CompletedDependencies]]=tblTargetStatus[[#This Row],[TotalDependencies]]</f>
        <v>0</v>
      </c>
      <c r="L214">
        <f>tblTargetStatus[[#This Row],[TotalDependencies]]-tblTargetStatus[[#This Row],[CompletedDependencies]]</f>
        <v>1</v>
      </c>
      <c r="M214" t="str" cm="1">
        <f t="array" ref="M2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citadel.pantry</v>
      </c>
      <c r="N214" t="str">
        <f>IF(tblTargetStatus[[#This Row],[FirstMissingDependencyID]]="","",_xlfn.XLOOKUP(tblTargetStatus[[#This Row],[FirstMissingDependencyID]],tblTargets[TargetID],tblTargets[DisplayName],tblTargetStatus[[#This Row],[FirstMissingDependencyID]]))</f>
        <v>Pantry</v>
      </c>
      <c r="O214" s="2" t="str" cm="1">
        <f t="array" ref="O2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charcoal,100 chemicals,100 gunpowder,100 isand</v>
      </c>
      <c r="P214" t="str">
        <f>IF(tblTargetStatus[[#This Row],[FirstMissingDependencyID]]="","",_xlfn.XLOOKUP(tblTargetStatus[[#This Row],[FirstMissingDependencyID]],tblTargetStatus[TargetID],tblTargetStatus[Status],""))</f>
        <v>BLOCKED</v>
      </c>
      <c r="Q214" t="str">
        <f>IF(
 tblTargetStatus[[#This Row],[Status]]&lt;&gt;"BLOCKED",
 tblTargetStatus[[#This Row],[Status]],
 IF(
  AND(
   tblTargetStatus[[#This Row],[MissingDependencies]]=1,
   tblTargetStatus[[#This Row],[FirstMissingStatus]]="READY"
  ),
  "ONE AWAY",
  "BLOCKED"
 )
)</f>
        <v>BLOCKED</v>
      </c>
      <c r="R214">
        <f>IF(
 OR(
  tblTargetStatus[[#This Row],[StateType]]="CHARACTER",
  RIGHT(tblTargetStatus[[#This Row],[TargetID]],6)=".maxed"
 ),
 0,
 _xlfn.LET(
  _xlpm.sort,
   _xlfn.XLOOKUP(
    tblTargetStatus[[#This Row],[TargetID]],
    tblChecklist[TargetID],
    tblChecklist[PlayerSort],
    0
   ),
  IF(_xlpm.sort=0,500,_xlpm.sort)
 )
)</f>
        <v>500</v>
      </c>
      <c r="S214" t="str" cm="1">
        <f t="array" ref="S21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3 Lv 2</v>
      </c>
      <c r="T214" t="str">
        <f>_xlfn.XLOOKUP(tblTargetStatus[[#This Row],[TargetID]],tblTargets[TargetID],tblTargets[CompletionMethod],"")</f>
        <v>PLAYER</v>
      </c>
      <c r="U214" t="b">
        <f>COUNTIF(
    tblCost[TargetID],
    tblTargetStatus[[#This Row],[TargetID]]
)&gt;0</f>
        <v>1</v>
      </c>
      <c r="V214" s="81">
        <f>IF(tblTargetStatus[[#This Row],[HasCost]]=FALSE,
"N/A",
_xlfn.XLOOKUP(
tblTargetStatus[[#This Row],[TargetID]],
tblCost[TargetID],
tblCost[FundingPercent],
""
)
)</f>
        <v>0</v>
      </c>
      <c r="W214">
        <f>IF(
COUNTIF(tblCost[TargetID],tblTargetStatus[[#This Row],[TargetID]])=0,
"",
_xlfn.XLOOKUP(
tblTargetStatus[[#This Row],[TargetID]],
tblCost[TargetID],
tblCost[RemainingRequirements],
""
)
)</f>
        <v>4</v>
      </c>
      <c r="X214" s="79" t="b">
        <f>IF(tblTargetStatus[[#This Row],[HasCost]]=FALSE,"N/A",_xlfn.XLOOKUP(
tblTargetStatus[[#This Row],[TargetID]],
tblCost[TargetID],
tblCost[TargetFunded],
TRUE
))</f>
        <v>0</v>
      </c>
      <c r="Y214" t="str" cm="1">
        <f t="array" ref="Y214">_xlfn.TEXTJOIN(
", ",
TRUE,
_xlfn._xlws.FILTER(
tblCost[ResourceID]&amp;": "&amp;tblCost[QuantityRequired],
(tblCost[TargetID]=tblTargetStatus[[#This Row],[TargetID]])*
(tblCost[PlayerPaid]=FALSE),
""
)
)</f>
        <v>charcoal: 100, chemicals: 100, gunpowder: 100, isand: 100</v>
      </c>
      <c r="Z2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4" t="str" cm="1">
        <f t="array" ref="AA21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5" spans="1:27">
      <c r="A215" t="s">
        <v>2633</v>
      </c>
      <c r="B215" t="str">
        <f>_xlfn.XLOOKUP(tblTargetStatus[[#This Row],[TargetID]],tblTargets[TargetID],tblTargets[DisplayName],"")</f>
        <v>Pantry 3 Lv 2</v>
      </c>
      <c r="C215" t="str">
        <f>IF(tblTargetStatus[[#This Row],[PlayerCompleted]],"COMPLETED",IF(tblTargetStatus[[#This Row],[MissingDependencies]]=0,"READY","BLOCKED"))</f>
        <v>BLOCKED</v>
      </c>
      <c r="D2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5" t="str">
        <f>_xlfn.XLOOKUP(tblTargetStatus[[#This Row],[TargetID]],tblTargets[TargetID],tblTargets[TargetType],"")</f>
        <v>COLLECTION</v>
      </c>
      <c r="F215" t="str">
        <f>_xlfn.XLOOKUP(tblTargetStatus[[#This Row],[TargetID]],tblTargets[TargetID],tblTargets[StateType])</f>
        <v/>
      </c>
      <c r="G215">
        <f>_xlfn.LET(
_xlpm.id,tblTargetStatus[[#This Row],[TargetID]],
_xlpm.depCount,COUNTIF(tblDependencies[TargetID],_xlpm.id),
_xlpm.objCount,COUNTIF(tblQuestObjectives[QuestTargetID],_xlpm.id),
_xlpm.depCount+_xlpm.objCount
)</f>
        <v>1</v>
      </c>
      <c r="H215">
        <f>tblTargetStatus[[#This Row],[DependencyCount]]</f>
        <v>1</v>
      </c>
      <c r="I215" cm="1">
        <f t="array" ref="I2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5">
        <f>tblTargetStatus[[#This Row],[CompletedDependencyCount]]</f>
        <v>0</v>
      </c>
      <c r="K215" t="b">
        <f>tblTargetStatus[[#This Row],[CompletedDependencies]]=tblTargetStatus[[#This Row],[TotalDependencies]]</f>
        <v>0</v>
      </c>
      <c r="L215">
        <f>tblTargetStatus[[#This Row],[TotalDependencies]]-tblTargetStatus[[#This Row],[CompletedDependencies]]</f>
        <v>1</v>
      </c>
      <c r="M215" t="str" cm="1">
        <f t="array" ref="M2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collection.pantry_3@1</v>
      </c>
      <c r="N215" t="str">
        <f>IF(tblTargetStatus[[#This Row],[FirstMissingDependencyID]]="","",_xlfn.XLOOKUP(tblTargetStatus[[#This Row],[FirstMissingDependencyID]],tblTargets[TargetID],tblTargets[DisplayName],tblTargetStatus[[#This Row],[FirstMissingDependencyID]]))</f>
        <v>Pantry 3 Lv 1</v>
      </c>
      <c r="O215" t="str" cm="1">
        <f t="array" ref="O2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charcoal,200 chemicals,200 gunpowder,200 isand</v>
      </c>
      <c r="P215" t="str">
        <f>IF(tblTargetStatus[[#This Row],[FirstMissingDependencyID]]="","",_xlfn.XLOOKUP(tblTargetStatus[[#This Row],[FirstMissingDependencyID]],tblTargetStatus[TargetID],tblTargetStatus[Status],""))</f>
        <v>BLOCKED</v>
      </c>
      <c r="Q215" t="str">
        <f>IF(
 tblTargetStatus[[#This Row],[Status]]&lt;&gt;"BLOCKED",
 tblTargetStatus[[#This Row],[Status]],
 IF(
  AND(
   tblTargetStatus[[#This Row],[MissingDependencies]]=1,
   tblTargetStatus[[#This Row],[FirstMissingStatus]]="READY"
  ),
  "ONE AWAY",
  "BLOCKED"
 )
)</f>
        <v>BLOCKED</v>
      </c>
      <c r="R215">
        <f>IF(
 OR(
  tblTargetStatus[[#This Row],[StateType]]="CHARACTER",
  RIGHT(tblTargetStatus[[#This Row],[TargetID]],6)=".maxed"
 ),
 0,
 _xlfn.LET(
  _xlpm.sort,
   _xlfn.XLOOKUP(
    tblTargetStatus[[#This Row],[TargetID]],
    tblChecklist[TargetID],
    tblChecklist[PlayerSort],
    0
   ),
  IF(_xlpm.sort=0,500,_xlpm.sort)
 )
)</f>
        <v>500</v>
      </c>
      <c r="S215" t="str" cm="1">
        <f t="array" ref="S21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3 Lv 3</v>
      </c>
      <c r="T215" t="str">
        <f>_xlfn.XLOOKUP(tblTargetStatus[[#This Row],[TargetID]],tblTargets[TargetID],tblTargets[CompletionMethod],"")</f>
        <v>PLAYER</v>
      </c>
      <c r="U215" t="b">
        <f>COUNTIF(
    tblCost[TargetID],
    tblTargetStatus[[#This Row],[TargetID]]
)&gt;0</f>
        <v>1</v>
      </c>
      <c r="V215" s="81">
        <f>IF(tblTargetStatus[[#This Row],[HasCost]]=FALSE,
"N/A",
_xlfn.XLOOKUP(
tblTargetStatus[[#This Row],[TargetID]],
tblCost[TargetID],
tblCost[FundingPercent],
""
)
)</f>
        <v>0</v>
      </c>
      <c r="W215">
        <f>IF(
COUNTIF(tblCost[TargetID],tblTargetStatus[[#This Row],[TargetID]])=0,
"",
_xlfn.XLOOKUP(
tblTargetStatus[[#This Row],[TargetID]],
tblCost[TargetID],
tblCost[RemainingRequirements],
""
)
)</f>
        <v>4</v>
      </c>
      <c r="X215" s="79" t="b">
        <f>IF(tblTargetStatus[[#This Row],[HasCost]]=FALSE,"N/A",_xlfn.XLOOKUP(
tblTargetStatus[[#This Row],[TargetID]],
tblCost[TargetID],
tblCost[TargetFunded],
TRUE
))</f>
        <v>0</v>
      </c>
      <c r="Y215" t="str" cm="1">
        <f t="array" ref="Y215">_xlfn.TEXTJOIN(
", ",
TRUE,
_xlfn._xlws.FILTER(
tblCost[ResourceID]&amp;": "&amp;tblCost[QuantityRequired],
(tblCost[TargetID]=tblTargetStatus[[#This Row],[TargetID]])*
(tblCost[PlayerPaid]=FALSE),
""
)
)</f>
        <v>charcoal: 200, chemicals: 200, gunpowder: 200, isand: 200</v>
      </c>
      <c r="Z2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5" t="str" cm="1">
        <f t="array" ref="AA21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6" spans="1:27">
      <c r="A216" t="s">
        <v>2634</v>
      </c>
      <c r="B216" t="str">
        <f>_xlfn.XLOOKUP(tblTargetStatus[[#This Row],[TargetID]],tblTargets[TargetID],tblTargets[DisplayName],"")</f>
        <v>Pantry 3 Lv 3</v>
      </c>
      <c r="C216" t="str">
        <f>IF(tblTargetStatus[[#This Row],[PlayerCompleted]],"COMPLETED",IF(tblTargetStatus[[#This Row],[MissingDependencies]]=0,"READY","BLOCKED"))</f>
        <v>BLOCKED</v>
      </c>
      <c r="D2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6" t="str">
        <f>_xlfn.XLOOKUP(tblTargetStatus[[#This Row],[TargetID]],tblTargets[TargetID],tblTargets[TargetType],"")</f>
        <v>COLLECTION</v>
      </c>
      <c r="F216" t="str">
        <f>_xlfn.XLOOKUP(tblTargetStatus[[#This Row],[TargetID]],tblTargets[TargetID],tblTargets[StateType])</f>
        <v/>
      </c>
      <c r="G216">
        <f>_xlfn.LET(
_xlpm.id,tblTargetStatus[[#This Row],[TargetID]],
_xlpm.depCount,COUNTIF(tblDependencies[TargetID],_xlpm.id),
_xlpm.objCount,COUNTIF(tblQuestObjectives[QuestTargetID],_xlpm.id),
_xlpm.depCount+_xlpm.objCount
)</f>
        <v>1</v>
      </c>
      <c r="H216">
        <f>tblTargetStatus[[#This Row],[DependencyCount]]</f>
        <v>1</v>
      </c>
      <c r="I216" cm="1">
        <f t="array" ref="I2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6">
        <f>tblTargetStatus[[#This Row],[CompletedDependencyCount]]</f>
        <v>0</v>
      </c>
      <c r="K216" t="b">
        <f>tblTargetStatus[[#This Row],[CompletedDependencies]]=tblTargetStatus[[#This Row],[TotalDependencies]]</f>
        <v>0</v>
      </c>
      <c r="L216">
        <f>tblTargetStatus[[#This Row],[TotalDependencies]]-tblTargetStatus[[#This Row],[CompletedDependencies]]</f>
        <v>1</v>
      </c>
      <c r="M216" t="str" cm="1">
        <f t="array" ref="M2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collection.pantry_3@2</v>
      </c>
      <c r="N216" t="str">
        <f>IF(tblTargetStatus[[#This Row],[FirstMissingDependencyID]]="","",_xlfn.XLOOKUP(tblTargetStatus[[#This Row],[FirstMissingDependencyID]],tblTargets[TargetID],tblTargets[DisplayName],tblTargetStatus[[#This Row],[FirstMissingDependencyID]]))</f>
        <v>Pantry 3 Lv 2</v>
      </c>
      <c r="O216" t="str" cm="1">
        <f t="array" ref="O2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charcoal,300 chemicals,300 gunpowder,300 isand</v>
      </c>
      <c r="P216" t="str">
        <f>IF(tblTargetStatus[[#This Row],[FirstMissingDependencyID]]="","",_xlfn.XLOOKUP(tblTargetStatus[[#This Row],[FirstMissingDependencyID]],tblTargetStatus[TargetID],tblTargetStatus[Status],""))</f>
        <v>BLOCKED</v>
      </c>
      <c r="Q216" t="str">
        <f>IF(
 tblTargetStatus[[#This Row],[Status]]&lt;&gt;"BLOCKED",
 tblTargetStatus[[#This Row],[Status]],
 IF(
  AND(
   tblTargetStatus[[#This Row],[MissingDependencies]]=1,
   tblTargetStatus[[#This Row],[FirstMissingStatus]]="READY"
  ),
  "ONE AWAY",
  "BLOCKED"
 )
)</f>
        <v>BLOCKED</v>
      </c>
      <c r="R216">
        <f>IF(
 OR(
  tblTargetStatus[[#This Row],[StateType]]="CHARACTER",
  RIGHT(tblTargetStatus[[#This Row],[TargetID]],6)=".maxed"
 ),
 0,
 _xlfn.LET(
  _xlpm.sort,
   _xlfn.XLOOKUP(
    tblTargetStatus[[#This Row],[TargetID]],
    tblChecklist[TargetID],
    tblChecklist[PlayerSort],
    0
   ),
  IF(_xlpm.sort=0,500,_xlpm.sort)
 )
)</f>
        <v>500</v>
      </c>
      <c r="S216" t="str" cm="1">
        <f t="array" ref="S21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3 Lv 4</v>
      </c>
      <c r="T216" t="str">
        <f>_xlfn.XLOOKUP(tblTargetStatus[[#This Row],[TargetID]],tblTargets[TargetID],tblTargets[CompletionMethod],"")</f>
        <v>PLAYER</v>
      </c>
      <c r="U216" t="b">
        <f>COUNTIF(
    tblCost[TargetID],
    tblTargetStatus[[#This Row],[TargetID]]
)&gt;0</f>
        <v>1</v>
      </c>
      <c r="V216" s="81">
        <f>IF(tblTargetStatus[[#This Row],[HasCost]]=FALSE,
"N/A",
_xlfn.XLOOKUP(
tblTargetStatus[[#This Row],[TargetID]],
tblCost[TargetID],
tblCost[FundingPercent],
""
)
)</f>
        <v>0</v>
      </c>
      <c r="W216">
        <f>IF(
COUNTIF(tblCost[TargetID],tblTargetStatus[[#This Row],[TargetID]])=0,
"",
_xlfn.XLOOKUP(
tblTargetStatus[[#This Row],[TargetID]],
tblCost[TargetID],
tblCost[RemainingRequirements],
""
)
)</f>
        <v>4</v>
      </c>
      <c r="X216" s="79" t="b">
        <f>IF(tblTargetStatus[[#This Row],[HasCost]]=FALSE,"N/A",_xlfn.XLOOKUP(
tblTargetStatus[[#This Row],[TargetID]],
tblCost[TargetID],
tblCost[TargetFunded],
TRUE
))</f>
        <v>0</v>
      </c>
      <c r="Y216" t="str" cm="1">
        <f t="array" ref="Y216">_xlfn.TEXTJOIN(
", ",
TRUE,
_xlfn._xlws.FILTER(
tblCost[ResourceID]&amp;": "&amp;tblCost[QuantityRequired],
(tblCost[TargetID]=tblTargetStatus[[#This Row],[TargetID]])*
(tblCost[PlayerPaid]=FALSE),
""
)
)</f>
        <v>charcoal: 300, chemicals: 300, gunpowder: 300, isand: 300</v>
      </c>
      <c r="Z2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6" t="str" cm="1">
        <f t="array" ref="AA21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7" spans="1:27">
      <c r="A217" t="s">
        <v>2635</v>
      </c>
      <c r="B217" t="str">
        <f>_xlfn.XLOOKUP(tblTargetStatus[[#This Row],[TargetID]],tblTargets[TargetID],tblTargets[DisplayName],"")</f>
        <v>Pantry 3 Lv 4</v>
      </c>
      <c r="C217" t="str">
        <f>IF(tblTargetStatus[[#This Row],[PlayerCompleted]],"COMPLETED",IF(tblTargetStatus[[#This Row],[MissingDependencies]]=0,"READY","BLOCKED"))</f>
        <v>BLOCKED</v>
      </c>
      <c r="D2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7" t="str">
        <f>_xlfn.XLOOKUP(tblTargetStatus[[#This Row],[TargetID]],tblTargets[TargetID],tblTargets[TargetType],"")</f>
        <v>COLLECTION</v>
      </c>
      <c r="F217" t="str">
        <f>_xlfn.XLOOKUP(tblTargetStatus[[#This Row],[TargetID]],tblTargets[TargetID],tblTargets[StateType])</f>
        <v/>
      </c>
      <c r="G217">
        <f>_xlfn.LET(
_xlpm.id,tblTargetStatus[[#This Row],[TargetID]],
_xlpm.depCount,COUNTIF(tblDependencies[TargetID],_xlpm.id),
_xlpm.objCount,COUNTIF(tblQuestObjectives[QuestTargetID],_xlpm.id),
_xlpm.depCount+_xlpm.objCount
)</f>
        <v>1</v>
      </c>
      <c r="H217">
        <f>tblTargetStatus[[#This Row],[DependencyCount]]</f>
        <v>1</v>
      </c>
      <c r="I217" cm="1">
        <f t="array" ref="I2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7">
        <f>tblTargetStatus[[#This Row],[CompletedDependencyCount]]</f>
        <v>0</v>
      </c>
      <c r="K217" t="b">
        <f>tblTargetStatus[[#This Row],[CompletedDependencies]]=tblTargetStatus[[#This Row],[TotalDependencies]]</f>
        <v>0</v>
      </c>
      <c r="L217">
        <f>tblTargetStatus[[#This Row],[TotalDependencies]]-tblTargetStatus[[#This Row],[CompletedDependencies]]</f>
        <v>1</v>
      </c>
      <c r="M217" t="str" cm="1">
        <f t="array" ref="M2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collection.pantry_3@3</v>
      </c>
      <c r="N217" t="str">
        <f>IF(tblTargetStatus[[#This Row],[FirstMissingDependencyID]]="","",_xlfn.XLOOKUP(tblTargetStatus[[#This Row],[FirstMissingDependencyID]],tblTargets[TargetID],tblTargets[DisplayName],tblTargetStatus[[#This Row],[FirstMissingDependencyID]]))</f>
        <v>Pantry 3 Lv 3</v>
      </c>
      <c r="O217" t="str" cm="1">
        <f t="array" ref="O2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charcoal,400 chemicals,400 gunpowder,400 isand</v>
      </c>
      <c r="P217" t="str">
        <f>IF(tblTargetStatus[[#This Row],[FirstMissingDependencyID]]="","",_xlfn.XLOOKUP(tblTargetStatus[[#This Row],[FirstMissingDependencyID]],tblTargetStatus[TargetID],tblTargetStatus[Status],""))</f>
        <v>BLOCKED</v>
      </c>
      <c r="Q217" t="str">
        <f>IF(
 tblTargetStatus[[#This Row],[Status]]&lt;&gt;"BLOCKED",
 tblTargetStatus[[#This Row],[Status]],
 IF(
  AND(
   tblTargetStatus[[#This Row],[MissingDependencies]]=1,
   tblTargetStatus[[#This Row],[FirstMissingStatus]]="READY"
  ),
  "ONE AWAY",
  "BLOCKED"
 )
)</f>
        <v>BLOCKED</v>
      </c>
      <c r="R217">
        <f>IF(
 OR(
  tblTargetStatus[[#This Row],[StateType]]="CHARACTER",
  RIGHT(tblTargetStatus[[#This Row],[TargetID]],6)=".maxed"
 ),
 0,
 _xlfn.LET(
  _xlpm.sort,
   _xlfn.XLOOKUP(
    tblTargetStatus[[#This Row],[TargetID]],
    tblChecklist[TargetID],
    tblChecklist[PlayerSort],
    0
   ),
  IF(_xlpm.sort=0,500,_xlpm.sort)
 )
)</f>
        <v>500</v>
      </c>
      <c r="S217" t="str" cm="1">
        <f t="array" ref="S21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Pantry 3 Lv 5</v>
      </c>
      <c r="T217" t="str">
        <f>_xlfn.XLOOKUP(tblTargetStatus[[#This Row],[TargetID]],tblTargets[TargetID],tblTargets[CompletionMethod],"")</f>
        <v>PLAYER</v>
      </c>
      <c r="U217" t="b">
        <f>COUNTIF(
    tblCost[TargetID],
    tblTargetStatus[[#This Row],[TargetID]]
)&gt;0</f>
        <v>1</v>
      </c>
      <c r="V217" s="81">
        <f>IF(tblTargetStatus[[#This Row],[HasCost]]=FALSE,
"N/A",
_xlfn.XLOOKUP(
tblTargetStatus[[#This Row],[TargetID]],
tblCost[TargetID],
tblCost[FundingPercent],
""
)
)</f>
        <v>0</v>
      </c>
      <c r="W217">
        <f>IF(
COUNTIF(tblCost[TargetID],tblTargetStatus[[#This Row],[TargetID]])=0,
"",
_xlfn.XLOOKUP(
tblTargetStatus[[#This Row],[TargetID]],
tblCost[TargetID],
tblCost[RemainingRequirements],
""
)
)</f>
        <v>4</v>
      </c>
      <c r="X217" s="79" t="b">
        <f>IF(tblTargetStatus[[#This Row],[HasCost]]=FALSE,"N/A",_xlfn.XLOOKUP(
tblTargetStatus[[#This Row],[TargetID]],
tblCost[TargetID],
tblCost[TargetFunded],
TRUE
))</f>
        <v>0</v>
      </c>
      <c r="Y217" t="str" cm="1">
        <f t="array" ref="Y217">_xlfn.TEXTJOIN(
", ",
TRUE,
_xlfn._xlws.FILTER(
tblCost[ResourceID]&amp;": "&amp;tblCost[QuantityRequired],
(tblCost[TargetID]=tblTargetStatus[[#This Row],[TargetID]])*
(tblCost[PlayerPaid]=FALSE),
""
)
)</f>
        <v>charcoal: 400, chemicals: 400, gunpowder: 400, isand: 400</v>
      </c>
      <c r="Z2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7" t="str" cm="1">
        <f t="array" ref="AA21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8" spans="1:27">
      <c r="A218" t="s">
        <v>2636</v>
      </c>
      <c r="B218" t="str">
        <f>_xlfn.XLOOKUP(tblTargetStatus[[#This Row],[TargetID]],tblTargets[TargetID],tblTargets[DisplayName],"")</f>
        <v>Pantry 3 Lv 5</v>
      </c>
      <c r="C218" t="str">
        <f>IF(tblTargetStatus[[#This Row],[PlayerCompleted]],"COMPLETED",IF(tblTargetStatus[[#This Row],[MissingDependencies]]=0,"READY","BLOCKED"))</f>
        <v>BLOCKED</v>
      </c>
      <c r="D2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8" t="str">
        <f>_xlfn.XLOOKUP(tblTargetStatus[[#This Row],[TargetID]],tblTargets[TargetID],tblTargets[TargetType],"")</f>
        <v>COLLECTION</v>
      </c>
      <c r="F218" t="str">
        <f>_xlfn.XLOOKUP(tblTargetStatus[[#This Row],[TargetID]],tblTargets[TargetID],tblTargets[StateType])</f>
        <v/>
      </c>
      <c r="G218">
        <f>_xlfn.LET(
_xlpm.id,tblTargetStatus[[#This Row],[TargetID]],
_xlpm.depCount,COUNTIF(tblDependencies[TargetID],_xlpm.id),
_xlpm.objCount,COUNTIF(tblQuestObjectives[QuestTargetID],_xlpm.id),
_xlpm.depCount+_xlpm.objCount
)</f>
        <v>1</v>
      </c>
      <c r="H218">
        <f>tblTargetStatus[[#This Row],[DependencyCount]]</f>
        <v>1</v>
      </c>
      <c r="I218" cm="1">
        <f t="array" ref="I2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8">
        <f>tblTargetStatus[[#This Row],[CompletedDependencyCount]]</f>
        <v>0</v>
      </c>
      <c r="K218" t="b">
        <f>tblTargetStatus[[#This Row],[CompletedDependencies]]=tblTargetStatus[[#This Row],[TotalDependencies]]</f>
        <v>0</v>
      </c>
      <c r="L218">
        <f>tblTargetStatus[[#This Row],[TotalDependencies]]-tblTargetStatus[[#This Row],[CompletedDependencies]]</f>
        <v>1</v>
      </c>
      <c r="M218" t="str" cm="1">
        <f t="array" ref="M2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collection.pantry_3@4</v>
      </c>
      <c r="N218" t="str">
        <f>IF(tblTargetStatus[[#This Row],[FirstMissingDependencyID]]="","",_xlfn.XLOOKUP(tblTargetStatus[[#This Row],[FirstMissingDependencyID]],tblTargets[TargetID],tblTargets[DisplayName],tblTargetStatus[[#This Row],[FirstMissingDependencyID]]))</f>
        <v>Pantry 3 Lv 4</v>
      </c>
      <c r="O218" t="str" cm="1">
        <f t="array" ref="O2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charcoal,500 chemicals,500 gunpowder,500 isand</v>
      </c>
      <c r="P218" t="str">
        <f>IF(tblTargetStatus[[#This Row],[FirstMissingDependencyID]]="","",_xlfn.XLOOKUP(tblTargetStatus[[#This Row],[FirstMissingDependencyID]],tblTargetStatus[TargetID],tblTargetStatus[Status],""))</f>
        <v>BLOCKED</v>
      </c>
      <c r="Q218" t="str">
        <f>IF(
 tblTargetStatus[[#This Row],[Status]]&lt;&gt;"BLOCKED",
 tblTargetStatus[[#This Row],[Status]],
 IF(
  AND(
   tblTargetStatus[[#This Row],[MissingDependencies]]=1,
   tblTargetStatus[[#This Row],[FirstMissingStatus]]="READY"
  ),
  "ONE AWAY",
  "BLOCKED"
 )
)</f>
        <v>BLOCKED</v>
      </c>
      <c r="R218">
        <f>IF(
 OR(
  tblTargetStatus[[#This Row],[StateType]]="CHARACTER",
  RIGHT(tblTargetStatus[[#This Row],[TargetID]],6)=".maxed"
 ),
 0,
 _xlfn.LET(
  _xlpm.sort,
   _xlfn.XLOOKUP(
    tblTargetStatus[[#This Row],[TargetID]],
    tblChecklist[TargetID],
    tblChecklist[PlayerSort],
    0
   ),
  IF(_xlpm.sort=0,500,_xlpm.sort)
 )
)</f>
        <v>26</v>
      </c>
      <c r="S218" t="str" cm="1">
        <f t="array" ref="S21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18" t="str">
        <f>_xlfn.XLOOKUP(tblTargetStatus[[#This Row],[TargetID]],tblTargets[TargetID],tblTargets[CompletionMethod],"")</f>
        <v>PLAYER</v>
      </c>
      <c r="U218" t="b">
        <f>COUNTIF(
    tblCost[TargetID],
    tblTargetStatus[[#This Row],[TargetID]]
)&gt;0</f>
        <v>1</v>
      </c>
      <c r="V218" s="81">
        <f>IF(tblTargetStatus[[#This Row],[HasCost]]=FALSE,
"N/A",
_xlfn.XLOOKUP(
tblTargetStatus[[#This Row],[TargetID]],
tblCost[TargetID],
tblCost[FundingPercent],
""
)
)</f>
        <v>0</v>
      </c>
      <c r="W218">
        <f>IF(
COUNTIF(tblCost[TargetID],tblTargetStatus[[#This Row],[TargetID]])=0,
"",
_xlfn.XLOOKUP(
tblTargetStatus[[#This Row],[TargetID]],
tblCost[TargetID],
tblCost[RemainingRequirements],
""
)
)</f>
        <v>4</v>
      </c>
      <c r="X218" s="79" t="b">
        <f>IF(tblTargetStatus[[#This Row],[HasCost]]=FALSE,"N/A",_xlfn.XLOOKUP(
tblTargetStatus[[#This Row],[TargetID]],
tblCost[TargetID],
tblCost[TargetFunded],
TRUE
))</f>
        <v>0</v>
      </c>
      <c r="Y218" t="str" cm="1">
        <f t="array" ref="Y218">_xlfn.TEXTJOIN(
", ",
TRUE,
_xlfn._xlws.FILTER(
tblCost[ResourceID]&amp;": "&amp;tblCost[QuantityRequired],
(tblCost[TargetID]=tblTargetStatus[[#This Row],[TargetID]])*
(tblCost[PlayerPaid]=FALSE),
""
)
)</f>
        <v>charcoal: 500, chemicals: 500, gunpowder: 500, isand: 500</v>
      </c>
      <c r="Z2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8" t="str" cm="1">
        <f t="array" ref="AA21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19" spans="1:27">
      <c r="A219" t="s">
        <v>2637</v>
      </c>
      <c r="B219" t="str">
        <f>_xlfn.XLOOKUP(tblTargetStatus[[#This Row],[TargetID]],tblTargets[TargetID],tblTargets[DisplayName],"")</f>
        <v>Pantry 4 Lv 1</v>
      </c>
      <c r="C219" t="str">
        <f>IF(tblTargetStatus[[#This Row],[PlayerCompleted]],"COMPLETED",IF(tblTargetStatus[[#This Row],[MissingDependencies]]=0,"READY","BLOCKED"))</f>
        <v>BLOCKED</v>
      </c>
      <c r="D2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9" t="str">
        <f>_xlfn.XLOOKUP(tblTargetStatus[[#This Row],[TargetID]],tblTargets[TargetID],tblTargets[TargetType],"")</f>
        <v>COLLECTION</v>
      </c>
      <c r="F219" t="str">
        <f>_xlfn.XLOOKUP(tblTargetStatus[[#This Row],[TargetID]],tblTargets[TargetID],tblTargets[StateType])</f>
        <v/>
      </c>
      <c r="G219">
        <f>_xlfn.LET(
_xlpm.id,tblTargetStatus[[#This Row],[TargetID]],
_xlpm.depCount,COUNTIF(tblDependencies[TargetID],_xlpm.id),
_xlpm.objCount,COUNTIF(tblQuestObjectives[QuestTargetID],_xlpm.id),
_xlpm.depCount+_xlpm.objCount
)</f>
        <v>2</v>
      </c>
      <c r="H219">
        <f>tblTargetStatus[[#This Row],[DependencyCount]]</f>
        <v>2</v>
      </c>
      <c r="I219" cm="1">
        <f t="array" ref="I2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9">
        <f>tblTargetStatus[[#This Row],[CompletedDependencyCount]]</f>
        <v>0</v>
      </c>
      <c r="K219" t="b">
        <f>tblTargetStatus[[#This Row],[CompletedDependencies]]=tblTargetStatus[[#This Row],[TotalDependencies]]</f>
        <v>0</v>
      </c>
      <c r="L219">
        <f>tblTargetStatus[[#This Row],[TotalDependencies]]-tblTargetStatus[[#This Row],[CompletedDependencies]]</f>
        <v>2</v>
      </c>
      <c r="M219" t="str" cm="1">
        <f t="array" ref="M2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citadel.pantry</v>
      </c>
      <c r="N219" t="str">
        <f>IF(tblTargetStatus[[#This Row],[FirstMissingDependencyID]]="","",_xlfn.XLOOKUP(tblTargetStatus[[#This Row],[FirstMissingDependencyID]],tblTargets[TargetID],tblTargets[DisplayName],tblTargetStatus[[#This Row],[FirstMissingDependencyID]]))</f>
        <v>Pantry</v>
      </c>
      <c r="O219" t="str" cm="1">
        <f t="array" ref="O2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egg,20 milk,10 vintcheese</v>
      </c>
      <c r="P219" t="str">
        <f>IF(tblTargetStatus[[#This Row],[FirstMissingDependencyID]]="","",_xlfn.XLOOKUP(tblTargetStatus[[#This Row],[FirstMissingDependencyID]],tblTargetStatus[TargetID],tblTargetStatus[Status],""))</f>
        <v>BLOCKED</v>
      </c>
      <c r="Q219" t="str">
        <f>IF(
 tblTargetStatus[[#This Row],[Status]]&lt;&gt;"BLOCKED",
 tblTargetStatus[[#This Row],[Status]],
 IF(
  AND(
   tblTargetStatus[[#This Row],[MissingDependencies]]=1,
   tblTargetStatus[[#This Row],[FirstMissingStatus]]="READY"
  ),
  "ONE AWAY",
  "BLOCKED"
 )
)</f>
        <v>BLOCKED</v>
      </c>
      <c r="R219">
        <f>IF(
 OR(
  tblTargetStatus[[#This Row],[StateType]]="CHARACTER",
  RIGHT(tblTargetStatus[[#This Row],[TargetID]],6)=".maxed"
 ),
 0,
 _xlfn.LET(
  _xlpm.sort,
   _xlfn.XLOOKUP(
    tblTargetStatus[[#This Row],[TargetID]],
    tblChecklist[TargetID],
    tblChecklist[PlayerSort],
    0
   ),
  IF(_xlpm.sort=0,500,_xlpm.sort)
 )
)</f>
        <v>500</v>
      </c>
      <c r="S219" t="str" cm="1">
        <f t="array" ref="S21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19" t="str">
        <f>_xlfn.XLOOKUP(tblTargetStatus[[#This Row],[TargetID]],tblTargets[TargetID],tblTargets[CompletionMethod],"")</f>
        <v>PLAYER</v>
      </c>
      <c r="U219" t="b">
        <f>COUNTIF(
    tblCost[TargetID],
    tblTargetStatus[[#This Row],[TargetID]]
)&gt;0</f>
        <v>1</v>
      </c>
      <c r="V219" s="81">
        <f>IF(tblTargetStatus[[#This Row],[HasCost]]=FALSE,
"N/A",
_xlfn.XLOOKUP(
tblTargetStatus[[#This Row],[TargetID]],
tblCost[TargetID],
tblCost[FundingPercent],
""
)
)</f>
        <v>0</v>
      </c>
      <c r="W219">
        <f>IF(
COUNTIF(tblCost[TargetID],tblTargetStatus[[#This Row],[TargetID]])=0,
"",
_xlfn.XLOOKUP(
tblTargetStatus[[#This Row],[TargetID]],
tblCost[TargetID],
tblCost[RemainingRequirements],
""
)
)</f>
        <v>3</v>
      </c>
      <c r="X219" s="79" t="b">
        <f>IF(tblTargetStatus[[#This Row],[HasCost]]=FALSE,"N/A",_xlfn.XLOOKUP(
tblTargetStatus[[#This Row],[TargetID]],
tblCost[TargetID],
tblCost[TargetFunded],
TRUE
))</f>
        <v>0</v>
      </c>
      <c r="Y219" t="str" cm="1">
        <f t="array" ref="Y219">_xlfn.TEXTJOIN(
", ",
TRUE,
_xlfn._xlws.FILTER(
tblCost[ResourceID]&amp;": "&amp;tblCost[QuantityRequired],
(tblCost[TargetID]=tblTargetStatus[[#This Row],[TargetID]])*
(tblCost[PlayerPaid]=FALSE),
""
)
)</f>
        <v>egg: 20, milk: 20, vintcheese: 10</v>
      </c>
      <c r="Z2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9" t="str" cm="1">
        <f t="array" ref="AA21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0" spans="1:27">
      <c r="A220" t="s">
        <v>5653</v>
      </c>
      <c r="B220" t="str">
        <f>_xlfn.XLOOKUP(tblTargetStatus[[#This Row],[TargetID]],tblTargets[TargetID],tblTargets[DisplayName],"")</f>
        <v>Rotten Ladder</v>
      </c>
      <c r="C220" t="str">
        <f>IF(tblTargetStatus[[#This Row],[PlayerCompleted]],"COMPLETED",IF(tblTargetStatus[[#This Row],[MissingDependencies]]=0,"READY","BLOCKED"))</f>
        <v>BLOCKED</v>
      </c>
      <c r="D2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0" t="str">
        <f>_xlfn.XLOOKUP(tblTargetStatus[[#This Row],[TargetID]],tblTargets[TargetID],tblTargets[TargetType],"")</f>
        <v>COLLECTION</v>
      </c>
      <c r="F220" t="str">
        <f>_xlfn.XLOOKUP(tblTargetStatus[[#This Row],[TargetID]],tblTargets[TargetID],tblTargets[StateType])</f>
        <v/>
      </c>
      <c r="G220">
        <f>_xlfn.LET(
_xlpm.id,tblTargetStatus[[#This Row],[TargetID]],
_xlpm.depCount,COUNTIF(tblDependencies[TargetID],_xlpm.id),
_xlpm.objCount,COUNTIF(tblQuestObjectives[QuestTargetID],_xlpm.id),
_xlpm.depCount+_xlpm.objCount
)</f>
        <v>1</v>
      </c>
      <c r="H220">
        <f>tblTargetStatus[[#This Row],[DependencyCount]]</f>
        <v>1</v>
      </c>
      <c r="I220" cm="1">
        <f t="array" ref="I2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0">
        <f>tblTargetStatus[[#This Row],[CompletedDependencyCount]]</f>
        <v>0</v>
      </c>
      <c r="K220" t="b">
        <f>tblTargetStatus[[#This Row],[CompletedDependencies]]=tblTargetStatus[[#This Row],[TotalDependencies]]</f>
        <v>0</v>
      </c>
      <c r="L220">
        <f>tblTargetStatus[[#This Row],[TotalDependencies]]-tblTargetStatus[[#This Row],[CompletedDependencies]]</f>
        <v>1</v>
      </c>
      <c r="M220" t="str" cm="1">
        <f t="array" ref="M2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collection.collapsed_staircase@1</v>
      </c>
      <c r="N220" t="str">
        <f>IF(tblTargetStatus[[#This Row],[FirstMissingDependencyID]]="","",_xlfn.XLOOKUP(tblTargetStatus[[#This Row],[FirstMissingDependencyID]],tblTargets[TargetID],tblTargets[DisplayName],tblTargetStatus[[#This Row],[FirstMissingDependencyID]]))</f>
        <v>Collapsed Staircase</v>
      </c>
      <c r="O220" s="2" t="str" cm="1">
        <f t="array" ref="O2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plank</v>
      </c>
      <c r="P220" t="str">
        <f>IF(tblTargetStatus[[#This Row],[FirstMissingDependencyID]]="","",_xlfn.XLOOKUP(tblTargetStatus[[#This Row],[FirstMissingDependencyID]],tblTargetStatus[TargetID],tblTargetStatus[Status],""))</f>
        <v>BLOCKED</v>
      </c>
      <c r="Q220" t="str">
        <f>IF(
 tblTargetStatus[[#This Row],[Status]]&lt;&gt;"BLOCKED",
 tblTargetStatus[[#This Row],[Status]],
 IF(
  AND(
   tblTargetStatus[[#This Row],[MissingDependencies]]=1,
   tblTargetStatus[[#This Row],[FirstMissingStatus]]="READY"
  ),
  "ONE AWAY",
  "BLOCKED"
 )
)</f>
        <v>BLOCKED</v>
      </c>
      <c r="R220">
        <f>IF(
 OR(
  tblTargetStatus[[#This Row],[StateType]]="CHARACTER",
  RIGHT(tblTargetStatus[[#This Row],[TargetID]],6)=".maxed"
 ),
 0,
 _xlfn.LET(
  _xlpm.sort,
   _xlfn.XLOOKUP(
    tblTargetStatus[[#This Row],[TargetID]],
    tblChecklist[TargetID],
    tblChecklist[PlayerSort],
    0
   ),
  IF(_xlpm.sort=0,500,_xlpm.sort)
 )
)</f>
        <v>500</v>
      </c>
      <c r="S220" t="str" cm="1">
        <f t="array" ref="S22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Broken Minecart, Letter from the Dark Lady Finished</v>
      </c>
      <c r="T220" t="str">
        <f>_xlfn.XLOOKUP(tblTargetStatus[[#This Row],[TargetID]],tblTargets[TargetID],tblTargets[CompletionMethod],"")</f>
        <v>PLAYER</v>
      </c>
      <c r="U220" t="b">
        <f>COUNTIF(
    tblCost[TargetID],
    tblTargetStatus[[#This Row],[TargetID]]
)&gt;0</f>
        <v>1</v>
      </c>
      <c r="V220" s="81">
        <f>IF(tblTargetStatus[[#This Row],[HasCost]]=FALSE,
"N/A",
_xlfn.XLOOKUP(
tblTargetStatus[[#This Row],[TargetID]],
tblCost[TargetID],
tblCost[FundingPercent],
""
)
)</f>
        <v>0</v>
      </c>
      <c r="W220">
        <f>IF(
COUNTIF(tblCost[TargetID],tblTargetStatus[[#This Row],[TargetID]])=0,
"",
_xlfn.XLOOKUP(
tblTargetStatus[[#This Row],[TargetID]],
tblCost[TargetID],
tblCost[RemainingRequirements],
""
)
)</f>
        <v>1</v>
      </c>
      <c r="X220" s="79" t="b">
        <f>IF(tblTargetStatus[[#This Row],[HasCost]]=FALSE,"N/A",_xlfn.XLOOKUP(
tblTargetStatus[[#This Row],[TargetID]],
tblCost[TargetID],
tblCost[TargetFunded],
TRUE
))</f>
        <v>0</v>
      </c>
      <c r="Y220" t="str" cm="1">
        <f t="array" ref="Y220">_xlfn.TEXTJOIN(
", ",
TRUE,
_xlfn._xlws.FILTER(
tblCost[ResourceID]&amp;": "&amp;tblCost[QuantityRequired],
(tblCost[TargetID]=tblTargetStatus[[#This Row],[TargetID]])*
(tblCost[PlayerPaid]=FALSE),
""
)
)</f>
        <v>plank: 200</v>
      </c>
      <c r="Z2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0" t="str" cm="1">
        <f t="array" ref="AA22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1" spans="1:27">
      <c r="A221" t="s">
        <v>5925</v>
      </c>
      <c r="B221" t="str">
        <f>_xlfn.XLOOKUP(tblTargetStatus[[#This Row],[TargetID]],tblTargets[TargetID],tblTargets[DisplayName],"")</f>
        <v>Collection Staircase</v>
      </c>
      <c r="C221" t="str">
        <f>IF(tblTargetStatus[[#This Row],[PlayerCompleted]],"COMPLETED",IF(tblTargetStatus[[#This Row],[MissingDependencies]]=0,"READY","BLOCKED"))</f>
        <v>BLOCKED</v>
      </c>
      <c r="D2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1" t="str">
        <f>_xlfn.XLOOKUP(tblTargetStatus[[#This Row],[TargetID]],tblTargets[TargetID],tblTargets[TargetType],"")</f>
        <v>COLLECTION</v>
      </c>
      <c r="F221" t="str">
        <f>_xlfn.XLOOKUP(tblTargetStatus[[#This Row],[TargetID]],tblTargets[TargetID],tblTargets[StateType])</f>
        <v/>
      </c>
      <c r="G221">
        <f>_xlfn.LET(
_xlpm.id,tblTargetStatus[[#This Row],[TargetID]],
_xlpm.depCount,COUNTIF(tblDependencies[TargetID],_xlpm.id),
_xlpm.objCount,COUNTIF(tblQuestObjectives[QuestTargetID],_xlpm.id),
_xlpm.depCount+_xlpm.objCount
)</f>
        <v>1</v>
      </c>
      <c r="H221">
        <f>tblTargetStatus[[#This Row],[DependencyCount]]</f>
        <v>1</v>
      </c>
      <c r="I221" cm="1">
        <f t="array" ref="I2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1">
        <f>tblTargetStatus[[#This Row],[CompletedDependencyCount]]</f>
        <v>0</v>
      </c>
      <c r="K221" t="b">
        <f>tblTargetStatus[[#This Row],[CompletedDependencies]]=tblTargetStatus[[#This Row],[TotalDependencies]]</f>
        <v>0</v>
      </c>
      <c r="L221">
        <f>tblTargetStatus[[#This Row],[TotalDependencies]]-tblTargetStatus[[#This Row],[CompletedDependencies]]</f>
        <v>1</v>
      </c>
      <c r="M221" t="str" cm="1">
        <f t="array" ref="M2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collection.collapsed_staircase@1</v>
      </c>
      <c r="N221" t="str">
        <f>IF(tblTargetStatus[[#This Row],[FirstMissingDependencyID]]="","",_xlfn.XLOOKUP(tblTargetStatus[[#This Row],[FirstMissingDependencyID]],tblTargets[TargetID],tblTargets[DisplayName],tblTargetStatus[[#This Row],[FirstMissingDependencyID]]))</f>
        <v>Collapsed Staircase</v>
      </c>
      <c r="O221" s="2" t="str" cm="1">
        <f t="array" ref="O2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beam, 150 stone, 10 bonemeal, 5 blueprint</v>
      </c>
      <c r="P221" t="str">
        <f>IF(tblTargetStatus[[#This Row],[FirstMissingDependencyID]]="","",_xlfn.XLOOKUP(tblTargetStatus[[#This Row],[FirstMissingDependencyID]],tblTargetStatus[TargetID],tblTargetStatus[Status],""))</f>
        <v>BLOCKED</v>
      </c>
      <c r="Q221" t="str">
        <f>IF(
 tblTargetStatus[[#This Row],[Status]]&lt;&gt;"BLOCKED",
 tblTargetStatus[[#This Row],[Status]],
 IF(
  AND(
   tblTargetStatus[[#This Row],[MissingDependencies]]=1,
   tblTargetStatus[[#This Row],[FirstMissingStatus]]="READY"
  ),
  "ONE AWAY",
  "BLOCKED"
 )
)</f>
        <v>BLOCKED</v>
      </c>
      <c r="R221">
        <f>IF(
 OR(
  tblTargetStatus[[#This Row],[StateType]]="CHARACTER",
  RIGHT(tblTargetStatus[[#This Row],[TargetID]],6)=".maxed"
 ),
 0,
 _xlfn.LET(
  _xlpm.sort,
   _xlfn.XLOOKUP(
    tblTargetStatus[[#This Row],[TargetID]],
    tblChecklist[TargetID],
    tblChecklist[PlayerSort],
    0
   ),
  IF(_xlpm.sort=0,500,_xlpm.sort)
 )
)</f>
        <v>500</v>
      </c>
      <c r="S221" t="str" cm="1">
        <f t="array" ref="S22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21" t="str">
        <f>_xlfn.XLOOKUP(tblTargetStatus[[#This Row],[TargetID]],tblTargets[TargetID],tblTargets[CompletionMethod],"")</f>
        <v>PLAYER</v>
      </c>
      <c r="U221" t="b">
        <f>COUNTIF(
    tblCost[TargetID],
    tblTargetStatus[[#This Row],[TargetID]]
)&gt;0</f>
        <v>1</v>
      </c>
      <c r="V221" s="81">
        <f>IF(tblTargetStatus[[#This Row],[HasCost]]=FALSE,
"N/A",
_xlfn.XLOOKUP(
tblTargetStatus[[#This Row],[TargetID]],
tblCost[TargetID],
tblCost[FundingPercent],
""
)
)</f>
        <v>0</v>
      </c>
      <c r="W221">
        <f>IF(
COUNTIF(tblCost[TargetID],tblTargetStatus[[#This Row],[TargetID]])=0,
"",
_xlfn.XLOOKUP(
tblTargetStatus[[#This Row],[TargetID]],
tblCost[TargetID],
tblCost[RemainingRequirements],
""
)
)</f>
        <v>4</v>
      </c>
      <c r="X221" s="79" t="b">
        <f>IF(tblTargetStatus[[#This Row],[HasCost]]=FALSE,"N/A",_xlfn.XLOOKUP(
tblTargetStatus[[#This Row],[TargetID]],
tblCost[TargetID],
tblCost[TargetFunded],
TRUE
))</f>
        <v>0</v>
      </c>
      <c r="Y221" t="str" cm="1">
        <f t="array" ref="Y221">_xlfn.TEXTJOIN(
", ",
TRUE,
_xlfn._xlws.FILTER(
tblCost[ResourceID]&amp;": "&amp;tblCost[QuantityRequired],
(tblCost[TargetID]=tblTargetStatus[[#This Row],[TargetID]])*
(tblCost[PlayerPaid]=FALSE),
""
)
)</f>
        <v>beam: 50, stone: 150, bonemeal: 10, blueprint: 5</v>
      </c>
      <c r="Z2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1" t="str" cm="1">
        <f t="array" ref="AA22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2" spans="1:27">
      <c r="A222" t="s">
        <v>2638</v>
      </c>
      <c r="B222" t="str">
        <f>_xlfn.XLOOKUP(tblTargetStatus[[#This Row],[TargetID]],tblTargets[TargetID],tblTargets[DisplayName],"")</f>
        <v>Statue Lv 1</v>
      </c>
      <c r="C222" t="str">
        <f>IF(tblTargetStatus[[#This Row],[PlayerCompleted]],"COMPLETED",IF(tblTargetStatus[[#This Row],[MissingDependencies]]=0,"READY","BLOCKED"))</f>
        <v>BLOCKED</v>
      </c>
      <c r="D2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2" t="str">
        <f>_xlfn.XLOOKUP(tblTargetStatus[[#This Row],[TargetID]],tblTargets[TargetID],tblTargets[TargetType],"")</f>
        <v>COLLECTION</v>
      </c>
      <c r="F222" t="str">
        <f>_xlfn.XLOOKUP(tblTargetStatus[[#This Row],[TargetID]],tblTargets[TargetID],tblTargets[StateType])</f>
        <v/>
      </c>
      <c r="G222">
        <f>_xlfn.LET(
_xlpm.id,tblTargetStatus[[#This Row],[TargetID]],
_xlpm.depCount,COUNTIF(tblDependencies[TargetID],_xlpm.id),
_xlpm.objCount,COUNTIF(tblQuestObjectives[QuestTargetID],_xlpm.id),
_xlpm.depCount+_xlpm.objCount
)</f>
        <v>1</v>
      </c>
      <c r="H222">
        <f>tblTargetStatus[[#This Row],[DependencyCount]]</f>
        <v>1</v>
      </c>
      <c r="I222" cm="1">
        <f t="array" ref="I2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2">
        <f>tblTargetStatus[[#This Row],[CompletedDependencyCount]]</f>
        <v>0</v>
      </c>
      <c r="K222" t="b">
        <f>tblTargetStatus[[#This Row],[CompletedDependencies]]=tblTargetStatus[[#This Row],[TotalDependencies]]</f>
        <v>0</v>
      </c>
      <c r="L222">
        <f>tblTargetStatus[[#This Row],[TotalDependencies]]-tblTargetStatus[[#This Row],[CompletedDependencies]]</f>
        <v>1</v>
      </c>
      <c r="M222" t="str" cm="1">
        <f t="array" ref="M2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222" t="str">
        <f>IF(tblTargetStatus[[#This Row],[FirstMissingDependencyID]]="","",_xlfn.XLOOKUP(tblTargetStatus[[#This Row],[FirstMissingDependencyID]],tblTargets[TargetID],tblTargets[DisplayName],tblTargetStatus[[#This Row],[FirstMissingDependencyID]]))</f>
        <v>Great Hall</v>
      </c>
      <c r="O222" s="2" t="str" cm="1">
        <f t="array" ref="O2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stone</v>
      </c>
      <c r="P222" t="str">
        <f>IF(tblTargetStatus[[#This Row],[FirstMissingDependencyID]]="","",_xlfn.XLOOKUP(tblTargetStatus[[#This Row],[FirstMissingDependencyID]],tblTargetStatus[TargetID],tblTargetStatus[Status],""))</f>
        <v>BLOCKED</v>
      </c>
      <c r="Q222" t="str">
        <f>IF(
 tblTargetStatus[[#This Row],[Status]]&lt;&gt;"BLOCKED",
 tblTargetStatus[[#This Row],[Status]],
 IF(
  AND(
   tblTargetStatus[[#This Row],[MissingDependencies]]=1,
   tblTargetStatus[[#This Row],[FirstMissingStatus]]="READY"
  ),
  "ONE AWAY",
  "BLOCKED"
 )
)</f>
        <v>BLOCKED</v>
      </c>
      <c r="R222">
        <f>IF(
 OR(
  tblTargetStatus[[#This Row],[StateType]]="CHARACTER",
  RIGHT(tblTargetStatus[[#This Row],[TargetID]],6)=".maxed"
 ),
 0,
 _xlfn.LET(
  _xlpm.sort,
   _xlfn.XLOOKUP(
    tblTargetStatus[[#This Row],[TargetID]],
    tblChecklist[TargetID],
    tblChecklist[PlayerSort],
    0
   ),
  IF(_xlpm.sort=0,500,_xlpm.sort)
 )
)</f>
        <v>500</v>
      </c>
      <c r="S222" t="str" cm="1">
        <f t="array" ref="S22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22" t="str">
        <f>_xlfn.XLOOKUP(tblTargetStatus[[#This Row],[TargetID]],tblTargets[TargetID],tblTargets[CompletionMethod],"")</f>
        <v>PLAYER</v>
      </c>
      <c r="U222" t="b">
        <f>COUNTIF(
    tblCost[TargetID],
    tblTargetStatus[[#This Row],[TargetID]]
)&gt;0</f>
        <v>1</v>
      </c>
      <c r="V222" s="81">
        <f>IF(tblTargetStatus[[#This Row],[HasCost]]=FALSE,
"N/A",
_xlfn.XLOOKUP(
tblTargetStatus[[#This Row],[TargetID]],
tblCost[TargetID],
tblCost[FundingPercent],
""
)
)</f>
        <v>0</v>
      </c>
      <c r="W222">
        <f>IF(
COUNTIF(tblCost[TargetID],tblTargetStatus[[#This Row],[TargetID]])=0,
"",
_xlfn.XLOOKUP(
tblTargetStatus[[#This Row],[TargetID]],
tblCost[TargetID],
tblCost[RemainingRequirements],
""
)
)</f>
        <v>1</v>
      </c>
      <c r="X222" s="79" t="b">
        <f>IF(tblTargetStatus[[#This Row],[HasCost]]=FALSE,"N/A",_xlfn.XLOOKUP(
tblTargetStatus[[#This Row],[TargetID]],
tblCost[TargetID],
tblCost[TargetFunded],
TRUE
))</f>
        <v>0</v>
      </c>
      <c r="Y222" t="str" cm="1">
        <f t="array" ref="Y222">_xlfn.TEXTJOIN(
", ",
TRUE,
_xlfn._xlws.FILTER(
tblCost[ResourceID]&amp;": "&amp;tblCost[QuantityRequired],
(tblCost[TargetID]=tblTargetStatus[[#This Row],[TargetID]])*
(tblCost[PlayerPaid]=FALSE),
""
)
)</f>
        <v>stone: 200</v>
      </c>
      <c r="Z2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2" t="str" cm="1">
        <f t="array" ref="AA22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3" spans="1:27" ht="29">
      <c r="A223" t="s">
        <v>2639</v>
      </c>
      <c r="B223" t="str">
        <f>_xlfn.XLOOKUP(tblTargetStatus[[#This Row],[TargetID]],tblTargets[TargetID],tblTargets[DisplayName],"")</f>
        <v>Tavern Lv 1</v>
      </c>
      <c r="C223" t="str">
        <f>IF(tblTargetStatus[[#This Row],[PlayerCompleted]],"COMPLETED",IF(tblTargetStatus[[#This Row],[MissingDependencies]]=0,"READY","BLOCKED"))</f>
        <v>BLOCKED</v>
      </c>
      <c r="D2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3" t="str">
        <f>_xlfn.XLOOKUP(tblTargetStatus[[#This Row],[TargetID]],tblTargets[TargetID],tblTargets[TargetType],"")</f>
        <v>COLLECTION</v>
      </c>
      <c r="F223" t="str">
        <f>_xlfn.XLOOKUP(tblTargetStatus[[#This Row],[TargetID]],tblTargets[TargetID],tblTargets[StateType])</f>
        <v/>
      </c>
      <c r="G223">
        <f>_xlfn.LET(
_xlpm.id,tblTargetStatus[[#This Row],[TargetID]],
_xlpm.depCount,COUNTIF(tblDependencies[TargetID],_xlpm.id),
_xlpm.objCount,COUNTIF(tblQuestObjectives[QuestTargetID],_xlpm.id),
_xlpm.depCount+_xlpm.objCount
)</f>
        <v>1</v>
      </c>
      <c r="H223">
        <f>tblTargetStatus[[#This Row],[DependencyCount]]</f>
        <v>1</v>
      </c>
      <c r="I223" cm="1">
        <f t="array" ref="I2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3">
        <f>tblTargetStatus[[#This Row],[CompletedDependencyCount]]</f>
        <v>0</v>
      </c>
      <c r="K223" t="b">
        <f>tblTargetStatus[[#This Row],[CompletedDependencies]]=tblTargetStatus[[#This Row],[TotalDependencies]]</f>
        <v>0</v>
      </c>
      <c r="L223">
        <f>tblTargetStatus[[#This Row],[TotalDependencies]]-tblTargetStatus[[#This Row],[CompletedDependencies]]</f>
        <v>1</v>
      </c>
      <c r="M223" t="str" cm="1">
        <f t="array" ref="M2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citadel.tavern</v>
      </c>
      <c r="N223" t="str">
        <f>IF(tblTargetStatus[[#This Row],[FirstMissingDependencyID]]="","",_xlfn.XLOOKUP(tblTargetStatus[[#This Row],[FirstMissingDependencyID]],tblTargets[TargetID],tblTargets[DisplayName],tblTargetStatus[[#This Row],[FirstMissingDependencyID]]))</f>
        <v>Tavern</v>
      </c>
      <c r="O223" s="2" t="str" cm="1">
        <f t="array" ref="O2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cake,10 cup,10 fried,20 mcola,10 pasta,10 ramen,10 smoothie2,10 sushi,10 teriyaki</v>
      </c>
      <c r="P223" t="str">
        <f>IF(tblTargetStatus[[#This Row],[FirstMissingDependencyID]]="","",_xlfn.XLOOKUP(tblTargetStatus[[#This Row],[FirstMissingDependencyID]],tblTargetStatus[TargetID],tblTargetStatus[Status],""))</f>
        <v>BLOCKED</v>
      </c>
      <c r="Q223" t="str">
        <f>IF(
 tblTargetStatus[[#This Row],[Status]]&lt;&gt;"BLOCKED",
 tblTargetStatus[[#This Row],[Status]],
 IF(
  AND(
   tblTargetStatus[[#This Row],[MissingDependencies]]=1,
   tblTargetStatus[[#This Row],[FirstMissingStatus]]="READY"
  ),
  "ONE AWAY",
  "BLOCKED"
 )
)</f>
        <v>BLOCKED</v>
      </c>
      <c r="R223">
        <f>IF(
 OR(
  tblTargetStatus[[#This Row],[StateType]]="CHARACTER",
  RIGHT(tblTargetStatus[[#This Row],[TargetID]],6)=".maxed"
 ),
 0,
 _xlfn.LET(
  _xlpm.sort,
   _xlfn.XLOOKUP(
    tblTargetStatus[[#This Row],[TargetID]],
    tblChecklist[TargetID],
    tblChecklist[PlayerSort],
    0
   ),
  IF(_xlpm.sort=0,500,_xlpm.sort)
 )
)</f>
        <v>500</v>
      </c>
      <c r="S223" t="str" cm="1">
        <f t="array" ref="S22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Tavern Lv 2</v>
      </c>
      <c r="T223" t="str">
        <f>_xlfn.XLOOKUP(tblTargetStatus[[#This Row],[TargetID]],tblTargets[TargetID],tblTargets[CompletionMethod],"")</f>
        <v>PLAYER</v>
      </c>
      <c r="U223" t="b">
        <f>COUNTIF(
    tblCost[TargetID],
    tblTargetStatus[[#This Row],[TargetID]]
)&gt;0</f>
        <v>1</v>
      </c>
      <c r="V223" s="81">
        <f>IF(tblTargetStatus[[#This Row],[HasCost]]=FALSE,
"N/A",
_xlfn.XLOOKUP(
tblTargetStatus[[#This Row],[TargetID]],
tblCost[TargetID],
tblCost[FundingPercent],
""
)
)</f>
        <v>0</v>
      </c>
      <c r="W223">
        <f>IF(
COUNTIF(tblCost[TargetID],tblTargetStatus[[#This Row],[TargetID]])=0,
"",
_xlfn.XLOOKUP(
tblTargetStatus[[#This Row],[TargetID]],
tblCost[TargetID],
tblCost[RemainingRequirements],
""
)
)</f>
        <v>9</v>
      </c>
      <c r="X223" s="79" t="b">
        <f>IF(tblTargetStatus[[#This Row],[HasCost]]=FALSE,"N/A",_xlfn.XLOOKUP(
tblTargetStatus[[#This Row],[TargetID]],
tblCost[TargetID],
tblCost[TargetFunded],
TRUE
))</f>
        <v>0</v>
      </c>
      <c r="Y223" t="str" cm="1">
        <f t="array" ref="Y223">_xlfn.TEXTJOIN(
", ",
TRUE,
_xlfn._xlws.FILTER(
tblCost[ResourceID]&amp;": "&amp;tblCost[QuantityRequired],
(tblCost[TargetID]=tblTargetStatus[[#This Row],[TargetID]])*
(tblCost[PlayerPaid]=FALSE),
""
)
)</f>
        <v>cake: 10, cup: 10, fried: 10, mcola: 20, pasta: 10, ramen: 10, smoothie2: 10, sushi: 10, teriyaki: 10</v>
      </c>
      <c r="Z2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3" t="str" cm="1">
        <f t="array" ref="AA22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4" spans="1:27">
      <c r="A224" t="s">
        <v>2640</v>
      </c>
      <c r="B224" t="str">
        <f>_xlfn.XLOOKUP(tblTargetStatus[[#This Row],[TargetID]],tblTargets[TargetID],tblTargets[DisplayName],"")</f>
        <v>Tavern Lv 2</v>
      </c>
      <c r="C224" t="str">
        <f>IF(tblTargetStatus[[#This Row],[PlayerCompleted]],"COMPLETED",IF(tblTargetStatus[[#This Row],[MissingDependencies]]=0,"READY","BLOCKED"))</f>
        <v>BLOCKED</v>
      </c>
      <c r="D2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4" t="str">
        <f>_xlfn.XLOOKUP(tblTargetStatus[[#This Row],[TargetID]],tblTargets[TargetID],tblTargets[TargetType],"")</f>
        <v>COLLECTION</v>
      </c>
      <c r="F224" t="str">
        <f>_xlfn.XLOOKUP(tblTargetStatus[[#This Row],[TargetID]],tblTargets[TargetID],tblTargets[StateType])</f>
        <v/>
      </c>
      <c r="G224">
        <f>_xlfn.LET(
_xlpm.id,tblTargetStatus[[#This Row],[TargetID]],
_xlpm.depCount,COUNTIF(tblDependencies[TargetID],_xlpm.id),
_xlpm.objCount,COUNTIF(tblQuestObjectives[QuestTargetID],_xlpm.id),
_xlpm.depCount+_xlpm.objCount
)</f>
        <v>1</v>
      </c>
      <c r="H224">
        <f>tblTargetStatus[[#This Row],[DependencyCount]]</f>
        <v>1</v>
      </c>
      <c r="I224" cm="1">
        <f t="array" ref="I2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4">
        <f>tblTargetStatus[[#This Row],[CompletedDependencyCount]]</f>
        <v>0</v>
      </c>
      <c r="K224" t="b">
        <f>tblTargetStatus[[#This Row],[CompletedDependencies]]=tblTargetStatus[[#This Row],[TotalDependencies]]</f>
        <v>0</v>
      </c>
      <c r="L224">
        <f>tblTargetStatus[[#This Row],[TotalDependencies]]-tblTargetStatus[[#This Row],[CompletedDependencies]]</f>
        <v>1</v>
      </c>
      <c r="M224" t="str" cm="1">
        <f t="array" ref="M2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collection.tavern@1</v>
      </c>
      <c r="N224" t="str">
        <f>IF(tblTargetStatus[[#This Row],[FirstMissingDependencyID]]="","",_xlfn.XLOOKUP(tblTargetStatus[[#This Row],[FirstMissingDependencyID]],tblTargets[TargetID],tblTargets[DisplayName],tblTargetStatus[[#This Row],[FirstMissingDependencyID]]))</f>
        <v>Tavern Lv 1</v>
      </c>
      <c r="O224" t="str" cm="1">
        <f t="array" ref="O2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cake,20 cup,20 fried,40 mcola,20 pasta,20 ramen,20 smoothie2,20 sushi,20 teriyaki</v>
      </c>
      <c r="P224" t="str">
        <f>IF(tblTargetStatus[[#This Row],[FirstMissingDependencyID]]="","",_xlfn.XLOOKUP(tblTargetStatus[[#This Row],[FirstMissingDependencyID]],tblTargetStatus[TargetID],tblTargetStatus[Status],""))</f>
        <v>BLOCKED</v>
      </c>
      <c r="Q224" t="str">
        <f>IF(
 tblTargetStatus[[#This Row],[Status]]&lt;&gt;"BLOCKED",
 tblTargetStatus[[#This Row],[Status]],
 IF(
  AND(
   tblTargetStatus[[#This Row],[MissingDependencies]]=1,
   tblTargetStatus[[#This Row],[FirstMissingStatus]]="READY"
  ),
  "ONE AWAY",
  "BLOCKED"
 )
)</f>
        <v>BLOCKED</v>
      </c>
      <c r="R224">
        <f>IF(
 OR(
  tblTargetStatus[[#This Row],[StateType]]="CHARACTER",
  RIGHT(tblTargetStatus[[#This Row],[TargetID]],6)=".maxed"
 ),
 0,
 _xlfn.LET(
  _xlpm.sort,
   _xlfn.XLOOKUP(
    tblTargetStatus[[#This Row],[TargetID]],
    tblChecklist[TargetID],
    tblChecklist[PlayerSort],
    0
   ),
  IF(_xlpm.sort=0,500,_xlpm.sort)
 )
)</f>
        <v>500</v>
      </c>
      <c r="S224" t="str" cm="1">
        <f t="array" ref="S22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24" t="str">
        <f>_xlfn.XLOOKUP(tblTargetStatus[[#This Row],[TargetID]],tblTargets[TargetID],tblTargets[CompletionMethod],"")</f>
        <v>PLAYER</v>
      </c>
      <c r="U224" t="b">
        <f>COUNTIF(
    tblCost[TargetID],
    tblTargetStatus[[#This Row],[TargetID]]
)&gt;0</f>
        <v>1</v>
      </c>
      <c r="V224" s="81">
        <f>IF(tblTargetStatus[[#This Row],[HasCost]]=FALSE,
"N/A",
_xlfn.XLOOKUP(
tblTargetStatus[[#This Row],[TargetID]],
tblCost[TargetID],
tblCost[FundingPercent],
""
)
)</f>
        <v>0</v>
      </c>
      <c r="W224">
        <f>IF(
COUNTIF(tblCost[TargetID],tblTargetStatus[[#This Row],[TargetID]])=0,
"",
_xlfn.XLOOKUP(
tblTargetStatus[[#This Row],[TargetID]],
tblCost[TargetID],
tblCost[RemainingRequirements],
""
)
)</f>
        <v>9</v>
      </c>
      <c r="X224" s="79" t="b">
        <f>IF(tblTargetStatus[[#This Row],[HasCost]]=FALSE,"N/A",_xlfn.XLOOKUP(
tblTargetStatus[[#This Row],[TargetID]],
tblCost[TargetID],
tblCost[TargetFunded],
TRUE
))</f>
        <v>0</v>
      </c>
      <c r="Y224" t="str" cm="1">
        <f t="array" ref="Y224">_xlfn.TEXTJOIN(
", ",
TRUE,
_xlfn._xlws.FILTER(
tblCost[ResourceID]&amp;": "&amp;tblCost[QuantityRequired],
(tblCost[TargetID]=tblTargetStatus[[#This Row],[TargetID]])*
(tblCost[PlayerPaid]=FALSE),
""
)
)</f>
        <v>cake: 20, cup: 20, fried: 20, mcola: 40, pasta: 20, ramen: 20, smoothie2: 20, sushi: 20, teriyaki: 20</v>
      </c>
      <c r="Z2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4" t="str" cm="1">
        <f t="array" ref="AA22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5" spans="1:27" ht="29">
      <c r="A225" t="s">
        <v>2641</v>
      </c>
      <c r="B225" t="str">
        <f>_xlfn.XLOOKUP(tblTargetStatus[[#This Row],[TargetID]],tblTargets[TargetID],tblTargets[DisplayName],"")</f>
        <v>Treasury 1 Lv 1</v>
      </c>
      <c r="C225" t="str">
        <f>IF(tblTargetStatus[[#This Row],[PlayerCompleted]],"COMPLETED",IF(tblTargetStatus[[#This Row],[MissingDependencies]]=0,"READY","BLOCKED"))</f>
        <v>BLOCKED</v>
      </c>
      <c r="D2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5" t="str">
        <f>_xlfn.XLOOKUP(tblTargetStatus[[#This Row],[TargetID]],tblTargets[TargetID],tblTargets[TargetType],"")</f>
        <v>COLLECTION</v>
      </c>
      <c r="F225" t="str">
        <f>_xlfn.XLOOKUP(tblTargetStatus[[#This Row],[TargetID]],tblTargets[TargetID],tblTargets[StateType])</f>
        <v/>
      </c>
      <c r="G225">
        <f>_xlfn.LET(
_xlpm.id,tblTargetStatus[[#This Row],[TargetID]],
_xlpm.depCount,COUNTIF(tblDependencies[TargetID],_xlpm.id),
_xlpm.objCount,COUNTIF(tblQuestObjectives[QuestTargetID],_xlpm.id),
_xlpm.depCount+_xlpm.objCount
)</f>
        <v>1</v>
      </c>
      <c r="H225">
        <f>tblTargetStatus[[#This Row],[DependencyCount]]</f>
        <v>1</v>
      </c>
      <c r="I225" cm="1">
        <f t="array" ref="I2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5">
        <f>tblTargetStatus[[#This Row],[CompletedDependencyCount]]</f>
        <v>0</v>
      </c>
      <c r="K225" t="b">
        <f>tblTargetStatus[[#This Row],[CompletedDependencies]]=tblTargetStatus[[#This Row],[TotalDependencies]]</f>
        <v>0</v>
      </c>
      <c r="L225">
        <f>tblTargetStatus[[#This Row],[TotalDependencies]]-tblTargetStatus[[#This Row],[CompletedDependencies]]</f>
        <v>1</v>
      </c>
      <c r="M225" t="str" cm="1">
        <f t="array" ref="M2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citadel.treasury</v>
      </c>
      <c r="N225" t="str">
        <f>IF(tblTargetStatus[[#This Row],[FirstMissingDependencyID]]="","",_xlfn.XLOOKUP(tblTargetStatus[[#This Row],[FirstMissingDependencyID]],tblTargets[TargetID],tblTargets[DisplayName],tblTargetStatus[[#This Row],[FirstMissingDependencyID]]))</f>
        <v>Treasury</v>
      </c>
      <c r="O225" s="2" t="str" cm="1">
        <f t="array" ref="O2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1000 coin,1000 coin.2,250 crypto,250 dinar,10 ingot,5 pearl,5 ruby,10 treasure</v>
      </c>
      <c r="P225" t="str">
        <f>IF(tblTargetStatus[[#This Row],[FirstMissingDependencyID]]="","",_xlfn.XLOOKUP(tblTargetStatus[[#This Row],[FirstMissingDependencyID]],tblTargetStatus[TargetID],tblTargetStatus[Status],""))</f>
        <v>BLOCKED</v>
      </c>
      <c r="Q225" t="str">
        <f>IF(
 tblTargetStatus[[#This Row],[Status]]&lt;&gt;"BLOCKED",
 tblTargetStatus[[#This Row],[Status]],
 IF(
  AND(
   tblTargetStatus[[#This Row],[MissingDependencies]]=1,
   tblTargetStatus[[#This Row],[FirstMissingStatus]]="READY"
  ),
  "ONE AWAY",
  "BLOCKED"
 )
)</f>
        <v>BLOCKED</v>
      </c>
      <c r="R225">
        <f>IF(
 OR(
  tblTargetStatus[[#This Row],[StateType]]="CHARACTER",
  RIGHT(tblTargetStatus[[#This Row],[TargetID]],6)=".maxed"
 ),
 0,
 _xlfn.LET(
  _xlpm.sort,
   _xlfn.XLOOKUP(
    tblTargetStatus[[#This Row],[TargetID]],
    tblChecklist[TargetID],
    tblChecklist[PlayerSort],
    0
   ),
  IF(_xlpm.sort=0,500,_xlpm.sort)
 )
)</f>
        <v>500</v>
      </c>
      <c r="S225" t="str" cm="1">
        <f t="array" ref="S22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Treasury 1 Lv 2</v>
      </c>
      <c r="T225" t="str">
        <f>_xlfn.XLOOKUP(tblTargetStatus[[#This Row],[TargetID]],tblTargets[TargetID],tblTargets[CompletionMethod],"")</f>
        <v>PLAYER</v>
      </c>
      <c r="U225" t="b">
        <f>COUNTIF(
    tblCost[TargetID],
    tblTargetStatus[[#This Row],[TargetID]]
)&gt;0</f>
        <v>1</v>
      </c>
      <c r="V225" s="81">
        <f>IF(tblTargetStatus[[#This Row],[HasCost]]=FALSE,
"N/A",
_xlfn.XLOOKUP(
tblTargetStatus[[#This Row],[TargetID]],
tblCost[TargetID],
tblCost[FundingPercent],
""
)
)</f>
        <v>0</v>
      </c>
      <c r="W225">
        <f>IF(
COUNTIF(tblCost[TargetID],tblTargetStatus[[#This Row],[TargetID]])=0,
"",
_xlfn.XLOOKUP(
tblTargetStatus[[#This Row],[TargetID]],
tblCost[TargetID],
tblCost[RemainingRequirements],
""
)
)</f>
        <v>8</v>
      </c>
      <c r="X225" s="79" t="b">
        <f>IF(tblTargetStatus[[#This Row],[HasCost]]=FALSE,"N/A",_xlfn.XLOOKUP(
tblTargetStatus[[#This Row],[TargetID]],
tblCost[TargetID],
tblCost[TargetFunded],
TRUE
))</f>
        <v>0</v>
      </c>
      <c r="Y225" t="str" cm="1">
        <f t="array" ref="Y225">_xlfn.TEXTJOIN(
", ",
TRUE,
_xlfn._xlws.FILTER(
tblCost[ResourceID]&amp;": "&amp;tblCost[QuantityRequired],
(tblCost[TargetID]=tblTargetStatus[[#This Row],[TargetID]])*
(tblCost[PlayerPaid]=FALSE),
""
)
)</f>
        <v>coin: 1000, coin: 1000, crypto: 250, dinar: 250, ingot: 10, pearl: 5, ruby: 5, treasure: 10</v>
      </c>
      <c r="Z2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5" t="str" cm="1">
        <f t="array" ref="AA22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6" spans="1:27">
      <c r="A226" t="s">
        <v>2642</v>
      </c>
      <c r="B226" t="str">
        <f>_xlfn.XLOOKUP(tblTargetStatus[[#This Row],[TargetID]],tblTargets[TargetID],tblTargets[DisplayName],"")</f>
        <v>Treasury 1 Lv 2</v>
      </c>
      <c r="C226" t="str">
        <f>IF(tblTargetStatus[[#This Row],[PlayerCompleted]],"COMPLETED",IF(tblTargetStatus[[#This Row],[MissingDependencies]]=0,"READY","BLOCKED"))</f>
        <v>BLOCKED</v>
      </c>
      <c r="D2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6" t="str">
        <f>_xlfn.XLOOKUP(tblTargetStatus[[#This Row],[TargetID]],tblTargets[TargetID],tblTargets[TargetType],"")</f>
        <v>COLLECTION</v>
      </c>
      <c r="F226" t="str">
        <f>_xlfn.XLOOKUP(tblTargetStatus[[#This Row],[TargetID]],tblTargets[TargetID],tblTargets[StateType])</f>
        <v/>
      </c>
      <c r="G226">
        <f>_xlfn.LET(
_xlpm.id,tblTargetStatus[[#This Row],[TargetID]],
_xlpm.depCount,COUNTIF(tblDependencies[TargetID],_xlpm.id),
_xlpm.objCount,COUNTIF(tblQuestObjectives[QuestTargetID],_xlpm.id),
_xlpm.depCount+_xlpm.objCount
)</f>
        <v>1</v>
      </c>
      <c r="H226">
        <f>tblTargetStatus[[#This Row],[DependencyCount]]</f>
        <v>1</v>
      </c>
      <c r="I226" cm="1">
        <f t="array" ref="I2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6">
        <f>tblTargetStatus[[#This Row],[CompletedDependencyCount]]</f>
        <v>0</v>
      </c>
      <c r="K226" t="b">
        <f>tblTargetStatus[[#This Row],[CompletedDependencies]]=tblTargetStatus[[#This Row],[TotalDependencies]]</f>
        <v>0</v>
      </c>
      <c r="L226">
        <f>tblTargetStatus[[#This Row],[TotalDependencies]]-tblTargetStatus[[#This Row],[CompletedDependencies]]</f>
        <v>1</v>
      </c>
      <c r="M226" t="str" cm="1">
        <f t="array" ref="M2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collection.treasury_1@1</v>
      </c>
      <c r="N226" t="str">
        <f>IF(tblTargetStatus[[#This Row],[FirstMissingDependencyID]]="","",_xlfn.XLOOKUP(tblTargetStatus[[#This Row],[FirstMissingDependencyID]],tblTargets[TargetID],tblTargets[DisplayName],tblTargetStatus[[#This Row],[FirstMissingDependencyID]]))</f>
        <v>Treasury 1 Lv 1</v>
      </c>
      <c r="O226" t="str" cm="1">
        <f t="array" ref="O2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2000 coin,2000 coin.2,500 crypto,500 dinar,20 ingot,10 pearl,10 ruby,20 treasure</v>
      </c>
      <c r="P226" t="str">
        <f>IF(tblTargetStatus[[#This Row],[FirstMissingDependencyID]]="","",_xlfn.XLOOKUP(tblTargetStatus[[#This Row],[FirstMissingDependencyID]],tblTargetStatus[TargetID],tblTargetStatus[Status],""))</f>
        <v>BLOCKED</v>
      </c>
      <c r="Q226" t="str">
        <f>IF(
 tblTargetStatus[[#This Row],[Status]]&lt;&gt;"BLOCKED",
 tblTargetStatus[[#This Row],[Status]],
 IF(
  AND(
   tblTargetStatus[[#This Row],[MissingDependencies]]=1,
   tblTargetStatus[[#This Row],[FirstMissingStatus]]="READY"
  ),
  "ONE AWAY",
  "BLOCKED"
 )
)</f>
        <v>BLOCKED</v>
      </c>
      <c r="R226">
        <f>IF(
 OR(
  tblTargetStatus[[#This Row],[StateType]]="CHARACTER",
  RIGHT(tblTargetStatus[[#This Row],[TargetID]],6)=".maxed"
 ),
 0,
 _xlfn.LET(
  _xlpm.sort,
   _xlfn.XLOOKUP(
    tblTargetStatus[[#This Row],[TargetID]],
    tblChecklist[TargetID],
    tblChecklist[PlayerSort],
    0
   ),
  IF(_xlpm.sort=0,500,_xlpm.sort)
 )
)</f>
        <v>500</v>
      </c>
      <c r="S226" t="str" cm="1">
        <f t="array" ref="S22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Treasury 1 Lv 3</v>
      </c>
      <c r="T226" t="str">
        <f>_xlfn.XLOOKUP(tblTargetStatus[[#This Row],[TargetID]],tblTargets[TargetID],tblTargets[CompletionMethod],"")</f>
        <v>PLAYER</v>
      </c>
      <c r="U226" t="b">
        <f>COUNTIF(
    tblCost[TargetID],
    tblTargetStatus[[#This Row],[TargetID]]
)&gt;0</f>
        <v>1</v>
      </c>
      <c r="V226" s="81">
        <f>IF(tblTargetStatus[[#This Row],[HasCost]]=FALSE,
"N/A",
_xlfn.XLOOKUP(
tblTargetStatus[[#This Row],[TargetID]],
tblCost[TargetID],
tblCost[FundingPercent],
""
)
)</f>
        <v>0</v>
      </c>
      <c r="W226">
        <f>IF(
COUNTIF(tblCost[TargetID],tblTargetStatus[[#This Row],[TargetID]])=0,
"",
_xlfn.XLOOKUP(
tblTargetStatus[[#This Row],[TargetID]],
tblCost[TargetID],
tblCost[RemainingRequirements],
""
)
)</f>
        <v>8</v>
      </c>
      <c r="X226" s="79" t="b">
        <f>IF(tblTargetStatus[[#This Row],[HasCost]]=FALSE,"N/A",_xlfn.XLOOKUP(
tblTargetStatus[[#This Row],[TargetID]],
tblCost[TargetID],
tblCost[TargetFunded],
TRUE
))</f>
        <v>0</v>
      </c>
      <c r="Y226" t="str" cm="1">
        <f t="array" ref="Y226">_xlfn.TEXTJOIN(
", ",
TRUE,
_xlfn._xlws.FILTER(
tblCost[ResourceID]&amp;": "&amp;tblCost[QuantityRequired],
(tblCost[TargetID]=tblTargetStatus[[#This Row],[TargetID]])*
(tblCost[PlayerPaid]=FALSE),
""
)
)</f>
        <v>coin: 2000, coin: 2000, crypto: 500, dinar: 500, ingot: 20, pearl: 10, ruby: 10, treasure: 20</v>
      </c>
      <c r="Z2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6" t="str" cm="1">
        <f t="array" ref="AA22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7" spans="1:27">
      <c r="A227" t="s">
        <v>2643</v>
      </c>
      <c r="B227" t="str">
        <f>_xlfn.XLOOKUP(tblTargetStatus[[#This Row],[TargetID]],tblTargets[TargetID],tblTargets[DisplayName],"")</f>
        <v>Treasury 1 Lv 3</v>
      </c>
      <c r="C227" t="str">
        <f>IF(tblTargetStatus[[#This Row],[PlayerCompleted]],"COMPLETED",IF(tblTargetStatus[[#This Row],[MissingDependencies]]=0,"READY","BLOCKED"))</f>
        <v>BLOCKED</v>
      </c>
      <c r="D2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7" t="str">
        <f>_xlfn.XLOOKUP(tblTargetStatus[[#This Row],[TargetID]],tblTargets[TargetID],tblTargets[TargetType],"")</f>
        <v>COLLECTION</v>
      </c>
      <c r="F227" t="str">
        <f>_xlfn.XLOOKUP(tblTargetStatus[[#This Row],[TargetID]],tblTargets[TargetID],tblTargets[StateType])</f>
        <v/>
      </c>
      <c r="G227">
        <f>_xlfn.LET(
_xlpm.id,tblTargetStatus[[#This Row],[TargetID]],
_xlpm.depCount,COUNTIF(tblDependencies[TargetID],_xlpm.id),
_xlpm.objCount,COUNTIF(tblQuestObjectives[QuestTargetID],_xlpm.id),
_xlpm.depCount+_xlpm.objCount
)</f>
        <v>1</v>
      </c>
      <c r="H227">
        <f>tblTargetStatus[[#This Row],[DependencyCount]]</f>
        <v>1</v>
      </c>
      <c r="I227" cm="1">
        <f t="array" ref="I2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7">
        <f>tblTargetStatus[[#This Row],[CompletedDependencyCount]]</f>
        <v>0</v>
      </c>
      <c r="K227" t="b">
        <f>tblTargetStatus[[#This Row],[CompletedDependencies]]=tblTargetStatus[[#This Row],[TotalDependencies]]</f>
        <v>0</v>
      </c>
      <c r="L227">
        <f>tblTargetStatus[[#This Row],[TotalDependencies]]-tblTargetStatus[[#This Row],[CompletedDependencies]]</f>
        <v>1</v>
      </c>
      <c r="M227" t="str" cm="1">
        <f t="array" ref="M2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collection.treasury_1@2</v>
      </c>
      <c r="N227" t="str">
        <f>IF(tblTargetStatus[[#This Row],[FirstMissingDependencyID]]="","",_xlfn.XLOOKUP(tblTargetStatus[[#This Row],[FirstMissingDependencyID]],tblTargets[TargetID],tblTargets[DisplayName],tblTargetStatus[[#This Row],[FirstMissingDependencyID]]))</f>
        <v>Treasury 1 Lv 2</v>
      </c>
      <c r="O227" t="str" cm="1">
        <f t="array" ref="O2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3000 coin,3000 coin.2,750 crypto,750 dinar,30 ingot,15 pearl,15 ruby,30 treasure</v>
      </c>
      <c r="P227" t="str">
        <f>IF(tblTargetStatus[[#This Row],[FirstMissingDependencyID]]="","",_xlfn.XLOOKUP(tblTargetStatus[[#This Row],[FirstMissingDependencyID]],tblTargetStatus[TargetID],tblTargetStatus[Status],""))</f>
        <v>BLOCKED</v>
      </c>
      <c r="Q227" t="str">
        <f>IF(
 tblTargetStatus[[#This Row],[Status]]&lt;&gt;"BLOCKED",
 tblTargetStatus[[#This Row],[Status]],
 IF(
  AND(
   tblTargetStatus[[#This Row],[MissingDependencies]]=1,
   tblTargetStatus[[#This Row],[FirstMissingStatus]]="READY"
  ),
  "ONE AWAY",
  "BLOCKED"
 )
)</f>
        <v>BLOCKED</v>
      </c>
      <c r="R227">
        <f>IF(
 OR(
  tblTargetStatus[[#This Row],[StateType]]="CHARACTER",
  RIGHT(tblTargetStatus[[#This Row],[TargetID]],6)=".maxed"
 ),
 0,
 _xlfn.LET(
  _xlpm.sort,
   _xlfn.XLOOKUP(
    tblTargetStatus[[#This Row],[TargetID]],
    tblChecklist[TargetID],
    tblChecklist[PlayerSort],
    0
   ),
  IF(_xlpm.sort=0,500,_xlpm.sort)
 )
)</f>
        <v>500</v>
      </c>
      <c r="S227" t="str" cm="1">
        <f t="array" ref="S22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Treasury 1 Lv 4</v>
      </c>
      <c r="T227" t="str">
        <f>_xlfn.XLOOKUP(tblTargetStatus[[#This Row],[TargetID]],tblTargets[TargetID],tblTargets[CompletionMethod],"")</f>
        <v>PLAYER</v>
      </c>
      <c r="U227" t="b">
        <f>COUNTIF(
    tblCost[TargetID],
    tblTargetStatus[[#This Row],[TargetID]]
)&gt;0</f>
        <v>1</v>
      </c>
      <c r="V227" s="81">
        <f>IF(tblTargetStatus[[#This Row],[HasCost]]=FALSE,
"N/A",
_xlfn.XLOOKUP(
tblTargetStatus[[#This Row],[TargetID]],
tblCost[TargetID],
tblCost[FundingPercent],
""
)
)</f>
        <v>0</v>
      </c>
      <c r="W227">
        <f>IF(
COUNTIF(tblCost[TargetID],tblTargetStatus[[#This Row],[TargetID]])=0,
"",
_xlfn.XLOOKUP(
tblTargetStatus[[#This Row],[TargetID]],
tblCost[TargetID],
tblCost[RemainingRequirements],
""
)
)</f>
        <v>8</v>
      </c>
      <c r="X227" s="79" t="b">
        <f>IF(tblTargetStatus[[#This Row],[HasCost]]=FALSE,"N/A",_xlfn.XLOOKUP(
tblTargetStatus[[#This Row],[TargetID]],
tblCost[TargetID],
tblCost[TargetFunded],
TRUE
))</f>
        <v>0</v>
      </c>
      <c r="Y227" t="str" cm="1">
        <f t="array" ref="Y227">_xlfn.TEXTJOIN(
", ",
TRUE,
_xlfn._xlws.FILTER(
tblCost[ResourceID]&amp;": "&amp;tblCost[QuantityRequired],
(tblCost[TargetID]=tblTargetStatus[[#This Row],[TargetID]])*
(tblCost[PlayerPaid]=FALSE),
""
)
)</f>
        <v>coin: 3000, coin: 3000, crypto: 750, dinar: 750, ingot: 30, pearl: 15, ruby: 15, treasure: 30</v>
      </c>
      <c r="Z2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7" t="str" cm="1">
        <f t="array" ref="AA22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8" spans="1:27">
      <c r="A228" t="s">
        <v>2644</v>
      </c>
      <c r="B228" t="str">
        <f>_xlfn.XLOOKUP(tblTargetStatus[[#This Row],[TargetID]],tblTargets[TargetID],tblTargets[DisplayName],"")</f>
        <v>Treasury 1 Lv 4</v>
      </c>
      <c r="C228" t="str">
        <f>IF(tblTargetStatus[[#This Row],[PlayerCompleted]],"COMPLETED",IF(tblTargetStatus[[#This Row],[MissingDependencies]]=0,"READY","BLOCKED"))</f>
        <v>BLOCKED</v>
      </c>
      <c r="D2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8" t="str">
        <f>_xlfn.XLOOKUP(tblTargetStatus[[#This Row],[TargetID]],tblTargets[TargetID],tblTargets[TargetType],"")</f>
        <v>COLLECTION</v>
      </c>
      <c r="F228" t="str">
        <f>_xlfn.XLOOKUP(tblTargetStatus[[#This Row],[TargetID]],tblTargets[TargetID],tblTargets[StateType])</f>
        <v/>
      </c>
      <c r="G228">
        <f>_xlfn.LET(
_xlpm.id,tblTargetStatus[[#This Row],[TargetID]],
_xlpm.depCount,COUNTIF(tblDependencies[TargetID],_xlpm.id),
_xlpm.objCount,COUNTIF(tblQuestObjectives[QuestTargetID],_xlpm.id),
_xlpm.depCount+_xlpm.objCount
)</f>
        <v>1</v>
      </c>
      <c r="H228">
        <f>tblTargetStatus[[#This Row],[DependencyCount]]</f>
        <v>1</v>
      </c>
      <c r="I228" cm="1">
        <f t="array" ref="I2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8">
        <f>tblTargetStatus[[#This Row],[CompletedDependencyCount]]</f>
        <v>0</v>
      </c>
      <c r="K228" t="b">
        <f>tblTargetStatus[[#This Row],[CompletedDependencies]]=tblTargetStatus[[#This Row],[TotalDependencies]]</f>
        <v>0</v>
      </c>
      <c r="L228">
        <f>tblTargetStatus[[#This Row],[TotalDependencies]]-tblTargetStatus[[#This Row],[CompletedDependencies]]</f>
        <v>1</v>
      </c>
      <c r="M228" t="str" cm="1">
        <f t="array" ref="M2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collection.treasury_1@3</v>
      </c>
      <c r="N228" t="str">
        <f>IF(tblTargetStatus[[#This Row],[FirstMissingDependencyID]]="","",_xlfn.XLOOKUP(tblTargetStatus[[#This Row],[FirstMissingDependencyID]],tblTargets[TargetID],tblTargets[DisplayName],tblTargetStatus[[#This Row],[FirstMissingDependencyID]]))</f>
        <v>Treasury 1 Lv 3</v>
      </c>
      <c r="O228" t="str" cm="1">
        <f t="array" ref="O2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4000 coin,4000 coin.2,1000 crypto,1000 dinar,40 ingot,20 pearl,20 ruby,40 treasure</v>
      </c>
      <c r="P228" t="str">
        <f>IF(tblTargetStatus[[#This Row],[FirstMissingDependencyID]]="","",_xlfn.XLOOKUP(tblTargetStatus[[#This Row],[FirstMissingDependencyID]],tblTargetStatus[TargetID],tblTargetStatus[Status],""))</f>
        <v>BLOCKED</v>
      </c>
      <c r="Q228" t="str">
        <f>IF(
 tblTargetStatus[[#This Row],[Status]]&lt;&gt;"BLOCKED",
 tblTargetStatus[[#This Row],[Status]],
 IF(
  AND(
   tblTargetStatus[[#This Row],[MissingDependencies]]=1,
   tblTargetStatus[[#This Row],[FirstMissingStatus]]="READY"
  ),
  "ONE AWAY",
  "BLOCKED"
 )
)</f>
        <v>BLOCKED</v>
      </c>
      <c r="R228">
        <f>IF(
 OR(
  tblTargetStatus[[#This Row],[StateType]]="CHARACTER",
  RIGHT(tblTargetStatus[[#This Row],[TargetID]],6)=".maxed"
 ),
 0,
 _xlfn.LET(
  _xlpm.sort,
   _xlfn.XLOOKUP(
    tblTargetStatus[[#This Row],[TargetID]],
    tblChecklist[TargetID],
    tblChecklist[PlayerSort],
    0
   ),
  IF(_xlpm.sort=0,500,_xlpm.sort)
 )
)</f>
        <v>500</v>
      </c>
      <c r="S228" t="str" cm="1">
        <f t="array" ref="S22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Treasury 1 Lv 5</v>
      </c>
      <c r="T228" t="str">
        <f>_xlfn.XLOOKUP(tblTargetStatus[[#This Row],[TargetID]],tblTargets[TargetID],tblTargets[CompletionMethod],"")</f>
        <v>PLAYER</v>
      </c>
      <c r="U228" t="b">
        <f>COUNTIF(
    tblCost[TargetID],
    tblTargetStatus[[#This Row],[TargetID]]
)&gt;0</f>
        <v>1</v>
      </c>
      <c r="V228" s="81">
        <f>IF(tblTargetStatus[[#This Row],[HasCost]]=FALSE,
"N/A",
_xlfn.XLOOKUP(
tblTargetStatus[[#This Row],[TargetID]],
tblCost[TargetID],
tblCost[FundingPercent],
""
)
)</f>
        <v>0</v>
      </c>
      <c r="W228">
        <f>IF(
COUNTIF(tblCost[TargetID],tblTargetStatus[[#This Row],[TargetID]])=0,
"",
_xlfn.XLOOKUP(
tblTargetStatus[[#This Row],[TargetID]],
tblCost[TargetID],
tblCost[RemainingRequirements],
""
)
)</f>
        <v>8</v>
      </c>
      <c r="X228" s="79" t="b">
        <f>IF(tblTargetStatus[[#This Row],[HasCost]]=FALSE,"N/A",_xlfn.XLOOKUP(
tblTargetStatus[[#This Row],[TargetID]],
tblCost[TargetID],
tblCost[TargetFunded],
TRUE
))</f>
        <v>0</v>
      </c>
      <c r="Y228" t="str" cm="1">
        <f t="array" ref="Y228">_xlfn.TEXTJOIN(
", ",
TRUE,
_xlfn._xlws.FILTER(
tblCost[ResourceID]&amp;": "&amp;tblCost[QuantityRequired],
(tblCost[TargetID]=tblTargetStatus[[#This Row],[TargetID]])*
(tblCost[PlayerPaid]=FALSE),
""
)
)</f>
        <v>coin: 4000, coin: 4000, crypto: 1000, dinar: 1000, ingot: 40, pearl: 20, ruby: 20, treasure: 40</v>
      </c>
      <c r="Z2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8" t="str" cm="1">
        <f t="array" ref="AA22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29" spans="1:27">
      <c r="A229" t="s">
        <v>2645</v>
      </c>
      <c r="B229" t="str">
        <f>_xlfn.XLOOKUP(tblTargetStatus[[#This Row],[TargetID]],tblTargets[TargetID],tblTargets[DisplayName],"")</f>
        <v>Treasury 1 Lv 5</v>
      </c>
      <c r="C229" t="str">
        <f>IF(tblTargetStatus[[#This Row],[PlayerCompleted]],"COMPLETED",IF(tblTargetStatus[[#This Row],[MissingDependencies]]=0,"READY","BLOCKED"))</f>
        <v>BLOCKED</v>
      </c>
      <c r="D2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9" t="str">
        <f>_xlfn.XLOOKUP(tblTargetStatus[[#This Row],[TargetID]],tblTargets[TargetID],tblTargets[TargetType],"")</f>
        <v>COLLECTION</v>
      </c>
      <c r="F229" t="str">
        <f>_xlfn.XLOOKUP(tblTargetStatus[[#This Row],[TargetID]],tblTargets[TargetID],tblTargets[StateType])</f>
        <v/>
      </c>
      <c r="G229">
        <f>_xlfn.LET(
_xlpm.id,tblTargetStatus[[#This Row],[TargetID]],
_xlpm.depCount,COUNTIF(tblDependencies[TargetID],_xlpm.id),
_xlpm.objCount,COUNTIF(tblQuestObjectives[QuestTargetID],_xlpm.id),
_xlpm.depCount+_xlpm.objCount
)</f>
        <v>1</v>
      </c>
      <c r="H229">
        <f>tblTargetStatus[[#This Row],[DependencyCount]]</f>
        <v>1</v>
      </c>
      <c r="I229" cm="1">
        <f t="array" ref="I2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9">
        <f>tblTargetStatus[[#This Row],[CompletedDependencyCount]]</f>
        <v>0</v>
      </c>
      <c r="K229" t="b">
        <f>tblTargetStatus[[#This Row],[CompletedDependencies]]=tblTargetStatus[[#This Row],[TotalDependencies]]</f>
        <v>0</v>
      </c>
      <c r="L229">
        <f>tblTargetStatus[[#This Row],[TotalDependencies]]-tblTargetStatus[[#This Row],[CompletedDependencies]]</f>
        <v>1</v>
      </c>
      <c r="M229" t="str" cm="1">
        <f t="array" ref="M2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collection.treasury_1@4</v>
      </c>
      <c r="N229" t="str">
        <f>IF(tblTargetStatus[[#This Row],[FirstMissingDependencyID]]="","",_xlfn.XLOOKUP(tblTargetStatus[[#This Row],[FirstMissingDependencyID]],tblTargets[TargetID],tblTargets[DisplayName],tblTargetStatus[[#This Row],[FirstMissingDependencyID]]))</f>
        <v>Treasury 1 Lv 4</v>
      </c>
      <c r="O229" t="str" cm="1">
        <f t="array" ref="O2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5000 coin,5000 coin.2,1250 crypto,1250 dinar,50 ingot,25 pearl,25 ruby,50 treasure</v>
      </c>
      <c r="P229" t="str">
        <f>IF(tblTargetStatus[[#This Row],[FirstMissingDependencyID]]="","",_xlfn.XLOOKUP(tblTargetStatus[[#This Row],[FirstMissingDependencyID]],tblTargetStatus[TargetID],tblTargetStatus[Status],""))</f>
        <v>BLOCKED</v>
      </c>
      <c r="Q229" t="str">
        <f>IF(
 tblTargetStatus[[#This Row],[Status]]&lt;&gt;"BLOCKED",
 tblTargetStatus[[#This Row],[Status]],
 IF(
  AND(
   tblTargetStatus[[#This Row],[MissingDependencies]]=1,
   tblTargetStatus[[#This Row],[FirstMissingStatus]]="READY"
  ),
  "ONE AWAY",
  "BLOCKED"
 )
)</f>
        <v>BLOCKED</v>
      </c>
      <c r="R229">
        <f>IF(
 OR(
  tblTargetStatus[[#This Row],[StateType]]="CHARACTER",
  RIGHT(tblTargetStatus[[#This Row],[TargetID]],6)=".maxed"
 ),
 0,
 _xlfn.LET(
  _xlpm.sort,
   _xlfn.XLOOKUP(
    tblTargetStatus[[#This Row],[TargetID]],
    tblChecklist[TargetID],
    tblChecklist[PlayerSort],
    0
   ),
  IF(_xlpm.sort=0,500,_xlpm.sort)
 )
)</f>
        <v>500</v>
      </c>
      <c r="S229" t="str" cm="1">
        <f t="array" ref="S22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29" t="str">
        <f>_xlfn.XLOOKUP(tblTargetStatus[[#This Row],[TargetID]],tblTargets[TargetID],tblTargets[CompletionMethod],"")</f>
        <v>PLAYER</v>
      </c>
      <c r="U229" t="b">
        <f>COUNTIF(
    tblCost[TargetID],
    tblTargetStatus[[#This Row],[TargetID]]
)&gt;0</f>
        <v>1</v>
      </c>
      <c r="V229" s="81">
        <f>IF(tblTargetStatus[[#This Row],[HasCost]]=FALSE,
"N/A",
_xlfn.XLOOKUP(
tblTargetStatus[[#This Row],[TargetID]],
tblCost[TargetID],
tblCost[FundingPercent],
""
)
)</f>
        <v>0</v>
      </c>
      <c r="W229">
        <f>IF(
COUNTIF(tblCost[TargetID],tblTargetStatus[[#This Row],[TargetID]])=0,
"",
_xlfn.XLOOKUP(
tblTargetStatus[[#This Row],[TargetID]],
tblCost[TargetID],
tblCost[RemainingRequirements],
""
)
)</f>
        <v>8</v>
      </c>
      <c r="X229" s="79" t="b">
        <f>IF(tblTargetStatus[[#This Row],[HasCost]]=FALSE,"N/A",_xlfn.XLOOKUP(
tblTargetStatus[[#This Row],[TargetID]],
tblCost[TargetID],
tblCost[TargetFunded],
TRUE
))</f>
        <v>0</v>
      </c>
      <c r="Y229" t="str" cm="1">
        <f t="array" ref="Y229">_xlfn.TEXTJOIN(
", ",
TRUE,
_xlfn._xlws.FILTER(
tblCost[ResourceID]&amp;": "&amp;tblCost[QuantityRequired],
(tblCost[TargetID]=tblTargetStatus[[#This Row],[TargetID]])*
(tblCost[PlayerPaid]=FALSE),
""
)
)</f>
        <v>coin: 5000, coin: 5000, crypto: 1250, dinar: 1250, ingot: 50, pearl: 25, ruby: 25, treasure: 50</v>
      </c>
      <c r="Z2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9" t="str" cm="1">
        <f t="array" ref="AA22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0" spans="1:27">
      <c r="A230" t="s">
        <v>2646</v>
      </c>
      <c r="B230" t="str">
        <f>_xlfn.XLOOKUP(tblTargetStatus[[#This Row],[TargetID]],tblTargets[TargetID],tblTargets[DisplayName],"")</f>
        <v>Treasury 2 Lv 1</v>
      </c>
      <c r="C230" t="str">
        <f>IF(tblTargetStatus[[#This Row],[PlayerCompleted]],"COMPLETED",IF(tblTargetStatus[[#This Row],[MissingDependencies]]=0,"READY","BLOCKED"))</f>
        <v>BLOCKED</v>
      </c>
      <c r="D2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0" t="str">
        <f>_xlfn.XLOOKUP(tblTargetStatus[[#This Row],[TargetID]],tblTargets[TargetID],tblTargets[TargetType],"")</f>
        <v>COLLECTION</v>
      </c>
      <c r="F230" t="str">
        <f>_xlfn.XLOOKUP(tblTargetStatus[[#This Row],[TargetID]],tblTargets[TargetID],tblTargets[StateType])</f>
        <v/>
      </c>
      <c r="G230">
        <f>_xlfn.LET(
_xlpm.id,tblTargetStatus[[#This Row],[TargetID]],
_xlpm.depCount,COUNTIF(tblDependencies[TargetID],_xlpm.id),
_xlpm.objCount,COUNTIF(tblQuestObjectives[QuestTargetID],_xlpm.id),
_xlpm.depCount+_xlpm.objCount
)</f>
        <v>1</v>
      </c>
      <c r="H230">
        <f>tblTargetStatus[[#This Row],[DependencyCount]]</f>
        <v>1</v>
      </c>
      <c r="I230" cm="1">
        <f t="array" ref="I2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0">
        <f>tblTargetStatus[[#This Row],[CompletedDependencyCount]]</f>
        <v>0</v>
      </c>
      <c r="K230" t="b">
        <f>tblTargetStatus[[#This Row],[CompletedDependencies]]=tblTargetStatus[[#This Row],[TotalDependencies]]</f>
        <v>0</v>
      </c>
      <c r="L230">
        <f>tblTargetStatus[[#This Row],[TotalDependencies]]-tblTargetStatus[[#This Row],[CompletedDependencies]]</f>
        <v>1</v>
      </c>
      <c r="M230" t="str" cm="1">
        <f t="array" ref="M2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citadel.treasury</v>
      </c>
      <c r="N230" t="str">
        <f>IF(tblTargetStatus[[#This Row],[FirstMissingDependencyID]]="","",_xlfn.XLOOKUP(tblTargetStatus[[#This Row],[FirstMissingDependencyID]],tblTargets[TargetID],tblTargets[DisplayName],tblTargetStatus[[#This Row],[FirstMissingDependencyID]]))</f>
        <v>Treasury</v>
      </c>
      <c r="O230" s="2" t="str" cm="1">
        <f t="array" ref="O2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ring1,3 ring2,3 ring3,3 ring4,3 ring4p</v>
      </c>
      <c r="P230" t="str">
        <f>IF(tblTargetStatus[[#This Row],[FirstMissingDependencyID]]="","",_xlfn.XLOOKUP(tblTargetStatus[[#This Row],[FirstMissingDependencyID]],tblTargetStatus[TargetID],tblTargetStatus[Status],""))</f>
        <v>BLOCKED</v>
      </c>
      <c r="Q230" t="str">
        <f>IF(
 tblTargetStatus[[#This Row],[Status]]&lt;&gt;"BLOCKED",
 tblTargetStatus[[#This Row],[Status]],
 IF(
  AND(
   tblTargetStatus[[#This Row],[MissingDependencies]]=1,
   tblTargetStatus[[#This Row],[FirstMissingStatus]]="READY"
  ),
  "ONE AWAY",
  "BLOCKED"
 )
)</f>
        <v>BLOCKED</v>
      </c>
      <c r="R230">
        <f>IF(
 OR(
  tblTargetStatus[[#This Row],[StateType]]="CHARACTER",
  RIGHT(tblTargetStatus[[#This Row],[TargetID]],6)=".maxed"
 ),
 0,
 _xlfn.LET(
  _xlpm.sort,
   _xlfn.XLOOKUP(
    tblTargetStatus[[#This Row],[TargetID]],
    tblChecklist[TargetID],
    tblChecklist[PlayerSort],
    0
   ),
  IF(_xlpm.sort=0,500,_xlpm.sort)
 )
)</f>
        <v>500</v>
      </c>
      <c r="S230" t="str" cm="1">
        <f t="array" ref="S23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Treasury 2 Lv 2</v>
      </c>
      <c r="T230" t="str">
        <f>_xlfn.XLOOKUP(tblTargetStatus[[#This Row],[TargetID]],tblTargets[TargetID],tblTargets[CompletionMethod],"")</f>
        <v>PLAYER</v>
      </c>
      <c r="U230" t="b">
        <f>COUNTIF(
    tblCost[TargetID],
    tblTargetStatus[[#This Row],[TargetID]]
)&gt;0</f>
        <v>1</v>
      </c>
      <c r="V230" s="81">
        <f>IF(tblTargetStatus[[#This Row],[HasCost]]=FALSE,
"N/A",
_xlfn.XLOOKUP(
tblTargetStatus[[#This Row],[TargetID]],
tblCost[TargetID],
tblCost[FundingPercent],
""
)
)</f>
        <v>0</v>
      </c>
      <c r="W230">
        <f>IF(
COUNTIF(tblCost[TargetID],tblTargetStatus[[#This Row],[TargetID]])=0,
"",
_xlfn.XLOOKUP(
tblTargetStatus[[#This Row],[TargetID]],
tblCost[TargetID],
tblCost[RemainingRequirements],
""
)
)</f>
        <v>5</v>
      </c>
      <c r="X230" s="79" t="b">
        <f>IF(tblTargetStatus[[#This Row],[HasCost]]=FALSE,"N/A",_xlfn.XLOOKUP(
tblTargetStatus[[#This Row],[TargetID]],
tblCost[TargetID],
tblCost[TargetFunded],
TRUE
))</f>
        <v>0</v>
      </c>
      <c r="Y230" t="str" cm="1">
        <f t="array" ref="Y230">_xlfn.TEXTJOIN(
", ",
TRUE,
_xlfn._xlws.FILTER(
tblCost[ResourceID]&amp;": "&amp;tblCost[QuantityRequired],
(tblCost[TargetID]=tblTargetStatus[[#This Row],[TargetID]])*
(tblCost[PlayerPaid]=FALSE),
""
)
)</f>
        <v>ring1: 3, ring2: 3, ring3: 3, ring4: 3, ring4p: 3</v>
      </c>
      <c r="Z2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0" t="str" cm="1">
        <f t="array" ref="AA23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1" spans="1:27">
      <c r="A231" t="s">
        <v>2647</v>
      </c>
      <c r="B231" t="str">
        <f>_xlfn.XLOOKUP(tblTargetStatus[[#This Row],[TargetID]],tblTargets[TargetID],tblTargets[DisplayName],"")</f>
        <v>Treasury 2 Lv 2</v>
      </c>
      <c r="C231" t="str">
        <f>IF(tblTargetStatus[[#This Row],[PlayerCompleted]],"COMPLETED",IF(tblTargetStatus[[#This Row],[MissingDependencies]]=0,"READY","BLOCKED"))</f>
        <v>BLOCKED</v>
      </c>
      <c r="D2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1" t="str">
        <f>_xlfn.XLOOKUP(tblTargetStatus[[#This Row],[TargetID]],tblTargets[TargetID],tblTargets[TargetType],"")</f>
        <v>COLLECTION</v>
      </c>
      <c r="F231" t="str">
        <f>_xlfn.XLOOKUP(tblTargetStatus[[#This Row],[TargetID]],tblTargets[TargetID],tblTargets[StateType])</f>
        <v/>
      </c>
      <c r="G231">
        <f>_xlfn.LET(
_xlpm.id,tblTargetStatus[[#This Row],[TargetID]],
_xlpm.depCount,COUNTIF(tblDependencies[TargetID],_xlpm.id),
_xlpm.objCount,COUNTIF(tblQuestObjectives[QuestTargetID],_xlpm.id),
_xlpm.depCount+_xlpm.objCount
)</f>
        <v>1</v>
      </c>
      <c r="H231">
        <f>tblTargetStatus[[#This Row],[DependencyCount]]</f>
        <v>1</v>
      </c>
      <c r="I231" cm="1">
        <f t="array" ref="I2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1">
        <f>tblTargetStatus[[#This Row],[CompletedDependencyCount]]</f>
        <v>0</v>
      </c>
      <c r="K231" t="b">
        <f>tblTargetStatus[[#This Row],[CompletedDependencies]]=tblTargetStatus[[#This Row],[TotalDependencies]]</f>
        <v>0</v>
      </c>
      <c r="L231">
        <f>tblTargetStatus[[#This Row],[TotalDependencies]]-tblTargetStatus[[#This Row],[CompletedDependencies]]</f>
        <v>1</v>
      </c>
      <c r="M231" t="str" cm="1">
        <f t="array" ref="M2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collection.treasury_2@1</v>
      </c>
      <c r="N231" t="str">
        <f>IF(tblTargetStatus[[#This Row],[FirstMissingDependencyID]]="","",_xlfn.XLOOKUP(tblTargetStatus[[#This Row],[FirstMissingDependencyID]],tblTargets[TargetID],tblTargets[DisplayName],tblTargetStatus[[#This Row],[FirstMissingDependencyID]]))</f>
        <v>Treasury 2 Lv 1</v>
      </c>
      <c r="O231" t="str" cm="1">
        <f t="array" ref="O2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ring1,6 ring2,6 ring3,6 ring4,6 ring4p</v>
      </c>
      <c r="P231" t="str">
        <f>IF(tblTargetStatus[[#This Row],[FirstMissingDependencyID]]="","",_xlfn.XLOOKUP(tblTargetStatus[[#This Row],[FirstMissingDependencyID]],tblTargetStatus[TargetID],tblTargetStatus[Status],""))</f>
        <v>BLOCKED</v>
      </c>
      <c r="Q231" t="str">
        <f>IF(
 tblTargetStatus[[#This Row],[Status]]&lt;&gt;"BLOCKED",
 tblTargetStatus[[#This Row],[Status]],
 IF(
  AND(
   tblTargetStatus[[#This Row],[MissingDependencies]]=1,
   tblTargetStatus[[#This Row],[FirstMissingStatus]]="READY"
  ),
  "ONE AWAY",
  "BLOCKED"
 )
)</f>
        <v>BLOCKED</v>
      </c>
      <c r="R231">
        <f>IF(
 OR(
  tblTargetStatus[[#This Row],[StateType]]="CHARACTER",
  RIGHT(tblTargetStatus[[#This Row],[TargetID]],6)=".maxed"
 ),
 0,
 _xlfn.LET(
  _xlpm.sort,
   _xlfn.XLOOKUP(
    tblTargetStatus[[#This Row],[TargetID]],
    tblChecklist[TargetID],
    tblChecklist[PlayerSort],
    0
   ),
  IF(_xlpm.sort=0,500,_xlpm.sort)
 )
)</f>
        <v>500</v>
      </c>
      <c r="S231" t="str" cm="1">
        <f t="array" ref="S23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Treasury 2 Lv 3</v>
      </c>
      <c r="T231" t="str">
        <f>_xlfn.XLOOKUP(tblTargetStatus[[#This Row],[TargetID]],tblTargets[TargetID],tblTargets[CompletionMethod],"")</f>
        <v>PLAYER</v>
      </c>
      <c r="U231" t="b">
        <f>COUNTIF(
    tblCost[TargetID],
    tblTargetStatus[[#This Row],[TargetID]]
)&gt;0</f>
        <v>1</v>
      </c>
      <c r="V231" s="81">
        <f>IF(tblTargetStatus[[#This Row],[HasCost]]=FALSE,
"N/A",
_xlfn.XLOOKUP(
tblTargetStatus[[#This Row],[TargetID]],
tblCost[TargetID],
tblCost[FundingPercent],
""
)
)</f>
        <v>0</v>
      </c>
      <c r="W231">
        <f>IF(
COUNTIF(tblCost[TargetID],tblTargetStatus[[#This Row],[TargetID]])=0,
"",
_xlfn.XLOOKUP(
tblTargetStatus[[#This Row],[TargetID]],
tblCost[TargetID],
tblCost[RemainingRequirements],
""
)
)</f>
        <v>5</v>
      </c>
      <c r="X231" s="79" t="b">
        <f>IF(tblTargetStatus[[#This Row],[HasCost]]=FALSE,"N/A",_xlfn.XLOOKUP(
tblTargetStatus[[#This Row],[TargetID]],
tblCost[TargetID],
tblCost[TargetFunded],
TRUE
))</f>
        <v>0</v>
      </c>
      <c r="Y231" t="str" cm="1">
        <f t="array" ref="Y231">_xlfn.TEXTJOIN(
", ",
TRUE,
_xlfn._xlws.FILTER(
tblCost[ResourceID]&amp;": "&amp;tblCost[QuantityRequired],
(tblCost[TargetID]=tblTargetStatus[[#This Row],[TargetID]])*
(tblCost[PlayerPaid]=FALSE),
""
)
)</f>
        <v>ring1: 6, ring2: 6, ring3: 6, ring4: 6, ring4p: 6</v>
      </c>
      <c r="Z2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1" t="str" cm="1">
        <f t="array" ref="AA23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2" spans="1:27">
      <c r="A232" t="s">
        <v>2648</v>
      </c>
      <c r="B232" t="str">
        <f>_xlfn.XLOOKUP(tblTargetStatus[[#This Row],[TargetID]],tblTargets[TargetID],tblTargets[DisplayName],"")</f>
        <v>Treasury 2 Lv 3</v>
      </c>
      <c r="C232" t="str">
        <f>IF(tblTargetStatus[[#This Row],[PlayerCompleted]],"COMPLETED",IF(tblTargetStatus[[#This Row],[MissingDependencies]]=0,"READY","BLOCKED"))</f>
        <v>BLOCKED</v>
      </c>
      <c r="D2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2" t="str">
        <f>_xlfn.XLOOKUP(tblTargetStatus[[#This Row],[TargetID]],tblTargets[TargetID],tblTargets[TargetType],"")</f>
        <v>COLLECTION</v>
      </c>
      <c r="F232" t="str">
        <f>_xlfn.XLOOKUP(tblTargetStatus[[#This Row],[TargetID]],tblTargets[TargetID],tblTargets[StateType])</f>
        <v/>
      </c>
      <c r="G232">
        <f>_xlfn.LET(
_xlpm.id,tblTargetStatus[[#This Row],[TargetID]],
_xlpm.depCount,COUNTIF(tblDependencies[TargetID],_xlpm.id),
_xlpm.objCount,COUNTIF(tblQuestObjectives[QuestTargetID],_xlpm.id),
_xlpm.depCount+_xlpm.objCount
)</f>
        <v>1</v>
      </c>
      <c r="H232">
        <f>tblTargetStatus[[#This Row],[DependencyCount]]</f>
        <v>1</v>
      </c>
      <c r="I232" cm="1">
        <f t="array" ref="I2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2">
        <f>tblTargetStatus[[#This Row],[CompletedDependencyCount]]</f>
        <v>0</v>
      </c>
      <c r="K232" t="b">
        <f>tblTargetStatus[[#This Row],[CompletedDependencies]]=tblTargetStatus[[#This Row],[TotalDependencies]]</f>
        <v>0</v>
      </c>
      <c r="L232">
        <f>tblTargetStatus[[#This Row],[TotalDependencies]]-tblTargetStatus[[#This Row],[CompletedDependencies]]</f>
        <v>1</v>
      </c>
      <c r="M232" t="str" cm="1">
        <f t="array" ref="M2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collection.treasury_2@2</v>
      </c>
      <c r="N232" t="str">
        <f>IF(tblTargetStatus[[#This Row],[FirstMissingDependencyID]]="","",_xlfn.XLOOKUP(tblTargetStatus[[#This Row],[FirstMissingDependencyID]],tblTargets[TargetID],tblTargets[DisplayName],tblTargetStatus[[#This Row],[FirstMissingDependencyID]]))</f>
        <v>Treasury 2 Lv 2</v>
      </c>
      <c r="O232" t="str" cm="1">
        <f t="array" ref="O2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ring1,9 ring2,9 ring3,9 ring4,9 ring4p</v>
      </c>
      <c r="P232" t="str">
        <f>IF(tblTargetStatus[[#This Row],[FirstMissingDependencyID]]="","",_xlfn.XLOOKUP(tblTargetStatus[[#This Row],[FirstMissingDependencyID]],tblTargetStatus[TargetID],tblTargetStatus[Status],""))</f>
        <v>BLOCKED</v>
      </c>
      <c r="Q232" t="str">
        <f>IF(
 tblTargetStatus[[#This Row],[Status]]&lt;&gt;"BLOCKED",
 tblTargetStatus[[#This Row],[Status]],
 IF(
  AND(
   tblTargetStatus[[#This Row],[MissingDependencies]]=1,
   tblTargetStatus[[#This Row],[FirstMissingStatus]]="READY"
  ),
  "ONE AWAY",
  "BLOCKED"
 )
)</f>
        <v>BLOCKED</v>
      </c>
      <c r="R232">
        <f>IF(
 OR(
  tblTargetStatus[[#This Row],[StateType]]="CHARACTER",
  RIGHT(tblTargetStatus[[#This Row],[TargetID]],6)=".maxed"
 ),
 0,
 _xlfn.LET(
  _xlpm.sort,
   _xlfn.XLOOKUP(
    tblTargetStatus[[#This Row],[TargetID]],
    tblChecklist[TargetID],
    tblChecklist[PlayerSort],
    0
   ),
  IF(_xlpm.sort=0,500,_xlpm.sort)
 )
)</f>
        <v>500</v>
      </c>
      <c r="S232" t="str" cm="1">
        <f t="array" ref="S23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32" t="str">
        <f>_xlfn.XLOOKUP(tblTargetStatus[[#This Row],[TargetID]],tblTargets[TargetID],tblTargets[CompletionMethod],"")</f>
        <v>PLAYER</v>
      </c>
      <c r="U232" t="b">
        <f>COUNTIF(
    tblCost[TargetID],
    tblTargetStatus[[#This Row],[TargetID]]
)&gt;0</f>
        <v>1</v>
      </c>
      <c r="V232" s="81">
        <f>IF(tblTargetStatus[[#This Row],[HasCost]]=FALSE,
"N/A",
_xlfn.XLOOKUP(
tblTargetStatus[[#This Row],[TargetID]],
tblCost[TargetID],
tblCost[FundingPercent],
""
)
)</f>
        <v>0</v>
      </c>
      <c r="W232">
        <f>IF(
COUNTIF(tblCost[TargetID],tblTargetStatus[[#This Row],[TargetID]])=0,
"",
_xlfn.XLOOKUP(
tblTargetStatus[[#This Row],[TargetID]],
tblCost[TargetID],
tblCost[RemainingRequirements],
""
)
)</f>
        <v>5</v>
      </c>
      <c r="X232" s="79" t="b">
        <f>IF(tblTargetStatus[[#This Row],[HasCost]]=FALSE,"N/A",_xlfn.XLOOKUP(
tblTargetStatus[[#This Row],[TargetID]],
tblCost[TargetID],
tblCost[TargetFunded],
TRUE
))</f>
        <v>0</v>
      </c>
      <c r="Y232" t="str" cm="1">
        <f t="array" ref="Y232">_xlfn.TEXTJOIN(
", ",
TRUE,
_xlfn._xlws.FILTER(
tblCost[ResourceID]&amp;": "&amp;tblCost[QuantityRequired],
(tblCost[TargetID]=tblTargetStatus[[#This Row],[TargetID]])*
(tblCost[PlayerPaid]=FALSE),
""
)
)</f>
        <v>ring1: 9, ring2: 9, ring3: 9, ring4: 9, ring4p: 9</v>
      </c>
      <c r="Z2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2" t="str" cm="1">
        <f t="array" ref="AA23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3" spans="1:27">
      <c r="A233" t="s">
        <v>2649</v>
      </c>
      <c r="B233" t="str">
        <f>_xlfn.XLOOKUP(tblTargetStatus[[#This Row],[TargetID]],tblTargets[TargetID],tblTargets[DisplayName],"")</f>
        <v>Treasury 3 Lv 1</v>
      </c>
      <c r="C233" t="str">
        <f>IF(tblTargetStatus[[#This Row],[PlayerCompleted]],"COMPLETED",IF(tblTargetStatus[[#This Row],[MissingDependencies]]=0,"READY","BLOCKED"))</f>
        <v>BLOCKED</v>
      </c>
      <c r="D2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3" t="str">
        <f>_xlfn.XLOOKUP(tblTargetStatus[[#This Row],[TargetID]],tblTargets[TargetID],tblTargets[TargetType],"")</f>
        <v>COLLECTION</v>
      </c>
      <c r="F233" t="str">
        <f>_xlfn.XLOOKUP(tblTargetStatus[[#This Row],[TargetID]],tblTargets[TargetID],tblTargets[StateType])</f>
        <v/>
      </c>
      <c r="G233">
        <f>_xlfn.LET(
_xlpm.id,tblTargetStatus[[#This Row],[TargetID]],
_xlpm.depCount,COUNTIF(tblDependencies[TargetID],_xlpm.id),
_xlpm.objCount,COUNTIF(tblQuestObjectives[QuestTargetID],_xlpm.id),
_xlpm.depCount+_xlpm.objCount
)</f>
        <v>2</v>
      </c>
      <c r="H233">
        <f>tblTargetStatus[[#This Row],[DependencyCount]]</f>
        <v>2</v>
      </c>
      <c r="I233" cm="1">
        <f t="array" ref="I2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3">
        <f>tblTargetStatus[[#This Row],[CompletedDependencyCount]]</f>
        <v>0</v>
      </c>
      <c r="K233" t="b">
        <f>tblTargetStatus[[#This Row],[CompletedDependencies]]=tblTargetStatus[[#This Row],[TotalDependencies]]</f>
        <v>0</v>
      </c>
      <c r="L233">
        <f>tblTargetStatus[[#This Row],[TotalDependencies]]-tblTargetStatus[[#This Row],[CompletedDependencies]]</f>
        <v>2</v>
      </c>
      <c r="M233" t="str" cm="1">
        <f t="array" ref="M2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citadel.treasury</v>
      </c>
      <c r="N233" t="str">
        <f>IF(tblTargetStatus[[#This Row],[FirstMissingDependencyID]]="","",_xlfn.XLOOKUP(tblTargetStatus[[#This Row],[FirstMissingDependencyID]],tblTargets[TargetID],tblTargets[DisplayName],tblTargetStatus[[#This Row],[FirstMissingDependencyID]]))</f>
        <v>Treasury</v>
      </c>
      <c r="O233" t="str" cm="1">
        <f t="array" ref="O2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diamond,1 gegg,1 gegg.2,1 pog,1 reddiamond</v>
      </c>
      <c r="P233" t="str">
        <f>IF(tblTargetStatus[[#This Row],[FirstMissingDependencyID]]="","",_xlfn.XLOOKUP(tblTargetStatus[[#This Row],[FirstMissingDependencyID]],tblTargetStatus[TargetID],tblTargetStatus[Status],""))</f>
        <v>BLOCKED</v>
      </c>
      <c r="Q233" t="str">
        <f>IF(
 tblTargetStatus[[#This Row],[Status]]&lt;&gt;"BLOCKED",
 tblTargetStatus[[#This Row],[Status]],
 IF(
  AND(
   tblTargetStatus[[#This Row],[MissingDependencies]]=1,
   tblTargetStatus[[#This Row],[FirstMissingStatus]]="READY"
  ),
  "ONE AWAY",
  "BLOCKED"
 )
)</f>
        <v>BLOCKED</v>
      </c>
      <c r="R233">
        <f>IF(
 OR(
  tblTargetStatus[[#This Row],[StateType]]="CHARACTER",
  RIGHT(tblTargetStatus[[#This Row],[TargetID]],6)=".maxed"
 ),
 0,
 _xlfn.LET(
  _xlpm.sort,
   _xlfn.XLOOKUP(
    tblTargetStatus[[#This Row],[TargetID]],
    tblChecklist[TargetID],
    tblChecklist[PlayerSort],
    0
   ),
  IF(_xlpm.sort=0,500,_xlpm.sort)
 )
)</f>
        <v>500</v>
      </c>
      <c r="S233" t="str" cm="1">
        <f t="array" ref="S23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33" t="str">
        <f>_xlfn.XLOOKUP(tblTargetStatus[[#This Row],[TargetID]],tblTargets[TargetID],tblTargets[CompletionMethod],"")</f>
        <v>PLAYER</v>
      </c>
      <c r="U233" t="b">
        <f>COUNTIF(
    tblCost[TargetID],
    tblTargetStatus[[#This Row],[TargetID]]
)&gt;0</f>
        <v>1</v>
      </c>
      <c r="V233" s="81">
        <f>IF(tblTargetStatus[[#This Row],[HasCost]]=FALSE,
"N/A",
_xlfn.XLOOKUP(
tblTargetStatus[[#This Row],[TargetID]],
tblCost[TargetID],
tblCost[FundingPercent],
""
)
)</f>
        <v>0</v>
      </c>
      <c r="W233">
        <f>IF(
COUNTIF(tblCost[TargetID],tblTargetStatus[[#This Row],[TargetID]])=0,
"",
_xlfn.XLOOKUP(
tblTargetStatus[[#This Row],[TargetID]],
tblCost[TargetID],
tblCost[RemainingRequirements],
""
)
)</f>
        <v>5</v>
      </c>
      <c r="X233" s="79" t="b">
        <f>IF(tblTargetStatus[[#This Row],[HasCost]]=FALSE,"N/A",_xlfn.XLOOKUP(
tblTargetStatus[[#This Row],[TargetID]],
tblCost[TargetID],
tblCost[TargetFunded],
TRUE
))</f>
        <v>0</v>
      </c>
      <c r="Y233" t="str" cm="1">
        <f t="array" ref="Y233">_xlfn.TEXTJOIN(
", ",
TRUE,
_xlfn._xlws.FILTER(
tblCost[ResourceID]&amp;": "&amp;tblCost[QuantityRequired],
(tblCost[TargetID]=tblTargetStatus[[#This Row],[TargetID]])*
(tblCost[PlayerPaid]=FALSE),
""
)
)</f>
        <v>diamond: 3, gegg: 1, gegg: 1, pog: 1, reddiamond: 1</v>
      </c>
      <c r="Z2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3" t="str" cm="1">
        <f t="array" ref="AA23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4" spans="1:27" ht="29">
      <c r="A234" t="s">
        <v>2650</v>
      </c>
      <c r="B234" t="str">
        <f>_xlfn.XLOOKUP(tblTargetStatus[[#This Row],[TargetID]],tblTargets[TargetID],tblTargets[DisplayName],"")</f>
        <v>Astrolabe</v>
      </c>
      <c r="C234" t="str">
        <f>IF(tblTargetStatus[[#This Row],[PlayerCompleted]],"COMPLETED",IF(tblTargetStatus[[#This Row],[MissingDependencies]]=0,"READY","BLOCKED"))</f>
        <v>BLOCKED</v>
      </c>
      <c r="D2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4" t="str">
        <f>_xlfn.XLOOKUP(tblTargetStatus[[#This Row],[TargetID]],tblTargets[TargetID],tblTargets[TargetType],"")</f>
        <v>CRAFTIFACT</v>
      </c>
      <c r="F234" t="str">
        <f>_xlfn.XLOOKUP(tblTargetStatus[[#This Row],[TargetID]],tblTargets[TargetID],tblTargets[StateType])</f>
        <v/>
      </c>
      <c r="G234">
        <f>_xlfn.LET(
_xlpm.id,tblTargetStatus[[#This Row],[TargetID]],
_xlpm.depCount,COUNTIF(tblDependencies[TargetID],_xlpm.id),
_xlpm.objCount,COUNTIF(tblQuestObjectives[QuestTargetID],_xlpm.id),
_xlpm.depCount+_xlpm.objCount
)</f>
        <v>2</v>
      </c>
      <c r="H234">
        <f>tblTargetStatus[[#This Row],[DependencyCount]]</f>
        <v>2</v>
      </c>
      <c r="I234" cm="1">
        <f t="array" ref="I2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4">
        <f>tblTargetStatus[[#This Row],[CompletedDependencyCount]]</f>
        <v>0</v>
      </c>
      <c r="K234" t="b">
        <f>tblTargetStatus[[#This Row],[CompletedDependencies]]=tblTargetStatus[[#This Row],[TotalDependencies]]</f>
        <v>0</v>
      </c>
      <c r="L234">
        <f>tblTargetStatus[[#This Row],[TotalDependencies]]-tblTargetStatus[[#This Row],[CompletedDependencies]]</f>
        <v>2</v>
      </c>
      <c r="M234" t="str" cm="1">
        <f t="array" ref="M2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building.ship@4</v>
      </c>
      <c r="N234" t="str">
        <f>IF(tblTargetStatus[[#This Row],[FirstMissingDependencyID]]="","",_xlfn.XLOOKUP(tblTargetStatus[[#This Row],[FirstMissingDependencyID]],tblTargets[TargetID],tblTargets[DisplayName],tblTargetStatus[[#This Row],[FirstMissingDependencyID]]))</f>
        <v>Ship Lv 4</v>
      </c>
      <c r="O234" s="2" t="str" cm="1">
        <f t="array" ref="O2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blueprint,1000 coin,10 mechanism,40 page,10 ruby</v>
      </c>
      <c r="P234" t="str">
        <f>IF(tblTargetStatus[[#This Row],[FirstMissingDependencyID]]="","",_xlfn.XLOOKUP(tblTargetStatus[[#This Row],[FirstMissingDependencyID]],tblTargetStatus[TargetID],tblTargetStatus[Status],""))</f>
        <v>BLOCKED</v>
      </c>
      <c r="Q234" t="str">
        <f>IF(
 tblTargetStatus[[#This Row],[Status]]&lt;&gt;"BLOCKED",
 tblTargetStatus[[#This Row],[Status]],
 IF(
  AND(
   tblTargetStatus[[#This Row],[MissingDependencies]]=1,
   tblTargetStatus[[#This Row],[FirstMissingStatus]]="READY"
  ),
  "ONE AWAY",
  "BLOCKED"
 )
)</f>
        <v>BLOCKED</v>
      </c>
      <c r="R234">
        <f>IF(
 OR(
  tblTargetStatus[[#This Row],[StateType]]="CHARACTER",
  RIGHT(tblTargetStatus[[#This Row],[TargetID]],6)=".maxed"
 ),
 0,
 _xlfn.LET(
  _xlpm.sort,
   _xlfn.XLOOKUP(
    tblTargetStatus[[#This Row],[TargetID]],
    tblChecklist[TargetID],
    tblChecklist[PlayerSort],
    0
   ),
  IF(_xlpm.sort=0,500,_xlpm.sort)
 )
)</f>
        <v>500</v>
      </c>
      <c r="S234" t="str" cm="1">
        <f t="array" ref="S23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34" t="str">
        <f>_xlfn.XLOOKUP(tblTargetStatus[[#This Row],[TargetID]],tblTargets[TargetID],tblTargets[CompletionMethod],"")</f>
        <v>PLAYER</v>
      </c>
      <c r="U234" t="b">
        <f>COUNTIF(
    tblCost[TargetID],
    tblTargetStatus[[#This Row],[TargetID]]
)&gt;0</f>
        <v>1</v>
      </c>
      <c r="V234" s="81">
        <f>IF(tblTargetStatus[[#This Row],[HasCost]]=FALSE,
"N/A",
_xlfn.XLOOKUP(
tblTargetStatus[[#This Row],[TargetID]],
tblCost[TargetID],
tblCost[FundingPercent],
""
)
)</f>
        <v>0</v>
      </c>
      <c r="W234">
        <f>IF(
COUNTIF(tblCost[TargetID],tblTargetStatus[[#This Row],[TargetID]])=0,
"",
_xlfn.XLOOKUP(
tblTargetStatus[[#This Row],[TargetID]],
tblCost[TargetID],
tblCost[RemainingRequirements],
""
)
)</f>
        <v>5</v>
      </c>
      <c r="X234" s="79" t="b">
        <f>IF(tblTargetStatus[[#This Row],[HasCost]]=FALSE,"N/A",_xlfn.XLOOKUP(
tblTargetStatus[[#This Row],[TargetID]],
tblCost[TargetID],
tblCost[TargetFunded],
TRUE
))</f>
        <v>0</v>
      </c>
      <c r="Y234" t="str" cm="1">
        <f t="array" ref="Y234">_xlfn.TEXTJOIN(
", ",
TRUE,
_xlfn._xlws.FILTER(
tblCost[ResourceID]&amp;": "&amp;tblCost[QuantityRequired],
(tblCost[TargetID]=tblTargetStatus[[#This Row],[TargetID]])*
(tblCost[PlayerPaid]=FALSE),
""
)
)</f>
        <v>blueprint: 15, coin: 1000, mechanism: 10, page: 40, ruby: 10</v>
      </c>
      <c r="Z2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4" t="str" cm="1">
        <f t="array" ref="AA23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5" spans="1:27">
      <c r="A235" t="s">
        <v>2652</v>
      </c>
      <c r="B235" t="str">
        <f>_xlfn.XLOOKUP(tblTargetStatus[[#This Row],[TargetID]],tblTargets[TargetID],tblTargets[DisplayName],"")</f>
        <v>Barometer</v>
      </c>
      <c r="C235" t="str">
        <f>IF(tblTargetStatus[[#This Row],[PlayerCompleted]],"COMPLETED",IF(tblTargetStatus[[#This Row],[MissingDependencies]]=0,"READY","BLOCKED"))</f>
        <v>BLOCKED</v>
      </c>
      <c r="D2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5" t="str">
        <f>_xlfn.XLOOKUP(tblTargetStatus[[#This Row],[TargetID]],tblTargets[TargetID],tblTargets[TargetType],"")</f>
        <v>CRAFTIFACT</v>
      </c>
      <c r="F235" t="str">
        <f>_xlfn.XLOOKUP(tblTargetStatus[[#This Row],[TargetID]],tblTargets[TargetID],tblTargets[StateType])</f>
        <v/>
      </c>
      <c r="G235">
        <f>_xlfn.LET(
_xlpm.id,tblTargetStatus[[#This Row],[TargetID]],
_xlpm.depCount,COUNTIF(tblDependencies[TargetID],_xlpm.id),
_xlpm.objCount,COUNTIF(tblQuestObjectives[QuestTargetID],_xlpm.id),
_xlpm.depCount+_xlpm.objCount
)</f>
        <v>2</v>
      </c>
      <c r="H235">
        <f>tblTargetStatus[[#This Row],[DependencyCount]]</f>
        <v>2</v>
      </c>
      <c r="I235" cm="1">
        <f t="array" ref="I2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5">
        <f>tblTargetStatus[[#This Row],[CompletedDependencyCount]]</f>
        <v>0</v>
      </c>
      <c r="K235" t="b">
        <f>tblTargetStatus[[#This Row],[CompletedDependencies]]=tblTargetStatus[[#This Row],[TotalDependencies]]</f>
        <v>0</v>
      </c>
      <c r="L235">
        <f>tblTargetStatus[[#This Row],[TotalDependencies]]-tblTargetStatus[[#This Row],[CompletedDependencies]]</f>
        <v>2</v>
      </c>
      <c r="M235" t="str" cm="1">
        <f t="array" ref="M2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35" t="str">
        <f>IF(tblTargetStatus[[#This Row],[FirstMissingDependencyID]]="","",_xlfn.XLOOKUP(tblTargetStatus[[#This Row],[FirstMissingDependencyID]],tblTargets[TargetID],tblTargets[DisplayName],tblTargetStatus[[#This Row],[FirstMissingDependencyID]]))</f>
        <v>Workshop Lv 5</v>
      </c>
      <c r="O235" t="str" cm="1">
        <f t="array" ref="O2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blueprint,1000 coin,20 glass,25 mercury,20 paper</v>
      </c>
      <c r="P235" t="str">
        <f>IF(tblTargetStatus[[#This Row],[FirstMissingDependencyID]]="","",_xlfn.XLOOKUP(tblTargetStatus[[#This Row],[FirstMissingDependencyID]],tblTargetStatus[TargetID],tblTargetStatus[Status],""))</f>
        <v>BLOCKED</v>
      </c>
      <c r="Q235" t="str">
        <f>IF(
 tblTargetStatus[[#This Row],[Status]]&lt;&gt;"BLOCKED",
 tblTargetStatus[[#This Row],[Status]],
 IF(
  AND(
   tblTargetStatus[[#This Row],[MissingDependencies]]=1,
   tblTargetStatus[[#This Row],[FirstMissingStatus]]="READY"
  ),
  "ONE AWAY",
  "BLOCKED"
 )
)</f>
        <v>BLOCKED</v>
      </c>
      <c r="R235">
        <f>IF(
 OR(
  tblTargetStatus[[#This Row],[StateType]]="CHARACTER",
  RIGHT(tblTargetStatus[[#This Row],[TargetID]],6)=".maxed"
 ),
 0,
 _xlfn.LET(
  _xlpm.sort,
   _xlfn.XLOOKUP(
    tblTargetStatus[[#This Row],[TargetID]],
    tblChecklist[TargetID],
    tblChecklist[PlayerSort],
    0
   ),
  IF(_xlpm.sort=0,500,_xlpm.sort)
 )
)</f>
        <v>500</v>
      </c>
      <c r="S235" t="str" cm="1">
        <f t="array" ref="S23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35" t="str">
        <f>_xlfn.XLOOKUP(tblTargetStatus[[#This Row],[TargetID]],tblTargets[TargetID],tblTargets[CompletionMethod],"")</f>
        <v>PLAYER</v>
      </c>
      <c r="U235" t="b">
        <f>COUNTIF(
    tblCost[TargetID],
    tblTargetStatus[[#This Row],[TargetID]]
)&gt;0</f>
        <v>1</v>
      </c>
      <c r="V235" s="81">
        <f>IF(tblTargetStatus[[#This Row],[HasCost]]=FALSE,
"N/A",
_xlfn.XLOOKUP(
tblTargetStatus[[#This Row],[TargetID]],
tblCost[TargetID],
tblCost[FundingPercent],
""
)
)</f>
        <v>0</v>
      </c>
      <c r="W235">
        <f>IF(
COUNTIF(tblCost[TargetID],tblTargetStatus[[#This Row],[TargetID]])=0,
"",
_xlfn.XLOOKUP(
tblTargetStatus[[#This Row],[TargetID]],
tblCost[TargetID],
tblCost[RemainingRequirements],
""
)
)</f>
        <v>5</v>
      </c>
      <c r="X235" s="79" t="b">
        <f>IF(tblTargetStatus[[#This Row],[HasCost]]=FALSE,"N/A",_xlfn.XLOOKUP(
tblTargetStatus[[#This Row],[TargetID]],
tblCost[TargetID],
tblCost[TargetFunded],
TRUE
))</f>
        <v>0</v>
      </c>
      <c r="Y235" t="str" cm="1">
        <f t="array" ref="Y235">_xlfn.TEXTJOIN(
", ",
TRUE,
_xlfn._xlws.FILTER(
tblCost[ResourceID]&amp;": "&amp;tblCost[QuantityRequired],
(tblCost[TargetID]=tblTargetStatus[[#This Row],[TargetID]])*
(tblCost[PlayerPaid]=FALSE),
""
)
)</f>
        <v>blueprint: 40, coin: 1000, glass: 20, mercury: 25, paper: 20</v>
      </c>
      <c r="Z2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5" t="str" cm="1">
        <f t="array" ref="AA23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6" spans="1:27" ht="29">
      <c r="A236" t="s">
        <v>2653</v>
      </c>
      <c r="B236" t="str">
        <f>_xlfn.XLOOKUP(tblTargetStatus[[#This Row],[TargetID]],tblTargets[TargetID],tblTargets[DisplayName],"")</f>
        <v>Cinema Projector</v>
      </c>
      <c r="C236" t="str">
        <f>IF(tblTargetStatus[[#This Row],[PlayerCompleted]],"COMPLETED",IF(tblTargetStatus[[#This Row],[MissingDependencies]]=0,"READY","BLOCKED"))</f>
        <v>BLOCKED</v>
      </c>
      <c r="D2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6" t="str">
        <f>_xlfn.XLOOKUP(tblTargetStatus[[#This Row],[TargetID]],tblTargets[TargetID],tblTargets[TargetType],"")</f>
        <v>CRAFTIFACT</v>
      </c>
      <c r="F236" t="str">
        <f>_xlfn.XLOOKUP(tblTargetStatus[[#This Row],[TargetID]],tblTargets[TargetID],tblTargets[StateType])</f>
        <v/>
      </c>
      <c r="G236">
        <f>_xlfn.LET(
_xlpm.id,tblTargetStatus[[#This Row],[TargetID]],
_xlpm.depCount,COUNTIF(tblDependencies[TargetID],_xlpm.id),
_xlpm.objCount,COUNTIF(tblQuestObjectives[QuestTargetID],_xlpm.id),
_xlpm.depCount+_xlpm.objCount
)</f>
        <v>2</v>
      </c>
      <c r="H236">
        <f>tblTargetStatus[[#This Row],[DependencyCount]]</f>
        <v>2</v>
      </c>
      <c r="I236" cm="1">
        <f t="array" ref="I2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6">
        <f>tblTargetStatus[[#This Row],[CompletedDependencyCount]]</f>
        <v>0</v>
      </c>
      <c r="K236" t="b">
        <f>tblTargetStatus[[#This Row],[CompletedDependencies]]=tblTargetStatus[[#This Row],[TotalDependencies]]</f>
        <v>0</v>
      </c>
      <c r="L236">
        <f>tblTargetStatus[[#This Row],[TotalDependencies]]-tblTargetStatus[[#This Row],[CompletedDependencies]]</f>
        <v>2</v>
      </c>
      <c r="M236" t="str" cm="1">
        <f t="array" ref="M2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36" t="str">
        <f>IF(tblTargetStatus[[#This Row],[FirstMissingDependencyID]]="","",_xlfn.XLOOKUP(tblTargetStatus[[#This Row],[FirstMissingDependencyID]],tblTargets[TargetID],tblTargets[DisplayName],tblTargetStatus[[#This Row],[FirstMissingDependencyID]]))</f>
        <v>Workshop Lv 5</v>
      </c>
      <c r="O236" s="2" t="str" cm="1">
        <f t="array" ref="O2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80 blueprint,10 catalyst,30 chemicals,30 glass,30 mechanism,30 reagent,10 silk</v>
      </c>
      <c r="P236" t="str">
        <f>IF(tblTargetStatus[[#This Row],[FirstMissingDependencyID]]="","",_xlfn.XLOOKUP(tblTargetStatus[[#This Row],[FirstMissingDependencyID]],tblTargetStatus[TargetID],tblTargetStatus[Status],""))</f>
        <v>BLOCKED</v>
      </c>
      <c r="Q236" t="str">
        <f>IF(
 tblTargetStatus[[#This Row],[Status]]&lt;&gt;"BLOCKED",
 tblTargetStatus[[#This Row],[Status]],
 IF(
  AND(
   tblTargetStatus[[#This Row],[MissingDependencies]]=1,
   tblTargetStatus[[#This Row],[FirstMissingStatus]]="READY"
  ),
  "ONE AWAY",
  "BLOCKED"
 )
)</f>
        <v>BLOCKED</v>
      </c>
      <c r="R236">
        <f>IF(
 OR(
  tblTargetStatus[[#This Row],[StateType]]="CHARACTER",
  RIGHT(tblTargetStatus[[#This Row],[TargetID]],6)=".maxed"
 ),
 0,
 _xlfn.LET(
  _xlpm.sort,
   _xlfn.XLOOKUP(
    tblTargetStatus[[#This Row],[TargetID]],
    tblChecklist[TargetID],
    tblChecklist[PlayerSort],
    0
   ),
  IF(_xlpm.sort=0,500,_xlpm.sort)
 )
)</f>
        <v>500</v>
      </c>
      <c r="S236" t="str" cm="1">
        <f t="array" ref="S23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36" t="str">
        <f>_xlfn.XLOOKUP(tblTargetStatus[[#This Row],[TargetID]],tblTargets[TargetID],tblTargets[CompletionMethod],"")</f>
        <v>PLAYER</v>
      </c>
      <c r="U236" t="b">
        <f>COUNTIF(
    tblCost[TargetID],
    tblTargetStatus[[#This Row],[TargetID]]
)&gt;0</f>
        <v>1</v>
      </c>
      <c r="V236" s="81">
        <f>IF(tblTargetStatus[[#This Row],[HasCost]]=FALSE,
"N/A",
_xlfn.XLOOKUP(
tblTargetStatus[[#This Row],[TargetID]],
tblCost[TargetID],
tblCost[FundingPercent],
""
)
)</f>
        <v>0</v>
      </c>
      <c r="W236">
        <f>IF(
COUNTIF(tblCost[TargetID],tblTargetStatus[[#This Row],[TargetID]])=0,
"",
_xlfn.XLOOKUP(
tblTargetStatus[[#This Row],[TargetID]],
tblCost[TargetID],
tblCost[RemainingRequirements],
""
)
)</f>
        <v>7</v>
      </c>
      <c r="X236" s="79" t="b">
        <f>IF(tblTargetStatus[[#This Row],[HasCost]]=FALSE,"N/A",_xlfn.XLOOKUP(
tblTargetStatus[[#This Row],[TargetID]],
tblCost[TargetID],
tblCost[TargetFunded],
TRUE
))</f>
        <v>0</v>
      </c>
      <c r="Y236" t="str" cm="1">
        <f t="array" ref="Y236">_xlfn.TEXTJOIN(
", ",
TRUE,
_xlfn._xlws.FILTER(
tblCost[ResourceID]&amp;": "&amp;tblCost[QuantityRequired],
(tblCost[TargetID]=tblTargetStatus[[#This Row],[TargetID]])*
(tblCost[PlayerPaid]=FALSE),
""
)
)</f>
        <v>blueprint: 80, catalyst: 10, chemicals: 30, glass: 30, mechanism: 30, reagent: 30, silk: 10</v>
      </c>
      <c r="Z2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6" t="str" cm="1">
        <f t="array" ref="AA23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7" spans="1:27" ht="29">
      <c r="A237" t="s">
        <v>2654</v>
      </c>
      <c r="B237" t="str">
        <f>_xlfn.XLOOKUP(tblTargetStatus[[#This Row],[TargetID]],tblTargets[TargetID],tblTargets[DisplayName],"")</f>
        <v>Dagger</v>
      </c>
      <c r="C237" t="str">
        <f>IF(tblTargetStatus[[#This Row],[PlayerCompleted]],"COMPLETED",IF(tblTargetStatus[[#This Row],[MissingDependencies]]=0,"READY","BLOCKED"))</f>
        <v>BLOCKED</v>
      </c>
      <c r="D2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7" t="str">
        <f>_xlfn.XLOOKUP(tblTargetStatus[[#This Row],[TargetID]],tblTargets[TargetID],tblTargets[TargetType],"")</f>
        <v>CRAFTIFACT</v>
      </c>
      <c r="F237" t="str">
        <f>_xlfn.XLOOKUP(tblTargetStatus[[#This Row],[TargetID]],tblTargets[TargetID],tblTargets[StateType])</f>
        <v/>
      </c>
      <c r="G237">
        <f>_xlfn.LET(
_xlpm.id,tblTargetStatus[[#This Row],[TargetID]],
_xlpm.depCount,COUNTIF(tblDependencies[TargetID],_xlpm.id),
_xlpm.objCount,COUNTIF(tblQuestObjectives[QuestTargetID],_xlpm.id),
_xlpm.depCount+_xlpm.objCount
)</f>
        <v>2</v>
      </c>
      <c r="H237">
        <f>tblTargetStatus[[#This Row],[DependencyCount]]</f>
        <v>2</v>
      </c>
      <c r="I237" cm="1">
        <f t="array" ref="I2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7">
        <f>tblTargetStatus[[#This Row],[CompletedDependencyCount]]</f>
        <v>0</v>
      </c>
      <c r="K237" t="b">
        <f>tblTargetStatus[[#This Row],[CompletedDependencies]]=tblTargetStatus[[#This Row],[TotalDependencies]]</f>
        <v>0</v>
      </c>
      <c r="L237">
        <f>tblTargetStatus[[#This Row],[TotalDependencies]]-tblTargetStatus[[#This Row],[CompletedDependencies]]</f>
        <v>2</v>
      </c>
      <c r="M237" t="str" cm="1">
        <f t="array" ref="M2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building.smithy@3</v>
      </c>
      <c r="N237" t="str">
        <f>IF(tblTargetStatus[[#This Row],[FirstMissingDependencyID]]="","",_xlfn.XLOOKUP(tblTargetStatus[[#This Row],[FirstMissingDependencyID]],tblTargets[TargetID],tblTargets[DisplayName],tblTargetStatus[[#This Row],[FirstMissingDependencyID]]))</f>
        <v>Smithy Lv 3</v>
      </c>
      <c r="O237" s="2" t="str" cm="1">
        <f t="array" ref="O2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crypto,10 ingot,30 msteel,20 page,5 ruby,1 scroll</v>
      </c>
      <c r="P237" t="str">
        <f>IF(tblTargetStatus[[#This Row],[FirstMissingDependencyID]]="","",_xlfn.XLOOKUP(tblTargetStatus[[#This Row],[FirstMissingDependencyID]],tblTargetStatus[TargetID],tblTargetStatus[Status],""))</f>
        <v>BLOCKED</v>
      </c>
      <c r="Q237" t="str">
        <f>IF(
 tblTargetStatus[[#This Row],[Status]]&lt;&gt;"BLOCKED",
 tblTargetStatus[[#This Row],[Status]],
 IF(
  AND(
   tblTargetStatus[[#This Row],[MissingDependencies]]=1,
   tblTargetStatus[[#This Row],[FirstMissingStatus]]="READY"
  ),
  "ONE AWAY",
  "BLOCKED"
 )
)</f>
        <v>BLOCKED</v>
      </c>
      <c r="R237">
        <f>IF(
 OR(
  tblTargetStatus[[#This Row],[StateType]]="CHARACTER",
  RIGHT(tblTargetStatus[[#This Row],[TargetID]],6)=".maxed"
 ),
 0,
 _xlfn.LET(
  _xlpm.sort,
   _xlfn.XLOOKUP(
    tblTargetStatus[[#This Row],[TargetID]],
    tblChecklist[TargetID],
    tblChecklist[PlayerSort],
    0
   ),
  IF(_xlpm.sort=0,500,_xlpm.sort)
 )
)</f>
        <v>500</v>
      </c>
      <c r="S237" t="str" cm="1">
        <f t="array" ref="S23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37" t="str">
        <f>_xlfn.XLOOKUP(tblTargetStatus[[#This Row],[TargetID]],tblTargets[TargetID],tblTargets[CompletionMethod],"")</f>
        <v>PLAYER</v>
      </c>
      <c r="U237" t="b">
        <f>COUNTIF(
    tblCost[TargetID],
    tblTargetStatus[[#This Row],[TargetID]]
)&gt;0</f>
        <v>1</v>
      </c>
      <c r="V237" s="81">
        <f>IF(tblTargetStatus[[#This Row],[HasCost]]=FALSE,
"N/A",
_xlfn.XLOOKUP(
tblTargetStatus[[#This Row],[TargetID]],
tblCost[TargetID],
tblCost[FundingPercent],
""
)
)</f>
        <v>0</v>
      </c>
      <c r="W237">
        <f>IF(
COUNTIF(tblCost[TargetID],tblTargetStatus[[#This Row],[TargetID]])=0,
"",
_xlfn.XLOOKUP(
tblTargetStatus[[#This Row],[TargetID]],
tblCost[TargetID],
tblCost[RemainingRequirements],
""
)
)</f>
        <v>6</v>
      </c>
      <c r="X237" s="79" t="b">
        <f>IF(tblTargetStatus[[#This Row],[HasCost]]=FALSE,"N/A",_xlfn.XLOOKUP(
tblTargetStatus[[#This Row],[TargetID]],
tblCost[TargetID],
tblCost[TargetFunded],
TRUE
))</f>
        <v>0</v>
      </c>
      <c r="Y237" t="str" cm="1">
        <f t="array" ref="Y237">_xlfn.TEXTJOIN(
", ",
TRUE,
_xlfn._xlws.FILTER(
tblCost[ResourceID]&amp;": "&amp;tblCost[QuantityRequired],
(tblCost[TargetID]=tblTargetStatus[[#This Row],[TargetID]])*
(tblCost[PlayerPaid]=FALSE),
""
)
)</f>
        <v>crypto: 100, ingot: 10, msteel: 30, page: 20, ruby: 5, scroll: 1</v>
      </c>
      <c r="Z2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7" t="str" cm="1">
        <f t="array" ref="AA23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8" spans="1:27">
      <c r="A238" t="s">
        <v>2655</v>
      </c>
      <c r="B238" t="str">
        <f>_xlfn.XLOOKUP(tblTargetStatus[[#This Row],[TargetID]],tblTargets[TargetID],tblTargets[DisplayName],"")</f>
        <v>Emerald Tablet</v>
      </c>
      <c r="C238" t="str">
        <f>IF(tblTargetStatus[[#This Row],[PlayerCompleted]],"COMPLETED",IF(tblTargetStatus[[#This Row],[MissingDependencies]]=0,"READY","BLOCKED"))</f>
        <v>BLOCKED</v>
      </c>
      <c r="D2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8" t="str">
        <f>_xlfn.XLOOKUP(tblTargetStatus[[#This Row],[TargetID]],tblTargets[TargetID],tblTargets[TargetType],"")</f>
        <v>CRAFTIFACT</v>
      </c>
      <c r="F238" t="str">
        <f>_xlfn.XLOOKUP(tblTargetStatus[[#This Row],[TargetID]],tblTargets[TargetID],tblTargets[StateType])</f>
        <v/>
      </c>
      <c r="G238">
        <f>_xlfn.LET(
_xlpm.id,tblTargetStatus[[#This Row],[TargetID]],
_xlpm.depCount,COUNTIF(tblDependencies[TargetID],_xlpm.id),
_xlpm.objCount,COUNTIF(tblQuestObjectives[QuestTargetID],_xlpm.id),
_xlpm.depCount+_xlpm.objCount
)</f>
        <v>2</v>
      </c>
      <c r="H238">
        <f>tblTargetStatus[[#This Row],[DependencyCount]]</f>
        <v>2</v>
      </c>
      <c r="I238" cm="1">
        <f t="array" ref="I2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8">
        <f>tblTargetStatus[[#This Row],[CompletedDependencyCount]]</f>
        <v>0</v>
      </c>
      <c r="K238" t="b">
        <f>tblTargetStatus[[#This Row],[CompletedDependencies]]=tblTargetStatus[[#This Row],[TotalDependencies]]</f>
        <v>0</v>
      </c>
      <c r="L238">
        <f>tblTargetStatus[[#This Row],[TotalDependencies]]-tblTargetStatus[[#This Row],[CompletedDependencies]]</f>
        <v>2</v>
      </c>
      <c r="M238" t="str" cm="1">
        <f t="array" ref="M2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238" t="str">
        <f>IF(tblTargetStatus[[#This Row],[FirstMissingDependencyID]]="","",_xlfn.XLOOKUP(tblTargetStatus[[#This Row],[FirstMissingDependencyID]],tblTargets[TargetID],tblTargets[DisplayName],tblTargetStatus[[#This Row],[FirstMissingDependencyID]]))</f>
        <v>Guild Lv 5</v>
      </c>
      <c r="O238" t="str" cm="1">
        <f t="array" ref="O2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emeralds,30 page</v>
      </c>
      <c r="P238" t="str">
        <f>IF(tblTargetStatus[[#This Row],[FirstMissingDependencyID]]="","",_xlfn.XLOOKUP(tblTargetStatus[[#This Row],[FirstMissingDependencyID]],tblTargetStatus[TargetID],tblTargetStatus[Status],""))</f>
        <v>BLOCKED</v>
      </c>
      <c r="Q238" t="str">
        <f>IF(
 tblTargetStatus[[#This Row],[Status]]&lt;&gt;"BLOCKED",
 tblTargetStatus[[#This Row],[Status]],
 IF(
  AND(
   tblTargetStatus[[#This Row],[MissingDependencies]]=1,
   tblTargetStatus[[#This Row],[FirstMissingStatus]]="READY"
  ),
  "ONE AWAY",
  "BLOCKED"
 )
)</f>
        <v>BLOCKED</v>
      </c>
      <c r="R238">
        <f>IF(
 OR(
  tblTargetStatus[[#This Row],[StateType]]="CHARACTER",
  RIGHT(tblTargetStatus[[#This Row],[TargetID]],6)=".maxed"
 ),
 0,
 _xlfn.LET(
  _xlpm.sort,
   _xlfn.XLOOKUP(
    tblTargetStatus[[#This Row],[TargetID]],
    tblChecklist[TargetID],
    tblChecklist[PlayerSort],
    0
   ),
  IF(_xlpm.sort=0,500,_xlpm.sort)
 )
)</f>
        <v>500</v>
      </c>
      <c r="S238" t="str" cm="1">
        <f t="array" ref="S23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3 Finished</v>
      </c>
      <c r="T238" t="str">
        <f>_xlfn.XLOOKUP(tblTargetStatus[[#This Row],[TargetID]],tblTargets[TargetID],tblTargets[CompletionMethod],"")</f>
        <v>PLAYER</v>
      </c>
      <c r="U238" t="b">
        <f>COUNTIF(
    tblCost[TargetID],
    tblTargetStatus[[#This Row],[TargetID]]
)&gt;0</f>
        <v>1</v>
      </c>
      <c r="V238" s="81">
        <f>IF(tblTargetStatus[[#This Row],[HasCost]]=FALSE,
"N/A",
_xlfn.XLOOKUP(
tblTargetStatus[[#This Row],[TargetID]],
tblCost[TargetID],
tblCost[FundingPercent],
""
)
)</f>
        <v>0</v>
      </c>
      <c r="W238">
        <f>IF(
COUNTIF(tblCost[TargetID],tblTargetStatus[[#This Row],[TargetID]])=0,
"",
_xlfn.XLOOKUP(
tblTargetStatus[[#This Row],[TargetID]],
tblCost[TargetID],
tblCost[RemainingRequirements],
""
)
)</f>
        <v>2</v>
      </c>
      <c r="X238" s="79" t="b">
        <f>IF(tblTargetStatus[[#This Row],[HasCost]]=FALSE,"N/A",_xlfn.XLOOKUP(
tblTargetStatus[[#This Row],[TargetID]],
tblCost[TargetID],
tblCost[TargetFunded],
TRUE
))</f>
        <v>0</v>
      </c>
      <c r="Y238" t="str" cm="1">
        <f t="array" ref="Y238">_xlfn.TEXTJOIN(
", ",
TRUE,
_xlfn._xlws.FILTER(
tblCost[ResourceID]&amp;": "&amp;tblCost[QuantityRequired],
(tblCost[TargetID]=tblTargetStatus[[#This Row],[TargetID]])*
(tblCost[PlayerPaid]=FALSE),
""
)
)</f>
        <v>emeralds: 15, page: 30</v>
      </c>
      <c r="Z2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8" t="str" cm="1">
        <f t="array" ref="AA23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39" spans="1:27">
      <c r="A239" t="s">
        <v>2656</v>
      </c>
      <c r="B239" t="str">
        <f>_xlfn.XLOOKUP(tblTargetStatus[[#This Row],[TargetID]],tblTargets[TargetID],tblTargets[DisplayName],"")</f>
        <v>Flamethrower</v>
      </c>
      <c r="C239" t="str">
        <f>IF(tblTargetStatus[[#This Row],[PlayerCompleted]],"COMPLETED",IF(tblTargetStatus[[#This Row],[MissingDependencies]]=0,"READY","BLOCKED"))</f>
        <v>BLOCKED</v>
      </c>
      <c r="D2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9" t="str">
        <f>_xlfn.XLOOKUP(tblTargetStatus[[#This Row],[TargetID]],tblTargets[TargetID],tblTargets[TargetType],"")</f>
        <v>CRAFTIFACT</v>
      </c>
      <c r="F239" t="str">
        <f>_xlfn.XLOOKUP(tblTargetStatus[[#This Row],[TargetID]],tblTargets[TargetID],tblTargets[StateType])</f>
        <v/>
      </c>
      <c r="G239">
        <f>_xlfn.LET(
_xlpm.id,tblTargetStatus[[#This Row],[TargetID]],
_xlpm.depCount,COUNTIF(tblDependencies[TargetID],_xlpm.id),
_xlpm.objCount,COUNTIF(tblQuestObjectives[QuestTargetID],_xlpm.id),
_xlpm.depCount+_xlpm.objCount
)</f>
        <v>2</v>
      </c>
      <c r="H239">
        <f>tblTargetStatus[[#This Row],[DependencyCount]]</f>
        <v>2</v>
      </c>
      <c r="I239" cm="1">
        <f t="array" ref="I2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9">
        <f>tblTargetStatus[[#This Row],[CompletedDependencyCount]]</f>
        <v>0</v>
      </c>
      <c r="K239" t="b">
        <f>tblTargetStatus[[#This Row],[CompletedDependencies]]=tblTargetStatus[[#This Row],[TotalDependencies]]</f>
        <v>0</v>
      </c>
      <c r="L239">
        <f>tblTargetStatus[[#This Row],[TotalDependencies]]-tblTargetStatus[[#This Row],[CompletedDependencies]]</f>
        <v>2</v>
      </c>
      <c r="M239" t="str" cm="1">
        <f t="array" ref="M2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building.alchemists_hut@6</v>
      </c>
      <c r="N239" t="str">
        <f>IF(tblTargetStatus[[#This Row],[FirstMissingDependencyID]]="","",_xlfn.XLOOKUP(tblTargetStatus[[#This Row],[FirstMissingDependencyID]],tblTargets[TargetID],tblTargets[DisplayName],tblTargetStatus[[#This Row],[FirstMissingDependencyID]]))</f>
        <v>Alchemist's Hut Lv 6</v>
      </c>
      <c r="O239" t="str" cm="1">
        <f t="array" ref="O2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apy,30 blueprint,10 catalyst,40 chemicals,10 glass,5 mechanism,20 oil,20 tparts</v>
      </c>
      <c r="P239" t="str">
        <f>IF(tblTargetStatus[[#This Row],[FirstMissingDependencyID]]="","",_xlfn.XLOOKUP(tblTargetStatus[[#This Row],[FirstMissingDependencyID]],tblTargetStatus[TargetID],tblTargetStatus[Status],""))</f>
        <v>BLOCKED</v>
      </c>
      <c r="Q239" t="str">
        <f>IF(
 tblTargetStatus[[#This Row],[Status]]&lt;&gt;"BLOCKED",
 tblTargetStatus[[#This Row],[Status]],
 IF(
  AND(
   tblTargetStatus[[#This Row],[MissingDependencies]]=1,
   tblTargetStatus[[#This Row],[FirstMissingStatus]]="READY"
  ),
  "ONE AWAY",
  "BLOCKED"
 )
)</f>
        <v>BLOCKED</v>
      </c>
      <c r="R239">
        <f>IF(
 OR(
  tblTargetStatus[[#This Row],[StateType]]="CHARACTER",
  RIGHT(tblTargetStatus[[#This Row],[TargetID]],6)=".maxed"
 ),
 0,
 _xlfn.LET(
  _xlpm.sort,
   _xlfn.XLOOKUP(
    tblTargetStatus[[#This Row],[TargetID]],
    tblChecklist[TargetID],
    tblChecklist[PlayerSort],
    0
   ),
  IF(_xlpm.sort=0,500,_xlpm.sort)
 )
)</f>
        <v>25</v>
      </c>
      <c r="S239" t="str" cm="1">
        <f t="array" ref="S23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39" t="str">
        <f>_xlfn.XLOOKUP(tblTargetStatus[[#This Row],[TargetID]],tblTargets[TargetID],tblTargets[CompletionMethod],"")</f>
        <v>PLAYER</v>
      </c>
      <c r="U239" t="b">
        <f>COUNTIF(
    tblCost[TargetID],
    tblTargetStatus[[#This Row],[TargetID]]
)&gt;0</f>
        <v>1</v>
      </c>
      <c r="V239" s="81">
        <f>IF(tblTargetStatus[[#This Row],[HasCost]]=FALSE,
"N/A",
_xlfn.XLOOKUP(
tblTargetStatus[[#This Row],[TargetID]],
tblCost[TargetID],
tblCost[FundingPercent],
""
)
)</f>
        <v>0</v>
      </c>
      <c r="W239">
        <f>IF(
COUNTIF(tblCost[TargetID],tblTargetStatus[[#This Row],[TargetID]])=0,
"",
_xlfn.XLOOKUP(
tblTargetStatus[[#This Row],[TargetID]],
tblCost[TargetID],
tblCost[RemainingRequirements],
""
)
)</f>
        <v>8</v>
      </c>
      <c r="X239" s="79" t="b">
        <f>IF(tblTargetStatus[[#This Row],[HasCost]]=FALSE,"N/A",_xlfn.XLOOKUP(
tblTargetStatus[[#This Row],[TargetID]],
tblCost[TargetID],
tblCost[TargetFunded],
TRUE
))</f>
        <v>0</v>
      </c>
      <c r="Y239" t="str" cm="1">
        <f t="array" ref="Y239">_xlfn.TEXTJOIN(
", ",
TRUE,
_xlfn._xlws.FILTER(
tblCost[ResourceID]&amp;": "&amp;tblCost[QuantityRequired],
(tblCost[TargetID]=tblTargetStatus[[#This Row],[TargetID]])*
(tblCost[PlayerPaid]=FALSE),
""
)
)</f>
        <v>apy: 10, blueprint: 30, catalyst: 10, chemicals: 40, glass: 10, mechanism: 5, oil: 20, tparts: 20</v>
      </c>
      <c r="Z2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9" t="str" cm="1">
        <f t="array" ref="AA23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0" spans="1:27">
      <c r="A240" t="s">
        <v>2657</v>
      </c>
      <c r="B240" t="str">
        <f>_xlfn.XLOOKUP(tblTargetStatus[[#This Row],[TargetID]],tblTargets[TargetID],tblTargets[DisplayName],"")</f>
        <v>Guild Banner</v>
      </c>
      <c r="C240" t="str">
        <f>IF(tblTargetStatus[[#This Row],[PlayerCompleted]],"COMPLETED",IF(tblTargetStatus[[#This Row],[MissingDependencies]]=0,"READY","BLOCKED"))</f>
        <v>BLOCKED</v>
      </c>
      <c r="D2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0" t="str">
        <f>_xlfn.XLOOKUP(tblTargetStatus[[#This Row],[TargetID]],tblTargets[TargetID],tblTargets[TargetType],"")</f>
        <v>CRAFTIFACT</v>
      </c>
      <c r="F240" t="str">
        <f>_xlfn.XLOOKUP(tblTargetStatus[[#This Row],[TargetID]],tblTargets[TargetID],tblTargets[StateType])</f>
        <v/>
      </c>
      <c r="G240">
        <f>_xlfn.LET(
_xlpm.id,tblTargetStatus[[#This Row],[TargetID]],
_xlpm.depCount,COUNTIF(tblDependencies[TargetID],_xlpm.id),
_xlpm.objCount,COUNTIF(tblQuestObjectives[QuestTargetID],_xlpm.id),
_xlpm.depCount+_xlpm.objCount
)</f>
        <v>2</v>
      </c>
      <c r="H240">
        <f>tblTargetStatus[[#This Row],[DependencyCount]]</f>
        <v>2</v>
      </c>
      <c r="I240" cm="1">
        <f t="array" ref="I2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0">
        <f>tblTargetStatus[[#This Row],[CompletedDependencyCount]]</f>
        <v>0</v>
      </c>
      <c r="K240" t="b">
        <f>tblTargetStatus[[#This Row],[CompletedDependencies]]=tblTargetStatus[[#This Row],[TotalDependencies]]</f>
        <v>0</v>
      </c>
      <c r="L240">
        <f>tblTargetStatus[[#This Row],[TotalDependencies]]-tblTargetStatus[[#This Row],[CompletedDependencies]]</f>
        <v>2</v>
      </c>
      <c r="M240" t="str" cm="1">
        <f t="array" ref="M2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240" t="str">
        <f>IF(tblTargetStatus[[#This Row],[FirstMissingDependencyID]]="","",_xlfn.XLOOKUP(tblTargetStatus[[#This Row],[FirstMissingDependencyID]],tblTargets[TargetID],tblTargets[DisplayName],tblTargetStatus[[#This Row],[FirstMissingDependencyID]]))</f>
        <v>Tailor Lv 2</v>
      </c>
      <c r="O240" t="str" cm="1">
        <f t="array" ref="O2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silk</v>
      </c>
      <c r="P240" t="str">
        <f>IF(tblTargetStatus[[#This Row],[FirstMissingDependencyID]]="","",_xlfn.XLOOKUP(tblTargetStatus[[#This Row],[FirstMissingDependencyID]],tblTargetStatus[TargetID],tblTargetStatus[Status],""))</f>
        <v>BLOCKED</v>
      </c>
      <c r="Q240" t="str">
        <f>IF(
 tblTargetStatus[[#This Row],[Status]]&lt;&gt;"BLOCKED",
 tblTargetStatus[[#This Row],[Status]],
 IF(
  AND(
   tblTargetStatus[[#This Row],[MissingDependencies]]=1,
   tblTargetStatus[[#This Row],[FirstMissingStatus]]="READY"
  ),
  "ONE AWAY",
  "BLOCKED"
 )
)</f>
        <v>BLOCKED</v>
      </c>
      <c r="R240">
        <f>IF(
 OR(
  tblTargetStatus[[#This Row],[StateType]]="CHARACTER",
  RIGHT(tblTargetStatus[[#This Row],[TargetID]],6)=".maxed"
 ),
 0,
 _xlfn.LET(
  _xlpm.sort,
   _xlfn.XLOOKUP(
    tblTargetStatus[[#This Row],[TargetID]],
    tblChecklist[TargetID],
    tblChecklist[PlayerSort],
    0
   ),
  IF(_xlpm.sort=0,500,_xlpm.sort)
 )
)</f>
        <v>500</v>
      </c>
      <c r="S240" t="str" cm="1">
        <f t="array" ref="S24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Honor, Glory, Sushi Finished</v>
      </c>
      <c r="T240" t="str">
        <f>_xlfn.XLOOKUP(tblTargetStatus[[#This Row],[TargetID]],tblTargets[TargetID],tblTargets[CompletionMethod],"")</f>
        <v>PLAYER</v>
      </c>
      <c r="U240" t="b">
        <f>COUNTIF(
    tblCost[TargetID],
    tblTargetStatus[[#This Row],[TargetID]]
)&gt;0</f>
        <v>1</v>
      </c>
      <c r="V240" s="81">
        <f>IF(tblTargetStatus[[#This Row],[HasCost]]=FALSE,
"N/A",
_xlfn.XLOOKUP(
tblTargetStatus[[#This Row],[TargetID]],
tblCost[TargetID],
tblCost[FundingPercent],
""
)
)</f>
        <v>0</v>
      </c>
      <c r="W240">
        <f>IF(
COUNTIF(tblCost[TargetID],tblTargetStatus[[#This Row],[TargetID]])=0,
"",
_xlfn.XLOOKUP(
tblTargetStatus[[#This Row],[TargetID]],
tblCost[TargetID],
tblCost[RemainingRequirements],
""
)
)</f>
        <v>1</v>
      </c>
      <c r="X240" s="79" t="b">
        <f>IF(tblTargetStatus[[#This Row],[HasCost]]=FALSE,"N/A",_xlfn.XLOOKUP(
tblTargetStatus[[#This Row],[TargetID]],
tblCost[TargetID],
tblCost[TargetFunded],
TRUE
))</f>
        <v>0</v>
      </c>
      <c r="Y240" t="str" cm="1">
        <f t="array" ref="Y240">_xlfn.TEXTJOIN(
", ",
TRUE,
_xlfn._xlws.FILTER(
tblCost[ResourceID]&amp;": "&amp;tblCost[QuantityRequired],
(tblCost[TargetID]=tblTargetStatus[[#This Row],[TargetID]])*
(tblCost[PlayerPaid]=FALSE),
""
)
)</f>
        <v>silk: 100</v>
      </c>
      <c r="Z2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0" t="str" cm="1">
        <f t="array" ref="AA24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1" spans="1:27">
      <c r="A241" t="s">
        <v>2658</v>
      </c>
      <c r="B241" t="str">
        <f>_xlfn.XLOOKUP(tblTargetStatus[[#This Row],[TargetID]],tblTargets[TargetID],tblTargets[DisplayName],"")</f>
        <v>Guild Codex</v>
      </c>
      <c r="C241" t="str">
        <f>IF(tblTargetStatus[[#This Row],[PlayerCompleted]],"COMPLETED",IF(tblTargetStatus[[#This Row],[MissingDependencies]]=0,"READY","BLOCKED"))</f>
        <v>BLOCKED</v>
      </c>
      <c r="D2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1" t="str">
        <f>_xlfn.XLOOKUP(tblTargetStatus[[#This Row],[TargetID]],tblTargets[TargetID],tblTargets[TargetType],"")</f>
        <v>CRAFTIFACT</v>
      </c>
      <c r="F241" t="str">
        <f>_xlfn.XLOOKUP(tblTargetStatus[[#This Row],[TargetID]],tblTargets[TargetID],tblTargets[StateType])</f>
        <v/>
      </c>
      <c r="G241">
        <f>_xlfn.LET(
_xlpm.id,tblTargetStatus[[#This Row],[TargetID]],
_xlpm.depCount,COUNTIF(tblDependencies[TargetID],_xlpm.id),
_xlpm.objCount,COUNTIF(tblQuestObjectives[QuestTargetID],_xlpm.id),
_xlpm.depCount+_xlpm.objCount
)</f>
        <v>2</v>
      </c>
      <c r="H241">
        <f>tblTargetStatus[[#This Row],[DependencyCount]]</f>
        <v>2</v>
      </c>
      <c r="I241" cm="1">
        <f t="array" ref="I2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1">
        <f>tblTargetStatus[[#This Row],[CompletedDependencyCount]]</f>
        <v>0</v>
      </c>
      <c r="K241" t="b">
        <f>tblTargetStatus[[#This Row],[CompletedDependencies]]=tblTargetStatus[[#This Row],[TotalDependencies]]</f>
        <v>0</v>
      </c>
      <c r="L241">
        <f>tblTargetStatus[[#This Row],[TotalDependencies]]-tblTargetStatus[[#This Row],[CompletedDependencies]]</f>
        <v>2</v>
      </c>
      <c r="M241" t="str" cm="1">
        <f t="array" ref="M2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241" t="str">
        <f>IF(tblTargetStatus[[#This Row],[FirstMissingDependencyID]]="","",_xlfn.XLOOKUP(tblTargetStatus[[#This Row],[FirstMissingDependencyID]],tblTargets[TargetID],tblTargets[DisplayName],tblTargetStatus[[#This Row],[FirstMissingDependencyID]]))</f>
        <v>Guild Lv 5</v>
      </c>
      <c r="O241" t="str" cm="1">
        <f t="array" ref="O2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paper</v>
      </c>
      <c r="P241" t="str">
        <f>IF(tblTargetStatus[[#This Row],[FirstMissingDependencyID]]="","",_xlfn.XLOOKUP(tblTargetStatus[[#This Row],[FirstMissingDependencyID]],tblTargetStatus[TargetID],tblTargetStatus[Status],""))</f>
        <v>BLOCKED</v>
      </c>
      <c r="Q241" t="str">
        <f>IF(
 tblTargetStatus[[#This Row],[Status]]&lt;&gt;"BLOCKED",
 tblTargetStatus[[#This Row],[Status]],
 IF(
  AND(
   tblTargetStatus[[#This Row],[MissingDependencies]]=1,
   tblTargetStatus[[#This Row],[FirstMissingStatus]]="READY"
  ),
  "ONE AWAY",
  "BLOCKED"
 )
)</f>
        <v>BLOCKED</v>
      </c>
      <c r="R241">
        <f>IF(
 OR(
  tblTargetStatus[[#This Row],[StateType]]="CHARACTER",
  RIGHT(tblTargetStatus[[#This Row],[TargetID]],6)=".maxed"
 ),
 0,
 _xlfn.LET(
  _xlpm.sort,
   _xlfn.XLOOKUP(
    tblTargetStatus[[#This Row],[TargetID]],
    tblChecklist[TargetID],
    tblChecklist[PlayerSort],
    0
   ),
  IF(_xlpm.sort=0,500,_xlpm.sort)
 )
)</f>
        <v>500</v>
      </c>
      <c r="S241" t="str" cm="1">
        <f t="array" ref="S24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Honor, Glory, Sushi Finished</v>
      </c>
      <c r="T241" t="str">
        <f>_xlfn.XLOOKUP(tblTargetStatus[[#This Row],[TargetID]],tblTargets[TargetID],tblTargets[CompletionMethod],"")</f>
        <v>PLAYER</v>
      </c>
      <c r="U241" t="b">
        <f>COUNTIF(
    tblCost[TargetID],
    tblTargetStatus[[#This Row],[TargetID]]
)&gt;0</f>
        <v>1</v>
      </c>
      <c r="V241" s="81">
        <f>IF(tblTargetStatus[[#This Row],[HasCost]]=FALSE,
"N/A",
_xlfn.XLOOKUP(
tblTargetStatus[[#This Row],[TargetID]],
tblCost[TargetID],
tblCost[FundingPercent],
""
)
)</f>
        <v>0</v>
      </c>
      <c r="W241">
        <f>IF(
COUNTIF(tblCost[TargetID],tblTargetStatus[[#This Row],[TargetID]])=0,
"",
_xlfn.XLOOKUP(
tblTargetStatus[[#This Row],[TargetID]],
tblCost[TargetID],
tblCost[RemainingRequirements],
""
)
)</f>
        <v>1</v>
      </c>
      <c r="X241" s="79" t="b">
        <f>IF(tblTargetStatus[[#This Row],[HasCost]]=FALSE,"N/A",_xlfn.XLOOKUP(
tblTargetStatus[[#This Row],[TargetID]],
tblCost[TargetID],
tblCost[TargetFunded],
TRUE
))</f>
        <v>0</v>
      </c>
      <c r="Y241" t="str" cm="1">
        <f t="array" ref="Y241">_xlfn.TEXTJOIN(
", ",
TRUE,
_xlfn._xlws.FILTER(
tblCost[ResourceID]&amp;": "&amp;tblCost[QuantityRequired],
(tblCost[TargetID]=tblTargetStatus[[#This Row],[TargetID]])*
(tblCost[PlayerPaid]=FALSE),
""
)
)</f>
        <v>paper: 100</v>
      </c>
      <c r="Z2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1" t="str" cm="1">
        <f t="array" ref="AA24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2" spans="1:27">
      <c r="A242" t="s">
        <v>2659</v>
      </c>
      <c r="B242" t="str">
        <f>_xlfn.XLOOKUP(tblTargetStatus[[#This Row],[TargetID]],tblTargets[TargetID],tblTargets[DisplayName],"")</f>
        <v>Guild Supplies</v>
      </c>
      <c r="C242" t="str">
        <f>IF(tblTargetStatus[[#This Row],[PlayerCompleted]],"COMPLETED",IF(tblTargetStatus[[#This Row],[MissingDependencies]]=0,"READY","BLOCKED"))</f>
        <v>BLOCKED</v>
      </c>
      <c r="D2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2" t="str">
        <f>_xlfn.XLOOKUP(tblTargetStatus[[#This Row],[TargetID]],tblTargets[TargetID],tblTargets[TargetType],"")</f>
        <v>CRAFTIFACT</v>
      </c>
      <c r="F242" t="str">
        <f>_xlfn.XLOOKUP(tblTargetStatus[[#This Row],[TargetID]],tblTargets[TargetID],tblTargets[StateType])</f>
        <v/>
      </c>
      <c r="G242">
        <f>_xlfn.LET(
_xlpm.id,tblTargetStatus[[#This Row],[TargetID]],
_xlpm.depCount,COUNTIF(tblDependencies[TargetID],_xlpm.id),
_xlpm.objCount,COUNTIF(tblQuestObjectives[QuestTargetID],_xlpm.id),
_xlpm.depCount+_xlpm.objCount
)</f>
        <v>2</v>
      </c>
      <c r="H242">
        <f>tblTargetStatus[[#This Row],[DependencyCount]]</f>
        <v>2</v>
      </c>
      <c r="I242" cm="1">
        <f t="array" ref="I2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2">
        <f>tblTargetStatus[[#This Row],[CompletedDependencyCount]]</f>
        <v>0</v>
      </c>
      <c r="K242" t="b">
        <f>tblTargetStatus[[#This Row],[CompletedDependencies]]=tblTargetStatus[[#This Row],[TotalDependencies]]</f>
        <v>0</v>
      </c>
      <c r="L242">
        <f>tblTargetStatus[[#This Row],[TotalDependencies]]-tblTargetStatus[[#This Row],[CompletedDependencies]]</f>
        <v>2</v>
      </c>
      <c r="M242" t="str" cm="1">
        <f t="array" ref="M2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building.food_stall@3</v>
      </c>
      <c r="N242" t="str">
        <f>IF(tblTargetStatus[[#This Row],[FirstMissingDependencyID]]="","",_xlfn.XLOOKUP(tblTargetStatus[[#This Row],[FirstMissingDependencyID]],tblTargets[TargetID],tblTargets[DisplayName],tblTargetStatus[[#This Row],[FirstMissingDependencyID]]))</f>
        <v>Food Stall Lv 3</v>
      </c>
      <c r="O242" t="str" cm="1">
        <f t="array" ref="O2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dates,25 flour,25 glass,50 honey,50 oil,25 rice,25 tuna</v>
      </c>
      <c r="P242" t="str">
        <f>IF(tblTargetStatus[[#This Row],[FirstMissingDependencyID]]="","",_xlfn.XLOOKUP(tblTargetStatus[[#This Row],[FirstMissingDependencyID]],tblTargetStatus[TargetID],tblTargetStatus[Status],""))</f>
        <v>BLOCKED</v>
      </c>
      <c r="Q242" t="str">
        <f>IF(
 tblTargetStatus[[#This Row],[Status]]&lt;&gt;"BLOCKED",
 tblTargetStatus[[#This Row],[Status]],
 IF(
  AND(
   tblTargetStatus[[#This Row],[MissingDependencies]]=1,
   tblTargetStatus[[#This Row],[FirstMissingStatus]]="READY"
  ),
  "ONE AWAY",
  "BLOCKED"
 )
)</f>
        <v>BLOCKED</v>
      </c>
      <c r="R242">
        <f>IF(
 OR(
  tblTargetStatus[[#This Row],[StateType]]="CHARACTER",
  RIGHT(tblTargetStatus[[#This Row],[TargetID]],6)=".maxed"
 ),
 0,
 _xlfn.LET(
  _xlpm.sort,
   _xlfn.XLOOKUP(
    tblTargetStatus[[#This Row],[TargetID]],
    tblChecklist[TargetID],
    tblChecklist[PlayerSort],
    0
   ),
  IF(_xlpm.sort=0,500,_xlpm.sort)
 )
)</f>
        <v>500</v>
      </c>
      <c r="S242" t="str" cm="1">
        <f t="array" ref="S24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Honor, Glory, Sushi Finished</v>
      </c>
      <c r="T242" t="str">
        <f>_xlfn.XLOOKUP(tblTargetStatus[[#This Row],[TargetID]],tblTargets[TargetID],tblTargets[CompletionMethod],"")</f>
        <v>PLAYER</v>
      </c>
      <c r="U242" t="b">
        <f>COUNTIF(
    tblCost[TargetID],
    tblTargetStatus[[#This Row],[TargetID]]
)&gt;0</f>
        <v>1</v>
      </c>
      <c r="V242" s="81">
        <f>IF(tblTargetStatus[[#This Row],[HasCost]]=FALSE,
"N/A",
_xlfn.XLOOKUP(
tblTargetStatus[[#This Row],[TargetID]],
tblCost[TargetID],
tblCost[FundingPercent],
""
)
)</f>
        <v>0</v>
      </c>
      <c r="W242">
        <f>IF(
COUNTIF(tblCost[TargetID],tblTargetStatus[[#This Row],[TargetID]])=0,
"",
_xlfn.XLOOKUP(
tblTargetStatus[[#This Row],[TargetID]],
tblCost[TargetID],
tblCost[RemainingRequirements],
""
)
)</f>
        <v>7</v>
      </c>
      <c r="X242" s="79" t="b">
        <f>IF(tblTargetStatus[[#This Row],[HasCost]]=FALSE,"N/A",_xlfn.XLOOKUP(
tblTargetStatus[[#This Row],[TargetID]],
tblCost[TargetID],
tblCost[TargetFunded],
TRUE
))</f>
        <v>0</v>
      </c>
      <c r="Y242" t="str" cm="1">
        <f t="array" ref="Y242">_xlfn.TEXTJOIN(
", ",
TRUE,
_xlfn._xlws.FILTER(
tblCost[ResourceID]&amp;": "&amp;tblCost[QuantityRequired],
(tblCost[TargetID]=tblTargetStatus[[#This Row],[TargetID]])*
(tblCost[PlayerPaid]=FALSE),
""
)
)</f>
        <v>dates: 50, flour: 25, glass: 25, honey: 50, oil: 50, rice: 25, tuna: 25</v>
      </c>
      <c r="Z2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2" t="str" cm="1">
        <f t="array" ref="AA24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3" spans="1:27">
      <c r="A243" t="s">
        <v>2660</v>
      </c>
      <c r="B243" t="str">
        <f>_xlfn.XLOOKUP(tblTargetStatus[[#This Row],[TargetID]],tblTargets[TargetID],tblTargets[DisplayName],"")</f>
        <v>Hat Of Concentration</v>
      </c>
      <c r="C243" t="str">
        <f>IF(tblTargetStatus[[#This Row],[PlayerCompleted]],"COMPLETED",IF(tblTargetStatus[[#This Row],[MissingDependencies]]=0,"READY","BLOCKED"))</f>
        <v>BLOCKED</v>
      </c>
      <c r="D2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3" t="str">
        <f>_xlfn.XLOOKUP(tblTargetStatus[[#This Row],[TargetID]],tblTargets[TargetID],tblTargets[TargetType],"")</f>
        <v>CRAFTIFACT</v>
      </c>
      <c r="F243" t="str">
        <f>_xlfn.XLOOKUP(tblTargetStatus[[#This Row],[TargetID]],tblTargets[TargetID],tblTargets[StateType])</f>
        <v/>
      </c>
      <c r="G243">
        <f>_xlfn.LET(
_xlpm.id,tblTargetStatus[[#This Row],[TargetID]],
_xlpm.depCount,COUNTIF(tblDependencies[TargetID],_xlpm.id),
_xlpm.objCount,COUNTIF(tblQuestObjectives[QuestTargetID],_xlpm.id),
_xlpm.depCount+_xlpm.objCount
)</f>
        <v>2</v>
      </c>
      <c r="H243">
        <f>tblTargetStatus[[#This Row],[DependencyCount]]</f>
        <v>2</v>
      </c>
      <c r="I243" cm="1">
        <f t="array" ref="I2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3">
        <f>tblTargetStatus[[#This Row],[CompletedDependencyCount]]</f>
        <v>0</v>
      </c>
      <c r="K243" t="b">
        <f>tblTargetStatus[[#This Row],[CompletedDependencies]]=tblTargetStatus[[#This Row],[TotalDependencies]]</f>
        <v>0</v>
      </c>
      <c r="L243">
        <f>tblTargetStatus[[#This Row],[TotalDependencies]]-tblTargetStatus[[#This Row],[CompletedDependencies]]</f>
        <v>2</v>
      </c>
      <c r="M243" t="str" cm="1">
        <f t="array" ref="M2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building.tailor@3</v>
      </c>
      <c r="N243" t="str">
        <f>IF(tblTargetStatus[[#This Row],[FirstMissingDependencyID]]="","",_xlfn.XLOOKUP(tblTargetStatus[[#This Row],[FirstMissingDependencyID]],tblTargets[TargetID],tblTargets[DisplayName],tblTargetStatus[[#This Row],[FirstMissingDependencyID]]))</f>
        <v>Tailor Lv 3</v>
      </c>
      <c r="O243" t="str" cm="1">
        <f t="array" ref="O2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ginkgo,20 grimoire,10 herbs,10 mercury,10 silk,2 teeth,12 velour</v>
      </c>
      <c r="P243" t="str">
        <f>IF(tblTargetStatus[[#This Row],[FirstMissingDependencyID]]="","",_xlfn.XLOOKUP(tblTargetStatus[[#This Row],[FirstMissingDependencyID]],tblTargetStatus[TargetID],tblTargetStatus[Status],""))</f>
        <v>BLOCKED</v>
      </c>
      <c r="Q243" t="str">
        <f>IF(
 tblTargetStatus[[#This Row],[Status]]&lt;&gt;"BLOCKED",
 tblTargetStatus[[#This Row],[Status]],
 IF(
  AND(
   tblTargetStatus[[#This Row],[MissingDependencies]]=1,
   tblTargetStatus[[#This Row],[FirstMissingStatus]]="READY"
  ),
  "ONE AWAY",
  "BLOCKED"
 )
)</f>
        <v>BLOCKED</v>
      </c>
      <c r="R243">
        <f>IF(
 OR(
  tblTargetStatus[[#This Row],[StateType]]="CHARACTER",
  RIGHT(tblTargetStatus[[#This Row],[TargetID]],6)=".maxed"
 ),
 0,
 _xlfn.LET(
  _xlpm.sort,
   _xlfn.XLOOKUP(
    tblTargetStatus[[#This Row],[TargetID]],
    tblChecklist[TargetID],
    tblChecklist[PlayerSort],
    0
   ),
  IF(_xlpm.sort=0,500,_xlpm.sort)
 )
)</f>
        <v>29</v>
      </c>
      <c r="S243" t="str" cm="1">
        <f t="array" ref="S24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43" t="str">
        <f>_xlfn.XLOOKUP(tblTargetStatus[[#This Row],[TargetID]],tblTargets[TargetID],tblTargets[CompletionMethod],"")</f>
        <v>PLAYER</v>
      </c>
      <c r="U243" t="b">
        <f>COUNTIF(
    tblCost[TargetID],
    tblTargetStatus[[#This Row],[TargetID]]
)&gt;0</f>
        <v>1</v>
      </c>
      <c r="V243" s="81">
        <f>IF(tblTargetStatus[[#This Row],[HasCost]]=FALSE,
"N/A",
_xlfn.XLOOKUP(
tblTargetStatus[[#This Row],[TargetID]],
tblCost[TargetID],
tblCost[FundingPercent],
""
)
)</f>
        <v>0</v>
      </c>
      <c r="W243">
        <f>IF(
COUNTIF(tblCost[TargetID],tblTargetStatus[[#This Row],[TargetID]])=0,
"",
_xlfn.XLOOKUP(
tblTargetStatus[[#This Row],[TargetID]],
tblCost[TargetID],
tblCost[RemainingRequirements],
""
)
)</f>
        <v>7</v>
      </c>
      <c r="X243" s="79" t="b">
        <f>IF(tblTargetStatus[[#This Row],[HasCost]]=FALSE,"N/A",_xlfn.XLOOKUP(
tblTargetStatus[[#This Row],[TargetID]],
tblCost[TargetID],
tblCost[TargetFunded],
TRUE
))</f>
        <v>0</v>
      </c>
      <c r="Y243" t="str" cm="1">
        <f t="array" ref="Y243">_xlfn.TEXTJOIN(
", ",
TRUE,
_xlfn._xlws.FILTER(
tblCost[ResourceID]&amp;": "&amp;tblCost[QuantityRequired],
(tblCost[TargetID]=tblTargetStatus[[#This Row],[TargetID]])*
(tblCost[PlayerPaid]=FALSE),
""
)
)</f>
        <v>ginkgo: 20, grimoire: 20, herbs: 10, mercury: 10, silk: 10, teeth: 2, velour: 12</v>
      </c>
      <c r="Z2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3" t="str" cm="1">
        <f t="array" ref="AA24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4" spans="1:27">
      <c r="A244" t="s">
        <v>2661</v>
      </c>
      <c r="B244" t="str">
        <f>_xlfn.XLOOKUP(tblTargetStatus[[#This Row],[TargetID]],tblTargets[TargetID],tblTargets[DisplayName],"")</f>
        <v>Helmet</v>
      </c>
      <c r="C244" t="str">
        <f>IF(tblTargetStatus[[#This Row],[PlayerCompleted]],"COMPLETED",IF(tblTargetStatus[[#This Row],[MissingDependencies]]=0,"READY","BLOCKED"))</f>
        <v>BLOCKED</v>
      </c>
      <c r="D2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4" t="str">
        <f>_xlfn.XLOOKUP(tblTargetStatus[[#This Row],[TargetID]],tblTargets[TargetID],tblTargets[TargetType],"")</f>
        <v>CRAFTIFACT</v>
      </c>
      <c r="F244" t="str">
        <f>_xlfn.XLOOKUP(tblTargetStatus[[#This Row],[TargetID]],tblTargets[TargetID],tblTargets[StateType])</f>
        <v/>
      </c>
      <c r="G244">
        <f>_xlfn.LET(
_xlpm.id,tblTargetStatus[[#This Row],[TargetID]],
_xlpm.depCount,COUNTIF(tblDependencies[TargetID],_xlpm.id),
_xlpm.objCount,COUNTIF(tblQuestObjectives[QuestTargetID],_xlpm.id),
_xlpm.depCount+_xlpm.objCount
)</f>
        <v>2</v>
      </c>
      <c r="H244">
        <f>tblTargetStatus[[#This Row],[DependencyCount]]</f>
        <v>2</v>
      </c>
      <c r="I244" cm="1">
        <f t="array" ref="I2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4">
        <f>tblTargetStatus[[#This Row],[CompletedDependencyCount]]</f>
        <v>0</v>
      </c>
      <c r="K244" t="b">
        <f>tblTargetStatus[[#This Row],[CompletedDependencies]]=tblTargetStatus[[#This Row],[TotalDependencies]]</f>
        <v>0</v>
      </c>
      <c r="L244">
        <f>tblTargetStatus[[#This Row],[TotalDependencies]]-tblTargetStatus[[#This Row],[CompletedDependencies]]</f>
        <v>2</v>
      </c>
      <c r="M244" t="str" cm="1">
        <f t="array" ref="M2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building.tailor@3</v>
      </c>
      <c r="N244" t="str">
        <f>IF(tblTargetStatus[[#This Row],[FirstMissingDependencyID]]="","",_xlfn.XLOOKUP(tblTargetStatus[[#This Row],[FirstMissingDependencyID]],tblTargets[TargetID],tblTargets[DisplayName],tblTargetStatus[[#This Row],[FirstMissingDependencyID]]))</f>
        <v>Tailor Lv 3</v>
      </c>
      <c r="O244" s="2" t="str" cm="1">
        <f t="array" ref="O2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crypto,40 msteel,20 page,1 scroll</v>
      </c>
      <c r="P244" t="str">
        <f>IF(tblTargetStatus[[#This Row],[FirstMissingDependencyID]]="","",_xlfn.XLOOKUP(tblTargetStatus[[#This Row],[FirstMissingDependencyID]],tblTargetStatus[TargetID],tblTargetStatus[Status],""))</f>
        <v>BLOCKED</v>
      </c>
      <c r="Q244" t="str">
        <f>IF(
 tblTargetStatus[[#This Row],[Status]]&lt;&gt;"BLOCKED",
 tblTargetStatus[[#This Row],[Status]],
 IF(
  AND(
   tblTargetStatus[[#This Row],[MissingDependencies]]=1,
   tblTargetStatus[[#This Row],[FirstMissingStatus]]="READY"
  ),
  "ONE AWAY",
  "BLOCKED"
 )
)</f>
        <v>BLOCKED</v>
      </c>
      <c r="R244">
        <f>IF(
 OR(
  tblTargetStatus[[#This Row],[StateType]]="CHARACTER",
  RIGHT(tblTargetStatus[[#This Row],[TargetID]],6)=".maxed"
 ),
 0,
 _xlfn.LET(
  _xlpm.sort,
   _xlfn.XLOOKUP(
    tblTargetStatus[[#This Row],[TargetID]],
    tblChecklist[TargetID],
    tblChecklist[PlayerSort],
    0
   ),
  IF(_xlpm.sort=0,500,_xlpm.sort)
 )
)</f>
        <v>500</v>
      </c>
      <c r="S244" t="str" cm="1">
        <f t="array" ref="S24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44" t="str">
        <f>_xlfn.XLOOKUP(tblTargetStatus[[#This Row],[TargetID]],tblTargets[TargetID],tblTargets[CompletionMethod],"")</f>
        <v>PLAYER</v>
      </c>
      <c r="U244" t="b">
        <f>COUNTIF(
    tblCost[TargetID],
    tblTargetStatus[[#This Row],[TargetID]]
)&gt;0</f>
        <v>1</v>
      </c>
      <c r="V244" s="81">
        <f>IF(tblTargetStatus[[#This Row],[HasCost]]=FALSE,
"N/A",
_xlfn.XLOOKUP(
tblTargetStatus[[#This Row],[TargetID]],
tblCost[TargetID],
tblCost[FundingPercent],
""
)
)</f>
        <v>0</v>
      </c>
      <c r="W244">
        <f>IF(
COUNTIF(tblCost[TargetID],tblTargetStatus[[#This Row],[TargetID]])=0,
"",
_xlfn.XLOOKUP(
tblTargetStatus[[#This Row],[TargetID]],
tblCost[TargetID],
tblCost[RemainingRequirements],
""
)
)</f>
        <v>4</v>
      </c>
      <c r="X244" s="79" t="b">
        <f>IF(tblTargetStatus[[#This Row],[HasCost]]=FALSE,"N/A",_xlfn.XLOOKUP(
tblTargetStatus[[#This Row],[TargetID]],
tblCost[TargetID],
tblCost[TargetFunded],
TRUE
))</f>
        <v>0</v>
      </c>
      <c r="Y244" t="str" cm="1">
        <f t="array" ref="Y244">_xlfn.TEXTJOIN(
", ",
TRUE,
_xlfn._xlws.FILTER(
tblCost[ResourceID]&amp;": "&amp;tblCost[QuantityRequired],
(tblCost[TargetID]=tblTargetStatus[[#This Row],[TargetID]])*
(tblCost[PlayerPaid]=FALSE),
""
)
)</f>
        <v>crypto: 100, msteel: 40, page: 20, scroll: 1</v>
      </c>
      <c r="Z2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4" t="str" cm="1">
        <f t="array" ref="AA24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5" spans="1:27">
      <c r="A245" t="s">
        <v>2662</v>
      </c>
      <c r="B245" t="str">
        <f>_xlfn.XLOOKUP(tblTargetStatus[[#This Row],[TargetID]],tblTargets[TargetID],tblTargets[DisplayName],"")</f>
        <v>Historical Library</v>
      </c>
      <c r="C245" t="str">
        <f>IF(tblTargetStatus[[#This Row],[PlayerCompleted]],"COMPLETED",IF(tblTargetStatus[[#This Row],[MissingDependencies]]=0,"READY","BLOCKED"))</f>
        <v>BLOCKED</v>
      </c>
      <c r="D2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5" t="str">
        <f>_xlfn.XLOOKUP(tblTargetStatus[[#This Row],[TargetID]],tblTargets[TargetID],tblTargets[TargetType],"")</f>
        <v>CRAFTIFACT</v>
      </c>
      <c r="F245" t="str">
        <f>_xlfn.XLOOKUP(tblTargetStatus[[#This Row],[TargetID]],tblTargets[TargetID],tblTargets[StateType])</f>
        <v/>
      </c>
      <c r="G245">
        <f>_xlfn.LET(
_xlpm.id,tblTargetStatus[[#This Row],[TargetID]],
_xlpm.depCount,COUNTIF(tblDependencies[TargetID],_xlpm.id),
_xlpm.objCount,COUNTIF(tblQuestObjectives[QuestTargetID],_xlpm.id),
_xlpm.depCount+_xlpm.objCount
)</f>
        <v>2</v>
      </c>
      <c r="H245">
        <f>tblTargetStatus[[#This Row],[DependencyCount]]</f>
        <v>2</v>
      </c>
      <c r="I245" cm="1">
        <f t="array" ref="I2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5">
        <f>tblTargetStatus[[#This Row],[CompletedDependencyCount]]</f>
        <v>0</v>
      </c>
      <c r="K245" t="b">
        <f>tblTargetStatus[[#This Row],[CompletedDependencies]]=tblTargetStatus[[#This Row],[TotalDependencies]]</f>
        <v>0</v>
      </c>
      <c r="L245">
        <f>tblTargetStatus[[#This Row],[TotalDependencies]]-tblTargetStatus[[#This Row],[CompletedDependencies]]</f>
        <v>2</v>
      </c>
      <c r="M245" t="str" cm="1">
        <f t="array" ref="M2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245" t="str">
        <f>IF(tblTargetStatus[[#This Row],[FirstMissingDependencyID]]="","",_xlfn.XLOOKUP(tblTargetStatus[[#This Row],[FirstMissingDependencyID]],tblTargets[TargetID],tblTargets[DisplayName],tblTargetStatus[[#This Row],[FirstMissingDependencyID]]))</f>
        <v>Guild Lv 5</v>
      </c>
      <c r="O245" t="str" cm="1">
        <f t="array" ref="O2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blueprint,9 grimoire,40 page,12 scroll</v>
      </c>
      <c r="P245" t="str">
        <f>IF(tblTargetStatus[[#This Row],[FirstMissingDependencyID]]="","",_xlfn.XLOOKUP(tblTargetStatus[[#This Row],[FirstMissingDependencyID]],tblTargetStatus[TargetID],tblTargetStatus[Status],""))</f>
        <v>BLOCKED</v>
      </c>
      <c r="Q245" t="str">
        <f>IF(
 tblTargetStatus[[#This Row],[Status]]&lt;&gt;"BLOCKED",
 tblTargetStatus[[#This Row],[Status]],
 IF(
  AND(
   tblTargetStatus[[#This Row],[MissingDependencies]]=1,
   tblTargetStatus[[#This Row],[FirstMissingStatus]]="READY"
  ),
  "ONE AWAY",
  "BLOCKED"
 )
)</f>
        <v>BLOCKED</v>
      </c>
      <c r="R245">
        <f>IF(
 OR(
  tblTargetStatus[[#This Row],[StateType]]="CHARACTER",
  RIGHT(tblTargetStatus[[#This Row],[TargetID]],6)=".maxed"
 ),
 0,
 _xlfn.LET(
  _xlpm.sort,
   _xlfn.XLOOKUP(
    tblTargetStatus[[#This Row],[TargetID]],
    tblChecklist[TargetID],
    tblChecklist[PlayerSort],
    0
   ),
  IF(_xlpm.sort=0,500,_xlpm.sort)
 )
)</f>
        <v>500</v>
      </c>
      <c r="S245" t="str" cm="1">
        <f t="array" ref="S24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Historical Library 1 Lv 1, Quest for Knowledge Chapter 4 Finished</v>
      </c>
      <c r="T245" t="str">
        <f>_xlfn.XLOOKUP(tblTargetStatus[[#This Row],[TargetID]],tblTargets[TargetID],tblTargets[CompletionMethod],"")</f>
        <v>PLAYER</v>
      </c>
      <c r="U245" t="b">
        <f>COUNTIF(
    tblCost[TargetID],
    tblTargetStatus[[#This Row],[TargetID]]
)&gt;0</f>
        <v>1</v>
      </c>
      <c r="V245" s="81">
        <f>IF(tblTargetStatus[[#This Row],[HasCost]]=FALSE,
"N/A",
_xlfn.XLOOKUP(
tblTargetStatus[[#This Row],[TargetID]],
tblCost[TargetID],
tblCost[FundingPercent],
""
)
)</f>
        <v>0</v>
      </c>
      <c r="W245">
        <f>IF(
COUNTIF(tblCost[TargetID],tblTargetStatus[[#This Row],[TargetID]])=0,
"",
_xlfn.XLOOKUP(
tblTargetStatus[[#This Row],[TargetID]],
tblCost[TargetID],
tblCost[RemainingRequirements],
""
)
)</f>
        <v>4</v>
      </c>
      <c r="X245" s="79" t="b">
        <f>IF(tblTargetStatus[[#This Row],[HasCost]]=FALSE,"N/A",_xlfn.XLOOKUP(
tblTargetStatus[[#This Row],[TargetID]],
tblCost[TargetID],
tblCost[TargetFunded],
TRUE
))</f>
        <v>0</v>
      </c>
      <c r="Y245" t="str" cm="1">
        <f t="array" ref="Y245">_xlfn.TEXTJOIN(
", ",
TRUE,
_xlfn._xlws.FILTER(
tblCost[ResourceID]&amp;": "&amp;tblCost[QuantityRequired],
(tblCost[TargetID]=tblTargetStatus[[#This Row],[TargetID]])*
(tblCost[PlayerPaid]=FALSE),
""
)
)</f>
        <v>blueprint: 15, grimoire: 9, page: 40, scroll: 12</v>
      </c>
      <c r="Z2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5" t="str" cm="1">
        <f t="array" ref="AA24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6" spans="1:27">
      <c r="A246" t="s">
        <v>2663</v>
      </c>
      <c r="B246" t="str">
        <f>_xlfn.XLOOKUP(tblTargetStatus[[#This Row],[TargetID]],tblTargets[TargetID],tblTargets[DisplayName],"")</f>
        <v>Hotei Statuette</v>
      </c>
      <c r="C246" t="str">
        <f>IF(tblTargetStatus[[#This Row],[PlayerCompleted]],"COMPLETED",IF(tblTargetStatus[[#This Row],[MissingDependencies]]=0,"READY","BLOCKED"))</f>
        <v>BLOCKED</v>
      </c>
      <c r="D2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6" t="str">
        <f>_xlfn.XLOOKUP(tblTargetStatus[[#This Row],[TargetID]],tblTargets[TargetID],tblTargets[TargetType],"")</f>
        <v>CRAFTIFACT</v>
      </c>
      <c r="F246" t="str">
        <f>_xlfn.XLOOKUP(tblTargetStatus[[#This Row],[TargetID]],tblTargets[TargetID],tblTargets[StateType])</f>
        <v/>
      </c>
      <c r="G246">
        <f>_xlfn.LET(
_xlpm.id,tblTargetStatus[[#This Row],[TargetID]],
_xlpm.depCount,COUNTIF(tblDependencies[TargetID],_xlpm.id),
_xlpm.objCount,COUNTIF(tblQuestObjectives[QuestTargetID],_xlpm.id),
_xlpm.depCount+_xlpm.objCount
)</f>
        <v>1</v>
      </c>
      <c r="H246">
        <f>tblTargetStatus[[#This Row],[DependencyCount]]</f>
        <v>1</v>
      </c>
      <c r="I246" cm="1">
        <f t="array" ref="I2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6">
        <f>tblTargetStatus[[#This Row],[CompletedDependencyCount]]</f>
        <v>0</v>
      </c>
      <c r="K246" t="b">
        <f>tblTargetStatus[[#This Row],[CompletedDependencies]]=tblTargetStatus[[#This Row],[TotalDependencies]]</f>
        <v>0</v>
      </c>
      <c r="L246">
        <f>tblTargetStatus[[#This Row],[TotalDependencies]]-tblTargetStatus[[#This Row],[CompletedDependencies]]</f>
        <v>1</v>
      </c>
      <c r="M246" t="str" cm="1">
        <f t="array" ref="M2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building.furnace@3</v>
      </c>
      <c r="N246" t="str">
        <f>IF(tblTargetStatus[[#This Row],[FirstMissingDependencyID]]="","",_xlfn.XLOOKUP(tblTargetStatus[[#This Row],[FirstMissingDependencyID]],tblTargets[TargetID],tblTargets[DisplayName],tblTargetStatus[[#This Row],[FirstMissingDependencyID]]))</f>
        <v>Furnace Lv 3</v>
      </c>
      <c r="O246" s="2" t="str" cm="1">
        <f t="array" ref="O2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charcoal,200 coin,200 ingot</v>
      </c>
      <c r="P246" t="str">
        <f>IF(tblTargetStatus[[#This Row],[FirstMissingDependencyID]]="","",_xlfn.XLOOKUP(tblTargetStatus[[#This Row],[FirstMissingDependencyID]],tblTargetStatus[TargetID],tblTargetStatus[Status],""))</f>
        <v>BLOCKED</v>
      </c>
      <c r="Q246" t="str">
        <f>IF(
 tblTargetStatus[[#This Row],[Status]]&lt;&gt;"BLOCKED",
 tblTargetStatus[[#This Row],[Status]],
 IF(
  AND(
   tblTargetStatus[[#This Row],[MissingDependencies]]=1,
   tblTargetStatus[[#This Row],[FirstMissingStatus]]="READY"
  ),
  "ONE AWAY",
  "BLOCKED"
 )
)</f>
        <v>BLOCKED</v>
      </c>
      <c r="R246">
        <f>IF(
 OR(
  tblTargetStatus[[#This Row],[StateType]]="CHARACTER",
  RIGHT(tblTargetStatus[[#This Row],[TargetID]],6)=".maxed"
 ),
 0,
 _xlfn.LET(
  _xlpm.sort,
   _xlfn.XLOOKUP(
    tblTargetStatus[[#This Row],[TargetID]],
    tblChecklist[TargetID],
    tblChecklist[PlayerSort],
    0
   ),
  IF(_xlpm.sort=0,500,_xlpm.sort)
 )
)</f>
        <v>500</v>
      </c>
      <c r="S246" t="str" cm="1">
        <f t="array" ref="S24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46" t="str">
        <f>_xlfn.XLOOKUP(tblTargetStatus[[#This Row],[TargetID]],tblTargets[TargetID],tblTargets[CompletionMethod],"")</f>
        <v>PLAYER</v>
      </c>
      <c r="U246" t="b">
        <f>COUNTIF(
    tblCost[TargetID],
    tblTargetStatus[[#This Row],[TargetID]]
)&gt;0</f>
        <v>1</v>
      </c>
      <c r="V246" s="81">
        <f>IF(tblTargetStatus[[#This Row],[HasCost]]=FALSE,
"N/A",
_xlfn.XLOOKUP(
tblTargetStatus[[#This Row],[TargetID]],
tblCost[TargetID],
tblCost[FundingPercent],
""
)
)</f>
        <v>0</v>
      </c>
      <c r="W246">
        <f>IF(
COUNTIF(tblCost[TargetID],tblTargetStatus[[#This Row],[TargetID]])=0,
"",
_xlfn.XLOOKUP(
tblTargetStatus[[#This Row],[TargetID]],
tblCost[TargetID],
tblCost[RemainingRequirements],
""
)
)</f>
        <v>3</v>
      </c>
      <c r="X246" s="79" t="b">
        <f>IF(tblTargetStatus[[#This Row],[HasCost]]=FALSE,"N/A",_xlfn.XLOOKUP(
tblTargetStatus[[#This Row],[TargetID]],
tblCost[TargetID],
tblCost[TargetFunded],
TRUE
))</f>
        <v>0</v>
      </c>
      <c r="Y246" t="str" cm="1">
        <f t="array" ref="Y246">_xlfn.TEXTJOIN(
", ",
TRUE,
_xlfn._xlws.FILTER(
tblCost[ResourceID]&amp;": "&amp;tblCost[QuantityRequired],
(tblCost[TargetID]=tblTargetStatus[[#This Row],[TargetID]])*
(tblCost[PlayerPaid]=FALSE),
""
)
)</f>
        <v>charcoal: 200, coin: 200, ingot: 200</v>
      </c>
      <c r="Z2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6" t="str" cm="1">
        <f t="array" ref="AA24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7" spans="1:27">
      <c r="A247" t="s">
        <v>2664</v>
      </c>
      <c r="B247" t="str">
        <f>_xlfn.XLOOKUP(tblTargetStatus[[#This Row],[TargetID]],tblTargets[TargetID],tblTargets[DisplayName],"")</f>
        <v>Metal Detector</v>
      </c>
      <c r="C247" t="str">
        <f>IF(tblTargetStatus[[#This Row],[PlayerCompleted]],"COMPLETED",IF(tblTargetStatus[[#This Row],[MissingDependencies]]=0,"READY","BLOCKED"))</f>
        <v>BLOCKED</v>
      </c>
      <c r="D2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7" t="str">
        <f>_xlfn.XLOOKUP(tblTargetStatus[[#This Row],[TargetID]],tblTargets[TargetID],tblTargets[TargetType],"")</f>
        <v>CRAFTIFACT</v>
      </c>
      <c r="F247" t="str">
        <f>_xlfn.XLOOKUP(tblTargetStatus[[#This Row],[TargetID]],tblTargets[TargetID],tblTargets[StateType])</f>
        <v/>
      </c>
      <c r="G247">
        <f>_xlfn.LET(
_xlpm.id,tblTargetStatus[[#This Row],[TargetID]],
_xlpm.depCount,COUNTIF(tblDependencies[TargetID],_xlpm.id),
_xlpm.objCount,COUNTIF(tblQuestObjectives[QuestTargetID],_xlpm.id),
_xlpm.depCount+_xlpm.objCount
)</f>
        <v>2</v>
      </c>
      <c r="H247">
        <f>tblTargetStatus[[#This Row],[DependencyCount]]</f>
        <v>2</v>
      </c>
      <c r="I247" cm="1">
        <f t="array" ref="I2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7">
        <f>tblTargetStatus[[#This Row],[CompletedDependencyCount]]</f>
        <v>0</v>
      </c>
      <c r="K247" t="b">
        <f>tblTargetStatus[[#This Row],[CompletedDependencies]]=tblTargetStatus[[#This Row],[TotalDependencies]]</f>
        <v>0</v>
      </c>
      <c r="L247">
        <f>tblTargetStatus[[#This Row],[TotalDependencies]]-tblTargetStatus[[#This Row],[CompletedDependencies]]</f>
        <v>2</v>
      </c>
      <c r="M247" t="str" cm="1">
        <f t="array" ref="M2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building.dungeon@5</v>
      </c>
      <c r="N247" t="str">
        <f>IF(tblTargetStatus[[#This Row],[FirstMissingDependencyID]]="","",_xlfn.XLOOKUP(tblTargetStatus[[#This Row],[FirstMissingDependencyID]],tblTargets[TargetID],tblTargets[DisplayName],tblTargetStatus[[#This Row],[FirstMissingDependencyID]]))</f>
        <v>Dungeon Lv 5</v>
      </c>
      <c r="O247" t="str" cm="1">
        <f t="array" ref="O2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apy,30 blueprint,10 catalyst,20 chemicals,5 mercury,30 miron,10 reagent,10 tparts</v>
      </c>
      <c r="P247" t="str">
        <f>IF(tblTargetStatus[[#This Row],[FirstMissingDependencyID]]="","",_xlfn.XLOOKUP(tblTargetStatus[[#This Row],[FirstMissingDependencyID]],tblTargetStatus[TargetID],tblTargetStatus[Status],""))</f>
        <v>BLOCKED</v>
      </c>
      <c r="Q247" t="str">
        <f>IF(
 tblTargetStatus[[#This Row],[Status]]&lt;&gt;"BLOCKED",
 tblTargetStatus[[#This Row],[Status]],
 IF(
  AND(
   tblTargetStatus[[#This Row],[MissingDependencies]]=1,
   tblTargetStatus[[#This Row],[FirstMissingStatus]]="READY"
  ),
  "ONE AWAY",
  "BLOCKED"
 )
)</f>
        <v>BLOCKED</v>
      </c>
      <c r="R247">
        <f>IF(
 OR(
  tblTargetStatus[[#This Row],[StateType]]="CHARACTER",
  RIGHT(tblTargetStatus[[#This Row],[TargetID]],6)=".maxed"
 ),
 0,
 _xlfn.LET(
  _xlpm.sort,
   _xlfn.XLOOKUP(
    tblTargetStatus[[#This Row],[TargetID]],
    tblChecklist[TargetID],
    tblChecklist[PlayerSort],
    0
   ),
  IF(_xlpm.sort=0,500,_xlpm.sort)
 )
)</f>
        <v>500</v>
      </c>
      <c r="S247" t="str" cm="1">
        <f t="array" ref="S24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47" t="str">
        <f>_xlfn.XLOOKUP(tblTargetStatus[[#This Row],[TargetID]],tblTargets[TargetID],tblTargets[CompletionMethod],"")</f>
        <v>PLAYER</v>
      </c>
      <c r="U247" t="b">
        <f>COUNTIF(
    tblCost[TargetID],
    tblTargetStatus[[#This Row],[TargetID]]
)&gt;0</f>
        <v>1</v>
      </c>
      <c r="V247" s="81">
        <f>IF(tblTargetStatus[[#This Row],[HasCost]]=FALSE,
"N/A",
_xlfn.XLOOKUP(
tblTargetStatus[[#This Row],[TargetID]],
tblCost[TargetID],
tblCost[FundingPercent],
""
)
)</f>
        <v>0</v>
      </c>
      <c r="W247">
        <f>IF(
COUNTIF(tblCost[TargetID],tblTargetStatus[[#This Row],[TargetID]])=0,
"",
_xlfn.XLOOKUP(
tblTargetStatus[[#This Row],[TargetID]],
tblCost[TargetID],
tblCost[RemainingRequirements],
""
)
)</f>
        <v>8</v>
      </c>
      <c r="X247" s="79" t="b">
        <f>IF(tblTargetStatus[[#This Row],[HasCost]]=FALSE,"N/A",_xlfn.XLOOKUP(
tblTargetStatus[[#This Row],[TargetID]],
tblCost[TargetID],
tblCost[TargetFunded],
TRUE
))</f>
        <v>0</v>
      </c>
      <c r="Y247" t="str" cm="1">
        <f t="array" ref="Y247">_xlfn.TEXTJOIN(
", ",
TRUE,
_xlfn._xlws.FILTER(
tblCost[ResourceID]&amp;": "&amp;tblCost[QuantityRequired],
(tblCost[TargetID]=tblTargetStatus[[#This Row],[TargetID]])*
(tblCost[PlayerPaid]=FALSE),
""
)
)</f>
        <v>apy: 20, blueprint: 30, catalyst: 10, chemicals: 20, mercury: 5, miron: 30, reagent: 10, tparts: 10</v>
      </c>
      <c r="Z2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7" t="str" cm="1">
        <f t="array" ref="AA24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8" spans="1:27">
      <c r="A248" t="s">
        <v>2665</v>
      </c>
      <c r="B248" t="str">
        <f>_xlfn.XLOOKUP(tblTargetStatus[[#This Row],[TargetID]],tblTargets[TargetID],tblTargets[DisplayName],"")</f>
        <v>Necklace For Haruka</v>
      </c>
      <c r="C248" t="str">
        <f>IF(tblTargetStatus[[#This Row],[PlayerCompleted]],"COMPLETED",IF(tblTargetStatus[[#This Row],[MissingDependencies]]=0,"READY","BLOCKED"))</f>
        <v>BLOCKED</v>
      </c>
      <c r="D2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8" t="str">
        <f>_xlfn.XLOOKUP(tblTargetStatus[[#This Row],[TargetID]],tblTargets[TargetID],tblTargets[TargetType],"")</f>
        <v>CRAFTIFACT</v>
      </c>
      <c r="F248" t="str">
        <f>_xlfn.XLOOKUP(tblTargetStatus[[#This Row],[TargetID]],tblTargets[TargetID],tblTargets[StateType])</f>
        <v/>
      </c>
      <c r="G248">
        <f>_xlfn.LET(
_xlpm.id,tblTargetStatus[[#This Row],[TargetID]],
_xlpm.depCount,COUNTIF(tblDependencies[TargetID],_xlpm.id),
_xlpm.objCount,COUNTIF(tblQuestObjectives[QuestTargetID],_xlpm.id),
_xlpm.depCount+_xlpm.objCount
)</f>
        <v>2</v>
      </c>
      <c r="H248">
        <f>tblTargetStatus[[#This Row],[DependencyCount]]</f>
        <v>2</v>
      </c>
      <c r="I248" cm="1">
        <f t="array" ref="I2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8">
        <f>tblTargetStatus[[#This Row],[CompletedDependencyCount]]</f>
        <v>0</v>
      </c>
      <c r="K248" t="b">
        <f>tblTargetStatus[[#This Row],[CompletedDependencies]]=tblTargetStatus[[#This Row],[TotalDependencies]]</f>
        <v>0</v>
      </c>
      <c r="L248">
        <f>tblTargetStatus[[#This Row],[TotalDependencies]]-tblTargetStatus[[#This Row],[CompletedDependencies]]</f>
        <v>2</v>
      </c>
      <c r="M248" t="str" cm="1">
        <f t="array" ref="M2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48" t="str">
        <f>IF(tblTargetStatus[[#This Row],[FirstMissingDependencyID]]="","",_xlfn.XLOOKUP(tblTargetStatus[[#This Row],[FirstMissingDependencyID]],tblTargets[TargetID],tblTargets[DisplayName],tblTargetStatus[[#This Row],[FirstMissingDependencyID]]))</f>
        <v>Workshop Lv 5</v>
      </c>
      <c r="O248" t="str" cm="1">
        <f t="array" ref="O2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pearl,1 thread</v>
      </c>
      <c r="P248" t="str">
        <f>IF(tblTargetStatus[[#This Row],[FirstMissingDependencyID]]="","",_xlfn.XLOOKUP(tblTargetStatus[[#This Row],[FirstMissingDependencyID]],tblTargetStatus[TargetID],tblTargetStatus[Status],""))</f>
        <v>BLOCKED</v>
      </c>
      <c r="Q248" t="str">
        <f>IF(
 tblTargetStatus[[#This Row],[Status]]&lt;&gt;"BLOCKED",
 tblTargetStatus[[#This Row],[Status]],
 IF(
  AND(
   tblTargetStatus[[#This Row],[MissingDependencies]]=1,
   tblTargetStatus[[#This Row],[FirstMissingStatus]]="READY"
  ),
  "ONE AWAY",
  "BLOCKED"
 )
)</f>
        <v>BLOCKED</v>
      </c>
      <c r="R248">
        <f>IF(
 OR(
  tblTargetStatus[[#This Row],[StateType]]="CHARACTER",
  RIGHT(tblTargetStatus[[#This Row],[TargetID]],6)=".maxed"
 ),
 0,
 _xlfn.LET(
  _xlpm.sort,
   _xlfn.XLOOKUP(
    tblTargetStatus[[#This Row],[TargetID]],
    tblChecklist[TargetID],
    tblChecklist[PlayerSort],
    0
   ),
  IF(_xlpm.sort=0,500,_xlpm.sort)
 )
)</f>
        <v>500</v>
      </c>
      <c r="S248" t="str" cm="1">
        <f t="array" ref="S24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48" t="str">
        <f>_xlfn.XLOOKUP(tblTargetStatus[[#This Row],[TargetID]],tblTargets[TargetID],tblTargets[CompletionMethod],"")</f>
        <v>PLAYER</v>
      </c>
      <c r="U248" t="b">
        <f>COUNTIF(
    tblCost[TargetID],
    tblTargetStatus[[#This Row],[TargetID]]
)&gt;0</f>
        <v>1</v>
      </c>
      <c r="V248" s="81">
        <f>IF(tblTargetStatus[[#This Row],[HasCost]]=FALSE,
"N/A",
_xlfn.XLOOKUP(
tblTargetStatus[[#This Row],[TargetID]],
tblCost[TargetID],
tblCost[FundingPercent],
""
)
)</f>
        <v>0</v>
      </c>
      <c r="W248">
        <f>IF(
COUNTIF(tblCost[TargetID],tblTargetStatus[[#This Row],[TargetID]])=0,
"",
_xlfn.XLOOKUP(
tblTargetStatus[[#This Row],[TargetID]],
tblCost[TargetID],
tblCost[RemainingRequirements],
""
)
)</f>
        <v>2</v>
      </c>
      <c r="X248" s="79" t="b">
        <f>IF(tblTargetStatus[[#This Row],[HasCost]]=FALSE,"N/A",_xlfn.XLOOKUP(
tblTargetStatus[[#This Row],[TargetID]],
tblCost[TargetID],
tblCost[TargetFunded],
TRUE
))</f>
        <v>0</v>
      </c>
      <c r="Y248" t="str" cm="1">
        <f t="array" ref="Y248">_xlfn.TEXTJOIN(
", ",
TRUE,
_xlfn._xlws.FILTER(
tblCost[ResourceID]&amp;": "&amp;tblCost[QuantityRequired],
(tblCost[TargetID]=tblTargetStatus[[#This Row],[TargetID]])*
(tblCost[PlayerPaid]=FALSE),
""
)
)</f>
        <v>pearl: 50, thread: 1</v>
      </c>
      <c r="Z2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8" t="str" cm="1">
        <f t="array" ref="AA24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49" spans="1:27" ht="29">
      <c r="A249" t="s">
        <v>2666</v>
      </c>
      <c r="B249" t="str">
        <f>_xlfn.XLOOKUP(tblTargetStatus[[#This Row],[TargetID]],tblTargets[TargetID],tblTargets[DisplayName],"")</f>
        <v>Safe</v>
      </c>
      <c r="C249" t="str">
        <f>IF(tblTargetStatus[[#This Row],[PlayerCompleted]],"COMPLETED",IF(tblTargetStatus[[#This Row],[MissingDependencies]]=0,"READY","BLOCKED"))</f>
        <v>BLOCKED</v>
      </c>
      <c r="D2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9" t="str">
        <f>_xlfn.XLOOKUP(tblTargetStatus[[#This Row],[TargetID]],tblTargets[TargetID],tblTargets[TargetType],"")</f>
        <v>CRAFTIFACT</v>
      </c>
      <c r="F249" t="str">
        <f>_xlfn.XLOOKUP(tblTargetStatus[[#This Row],[TargetID]],tblTargets[TargetID],tblTargets[StateType])</f>
        <v/>
      </c>
      <c r="G249">
        <f>_xlfn.LET(
_xlpm.id,tblTargetStatus[[#This Row],[TargetID]],
_xlpm.depCount,COUNTIF(tblDependencies[TargetID],_xlpm.id),
_xlpm.objCount,COUNTIF(tblQuestObjectives[QuestTargetID],_xlpm.id),
_xlpm.depCount+_xlpm.objCount
)</f>
        <v>2</v>
      </c>
      <c r="H249">
        <f>tblTargetStatus[[#This Row],[DependencyCount]]</f>
        <v>2</v>
      </c>
      <c r="I249" cm="1">
        <f t="array" ref="I2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9">
        <f>tblTargetStatus[[#This Row],[CompletedDependencyCount]]</f>
        <v>0</v>
      </c>
      <c r="K249" t="b">
        <f>tblTargetStatus[[#This Row],[CompletedDependencies]]=tblTargetStatus[[#This Row],[TotalDependencies]]</f>
        <v>0</v>
      </c>
      <c r="L249">
        <f>tblTargetStatus[[#This Row],[TotalDependencies]]-tblTargetStatus[[#This Row],[CompletedDependencies]]</f>
        <v>2</v>
      </c>
      <c r="M249" t="str" cm="1">
        <f t="array" ref="M2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49" t="str">
        <f>IF(tblTargetStatus[[#This Row],[FirstMissingDependencyID]]="","",_xlfn.XLOOKUP(tblTargetStatus[[#This Row],[FirstMissingDependencyID]],tblTargets[TargetID],tblTargets[DisplayName],tblTargetStatus[[#This Row],[FirstMissingDependencyID]]))</f>
        <v>Workshop Lv 5</v>
      </c>
      <c r="O249" s="2" t="str" cm="1">
        <f t="array" ref="O2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blueprint,500 coin,10 mechanism,50 msteel,500 steel</v>
      </c>
      <c r="P249" t="str">
        <f>IF(tblTargetStatus[[#This Row],[FirstMissingDependencyID]]="","",_xlfn.XLOOKUP(tblTargetStatus[[#This Row],[FirstMissingDependencyID]],tblTargetStatus[TargetID],tblTargetStatus[Status],""))</f>
        <v>BLOCKED</v>
      </c>
      <c r="Q249" t="str">
        <f>IF(
 tblTargetStatus[[#This Row],[Status]]&lt;&gt;"BLOCKED",
 tblTargetStatus[[#This Row],[Status]],
 IF(
  AND(
   tblTargetStatus[[#This Row],[MissingDependencies]]=1,
   tblTargetStatus[[#This Row],[FirstMissingStatus]]="READY"
  ),
  "ONE AWAY",
  "BLOCKED"
 )
)</f>
        <v>BLOCKED</v>
      </c>
      <c r="R249">
        <f>IF(
 OR(
  tblTargetStatus[[#This Row],[StateType]]="CHARACTER",
  RIGHT(tblTargetStatus[[#This Row],[TargetID]],6)=".maxed"
 ),
 0,
 _xlfn.LET(
  _xlpm.sort,
   _xlfn.XLOOKUP(
    tblTargetStatus[[#This Row],[TargetID]],
    tblChecklist[TargetID],
    tblChecklist[PlayerSort],
    0
   ),
  IF(_xlpm.sort=0,500,_xlpm.sort)
 )
)</f>
        <v>500</v>
      </c>
      <c r="S249" t="str" cm="1">
        <f t="array" ref="S24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49" t="str">
        <f>_xlfn.XLOOKUP(tblTargetStatus[[#This Row],[TargetID]],tblTargets[TargetID],tblTargets[CompletionMethod],"")</f>
        <v>PLAYER</v>
      </c>
      <c r="U249" t="b">
        <f>COUNTIF(
    tblCost[TargetID],
    tblTargetStatus[[#This Row],[TargetID]]
)&gt;0</f>
        <v>1</v>
      </c>
      <c r="V249" s="81">
        <f>IF(tblTargetStatus[[#This Row],[HasCost]]=FALSE,
"N/A",
_xlfn.XLOOKUP(
tblTargetStatus[[#This Row],[TargetID]],
tblCost[TargetID],
tblCost[FundingPercent],
""
)
)</f>
        <v>0</v>
      </c>
      <c r="W249">
        <f>IF(
COUNTIF(tblCost[TargetID],tblTargetStatus[[#This Row],[TargetID]])=0,
"",
_xlfn.XLOOKUP(
tblTargetStatus[[#This Row],[TargetID]],
tblCost[TargetID],
tblCost[RemainingRequirements],
""
)
)</f>
        <v>5</v>
      </c>
      <c r="X249" s="79" t="b">
        <f>IF(tblTargetStatus[[#This Row],[HasCost]]=FALSE,"N/A",_xlfn.XLOOKUP(
tblTargetStatus[[#This Row],[TargetID]],
tblCost[TargetID],
tblCost[TargetFunded],
TRUE
))</f>
        <v>0</v>
      </c>
      <c r="Y249" t="str" cm="1">
        <f t="array" ref="Y249">_xlfn.TEXTJOIN(
", ",
TRUE,
_xlfn._xlws.FILTER(
tblCost[ResourceID]&amp;": "&amp;tblCost[QuantityRequired],
(tblCost[TargetID]=tblTargetStatus[[#This Row],[TargetID]])*
(tblCost[PlayerPaid]=FALSE),
""
)
)</f>
        <v>blueprint: 30, coin: 500, mechanism: 10, msteel: 50, steel: 500</v>
      </c>
      <c r="Z2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9" t="str" cm="1">
        <f t="array" ref="AA24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50" spans="1:27">
      <c r="A250" t="s">
        <v>2667</v>
      </c>
      <c r="B250" t="str">
        <f>_xlfn.XLOOKUP(tblTargetStatus[[#This Row],[TargetID]],tblTargets[TargetID],tblTargets[DisplayName],"")</f>
        <v>Solver 1 Prototype</v>
      </c>
      <c r="C250" t="str">
        <f>IF(tblTargetStatus[[#This Row],[PlayerCompleted]],"COMPLETED",IF(tblTargetStatus[[#This Row],[MissingDependencies]]=0,"READY","BLOCKED"))</f>
        <v>BLOCKED</v>
      </c>
      <c r="D2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0" t="str">
        <f>_xlfn.XLOOKUP(tblTargetStatus[[#This Row],[TargetID]],tblTargets[TargetID],tblTargets[TargetType],"")</f>
        <v>CRAFTIFACT</v>
      </c>
      <c r="F250" t="str">
        <f>_xlfn.XLOOKUP(tblTargetStatus[[#This Row],[TargetID]],tblTargets[TargetID],tblTargets[StateType])</f>
        <v/>
      </c>
      <c r="G250">
        <f>_xlfn.LET(
_xlpm.id,tblTargetStatus[[#This Row],[TargetID]],
_xlpm.depCount,COUNTIF(tblDependencies[TargetID],_xlpm.id),
_xlpm.objCount,COUNTIF(tblQuestObjectives[QuestTargetID],_xlpm.id),
_xlpm.depCount+_xlpm.objCount
)</f>
        <v>2</v>
      </c>
      <c r="H250">
        <f>tblTargetStatus[[#This Row],[DependencyCount]]</f>
        <v>2</v>
      </c>
      <c r="I250" cm="1">
        <f t="array" ref="I2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0">
        <f>tblTargetStatus[[#This Row],[CompletedDependencyCount]]</f>
        <v>0</v>
      </c>
      <c r="K250" t="b">
        <f>tblTargetStatus[[#This Row],[CompletedDependencies]]=tblTargetStatus[[#This Row],[TotalDependencies]]</f>
        <v>0</v>
      </c>
      <c r="L250">
        <f>tblTargetStatus[[#This Row],[TotalDependencies]]-tblTargetStatus[[#This Row],[CompletedDependencies]]</f>
        <v>2</v>
      </c>
      <c r="M250" t="str" cm="1">
        <f t="array" ref="M2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50" t="str">
        <f>IF(tblTargetStatus[[#This Row],[FirstMissingDependencyID]]="","",_xlfn.XLOOKUP(tblTargetStatus[[#This Row],[FirstMissingDependencyID]],tblTargets[TargetID],tblTargets[DisplayName],tblTargetStatus[[#This Row],[FirstMissingDependencyID]]))</f>
        <v>Workshop Lv 5</v>
      </c>
      <c r="O250" t="str" cm="1">
        <f t="array" ref="O2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32 blueprint,16 ingot,8 malu,16 mechanism,4 pcard,40 tparts</v>
      </c>
      <c r="P250" t="str">
        <f>IF(tblTargetStatus[[#This Row],[FirstMissingDependencyID]]="","",_xlfn.XLOOKUP(tblTargetStatus[[#This Row],[FirstMissingDependencyID]],tblTargetStatus[TargetID],tblTargetStatus[Status],""))</f>
        <v>BLOCKED</v>
      </c>
      <c r="Q250" t="str">
        <f>IF(
 tblTargetStatus[[#This Row],[Status]]&lt;&gt;"BLOCKED",
 tblTargetStatus[[#This Row],[Status]],
 IF(
  AND(
   tblTargetStatus[[#This Row],[MissingDependencies]]=1,
   tblTargetStatus[[#This Row],[FirstMissingStatus]]="READY"
  ),
  "ONE AWAY",
  "BLOCKED"
 )
)</f>
        <v>BLOCKED</v>
      </c>
      <c r="R250">
        <f>IF(
 OR(
  tblTargetStatus[[#This Row],[StateType]]="CHARACTER",
  RIGHT(tblTargetStatus[[#This Row],[TargetID]],6)=".maxed"
 ),
 0,
 _xlfn.LET(
  _xlpm.sort,
   _xlfn.XLOOKUP(
    tblTargetStatus[[#This Row],[TargetID]],
    tblChecklist[TargetID],
    tblChecklist[PlayerSort],
    0
   ),
  IF(_xlpm.sort=0,500,_xlpm.sort)
 )
)</f>
        <v>500</v>
      </c>
      <c r="S250" t="str" cm="1">
        <f t="array" ref="S25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Lv 1, Ahead of Time Chapter 1 Accepted, Meet mechanical adventurer in Dungeon 3A, Once Upon a Forest Chapter 14 Finished</v>
      </c>
      <c r="T250" t="str">
        <f>_xlfn.XLOOKUP(tblTargetStatus[[#This Row],[TargetID]],tblTargets[TargetID],tblTargets[CompletionMethod],"")</f>
        <v>PLAYER</v>
      </c>
      <c r="U250" t="b">
        <f>COUNTIF(
    tblCost[TargetID],
    tblTargetStatus[[#This Row],[TargetID]]
)&gt;0</f>
        <v>1</v>
      </c>
      <c r="V250" s="81">
        <f>IF(tblTargetStatus[[#This Row],[HasCost]]=FALSE,
"N/A",
_xlfn.XLOOKUP(
tblTargetStatus[[#This Row],[TargetID]],
tblCost[TargetID],
tblCost[FundingPercent],
""
)
)</f>
        <v>0</v>
      </c>
      <c r="W250">
        <f>IF(
COUNTIF(tblCost[TargetID],tblTargetStatus[[#This Row],[TargetID]])=0,
"",
_xlfn.XLOOKUP(
tblTargetStatus[[#This Row],[TargetID]],
tblCost[TargetID],
tblCost[RemainingRequirements],
""
)
)</f>
        <v>6</v>
      </c>
      <c r="X250" s="79" t="b">
        <f>IF(tblTargetStatus[[#This Row],[HasCost]]=FALSE,"N/A",_xlfn.XLOOKUP(
tblTargetStatus[[#This Row],[TargetID]],
tblCost[TargetID],
tblCost[TargetFunded],
TRUE
))</f>
        <v>0</v>
      </c>
      <c r="Y250" t="str" cm="1">
        <f t="array" ref="Y250">_xlfn.TEXTJOIN(
", ",
TRUE,
_xlfn._xlws.FILTER(
tblCost[ResourceID]&amp;": "&amp;tblCost[QuantityRequired],
(tblCost[TargetID]=tblTargetStatus[[#This Row],[TargetID]])*
(tblCost[PlayerPaid]=FALSE),
""
)
)</f>
        <v>blueprint: 32, ingot: 16, malu: 8, mechanism: 16, pcard: 4, tparts: 40</v>
      </c>
      <c r="Z2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0" t="str" cm="1">
        <f t="array" ref="AA25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1</v>
      </c>
    </row>
    <row r="251" spans="1:27">
      <c r="A251" t="s">
        <v>2668</v>
      </c>
      <c r="B251" t="str">
        <f>_xlfn.XLOOKUP(tblTargetStatus[[#This Row],[TargetID]],tblTargets[TargetID],tblTargets[DisplayName],"")</f>
        <v>Telescope</v>
      </c>
      <c r="C251" t="str">
        <f>IF(tblTargetStatus[[#This Row],[PlayerCompleted]],"COMPLETED",IF(tblTargetStatus[[#This Row],[MissingDependencies]]=0,"READY","BLOCKED"))</f>
        <v>BLOCKED</v>
      </c>
      <c r="D2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1" t="str">
        <f>_xlfn.XLOOKUP(tblTargetStatus[[#This Row],[TargetID]],tblTargets[TargetID],tblTargets[TargetType],"")</f>
        <v>CRAFTIFACT</v>
      </c>
      <c r="F251" t="str">
        <f>_xlfn.XLOOKUP(tblTargetStatus[[#This Row],[TargetID]],tblTargets[TargetID],tblTargets[StateType])</f>
        <v/>
      </c>
      <c r="G251">
        <f>_xlfn.LET(
_xlpm.id,tblTargetStatus[[#This Row],[TargetID]],
_xlpm.depCount,COUNTIF(tblDependencies[TargetID],_xlpm.id),
_xlpm.objCount,COUNTIF(tblQuestObjectives[QuestTargetID],_xlpm.id),
_xlpm.depCount+_xlpm.objCount
)</f>
        <v>2</v>
      </c>
      <c r="H251">
        <f>tblTargetStatus[[#This Row],[DependencyCount]]</f>
        <v>2</v>
      </c>
      <c r="I251" cm="1">
        <f t="array" ref="I2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1">
        <f>tblTargetStatus[[#This Row],[CompletedDependencyCount]]</f>
        <v>0</v>
      </c>
      <c r="K251" t="b">
        <f>tblTargetStatus[[#This Row],[CompletedDependencies]]=tblTargetStatus[[#This Row],[TotalDependencies]]</f>
        <v>0</v>
      </c>
      <c r="L251">
        <f>tblTargetStatus[[#This Row],[TotalDependencies]]-tblTargetStatus[[#This Row],[CompletedDependencies]]</f>
        <v>2</v>
      </c>
      <c r="M251" t="str" cm="1">
        <f t="array" ref="M2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51" t="str">
        <f>IF(tblTargetStatus[[#This Row],[FirstMissingDependencyID]]="","",_xlfn.XLOOKUP(tblTargetStatus[[#This Row],[FirstMissingDependencyID]],tblTargets[TargetID],tblTargets[DisplayName],tblTargetStatus[[#This Row],[FirstMissingDependencyID]]))</f>
        <v>Workshop Lv 5</v>
      </c>
      <c r="O251" s="2" t="str" cm="1">
        <f t="array" ref="O2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blueprint,60 glass,20 mechanism,5 ruby</v>
      </c>
      <c r="P251" t="str">
        <f>IF(tblTargetStatus[[#This Row],[FirstMissingDependencyID]]="","",_xlfn.XLOOKUP(tblTargetStatus[[#This Row],[FirstMissingDependencyID]],tblTargetStatus[TargetID],tblTargetStatus[Status],""))</f>
        <v>BLOCKED</v>
      </c>
      <c r="Q251" t="str">
        <f>IF(
 tblTargetStatus[[#This Row],[Status]]&lt;&gt;"BLOCKED",
 tblTargetStatus[[#This Row],[Status]],
 IF(
  AND(
   tblTargetStatus[[#This Row],[MissingDependencies]]=1,
   tblTargetStatus[[#This Row],[FirstMissingStatus]]="READY"
  ),
  "ONE AWAY",
  "BLOCKED"
 )
)</f>
        <v>BLOCKED</v>
      </c>
      <c r="R251">
        <f>IF(
 OR(
  tblTargetStatus[[#This Row],[StateType]]="CHARACTER",
  RIGHT(tblTargetStatus[[#This Row],[TargetID]],6)=".maxed"
 ),
 0,
 _xlfn.LET(
  _xlpm.sort,
   _xlfn.XLOOKUP(
    tblTargetStatus[[#This Row],[TargetID]],
    tblChecklist[TargetID],
    tblChecklist[PlayerSort],
    0
   ),
  IF(_xlpm.sort=0,500,_xlpm.sort)
 )
)</f>
        <v>500</v>
      </c>
      <c r="S251" t="str" cm="1">
        <f t="array" ref="S25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Lv 1, Quest for Knowledge Chapter 5 Finished</v>
      </c>
      <c r="T251" t="str">
        <f>_xlfn.XLOOKUP(tblTargetStatus[[#This Row],[TargetID]],tblTargets[TargetID],tblTargets[CompletionMethod],"")</f>
        <v>PLAYER</v>
      </c>
      <c r="U251" t="b">
        <f>COUNTIF(
    tblCost[TargetID],
    tblTargetStatus[[#This Row],[TargetID]]
)&gt;0</f>
        <v>1</v>
      </c>
      <c r="V251" s="81">
        <f>IF(tblTargetStatus[[#This Row],[HasCost]]=FALSE,
"N/A",
_xlfn.XLOOKUP(
tblTargetStatus[[#This Row],[TargetID]],
tblCost[TargetID],
tblCost[FundingPercent],
""
)
)</f>
        <v>0</v>
      </c>
      <c r="W251">
        <f>IF(
COUNTIF(tblCost[TargetID],tblTargetStatus[[#This Row],[TargetID]])=0,
"",
_xlfn.XLOOKUP(
tblTargetStatus[[#This Row],[TargetID]],
tblCost[TargetID],
tblCost[RemainingRequirements],
""
)
)</f>
        <v>4</v>
      </c>
      <c r="X251" s="79" t="b">
        <f>IF(tblTargetStatus[[#This Row],[HasCost]]=FALSE,"N/A",_xlfn.XLOOKUP(
tblTargetStatus[[#This Row],[TargetID]],
tblCost[TargetID],
tblCost[TargetFunded],
TRUE
))</f>
        <v>0</v>
      </c>
      <c r="Y251" t="str" cm="1">
        <f t="array" ref="Y251">_xlfn.TEXTJOIN(
", ",
TRUE,
_xlfn._xlws.FILTER(
tblCost[ResourceID]&amp;": "&amp;tblCost[QuantityRequired],
(tblCost[TargetID]=tblTargetStatus[[#This Row],[TargetID]])*
(tblCost[PlayerPaid]=FALSE),
""
)
)</f>
        <v>blueprint: 40, glass: 60, mechanism: 20, ruby: 5</v>
      </c>
      <c r="Z2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1" t="str" cm="1">
        <f t="array" ref="AA25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52" spans="1:27" ht="29">
      <c r="A252" t="s">
        <v>2669</v>
      </c>
      <c r="B252" t="str">
        <f>_xlfn.XLOOKUP(tblTargetStatus[[#This Row],[TargetID]],tblTargets[TargetID],tblTargets[DisplayName],"")</f>
        <v>Tetrachloroaurate</v>
      </c>
      <c r="C252" t="str">
        <f>IF(tblTargetStatus[[#This Row],[PlayerCompleted]],"COMPLETED",IF(tblTargetStatus[[#This Row],[MissingDependencies]]=0,"READY","BLOCKED"))</f>
        <v>BLOCKED</v>
      </c>
      <c r="D2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2" t="str">
        <f>_xlfn.XLOOKUP(tblTargetStatus[[#This Row],[TargetID]],tblTargets[TargetID],tblTargets[TargetType],"")</f>
        <v>CRAFTIFACT</v>
      </c>
      <c r="F252" t="str">
        <f>_xlfn.XLOOKUP(tblTargetStatus[[#This Row],[TargetID]],tblTargets[TargetID],tblTargets[StateType])</f>
        <v/>
      </c>
      <c r="G252">
        <f>_xlfn.LET(
_xlpm.id,tblTargetStatus[[#This Row],[TargetID]],
_xlpm.depCount,COUNTIF(tblDependencies[TargetID],_xlpm.id),
_xlpm.objCount,COUNTIF(tblQuestObjectives[QuestTargetID],_xlpm.id),
_xlpm.depCount+_xlpm.objCount
)</f>
        <v>2</v>
      </c>
      <c r="H252">
        <f>tblTargetStatus[[#This Row],[DependencyCount]]</f>
        <v>2</v>
      </c>
      <c r="I252" cm="1">
        <f t="array" ref="I2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2">
        <f>tblTargetStatus[[#This Row],[CompletedDependencyCount]]</f>
        <v>0</v>
      </c>
      <c r="K252" t="b">
        <f>tblTargetStatus[[#This Row],[CompletedDependencies]]=tblTargetStatus[[#This Row],[TotalDependencies]]</f>
        <v>0</v>
      </c>
      <c r="L252">
        <f>tblTargetStatus[[#This Row],[TotalDependencies]]-tblTargetStatus[[#This Row],[CompletedDependencies]]</f>
        <v>2</v>
      </c>
      <c r="M252" t="str" cm="1">
        <f t="array" ref="M2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building.alchemists_hut@6</v>
      </c>
      <c r="N252" t="str">
        <f>IF(tblTargetStatus[[#This Row],[FirstMissingDependencyID]]="","",_xlfn.XLOOKUP(tblTargetStatus[[#This Row],[FirstMissingDependencyID]],tblTargets[TargetID],tblTargets[DisplayName],tblTargetStatus[[#This Row],[FirstMissingDependencyID]]))</f>
        <v>Alchemist's Hut Lv 6</v>
      </c>
      <c r="O252" s="2" t="str" cm="1">
        <f t="array" ref="O2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catalyst,50 chemicals,30 glass,50 ingot,40 reagent</v>
      </c>
      <c r="P252" t="str">
        <f>IF(tblTargetStatus[[#This Row],[FirstMissingDependencyID]]="","",_xlfn.XLOOKUP(tblTargetStatus[[#This Row],[FirstMissingDependencyID]],tblTargetStatus[TargetID],tblTargetStatus[Status],""))</f>
        <v>BLOCKED</v>
      </c>
      <c r="Q252" t="str">
        <f>IF(
 tblTargetStatus[[#This Row],[Status]]&lt;&gt;"BLOCKED",
 tblTargetStatus[[#This Row],[Status]],
 IF(
  AND(
   tblTargetStatus[[#This Row],[MissingDependencies]]=1,
   tblTargetStatus[[#This Row],[FirstMissingStatus]]="READY"
  ),
  "ONE AWAY",
  "BLOCKED"
 )
)</f>
        <v>BLOCKED</v>
      </c>
      <c r="R252">
        <f>IF(
 OR(
  tblTargetStatus[[#This Row],[StateType]]="CHARACTER",
  RIGHT(tblTargetStatus[[#This Row],[TargetID]],6)=".maxed"
 ),
 0,
 _xlfn.LET(
  _xlpm.sort,
   _xlfn.XLOOKUP(
    tblTargetStatus[[#This Row],[TargetID]],
    tblChecklist[TargetID],
    tblChecklist[PlayerSort],
    0
   ),
  IF(_xlpm.sort=0,500,_xlpm.sort)
 )
)</f>
        <v>500</v>
      </c>
      <c r="S252" t="str" cm="1">
        <f t="array" ref="S25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52" t="str">
        <f>_xlfn.XLOOKUP(tblTargetStatus[[#This Row],[TargetID]],tblTargets[TargetID],tblTargets[CompletionMethod],"")</f>
        <v>PLAYER</v>
      </c>
      <c r="U252" t="b">
        <f>COUNTIF(
    tblCost[TargetID],
    tblTargetStatus[[#This Row],[TargetID]]
)&gt;0</f>
        <v>1</v>
      </c>
      <c r="V252" s="81">
        <f>IF(tblTargetStatus[[#This Row],[HasCost]]=FALSE,
"N/A",
_xlfn.XLOOKUP(
tblTargetStatus[[#This Row],[TargetID]],
tblCost[TargetID],
tblCost[FundingPercent],
""
)
)</f>
        <v>0</v>
      </c>
      <c r="W252">
        <f>IF(
COUNTIF(tblCost[TargetID],tblTargetStatus[[#This Row],[TargetID]])=0,
"",
_xlfn.XLOOKUP(
tblTargetStatus[[#This Row],[TargetID]],
tblCost[TargetID],
tblCost[RemainingRequirements],
""
)
)</f>
        <v>5</v>
      </c>
      <c r="X252" s="79" t="b">
        <f>IF(tblTargetStatus[[#This Row],[HasCost]]=FALSE,"N/A",_xlfn.XLOOKUP(
tblTargetStatus[[#This Row],[TargetID]],
tblCost[TargetID],
tblCost[TargetFunded],
TRUE
))</f>
        <v>0</v>
      </c>
      <c r="Y252" t="str" cm="1">
        <f t="array" ref="Y252">_xlfn.TEXTJOIN(
", ",
TRUE,
_xlfn._xlws.FILTER(
tblCost[ResourceID]&amp;": "&amp;tblCost[QuantityRequired],
(tblCost[TargetID]=tblTargetStatus[[#This Row],[TargetID]])*
(tblCost[PlayerPaid]=FALSE),
""
)
)</f>
        <v>catalyst: 30, chemicals: 50, glass: 30, ingot: 50, reagent: 40</v>
      </c>
      <c r="Z2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2" t="str" cm="1">
        <f t="array" ref="AA25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53" spans="1:27">
      <c r="A253" t="s">
        <v>2670</v>
      </c>
      <c r="B253" t="str">
        <f>_xlfn.XLOOKUP(tblTargetStatus[[#This Row],[TargetID]],tblTargets[TargetID],tblTargets[DisplayName],"")</f>
        <v>Trigonometry</v>
      </c>
      <c r="C253" t="str">
        <f>IF(tblTargetStatus[[#This Row],[PlayerCompleted]],"COMPLETED",IF(tblTargetStatus[[#This Row],[MissingDependencies]]=0,"READY","BLOCKED"))</f>
        <v>BLOCKED</v>
      </c>
      <c r="D2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3" t="str">
        <f>_xlfn.XLOOKUP(tblTargetStatus[[#This Row],[TargetID]],tblTargets[TargetID],tblTargets[TargetType],"")</f>
        <v>CRAFTIFACT</v>
      </c>
      <c r="F253" t="str">
        <f>_xlfn.XLOOKUP(tblTargetStatus[[#This Row],[TargetID]],tblTargets[TargetID],tblTargets[StateType])</f>
        <v/>
      </c>
      <c r="G253">
        <f>_xlfn.LET(
_xlpm.id,tblTargetStatus[[#This Row],[TargetID]],
_xlpm.depCount,COUNTIF(tblDependencies[TargetID],_xlpm.id),
_xlpm.objCount,COUNTIF(tblQuestObjectives[QuestTargetID],_xlpm.id),
_xlpm.depCount+_xlpm.objCount
)</f>
        <v>2</v>
      </c>
      <c r="H253">
        <f>tblTargetStatus[[#This Row],[DependencyCount]]</f>
        <v>2</v>
      </c>
      <c r="I253" cm="1">
        <f t="array" ref="I2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3">
        <f>tblTargetStatus[[#This Row],[CompletedDependencyCount]]</f>
        <v>0</v>
      </c>
      <c r="K253" t="b">
        <f>tblTargetStatus[[#This Row],[CompletedDependencies]]=tblTargetStatus[[#This Row],[TotalDependencies]]</f>
        <v>0</v>
      </c>
      <c r="L253">
        <f>tblTargetStatus[[#This Row],[TotalDependencies]]-tblTargetStatus[[#This Row],[CompletedDependencies]]</f>
        <v>2</v>
      </c>
      <c r="M253" t="str" cm="1">
        <f t="array" ref="M2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253" t="str">
        <f>IF(tblTargetStatus[[#This Row],[FirstMissingDependencyID]]="","",_xlfn.XLOOKUP(tblTargetStatus[[#This Row],[FirstMissingDependencyID]],tblTargets[TargetID],tblTargets[DisplayName],tblTargetStatus[[#This Row],[FirstMissingDependencyID]]))</f>
        <v>Guild Lv 5</v>
      </c>
      <c r="O253" t="str" cm="1">
        <f t="array" ref="O2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 page,1 scroll</v>
      </c>
      <c r="P253" t="str">
        <f>IF(tblTargetStatus[[#This Row],[FirstMissingDependencyID]]="","",_xlfn.XLOOKUP(tblTargetStatus[[#This Row],[FirstMissingDependencyID]],tblTargetStatus[TargetID],tblTargetStatus[Status],""))</f>
        <v>BLOCKED</v>
      </c>
      <c r="Q253" t="str">
        <f>IF(
 tblTargetStatus[[#This Row],[Status]]&lt;&gt;"BLOCKED",
 tblTargetStatus[[#This Row],[Status]],
 IF(
  AND(
   tblTargetStatus[[#This Row],[MissingDependencies]]=1,
   tblTargetStatus[[#This Row],[FirstMissingStatus]]="READY"
  ),
  "ONE AWAY",
  "BLOCKED"
 )
)</f>
        <v>BLOCKED</v>
      </c>
      <c r="R253">
        <f>IF(
 OR(
  tblTargetStatus[[#This Row],[StateType]]="CHARACTER",
  RIGHT(tblTargetStatus[[#This Row],[TargetID]],6)=".maxed"
 ),
 0,
 _xlfn.LET(
  _xlpm.sort,
   _xlfn.XLOOKUP(
    tblTargetStatus[[#This Row],[TargetID]],
    tblChecklist[TargetID],
    tblChecklist[PlayerSort],
    0
   ),
  IF(_xlpm.sort=0,500,_xlpm.sort)
 )
)</f>
        <v>500</v>
      </c>
      <c r="S253" t="str" cm="1">
        <f t="array" ref="S25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2 Finished</v>
      </c>
      <c r="T253" t="str">
        <f>_xlfn.XLOOKUP(tblTargetStatus[[#This Row],[TargetID]],tblTargets[TargetID],tblTargets[CompletionMethod],"")</f>
        <v>PLAYER</v>
      </c>
      <c r="U253" t="b">
        <f>COUNTIF(
    tblCost[TargetID],
    tblTargetStatus[[#This Row],[TargetID]]
)&gt;0</f>
        <v>1</v>
      </c>
      <c r="V253" s="81">
        <f>IF(tblTargetStatus[[#This Row],[HasCost]]=FALSE,
"N/A",
_xlfn.XLOOKUP(
tblTargetStatus[[#This Row],[TargetID]],
tblCost[TargetID],
tblCost[FundingPercent],
""
)
)</f>
        <v>0</v>
      </c>
      <c r="W253">
        <f>IF(
COUNTIF(tblCost[TargetID],tblTargetStatus[[#This Row],[TargetID]])=0,
"",
_xlfn.XLOOKUP(
tblTargetStatus[[#This Row],[TargetID]],
tblCost[TargetID],
tblCost[RemainingRequirements],
""
)
)</f>
        <v>2</v>
      </c>
      <c r="X253" s="79" t="b">
        <f>IF(tblTargetStatus[[#This Row],[HasCost]]=FALSE,"N/A",_xlfn.XLOOKUP(
tblTargetStatus[[#This Row],[TargetID]],
tblCost[TargetID],
tblCost[TargetFunded],
TRUE
))</f>
        <v>0</v>
      </c>
      <c r="Y253" t="str" cm="1">
        <f t="array" ref="Y253">_xlfn.TEXTJOIN(
", ",
TRUE,
_xlfn._xlws.FILTER(
tblCost[ResourceID]&amp;": "&amp;tblCost[QuantityRequired],
(tblCost[TargetID]=tblTargetStatus[[#This Row],[TargetID]])*
(tblCost[PlayerPaid]=FALSE),
""
)
)</f>
        <v>page: 60, scroll: 1</v>
      </c>
      <c r="Z2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3" t="str" cm="1">
        <f t="array" ref="AA25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54" spans="1:27">
      <c r="A254" t="s">
        <v>2281</v>
      </c>
      <c r="B254" t="str">
        <f>_xlfn.XLOOKUP(tblTargetStatus[[#This Row],[TargetID]],tblTargets[TargetID],tblTargets[DisplayName],"")</f>
        <v>Ahead of Time Chapter 1 Accepted</v>
      </c>
      <c r="C254" t="str">
        <f>IF(tblTargetStatus[[#This Row],[PlayerCompleted]],"COMPLETED",IF(tblTargetStatus[[#This Row],[MissingDependencies]]=0,"READY","BLOCKED"))</f>
        <v>BLOCKED</v>
      </c>
      <c r="D2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4" t="str">
        <f>_xlfn.XLOOKUP(tblTargetStatus[[#This Row],[TargetID]],tblTargets[TargetID],tblTargets[TargetType],"")</f>
        <v>QUEST</v>
      </c>
      <c r="F254" t="str">
        <f>_xlfn.XLOOKUP(tblTargetStatus[[#This Row],[TargetID]],tblTargets[TargetID],tblTargets[StateType])</f>
        <v/>
      </c>
      <c r="G254">
        <f>_xlfn.LET(
_xlpm.id,tblTargetStatus[[#This Row],[TargetID]],
_xlpm.depCount,COUNTIF(tblDependencies[TargetID],_xlpm.id),
_xlpm.objCount,COUNTIF(tblQuestObjectives[QuestTargetID],_xlpm.id),
_xlpm.depCount+_xlpm.objCount
)</f>
        <v>5</v>
      </c>
      <c r="H254">
        <f>tblTargetStatus[[#This Row],[DependencyCount]]</f>
        <v>5</v>
      </c>
      <c r="I254" cm="1">
        <f t="array" ref="I2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4">
        <f>tblTargetStatus[[#This Row],[CompletedDependencyCount]]</f>
        <v>0</v>
      </c>
      <c r="K254" t="b">
        <f>tblTargetStatus[[#This Row],[CompletedDependencies]]=tblTargetStatus[[#This Row],[TotalDependencies]]</f>
        <v>0</v>
      </c>
      <c r="L254">
        <f>tblTargetStatus[[#This Row],[TotalDependencies]]-tblTargetStatus[[#This Row],[CompletedDependencies]]</f>
        <v>5</v>
      </c>
      <c r="M254" t="str" cm="1">
        <f t="array" ref="M2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quest.magic_beans.finished</v>
      </c>
      <c r="N254" t="str">
        <f>IF(tblTargetStatus[[#This Row],[FirstMissingDependencyID]]="","",_xlfn.XLOOKUP(tblTargetStatus[[#This Row],[FirstMissingDependencyID]],tblTargets[TargetID],tblTargets[DisplayName],tblTargetStatus[[#This Row],[FirstMissingDependencyID]]))</f>
        <v>Magic Beans Finished</v>
      </c>
      <c r="O254" t="str" cm="1">
        <f t="array" ref="O2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pbr:1,horn:1,pa:1,pasta:1,bedroll:1,yuba:1,pizza:2</v>
      </c>
      <c r="P254" t="str">
        <f>IF(tblTargetStatus[[#This Row],[FirstMissingDependencyID]]="","",_xlfn.XLOOKUP(tblTargetStatus[[#This Row],[FirstMissingDependencyID]],tblTargetStatus[TargetID],tblTargetStatus[Status],""))</f>
        <v>BLOCKED</v>
      </c>
      <c r="Q254" t="str">
        <f>IF(
 tblTargetStatus[[#This Row],[Status]]&lt;&gt;"BLOCKED",
 tblTargetStatus[[#This Row],[Status]],
 IF(
  AND(
   tblTargetStatus[[#This Row],[MissingDependencies]]=1,
   tblTargetStatus[[#This Row],[FirstMissingStatus]]="READY"
  ),
  "ONE AWAY",
  "BLOCKED"
 )
)</f>
        <v>BLOCKED</v>
      </c>
      <c r="R254">
        <f>IF(
 OR(
  tblTargetStatus[[#This Row],[StateType]]="CHARACTER",
  RIGHT(tblTargetStatus[[#This Row],[TargetID]],6)=".maxed"
 ),
 0,
 _xlfn.LET(
  _xlpm.sort,
   _xlfn.XLOOKUP(
    tblTargetStatus[[#This Row],[TargetID]],
    tblChecklist[TargetID],
    tblChecklist[PlayerSort],
    0
   ),
  IF(_xlpm.sort=0,500,_xlpm.sort)
 )
)</f>
        <v>500</v>
      </c>
      <c r="S254" t="str" cm="1">
        <f t="array" ref="S25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Lv 1, Ahead of Time Chapter 1 Finished, Deliver Bedroll to  4B , Deliver Horn to  2C , Deliver Pizza Diavola to  5B , Deliver Pizza Diavola to  5C , Deliver Porcini pasta to  3C , Deliver Potion Ambrosia to  3B , Deliver Potion Berserker rage to  1C , Deliver Yuba to  4C , Alchemist's Hut - Perfect Fertilizer</v>
      </c>
      <c r="T254" t="str">
        <f>_xlfn.XLOOKUP(tblTargetStatus[[#This Row],[TargetID]],tblTargets[TargetID],tblTargets[CompletionMethod],"")</f>
        <v>PLAYER</v>
      </c>
      <c r="U254" t="b">
        <f>COUNTIF(
    tblCost[TargetID],
    tblTargetStatus[[#This Row],[TargetID]]
)&gt;0</f>
        <v>0</v>
      </c>
      <c r="V254" s="81" t="str">
        <f>IF(tblTargetStatus[[#This Row],[HasCost]]=FALSE,
"N/A",
_xlfn.XLOOKUP(
tblTargetStatus[[#This Row],[TargetID]],
tblCost[TargetID],
tblCost[FundingPercent],
""
)
)</f>
        <v>N/A</v>
      </c>
      <c r="W254" t="str">
        <f>IF(
COUNTIF(tblCost[TargetID],tblTargetStatus[[#This Row],[TargetID]])=0,
"",
_xlfn.XLOOKUP(
tblTargetStatus[[#This Row],[TargetID]],
tblCost[TargetID],
tblCost[RemainingRequirements],
""
)
)</f>
        <v/>
      </c>
      <c r="X254" s="79" t="str">
        <f>IF(tblTargetStatus[[#This Row],[HasCost]]=FALSE,"N/A",_xlfn.XLOOKUP(
tblTargetStatus[[#This Row],[TargetID]],
tblCost[TargetID],
tblCost[TargetFunded],
TRUE
))</f>
        <v>N/A</v>
      </c>
      <c r="Y254" t="str" cm="1">
        <f t="array" ref="Y254">_xlfn.TEXTJOIN(
", ",
TRUE,
_xlfn._xlws.FILTER(
tblCost[ResourceID]&amp;": "&amp;tblCost[QuantityRequired],
(tblCost[TargetID]=tblTargetStatus[[#This Row],[TargetID]])*
(tblCost[PlayerPaid]=FALSE),
""
)
)</f>
        <v/>
      </c>
      <c r="Z2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4" t="str" cm="1">
        <f t="array" ref="AA25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55" spans="1:27">
      <c r="A255" t="s">
        <v>2450</v>
      </c>
      <c r="B255" t="str">
        <f>_xlfn.XLOOKUP(tblTargetStatus[[#This Row],[TargetID]],tblTargets[TargetID],tblTargets[DisplayName],"")</f>
        <v>Ahead of Time Chapter 1 Finished</v>
      </c>
      <c r="C255" t="str">
        <f>IF(tblTargetStatus[[#This Row],[PlayerCompleted]],"COMPLETED",IF(tblTargetStatus[[#This Row],[MissingDependencies]]=0,"READY","BLOCKED"))</f>
        <v>BLOCKED</v>
      </c>
      <c r="D2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5" t="str">
        <f>_xlfn.XLOOKUP(tblTargetStatus[[#This Row],[TargetID]],tblTargets[TargetID],tblTargets[TargetType],"")</f>
        <v>QUEST</v>
      </c>
      <c r="F255" t="str">
        <f>_xlfn.XLOOKUP(tblTargetStatus[[#This Row],[TargetID]],tblTargets[TargetID],tblTargets[StateType])</f>
        <v/>
      </c>
      <c r="G255">
        <f>_xlfn.LET(
_xlpm.id,tblTargetStatus[[#This Row],[TargetID]],
_xlpm.depCount,COUNTIF(tblDependencies[TargetID],_xlpm.id),
_xlpm.objCount,COUNTIF(tblQuestObjectives[QuestTargetID],_xlpm.id),
_xlpm.depCount+_xlpm.objCount
)</f>
        <v>10</v>
      </c>
      <c r="H255">
        <f>tblTargetStatus[[#This Row],[DependencyCount]]</f>
        <v>10</v>
      </c>
      <c r="I255" cm="1">
        <f t="array" ref="I2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5">
        <f>tblTargetStatus[[#This Row],[CompletedDependencyCount]]</f>
        <v>0</v>
      </c>
      <c r="K255" t="b">
        <f>tblTargetStatus[[#This Row],[CompletedDependencies]]=tblTargetStatus[[#This Row],[TotalDependencies]]</f>
        <v>0</v>
      </c>
      <c r="L255">
        <f>tblTargetStatus[[#This Row],[TotalDependencies]]-tblTargetStatus[[#This Row],[CompletedDependencies]]</f>
        <v>10</v>
      </c>
      <c r="M255" t="str" cm="1">
        <f t="array" ref="M2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255" t="str">
        <f>IF(tblTargetStatus[[#This Row],[FirstMissingDependencyID]]="","",_xlfn.XLOOKUP(tblTargetStatus[[#This Row],[FirstMissingDependencyID]],tblTargets[TargetID],tblTargets[DisplayName],tblTargetStatus[[#This Row],[FirstMissingDependencyID]]))</f>
        <v>Ahead of Time Chapter 1 Accepted</v>
      </c>
      <c r="O255" t="str" cm="1">
        <f t="array" ref="O2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pbr:1,horn:1,pa:1,pasta:1,bedroll:1,yuba:1,pizza:2</v>
      </c>
      <c r="P255" t="str">
        <f>IF(tblTargetStatus[[#This Row],[FirstMissingDependencyID]]="","",_xlfn.XLOOKUP(tblTargetStatus[[#This Row],[FirstMissingDependencyID]],tblTargetStatus[TargetID],tblTargetStatus[Status],""))</f>
        <v>BLOCKED</v>
      </c>
      <c r="Q255" t="str">
        <f>IF(
 tblTargetStatus[[#This Row],[Status]]&lt;&gt;"BLOCKED",
 tblTargetStatus[[#This Row],[Status]],
 IF(
  AND(
   tblTargetStatus[[#This Row],[MissingDependencies]]=1,
   tblTargetStatus[[#This Row],[FirstMissingStatus]]="READY"
  ),
  "ONE AWAY",
  "BLOCKED"
 )
)</f>
        <v>BLOCKED</v>
      </c>
      <c r="R255">
        <f>IF(
 OR(
  tblTargetStatus[[#This Row],[StateType]]="CHARACTER",
  RIGHT(tblTargetStatus[[#This Row],[TargetID]],6)=".maxed"
 ),
 0,
 _xlfn.LET(
  _xlpm.sort,
   _xlfn.XLOOKUP(
    tblTargetStatus[[#This Row],[TargetID]],
    tblChecklist[TargetID],
    tblChecklist[PlayerSort],
    0
   ),
  IF(_xlpm.sort=0,500,_xlpm.sort)
 )
)</f>
        <v>500</v>
      </c>
      <c r="S255" t="str" cm="1">
        <f t="array" ref="S25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2 Accepted, Visit Dungeon@6A</v>
      </c>
      <c r="T255" t="str">
        <f>_xlfn.XLOOKUP(tblTargetStatus[[#This Row],[TargetID]],tblTargets[TargetID],tblTargets[CompletionMethod],"")</f>
        <v>PLAYER</v>
      </c>
      <c r="U255" t="b">
        <f>COUNTIF(
    tblCost[TargetID],
    tblTargetStatus[[#This Row],[TargetID]]
)&gt;0</f>
        <v>1</v>
      </c>
      <c r="V255" s="81">
        <f>IF(tblTargetStatus[[#This Row],[HasCost]]=FALSE,
"N/A",
_xlfn.XLOOKUP(
tblTargetStatus[[#This Row],[TargetID]],
tblCost[TargetID],
tblCost[FundingPercent],
""
)
)</f>
        <v>0</v>
      </c>
      <c r="W255">
        <f>IF(
COUNTIF(tblCost[TargetID],tblTargetStatus[[#This Row],[TargetID]])=0,
"",
_xlfn.XLOOKUP(
tblTargetStatus[[#This Row],[TargetID]],
tblCost[TargetID],
tblCost[RemainingRequirements],
""
)
)</f>
        <v>7</v>
      </c>
      <c r="X255" s="79" t="b">
        <f>IF(tblTargetStatus[[#This Row],[HasCost]]=FALSE,"N/A",_xlfn.XLOOKUP(
tblTargetStatus[[#This Row],[TargetID]],
tblCost[TargetID],
tblCost[TargetFunded],
TRUE
))</f>
        <v>0</v>
      </c>
      <c r="Y255" t="str" cm="1">
        <f t="array" ref="Y255">_xlfn.TEXTJOIN(
", ",
TRUE,
_xlfn._xlws.FILTER(
tblCost[ResourceID]&amp;": "&amp;tblCost[QuantityRequired],
(tblCost[TargetID]=tblTargetStatus[[#This Row],[TargetID]])*
(tblCost[PlayerPaid]=FALSE),
""
)
)</f>
        <v>pbr: 1, horn: 1, pa: 1, pasta: 1, bedroll: 1, yuba: 1, pizza: 2</v>
      </c>
      <c r="Z2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5" t="str" cm="1">
        <f t="array" ref="AA25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2</v>
      </c>
    </row>
    <row r="256" spans="1:27">
      <c r="A256" t="s">
        <v>2285</v>
      </c>
      <c r="B256" t="str">
        <f>_xlfn.XLOOKUP(tblTargetStatus[[#This Row],[TargetID]],tblTargets[TargetID],tblTargets[DisplayName],"")</f>
        <v>Ahead of Time Chapter 2 Accepted</v>
      </c>
      <c r="C256" t="str">
        <f>IF(tblTargetStatus[[#This Row],[PlayerCompleted]],"COMPLETED",IF(tblTargetStatus[[#This Row],[MissingDependencies]]=0,"READY","BLOCKED"))</f>
        <v>BLOCKED</v>
      </c>
      <c r="D2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6" t="str">
        <f>_xlfn.XLOOKUP(tblTargetStatus[[#This Row],[TargetID]],tblTargets[TargetID],tblTargets[TargetType],"")</f>
        <v>QUEST</v>
      </c>
      <c r="F256" t="str">
        <f>_xlfn.XLOOKUP(tblTargetStatus[[#This Row],[TargetID]],tblTargets[TargetID],tblTargets[StateType])</f>
        <v/>
      </c>
      <c r="G256">
        <f>_xlfn.LET(
_xlpm.id,tblTargetStatus[[#This Row],[TargetID]],
_xlpm.depCount,COUNTIF(tblDependencies[TargetID],_xlpm.id),
_xlpm.objCount,COUNTIF(tblQuestObjectives[QuestTargetID],_xlpm.id),
_xlpm.depCount+_xlpm.objCount
)</f>
        <v>4</v>
      </c>
      <c r="H256">
        <f>tblTargetStatus[[#This Row],[DependencyCount]]</f>
        <v>4</v>
      </c>
      <c r="I256" cm="1">
        <f t="array" ref="I2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6">
        <f>tblTargetStatus[[#This Row],[CompletedDependencyCount]]</f>
        <v>0</v>
      </c>
      <c r="K256" t="b">
        <f>tblTargetStatus[[#This Row],[CompletedDependencies]]=tblTargetStatus[[#This Row],[TotalDependencies]]</f>
        <v>0</v>
      </c>
      <c r="L256">
        <f>tblTargetStatus[[#This Row],[TotalDependencies]]-tblTargetStatus[[#This Row],[CompletedDependencies]]</f>
        <v>4</v>
      </c>
      <c r="M256" t="str" cm="1">
        <f t="array" ref="M2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quest.ahead_of_time_chapter_1.finished</v>
      </c>
      <c r="N256" t="str">
        <f>IF(tblTargetStatus[[#This Row],[FirstMissingDependencyID]]="","",_xlfn.XLOOKUP(tblTargetStatus[[#This Row],[FirstMissingDependencyID]],tblTargets[TargetID],tblTargets[DisplayName],tblTargetStatus[[#This Row],[FirstMissingDependencyID]]))</f>
        <v>Ahead of Time Chapter 1 Finished</v>
      </c>
      <c r="O256" cm="1">
        <f t="array" ref="O2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56" t="str">
        <f>IF(tblTargetStatus[[#This Row],[FirstMissingDependencyID]]="","",_xlfn.XLOOKUP(tblTargetStatus[[#This Row],[FirstMissingDependencyID]],tblTargetStatus[TargetID],tblTargetStatus[Status],""))</f>
        <v>BLOCKED</v>
      </c>
      <c r="Q256" t="str">
        <f>IF(
 tblTargetStatus[[#This Row],[Status]]&lt;&gt;"BLOCKED",
 tblTargetStatus[[#This Row],[Status]],
 IF(
  AND(
   tblTargetStatus[[#This Row],[MissingDependencies]]=1,
   tblTargetStatus[[#This Row],[FirstMissingStatus]]="READY"
  ),
  "ONE AWAY",
  "BLOCKED"
 )
)</f>
        <v>BLOCKED</v>
      </c>
      <c r="R256">
        <f>IF(
 OR(
  tblTargetStatus[[#This Row],[StateType]]="CHARACTER",
  RIGHT(tblTargetStatus[[#This Row],[TargetID]],6)=".maxed"
 ),
 0,
 _xlfn.LET(
  _xlpm.sort,
   _xlfn.XLOOKUP(
    tblTargetStatus[[#This Row],[TargetID]],
    tblChecklist[TargetID],
    tblChecklist[PlayerSort],
    0
   ),
  IF(_xlpm.sort=0,500,_xlpm.sort)
 )
)</f>
        <v>500</v>
      </c>
      <c r="S256" t="str" cm="1">
        <f t="array" ref="S25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Tunnel, Ahead of Time Chapter 2 Finished</v>
      </c>
      <c r="T256" t="str">
        <f>_xlfn.XLOOKUP(tblTargetStatus[[#This Row],[TargetID]],tblTargets[TargetID],tblTargets[CompletionMethod],"")</f>
        <v>PLAYER</v>
      </c>
      <c r="U256" t="b">
        <f>COUNTIF(
    tblCost[TargetID],
    tblTargetStatus[[#This Row],[TargetID]]
)&gt;0</f>
        <v>0</v>
      </c>
      <c r="V256" s="81" t="str">
        <f>IF(tblTargetStatus[[#This Row],[HasCost]]=FALSE,
"N/A",
_xlfn.XLOOKUP(
tblTargetStatus[[#This Row],[TargetID]],
tblCost[TargetID],
tblCost[FundingPercent],
""
)
)</f>
        <v>N/A</v>
      </c>
      <c r="W256" t="str">
        <f>IF(
COUNTIF(tblCost[TargetID],tblTargetStatus[[#This Row],[TargetID]])=0,
"",
_xlfn.XLOOKUP(
tblTargetStatus[[#This Row],[TargetID]],
tblCost[TargetID],
tblCost[RemainingRequirements],
""
)
)</f>
        <v/>
      </c>
      <c r="X256" s="79" t="str">
        <f>IF(tblTargetStatus[[#This Row],[HasCost]]=FALSE,"N/A",_xlfn.XLOOKUP(
tblTargetStatus[[#This Row],[TargetID]],
tblCost[TargetID],
tblCost[TargetFunded],
TRUE
))</f>
        <v>N/A</v>
      </c>
      <c r="Y256" t="str" cm="1">
        <f t="array" ref="Y256">_xlfn.TEXTJOIN(
", ",
TRUE,
_xlfn._xlws.FILTER(
tblCost[ResourceID]&amp;": "&amp;tblCost[QuantityRequired],
(tblCost[TargetID]=tblTargetStatus[[#This Row],[TargetID]])*
(tblCost[PlayerPaid]=FALSE),
""
)
)</f>
        <v/>
      </c>
      <c r="Z2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6" t="str" cm="1">
        <f t="array" ref="AA25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57" spans="1:27">
      <c r="A257" t="s">
        <v>2452</v>
      </c>
      <c r="B257" t="str">
        <f>_xlfn.XLOOKUP(tblTargetStatus[[#This Row],[TargetID]],tblTargets[TargetID],tblTargets[DisplayName],"")</f>
        <v>Ahead of Time Chapter 2 Finished</v>
      </c>
      <c r="C257" t="str">
        <f>IF(tblTargetStatus[[#This Row],[PlayerCompleted]],"COMPLETED",IF(tblTargetStatus[[#This Row],[MissingDependencies]]=0,"READY","BLOCKED"))</f>
        <v>BLOCKED</v>
      </c>
      <c r="D2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7" t="str">
        <f>_xlfn.XLOOKUP(tblTargetStatus[[#This Row],[TargetID]],tblTargets[TargetID],tblTargets[TargetType],"")</f>
        <v>QUEST</v>
      </c>
      <c r="F257" t="str">
        <f>_xlfn.XLOOKUP(tblTargetStatus[[#This Row],[TargetID]],tblTargets[TargetID],tblTargets[StateType])</f>
        <v/>
      </c>
      <c r="G257">
        <f>_xlfn.LET(
_xlpm.id,tblTargetStatus[[#This Row],[TargetID]],
_xlpm.depCount,COUNTIF(tblDependencies[TargetID],_xlpm.id),
_xlpm.objCount,COUNTIF(tblQuestObjectives[QuestTargetID],_xlpm.id),
_xlpm.depCount+_xlpm.objCount
)</f>
        <v>2</v>
      </c>
      <c r="H257">
        <f>tblTargetStatus[[#This Row],[DependencyCount]]</f>
        <v>2</v>
      </c>
      <c r="I257" cm="1">
        <f t="array" ref="I2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7">
        <f>tblTargetStatus[[#This Row],[CompletedDependencyCount]]</f>
        <v>0</v>
      </c>
      <c r="K257" t="b">
        <f>tblTargetStatus[[#This Row],[CompletedDependencies]]=tblTargetStatus[[#This Row],[TotalDependencies]]</f>
        <v>0</v>
      </c>
      <c r="L257">
        <f>tblTargetStatus[[#This Row],[TotalDependencies]]-tblTargetStatus[[#This Row],[CompletedDependencies]]</f>
        <v>2</v>
      </c>
      <c r="M257" t="str" cm="1">
        <f t="array" ref="M2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quest.ahead_of_time_chapter_2.accepted</v>
      </c>
      <c r="N257" t="str">
        <f>IF(tblTargetStatus[[#This Row],[FirstMissingDependencyID]]="","",_xlfn.XLOOKUP(tblTargetStatus[[#This Row],[FirstMissingDependencyID]],tblTargets[TargetID],tblTargets[DisplayName],tblTargetStatus[[#This Row],[FirstMissingDependencyID]]))</f>
        <v>Ahead of Time Chapter 2 Accepted</v>
      </c>
      <c r="O257" s="2" cm="1">
        <f t="array" ref="O2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57" t="str">
        <f>IF(tblTargetStatus[[#This Row],[FirstMissingDependencyID]]="","",_xlfn.XLOOKUP(tblTargetStatus[[#This Row],[FirstMissingDependencyID]],tblTargetStatus[TargetID],tblTargetStatus[Status],""))</f>
        <v>BLOCKED</v>
      </c>
      <c r="Q257" t="str">
        <f>IF(
 tblTargetStatus[[#This Row],[Status]]&lt;&gt;"BLOCKED",
 tblTargetStatus[[#This Row],[Status]],
 IF(
  AND(
   tblTargetStatus[[#This Row],[MissingDependencies]]=1,
   tblTargetStatus[[#This Row],[FirstMissingStatus]]="READY"
  ),
  "ONE AWAY",
  "BLOCKED"
 )
)</f>
        <v>BLOCKED</v>
      </c>
      <c r="R257">
        <f>IF(
 OR(
  tblTargetStatus[[#This Row],[StateType]]="CHARACTER",
  RIGHT(tblTargetStatus[[#This Row],[TargetID]],6)=".maxed"
 ),
 0,
 _xlfn.LET(
  _xlpm.sort,
   _xlfn.XLOOKUP(
    tblTargetStatus[[#This Row],[TargetID]],
    tblChecklist[TargetID],
    tblChecklist[PlayerSort],
    0
   ),
  IF(_xlpm.sort=0,500,_xlpm.sort)
 )
)</f>
        <v>500</v>
      </c>
      <c r="S257" t="str" cm="1">
        <f t="array" ref="S25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3 Accepted</v>
      </c>
      <c r="T257" t="str">
        <f>_xlfn.XLOOKUP(tblTargetStatus[[#This Row],[TargetID]],tblTargets[TargetID],tblTargets[CompletionMethod],"")</f>
        <v>PLAYER</v>
      </c>
      <c r="U257" t="b">
        <f>COUNTIF(
    tblCost[TargetID],
    tblTargetStatus[[#This Row],[TargetID]]
)&gt;0</f>
        <v>0</v>
      </c>
      <c r="V257" s="81" t="str">
        <f>IF(tblTargetStatus[[#This Row],[HasCost]]=FALSE,
"N/A",
_xlfn.XLOOKUP(
tblTargetStatus[[#This Row],[TargetID]],
tblCost[TargetID],
tblCost[FundingPercent],
""
)
)</f>
        <v>N/A</v>
      </c>
      <c r="W257" t="str">
        <f>IF(
COUNTIF(tblCost[TargetID],tblTargetStatus[[#This Row],[TargetID]])=0,
"",
_xlfn.XLOOKUP(
tblTargetStatus[[#This Row],[TargetID]],
tblCost[TargetID],
tblCost[RemainingRequirements],
""
)
)</f>
        <v/>
      </c>
      <c r="X257" s="79" t="str">
        <f>IF(tblTargetStatus[[#This Row],[HasCost]]=FALSE,"N/A",_xlfn.XLOOKUP(
tblTargetStatus[[#This Row],[TargetID]],
tblCost[TargetID],
tblCost[TargetFunded],
TRUE
))</f>
        <v>N/A</v>
      </c>
      <c r="Y257" t="str" cm="1">
        <f t="array" ref="Y257">_xlfn.TEXTJOIN(
", ",
TRUE,
_xlfn._xlws.FILTER(
tblCost[ResourceID]&amp;": "&amp;tblCost[QuantityRequired],
(tblCost[TargetID]=tblTargetStatus[[#This Row],[TargetID]])*
(tblCost[PlayerPaid]=FALSE),
""
)
)</f>
        <v/>
      </c>
      <c r="Z2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7" t="str" cm="1">
        <f t="array" ref="AA25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3</v>
      </c>
    </row>
    <row r="258" spans="1:27">
      <c r="A258" t="s">
        <v>2288</v>
      </c>
      <c r="B258" t="str">
        <f>_xlfn.XLOOKUP(tblTargetStatus[[#This Row],[TargetID]],tblTargets[TargetID],tblTargets[DisplayName],"")</f>
        <v>Ahead of Time Chapter 3 Accepted</v>
      </c>
      <c r="C258" t="str">
        <f>IF(tblTargetStatus[[#This Row],[PlayerCompleted]],"COMPLETED",IF(tblTargetStatus[[#This Row],[MissingDependencies]]=0,"READY","BLOCKED"))</f>
        <v>BLOCKED</v>
      </c>
      <c r="D2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8" t="str">
        <f>_xlfn.XLOOKUP(tblTargetStatus[[#This Row],[TargetID]],tblTargets[TargetID],tblTargets[TargetType],"")</f>
        <v>QUEST</v>
      </c>
      <c r="F258" t="str">
        <f>_xlfn.XLOOKUP(tblTargetStatus[[#This Row],[TargetID]],tblTargets[TargetID],tblTargets[StateType])</f>
        <v/>
      </c>
      <c r="G258">
        <f>_xlfn.LET(
_xlpm.id,tblTargetStatus[[#This Row],[TargetID]],
_xlpm.depCount,COUNTIF(tblDependencies[TargetID],_xlpm.id),
_xlpm.objCount,COUNTIF(tblQuestObjectives[QuestTargetID],_xlpm.id),
_xlpm.depCount+_xlpm.objCount
)</f>
        <v>1</v>
      </c>
      <c r="H258">
        <f>tblTargetStatus[[#This Row],[DependencyCount]]</f>
        <v>1</v>
      </c>
      <c r="I258" cm="1">
        <f t="array" ref="I2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8">
        <f>tblTargetStatus[[#This Row],[CompletedDependencyCount]]</f>
        <v>0</v>
      </c>
      <c r="K258" t="b">
        <f>tblTargetStatus[[#This Row],[CompletedDependencies]]=tblTargetStatus[[#This Row],[TotalDependencies]]</f>
        <v>0</v>
      </c>
      <c r="L258">
        <f>tblTargetStatus[[#This Row],[TotalDependencies]]-tblTargetStatus[[#This Row],[CompletedDependencies]]</f>
        <v>1</v>
      </c>
      <c r="M258" t="str" cm="1">
        <f t="array" ref="M2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quest.ahead_of_time_chapter_2.finished</v>
      </c>
      <c r="N258" t="str">
        <f>IF(tblTargetStatus[[#This Row],[FirstMissingDependencyID]]="","",_xlfn.XLOOKUP(tblTargetStatus[[#This Row],[FirstMissingDependencyID]],tblTargets[TargetID],tblTargets[DisplayName],tblTargetStatus[[#This Row],[FirstMissingDependencyID]]))</f>
        <v>Ahead of Time Chapter 2 Finished</v>
      </c>
      <c r="O258" s="2" cm="1">
        <f t="array" ref="O2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58" t="str">
        <f>IF(tblTargetStatus[[#This Row],[FirstMissingDependencyID]]="","",_xlfn.XLOOKUP(tblTargetStatus[[#This Row],[FirstMissingDependencyID]],tblTargetStatus[TargetID],tblTargetStatus[Status],""))</f>
        <v>BLOCKED</v>
      </c>
      <c r="Q258" t="str">
        <f>IF(
 tblTargetStatus[[#This Row],[Status]]&lt;&gt;"BLOCKED",
 tblTargetStatus[[#This Row],[Status]],
 IF(
  AND(
   tblTargetStatus[[#This Row],[MissingDependencies]]=1,
   tblTargetStatus[[#This Row],[FirstMissingStatus]]="READY"
  ),
  "ONE AWAY",
  "BLOCKED"
 )
)</f>
        <v>BLOCKED</v>
      </c>
      <c r="R258">
        <f>IF(
 OR(
  tblTargetStatus[[#This Row],[StateType]]="CHARACTER",
  RIGHT(tblTargetStatus[[#This Row],[TargetID]],6)=".maxed"
 ),
 0,
 _xlfn.LET(
  _xlpm.sort,
   _xlfn.XLOOKUP(
    tblTargetStatus[[#This Row],[TargetID]],
    tblChecklist[TargetID],
    tblChecklist[PlayerSort],
    0
   ),
  IF(_xlpm.sort=0,500,_xlpm.sort)
 )
)</f>
        <v>500</v>
      </c>
      <c r="S258" t="str" cm="1">
        <f t="array" ref="S25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Complete Dungeon 6D, Ahead of Time Chapter 3 Finished, Meet Alchemist in 6D, Meet Dark Lady in 6D</v>
      </c>
      <c r="T258" t="str">
        <f>_xlfn.XLOOKUP(tblTargetStatus[[#This Row],[TargetID]],tblTargets[TargetID],tblTargets[CompletionMethod],"")</f>
        <v>PLAYER</v>
      </c>
      <c r="U258" t="b">
        <f>COUNTIF(
    tblCost[TargetID],
    tblTargetStatus[[#This Row],[TargetID]]
)&gt;0</f>
        <v>0</v>
      </c>
      <c r="V258" s="81" t="str">
        <f>IF(tblTargetStatus[[#This Row],[HasCost]]=FALSE,
"N/A",
_xlfn.XLOOKUP(
tblTargetStatus[[#This Row],[TargetID]],
tblCost[TargetID],
tblCost[FundingPercent],
""
)
)</f>
        <v>N/A</v>
      </c>
      <c r="W258" t="str">
        <f>IF(
COUNTIF(tblCost[TargetID],tblTargetStatus[[#This Row],[TargetID]])=0,
"",
_xlfn.XLOOKUP(
tblTargetStatus[[#This Row],[TargetID]],
tblCost[TargetID],
tblCost[RemainingRequirements],
""
)
)</f>
        <v/>
      </c>
      <c r="X258" s="79" t="str">
        <f>IF(tblTargetStatus[[#This Row],[HasCost]]=FALSE,"N/A",_xlfn.XLOOKUP(
tblTargetStatus[[#This Row],[TargetID]],
tblCost[TargetID],
tblCost[TargetFunded],
TRUE
))</f>
        <v>N/A</v>
      </c>
      <c r="Y258" t="str" cm="1">
        <f t="array" ref="Y258">_xlfn.TEXTJOIN(
", ",
TRUE,
_xlfn._xlws.FILTER(
tblCost[ResourceID]&amp;": "&amp;tblCost[QuantityRequired],
(tblCost[TargetID]=tblTargetStatus[[#This Row],[TargetID]])*
(tblCost[PlayerPaid]=FALSE),
""
)
)</f>
        <v/>
      </c>
      <c r="Z2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8" t="str" cm="1">
        <f t="array" ref="AA25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59" spans="1:27">
      <c r="A259" t="s">
        <v>2454</v>
      </c>
      <c r="B259" t="str">
        <f>_xlfn.XLOOKUP(tblTargetStatus[[#This Row],[TargetID]],tblTargets[TargetID],tblTargets[DisplayName],"")</f>
        <v>Ahead of Time Chapter 3 Finished</v>
      </c>
      <c r="C259" t="str">
        <f>IF(tblTargetStatus[[#This Row],[PlayerCompleted]],"COMPLETED",IF(tblTargetStatus[[#This Row],[MissingDependencies]]=0,"READY","BLOCKED"))</f>
        <v>BLOCKED</v>
      </c>
      <c r="D2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9" t="str">
        <f>_xlfn.XLOOKUP(tblTargetStatus[[#This Row],[TargetID]],tblTargets[TargetID],tblTargets[TargetType],"")</f>
        <v>QUEST</v>
      </c>
      <c r="F259" t="str">
        <f>_xlfn.XLOOKUP(tblTargetStatus[[#This Row],[TargetID]],tblTargets[TargetID],tblTargets[StateType])</f>
        <v/>
      </c>
      <c r="G259">
        <f>_xlfn.LET(
_xlpm.id,tblTargetStatus[[#This Row],[TargetID]],
_xlpm.depCount,COUNTIF(tblDependencies[TargetID],_xlpm.id),
_xlpm.objCount,COUNTIF(tblQuestObjectives[QuestTargetID],_xlpm.id),
_xlpm.depCount+_xlpm.objCount
)</f>
        <v>4</v>
      </c>
      <c r="H259">
        <f>tblTargetStatus[[#This Row],[DependencyCount]]</f>
        <v>4</v>
      </c>
      <c r="I259" cm="1">
        <f t="array" ref="I2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9">
        <f>tblTargetStatus[[#This Row],[CompletedDependencyCount]]</f>
        <v>0</v>
      </c>
      <c r="K259" t="b">
        <f>tblTargetStatus[[#This Row],[CompletedDependencies]]=tblTargetStatus[[#This Row],[TotalDependencies]]</f>
        <v>0</v>
      </c>
      <c r="L259">
        <f>tblTargetStatus[[#This Row],[TotalDependencies]]-tblTargetStatus[[#This Row],[CompletedDependencies]]</f>
        <v>4</v>
      </c>
      <c r="M259" t="str" cm="1">
        <f t="array" ref="M2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quest.ahead_of_time_chapter_3.accepted</v>
      </c>
      <c r="N259" t="str">
        <f>IF(tblTargetStatus[[#This Row],[FirstMissingDependencyID]]="","",_xlfn.XLOOKUP(tblTargetStatus[[#This Row],[FirstMissingDependencyID]],tblTargets[TargetID],tblTargets[DisplayName],tblTargetStatus[[#This Row],[FirstMissingDependencyID]]))</f>
        <v>Ahead of Time Chapter 3 Accepted</v>
      </c>
      <c r="O259" s="2" cm="1">
        <f t="array" ref="O2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59" t="str">
        <f>IF(tblTargetStatus[[#This Row],[FirstMissingDependencyID]]="","",_xlfn.XLOOKUP(tblTargetStatus[[#This Row],[FirstMissingDependencyID]],tblTargetStatus[TargetID],tblTargetStatus[Status],""))</f>
        <v>BLOCKED</v>
      </c>
      <c r="Q259" t="str">
        <f>IF(
 tblTargetStatus[[#This Row],[Status]]&lt;&gt;"BLOCKED",
 tblTargetStatus[[#This Row],[Status]],
 IF(
  AND(
   tblTargetStatus[[#This Row],[MissingDependencies]]=1,
   tblTargetStatus[[#This Row],[FirstMissingStatus]]="READY"
  ),
  "ONE AWAY",
  "BLOCKED"
 )
)</f>
        <v>BLOCKED</v>
      </c>
      <c r="R259">
        <f>IF(
 OR(
  tblTargetStatus[[#This Row],[StateType]]="CHARACTER",
  RIGHT(tblTargetStatus[[#This Row],[TargetID]],6)=".maxed"
 ),
 0,
 _xlfn.LET(
  _xlpm.sort,
   _xlfn.XLOOKUP(
    tblTargetStatus[[#This Row],[TargetID]],
    tblChecklist[TargetID],
    tblChecklist[PlayerSort],
    0
   ),
  IF(_xlpm.sort=0,500,_xlpm.sort)
 )
)</f>
        <v>500</v>
      </c>
      <c r="S259" t="str" cm="1">
        <f t="array" ref="S25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4 Accepted</v>
      </c>
      <c r="T259" t="str">
        <f>_xlfn.XLOOKUP(tblTargetStatus[[#This Row],[TargetID]],tblTargets[TargetID],tblTargets[CompletionMethod],"")</f>
        <v>PLAYER</v>
      </c>
      <c r="U259" t="b">
        <f>COUNTIF(
    tblCost[TargetID],
    tblTargetStatus[[#This Row],[TargetID]]
)&gt;0</f>
        <v>0</v>
      </c>
      <c r="V259" s="81" t="str">
        <f>IF(tblTargetStatus[[#This Row],[HasCost]]=FALSE,
"N/A",
_xlfn.XLOOKUP(
tblTargetStatus[[#This Row],[TargetID]],
tblCost[TargetID],
tblCost[FundingPercent],
""
)
)</f>
        <v>N/A</v>
      </c>
      <c r="W259" t="str">
        <f>IF(
COUNTIF(tblCost[TargetID],tblTargetStatus[[#This Row],[TargetID]])=0,
"",
_xlfn.XLOOKUP(
tblTargetStatus[[#This Row],[TargetID]],
tblCost[TargetID],
tblCost[RemainingRequirements],
""
)
)</f>
        <v/>
      </c>
      <c r="X259" s="79" t="str">
        <f>IF(tblTargetStatus[[#This Row],[HasCost]]=FALSE,"N/A",_xlfn.XLOOKUP(
tblTargetStatus[[#This Row],[TargetID]],
tblCost[TargetID],
tblCost[TargetFunded],
TRUE
))</f>
        <v>N/A</v>
      </c>
      <c r="Y259" t="str" cm="1">
        <f t="array" ref="Y259">_xlfn.TEXTJOIN(
", ",
TRUE,
_xlfn._xlws.FILTER(
tblCost[ResourceID]&amp;": "&amp;tblCost[QuantityRequired],
(tblCost[TargetID]=tblTargetStatus[[#This Row],[TargetID]])*
(tblCost[PlayerPaid]=FALSE),
""
)
)</f>
        <v/>
      </c>
      <c r="Z2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9" t="str" cm="1">
        <f t="array" ref="AA25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4</v>
      </c>
    </row>
    <row r="260" spans="1:27">
      <c r="A260" t="s">
        <v>2291</v>
      </c>
      <c r="B260" t="str">
        <f>_xlfn.XLOOKUP(tblTargetStatus[[#This Row],[TargetID]],tblTargets[TargetID],tblTargets[DisplayName],"")</f>
        <v>Ahead of Time Chapter 4 Accepted</v>
      </c>
      <c r="C260" t="str">
        <f>IF(tblTargetStatus[[#This Row],[PlayerCompleted]],"COMPLETED",IF(tblTargetStatus[[#This Row],[MissingDependencies]]=0,"READY","BLOCKED"))</f>
        <v>BLOCKED</v>
      </c>
      <c r="D2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0" t="str">
        <f>_xlfn.XLOOKUP(tblTargetStatus[[#This Row],[TargetID]],tblTargets[TargetID],tblTargets[TargetType],"")</f>
        <v>QUEST</v>
      </c>
      <c r="F260" t="str">
        <f>_xlfn.XLOOKUP(tblTargetStatus[[#This Row],[TargetID]],tblTargets[TargetID],tblTargets[StateType])</f>
        <v/>
      </c>
      <c r="G260">
        <f>_xlfn.LET(
_xlpm.id,tblTargetStatus[[#This Row],[TargetID]],
_xlpm.depCount,COUNTIF(tblDependencies[TargetID],_xlpm.id),
_xlpm.objCount,COUNTIF(tblQuestObjectives[QuestTargetID],_xlpm.id),
_xlpm.depCount+_xlpm.objCount
)</f>
        <v>1</v>
      </c>
      <c r="H260">
        <f>tblTargetStatus[[#This Row],[DependencyCount]]</f>
        <v>1</v>
      </c>
      <c r="I260" cm="1">
        <f t="array" ref="I2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0">
        <f>tblTargetStatus[[#This Row],[CompletedDependencyCount]]</f>
        <v>0</v>
      </c>
      <c r="K260" t="b">
        <f>tblTargetStatus[[#This Row],[CompletedDependencies]]=tblTargetStatus[[#This Row],[TotalDependencies]]</f>
        <v>0</v>
      </c>
      <c r="L260">
        <f>tblTargetStatus[[#This Row],[TotalDependencies]]-tblTargetStatus[[#This Row],[CompletedDependencies]]</f>
        <v>1</v>
      </c>
      <c r="M260" t="str" cm="1">
        <f t="array" ref="M2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quest.ahead_of_time_chapter_3.finished</v>
      </c>
      <c r="N260" t="str">
        <f>IF(tblTargetStatus[[#This Row],[FirstMissingDependencyID]]="","",_xlfn.XLOOKUP(tblTargetStatus[[#This Row],[FirstMissingDependencyID]],tblTargets[TargetID],tblTargets[DisplayName],tblTargetStatus[[#This Row],[FirstMissingDependencyID]]))</f>
        <v>Ahead of Time Chapter 3 Finished</v>
      </c>
      <c r="O260" s="2" cm="1">
        <f t="array" ref="O2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0" t="str">
        <f>IF(tblTargetStatus[[#This Row],[FirstMissingDependencyID]]="","",_xlfn.XLOOKUP(tblTargetStatus[[#This Row],[FirstMissingDependencyID]],tblTargetStatus[TargetID],tblTargetStatus[Status],""))</f>
        <v>BLOCKED</v>
      </c>
      <c r="Q260" t="str">
        <f>IF(
 tblTargetStatus[[#This Row],[Status]]&lt;&gt;"BLOCKED",
 tblTargetStatus[[#This Row],[Status]],
 IF(
  AND(
   tblTargetStatus[[#This Row],[MissingDependencies]]=1,
   tblTargetStatus[[#This Row],[FirstMissingStatus]]="READY"
  ),
  "ONE AWAY",
  "BLOCKED"
 )
)</f>
        <v>BLOCKED</v>
      </c>
      <c r="R260">
        <f>IF(
 OR(
  tblTargetStatus[[#This Row],[StateType]]="CHARACTER",
  RIGHT(tblTargetStatus[[#This Row],[TargetID]],6)=".maxed"
 ),
 0,
 _xlfn.LET(
  _xlpm.sort,
   _xlfn.XLOOKUP(
    tblTargetStatus[[#This Row],[TargetID]],
    tblChecklist[TargetID],
    tblChecklist[PlayerSort],
    0
   ),
  IF(_xlpm.sort=0,500,_xlpm.sort)
 )
)</f>
        <v>500</v>
      </c>
      <c r="S260" t="str" cm="1">
        <f t="array" ref="S26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4 Finished, Send Train to Sapporo</v>
      </c>
      <c r="T260" t="str">
        <f>_xlfn.XLOOKUP(tblTargetStatus[[#This Row],[TargetID]],tblTargets[TargetID],tblTargets[CompletionMethod],"")</f>
        <v>PLAYER</v>
      </c>
      <c r="U260" t="b">
        <f>COUNTIF(
    tblCost[TargetID],
    tblTargetStatus[[#This Row],[TargetID]]
)&gt;0</f>
        <v>0</v>
      </c>
      <c r="V260" s="81" t="str">
        <f>IF(tblTargetStatus[[#This Row],[HasCost]]=FALSE,
"N/A",
_xlfn.XLOOKUP(
tblTargetStatus[[#This Row],[TargetID]],
tblCost[TargetID],
tblCost[FundingPercent],
""
)
)</f>
        <v>N/A</v>
      </c>
      <c r="W260" t="str">
        <f>IF(
COUNTIF(tblCost[TargetID],tblTargetStatus[[#This Row],[TargetID]])=0,
"",
_xlfn.XLOOKUP(
tblTargetStatus[[#This Row],[TargetID]],
tblCost[TargetID],
tblCost[RemainingRequirements],
""
)
)</f>
        <v/>
      </c>
      <c r="X260" s="79" t="str">
        <f>IF(tblTargetStatus[[#This Row],[HasCost]]=FALSE,"N/A",_xlfn.XLOOKUP(
tblTargetStatus[[#This Row],[TargetID]],
tblCost[TargetID],
tblCost[TargetFunded],
TRUE
))</f>
        <v>N/A</v>
      </c>
      <c r="Y260" t="str" cm="1">
        <f t="array" ref="Y260">_xlfn.TEXTJOIN(
", ",
TRUE,
_xlfn._xlws.FILTER(
tblCost[ResourceID]&amp;": "&amp;tblCost[QuantityRequired],
(tblCost[TargetID]=tblTargetStatus[[#This Row],[TargetID]])*
(tblCost[PlayerPaid]=FALSE),
""
)
)</f>
        <v/>
      </c>
      <c r="Z2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0" t="str" cm="1">
        <f t="array" ref="AA26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61" spans="1:27">
      <c r="A261" t="s">
        <v>2456</v>
      </c>
      <c r="B261" t="str">
        <f>_xlfn.XLOOKUP(tblTargetStatus[[#This Row],[TargetID]],tblTargets[TargetID],tblTargets[DisplayName],"")</f>
        <v>Ahead of Time Chapter 4 Finished</v>
      </c>
      <c r="C261" t="str">
        <f>IF(tblTargetStatus[[#This Row],[PlayerCompleted]],"COMPLETED",IF(tblTargetStatus[[#This Row],[MissingDependencies]]=0,"READY","BLOCKED"))</f>
        <v>BLOCKED</v>
      </c>
      <c r="D2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1" t="str">
        <f>_xlfn.XLOOKUP(tblTargetStatus[[#This Row],[TargetID]],tblTargets[TargetID],tblTargets[TargetType],"")</f>
        <v>QUEST</v>
      </c>
      <c r="F261" t="str">
        <f>_xlfn.XLOOKUP(tblTargetStatus[[#This Row],[TargetID]],tblTargets[TargetID],tblTargets[StateType])</f>
        <v/>
      </c>
      <c r="G261">
        <f>_xlfn.LET(
_xlpm.id,tblTargetStatus[[#This Row],[TargetID]],
_xlpm.depCount,COUNTIF(tblDependencies[TargetID],_xlpm.id),
_xlpm.objCount,COUNTIF(tblQuestObjectives[QuestTargetID],_xlpm.id),
_xlpm.depCount+_xlpm.objCount
)</f>
        <v>2</v>
      </c>
      <c r="H261">
        <f>tblTargetStatus[[#This Row],[DependencyCount]]</f>
        <v>2</v>
      </c>
      <c r="I261" cm="1">
        <f t="array" ref="I2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1">
        <f>tblTargetStatus[[#This Row],[CompletedDependencyCount]]</f>
        <v>0</v>
      </c>
      <c r="K261" t="b">
        <f>tblTargetStatus[[#This Row],[CompletedDependencies]]=tblTargetStatus[[#This Row],[TotalDependencies]]</f>
        <v>0</v>
      </c>
      <c r="L261">
        <f>tblTargetStatus[[#This Row],[TotalDependencies]]-tblTargetStatus[[#This Row],[CompletedDependencies]]</f>
        <v>2</v>
      </c>
      <c r="M261" t="str" cm="1">
        <f t="array" ref="M2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quest.ahead_of_time_chapter_4.accepted</v>
      </c>
      <c r="N261" t="str">
        <f>IF(tblTargetStatus[[#This Row],[FirstMissingDependencyID]]="","",_xlfn.XLOOKUP(tblTargetStatus[[#This Row],[FirstMissingDependencyID]],tblTargets[TargetID],tblTargets[DisplayName],tblTargetStatus[[#This Row],[FirstMissingDependencyID]]))</f>
        <v>Ahead of Time Chapter 4 Accepted</v>
      </c>
      <c r="O261" s="2" cm="1">
        <f t="array" ref="O2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1" t="str">
        <f>IF(tblTargetStatus[[#This Row],[FirstMissingDependencyID]]="","",_xlfn.XLOOKUP(tblTargetStatus[[#This Row],[FirstMissingDependencyID]],tblTargetStatus[TargetID],tblTargetStatus[Status],""))</f>
        <v>BLOCKED</v>
      </c>
      <c r="Q261" t="str">
        <f>IF(
 tblTargetStatus[[#This Row],[Status]]&lt;&gt;"BLOCKED",
 tblTargetStatus[[#This Row],[Status]],
 IF(
  AND(
   tblTargetStatus[[#This Row],[MissingDependencies]]=1,
   tblTargetStatus[[#This Row],[FirstMissingStatus]]="READY"
  ),
  "ONE AWAY",
  "BLOCKED"
 )
)</f>
        <v>BLOCKED</v>
      </c>
      <c r="R261">
        <f>IF(
 OR(
  tblTargetStatus[[#This Row],[StateType]]="CHARACTER",
  RIGHT(tblTargetStatus[[#This Row],[TargetID]],6)=".maxed"
 ),
 0,
 _xlfn.LET(
  _xlpm.sort,
   _xlfn.XLOOKUP(
    tblTargetStatus[[#This Row],[TargetID]],
    tblChecklist[TargetID],
    tblChecklist[PlayerSort],
    0
   ),
  IF(_xlpm.sort=0,500,_xlpm.sort)
 )
)</f>
        <v>500</v>
      </c>
      <c r="S261" t="str" cm="1">
        <f t="array" ref="S26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Guild: Video Game Arcade Lv 1, Ahead of Time Chapter 5 Accepted, Outpost - Tax Return On Floppy Disk</v>
      </c>
      <c r="T261" t="str">
        <f>_xlfn.XLOOKUP(tblTargetStatus[[#This Row],[TargetID]],tblTargets[TargetID],tblTargets[CompletionMethod],"")</f>
        <v>PLAYER</v>
      </c>
      <c r="U261" t="b">
        <f>COUNTIF(
    tblCost[TargetID],
    tblTargetStatus[[#This Row],[TargetID]]
)&gt;0</f>
        <v>0</v>
      </c>
      <c r="V261" s="81" t="str">
        <f>IF(tblTargetStatus[[#This Row],[HasCost]]=FALSE,
"N/A",
_xlfn.XLOOKUP(
tblTargetStatus[[#This Row],[TargetID]],
tblCost[TargetID],
tblCost[FundingPercent],
""
)
)</f>
        <v>N/A</v>
      </c>
      <c r="W261" t="str">
        <f>IF(
COUNTIF(tblCost[TargetID],tblTargetStatus[[#This Row],[TargetID]])=0,
"",
_xlfn.XLOOKUP(
tblTargetStatus[[#This Row],[TargetID]],
tblCost[TargetID],
tblCost[RemainingRequirements],
""
)
)</f>
        <v/>
      </c>
      <c r="X261" s="79" t="str">
        <f>IF(tblTargetStatus[[#This Row],[HasCost]]=FALSE,"N/A",_xlfn.XLOOKUP(
tblTargetStatus[[#This Row],[TargetID]],
tblCost[TargetID],
tblCost[TargetFunded],
TRUE
))</f>
        <v>N/A</v>
      </c>
      <c r="Y261" t="str" cm="1">
        <f t="array" ref="Y261">_xlfn.TEXTJOIN(
", ",
TRUE,
_xlfn._xlws.FILTER(
tblCost[ResourceID]&amp;": "&amp;tblCost[QuantityRequired],
(tblCost[TargetID]=tblTargetStatus[[#This Row],[TargetID]])*
(tblCost[PlayerPaid]=FALSE),
""
)
)</f>
        <v/>
      </c>
      <c r="Z2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1" t="str" cm="1">
        <f t="array" ref="AA26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5</v>
      </c>
    </row>
    <row r="262" spans="1:27">
      <c r="A262" t="s">
        <v>2294</v>
      </c>
      <c r="B262" t="str">
        <f>_xlfn.XLOOKUP(tblTargetStatus[[#This Row],[TargetID]],tblTargets[TargetID],tblTargets[DisplayName],"")</f>
        <v>Ahead of Time Chapter 5 Accepted</v>
      </c>
      <c r="C262" t="str">
        <f>IF(tblTargetStatus[[#This Row],[PlayerCompleted]],"COMPLETED",IF(tblTargetStatus[[#This Row],[MissingDependencies]]=0,"READY","BLOCKED"))</f>
        <v>BLOCKED</v>
      </c>
      <c r="D2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2" t="str">
        <f>_xlfn.XLOOKUP(tblTargetStatus[[#This Row],[TargetID]],tblTargets[TargetID],tblTargets[TargetType],"")</f>
        <v>QUEST</v>
      </c>
      <c r="F262" t="str">
        <f>_xlfn.XLOOKUP(tblTargetStatus[[#This Row],[TargetID]],tblTargets[TargetID],tblTargets[StateType])</f>
        <v/>
      </c>
      <c r="G262">
        <f>_xlfn.LET(
_xlpm.id,tblTargetStatus[[#This Row],[TargetID]],
_xlpm.depCount,COUNTIF(tblDependencies[TargetID],_xlpm.id),
_xlpm.objCount,COUNTIF(tblQuestObjectives[QuestTargetID],_xlpm.id),
_xlpm.depCount+_xlpm.objCount
)</f>
        <v>1</v>
      </c>
      <c r="H262">
        <f>tblTargetStatus[[#This Row],[DependencyCount]]</f>
        <v>1</v>
      </c>
      <c r="I262" cm="1">
        <f t="array" ref="I2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2">
        <f>tblTargetStatus[[#This Row],[CompletedDependencyCount]]</f>
        <v>0</v>
      </c>
      <c r="K262" t="b">
        <f>tblTargetStatus[[#This Row],[CompletedDependencies]]=tblTargetStatus[[#This Row],[TotalDependencies]]</f>
        <v>0</v>
      </c>
      <c r="L262">
        <f>tblTargetStatus[[#This Row],[TotalDependencies]]-tblTargetStatus[[#This Row],[CompletedDependencies]]</f>
        <v>1</v>
      </c>
      <c r="M262" t="str" cm="1">
        <f t="array" ref="M2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quest.ahead_of_time_chapter_4.finished</v>
      </c>
      <c r="N262" t="str">
        <f>IF(tblTargetStatus[[#This Row],[FirstMissingDependencyID]]="","",_xlfn.XLOOKUP(tblTargetStatus[[#This Row],[FirstMissingDependencyID]],tblTargets[TargetID],tblTargets[DisplayName],tblTargetStatus[[#This Row],[FirstMissingDependencyID]]))</f>
        <v>Ahead of Time Chapter 4 Finished</v>
      </c>
      <c r="O262" s="2" cm="1">
        <f t="array" ref="O2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2" t="str">
        <f>IF(tblTargetStatus[[#This Row],[FirstMissingDependencyID]]="","",_xlfn.XLOOKUP(tblTargetStatus[[#This Row],[FirstMissingDependencyID]],tblTargetStatus[TargetID],tblTargetStatus[Status],""))</f>
        <v>BLOCKED</v>
      </c>
      <c r="Q262" t="str">
        <f>IF(
 tblTargetStatus[[#This Row],[Status]]&lt;&gt;"BLOCKED",
 tblTargetStatus[[#This Row],[Status]],
 IF(
  AND(
   tblTargetStatus[[#This Row],[MissingDependencies]]=1,
   tblTargetStatus[[#This Row],[FirstMissingStatus]]="READY"
  ),
  "ONE AWAY",
  "BLOCKED"
 )
)</f>
        <v>BLOCKED</v>
      </c>
      <c r="R262">
        <f>IF(
 OR(
  tblTargetStatus[[#This Row],[StateType]]="CHARACTER",
  RIGHT(tblTargetStatus[[#This Row],[TargetID]],6)=".maxed"
 ),
 0,
 _xlfn.LET(
  _xlpm.sort,
   _xlfn.XLOOKUP(
    tblTargetStatus[[#This Row],[TargetID]],
    tblChecklist[TargetID],
    tblChecklist[PlayerSort],
    0
   ),
  IF(_xlpm.sort=0,500,_xlpm.sort)
 )
)</f>
        <v>500</v>
      </c>
      <c r="S262" t="str" cm="1">
        <f t="array" ref="S26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Data Center Lv 1, Ahead of Time Chapter 5 Finished, Laboratory - Digitization, Laboratory - Experiments, Laboratory - Research And Development</v>
      </c>
      <c r="T262" t="str">
        <f>_xlfn.XLOOKUP(tblTargetStatus[[#This Row],[TargetID]],tblTargets[TargetID],tblTargets[CompletionMethod],"")</f>
        <v>PLAYER</v>
      </c>
      <c r="U262" t="b">
        <f>COUNTIF(
    tblCost[TargetID],
    tblTargetStatus[[#This Row],[TargetID]]
)&gt;0</f>
        <v>0</v>
      </c>
      <c r="V262" s="81" t="str">
        <f>IF(tblTargetStatus[[#This Row],[HasCost]]=FALSE,
"N/A",
_xlfn.XLOOKUP(
tblTargetStatus[[#This Row],[TargetID]],
tblCost[TargetID],
tblCost[FundingPercent],
""
)
)</f>
        <v>N/A</v>
      </c>
      <c r="W262" t="str">
        <f>IF(
COUNTIF(tblCost[TargetID],tblTargetStatus[[#This Row],[TargetID]])=0,
"",
_xlfn.XLOOKUP(
tblTargetStatus[[#This Row],[TargetID]],
tblCost[TargetID],
tblCost[RemainingRequirements],
""
)
)</f>
        <v/>
      </c>
      <c r="X262" s="79" t="str">
        <f>IF(tblTargetStatus[[#This Row],[HasCost]]=FALSE,"N/A",_xlfn.XLOOKUP(
tblTargetStatus[[#This Row],[TargetID]],
tblCost[TargetID],
tblCost[TargetFunded],
TRUE
))</f>
        <v>N/A</v>
      </c>
      <c r="Y262" t="str" cm="1">
        <f t="array" ref="Y262">_xlfn.TEXTJOIN(
", ",
TRUE,
_xlfn._xlws.FILTER(
tblCost[ResourceID]&amp;": "&amp;tblCost[QuantityRequired],
(tblCost[TargetID]=tblTargetStatus[[#This Row],[TargetID]])*
(tblCost[PlayerPaid]=FALSE),
""
)
)</f>
        <v/>
      </c>
      <c r="Z2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2" t="str" cm="1">
        <f t="array" ref="AA26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63" spans="1:27">
      <c r="A263" t="s">
        <v>2458</v>
      </c>
      <c r="B263" t="str">
        <f>_xlfn.XLOOKUP(tblTargetStatus[[#This Row],[TargetID]],tblTargets[TargetID],tblTargets[DisplayName],"")</f>
        <v>Ahead of Time Chapter 5 Finished</v>
      </c>
      <c r="C263" t="str">
        <f>IF(tblTargetStatus[[#This Row],[PlayerCompleted]],"COMPLETED",IF(tblTargetStatus[[#This Row],[MissingDependencies]]=0,"READY","BLOCKED"))</f>
        <v>BLOCKED</v>
      </c>
      <c r="D2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3" t="str">
        <f>_xlfn.XLOOKUP(tblTargetStatus[[#This Row],[TargetID]],tblTargets[TargetID],tblTargets[TargetType],"")</f>
        <v>QUEST</v>
      </c>
      <c r="F263" t="str">
        <f>_xlfn.XLOOKUP(tblTargetStatus[[#This Row],[TargetID]],tblTargets[TargetID],tblTargets[StateType])</f>
        <v/>
      </c>
      <c r="G263">
        <f>_xlfn.LET(
_xlpm.id,tblTargetStatus[[#This Row],[TargetID]],
_xlpm.depCount,COUNTIF(tblDependencies[TargetID],_xlpm.id),
_xlpm.objCount,COUNTIF(tblQuestObjectives[QuestTargetID],_xlpm.id),
_xlpm.depCount+_xlpm.objCount
)</f>
        <v>5</v>
      </c>
      <c r="H263">
        <f>tblTargetStatus[[#This Row],[DependencyCount]]</f>
        <v>5</v>
      </c>
      <c r="I263" cm="1">
        <f t="array" ref="I2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3">
        <f>tblTargetStatus[[#This Row],[CompletedDependencyCount]]</f>
        <v>0</v>
      </c>
      <c r="K263" t="b">
        <f>tblTargetStatus[[#This Row],[CompletedDependencies]]=tblTargetStatus[[#This Row],[TotalDependencies]]</f>
        <v>0</v>
      </c>
      <c r="L263">
        <f>tblTargetStatus[[#This Row],[TotalDependencies]]-tblTargetStatus[[#This Row],[CompletedDependencies]]</f>
        <v>5</v>
      </c>
      <c r="M263" t="str" cm="1">
        <f t="array" ref="M2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quest.ahead_of_time_chapter_5.accepted</v>
      </c>
      <c r="N263" t="str">
        <f>IF(tblTargetStatus[[#This Row],[FirstMissingDependencyID]]="","",_xlfn.XLOOKUP(tblTargetStatus[[#This Row],[FirstMissingDependencyID]],tblTargets[TargetID],tblTargets[DisplayName],tblTargetStatus[[#This Row],[FirstMissingDependencyID]]))</f>
        <v>Ahead of Time Chapter 5 Accepted</v>
      </c>
      <c r="O263" s="2" cm="1">
        <f t="array" ref="O2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3" t="str">
        <f>IF(tblTargetStatus[[#This Row],[FirstMissingDependencyID]]="","",_xlfn.XLOOKUP(tblTargetStatus[[#This Row],[FirstMissingDependencyID]],tblTargetStatus[TargetID],tblTargetStatus[Status],""))</f>
        <v>BLOCKED</v>
      </c>
      <c r="Q263" t="str">
        <f>IF(
 tblTargetStatus[[#This Row],[Status]]&lt;&gt;"BLOCKED",
 tblTargetStatus[[#This Row],[Status]],
 IF(
  AND(
   tblTargetStatus[[#This Row],[MissingDependencies]]=1,
   tblTargetStatus[[#This Row],[FirstMissingStatus]]="READY"
  ),
  "ONE AWAY",
  "BLOCKED"
 )
)</f>
        <v>BLOCKED</v>
      </c>
      <c r="R263">
        <f>IF(
 OR(
  tblTargetStatus[[#This Row],[StateType]]="CHARACTER",
  RIGHT(tblTargetStatus[[#This Row],[TargetID]],6)=".maxed"
 ),
 0,
 _xlfn.LET(
  _xlpm.sort,
   _xlfn.XLOOKUP(
    tblTargetStatus[[#This Row],[TargetID]],
    tblChecklist[TargetID],
    tblChecklist[PlayerSort],
    0
   ),
  IF(_xlpm.sort=0,500,_xlpm.sort)
 )
)</f>
        <v>500</v>
      </c>
      <c r="S263" t="str" cm="1">
        <f t="array" ref="S26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Guild: Video Game Arcade Lv 1, Outpost - Tax Return On Floppy Disk, Train - Onboard Computer</v>
      </c>
      <c r="T263" t="str">
        <f>_xlfn.XLOOKUP(tblTargetStatus[[#This Row],[TargetID]],tblTargets[TargetID],tblTargets[CompletionMethod],"")</f>
        <v>PLAYER</v>
      </c>
      <c r="U263" t="b">
        <f>COUNTIF(
    tblCost[TargetID],
    tblTargetStatus[[#This Row],[TargetID]]
)&gt;0</f>
        <v>0</v>
      </c>
      <c r="V263" s="81" t="str">
        <f>IF(tblTargetStatus[[#This Row],[HasCost]]=FALSE,
"N/A",
_xlfn.XLOOKUP(
tblTargetStatus[[#This Row],[TargetID]],
tblCost[TargetID],
tblCost[FundingPercent],
""
)
)</f>
        <v>N/A</v>
      </c>
      <c r="W263" t="str">
        <f>IF(
COUNTIF(tblCost[TargetID],tblTargetStatus[[#This Row],[TargetID]])=0,
"",
_xlfn.XLOOKUP(
tblTargetStatus[[#This Row],[TargetID]],
tblCost[TargetID],
tblCost[RemainingRequirements],
""
)
)</f>
        <v/>
      </c>
      <c r="X263" s="79" t="str">
        <f>IF(tblTargetStatus[[#This Row],[HasCost]]=FALSE,"N/A",_xlfn.XLOOKUP(
tblTargetStatus[[#This Row],[TargetID]],
tblCost[TargetID],
tblCost[TargetFunded],
TRUE
))</f>
        <v>N/A</v>
      </c>
      <c r="Y263" t="str" cm="1">
        <f t="array" ref="Y263">_xlfn.TEXTJOIN(
", ",
TRUE,
_xlfn._xlws.FILTER(
tblCost[ResourceID]&amp;": "&amp;tblCost[QuantityRequired],
(tblCost[TargetID]=tblTargetStatus[[#This Row],[TargetID]])*
(tblCost[PlayerPaid]=FALSE),
""
)
)</f>
        <v/>
      </c>
      <c r="Z2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3" t="str" cm="1">
        <f t="array" ref="AA26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64" spans="1:27">
      <c r="A264" t="s">
        <v>2297</v>
      </c>
      <c r="B264" t="str">
        <f>_xlfn.XLOOKUP(tblTargetStatus[[#This Row],[TargetID]],tblTargets[TargetID],tblTargets[DisplayName],"")</f>
        <v>Build the Guild Accepted</v>
      </c>
      <c r="C264" t="str">
        <f>IF(tblTargetStatus[[#This Row],[PlayerCompleted]],"COMPLETED",IF(tblTargetStatus[[#This Row],[MissingDependencies]]=0,"READY","BLOCKED"))</f>
        <v>READY</v>
      </c>
      <c r="D2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4" t="str">
        <f>_xlfn.XLOOKUP(tblTargetStatus[[#This Row],[TargetID]],tblTargets[TargetID],tblTargets[TargetType],"")</f>
        <v>QUEST</v>
      </c>
      <c r="F264" t="str">
        <f>_xlfn.XLOOKUP(tblTargetStatus[[#This Row],[TargetID]],tblTargets[TargetID],tblTargets[StateType])</f>
        <v/>
      </c>
      <c r="G264">
        <f>_xlfn.LET(
_xlpm.id,tblTargetStatus[[#This Row],[TargetID]],
_xlpm.depCount,COUNTIF(tblDependencies[TargetID],_xlpm.id),
_xlpm.objCount,COUNTIF(tblQuestObjectives[QuestTargetID],_xlpm.id),
_xlpm.depCount+_xlpm.objCount
)</f>
        <v>0</v>
      </c>
      <c r="H264">
        <f>tblTargetStatus[[#This Row],[DependencyCount]]</f>
        <v>0</v>
      </c>
      <c r="I264" cm="1">
        <f t="array" ref="I2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4">
        <f>tblTargetStatus[[#This Row],[CompletedDependencyCount]]</f>
        <v>0</v>
      </c>
      <c r="K264" t="b">
        <f>tblTargetStatus[[#This Row],[CompletedDependencies]]=tblTargetStatus[[#This Row],[TotalDependencies]]</f>
        <v>1</v>
      </c>
      <c r="L264">
        <f>tblTargetStatus[[#This Row],[TotalDependencies]]-tblTargetStatus[[#This Row],[CompletedDependencies]]</f>
        <v>0</v>
      </c>
      <c r="M264" t="str" cm="1">
        <f t="array" ref="M2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264" t="str">
        <f>IF(tblTargetStatus[[#This Row],[FirstMissingDependencyID]]="","",_xlfn.XLOOKUP(tblTargetStatus[[#This Row],[FirstMissingDependencyID]],tblTargets[TargetID],tblTargets[DisplayName],tblTargetStatus[[#This Row],[FirstMissingDependencyID]]))</f>
        <v/>
      </c>
      <c r="O264" cm="1">
        <f t="array" ref="O2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4" t="str">
        <f>IF(tblTargetStatus[[#This Row],[FirstMissingDependencyID]]="","",_xlfn.XLOOKUP(tblTargetStatus[[#This Row],[FirstMissingDependencyID]],tblTargetStatus[TargetID],tblTargetStatus[Status],""))</f>
        <v/>
      </c>
      <c r="Q264" t="str">
        <f>IF(
 tblTargetStatus[[#This Row],[Status]]&lt;&gt;"BLOCKED",
 tblTargetStatus[[#This Row],[Status]],
 IF(
  AND(
   tblTargetStatus[[#This Row],[MissingDependencies]]=1,
   tblTargetStatus[[#This Row],[FirstMissingStatus]]="READY"
  ),
  "ONE AWAY",
  "BLOCKED"
 )
)</f>
        <v>READY</v>
      </c>
      <c r="R264">
        <f>IF(
 OR(
  tblTargetStatus[[#This Row],[StateType]]="CHARACTER",
  RIGHT(tblTargetStatus[[#This Row],[TargetID]],6)=".maxed"
 ),
 0,
 _xlfn.LET(
  _xlpm.sort,
   _xlfn.XLOOKUP(
    tblTargetStatus[[#This Row],[TargetID]],
    tblChecklist[TargetID],
    tblChecklist[PlayerSort],
    0
   ),
  IF(_xlpm.sort=0,500,_xlpm.sort)
 )
)</f>
        <v>500</v>
      </c>
      <c r="S264" t="str" cm="1">
        <f t="array" ref="S26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Build the Guild Finished</v>
      </c>
      <c r="T264" t="str">
        <f>_xlfn.XLOOKUP(tblTargetStatus[[#This Row],[TargetID]],tblTargets[TargetID],tblTargets[CompletionMethod],"")</f>
        <v>PLAYER</v>
      </c>
      <c r="U264" t="b">
        <f>COUNTIF(
    tblCost[TargetID],
    tblTargetStatus[[#This Row],[TargetID]]
)&gt;0</f>
        <v>0</v>
      </c>
      <c r="V264" s="81" t="str">
        <f>IF(tblTargetStatus[[#This Row],[HasCost]]=FALSE,
"N/A",
_xlfn.XLOOKUP(
tblTargetStatus[[#This Row],[TargetID]],
tblCost[TargetID],
tblCost[FundingPercent],
""
)
)</f>
        <v>N/A</v>
      </c>
      <c r="W264" t="str">
        <f>IF(
COUNTIF(tblCost[TargetID],tblTargetStatus[[#This Row],[TargetID]])=0,
"",
_xlfn.XLOOKUP(
tblTargetStatus[[#This Row],[TargetID]],
tblCost[TargetID],
tblCost[RemainingRequirements],
""
)
)</f>
        <v/>
      </c>
      <c r="X264" s="79" t="str">
        <f>IF(tblTargetStatus[[#This Row],[HasCost]]=FALSE,"N/A",_xlfn.XLOOKUP(
tblTargetStatus[[#This Row],[TargetID]],
tblCost[TargetID],
tblCost[TargetFunded],
TRUE
))</f>
        <v>N/A</v>
      </c>
      <c r="Y264" t="str" cm="1">
        <f t="array" ref="Y264">_xlfn.TEXTJOIN(
", ",
TRUE,
_xlfn._xlws.FILTER(
tblCost[ResourceID]&amp;": "&amp;tblCost[QuantityRequired],
(tblCost[TargetID]=tblTargetStatus[[#This Row],[TargetID]])*
(tblCost[PlayerPaid]=FALSE),
""
)
)</f>
        <v/>
      </c>
      <c r="Z2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4" t="str" cm="1">
        <f t="array" ref="AA26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65" spans="1:27">
      <c r="A265" t="s">
        <v>2460</v>
      </c>
      <c r="B265" t="str">
        <f>_xlfn.XLOOKUP(tblTargetStatus[[#This Row],[TargetID]],tblTargets[TargetID],tblTargets[DisplayName],"")</f>
        <v>Build the Guild Finished</v>
      </c>
      <c r="C265" t="str">
        <f>IF(tblTargetStatus[[#This Row],[PlayerCompleted]],"COMPLETED",IF(tblTargetStatus[[#This Row],[MissingDependencies]]=0,"READY","BLOCKED"))</f>
        <v>BLOCKED</v>
      </c>
      <c r="D2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5" t="str">
        <f>_xlfn.XLOOKUP(tblTargetStatus[[#This Row],[TargetID]],tblTargets[TargetID],tblTargets[TargetType],"")</f>
        <v>QUEST</v>
      </c>
      <c r="F265" t="str">
        <f>_xlfn.XLOOKUP(tblTargetStatus[[#This Row],[TargetID]],tblTargets[TargetID],tblTargets[StateType])</f>
        <v/>
      </c>
      <c r="G265">
        <f>_xlfn.LET(
_xlpm.id,tblTargetStatus[[#This Row],[TargetID]],
_xlpm.depCount,COUNTIF(tblDependencies[TargetID],_xlpm.id),
_xlpm.objCount,COUNTIF(tblQuestObjectives[QuestTargetID],_xlpm.id),
_xlpm.depCount+_xlpm.objCount
)</f>
        <v>2</v>
      </c>
      <c r="H265">
        <f>tblTargetStatus[[#This Row],[DependencyCount]]</f>
        <v>2</v>
      </c>
      <c r="I265" cm="1">
        <f t="array" ref="I2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5">
        <f>tblTargetStatus[[#This Row],[CompletedDependencyCount]]</f>
        <v>0</v>
      </c>
      <c r="K265" t="b">
        <f>tblTargetStatus[[#This Row],[CompletedDependencies]]=tblTargetStatus[[#This Row],[TotalDependencies]]</f>
        <v>0</v>
      </c>
      <c r="L265">
        <f>tblTargetStatus[[#This Row],[TotalDependencies]]-tblTargetStatus[[#This Row],[CompletedDependencies]]</f>
        <v>2</v>
      </c>
      <c r="M265" t="str" cm="1">
        <f t="array" ref="M2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quest.build_the_guild.accepted</v>
      </c>
      <c r="N265" t="str">
        <f>IF(tblTargetStatus[[#This Row],[FirstMissingDependencyID]]="","",_xlfn.XLOOKUP(tblTargetStatus[[#This Row],[FirstMissingDependencyID]],tblTargets[TargetID],tblTargets[DisplayName],tblTargetStatus[[#This Row],[FirstMissingDependencyID]]))</f>
        <v>Build the Guild Accepted</v>
      </c>
      <c r="O265" s="2" cm="1">
        <f t="array" ref="O2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5" t="str">
        <f>IF(tblTargetStatus[[#This Row],[FirstMissingDependencyID]]="","",_xlfn.XLOOKUP(tblTargetStatus[[#This Row],[FirstMissingDependencyID]],tblTargetStatus[TargetID],tblTargetStatus[Status],""))</f>
        <v>READY</v>
      </c>
      <c r="Q265" t="str">
        <f>IF(
 tblTargetStatus[[#This Row],[Status]]&lt;&gt;"BLOCKED",
 tblTargetStatus[[#This Row],[Status]],
 IF(
  AND(
   tblTargetStatus[[#This Row],[MissingDependencies]]=1,
   tblTargetStatus[[#This Row],[FirstMissingStatus]]="READY"
  ),
  "ONE AWAY",
  "BLOCKED"
 )
)</f>
        <v>BLOCKED</v>
      </c>
      <c r="R265">
        <f>IF(
 OR(
  tblTargetStatus[[#This Row],[StateType]]="CHARACTER",
  RIGHT(tblTargetStatus[[#This Row],[TargetID]],6)=".maxed"
 ),
 0,
 _xlfn.LET(
  _xlpm.sort,
   _xlfn.XLOOKUP(
    tblTargetStatus[[#This Row],[TargetID]],
    tblChecklist[TargetID],
    tblChecklist[PlayerSort],
    0
   ),
  IF(_xlpm.sort=0,500,_xlpm.sort)
 )
)</f>
        <v>500</v>
      </c>
      <c r="S265" t="str" cm="1">
        <f t="array" ref="S26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65" t="str">
        <f>_xlfn.XLOOKUP(tblTargetStatus[[#This Row],[TargetID]],tblTargets[TargetID],tblTargets[CompletionMethod],"")</f>
        <v>PLAYER</v>
      </c>
      <c r="U265" t="b">
        <f>COUNTIF(
    tblCost[TargetID],
    tblTargetStatus[[#This Row],[TargetID]]
)&gt;0</f>
        <v>0</v>
      </c>
      <c r="V265" s="81" t="str">
        <f>IF(tblTargetStatus[[#This Row],[HasCost]]=FALSE,
"N/A",
_xlfn.XLOOKUP(
tblTargetStatus[[#This Row],[TargetID]],
tblCost[TargetID],
tblCost[FundingPercent],
""
)
)</f>
        <v>N/A</v>
      </c>
      <c r="W265" t="str">
        <f>IF(
COUNTIF(tblCost[TargetID],tblTargetStatus[[#This Row],[TargetID]])=0,
"",
_xlfn.XLOOKUP(
tblTargetStatus[[#This Row],[TargetID]],
tblCost[TargetID],
tblCost[RemainingRequirements],
""
)
)</f>
        <v/>
      </c>
      <c r="X265" s="79" t="str">
        <f>IF(tblTargetStatus[[#This Row],[HasCost]]=FALSE,"N/A",_xlfn.XLOOKUP(
tblTargetStatus[[#This Row],[TargetID]],
tblCost[TargetID],
tblCost[TargetFunded],
TRUE
))</f>
        <v>N/A</v>
      </c>
      <c r="Y265" t="str" cm="1">
        <f t="array" ref="Y265">_xlfn.TEXTJOIN(
", ",
TRUE,
_xlfn._xlws.FILTER(
tblCost[ResourceID]&amp;": "&amp;tblCost[QuantityRequired],
(tblCost[TargetID]=tblTargetStatus[[#This Row],[TargetID]])*
(tblCost[PlayerPaid]=FALSE),
""
)
)</f>
        <v/>
      </c>
      <c r="Z2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5" t="str" cm="1">
        <f t="array" ref="AA26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66" spans="1:27">
      <c r="A266" t="s">
        <v>2300</v>
      </c>
      <c r="B266" t="str">
        <f>_xlfn.XLOOKUP(tblTargetStatus[[#This Row],[TargetID]],tblTargets[TargetID],tblTargets[DisplayName],"")</f>
        <v>Build the Pagoda Accepted</v>
      </c>
      <c r="C266" t="str">
        <f>IF(tblTargetStatus[[#This Row],[PlayerCompleted]],"COMPLETED",IF(tblTargetStatus[[#This Row],[MissingDependencies]]=0,"READY","BLOCKED"))</f>
        <v>READY</v>
      </c>
      <c r="D2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6" t="str">
        <f>_xlfn.XLOOKUP(tblTargetStatus[[#This Row],[TargetID]],tblTargets[TargetID],tblTargets[TargetType],"")</f>
        <v>QUEST</v>
      </c>
      <c r="F266" t="str">
        <f>_xlfn.XLOOKUP(tblTargetStatus[[#This Row],[TargetID]],tblTargets[TargetID],tblTargets[StateType])</f>
        <v/>
      </c>
      <c r="G266">
        <f>_xlfn.LET(
_xlpm.id,tblTargetStatus[[#This Row],[TargetID]],
_xlpm.depCount,COUNTIF(tblDependencies[TargetID],_xlpm.id),
_xlpm.objCount,COUNTIF(tblQuestObjectives[QuestTargetID],_xlpm.id),
_xlpm.depCount+_xlpm.objCount
)</f>
        <v>0</v>
      </c>
      <c r="H266">
        <f>tblTargetStatus[[#This Row],[DependencyCount]]</f>
        <v>0</v>
      </c>
      <c r="I266" cm="1">
        <f t="array" ref="I2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6">
        <f>tblTargetStatus[[#This Row],[CompletedDependencyCount]]</f>
        <v>0</v>
      </c>
      <c r="K266" t="b">
        <f>tblTargetStatus[[#This Row],[CompletedDependencies]]=tblTargetStatus[[#This Row],[TotalDependencies]]</f>
        <v>1</v>
      </c>
      <c r="L266">
        <f>tblTargetStatus[[#This Row],[TotalDependencies]]-tblTargetStatus[[#This Row],[CompletedDependencies]]</f>
        <v>0</v>
      </c>
      <c r="M266" t="str" cm="1">
        <f t="array" ref="M2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266" t="str">
        <f>IF(tblTargetStatus[[#This Row],[FirstMissingDependencyID]]="","",_xlfn.XLOOKUP(tblTargetStatus[[#This Row],[FirstMissingDependencyID]],tblTargets[TargetID],tblTargets[DisplayName],tblTargetStatus[[#This Row],[FirstMissingDependencyID]]))</f>
        <v/>
      </c>
      <c r="O266" cm="1">
        <f t="array" ref="O2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6" t="str">
        <f>IF(tblTargetStatus[[#This Row],[FirstMissingDependencyID]]="","",_xlfn.XLOOKUP(tblTargetStatus[[#This Row],[FirstMissingDependencyID]],tblTargetStatus[TargetID],tblTargetStatus[Status],""))</f>
        <v/>
      </c>
      <c r="Q266" t="str">
        <f>IF(
 tblTargetStatus[[#This Row],[Status]]&lt;&gt;"BLOCKED",
 tblTargetStatus[[#This Row],[Status]],
 IF(
  AND(
   tblTargetStatus[[#This Row],[MissingDependencies]]=1,
   tblTargetStatus[[#This Row],[FirstMissingStatus]]="READY"
  ),
  "ONE AWAY",
  "BLOCKED"
 )
)</f>
        <v>READY</v>
      </c>
      <c r="R266">
        <f>IF(
 OR(
  tblTargetStatus[[#This Row],[StateType]]="CHARACTER",
  RIGHT(tblTargetStatus[[#This Row],[TargetID]],6)=".maxed"
 ),
 0,
 _xlfn.LET(
  _xlpm.sort,
   _xlfn.XLOOKUP(
    tblTargetStatus[[#This Row],[TargetID]],
    tblChecklist[TargetID],
    tblChecklist[PlayerSort],
    0
   ),
  IF(_xlpm.sort=0,500,_xlpm.sort)
 )
)</f>
        <v>500</v>
      </c>
      <c r="S266" t="str" cm="1">
        <f t="array" ref="S26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Build the Pagoda Finished</v>
      </c>
      <c r="T266" t="str">
        <f>_xlfn.XLOOKUP(tblTargetStatus[[#This Row],[TargetID]],tblTargets[TargetID],tblTargets[CompletionMethod],"")</f>
        <v>PLAYER</v>
      </c>
      <c r="U266" t="b">
        <f>COUNTIF(
    tblCost[TargetID],
    tblTargetStatus[[#This Row],[TargetID]]
)&gt;0</f>
        <v>0</v>
      </c>
      <c r="V266" s="81" t="str">
        <f>IF(tblTargetStatus[[#This Row],[HasCost]]=FALSE,
"N/A",
_xlfn.XLOOKUP(
tblTargetStatus[[#This Row],[TargetID]],
tblCost[TargetID],
tblCost[FundingPercent],
""
)
)</f>
        <v>N/A</v>
      </c>
      <c r="W266" t="str">
        <f>IF(
COUNTIF(tblCost[TargetID],tblTargetStatus[[#This Row],[TargetID]])=0,
"",
_xlfn.XLOOKUP(
tblTargetStatus[[#This Row],[TargetID]],
tblCost[TargetID],
tblCost[RemainingRequirements],
""
)
)</f>
        <v/>
      </c>
      <c r="X266" s="79" t="str">
        <f>IF(tblTargetStatus[[#This Row],[HasCost]]=FALSE,"N/A",_xlfn.XLOOKUP(
tblTargetStatus[[#This Row],[TargetID]],
tblCost[TargetID],
tblCost[TargetFunded],
TRUE
))</f>
        <v>N/A</v>
      </c>
      <c r="Y266" t="str" cm="1">
        <f t="array" ref="Y266">_xlfn.TEXTJOIN(
", ",
TRUE,
_xlfn._xlws.FILTER(
tblCost[ResourceID]&amp;": "&amp;tblCost[QuantityRequired],
(tblCost[TargetID]=tblTargetStatus[[#This Row],[TargetID]])*
(tblCost[PlayerPaid]=FALSE),
""
)
)</f>
        <v/>
      </c>
      <c r="Z2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6" t="str" cm="1">
        <f t="array" ref="AA26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67" spans="1:27">
      <c r="A267" t="s">
        <v>2462</v>
      </c>
      <c r="B267" t="str">
        <f>_xlfn.XLOOKUP(tblTargetStatus[[#This Row],[TargetID]],tblTargets[TargetID],tblTargets[DisplayName],"")</f>
        <v>Build the Pagoda Finished</v>
      </c>
      <c r="C267" t="str">
        <f>IF(tblTargetStatus[[#This Row],[PlayerCompleted]],"COMPLETED",IF(tblTargetStatus[[#This Row],[MissingDependencies]]=0,"READY","BLOCKED"))</f>
        <v>BLOCKED</v>
      </c>
      <c r="D2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7" t="str">
        <f>_xlfn.XLOOKUP(tblTargetStatus[[#This Row],[TargetID]],tblTargets[TargetID],tblTargets[TargetType],"")</f>
        <v>QUEST</v>
      </c>
      <c r="F267" t="str">
        <f>_xlfn.XLOOKUP(tblTargetStatus[[#This Row],[TargetID]],tblTargets[TargetID],tblTargets[StateType])</f>
        <v/>
      </c>
      <c r="G267">
        <f>_xlfn.LET(
_xlpm.id,tblTargetStatus[[#This Row],[TargetID]],
_xlpm.depCount,COUNTIF(tblDependencies[TargetID],_xlpm.id),
_xlpm.objCount,COUNTIF(tblQuestObjectives[QuestTargetID],_xlpm.id),
_xlpm.depCount+_xlpm.objCount
)</f>
        <v>2</v>
      </c>
      <c r="H267">
        <f>tblTargetStatus[[#This Row],[DependencyCount]]</f>
        <v>2</v>
      </c>
      <c r="I267" cm="1">
        <f t="array" ref="I2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7">
        <f>tblTargetStatus[[#This Row],[CompletedDependencyCount]]</f>
        <v>0</v>
      </c>
      <c r="K267" t="b">
        <f>tblTargetStatus[[#This Row],[CompletedDependencies]]=tblTargetStatus[[#This Row],[TotalDependencies]]</f>
        <v>0</v>
      </c>
      <c r="L267">
        <f>tblTargetStatus[[#This Row],[TotalDependencies]]-tblTargetStatus[[#This Row],[CompletedDependencies]]</f>
        <v>2</v>
      </c>
      <c r="M267" t="str" cm="1">
        <f t="array" ref="M2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quest.build_the_pagoda.accepted</v>
      </c>
      <c r="N267" t="str">
        <f>IF(tblTargetStatus[[#This Row],[FirstMissingDependencyID]]="","",_xlfn.XLOOKUP(tblTargetStatus[[#This Row],[FirstMissingDependencyID]],tblTargets[TargetID],tblTargets[DisplayName],tblTargetStatus[[#This Row],[FirstMissingDependencyID]]))</f>
        <v>Build the Pagoda Accepted</v>
      </c>
      <c r="O267" s="2" cm="1">
        <f t="array" ref="O2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7" t="str">
        <f>IF(tblTargetStatus[[#This Row],[FirstMissingDependencyID]]="","",_xlfn.XLOOKUP(tblTargetStatus[[#This Row],[FirstMissingDependencyID]],tblTargetStatus[TargetID],tblTargetStatus[Status],""))</f>
        <v>READY</v>
      </c>
      <c r="Q267" t="str">
        <f>IF(
 tblTargetStatus[[#This Row],[Status]]&lt;&gt;"BLOCKED",
 tblTargetStatus[[#This Row],[Status]],
 IF(
  AND(
   tblTargetStatus[[#This Row],[MissingDependencies]]=1,
   tblTargetStatus[[#This Row],[FirstMissingStatus]]="READY"
  ),
  "ONE AWAY",
  "BLOCKED"
 )
)</f>
        <v>BLOCKED</v>
      </c>
      <c r="R267">
        <f>IF(
 OR(
  tblTargetStatus[[#This Row],[StateType]]="CHARACTER",
  RIGHT(tblTargetStatus[[#This Row],[TargetID]],6)=".maxed"
 ),
 0,
 _xlfn.LET(
  _xlpm.sort,
   _xlfn.XLOOKUP(
    tblTargetStatus[[#This Row],[TargetID]],
    tblChecklist[TargetID],
    tblChecklist[PlayerSort],
    0
   ),
  IF(_xlpm.sort=0,500,_xlpm.sort)
 )
)</f>
        <v>500</v>
      </c>
      <c r="S267" t="str" cm="1">
        <f t="array" ref="S26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67" t="str">
        <f>_xlfn.XLOOKUP(tblTargetStatus[[#This Row],[TargetID]],tblTargets[TargetID],tblTargets[CompletionMethod],"")</f>
        <v>PLAYER</v>
      </c>
      <c r="U267" t="b">
        <f>COUNTIF(
    tblCost[TargetID],
    tblTargetStatus[[#This Row],[TargetID]]
)&gt;0</f>
        <v>0</v>
      </c>
      <c r="V267" s="81" t="str">
        <f>IF(tblTargetStatus[[#This Row],[HasCost]]=FALSE,
"N/A",
_xlfn.XLOOKUP(
tblTargetStatus[[#This Row],[TargetID]],
tblCost[TargetID],
tblCost[FundingPercent],
""
)
)</f>
        <v>N/A</v>
      </c>
      <c r="W267" t="str">
        <f>IF(
COUNTIF(tblCost[TargetID],tblTargetStatus[[#This Row],[TargetID]])=0,
"",
_xlfn.XLOOKUP(
tblTargetStatus[[#This Row],[TargetID]],
tblCost[TargetID],
tblCost[RemainingRequirements],
""
)
)</f>
        <v/>
      </c>
      <c r="X267" s="79" t="str">
        <f>IF(tblTargetStatus[[#This Row],[HasCost]]=FALSE,"N/A",_xlfn.XLOOKUP(
tblTargetStatus[[#This Row],[TargetID]],
tblCost[TargetID],
tblCost[TargetFunded],
TRUE
))</f>
        <v>N/A</v>
      </c>
      <c r="Y267" t="str" cm="1">
        <f t="array" ref="Y267">_xlfn.TEXTJOIN(
", ",
TRUE,
_xlfn._xlws.FILTER(
tblCost[ResourceID]&amp;": "&amp;tblCost[QuantityRequired],
(tblCost[TargetID]=tblTargetStatus[[#This Row],[TargetID]])*
(tblCost[PlayerPaid]=FALSE),
""
)
)</f>
        <v/>
      </c>
      <c r="Z2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7" t="str" cm="1">
        <f t="array" ref="AA26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68" spans="1:27" ht="43.5">
      <c r="A268" t="s">
        <v>2303</v>
      </c>
      <c r="B268" t="str">
        <f>_xlfn.XLOOKUP(tblTargetStatus[[#This Row],[TargetID]],tblTargets[TargetID],tblTargets[DisplayName],"")</f>
        <v>Culinary Battle Accepted</v>
      </c>
      <c r="C268" t="str">
        <f>IF(tblTargetStatus[[#This Row],[PlayerCompleted]],"COMPLETED",IF(tblTargetStatus[[#This Row],[MissingDependencies]]=0,"READY","BLOCKED"))</f>
        <v>BLOCKED</v>
      </c>
      <c r="D2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8" t="str">
        <f>_xlfn.XLOOKUP(tblTargetStatus[[#This Row],[TargetID]],tblTargets[TargetID],tblTargets[TargetType],"")</f>
        <v>QUEST</v>
      </c>
      <c r="F268" t="str">
        <f>_xlfn.XLOOKUP(tblTargetStatus[[#This Row],[TargetID]],tblTargets[TargetID],tblTargets[StateType])</f>
        <v/>
      </c>
      <c r="G268">
        <f>_xlfn.LET(
_xlpm.id,tblTargetStatus[[#This Row],[TargetID]],
_xlpm.depCount,COUNTIF(tblDependencies[TargetID],_xlpm.id),
_xlpm.objCount,COUNTIF(tblQuestObjectives[QuestTargetID],_xlpm.id),
_xlpm.depCount+_xlpm.objCount
)</f>
        <v>2</v>
      </c>
      <c r="H268">
        <f>tblTargetStatus[[#This Row],[DependencyCount]]</f>
        <v>2</v>
      </c>
      <c r="I268" cm="1">
        <f t="array" ref="I2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8">
        <f>tblTargetStatus[[#This Row],[CompletedDependencyCount]]</f>
        <v>0</v>
      </c>
      <c r="K268" t="b">
        <f>tblTargetStatus[[#This Row],[CompletedDependencies]]=tblTargetStatus[[#This Row],[TotalDependencies]]</f>
        <v>0</v>
      </c>
      <c r="L268">
        <f>tblTargetStatus[[#This Row],[TotalDependencies]]-tblTargetStatus[[#This Row],[CompletedDependencies]]</f>
        <v>2</v>
      </c>
      <c r="M268" t="str" cm="1">
        <f t="array" ref="M2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state.meet_fat_demon@4a</v>
      </c>
      <c r="N268" t="str">
        <f>IF(tblTargetStatus[[#This Row],[FirstMissingDependencyID]]="","",_xlfn.XLOOKUP(tblTargetStatus[[#This Row],[FirstMissingDependencyID]],tblTargets[TargetID],tblTargets[DisplayName],tblTargetStatus[[#This Row],[FirstMissingDependencyID]]))</f>
        <v>Meet Fat Demon@4A</v>
      </c>
      <c r="O268" s="2" t="str" cm="1">
        <f t="array" ref="O2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onigiri:2,flatbread:2,cherrybun:2,bento:2,fried:2,sushi:2,ramen:2,curry:2,cake:2,baklava:2,poke:2,marinated:2,teriyaki:2,mayo:2</v>
      </c>
      <c r="P268" t="str">
        <f>IF(tblTargetStatus[[#This Row],[FirstMissingDependencyID]]="","",_xlfn.XLOOKUP(tblTargetStatus[[#This Row],[FirstMissingDependencyID]],tblTargetStatus[TargetID],tblTargetStatus[Status],""))</f>
        <v>BLOCKED</v>
      </c>
      <c r="Q268" t="str">
        <f>IF(
 tblTargetStatus[[#This Row],[Status]]&lt;&gt;"BLOCKED",
 tblTargetStatus[[#This Row],[Status]],
 IF(
  AND(
   tblTargetStatus[[#This Row],[MissingDependencies]]=1,
   tblTargetStatus[[#This Row],[FirstMissingStatus]]="READY"
  ),
  "ONE AWAY",
  "BLOCKED"
 )
)</f>
        <v>BLOCKED</v>
      </c>
      <c r="R268">
        <f>IF(
 OR(
  tblTargetStatus[[#This Row],[StateType]]="CHARACTER",
  RIGHT(tblTargetStatus[[#This Row],[TargetID]],6)=".maxed"
 ),
 0,
 _xlfn.LET(
  _xlpm.sort,
   _xlfn.XLOOKUP(
    tblTargetStatus[[#This Row],[TargetID]],
    tblChecklist[TargetID],
    tblChecklist[PlayerSort],
    0
   ),
  IF(_xlpm.sort=0,500,_xlpm.sort)
 )
)</f>
        <v>500</v>
      </c>
      <c r="S268" t="str" cm="1">
        <f t="array" ref="S26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Culinary Battle Finished</v>
      </c>
      <c r="T268" t="str">
        <f>_xlfn.XLOOKUP(tblTargetStatus[[#This Row],[TargetID]],tblTargets[TargetID],tblTargets[CompletionMethod],"")</f>
        <v>PLAYER</v>
      </c>
      <c r="U268" t="b">
        <f>COUNTIF(
    tblCost[TargetID],
    tblTargetStatus[[#This Row],[TargetID]]
)&gt;0</f>
        <v>0</v>
      </c>
      <c r="V268" s="81" t="str">
        <f>IF(tblTargetStatus[[#This Row],[HasCost]]=FALSE,
"N/A",
_xlfn.XLOOKUP(
tblTargetStatus[[#This Row],[TargetID]],
tblCost[TargetID],
tblCost[FundingPercent],
""
)
)</f>
        <v>N/A</v>
      </c>
      <c r="W268" t="str">
        <f>IF(
COUNTIF(tblCost[TargetID],tblTargetStatus[[#This Row],[TargetID]])=0,
"",
_xlfn.XLOOKUP(
tblTargetStatus[[#This Row],[TargetID]],
tblCost[TargetID],
tblCost[RemainingRequirements],
""
)
)</f>
        <v/>
      </c>
      <c r="X268" s="79" t="str">
        <f>IF(tblTargetStatus[[#This Row],[HasCost]]=FALSE,"N/A",_xlfn.XLOOKUP(
tblTargetStatus[[#This Row],[TargetID]],
tblCost[TargetID],
tblCost[TargetFunded],
TRUE
))</f>
        <v>N/A</v>
      </c>
      <c r="Y268" t="str" cm="1">
        <f t="array" ref="Y268">_xlfn.TEXTJOIN(
", ",
TRUE,
_xlfn._xlws.FILTER(
tblCost[ResourceID]&amp;": "&amp;tblCost[QuantityRequired],
(tblCost[TargetID]=tblTargetStatus[[#This Row],[TargetID]])*
(tblCost[PlayerPaid]=FALSE),
""
)
)</f>
        <v/>
      </c>
      <c r="Z2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8" t="str" cm="1">
        <f t="array" ref="AA26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69" spans="1:27" ht="43.5">
      <c r="A269" t="s">
        <v>2464</v>
      </c>
      <c r="B269" t="str">
        <f>_xlfn.XLOOKUP(tblTargetStatus[[#This Row],[TargetID]],tblTargets[TargetID],tblTargets[DisplayName],"")</f>
        <v>Culinary Battle Finished</v>
      </c>
      <c r="C269" t="str">
        <f>IF(tblTargetStatus[[#This Row],[PlayerCompleted]],"COMPLETED",IF(tblTargetStatus[[#This Row],[MissingDependencies]]=0,"READY","BLOCKED"))</f>
        <v>BLOCKED</v>
      </c>
      <c r="D2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9" t="str">
        <f>_xlfn.XLOOKUP(tblTargetStatus[[#This Row],[TargetID]],tblTargets[TargetID],tblTargets[TargetType],"")</f>
        <v>QUEST</v>
      </c>
      <c r="F269" t="str">
        <f>_xlfn.XLOOKUP(tblTargetStatus[[#This Row],[TargetID]],tblTargets[TargetID],tblTargets[StateType])</f>
        <v/>
      </c>
      <c r="G269">
        <f>_xlfn.LET(
_xlpm.id,tblTargetStatus[[#This Row],[TargetID]],
_xlpm.depCount,COUNTIF(tblDependencies[TargetID],_xlpm.id),
_xlpm.objCount,COUNTIF(tblQuestObjectives[QuestTargetID],_xlpm.id),
_xlpm.depCount+_xlpm.objCount
)</f>
        <v>4</v>
      </c>
      <c r="H269">
        <f>tblTargetStatus[[#This Row],[DependencyCount]]</f>
        <v>4</v>
      </c>
      <c r="I269" cm="1">
        <f t="array" ref="I2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9">
        <f>tblTargetStatus[[#This Row],[CompletedDependencyCount]]</f>
        <v>0</v>
      </c>
      <c r="K269" t="b">
        <f>tblTargetStatus[[#This Row],[CompletedDependencies]]=tblTargetStatus[[#This Row],[TotalDependencies]]</f>
        <v>0</v>
      </c>
      <c r="L269">
        <f>tblTargetStatus[[#This Row],[TotalDependencies]]-tblTargetStatus[[#This Row],[CompletedDependencies]]</f>
        <v>4</v>
      </c>
      <c r="M269" t="str" cm="1">
        <f t="array" ref="M2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quest.culinary_battle.accepted</v>
      </c>
      <c r="N269" t="str">
        <f>IF(tblTargetStatus[[#This Row],[FirstMissingDependencyID]]="","",_xlfn.XLOOKUP(tblTargetStatus[[#This Row],[FirstMissingDependencyID]],tblTargets[TargetID],tblTargets[DisplayName],tblTargetStatus[[#This Row],[FirstMissingDependencyID]]))</f>
        <v>Culinary Battle Accepted</v>
      </c>
      <c r="O269" s="2" t="str" cm="1">
        <f t="array" ref="O2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onigiri:2,flatbread:2,cherrybun:2,bento:2,fried:2,sushi:2,ramen:2,curry:2,cake:2,baklava:2,poke:2,marinated:2,teriyaki:2,mayo:2</v>
      </c>
      <c r="P269" t="str">
        <f>IF(tblTargetStatus[[#This Row],[FirstMissingDependencyID]]="","",_xlfn.XLOOKUP(tblTargetStatus[[#This Row],[FirstMissingDependencyID]],tblTargetStatus[TargetID],tblTargetStatus[Status],""))</f>
        <v>BLOCKED</v>
      </c>
      <c r="Q269" t="str">
        <f>IF(
 tblTargetStatus[[#This Row],[Status]]&lt;&gt;"BLOCKED",
 tblTargetStatus[[#This Row],[Status]],
 IF(
  AND(
   tblTargetStatus[[#This Row],[MissingDependencies]]=1,
   tblTargetStatus[[#This Row],[FirstMissingStatus]]="READY"
  ),
  "ONE AWAY",
  "BLOCKED"
 )
)</f>
        <v>BLOCKED</v>
      </c>
      <c r="R269">
        <f>IF(
 OR(
  tblTargetStatus[[#This Row],[StateType]]="CHARACTER",
  RIGHT(tblTargetStatus[[#This Row],[TargetID]],6)=".maxed"
 ),
 0,
 _xlfn.LET(
  _xlpm.sort,
   _xlfn.XLOOKUP(
    tblTargetStatus[[#This Row],[TargetID]],
    tblChecklist[TargetID],
    tblChecklist[PlayerSort],
    0
   ),
  IF(_xlpm.sort=0,500,_xlpm.sort)
 )
)</f>
        <v>500</v>
      </c>
      <c r="S269" t="str" cm="1">
        <f t="array" ref="S26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69" t="str">
        <f>_xlfn.XLOOKUP(tblTargetStatus[[#This Row],[TargetID]],tblTargets[TargetID],tblTargets[CompletionMethod],"")</f>
        <v>PLAYER</v>
      </c>
      <c r="U269" t="b">
        <f>COUNTIF(
    tblCost[TargetID],
    tblTargetStatus[[#This Row],[TargetID]]
)&gt;0</f>
        <v>1</v>
      </c>
      <c r="V269" s="81">
        <f>IF(tblTargetStatus[[#This Row],[HasCost]]=FALSE,
"N/A",
_xlfn.XLOOKUP(
tblTargetStatus[[#This Row],[TargetID]],
tblCost[TargetID],
tblCost[FundingPercent],
""
)
)</f>
        <v>0</v>
      </c>
      <c r="W269">
        <f>IF(
COUNTIF(tblCost[TargetID],tblTargetStatus[[#This Row],[TargetID]])=0,
"",
_xlfn.XLOOKUP(
tblTargetStatus[[#This Row],[TargetID]],
tblCost[TargetID],
tblCost[RemainingRequirements],
""
)
)</f>
        <v>14</v>
      </c>
      <c r="X269" s="79" t="b">
        <f>IF(tblTargetStatus[[#This Row],[HasCost]]=FALSE,"N/A",_xlfn.XLOOKUP(
tblTargetStatus[[#This Row],[TargetID]],
tblCost[TargetID],
tblCost[TargetFunded],
TRUE
))</f>
        <v>0</v>
      </c>
      <c r="Y269" t="str" cm="1">
        <f t="array" ref="Y269">_xlfn.TEXTJOIN(
", ",
TRUE,
_xlfn._xlws.FILTER(
tblCost[ResourceID]&amp;": "&amp;tblCost[QuantityRequired],
(tblCost[TargetID]=tblTargetStatus[[#This Row],[TargetID]])*
(tblCost[PlayerPaid]=FALSE),
""
)
)</f>
        <v>onigiri: 2, flatbread: 2, cherrybun: 2, bento: 2, fried: 2, sushi: 2, ramen: 2, curry: 2, cake: 2, baklava: 2, poke: 2, marinated: 2, teriyaki: 2, mayo: 2</v>
      </c>
      <c r="Z2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9" t="str" cm="1">
        <f t="array" ref="AA26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70" spans="1:27">
      <c r="A270" t="s">
        <v>2306</v>
      </c>
      <c r="B270" t="str">
        <f>_xlfn.XLOOKUP(tblTargetStatus[[#This Row],[TargetID]],tblTargets[TargetID],tblTargets[DisplayName],"")</f>
        <v>Dragon teeth Accepted</v>
      </c>
      <c r="C270" t="str">
        <f>IF(tblTargetStatus[[#This Row],[PlayerCompleted]],"COMPLETED",IF(tblTargetStatus[[#This Row],[MissingDependencies]]=0,"READY","BLOCKED"))</f>
        <v>BLOCKED</v>
      </c>
      <c r="D2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0" t="str">
        <f>_xlfn.XLOOKUP(tblTargetStatus[[#This Row],[TargetID]],tblTargets[TargetID],tblTargets[TargetType],"")</f>
        <v>QUEST</v>
      </c>
      <c r="F270" t="str">
        <f>_xlfn.XLOOKUP(tblTargetStatus[[#This Row],[TargetID]],tblTargets[TargetID],tblTargets[StateType])</f>
        <v/>
      </c>
      <c r="G270">
        <f>_xlfn.LET(
_xlpm.id,tblTargetStatus[[#This Row],[TargetID]],
_xlpm.depCount,COUNTIF(tblDependencies[TargetID],_xlpm.id),
_xlpm.objCount,COUNTIF(tblQuestObjectives[QuestTargetID],_xlpm.id),
_xlpm.depCount+_xlpm.objCount
)</f>
        <v>2</v>
      </c>
      <c r="H270">
        <f>tblTargetStatus[[#This Row],[DependencyCount]]</f>
        <v>2</v>
      </c>
      <c r="I270" cm="1">
        <f t="array" ref="I2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0">
        <f>tblTargetStatus[[#This Row],[CompletedDependencyCount]]</f>
        <v>0</v>
      </c>
      <c r="K270" t="b">
        <f>tblTargetStatus[[#This Row],[CompletedDependencies]]=tblTargetStatus[[#This Row],[TotalDependencies]]</f>
        <v>0</v>
      </c>
      <c r="L270">
        <f>tblTargetStatus[[#This Row],[TotalDependencies]]-tblTargetStatus[[#This Row],[CompletedDependencies]]</f>
        <v>2</v>
      </c>
      <c r="M270" t="str" cm="1">
        <f t="array" ref="M2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state.meet_old_man@4c</v>
      </c>
      <c r="N270" t="str">
        <f>IF(tblTargetStatus[[#This Row],[FirstMissingDependencyID]]="","",_xlfn.XLOOKUP(tblTargetStatus[[#This Row],[FirstMissingDependencyID]],tblTargets[TargetID],tblTargets[DisplayName],tblTargetStatus[[#This Row],[FirstMissingDependencyID]]))</f>
        <v>Meet Old Man@4C</v>
      </c>
      <c r="O270" s="2" cm="1">
        <f t="array" ref="O2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70" t="str">
        <f>IF(tblTargetStatus[[#This Row],[FirstMissingDependencyID]]="","",_xlfn.XLOOKUP(tblTargetStatus[[#This Row],[FirstMissingDependencyID]],tblTargetStatus[TargetID],tblTargetStatus[Status],""))</f>
        <v>BLOCKED</v>
      </c>
      <c r="Q270" t="str">
        <f>IF(
 tblTargetStatus[[#This Row],[Status]]&lt;&gt;"BLOCKED",
 tblTargetStatus[[#This Row],[Status]],
 IF(
  AND(
   tblTargetStatus[[#This Row],[MissingDependencies]]=1,
   tblTargetStatus[[#This Row],[FirstMissingStatus]]="READY"
  ),
  "ONE AWAY",
  "BLOCKED"
 )
)</f>
        <v>BLOCKED</v>
      </c>
      <c r="R270">
        <f>IF(
 OR(
  tblTargetStatus[[#This Row],[StateType]]="CHARACTER",
  RIGHT(tblTargetStatus[[#This Row],[TargetID]],6)=".maxed"
 ),
 0,
 _xlfn.LET(
  _xlpm.sort,
   _xlfn.XLOOKUP(
    tblTargetStatus[[#This Row],[TargetID]],
    tblChecklist[TargetID],
    tblChecklist[PlayerSort],
    0
   ),
  IF(_xlpm.sort=0,500,_xlpm.sort)
 )
)</f>
        <v>500</v>
      </c>
      <c r="S270" t="str" cm="1">
        <f t="array" ref="S27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Dragon teeth Finished, Defeat Bone Dragon in 4C</v>
      </c>
      <c r="T270" t="str">
        <f>_xlfn.XLOOKUP(tblTargetStatus[[#This Row],[TargetID]],tblTargets[TargetID],tblTargets[CompletionMethod],"")</f>
        <v>PLAYER</v>
      </c>
      <c r="U270" t="b">
        <f>COUNTIF(
    tblCost[TargetID],
    tblTargetStatus[[#This Row],[TargetID]]
)&gt;0</f>
        <v>0</v>
      </c>
      <c r="V270" s="81" t="str">
        <f>IF(tblTargetStatus[[#This Row],[HasCost]]=FALSE,
"N/A",
_xlfn.XLOOKUP(
tblTargetStatus[[#This Row],[TargetID]],
tblCost[TargetID],
tblCost[FundingPercent],
""
)
)</f>
        <v>N/A</v>
      </c>
      <c r="W270" t="str">
        <f>IF(
COUNTIF(tblCost[TargetID],tblTargetStatus[[#This Row],[TargetID]])=0,
"",
_xlfn.XLOOKUP(
tblTargetStatus[[#This Row],[TargetID]],
tblCost[TargetID],
tblCost[RemainingRequirements],
""
)
)</f>
        <v/>
      </c>
      <c r="X270" s="79" t="str">
        <f>IF(tblTargetStatus[[#This Row],[HasCost]]=FALSE,"N/A",_xlfn.XLOOKUP(
tblTargetStatus[[#This Row],[TargetID]],
tblCost[TargetID],
tblCost[TargetFunded],
TRUE
))</f>
        <v>N/A</v>
      </c>
      <c r="Y270" t="str" cm="1">
        <f t="array" ref="Y270">_xlfn.TEXTJOIN(
", ",
TRUE,
_xlfn._xlws.FILTER(
tblCost[ResourceID]&amp;": "&amp;tblCost[QuantityRequired],
(tblCost[TargetID]=tblTargetStatus[[#This Row],[TargetID]])*
(tblCost[PlayerPaid]=FALSE),
""
)
)</f>
        <v/>
      </c>
      <c r="Z2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0" t="str" cm="1">
        <f t="array" ref="AA27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71" spans="1:27">
      <c r="A271" t="s">
        <v>2466</v>
      </c>
      <c r="B271" t="str">
        <f>_xlfn.XLOOKUP(tblTargetStatus[[#This Row],[TargetID]],tblTargets[TargetID],tblTargets[DisplayName],"")</f>
        <v>Dragon teeth Finished</v>
      </c>
      <c r="C271" t="str">
        <f>IF(tblTargetStatus[[#This Row],[PlayerCompleted]],"COMPLETED",IF(tblTargetStatus[[#This Row],[MissingDependencies]]=0,"READY","BLOCKED"))</f>
        <v>BLOCKED</v>
      </c>
      <c r="D2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1" t="str">
        <f>_xlfn.XLOOKUP(tblTargetStatus[[#This Row],[TargetID]],tblTargets[TargetID],tblTargets[TargetType],"")</f>
        <v>QUEST</v>
      </c>
      <c r="F271" t="str">
        <f>_xlfn.XLOOKUP(tblTargetStatus[[#This Row],[TargetID]],tblTargets[TargetID],tblTargets[StateType])</f>
        <v/>
      </c>
      <c r="G271">
        <f>_xlfn.LET(
_xlpm.id,tblTargetStatus[[#This Row],[TargetID]],
_xlpm.depCount,COUNTIF(tblDependencies[TargetID],_xlpm.id),
_xlpm.objCount,COUNTIF(tblQuestObjectives[QuestTargetID],_xlpm.id),
_xlpm.depCount+_xlpm.objCount
)</f>
        <v>4</v>
      </c>
      <c r="H271">
        <f>tblTargetStatus[[#This Row],[DependencyCount]]</f>
        <v>4</v>
      </c>
      <c r="I271" cm="1">
        <f t="array" ref="I2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1">
        <f>tblTargetStatus[[#This Row],[CompletedDependencyCount]]</f>
        <v>0</v>
      </c>
      <c r="K271" t="b">
        <f>tblTargetStatus[[#This Row],[CompletedDependencies]]=tblTargetStatus[[#This Row],[TotalDependencies]]</f>
        <v>0</v>
      </c>
      <c r="L271">
        <f>tblTargetStatus[[#This Row],[TotalDependencies]]-tblTargetStatus[[#This Row],[CompletedDependencies]]</f>
        <v>4</v>
      </c>
      <c r="M271" t="str" cm="1">
        <f t="array" ref="M2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quest.dragon_teeth.accepted</v>
      </c>
      <c r="N271" t="str">
        <f>IF(tblTargetStatus[[#This Row],[FirstMissingDependencyID]]="","",_xlfn.XLOOKUP(tblTargetStatus[[#This Row],[FirstMissingDependencyID]],tblTargets[TargetID],tblTargets[DisplayName],tblTargetStatus[[#This Row],[FirstMissingDependencyID]]))</f>
        <v>Dragon teeth Accepted</v>
      </c>
      <c r="O271" s="2" cm="1">
        <f t="array" ref="O2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71" t="str">
        <f>IF(tblTargetStatus[[#This Row],[FirstMissingDependencyID]]="","",_xlfn.XLOOKUP(tblTargetStatus[[#This Row],[FirstMissingDependencyID]],tblTargetStatus[TargetID],tblTargetStatus[Status],""))</f>
        <v>BLOCKED</v>
      </c>
      <c r="Q271" t="str">
        <f>IF(
 tblTargetStatus[[#This Row],[Status]]&lt;&gt;"BLOCKED",
 tblTargetStatus[[#This Row],[Status]],
 IF(
  AND(
   tblTargetStatus[[#This Row],[MissingDependencies]]=1,
   tblTargetStatus[[#This Row],[FirstMissingStatus]]="READY"
  ),
  "ONE AWAY",
  "BLOCKED"
 )
)</f>
        <v>BLOCKED</v>
      </c>
      <c r="R271">
        <f>IF(
 OR(
  tblTargetStatus[[#This Row],[StateType]]="CHARACTER",
  RIGHT(tblTargetStatus[[#This Row],[TargetID]],6)=".maxed"
 ),
 0,
 _xlfn.LET(
  _xlpm.sort,
   _xlfn.XLOOKUP(
    tblTargetStatus[[#This Row],[TargetID]],
    tblChecklist[TargetID],
    tblChecklist[PlayerSort],
    0
   ),
  IF(_xlpm.sort=0,500,_xlpm.sort)
 )
)</f>
        <v>500</v>
      </c>
      <c r="S271" t="str" cm="1">
        <f t="array" ref="S27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xml:space="preserve">The Ring of the Dark Lady Accepted, Undead Revenge Accepted, Complete Dungeon 5C, Meet Dark Lady@4A, Visit Dungeon@5A </v>
      </c>
      <c r="T271" t="str">
        <f>_xlfn.XLOOKUP(tblTargetStatus[[#This Row],[TargetID]],tblTargets[TargetID],tblTargets[CompletionMethod],"")</f>
        <v>PLAYER</v>
      </c>
      <c r="U271" t="b">
        <f>COUNTIF(
    tblCost[TargetID],
    tblTargetStatus[[#This Row],[TargetID]]
)&gt;0</f>
        <v>0</v>
      </c>
      <c r="V271" s="81" t="str">
        <f>IF(tblTargetStatus[[#This Row],[HasCost]]=FALSE,
"N/A",
_xlfn.XLOOKUP(
tblTargetStatus[[#This Row],[TargetID]],
tblCost[TargetID],
tblCost[FundingPercent],
""
)
)</f>
        <v>N/A</v>
      </c>
      <c r="W271" t="str">
        <f>IF(
COUNTIF(tblCost[TargetID],tblTargetStatus[[#This Row],[TargetID]])=0,
"",
_xlfn.XLOOKUP(
tblTargetStatus[[#This Row],[TargetID]],
tblCost[TargetID],
tblCost[RemainingRequirements],
""
)
)</f>
        <v/>
      </c>
      <c r="X271" s="79" t="str">
        <f>IF(tblTargetStatus[[#This Row],[HasCost]]=FALSE,"N/A",_xlfn.XLOOKUP(
tblTargetStatus[[#This Row],[TargetID]],
tblCost[TargetID],
tblCost[TargetFunded],
TRUE
))</f>
        <v>N/A</v>
      </c>
      <c r="Y271" t="str" cm="1">
        <f t="array" ref="Y271">_xlfn.TEXTJOIN(
", ",
TRUE,
_xlfn._xlws.FILTER(
tblCost[ResourceID]&amp;": "&amp;tblCost[QuantityRequired],
(tblCost[TargetID]=tblTargetStatus[[#This Row],[TargetID]])*
(tblCost[PlayerPaid]=FALSE),
""
)
)</f>
        <v/>
      </c>
      <c r="Z2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1" t="str" cm="1">
        <f t="array" ref="AA27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Ring of the Dark Lady, Undead Revenge</v>
      </c>
    </row>
    <row r="272" spans="1:27">
      <c r="A272" t="s">
        <v>2309</v>
      </c>
      <c r="B272" t="str">
        <f>_xlfn.XLOOKUP(tblTargetStatus[[#This Row],[TargetID]],tblTargets[TargetID],tblTargets[DisplayName],"")</f>
        <v>Festival Accepted</v>
      </c>
      <c r="C272" t="str">
        <f>IF(tblTargetStatus[[#This Row],[PlayerCompleted]],"COMPLETED",IF(tblTargetStatus[[#This Row],[MissingDependencies]]=0,"READY","BLOCKED"))</f>
        <v>BLOCKED</v>
      </c>
      <c r="D2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2" t="str">
        <f>_xlfn.XLOOKUP(tblTargetStatus[[#This Row],[TargetID]],tblTargets[TargetID],tblTargets[TargetType],"")</f>
        <v>QUEST</v>
      </c>
      <c r="F272" t="str">
        <f>_xlfn.XLOOKUP(tblTargetStatus[[#This Row],[TargetID]],tblTargets[TargetID],tblTargets[StateType])</f>
        <v/>
      </c>
      <c r="G272">
        <f>_xlfn.LET(
_xlpm.id,tblTargetStatus[[#This Row],[TargetID]],
_xlpm.depCount,COUNTIF(tblDependencies[TargetID],_xlpm.id),
_xlpm.objCount,COUNTIF(tblQuestObjectives[QuestTargetID],_xlpm.id),
_xlpm.depCount+_xlpm.objCount
)</f>
        <v>1</v>
      </c>
      <c r="H272">
        <f>tblTargetStatus[[#This Row],[DependencyCount]]</f>
        <v>1</v>
      </c>
      <c r="I272" cm="1">
        <f t="array" ref="I2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2">
        <f>tblTargetStatus[[#This Row],[CompletedDependencyCount]]</f>
        <v>0</v>
      </c>
      <c r="K272" t="b">
        <f>tblTargetStatus[[#This Row],[CompletedDependencies]]=tblTargetStatus[[#This Row],[TotalDependencies]]</f>
        <v>0</v>
      </c>
      <c r="L272">
        <f>tblTargetStatus[[#This Row],[TotalDependencies]]-tblTargetStatus[[#This Row],[CompletedDependencies]]</f>
        <v>1</v>
      </c>
      <c r="M272" t="str" cm="1">
        <f t="array" ref="M2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272" t="str">
        <f>IF(tblTargetStatus[[#This Row],[FirstMissingDependencyID]]="","",_xlfn.XLOOKUP(tblTargetStatus[[#This Row],[FirstMissingDependencyID]],tblTargets[TargetID],tblTargets[DisplayName],tblTargetStatus[[#This Row],[FirstMissingDependencyID]]))</f>
        <v>Bridge Lv 1</v>
      </c>
      <c r="O272" t="str" cm="1">
        <f t="array" ref="O2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kimono:5,firework:10,sushi:10,ramen:5,cake:5,honey:5</v>
      </c>
      <c r="P272" t="str">
        <f>IF(tblTargetStatus[[#This Row],[FirstMissingDependencyID]]="","",_xlfn.XLOOKUP(tblTargetStatus[[#This Row],[FirstMissingDependencyID]],tblTargetStatus[TargetID],tblTargetStatus[Status],""))</f>
        <v>BLOCKED</v>
      </c>
      <c r="Q272" t="str">
        <f>IF(
 tblTargetStatus[[#This Row],[Status]]&lt;&gt;"BLOCKED",
 tblTargetStatus[[#This Row],[Status]],
 IF(
  AND(
   tblTargetStatus[[#This Row],[MissingDependencies]]=1,
   tblTargetStatus[[#This Row],[FirstMissingStatus]]="READY"
  ),
  "ONE AWAY",
  "BLOCKED"
 )
)</f>
        <v>BLOCKED</v>
      </c>
      <c r="R272">
        <f>IF(
 OR(
  tblTargetStatus[[#This Row],[StateType]]="CHARACTER",
  RIGHT(tblTargetStatus[[#This Row],[TargetID]],6)=".maxed"
 ),
 0,
 _xlfn.LET(
  _xlpm.sort,
   _xlfn.XLOOKUP(
    tblTargetStatus[[#This Row],[TargetID]],
    tblChecklist[TargetID],
    tblChecklist[PlayerSort],
    0
   ),
  IF(_xlpm.sort=0,500,_xlpm.sort)
 )
)</f>
        <v>500</v>
      </c>
      <c r="S272" t="str" cm="1">
        <f t="array" ref="S27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Festival Finished</v>
      </c>
      <c r="T272" t="str">
        <f>_xlfn.XLOOKUP(tblTargetStatus[[#This Row],[TargetID]],tblTargets[TargetID],tblTargets[CompletionMethod],"")</f>
        <v>PLAYER</v>
      </c>
      <c r="U272" t="b">
        <f>COUNTIF(
    tblCost[TargetID],
    tblTargetStatus[[#This Row],[TargetID]]
)&gt;0</f>
        <v>0</v>
      </c>
      <c r="V272" s="81" t="str">
        <f>IF(tblTargetStatus[[#This Row],[HasCost]]=FALSE,
"N/A",
_xlfn.XLOOKUP(
tblTargetStatus[[#This Row],[TargetID]],
tblCost[TargetID],
tblCost[FundingPercent],
""
)
)</f>
        <v>N/A</v>
      </c>
      <c r="W272" t="str">
        <f>IF(
COUNTIF(tblCost[TargetID],tblTargetStatus[[#This Row],[TargetID]])=0,
"",
_xlfn.XLOOKUP(
tblTargetStatus[[#This Row],[TargetID]],
tblCost[TargetID],
tblCost[RemainingRequirements],
""
)
)</f>
        <v/>
      </c>
      <c r="X272" s="79" t="str">
        <f>IF(tblTargetStatus[[#This Row],[HasCost]]=FALSE,"N/A",_xlfn.XLOOKUP(
tblTargetStatus[[#This Row],[TargetID]],
tblCost[TargetID],
tblCost[TargetFunded],
TRUE
))</f>
        <v>N/A</v>
      </c>
      <c r="Y272" t="str" cm="1">
        <f t="array" ref="Y272">_xlfn.TEXTJOIN(
", ",
TRUE,
_xlfn._xlws.FILTER(
tblCost[ResourceID]&amp;": "&amp;tblCost[QuantityRequired],
(tblCost[TargetID]=tblTargetStatus[[#This Row],[TargetID]])*
(tblCost[PlayerPaid]=FALSE),
""
)
)</f>
        <v/>
      </c>
      <c r="Z2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2" t="str" cm="1">
        <f t="array" ref="AA27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73" spans="1:27" ht="29">
      <c r="A273" t="s">
        <v>2468</v>
      </c>
      <c r="B273" t="str">
        <f>_xlfn.XLOOKUP(tblTargetStatus[[#This Row],[TargetID]],tblTargets[TargetID],tblTargets[DisplayName],"")</f>
        <v>Festival Finished</v>
      </c>
      <c r="C273" t="str">
        <f>IF(tblTargetStatus[[#This Row],[PlayerCompleted]],"COMPLETED",IF(tblTargetStatus[[#This Row],[MissingDependencies]]=0,"READY","BLOCKED"))</f>
        <v>BLOCKED</v>
      </c>
      <c r="D2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3" t="str">
        <f>_xlfn.XLOOKUP(tblTargetStatus[[#This Row],[TargetID]],tblTargets[TargetID],tblTargets[TargetType],"")</f>
        <v>QUEST</v>
      </c>
      <c r="F273" t="str">
        <f>_xlfn.XLOOKUP(tblTargetStatus[[#This Row],[TargetID]],tblTargets[TargetID],tblTargets[StateType])</f>
        <v/>
      </c>
      <c r="G273">
        <f>_xlfn.LET(
_xlpm.id,tblTargetStatus[[#This Row],[TargetID]],
_xlpm.depCount,COUNTIF(tblDependencies[TargetID],_xlpm.id),
_xlpm.objCount,COUNTIF(tblQuestObjectives[QuestTargetID],_xlpm.id),
_xlpm.depCount+_xlpm.objCount
)</f>
        <v>1</v>
      </c>
      <c r="H273">
        <f>tblTargetStatus[[#This Row],[DependencyCount]]</f>
        <v>1</v>
      </c>
      <c r="I273" cm="1">
        <f t="array" ref="I2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3">
        <f>tblTargetStatus[[#This Row],[CompletedDependencyCount]]</f>
        <v>0</v>
      </c>
      <c r="K273" t="b">
        <f>tblTargetStatus[[#This Row],[CompletedDependencies]]=tblTargetStatus[[#This Row],[TotalDependencies]]</f>
        <v>0</v>
      </c>
      <c r="L273">
        <f>tblTargetStatus[[#This Row],[TotalDependencies]]-tblTargetStatus[[#This Row],[CompletedDependencies]]</f>
        <v>1</v>
      </c>
      <c r="M273" t="str" cm="1">
        <f t="array" ref="M2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quest.festival.accepted</v>
      </c>
      <c r="N273" t="str">
        <f>IF(tblTargetStatus[[#This Row],[FirstMissingDependencyID]]="","",_xlfn.XLOOKUP(tblTargetStatus[[#This Row],[FirstMissingDependencyID]],tblTargets[TargetID],tblTargets[DisplayName],tblTargetStatus[[#This Row],[FirstMissingDependencyID]]))</f>
        <v>Festival Accepted</v>
      </c>
      <c r="O273" s="2" t="str" cm="1">
        <f t="array" ref="O2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kimono:5,firework:10,sushi:10,ramen:5,cake:5,honey:5</v>
      </c>
      <c r="P273" t="str">
        <f>IF(tblTargetStatus[[#This Row],[FirstMissingDependencyID]]="","",_xlfn.XLOOKUP(tblTargetStatus[[#This Row],[FirstMissingDependencyID]],tblTargetStatus[TargetID],tblTargetStatus[Status],""))</f>
        <v>BLOCKED</v>
      </c>
      <c r="Q273" t="str">
        <f>IF(
 tblTargetStatus[[#This Row],[Status]]&lt;&gt;"BLOCKED",
 tblTargetStatus[[#This Row],[Status]],
 IF(
  AND(
   tblTargetStatus[[#This Row],[MissingDependencies]]=1,
   tblTargetStatus[[#This Row],[FirstMissingStatus]]="READY"
  ),
  "ONE AWAY",
  "BLOCKED"
 )
)</f>
        <v>BLOCKED</v>
      </c>
      <c r="R273">
        <f>IF(
 OR(
  tblTargetStatus[[#This Row],[StateType]]="CHARACTER",
  RIGHT(tblTargetStatus[[#This Row],[TargetID]],6)=".maxed"
 ),
 0,
 _xlfn.LET(
  _xlpm.sort,
   _xlfn.XLOOKUP(
    tblTargetStatus[[#This Row],[TargetID]],
    tblChecklist[TargetID],
    tblChecklist[PlayerSort],
    0
   ),
  IF(_xlpm.sort=0,500,_xlpm.sort)
 )
)</f>
        <v>500</v>
      </c>
      <c r="S273" t="str" cm="1">
        <f t="array" ref="S27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Festival Returns Accepted</v>
      </c>
      <c r="T273" t="str">
        <f>_xlfn.XLOOKUP(tblTargetStatus[[#This Row],[TargetID]],tblTargets[TargetID],tblTargets[CompletionMethod],"")</f>
        <v>PLAYER</v>
      </c>
      <c r="U273" t="b">
        <f>COUNTIF(
    tblCost[TargetID],
    tblTargetStatus[[#This Row],[TargetID]]
)&gt;0</f>
        <v>1</v>
      </c>
      <c r="V273" s="81">
        <f>IF(tblTargetStatus[[#This Row],[HasCost]]=FALSE,
"N/A",
_xlfn.XLOOKUP(
tblTargetStatus[[#This Row],[TargetID]],
tblCost[TargetID],
tblCost[FundingPercent],
""
)
)</f>
        <v>0</v>
      </c>
      <c r="W273">
        <f>IF(
COUNTIF(tblCost[TargetID],tblTargetStatus[[#This Row],[TargetID]])=0,
"",
_xlfn.XLOOKUP(
tblTargetStatus[[#This Row],[TargetID]],
tblCost[TargetID],
tblCost[RemainingRequirements],
""
)
)</f>
        <v>6</v>
      </c>
      <c r="X273" s="79" t="b">
        <f>IF(tblTargetStatus[[#This Row],[HasCost]]=FALSE,"N/A",_xlfn.XLOOKUP(
tblTargetStatus[[#This Row],[TargetID]],
tblCost[TargetID],
tblCost[TargetFunded],
TRUE
))</f>
        <v>0</v>
      </c>
      <c r="Y273" t="str" cm="1">
        <f t="array" ref="Y273">_xlfn.TEXTJOIN(
", ",
TRUE,
_xlfn._xlws.FILTER(
tblCost[ResourceID]&amp;": "&amp;tblCost[QuantityRequired],
(tblCost[TargetID]=tblTargetStatus[[#This Row],[TargetID]])*
(tblCost[PlayerPaid]=FALSE),
""
)
)</f>
        <v>kimono: 5, firework: 10, sushi: 10, ramen: 5, cake: 5, honey: 5</v>
      </c>
      <c r="Z2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3" t="str" cm="1">
        <f t="array" ref="AA27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Festival Returns</v>
      </c>
    </row>
    <row r="274" spans="1:27">
      <c r="A274" t="s">
        <v>2315</v>
      </c>
      <c r="B274" t="str">
        <f>_xlfn.XLOOKUP(tblTargetStatus[[#This Row],[TargetID]],tblTargets[TargetID],tblTargets[DisplayName],"")</f>
        <v>Festival of Beans Accepted</v>
      </c>
      <c r="C274" t="str">
        <f>IF(tblTargetStatus[[#This Row],[PlayerCompleted]],"COMPLETED",IF(tblTargetStatus[[#This Row],[MissingDependencies]]=0,"READY","BLOCKED"))</f>
        <v>BLOCKED</v>
      </c>
      <c r="D2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4" t="str">
        <f>_xlfn.XLOOKUP(tblTargetStatus[[#This Row],[TargetID]],tblTargets[TargetID],tblTargets[TargetType],"")</f>
        <v>QUEST</v>
      </c>
      <c r="F274" t="str">
        <f>_xlfn.XLOOKUP(tblTargetStatus[[#This Row],[TargetID]],tblTargets[TargetID],tblTargets[StateType])</f>
        <v/>
      </c>
      <c r="G274">
        <f>_xlfn.LET(
_xlpm.id,tblTargetStatus[[#This Row],[TargetID]],
_xlpm.depCount,COUNTIF(tblDependencies[TargetID],_xlpm.id),
_xlpm.objCount,COUNTIF(tblQuestObjectives[QuestTargetID],_xlpm.id),
_xlpm.depCount+_xlpm.objCount
)</f>
        <v>2</v>
      </c>
      <c r="H274">
        <f>tblTargetStatus[[#This Row],[DependencyCount]]</f>
        <v>2</v>
      </c>
      <c r="I274" cm="1">
        <f t="array" ref="I2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4">
        <f>tblTargetStatus[[#This Row],[CompletedDependencyCount]]</f>
        <v>0</v>
      </c>
      <c r="K274" t="b">
        <f>tblTargetStatus[[#This Row],[CompletedDependencies]]=tblTargetStatus[[#This Row],[TotalDependencies]]</f>
        <v>0</v>
      </c>
      <c r="L274">
        <f>tblTargetStatus[[#This Row],[TotalDependencies]]-tblTargetStatus[[#This Row],[CompletedDependencies]]</f>
        <v>2</v>
      </c>
      <c r="M274" t="str" cm="1">
        <f t="array" ref="M2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building.fermentory@6</v>
      </c>
      <c r="N274" t="str">
        <f>IF(tblTargetStatus[[#This Row],[FirstMissingDependencyID]]="","",_xlfn.XLOOKUP(tblTargetStatus[[#This Row],[FirstMissingDependencyID]],tblTargets[TargetID],tblTargets[DisplayName],tblTargetStatus[[#This Row],[FirstMissingDependencyID]]))</f>
        <v>Fermentory Lv 6</v>
      </c>
      <c r="O274" t="str" cm="1">
        <f t="array" ref="O2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soybean:100,kimono:10,firework:10,natto:10,tofu:10,inarizushi:10,yuba:10,soy:10,misosoup:10,sushi:10,amazake:20</v>
      </c>
      <c r="P274" t="str">
        <f>IF(tblTargetStatus[[#This Row],[FirstMissingDependencyID]]="","",_xlfn.XLOOKUP(tblTargetStatus[[#This Row],[FirstMissingDependencyID]],tblTargetStatus[TargetID],tblTargetStatus[Status],""))</f>
        <v>BLOCKED</v>
      </c>
      <c r="Q274" t="str">
        <f>IF(
 tblTargetStatus[[#This Row],[Status]]&lt;&gt;"BLOCKED",
 tblTargetStatus[[#This Row],[Status]],
 IF(
  AND(
   tblTargetStatus[[#This Row],[MissingDependencies]]=1,
   tblTargetStatus[[#This Row],[FirstMissingStatus]]="READY"
  ),
  "ONE AWAY",
  "BLOCKED"
 )
)</f>
        <v>BLOCKED</v>
      </c>
      <c r="R274">
        <f>IF(
 OR(
  tblTargetStatus[[#This Row],[StateType]]="CHARACTER",
  RIGHT(tblTargetStatus[[#This Row],[TargetID]],6)=".maxed"
 ),
 0,
 _xlfn.LET(
  _xlpm.sort,
   _xlfn.XLOOKUP(
    tblTargetStatus[[#This Row],[TargetID]],
    tblChecklist[TargetID],
    tblChecklist[PlayerSort],
    0
   ),
  IF(_xlpm.sort=0,500,_xlpm.sort)
 )
)</f>
        <v>500</v>
      </c>
      <c r="S274" t="str" cm="1">
        <f t="array" ref="S27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Festival of Beans Finished</v>
      </c>
      <c r="T274" t="str">
        <f>_xlfn.XLOOKUP(tblTargetStatus[[#This Row],[TargetID]],tblTargets[TargetID],tblTargets[CompletionMethod],"")</f>
        <v>PLAYER</v>
      </c>
      <c r="U274" t="b">
        <f>COUNTIF(
    tblCost[TargetID],
    tblTargetStatus[[#This Row],[TargetID]]
)&gt;0</f>
        <v>0</v>
      </c>
      <c r="V274" s="81" t="str">
        <f>IF(tblTargetStatus[[#This Row],[HasCost]]=FALSE,
"N/A",
_xlfn.XLOOKUP(
tblTargetStatus[[#This Row],[TargetID]],
tblCost[TargetID],
tblCost[FundingPercent],
""
)
)</f>
        <v>N/A</v>
      </c>
      <c r="W274" t="str">
        <f>IF(
COUNTIF(tblCost[TargetID],tblTargetStatus[[#This Row],[TargetID]])=0,
"",
_xlfn.XLOOKUP(
tblTargetStatus[[#This Row],[TargetID]],
tblCost[TargetID],
tblCost[RemainingRequirements],
""
)
)</f>
        <v/>
      </c>
      <c r="X274" s="79" t="str">
        <f>IF(tblTargetStatus[[#This Row],[HasCost]]=FALSE,"N/A",_xlfn.XLOOKUP(
tblTargetStatus[[#This Row],[TargetID]],
tblCost[TargetID],
tblCost[TargetFunded],
TRUE
))</f>
        <v>N/A</v>
      </c>
      <c r="Y274" t="str" cm="1">
        <f t="array" ref="Y274">_xlfn.TEXTJOIN(
", ",
TRUE,
_xlfn._xlws.FILTER(
tblCost[ResourceID]&amp;": "&amp;tblCost[QuantityRequired],
(tblCost[TargetID]=tblTargetStatus[[#This Row],[TargetID]])*
(tblCost[PlayerPaid]=FALSE),
""
)
)</f>
        <v/>
      </c>
      <c r="Z2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4" t="str" cm="1">
        <f t="array" ref="AA27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75" spans="1:27" ht="43.5">
      <c r="A275" t="s">
        <v>2472</v>
      </c>
      <c r="B275" t="str">
        <f>_xlfn.XLOOKUP(tblTargetStatus[[#This Row],[TargetID]],tblTargets[TargetID],tblTargets[DisplayName],"")</f>
        <v>Festival of Beans Finished</v>
      </c>
      <c r="C275" t="str">
        <f>IF(tblTargetStatus[[#This Row],[PlayerCompleted]],"COMPLETED",IF(tblTargetStatus[[#This Row],[MissingDependencies]]=0,"READY","BLOCKED"))</f>
        <v>BLOCKED</v>
      </c>
      <c r="D2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5" t="str">
        <f>_xlfn.XLOOKUP(tblTargetStatus[[#This Row],[TargetID]],tblTargets[TargetID],tblTargets[TargetType],"")</f>
        <v>QUEST</v>
      </c>
      <c r="F275" t="str">
        <f>_xlfn.XLOOKUP(tblTargetStatus[[#This Row],[TargetID]],tblTargets[TargetID],tblTargets[StateType])</f>
        <v/>
      </c>
      <c r="G275">
        <f>_xlfn.LET(
_xlpm.id,tblTargetStatus[[#This Row],[TargetID]],
_xlpm.depCount,COUNTIF(tblDependencies[TargetID],_xlpm.id),
_xlpm.objCount,COUNTIF(tblQuestObjectives[QuestTargetID],_xlpm.id),
_xlpm.depCount+_xlpm.objCount
)</f>
        <v>1</v>
      </c>
      <c r="H275">
        <f>tblTargetStatus[[#This Row],[DependencyCount]]</f>
        <v>1</v>
      </c>
      <c r="I275" cm="1">
        <f t="array" ref="I2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5">
        <f>tblTargetStatus[[#This Row],[CompletedDependencyCount]]</f>
        <v>0</v>
      </c>
      <c r="K275" t="b">
        <f>tblTargetStatus[[#This Row],[CompletedDependencies]]=tblTargetStatus[[#This Row],[TotalDependencies]]</f>
        <v>0</v>
      </c>
      <c r="L275">
        <f>tblTargetStatus[[#This Row],[TotalDependencies]]-tblTargetStatus[[#This Row],[CompletedDependencies]]</f>
        <v>1</v>
      </c>
      <c r="M275" t="str" cm="1">
        <f t="array" ref="M2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quest.festival_of_beans.accepted</v>
      </c>
      <c r="N275" t="str">
        <f>IF(tblTargetStatus[[#This Row],[FirstMissingDependencyID]]="","",_xlfn.XLOOKUP(tblTargetStatus[[#This Row],[FirstMissingDependencyID]],tblTargets[TargetID],tblTargets[DisplayName],tblTargetStatus[[#This Row],[FirstMissingDependencyID]]))</f>
        <v>Festival of Beans Accepted</v>
      </c>
      <c r="O275" s="2" t="str" cm="1">
        <f t="array" ref="O2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soybean:100,kimono:10,firework:10,natto:10,tofu:10,inarizushi:10,yuba:10,soy:10,misosoup:10,sushi:10,amazake:20</v>
      </c>
      <c r="P275" t="str">
        <f>IF(tblTargetStatus[[#This Row],[FirstMissingDependencyID]]="","",_xlfn.XLOOKUP(tblTargetStatus[[#This Row],[FirstMissingDependencyID]],tblTargetStatus[TargetID],tblTargetStatus[Status],""))</f>
        <v>BLOCKED</v>
      </c>
      <c r="Q275" t="str">
        <f>IF(
 tblTargetStatus[[#This Row],[Status]]&lt;&gt;"BLOCKED",
 tblTargetStatus[[#This Row],[Status]],
 IF(
  AND(
   tblTargetStatus[[#This Row],[MissingDependencies]]=1,
   tblTargetStatus[[#This Row],[FirstMissingStatus]]="READY"
  ),
  "ONE AWAY",
  "BLOCKED"
 )
)</f>
        <v>BLOCKED</v>
      </c>
      <c r="R275">
        <f>IF(
 OR(
  tblTargetStatus[[#This Row],[StateType]]="CHARACTER",
  RIGHT(tblTargetStatus[[#This Row],[TargetID]],6)=".maxed"
 ),
 0,
 _xlfn.LET(
  _xlpm.sort,
   _xlfn.XLOOKUP(
    tblTargetStatus[[#This Row],[TargetID]],
    tblChecklist[TargetID],
    tblChecklist[PlayerSort],
    0
   ),
  IF(_xlpm.sort=0,500,_xlpm.sort)
 )
)</f>
        <v>500</v>
      </c>
      <c r="S275" t="str" cm="1">
        <f t="array" ref="S27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75" t="str">
        <f>_xlfn.XLOOKUP(tblTargetStatus[[#This Row],[TargetID]],tblTargets[TargetID],tblTargets[CompletionMethod],"")</f>
        <v>PLAYER</v>
      </c>
      <c r="U275" t="b">
        <f>COUNTIF(
    tblCost[TargetID],
    tblTargetStatus[[#This Row],[TargetID]]
)&gt;0</f>
        <v>1</v>
      </c>
      <c r="V275" s="81">
        <f>IF(tblTargetStatus[[#This Row],[HasCost]]=FALSE,
"N/A",
_xlfn.XLOOKUP(
tblTargetStatus[[#This Row],[TargetID]],
tblCost[TargetID],
tblCost[FundingPercent],
""
)
)</f>
        <v>0</v>
      </c>
      <c r="W275">
        <f>IF(
COUNTIF(tblCost[TargetID],tblTargetStatus[[#This Row],[TargetID]])=0,
"",
_xlfn.XLOOKUP(
tblTargetStatus[[#This Row],[TargetID]],
tblCost[TargetID],
tblCost[RemainingRequirements],
""
)
)</f>
        <v>11</v>
      </c>
      <c r="X275" s="79" t="b">
        <f>IF(tblTargetStatus[[#This Row],[HasCost]]=FALSE,"N/A",_xlfn.XLOOKUP(
tblTargetStatus[[#This Row],[TargetID]],
tblCost[TargetID],
tblCost[TargetFunded],
TRUE
))</f>
        <v>0</v>
      </c>
      <c r="Y275" t="str" cm="1">
        <f t="array" ref="Y275">_xlfn.TEXTJOIN(
", ",
TRUE,
_xlfn._xlws.FILTER(
tblCost[ResourceID]&amp;": "&amp;tblCost[QuantityRequired],
(tblCost[TargetID]=tblTargetStatus[[#This Row],[TargetID]])*
(tblCost[PlayerPaid]=FALSE),
""
)
)</f>
        <v>soybean: 100, kimono: 10, firework: 10, natto: 10, tofu: 10, inarizushi: 10, yuba: 10, soy: 10, misosoup: 10, sushi: 10, amazake: 20</v>
      </c>
      <c r="Z2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5" t="str" cm="1">
        <f t="array" ref="AA27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76" spans="1:27" ht="29">
      <c r="A276" t="s">
        <v>2312</v>
      </c>
      <c r="B276" t="str">
        <f>_xlfn.XLOOKUP(tblTargetStatus[[#This Row],[TargetID]],tblTargets[TargetID],tblTargets[DisplayName],"")</f>
        <v>Festival Returns Accepted</v>
      </c>
      <c r="C276" t="str">
        <f>IF(tblTargetStatus[[#This Row],[PlayerCompleted]],"COMPLETED",IF(tblTargetStatus[[#This Row],[MissingDependencies]]=0,"READY","BLOCKED"))</f>
        <v>BLOCKED</v>
      </c>
      <c r="D2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6" t="str">
        <f>_xlfn.XLOOKUP(tblTargetStatus[[#This Row],[TargetID]],tblTargets[TargetID],tblTargets[TargetType],"")</f>
        <v>QUEST</v>
      </c>
      <c r="F276" t="str">
        <f>_xlfn.XLOOKUP(tblTargetStatus[[#This Row],[TargetID]],tblTargets[TargetID],tblTargets[StateType])</f>
        <v/>
      </c>
      <c r="G276">
        <f>_xlfn.LET(
_xlpm.id,tblTargetStatus[[#This Row],[TargetID]],
_xlpm.depCount,COUNTIF(tblDependencies[TargetID],_xlpm.id),
_xlpm.objCount,COUNTIF(tblQuestObjectives[QuestTargetID],_xlpm.id),
_xlpm.depCount+_xlpm.objCount
)</f>
        <v>2</v>
      </c>
      <c r="H276">
        <f>tblTargetStatus[[#This Row],[DependencyCount]]</f>
        <v>2</v>
      </c>
      <c r="I276" cm="1">
        <f t="array" ref="I2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6">
        <f>tblTargetStatus[[#This Row],[CompletedDependencyCount]]</f>
        <v>0</v>
      </c>
      <c r="K276" t="b">
        <f>tblTargetStatus[[#This Row],[CompletedDependencies]]=tblTargetStatus[[#This Row],[TotalDependencies]]</f>
        <v>0</v>
      </c>
      <c r="L276">
        <f>tblTargetStatus[[#This Row],[TotalDependencies]]-tblTargetStatus[[#This Row],[CompletedDependencies]]</f>
        <v>2</v>
      </c>
      <c r="M276" t="str" cm="1">
        <f t="array" ref="M2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building.airship@1</v>
      </c>
      <c r="N276" t="str">
        <f>IF(tblTargetStatus[[#This Row],[FirstMissingDependencyID]]="","",_xlfn.XLOOKUP(tblTargetStatus[[#This Row],[FirstMissingDependencyID]],tblTargets[TargetID],tblTargets[DisplayName],tblTargetStatus[[#This Row],[FirstMissingDependencyID]]))</f>
        <v>Airship Lv 1</v>
      </c>
      <c r="O276" s="2" t="str" cm="1">
        <f t="array" ref="O2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kimono:10,firework:10,drum:10,onigiri:10,cherrybun:10,bento:10,poke:10,baklava:20,smoothie:10</v>
      </c>
      <c r="P276" t="str">
        <f>IF(tblTargetStatus[[#This Row],[FirstMissingDependencyID]]="","",_xlfn.XLOOKUP(tblTargetStatus[[#This Row],[FirstMissingDependencyID]],tblTargetStatus[TargetID],tblTargetStatus[Status],""))</f>
        <v>BLOCKED</v>
      </c>
      <c r="Q276" t="str">
        <f>IF(
 tblTargetStatus[[#This Row],[Status]]&lt;&gt;"BLOCKED",
 tblTargetStatus[[#This Row],[Status]],
 IF(
  AND(
   tblTargetStatus[[#This Row],[MissingDependencies]]=1,
   tblTargetStatus[[#This Row],[FirstMissingStatus]]="READY"
  ),
  "ONE AWAY",
  "BLOCKED"
 )
)</f>
        <v>BLOCKED</v>
      </c>
      <c r="R276">
        <f>IF(
 OR(
  tblTargetStatus[[#This Row],[StateType]]="CHARACTER",
  RIGHT(tblTargetStatus[[#This Row],[TargetID]],6)=".maxed"
 ),
 0,
 _xlfn.LET(
  _xlpm.sort,
   _xlfn.XLOOKUP(
    tblTargetStatus[[#This Row],[TargetID]],
    tblChecklist[TargetID],
    tblChecklist[PlayerSort],
    0
   ),
  IF(_xlpm.sort=0,500,_xlpm.sort)
 )
)</f>
        <v>500</v>
      </c>
      <c r="S276" t="str" cm="1">
        <f t="array" ref="S27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Festival Returns Finished</v>
      </c>
      <c r="T276" t="str">
        <f>_xlfn.XLOOKUP(tblTargetStatus[[#This Row],[TargetID]],tblTargets[TargetID],tblTargets[CompletionMethod],"")</f>
        <v>PLAYER</v>
      </c>
      <c r="U276" t="b">
        <f>COUNTIF(
    tblCost[TargetID],
    tblTargetStatus[[#This Row],[TargetID]]
)&gt;0</f>
        <v>0</v>
      </c>
      <c r="V276" s="81" t="str">
        <f>IF(tblTargetStatus[[#This Row],[HasCost]]=FALSE,
"N/A",
_xlfn.XLOOKUP(
tblTargetStatus[[#This Row],[TargetID]],
tblCost[TargetID],
tblCost[FundingPercent],
""
)
)</f>
        <v>N/A</v>
      </c>
      <c r="W276" t="str">
        <f>IF(
COUNTIF(tblCost[TargetID],tblTargetStatus[[#This Row],[TargetID]])=0,
"",
_xlfn.XLOOKUP(
tblTargetStatus[[#This Row],[TargetID]],
tblCost[TargetID],
tblCost[RemainingRequirements],
""
)
)</f>
        <v/>
      </c>
      <c r="X276" s="79" t="str">
        <f>IF(tblTargetStatus[[#This Row],[HasCost]]=FALSE,"N/A",_xlfn.XLOOKUP(
tblTargetStatus[[#This Row],[TargetID]],
tblCost[TargetID],
tblCost[TargetFunded],
TRUE
))</f>
        <v>N/A</v>
      </c>
      <c r="Y276" t="str" cm="1">
        <f t="array" ref="Y276">_xlfn.TEXTJOIN(
", ",
TRUE,
_xlfn._xlws.FILTER(
tblCost[ResourceID]&amp;": "&amp;tblCost[QuantityRequired],
(tblCost[TargetID]=tblTargetStatus[[#This Row],[TargetID]])*
(tblCost[PlayerPaid]=FALSE),
""
)
)</f>
        <v/>
      </c>
      <c r="Z2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6" t="str" cm="1">
        <f t="array" ref="AA27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77" spans="1:27" ht="29">
      <c r="A277" t="s">
        <v>2470</v>
      </c>
      <c r="B277" t="str">
        <f>_xlfn.XLOOKUP(tblTargetStatus[[#This Row],[TargetID]],tblTargets[TargetID],tblTargets[DisplayName],"")</f>
        <v>Festival Returns Finished</v>
      </c>
      <c r="C277" t="str">
        <f>IF(tblTargetStatus[[#This Row],[PlayerCompleted]],"COMPLETED",IF(tblTargetStatus[[#This Row],[MissingDependencies]]=0,"READY","BLOCKED"))</f>
        <v>BLOCKED</v>
      </c>
      <c r="D2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7" t="str">
        <f>_xlfn.XLOOKUP(tblTargetStatus[[#This Row],[TargetID]],tblTargets[TargetID],tblTargets[TargetType],"")</f>
        <v>QUEST</v>
      </c>
      <c r="F277" t="str">
        <f>_xlfn.XLOOKUP(tblTargetStatus[[#This Row],[TargetID]],tblTargets[TargetID],tblTargets[StateType])</f>
        <v/>
      </c>
      <c r="G277">
        <f>_xlfn.LET(
_xlpm.id,tblTargetStatus[[#This Row],[TargetID]],
_xlpm.depCount,COUNTIF(tblDependencies[TargetID],_xlpm.id),
_xlpm.objCount,COUNTIF(tblQuestObjectives[QuestTargetID],_xlpm.id),
_xlpm.depCount+_xlpm.objCount
)</f>
        <v>1</v>
      </c>
      <c r="H277">
        <f>tblTargetStatus[[#This Row],[DependencyCount]]</f>
        <v>1</v>
      </c>
      <c r="I277" cm="1">
        <f t="array" ref="I2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7">
        <f>tblTargetStatus[[#This Row],[CompletedDependencyCount]]</f>
        <v>0</v>
      </c>
      <c r="K277" t="b">
        <f>tblTargetStatus[[#This Row],[CompletedDependencies]]=tblTargetStatus[[#This Row],[TotalDependencies]]</f>
        <v>0</v>
      </c>
      <c r="L277">
        <f>tblTargetStatus[[#This Row],[TotalDependencies]]-tblTargetStatus[[#This Row],[CompletedDependencies]]</f>
        <v>1</v>
      </c>
      <c r="M277" t="str" cm="1">
        <f t="array" ref="M2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quest.festival_returns.accepted</v>
      </c>
      <c r="N277" t="str">
        <f>IF(tblTargetStatus[[#This Row],[FirstMissingDependencyID]]="","",_xlfn.XLOOKUP(tblTargetStatus[[#This Row],[FirstMissingDependencyID]],tblTargets[TargetID],tblTargets[DisplayName],tblTargetStatus[[#This Row],[FirstMissingDependencyID]]))</f>
        <v>Festival Returns Accepted</v>
      </c>
      <c r="O277" s="2" t="str" cm="1">
        <f t="array" ref="O2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kimono:10,firework:10,drum:10,onigiri:10,cherrybun:10,bento:10,poke:10,baklava:20,smoothie:10</v>
      </c>
      <c r="P277" t="str">
        <f>IF(tblTargetStatus[[#This Row],[FirstMissingDependencyID]]="","",_xlfn.XLOOKUP(tblTargetStatus[[#This Row],[FirstMissingDependencyID]],tblTargetStatus[TargetID],tblTargetStatus[Status],""))</f>
        <v>BLOCKED</v>
      </c>
      <c r="Q277" t="str">
        <f>IF(
 tblTargetStatus[[#This Row],[Status]]&lt;&gt;"BLOCKED",
 tblTargetStatus[[#This Row],[Status]],
 IF(
  AND(
   tblTargetStatus[[#This Row],[MissingDependencies]]=1,
   tblTargetStatus[[#This Row],[FirstMissingStatus]]="READY"
  ),
  "ONE AWAY",
  "BLOCKED"
 )
)</f>
        <v>BLOCKED</v>
      </c>
      <c r="R277">
        <f>IF(
 OR(
  tblTargetStatus[[#This Row],[StateType]]="CHARACTER",
  RIGHT(tblTargetStatus[[#This Row],[TargetID]],6)=".maxed"
 ),
 0,
 _xlfn.LET(
  _xlpm.sort,
   _xlfn.XLOOKUP(
    tblTargetStatus[[#This Row],[TargetID]],
    tblChecklist[TargetID],
    tblChecklist[PlayerSort],
    0
   ),
  IF(_xlpm.sort=0,500,_xlpm.sort)
 )
)</f>
        <v>500</v>
      </c>
      <c r="S277" t="str" cm="1">
        <f t="array" ref="S27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Festival of Beans Accepted</v>
      </c>
      <c r="T277" t="str">
        <f>_xlfn.XLOOKUP(tblTargetStatus[[#This Row],[TargetID]],tblTargets[TargetID],tblTargets[CompletionMethod],"")</f>
        <v>PLAYER</v>
      </c>
      <c r="U277" t="b">
        <f>COUNTIF(
    tblCost[TargetID],
    tblTargetStatus[[#This Row],[TargetID]]
)&gt;0</f>
        <v>1</v>
      </c>
      <c r="V277" s="81">
        <f>IF(tblTargetStatus[[#This Row],[HasCost]]=FALSE,
"N/A",
_xlfn.XLOOKUP(
tblTargetStatus[[#This Row],[TargetID]],
tblCost[TargetID],
tblCost[FundingPercent],
""
)
)</f>
        <v>0</v>
      </c>
      <c r="W277">
        <f>IF(
COUNTIF(tblCost[TargetID],tblTargetStatus[[#This Row],[TargetID]])=0,
"",
_xlfn.XLOOKUP(
tblTargetStatus[[#This Row],[TargetID]],
tblCost[TargetID],
tblCost[RemainingRequirements],
""
)
)</f>
        <v>9</v>
      </c>
      <c r="X277" s="79" t="b">
        <f>IF(tblTargetStatus[[#This Row],[HasCost]]=FALSE,"N/A",_xlfn.XLOOKUP(
tblTargetStatus[[#This Row],[TargetID]],
tblCost[TargetID],
tblCost[TargetFunded],
TRUE
))</f>
        <v>0</v>
      </c>
      <c r="Y277" t="str" cm="1">
        <f t="array" ref="Y277">_xlfn.TEXTJOIN(
", ",
TRUE,
_xlfn._xlws.FILTER(
tblCost[ResourceID]&amp;": "&amp;tblCost[QuantityRequired],
(tblCost[TargetID]=tblTargetStatus[[#This Row],[TargetID]])*
(tblCost[PlayerPaid]=FALSE),
""
)
)</f>
        <v>kimono: 10, firework: 10, drum: 10, onigiri: 10, cherrybun: 10, bento: 10, poke: 10, baklava: 20, smoothie: 10</v>
      </c>
      <c r="Z2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7" t="str" cm="1">
        <f t="array" ref="AA27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Festival of Beans</v>
      </c>
    </row>
    <row r="278" spans="1:27">
      <c r="A278" t="s">
        <v>2318</v>
      </c>
      <c r="B278" t="str">
        <f>_xlfn.XLOOKUP(tblTargetStatus[[#This Row],[TargetID]],tblTargets[TargetID],tblTargets[DisplayName],"")</f>
        <v>Green Potion Accepted</v>
      </c>
      <c r="C278" t="str">
        <f>IF(tblTargetStatus[[#This Row],[PlayerCompleted]],"COMPLETED",IF(tblTargetStatus[[#This Row],[MissingDependencies]]=0,"READY","BLOCKED"))</f>
        <v>BLOCKED</v>
      </c>
      <c r="D2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8" t="str">
        <f>_xlfn.XLOOKUP(tblTargetStatus[[#This Row],[TargetID]],tblTargets[TargetID],tblTargets[TargetType],"")</f>
        <v>QUEST</v>
      </c>
      <c r="F278" t="str">
        <f>_xlfn.XLOOKUP(tblTargetStatus[[#This Row],[TargetID]],tblTargets[TargetID],tblTargets[StateType])</f>
        <v/>
      </c>
      <c r="G278">
        <f>_xlfn.LET(
_xlpm.id,tblTargetStatus[[#This Row],[TargetID]],
_xlpm.depCount,COUNTIF(tblDependencies[TargetID],_xlpm.id),
_xlpm.objCount,COUNTIF(tblQuestObjectives[QuestTargetID],_xlpm.id),
_xlpm.depCount+_xlpm.objCount
)</f>
        <v>1</v>
      </c>
      <c r="H278">
        <f>tblTargetStatus[[#This Row],[DependencyCount]]</f>
        <v>1</v>
      </c>
      <c r="I278" cm="1">
        <f t="array" ref="I2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8">
        <f>tblTargetStatus[[#This Row],[CompletedDependencyCount]]</f>
        <v>0</v>
      </c>
      <c r="K278" t="b">
        <f>tblTargetStatus[[#This Row],[CompletedDependencies]]=tblTargetStatus[[#This Row],[TotalDependencies]]</f>
        <v>0</v>
      </c>
      <c r="L278">
        <f>tblTargetStatus[[#This Row],[TotalDependencies]]-tblTargetStatus[[#This Row],[CompletedDependencies]]</f>
        <v>1</v>
      </c>
      <c r="M278" t="str" cm="1">
        <f t="array" ref="M2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state.meet_traveling_merchant@1b</v>
      </c>
      <c r="N278" t="str">
        <f>IF(tblTargetStatus[[#This Row],[FirstMissingDependencyID]]="","",_xlfn.XLOOKUP(tblTargetStatus[[#This Row],[FirstMissingDependencyID]],tblTargets[TargetID],tblTargets[DisplayName],tblTargetStatus[[#This Row],[FirstMissingDependencyID]]))</f>
        <v>Meet Traveling Merchant @1B</v>
      </c>
      <c r="O278" s="2" t="str" cm="1">
        <f t="array" ref="O2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reagent:2</v>
      </c>
      <c r="P278" t="str">
        <f>IF(tblTargetStatus[[#This Row],[FirstMissingDependencyID]]="","",_xlfn.XLOOKUP(tblTargetStatus[[#This Row],[FirstMissingDependencyID]],tblTargetStatus[TargetID],tblTargetStatus[Status],""))</f>
        <v>BLOCKED</v>
      </c>
      <c r="Q278" t="str">
        <f>IF(
 tblTargetStatus[[#This Row],[Status]]&lt;&gt;"BLOCKED",
 tblTargetStatus[[#This Row],[Status]],
 IF(
  AND(
   tblTargetStatus[[#This Row],[MissingDependencies]]=1,
   tblTargetStatus[[#This Row],[FirstMissingStatus]]="READY"
  ),
  "ONE AWAY",
  "BLOCKED"
 )
)</f>
        <v>BLOCKED</v>
      </c>
      <c r="R278">
        <f>IF(
 OR(
  tblTargetStatus[[#This Row],[StateType]]="CHARACTER",
  RIGHT(tblTargetStatus[[#This Row],[TargetID]],6)=".maxed"
 ),
 0,
 _xlfn.LET(
  _xlpm.sort,
   _xlfn.XLOOKUP(
    tblTargetStatus[[#This Row],[TargetID]],
    tblChecklist[TargetID],
    tblChecklist[PlayerSort],
    0
   ),
  IF(_xlpm.sort=0,500,_xlpm.sort)
 )
)</f>
        <v>500</v>
      </c>
      <c r="S278" t="str" cm="1">
        <f t="array" ref="S27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Green Potion Finished, Obtain Reagent from 3A</v>
      </c>
      <c r="T278" t="str">
        <f>_xlfn.XLOOKUP(tblTargetStatus[[#This Row],[TargetID]],tblTargets[TargetID],tblTargets[CompletionMethod],"")</f>
        <v>PLAYER</v>
      </c>
      <c r="U278" t="b">
        <f>COUNTIF(
    tblCost[TargetID],
    tblTargetStatus[[#This Row],[TargetID]]
)&gt;0</f>
        <v>0</v>
      </c>
      <c r="V278" s="81" t="str">
        <f>IF(tblTargetStatus[[#This Row],[HasCost]]=FALSE,
"N/A",
_xlfn.XLOOKUP(
tblTargetStatus[[#This Row],[TargetID]],
tblCost[TargetID],
tblCost[FundingPercent],
""
)
)</f>
        <v>N/A</v>
      </c>
      <c r="W278" t="str">
        <f>IF(
COUNTIF(tblCost[TargetID],tblTargetStatus[[#This Row],[TargetID]])=0,
"",
_xlfn.XLOOKUP(
tblTargetStatus[[#This Row],[TargetID]],
tblCost[TargetID],
tblCost[RemainingRequirements],
""
)
)</f>
        <v/>
      </c>
      <c r="X278" s="79" t="str">
        <f>IF(tblTargetStatus[[#This Row],[HasCost]]=FALSE,"N/A",_xlfn.XLOOKUP(
tblTargetStatus[[#This Row],[TargetID]],
tblCost[TargetID],
tblCost[TargetFunded],
TRUE
))</f>
        <v>N/A</v>
      </c>
      <c r="Y278" t="str" cm="1">
        <f t="array" ref="Y278">_xlfn.TEXTJOIN(
", ",
TRUE,
_xlfn._xlws.FILTER(
tblCost[ResourceID]&amp;": "&amp;tblCost[QuantityRequired],
(tblCost[TargetID]=tblTargetStatus[[#This Row],[TargetID]])*
(tblCost[PlayerPaid]=FALSE),
""
)
)</f>
        <v/>
      </c>
      <c r="Z2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8" t="str" cm="1">
        <f t="array" ref="AA27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79" spans="1:27">
      <c r="A279" t="s">
        <v>2474</v>
      </c>
      <c r="B279" t="str">
        <f>_xlfn.XLOOKUP(tblTargetStatus[[#This Row],[TargetID]],tblTargets[TargetID],tblTargets[DisplayName],"")</f>
        <v>Green Potion Finished</v>
      </c>
      <c r="C279" t="str">
        <f>IF(tblTargetStatus[[#This Row],[PlayerCompleted]],"COMPLETED",IF(tblTargetStatus[[#This Row],[MissingDependencies]]=0,"READY","BLOCKED"))</f>
        <v>BLOCKED</v>
      </c>
      <c r="D2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9" t="str">
        <f>_xlfn.XLOOKUP(tblTargetStatus[[#This Row],[TargetID]],tblTargets[TargetID],tblTargets[TargetType],"")</f>
        <v>QUEST</v>
      </c>
      <c r="F279" t="str">
        <f>_xlfn.XLOOKUP(tblTargetStatus[[#This Row],[TargetID]],tblTargets[TargetID],tblTargets[StateType])</f>
        <v/>
      </c>
      <c r="G279">
        <f>_xlfn.LET(
_xlpm.id,tblTargetStatus[[#This Row],[TargetID]],
_xlpm.depCount,COUNTIF(tblDependencies[TargetID],_xlpm.id),
_xlpm.objCount,COUNTIF(tblQuestObjectives[QuestTargetID],_xlpm.id),
_xlpm.depCount+_xlpm.objCount
)</f>
        <v>4</v>
      </c>
      <c r="H279">
        <f>tblTargetStatus[[#This Row],[DependencyCount]]</f>
        <v>4</v>
      </c>
      <c r="I279" cm="1">
        <f t="array" ref="I2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9">
        <f>tblTargetStatus[[#This Row],[CompletedDependencyCount]]</f>
        <v>0</v>
      </c>
      <c r="K279" t="b">
        <f>tblTargetStatus[[#This Row],[CompletedDependencies]]=tblTargetStatus[[#This Row],[TotalDependencies]]</f>
        <v>0</v>
      </c>
      <c r="L279">
        <f>tblTargetStatus[[#This Row],[TotalDependencies]]-tblTargetStatus[[#This Row],[CompletedDependencies]]</f>
        <v>4</v>
      </c>
      <c r="M279" t="str" cm="1">
        <f t="array" ref="M2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quest.green_potion.accepted</v>
      </c>
      <c r="N279" t="str">
        <f>IF(tblTargetStatus[[#This Row],[FirstMissingDependencyID]]="","",_xlfn.XLOOKUP(tblTargetStatus[[#This Row],[FirstMissingDependencyID]],tblTargets[TargetID],tblTargets[DisplayName],tblTargetStatus[[#This Row],[FirstMissingDependencyID]]))</f>
        <v>Green Potion Accepted</v>
      </c>
      <c r="O279" s="2" t="str" cm="1">
        <f t="array" ref="O2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reagent:2</v>
      </c>
      <c r="P279" t="str">
        <f>IF(tblTargetStatus[[#This Row],[FirstMissingDependencyID]]="","",_xlfn.XLOOKUP(tblTargetStatus[[#This Row],[FirstMissingDependencyID]],tblTargetStatus[TargetID],tblTargetStatus[Status],""))</f>
        <v>BLOCKED</v>
      </c>
      <c r="Q279" t="str">
        <f>IF(
 tblTargetStatus[[#This Row],[Status]]&lt;&gt;"BLOCKED",
 tblTargetStatus[[#This Row],[Status]],
 IF(
  AND(
   tblTargetStatus[[#This Row],[MissingDependencies]]=1,
   tblTargetStatus[[#This Row],[FirstMissingStatus]]="READY"
  ),
  "ONE AWAY",
  "BLOCKED"
 )
)</f>
        <v>BLOCKED</v>
      </c>
      <c r="R279">
        <f>IF(
 OR(
  tblTargetStatus[[#This Row],[StateType]]="CHARACTER",
  RIGHT(tblTargetStatus[[#This Row],[TargetID]],6)=".maxed"
 ),
 0,
 _xlfn.LET(
  _xlpm.sort,
   _xlfn.XLOOKUP(
    tblTargetStatus[[#This Row],[TargetID]],
    tblChecklist[TargetID],
    tblChecklist[PlayerSort],
    0
   ),
  IF(_xlpm.sort=0,500,_xlpm.sort)
 )
)</f>
        <v>500</v>
      </c>
      <c r="S279" t="str" cm="1">
        <f t="array" ref="S27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79" t="str">
        <f>_xlfn.XLOOKUP(tblTargetStatus[[#This Row],[TargetID]],tblTargets[TargetID],tblTargets[CompletionMethod],"")</f>
        <v>PLAYER</v>
      </c>
      <c r="U279" t="b">
        <f>COUNTIF(
    tblCost[TargetID],
    tblTargetStatus[[#This Row],[TargetID]]
)&gt;0</f>
        <v>1</v>
      </c>
      <c r="V279" s="81">
        <f>IF(tblTargetStatus[[#This Row],[HasCost]]=FALSE,
"N/A",
_xlfn.XLOOKUP(
tblTargetStatus[[#This Row],[TargetID]],
tblCost[TargetID],
tblCost[FundingPercent],
""
)
)</f>
        <v>0</v>
      </c>
      <c r="W279">
        <f>IF(
COUNTIF(tblCost[TargetID],tblTargetStatus[[#This Row],[TargetID]])=0,
"",
_xlfn.XLOOKUP(
tblTargetStatus[[#This Row],[TargetID]],
tblCost[TargetID],
tblCost[RemainingRequirements],
""
)
)</f>
        <v>1</v>
      </c>
      <c r="X279" s="79" t="b">
        <f>IF(tblTargetStatus[[#This Row],[HasCost]]=FALSE,"N/A",_xlfn.XLOOKUP(
tblTargetStatus[[#This Row],[TargetID]],
tblCost[TargetID],
tblCost[TargetFunded],
TRUE
))</f>
        <v>0</v>
      </c>
      <c r="Y279" t="str" cm="1">
        <f t="array" ref="Y279">_xlfn.TEXTJOIN(
", ",
TRUE,
_xlfn._xlws.FILTER(
tblCost[ResourceID]&amp;": "&amp;tblCost[QuantityRequired],
(tblCost[TargetID]=tblTargetStatus[[#This Row],[TargetID]])*
(tblCost[PlayerPaid]=FALSE),
""
)
)</f>
        <v>reagent: 2</v>
      </c>
      <c r="Z2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9" t="str" cm="1">
        <f t="array" ref="AA27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80" spans="1:27">
      <c r="A280" t="s">
        <v>2321</v>
      </c>
      <c r="B280" t="str">
        <f>_xlfn.XLOOKUP(tblTargetStatus[[#This Row],[TargetID]],tblTargets[TargetID],tblTargets[DisplayName],"")</f>
        <v>Honor, Glory, Sushi Accepted</v>
      </c>
      <c r="C280" t="str">
        <f>IF(tblTargetStatus[[#This Row],[PlayerCompleted]],"COMPLETED",IF(tblTargetStatus[[#This Row],[MissingDependencies]]=0,"READY","BLOCKED"))</f>
        <v>BLOCKED</v>
      </c>
      <c r="D2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0" t="str">
        <f>_xlfn.XLOOKUP(tblTargetStatus[[#This Row],[TargetID]],tblTargets[TargetID],tblTargets[TargetType],"")</f>
        <v>QUEST</v>
      </c>
      <c r="F280" t="str">
        <f>_xlfn.XLOOKUP(tblTargetStatus[[#This Row],[TargetID]],tblTargets[TargetID],tblTargets[StateType])</f>
        <v/>
      </c>
      <c r="G280">
        <f>_xlfn.LET(
_xlpm.id,tblTargetStatus[[#This Row],[TargetID]],
_xlpm.depCount,COUNTIF(tblDependencies[TargetID],_xlpm.id),
_xlpm.objCount,COUNTIF(tblQuestObjectives[QuestTargetID],_xlpm.id),
_xlpm.depCount+_xlpm.objCount
)</f>
        <v>1</v>
      </c>
      <c r="H280">
        <f>tblTargetStatus[[#This Row],[DependencyCount]]</f>
        <v>1</v>
      </c>
      <c r="I280" cm="1">
        <f t="array" ref="I2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0">
        <f>tblTargetStatus[[#This Row],[CompletedDependencyCount]]</f>
        <v>0</v>
      </c>
      <c r="K280" t="b">
        <f>tblTargetStatus[[#This Row],[CompletedDependencies]]=tblTargetStatus[[#This Row],[TotalDependencies]]</f>
        <v>0</v>
      </c>
      <c r="L280">
        <f>tblTargetStatus[[#This Row],[TotalDependencies]]-tblTargetStatus[[#This Row],[CompletedDependencies]]</f>
        <v>1</v>
      </c>
      <c r="M280" t="str" cm="1">
        <f t="array" ref="M2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280" t="str">
        <f>IF(tblTargetStatus[[#This Row],[FirstMissingDependencyID]]="","",_xlfn.XLOOKUP(tblTargetStatus[[#This Row],[FirstMissingDependencyID]],tblTargets[TargetID],tblTargets[DisplayName],tblTargetStatus[[#This Row],[FirstMissingDependencyID]]))</f>
        <v>Bridge Lv 1</v>
      </c>
      <c r="O280" s="2" cm="1">
        <f t="array" ref="O2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0" t="str">
        <f>IF(tblTargetStatus[[#This Row],[FirstMissingDependencyID]]="","",_xlfn.XLOOKUP(tblTargetStatus[[#This Row],[FirstMissingDependencyID]],tblTargetStatus[TargetID],tblTargetStatus[Status],""))</f>
        <v>BLOCKED</v>
      </c>
      <c r="Q280" t="str">
        <f>IF(
 tblTargetStatus[[#This Row],[Status]]&lt;&gt;"BLOCKED",
 tblTargetStatus[[#This Row],[Status]],
 IF(
  AND(
   tblTargetStatus[[#This Row],[MissingDependencies]]=1,
   tblTargetStatus[[#This Row],[FirstMissingStatus]]="READY"
  ),
  "ONE AWAY",
  "BLOCKED"
 )
)</f>
        <v>BLOCKED</v>
      </c>
      <c r="R280">
        <f>IF(
 OR(
  tblTargetStatus[[#This Row],[StateType]]="CHARACTER",
  RIGHT(tblTargetStatus[[#This Row],[TargetID]],6)=".maxed"
 ),
 0,
 _xlfn.LET(
  _xlpm.sort,
   _xlfn.XLOOKUP(
    tblTargetStatus[[#This Row],[TargetID]],
    tblChecklist[TargetID],
    tblChecklist[PlayerSort],
    0
   ),
  IF(_xlpm.sort=0,500,_xlpm.sort)
 )
)</f>
        <v>500</v>
      </c>
      <c r="S280" t="str" cm="1">
        <f t="array" ref="S28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Honor, Glory, Sushi Finished</v>
      </c>
      <c r="T280" t="str">
        <f>_xlfn.XLOOKUP(tblTargetStatus[[#This Row],[TargetID]],tblTargets[TargetID],tblTargets[CompletionMethod],"")</f>
        <v>PLAYER</v>
      </c>
      <c r="U280" t="b">
        <f>COUNTIF(
    tblCost[TargetID],
    tblTargetStatus[[#This Row],[TargetID]]
)&gt;0</f>
        <v>0</v>
      </c>
      <c r="V280" s="81" t="str">
        <f>IF(tblTargetStatus[[#This Row],[HasCost]]=FALSE,
"N/A",
_xlfn.XLOOKUP(
tblTargetStatus[[#This Row],[TargetID]],
tblCost[TargetID],
tblCost[FundingPercent],
""
)
)</f>
        <v>N/A</v>
      </c>
      <c r="W280" t="str">
        <f>IF(
COUNTIF(tblCost[TargetID],tblTargetStatus[[#This Row],[TargetID]])=0,
"",
_xlfn.XLOOKUP(
tblTargetStatus[[#This Row],[TargetID]],
tblCost[TargetID],
tblCost[RemainingRequirements],
""
)
)</f>
        <v/>
      </c>
      <c r="X280" s="79" t="str">
        <f>IF(tblTargetStatus[[#This Row],[HasCost]]=FALSE,"N/A",_xlfn.XLOOKUP(
tblTargetStatus[[#This Row],[TargetID]],
tblCost[TargetID],
tblCost[TargetFunded],
TRUE
))</f>
        <v>N/A</v>
      </c>
      <c r="Y280" t="str" cm="1">
        <f t="array" ref="Y280">_xlfn.TEXTJOIN(
", ",
TRUE,
_xlfn._xlws.FILTER(
tblCost[ResourceID]&amp;": "&amp;tblCost[QuantityRequired],
(tblCost[TargetID]=tblTargetStatus[[#This Row],[TargetID]])*
(tblCost[PlayerPaid]=FALSE),
""
)
)</f>
        <v/>
      </c>
      <c r="Z2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0" t="str" cm="1">
        <f t="array" ref="AA28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81" spans="1:27">
      <c r="A281" t="s">
        <v>2476</v>
      </c>
      <c r="B281" t="str">
        <f>_xlfn.XLOOKUP(tblTargetStatus[[#This Row],[TargetID]],tblTargets[TargetID],tblTargets[DisplayName],"")</f>
        <v>Honor, Glory, Sushi Finished</v>
      </c>
      <c r="C281" t="str">
        <f>IF(tblTargetStatus[[#This Row],[PlayerCompleted]],"COMPLETED",IF(tblTargetStatus[[#This Row],[MissingDependencies]]=0,"READY","BLOCKED"))</f>
        <v>BLOCKED</v>
      </c>
      <c r="D2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1" t="str">
        <f>_xlfn.XLOOKUP(tblTargetStatus[[#This Row],[TargetID]],tblTargets[TargetID],tblTargets[TargetType],"")</f>
        <v>QUEST</v>
      </c>
      <c r="F281" t="str">
        <f>_xlfn.XLOOKUP(tblTargetStatus[[#This Row],[TargetID]],tblTargets[TargetID],tblTargets[StateType])</f>
        <v/>
      </c>
      <c r="G281">
        <f>_xlfn.LET(
_xlpm.id,tblTargetStatus[[#This Row],[TargetID]],
_xlpm.depCount,COUNTIF(tblDependencies[TargetID],_xlpm.id),
_xlpm.objCount,COUNTIF(tblQuestObjectives[QuestTargetID],_xlpm.id),
_xlpm.depCount+_xlpm.objCount
)</f>
        <v>5</v>
      </c>
      <c r="H281">
        <f>tblTargetStatus[[#This Row],[DependencyCount]]</f>
        <v>5</v>
      </c>
      <c r="I281" cm="1">
        <f t="array" ref="I2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1">
        <f>tblTargetStatus[[#This Row],[CompletedDependencyCount]]</f>
        <v>0</v>
      </c>
      <c r="K281" t="b">
        <f>tblTargetStatus[[#This Row],[CompletedDependencies]]=tblTargetStatus[[#This Row],[TotalDependencies]]</f>
        <v>0</v>
      </c>
      <c r="L281">
        <f>tblTargetStatus[[#This Row],[TotalDependencies]]-tblTargetStatus[[#This Row],[CompletedDependencies]]</f>
        <v>5</v>
      </c>
      <c r="M281" t="str" cm="1">
        <f t="array" ref="M2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quest.honor_glory_sushi.accepted</v>
      </c>
      <c r="N281" t="str">
        <f>IF(tblTargetStatus[[#This Row],[FirstMissingDependencyID]]="","",_xlfn.XLOOKUP(tblTargetStatus[[#This Row],[FirstMissingDependencyID]],tblTargets[TargetID],tblTargets[DisplayName],tblTargetStatus[[#This Row],[FirstMissingDependencyID]]))</f>
        <v>Honor, Glory, Sushi Accepted</v>
      </c>
      <c r="O281" s="2" cm="1">
        <f t="array" ref="O2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1" t="str">
        <f>IF(tblTargetStatus[[#This Row],[FirstMissingDependencyID]]="","",_xlfn.XLOOKUP(tblTargetStatus[[#This Row],[FirstMissingDependencyID]],tblTargetStatus[TargetID],tblTargetStatus[Status],""))</f>
        <v>BLOCKED</v>
      </c>
      <c r="Q281" t="str">
        <f>IF(
 tblTargetStatus[[#This Row],[Status]]&lt;&gt;"BLOCKED",
 tblTargetStatus[[#This Row],[Status]],
 IF(
  AND(
   tblTargetStatus[[#This Row],[MissingDependencies]]=1,
   tblTargetStatus[[#This Row],[FirstMissingStatus]]="READY"
  ),
  "ONE AWAY",
  "BLOCKED"
 )
)</f>
        <v>BLOCKED</v>
      </c>
      <c r="R281">
        <f>IF(
 OR(
  tblTargetStatus[[#This Row],[StateType]]="CHARACTER",
  RIGHT(tblTargetStatus[[#This Row],[TargetID]],6)=".maxed"
 ),
 0,
 _xlfn.LET(
  _xlpm.sort,
   _xlfn.XLOOKUP(
    tblTargetStatus[[#This Row],[TargetID]],
    tblChecklist[TargetID],
    tblChecklist[PlayerSort],
    0
   ),
  IF(_xlpm.sort=0,500,_xlpm.sort)
 )
)</f>
        <v>500</v>
      </c>
      <c r="S281" t="str" cm="1">
        <f t="array" ref="S28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81" t="str">
        <f>_xlfn.XLOOKUP(tblTargetStatus[[#This Row],[TargetID]],tblTargets[TargetID],tblTargets[CompletionMethod],"")</f>
        <v>PLAYER</v>
      </c>
      <c r="U281" t="b">
        <f>COUNTIF(
    tblCost[TargetID],
    tblTargetStatus[[#This Row],[TargetID]]
)&gt;0</f>
        <v>0</v>
      </c>
      <c r="V281" s="81" t="str">
        <f>IF(tblTargetStatus[[#This Row],[HasCost]]=FALSE,
"N/A",
_xlfn.XLOOKUP(
tblTargetStatus[[#This Row],[TargetID]],
tblCost[TargetID],
tblCost[FundingPercent],
""
)
)</f>
        <v>N/A</v>
      </c>
      <c r="W281" t="str">
        <f>IF(
COUNTIF(tblCost[TargetID],tblTargetStatus[[#This Row],[TargetID]])=0,
"",
_xlfn.XLOOKUP(
tblTargetStatus[[#This Row],[TargetID]],
tblCost[TargetID],
tblCost[RemainingRequirements],
""
)
)</f>
        <v/>
      </c>
      <c r="X281" s="79" t="str">
        <f>IF(tblTargetStatus[[#This Row],[HasCost]]=FALSE,"N/A",_xlfn.XLOOKUP(
tblTargetStatus[[#This Row],[TargetID]],
tblCost[TargetID],
tblCost[TargetFunded],
TRUE
))</f>
        <v>N/A</v>
      </c>
      <c r="Y281" t="str" cm="1">
        <f t="array" ref="Y281">_xlfn.TEXTJOIN(
", ",
TRUE,
_xlfn._xlws.FILTER(
tblCost[ResourceID]&amp;": "&amp;tblCost[QuantityRequired],
(tblCost[TargetID]=tblTargetStatus[[#This Row],[TargetID]])*
(tblCost[PlayerPaid]=FALSE),
""
)
)</f>
        <v/>
      </c>
      <c r="Z2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1" t="str" cm="1">
        <f t="array" ref="AA28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82" spans="1:27">
      <c r="A282" t="s">
        <v>2324</v>
      </c>
      <c r="B282" t="str">
        <f>_xlfn.XLOOKUP(tblTargetStatus[[#This Row],[TargetID]],tblTargets[TargetID],tblTargets[DisplayName],"")</f>
        <v>Journey Through Japan By Train Accepted</v>
      </c>
      <c r="C282" t="str">
        <f>IF(tblTargetStatus[[#This Row],[PlayerCompleted]],"COMPLETED",IF(tblTargetStatus[[#This Row],[MissingDependencies]]=0,"READY","BLOCKED"))</f>
        <v>BLOCKED</v>
      </c>
      <c r="D2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2" t="str">
        <f>_xlfn.XLOOKUP(tblTargetStatus[[#This Row],[TargetID]],tblTargets[TargetID],tblTargets[TargetType],"")</f>
        <v>QUEST</v>
      </c>
      <c r="F282" t="str">
        <f>_xlfn.XLOOKUP(tblTargetStatus[[#This Row],[TargetID]],tblTargets[TargetID],tblTargets[StateType])</f>
        <v/>
      </c>
      <c r="G282">
        <f>_xlfn.LET(
_xlpm.id,tblTargetStatus[[#This Row],[TargetID]],
_xlpm.depCount,COUNTIF(tblDependencies[TargetID],_xlpm.id),
_xlpm.objCount,COUNTIF(tblQuestObjectives[QuestTargetID],_xlpm.id),
_xlpm.depCount+_xlpm.objCount
)</f>
        <v>1</v>
      </c>
      <c r="H282">
        <f>tblTargetStatus[[#This Row],[DependencyCount]]</f>
        <v>1</v>
      </c>
      <c r="I282" cm="1">
        <f t="array" ref="I2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2">
        <f>tblTargetStatus[[#This Row],[CompletedDependencyCount]]</f>
        <v>0</v>
      </c>
      <c r="K282" t="b">
        <f>tblTargetStatus[[#This Row],[CompletedDependencies]]=tblTargetStatus[[#This Row],[TotalDependencies]]</f>
        <v>0</v>
      </c>
      <c r="L282">
        <f>tblTargetStatus[[#This Row],[TotalDependencies]]-tblTargetStatus[[#This Row],[CompletedDependencies]]</f>
        <v>1</v>
      </c>
      <c r="M282" t="str" cm="1">
        <f t="array" ref="M2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building.station@1</v>
      </c>
      <c r="N282" t="str">
        <f>IF(tblTargetStatus[[#This Row],[FirstMissingDependencyID]]="","",_xlfn.XLOOKUP(tblTargetStatus[[#This Row],[FirstMissingDependencyID]],tblTargets[TargetID],tblTargets[DisplayName],tblTargetStatus[[#This Row],[FirstMissingDependencyID]]))</f>
        <v>Station Lv 1</v>
      </c>
      <c r="O282" s="2" cm="1">
        <f t="array" ref="O2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2" t="str">
        <f>IF(tblTargetStatus[[#This Row],[FirstMissingDependencyID]]="","",_xlfn.XLOOKUP(tblTargetStatus[[#This Row],[FirstMissingDependencyID]],tblTargetStatus[TargetID],tblTargetStatus[Status],""))</f>
        <v>BLOCKED</v>
      </c>
      <c r="Q282" t="str">
        <f>IF(
 tblTargetStatus[[#This Row],[Status]]&lt;&gt;"BLOCKED",
 tblTargetStatus[[#This Row],[Status]],
 IF(
  AND(
   tblTargetStatus[[#This Row],[MissingDependencies]]=1,
   tblTargetStatus[[#This Row],[FirstMissingStatus]]="READY"
  ),
  "ONE AWAY",
  "BLOCKED"
 )
)</f>
        <v>BLOCKED</v>
      </c>
      <c r="R282">
        <f>IF(
 OR(
  tblTargetStatus[[#This Row],[StateType]]="CHARACTER",
  RIGHT(tblTargetStatus[[#This Row],[TargetID]],6)=".maxed"
 ),
 0,
 _xlfn.LET(
  _xlpm.sort,
   _xlfn.XLOOKUP(
    tblTargetStatus[[#This Row],[TargetID]],
    tblChecklist[TargetID],
    tblChecklist[PlayerSort],
    0
   ),
  IF(_xlpm.sort=0,500,_xlpm.sort)
 )
)</f>
        <v>500</v>
      </c>
      <c r="S282" t="str" cm="1">
        <f t="array" ref="S28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Journey Through Japan By Train Finished, Obtain Blueprint, Visit Aomori, Visit Fukushima, Visit Kyoto, Visit Nagasaki, Visit Osaka, Visit Tokyo, Visit Wakayama</v>
      </c>
      <c r="T282" t="str">
        <f>_xlfn.XLOOKUP(tblTargetStatus[[#This Row],[TargetID]],tblTargets[TargetID],tblTargets[CompletionMethod],"")</f>
        <v>PLAYER</v>
      </c>
      <c r="U282" t="b">
        <f>COUNTIF(
    tblCost[TargetID],
    tblTargetStatus[[#This Row],[TargetID]]
)&gt;0</f>
        <v>0</v>
      </c>
      <c r="V282" s="81" t="str">
        <f>IF(tblTargetStatus[[#This Row],[HasCost]]=FALSE,
"N/A",
_xlfn.XLOOKUP(
tblTargetStatus[[#This Row],[TargetID]],
tblCost[TargetID],
tblCost[FundingPercent],
""
)
)</f>
        <v>N/A</v>
      </c>
      <c r="W282" t="str">
        <f>IF(
COUNTIF(tblCost[TargetID],tblTargetStatus[[#This Row],[TargetID]])=0,
"",
_xlfn.XLOOKUP(
tblTargetStatus[[#This Row],[TargetID]],
tblCost[TargetID],
tblCost[RemainingRequirements],
""
)
)</f>
        <v/>
      </c>
      <c r="X282" s="79" t="str">
        <f>IF(tblTargetStatus[[#This Row],[HasCost]]=FALSE,"N/A",_xlfn.XLOOKUP(
tblTargetStatus[[#This Row],[TargetID]],
tblCost[TargetID],
tblCost[TargetFunded],
TRUE
))</f>
        <v>N/A</v>
      </c>
      <c r="Y282" t="str" cm="1">
        <f t="array" ref="Y282">_xlfn.TEXTJOIN(
", ",
TRUE,
_xlfn._xlws.FILTER(
tblCost[ResourceID]&amp;": "&amp;tblCost[QuantityRequired],
(tblCost[TargetID]=tblTargetStatus[[#This Row],[TargetID]])*
(tblCost[PlayerPaid]=FALSE),
""
)
)</f>
        <v/>
      </c>
      <c r="Z2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2" t="str" cm="1">
        <f t="array" ref="AA28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83" spans="1:27">
      <c r="A283" t="s">
        <v>2478</v>
      </c>
      <c r="B283" t="str">
        <f>_xlfn.XLOOKUP(tblTargetStatus[[#This Row],[TargetID]],tblTargets[TargetID],tblTargets[DisplayName],"")</f>
        <v>Journey Through Japan By Train Finished</v>
      </c>
      <c r="C283" t="str">
        <f>IF(tblTargetStatus[[#This Row],[PlayerCompleted]],"COMPLETED",IF(tblTargetStatus[[#This Row],[MissingDependencies]]=0,"READY","BLOCKED"))</f>
        <v>BLOCKED</v>
      </c>
      <c r="D2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3" t="str">
        <f>_xlfn.XLOOKUP(tblTargetStatus[[#This Row],[TargetID]],tblTargets[TargetID],tblTargets[TargetType],"")</f>
        <v>QUEST</v>
      </c>
      <c r="F283" t="str">
        <f>_xlfn.XLOOKUP(tblTargetStatus[[#This Row],[TargetID]],tblTargets[TargetID],tblTargets[StateType])</f>
        <v/>
      </c>
      <c r="G283">
        <f>_xlfn.LET(
_xlpm.id,tblTargetStatus[[#This Row],[TargetID]],
_xlpm.depCount,COUNTIF(tblDependencies[TargetID],_xlpm.id),
_xlpm.objCount,COUNTIF(tblQuestObjectives[QuestTargetID],_xlpm.id),
_xlpm.depCount+_xlpm.objCount
)</f>
        <v>13</v>
      </c>
      <c r="H283">
        <f>tblTargetStatus[[#This Row],[DependencyCount]]</f>
        <v>13</v>
      </c>
      <c r="I283" cm="1">
        <f t="array" ref="I2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3">
        <f>tblTargetStatus[[#This Row],[CompletedDependencyCount]]</f>
        <v>0</v>
      </c>
      <c r="K283" t="b">
        <f>tblTargetStatus[[#This Row],[CompletedDependencies]]=tblTargetStatus[[#This Row],[TotalDependencies]]</f>
        <v>0</v>
      </c>
      <c r="L283">
        <f>tblTargetStatus[[#This Row],[TotalDependencies]]-tblTargetStatus[[#This Row],[CompletedDependencies]]</f>
        <v>13</v>
      </c>
      <c r="M283" t="str" cm="1">
        <f t="array" ref="M2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283" t="str">
        <f>IF(tblTargetStatus[[#This Row],[FirstMissingDependencyID]]="","",_xlfn.XLOOKUP(tblTargetStatus[[#This Row],[FirstMissingDependencyID]],tblTargets[TargetID],tblTargets[DisplayName],tblTargetStatus[[#This Row],[FirstMissingDependencyID]]))</f>
        <v>Journey Through Japan By Train Accepted</v>
      </c>
      <c r="O283" s="2" cm="1">
        <f t="array" ref="O2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3" t="str">
        <f>IF(tblTargetStatus[[#This Row],[FirstMissingDependencyID]]="","",_xlfn.XLOOKUP(tblTargetStatus[[#This Row],[FirstMissingDependencyID]],tblTargetStatus[TargetID],tblTargetStatus[Status],""))</f>
        <v>BLOCKED</v>
      </c>
      <c r="Q283" t="str">
        <f>IF(
 tblTargetStatus[[#This Row],[Status]]&lt;&gt;"BLOCKED",
 tblTargetStatus[[#This Row],[Status]],
 IF(
  AND(
   tblTargetStatus[[#This Row],[MissingDependencies]]=1,
   tblTargetStatus[[#This Row],[FirstMissingStatus]]="READY"
  ),
  "ONE AWAY",
  "BLOCKED"
 )
)</f>
        <v>BLOCKED</v>
      </c>
      <c r="R283">
        <f>IF(
 OR(
  tblTargetStatus[[#This Row],[StateType]]="CHARACTER",
  RIGHT(tblTargetStatus[[#This Row],[TargetID]],6)=".maxed"
 ),
 0,
 _xlfn.LET(
  _xlpm.sort,
   _xlfn.XLOOKUP(
    tblTargetStatus[[#This Row],[TargetID]],
    tblChecklist[TargetID],
    tblChecklist[PlayerSort],
    0
   ),
  IF(_xlpm.sort=0,500,_xlpm.sort)
 )
)</f>
        <v>500</v>
      </c>
      <c r="S283" t="str" cm="1">
        <f t="array" ref="S28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2 Accepted</v>
      </c>
      <c r="T283" t="str">
        <f>_xlfn.XLOOKUP(tblTargetStatus[[#This Row],[TargetID]],tblTargets[TargetID],tblTargets[CompletionMethod],"")</f>
        <v>PLAYER</v>
      </c>
      <c r="U283" t="b">
        <f>COUNTIF(
    tblCost[TargetID],
    tblTargetStatus[[#This Row],[TargetID]]
)&gt;0</f>
        <v>0</v>
      </c>
      <c r="V283" s="81" t="str">
        <f>IF(tblTargetStatus[[#This Row],[HasCost]]=FALSE,
"N/A",
_xlfn.XLOOKUP(
tblTargetStatus[[#This Row],[TargetID]],
tblCost[TargetID],
tblCost[FundingPercent],
""
)
)</f>
        <v>N/A</v>
      </c>
      <c r="W283" t="str">
        <f>IF(
COUNTIF(tblCost[TargetID],tblTargetStatus[[#This Row],[TargetID]])=0,
"",
_xlfn.XLOOKUP(
tblTargetStatus[[#This Row],[TargetID]],
tblCost[TargetID],
tblCost[RemainingRequirements],
""
)
)</f>
        <v/>
      </c>
      <c r="X283" s="79" t="str">
        <f>IF(tblTargetStatus[[#This Row],[HasCost]]=FALSE,"N/A",_xlfn.XLOOKUP(
tblTargetStatus[[#This Row],[TargetID]],
tblCost[TargetID],
tblCost[TargetFunded],
TRUE
))</f>
        <v>N/A</v>
      </c>
      <c r="Y283" t="str" cm="1">
        <f t="array" ref="Y283">_xlfn.TEXTJOIN(
", ",
TRUE,
_xlfn._xlws.FILTER(
tblCost[ResourceID]&amp;": "&amp;tblCost[QuantityRequired],
(tblCost[TargetID]=tblTargetStatus[[#This Row],[TargetID]])*
(tblCost[PlayerPaid]=FALSE),
""
)
)</f>
        <v/>
      </c>
      <c r="Z2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3" t="str" cm="1">
        <f t="array" ref="AA28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2</v>
      </c>
    </row>
    <row r="284" spans="1:27">
      <c r="A284" t="s">
        <v>5588</v>
      </c>
      <c r="B284" t="str">
        <f>_xlfn.XLOOKUP(tblTargetStatus[[#This Row],[TargetID]],tblTargets[TargetID],tblTargets[DisplayName],"")</f>
        <v>Letter from the Dark Lady Accepted</v>
      </c>
      <c r="C284" t="str">
        <f>IF(tblTargetStatus[[#This Row],[PlayerCompleted]],"COMPLETED",IF(tblTargetStatus[[#This Row],[MissingDependencies]]=0,"READY","BLOCKED"))</f>
        <v>BLOCKED</v>
      </c>
      <c r="D2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4" t="str">
        <f>_xlfn.XLOOKUP(tblTargetStatus[[#This Row],[TargetID]],tblTargets[TargetID],tblTargets[TargetType],"")</f>
        <v>QUEST</v>
      </c>
      <c r="F284" t="str">
        <f>_xlfn.XLOOKUP(tblTargetStatus[[#This Row],[TargetID]],tblTargets[TargetID],tblTargets[StateType])</f>
        <v/>
      </c>
      <c r="G284">
        <f>_xlfn.LET(
_xlpm.id,tblTargetStatus[[#This Row],[TargetID]],
_xlpm.depCount,COUNTIF(tblDependencies[TargetID],_xlpm.id),
_xlpm.objCount,COUNTIF(tblQuestObjectives[QuestTargetID],_xlpm.id),
_xlpm.depCount+_xlpm.objCount
)</f>
        <v>1</v>
      </c>
      <c r="H284">
        <f>tblTargetStatus[[#This Row],[DependencyCount]]</f>
        <v>1</v>
      </c>
      <c r="I284" cm="1">
        <f t="array" ref="I2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4">
        <f>tblTargetStatus[[#This Row],[CompletedDependencyCount]]</f>
        <v>0</v>
      </c>
      <c r="K284" t="b">
        <f>tblTargetStatus[[#This Row],[CompletedDependencies]]=tblTargetStatus[[#This Row],[TotalDependencies]]</f>
        <v>0</v>
      </c>
      <c r="L284">
        <f>tblTargetStatus[[#This Row],[TotalDependencies]]-tblTargetStatus[[#This Row],[CompletedDependencies]]</f>
        <v>1</v>
      </c>
      <c r="M284" t="str" cm="1">
        <f t="array" ref="M2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quest.the_ordinary_days_of_an_adventurer_chapter_6.finished</v>
      </c>
      <c r="N284" t="str">
        <f>IF(tblTargetStatus[[#This Row],[FirstMissingDependencyID]]="","",_xlfn.XLOOKUP(tblTargetStatus[[#This Row],[FirstMissingDependencyID]],tblTargets[TargetID],tblTargets[DisplayName],tblTargetStatus[[#This Row],[FirstMissingDependencyID]]))</f>
        <v>The Ordinary Days of an Adventurer Chapter 6 Finished</v>
      </c>
      <c r="O284" s="2" cm="1">
        <f t="array" ref="O2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4" t="str">
        <f>IF(tblTargetStatus[[#This Row],[FirstMissingDependencyID]]="","",_xlfn.XLOOKUP(tblTargetStatus[[#This Row],[FirstMissingDependencyID]],tblTargetStatus[TargetID],tblTargetStatus[Status],""))</f>
        <v>BLOCKED</v>
      </c>
      <c r="Q284" t="str">
        <f>IF(
 tblTargetStatus[[#This Row],[Status]]&lt;&gt;"BLOCKED",
 tblTargetStatus[[#This Row],[Status]],
 IF(
  AND(
   tblTargetStatus[[#This Row],[MissingDependencies]]=1,
   tblTargetStatus[[#This Row],[FirstMissingStatus]]="READY"
  ),
  "ONE AWAY",
  "BLOCKED"
 )
)</f>
        <v>BLOCKED</v>
      </c>
      <c r="R284">
        <f>IF(
 OR(
  tblTargetStatus[[#This Row],[StateType]]="CHARACTER",
  RIGHT(tblTargetStatus[[#This Row],[TargetID]],6)=".maxed"
 ),
 0,
 _xlfn.LET(
  _xlpm.sort,
   _xlfn.XLOOKUP(
    tblTargetStatus[[#This Row],[TargetID]],
    tblChecklist[TargetID],
    tblChecklist[PlayerSort],
    0
   ),
  IF(_xlpm.sort=0,500,_xlpm.sort)
 )
)</f>
        <v>500</v>
      </c>
      <c r="S284" t="str" cm="1">
        <f t="array" ref="S28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Broken Lever, Letter from the Dark Lady Finished</v>
      </c>
      <c r="T284" t="str">
        <f>_xlfn.XLOOKUP(tblTargetStatus[[#This Row],[TargetID]],tblTargets[TargetID],tblTargets[CompletionMethod],"")</f>
        <v>PLAYER</v>
      </c>
      <c r="U284" t="b">
        <f>COUNTIF(
    tblCost[TargetID],
    tblTargetStatus[[#This Row],[TargetID]]
)&gt;0</f>
        <v>0</v>
      </c>
      <c r="V284" s="81" t="str">
        <f>IF(tblTargetStatus[[#This Row],[HasCost]]=FALSE,
"N/A",
_xlfn.XLOOKUP(
tblTargetStatus[[#This Row],[TargetID]],
tblCost[TargetID],
tblCost[FundingPercent],
""
)
)</f>
        <v>N/A</v>
      </c>
      <c r="W284" t="str">
        <f>IF(
COUNTIF(tblCost[TargetID],tblTargetStatus[[#This Row],[TargetID]])=0,
"",
_xlfn.XLOOKUP(
tblTargetStatus[[#This Row],[TargetID]],
tblCost[TargetID],
tblCost[RemainingRequirements],
""
)
)</f>
        <v/>
      </c>
      <c r="X284" s="79" t="str">
        <f>IF(tblTargetStatus[[#This Row],[HasCost]]=FALSE,"N/A",_xlfn.XLOOKUP(
tblTargetStatus[[#This Row],[TargetID]],
tblCost[TargetID],
tblCost[TargetFunded],
TRUE
))</f>
        <v>N/A</v>
      </c>
      <c r="Y284" t="str" cm="1">
        <f t="array" ref="Y284">_xlfn.TEXTJOIN(
", ",
TRUE,
_xlfn._xlws.FILTER(
tblCost[ResourceID]&amp;": "&amp;tblCost[QuantityRequired],
(tblCost[TargetID]=tblTargetStatus[[#This Row],[TargetID]])*
(tblCost[PlayerPaid]=FALSE),
""
)
)</f>
        <v/>
      </c>
      <c r="Z2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4" t="str" cm="1">
        <f t="array" ref="AA28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85" spans="1:27">
      <c r="A285" t="s">
        <v>5587</v>
      </c>
      <c r="B285" t="str">
        <f>_xlfn.XLOOKUP(tblTargetStatus[[#This Row],[TargetID]],tblTargets[TargetID],tblTargets[DisplayName],"")</f>
        <v>Letter from the Dark Lady Finished</v>
      </c>
      <c r="C285" t="str">
        <f>IF(tblTargetStatus[[#This Row],[PlayerCompleted]],"COMPLETED",IF(tblTargetStatus[[#This Row],[MissingDependencies]]=0,"READY","BLOCKED"))</f>
        <v>BLOCKED</v>
      </c>
      <c r="D2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5" t="str">
        <f>_xlfn.XLOOKUP(tblTargetStatus[[#This Row],[TargetID]],tblTargets[TargetID],tblTargets[TargetType],"")</f>
        <v>QUEST</v>
      </c>
      <c r="F285" t="str">
        <f>_xlfn.XLOOKUP(tblTargetStatus[[#This Row],[TargetID]],tblTargets[TargetID],tblTargets[StateType])</f>
        <v/>
      </c>
      <c r="G285">
        <f>_xlfn.LET(
_xlpm.id,tblTargetStatus[[#This Row],[TargetID]],
_xlpm.depCount,COUNTIF(tblDependencies[TargetID],_xlpm.id),
_xlpm.objCount,COUNTIF(tblQuestObjectives[QuestTargetID],_xlpm.id),
_xlpm.depCount+_xlpm.objCount
)</f>
        <v>11</v>
      </c>
      <c r="H285">
        <f>tblTargetStatus[[#This Row],[DependencyCount]]</f>
        <v>11</v>
      </c>
      <c r="I285" cm="1">
        <f t="array" ref="I2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5">
        <f>tblTargetStatus[[#This Row],[CompletedDependencyCount]]</f>
        <v>0</v>
      </c>
      <c r="K285" t="b">
        <f>tblTargetStatus[[#This Row],[CompletedDependencies]]=tblTargetStatus[[#This Row],[TotalDependencies]]</f>
        <v>0</v>
      </c>
      <c r="L285">
        <f>tblTargetStatus[[#This Row],[TotalDependencies]]-tblTargetStatus[[#This Row],[CompletedDependencies]]</f>
        <v>11</v>
      </c>
      <c r="M285" t="str" cm="1">
        <f t="array" ref="M2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quest.letter_from_the_dark_lady.accepted</v>
      </c>
      <c r="N285" t="str">
        <f>IF(tblTargetStatus[[#This Row],[FirstMissingDependencyID]]="","",_xlfn.XLOOKUP(tblTargetStatus[[#This Row],[FirstMissingDependencyID]],tblTargets[TargetID],tblTargets[DisplayName],tblTargetStatus[[#This Row],[FirstMissingDependencyID]]))</f>
        <v>Letter from the Dark Lady Accepted</v>
      </c>
      <c r="O285" s="2" cm="1">
        <f t="array" ref="O2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5" t="str">
        <f>IF(tblTargetStatus[[#This Row],[FirstMissingDependencyID]]="","",_xlfn.XLOOKUP(tblTargetStatus[[#This Row],[FirstMissingDependencyID]],tblTargetStatus[TargetID],tblTargetStatus[Status],""))</f>
        <v>BLOCKED</v>
      </c>
      <c r="Q285" t="str">
        <f>IF(
 tblTargetStatus[[#This Row],[Status]]&lt;&gt;"BLOCKED",
 tblTargetStatus[[#This Row],[Status]],
 IF(
  AND(
   tblTargetStatus[[#This Row],[MissingDependencies]]=1,
   tblTargetStatus[[#This Row],[FirstMissingStatus]]="READY"
  ),
  "ONE AWAY",
  "BLOCKED"
 )
)</f>
        <v>BLOCKED</v>
      </c>
      <c r="R285">
        <f>IF(
 OR(
  tblTargetStatus[[#This Row],[StateType]]="CHARACTER",
  RIGHT(tblTargetStatus[[#This Row],[TargetID]],6)=".maxed"
 ),
 0,
 _xlfn.LET(
  _xlpm.sort,
   _xlfn.XLOOKUP(
    tblTargetStatus[[#This Row],[TargetID]],
    tblChecklist[TargetID],
    tblChecklist[PlayerSort],
    0
   ),
  IF(_xlpm.sort=0,500,_xlpm.sort)
 )
)</f>
        <v>500</v>
      </c>
      <c r="S285" t="str" cm="1">
        <f t="array" ref="S28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285" t="str">
        <f>_xlfn.XLOOKUP(tblTargetStatus[[#This Row],[TargetID]],tblTargets[TargetID],tblTargets[CompletionMethod],"")</f>
        <v>PLAYER</v>
      </c>
      <c r="U285" t="b">
        <f>COUNTIF(
    tblCost[TargetID],
    tblTargetStatus[[#This Row],[TargetID]]
)&gt;0</f>
        <v>0</v>
      </c>
      <c r="V285" s="81" t="str">
        <f>IF(tblTargetStatus[[#This Row],[HasCost]]=FALSE,
"N/A",
_xlfn.XLOOKUP(
tblTargetStatus[[#This Row],[TargetID]],
tblCost[TargetID],
tblCost[FundingPercent],
""
)
)</f>
        <v>N/A</v>
      </c>
      <c r="W285" t="str">
        <f>IF(
COUNTIF(tblCost[TargetID],tblTargetStatus[[#This Row],[TargetID]])=0,
"",
_xlfn.XLOOKUP(
tblTargetStatus[[#This Row],[TargetID]],
tblCost[TargetID],
tblCost[RemainingRequirements],
""
)
)</f>
        <v/>
      </c>
      <c r="X285" s="79" t="str">
        <f>IF(tblTargetStatus[[#This Row],[HasCost]]=FALSE,"N/A",_xlfn.XLOOKUP(
tblTargetStatus[[#This Row],[TargetID]],
tblCost[TargetID],
tblCost[TargetFunded],
TRUE
))</f>
        <v>N/A</v>
      </c>
      <c r="Y285" t="str" cm="1">
        <f t="array" ref="Y285">_xlfn.TEXTJOIN(
", ",
TRUE,
_xlfn._xlws.FILTER(
tblCost[ResourceID]&amp;": "&amp;tblCost[QuantityRequired],
(tblCost[TargetID]=tblTargetStatus[[#This Row],[TargetID]])*
(tblCost[PlayerPaid]=FALSE),
""
)
)</f>
        <v/>
      </c>
      <c r="Z2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5" t="str" cm="1">
        <f t="array" ref="AA28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86" spans="1:27">
      <c r="A286" t="s">
        <v>2327</v>
      </c>
      <c r="B286" t="str">
        <f>_xlfn.XLOOKUP(tblTargetStatus[[#This Row],[TargetID]],tblTargets[TargetID],tblTargets[DisplayName],"")</f>
        <v>Magic Beans Accepted</v>
      </c>
      <c r="C286" t="str">
        <f>IF(tblTargetStatus[[#This Row],[PlayerCompleted]],"COMPLETED",IF(tblTargetStatus[[#This Row],[MissingDependencies]]=0,"READY","BLOCKED"))</f>
        <v>BLOCKED</v>
      </c>
      <c r="D2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6" t="str">
        <f>_xlfn.XLOOKUP(tblTargetStatus[[#This Row],[TargetID]],tblTargets[TargetID],tblTargets[TargetType],"")</f>
        <v>QUEST</v>
      </c>
      <c r="F286" t="str">
        <f>_xlfn.XLOOKUP(tblTargetStatus[[#This Row],[TargetID]],tblTargets[TargetID],tblTargets[StateType])</f>
        <v/>
      </c>
      <c r="G286">
        <f>_xlfn.LET(
_xlpm.id,tblTargetStatus[[#This Row],[TargetID]],
_xlpm.depCount,COUNTIF(tblDependencies[TargetID],_xlpm.id),
_xlpm.objCount,COUNTIF(tblQuestObjectives[QuestTargetID],_xlpm.id),
_xlpm.depCount+_xlpm.objCount
)</f>
        <v>3</v>
      </c>
      <c r="H286">
        <f>tblTargetStatus[[#This Row],[DependencyCount]]</f>
        <v>3</v>
      </c>
      <c r="I286" cm="1">
        <f t="array" ref="I2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6">
        <f>tblTargetStatus[[#This Row],[CompletedDependencyCount]]</f>
        <v>0</v>
      </c>
      <c r="K286" t="b">
        <f>tblTargetStatus[[#This Row],[CompletedDependencies]]=tblTargetStatus[[#This Row],[TotalDependencies]]</f>
        <v>0</v>
      </c>
      <c r="L286">
        <f>tblTargetStatus[[#This Row],[TotalDependencies]]-tblTargetStatus[[#This Row],[CompletedDependencies]]</f>
        <v>3</v>
      </c>
      <c r="M286" t="str" cm="1">
        <f t="array" ref="M2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quest.the_ring_of_the_dark_lady.finished</v>
      </c>
      <c r="N286" t="str">
        <f>IF(tblTargetStatus[[#This Row],[FirstMissingDependencyID]]="","",_xlfn.XLOOKUP(tblTargetStatus[[#This Row],[FirstMissingDependencyID]],tblTargets[TargetID],tblTargets[DisplayName],tblTargetStatus[[#This Row],[FirstMissingDependencyID]]))</f>
        <v>The Ring of the Dark Lady Finished</v>
      </c>
      <c r="O286" t="str" cm="1">
        <f t="array" ref="O2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tofu:1,inarizushi:1,teriyaki:1</v>
      </c>
      <c r="P286" t="str">
        <f>IF(tblTargetStatus[[#This Row],[FirstMissingDependencyID]]="","",_xlfn.XLOOKUP(tblTargetStatus[[#This Row],[FirstMissingDependencyID]],tblTargetStatus[TargetID],tblTargetStatus[Status],""))</f>
        <v>BLOCKED</v>
      </c>
      <c r="Q286" t="str">
        <f>IF(
 tblTargetStatus[[#This Row],[Status]]&lt;&gt;"BLOCKED",
 tblTargetStatus[[#This Row],[Status]],
 IF(
  AND(
   tblTargetStatus[[#This Row],[MissingDependencies]]=1,
   tblTargetStatus[[#This Row],[FirstMissingStatus]]="READY"
  ),
  "ONE AWAY",
  "BLOCKED"
 )
)</f>
        <v>BLOCKED</v>
      </c>
      <c r="R286">
        <f>IF(
 OR(
  tblTargetStatus[[#This Row],[StateType]]="CHARACTER",
  RIGHT(tblTargetStatus[[#This Row],[TargetID]],6)=".maxed"
 ),
 0,
 _xlfn.LET(
  _xlpm.sort,
   _xlfn.XLOOKUP(
    tblTargetStatus[[#This Row],[TargetID]],
    tblChecklist[TargetID],
    tblChecklist[PlayerSort],
    0
   ),
  IF(_xlpm.sort=0,500,_xlpm.sort)
 )
)</f>
        <v>500</v>
      </c>
      <c r="S286" t="str" cm="1">
        <f t="array" ref="S28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Magic Beans Finished, Deliver Inarizushi to 4B, Deliver Teriyaki Salmon to 4C, Deliver Tofu to 4A</v>
      </c>
      <c r="T286" t="str">
        <f>_xlfn.XLOOKUP(tblTargetStatus[[#This Row],[TargetID]],tblTargets[TargetID],tblTargets[CompletionMethod],"")</f>
        <v>PLAYER</v>
      </c>
      <c r="U286" t="b">
        <f>COUNTIF(
    tblCost[TargetID],
    tblTargetStatus[[#This Row],[TargetID]]
)&gt;0</f>
        <v>0</v>
      </c>
      <c r="V286" s="81" t="str">
        <f>IF(tblTargetStatus[[#This Row],[HasCost]]=FALSE,
"N/A",
_xlfn.XLOOKUP(
tblTargetStatus[[#This Row],[TargetID]],
tblCost[TargetID],
tblCost[FundingPercent],
""
)
)</f>
        <v>N/A</v>
      </c>
      <c r="W286" t="str">
        <f>IF(
COUNTIF(tblCost[TargetID],tblTargetStatus[[#This Row],[TargetID]])=0,
"",
_xlfn.XLOOKUP(
tblTargetStatus[[#This Row],[TargetID]],
tblCost[TargetID],
tblCost[RemainingRequirements],
""
)
)</f>
        <v/>
      </c>
      <c r="X286" s="79" t="str">
        <f>IF(tblTargetStatus[[#This Row],[HasCost]]=FALSE,"N/A",_xlfn.XLOOKUP(
tblTargetStatus[[#This Row],[TargetID]],
tblCost[TargetID],
tblCost[TargetFunded],
TRUE
))</f>
        <v>N/A</v>
      </c>
      <c r="Y286" t="str" cm="1">
        <f t="array" ref="Y286">_xlfn.TEXTJOIN(
", ",
TRUE,
_xlfn._xlws.FILTER(
tblCost[ResourceID]&amp;": "&amp;tblCost[QuantityRequired],
(tblCost[TargetID]=tblTargetStatus[[#This Row],[TargetID]])*
(tblCost[PlayerPaid]=FALSE),
""
)
)</f>
        <v/>
      </c>
      <c r="Z2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6" t="str" cm="1">
        <f t="array" ref="AA28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87" spans="1:27">
      <c r="A287" t="s">
        <v>2480</v>
      </c>
      <c r="B287" t="str">
        <f>_xlfn.XLOOKUP(tblTargetStatus[[#This Row],[TargetID]],tblTargets[TargetID],tblTargets[DisplayName],"")</f>
        <v>Magic Beans Finished</v>
      </c>
      <c r="C287" t="str">
        <f>IF(tblTargetStatus[[#This Row],[PlayerCompleted]],"COMPLETED",IF(tblTargetStatus[[#This Row],[MissingDependencies]]=0,"READY","BLOCKED"))</f>
        <v>BLOCKED</v>
      </c>
      <c r="D2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7" t="str">
        <f>_xlfn.XLOOKUP(tblTargetStatus[[#This Row],[TargetID]],tblTargets[TargetID],tblTargets[TargetType],"")</f>
        <v>QUEST</v>
      </c>
      <c r="F287" t="str">
        <f>_xlfn.XLOOKUP(tblTargetStatus[[#This Row],[TargetID]],tblTargets[TargetID],tblTargets[StateType])</f>
        <v/>
      </c>
      <c r="G287">
        <f>_xlfn.LET(
_xlpm.id,tblTargetStatus[[#This Row],[TargetID]],
_xlpm.depCount,COUNTIF(tblDependencies[TargetID],_xlpm.id),
_xlpm.objCount,COUNTIF(tblQuestObjectives[QuestTargetID],_xlpm.id),
_xlpm.depCount+_xlpm.objCount
)</f>
        <v>4</v>
      </c>
      <c r="H287">
        <f>tblTargetStatus[[#This Row],[DependencyCount]]</f>
        <v>4</v>
      </c>
      <c r="I287" cm="1">
        <f t="array" ref="I2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7">
        <f>tblTargetStatus[[#This Row],[CompletedDependencyCount]]</f>
        <v>0</v>
      </c>
      <c r="K287" t="b">
        <f>tblTargetStatus[[#This Row],[CompletedDependencies]]=tblTargetStatus[[#This Row],[TotalDependencies]]</f>
        <v>0</v>
      </c>
      <c r="L287">
        <f>tblTargetStatus[[#This Row],[TotalDependencies]]-tblTargetStatus[[#This Row],[CompletedDependencies]]</f>
        <v>4</v>
      </c>
      <c r="M287" t="str" cm="1">
        <f t="array" ref="M2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quest.magic_beans.accepted</v>
      </c>
      <c r="N287" t="str">
        <f>IF(tblTargetStatus[[#This Row],[FirstMissingDependencyID]]="","",_xlfn.XLOOKUP(tblTargetStatus[[#This Row],[FirstMissingDependencyID]],tblTargets[TargetID],tblTargets[DisplayName],tblTargetStatus[[#This Row],[FirstMissingDependencyID]]))</f>
        <v>Magic Beans Accepted</v>
      </c>
      <c r="O287" s="2" t="str" cm="1">
        <f t="array" ref="O2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tofu:1,inarizushi:1,teriyaki:1</v>
      </c>
      <c r="P287" t="str">
        <f>IF(tblTargetStatus[[#This Row],[FirstMissingDependencyID]]="","",_xlfn.XLOOKUP(tblTargetStatus[[#This Row],[FirstMissingDependencyID]],tblTargetStatus[TargetID],tblTargetStatus[Status],""))</f>
        <v>BLOCKED</v>
      </c>
      <c r="Q287" t="str">
        <f>IF(
 tblTargetStatus[[#This Row],[Status]]&lt;&gt;"BLOCKED",
 tblTargetStatus[[#This Row],[Status]],
 IF(
  AND(
   tblTargetStatus[[#This Row],[MissingDependencies]]=1,
   tblTargetStatus[[#This Row],[FirstMissingStatus]]="READY"
  ),
  "ONE AWAY",
  "BLOCKED"
 )
)</f>
        <v>BLOCKED</v>
      </c>
      <c r="R287">
        <f>IF(
 OR(
  tblTargetStatus[[#This Row],[StateType]]="CHARACTER",
  RIGHT(tblTargetStatus[[#This Row],[TargetID]],6)=".maxed"
 ),
 0,
 _xlfn.LET(
  _xlpm.sort,
   _xlfn.XLOOKUP(
    tblTargetStatus[[#This Row],[TargetID]],
    tblChecklist[TargetID],
    tblChecklist[PlayerSort],
    0
   ),
  IF(_xlpm.sort=0,500,_xlpm.sort)
 )
)</f>
        <v>500</v>
      </c>
      <c r="S287" t="str" cm="1">
        <f t="array" ref="S28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Fermentory Lv 1, Ahead of Time Chapter 1 Accepted, Meet mechanical adventurer in Dungeon 3A, Alchemists Hut - Advanced Fertilizer, Field - Soybean, Food Stall - Miso Soup</v>
      </c>
      <c r="T287" t="str">
        <f>_xlfn.XLOOKUP(tblTargetStatus[[#This Row],[TargetID]],tblTargets[TargetID],tblTargets[CompletionMethod],"")</f>
        <v>PLAYER</v>
      </c>
      <c r="U287" t="b">
        <f>COUNTIF(
    tblCost[TargetID],
    tblTargetStatus[[#This Row],[TargetID]]
)&gt;0</f>
        <v>1</v>
      </c>
      <c r="V287" s="81">
        <f>IF(tblTargetStatus[[#This Row],[HasCost]]=FALSE,
"N/A",
_xlfn.XLOOKUP(
tblTargetStatus[[#This Row],[TargetID]],
tblCost[TargetID],
tblCost[FundingPercent],
""
)
)</f>
        <v>0</v>
      </c>
      <c r="W287">
        <f>IF(
COUNTIF(tblCost[TargetID],tblTargetStatus[[#This Row],[TargetID]])=0,
"",
_xlfn.XLOOKUP(
tblTargetStatus[[#This Row],[TargetID]],
tblCost[TargetID],
tblCost[RemainingRequirements],
""
)
)</f>
        <v>3</v>
      </c>
      <c r="X287" s="79" t="b">
        <f>IF(tblTargetStatus[[#This Row],[HasCost]]=FALSE,"N/A",_xlfn.XLOOKUP(
tblTargetStatus[[#This Row],[TargetID]],
tblCost[TargetID],
tblCost[TargetFunded],
TRUE
))</f>
        <v>0</v>
      </c>
      <c r="Y287" t="str" cm="1">
        <f t="array" ref="Y287">_xlfn.TEXTJOIN(
", ",
TRUE,
_xlfn._xlws.FILTER(
tblCost[ResourceID]&amp;": "&amp;tblCost[QuantityRequired],
(tblCost[TargetID]=tblTargetStatus[[#This Row],[TargetID]])*
(tblCost[PlayerPaid]=FALSE),
""
)
)</f>
        <v>tofu: 1, inarizushi: 1, teriyaki: 1</v>
      </c>
      <c r="Z2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7" t="str" cm="1">
        <f t="array" ref="AA28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1</v>
      </c>
    </row>
    <row r="288" spans="1:27">
      <c r="A288" t="s">
        <v>2330</v>
      </c>
      <c r="B288" t="str">
        <f>_xlfn.XLOOKUP(tblTargetStatus[[#This Row],[TargetID]],tblTargets[TargetID],tblTargets[DisplayName],"")</f>
        <v>Once Upon a Forest Chapter 1 Accepted</v>
      </c>
      <c r="C288" t="str">
        <f>IF(tblTargetStatus[[#This Row],[PlayerCompleted]],"COMPLETED",IF(tblTargetStatus[[#This Row],[MissingDependencies]]=0,"READY","BLOCKED"))</f>
        <v>BLOCKED</v>
      </c>
      <c r="D2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8" t="str">
        <f>_xlfn.XLOOKUP(tblTargetStatus[[#This Row],[TargetID]],tblTargets[TargetID],tblTargets[TargetType],"")</f>
        <v>QUEST</v>
      </c>
      <c r="F288" t="str">
        <f>_xlfn.XLOOKUP(tblTargetStatus[[#This Row],[TargetID]],tblTargets[TargetID],tblTargets[StateType])</f>
        <v/>
      </c>
      <c r="G288">
        <f>_xlfn.LET(
_xlpm.id,tblTargetStatus[[#This Row],[TargetID]],
_xlpm.depCount,COUNTIF(tblDependencies[TargetID],_xlpm.id),
_xlpm.objCount,COUNTIF(tblQuestObjectives[QuestTargetID],_xlpm.id),
_xlpm.depCount+_xlpm.objCount
)</f>
        <v>1</v>
      </c>
      <c r="H288">
        <f>tblTargetStatus[[#This Row],[DependencyCount]]</f>
        <v>1</v>
      </c>
      <c r="I288" cm="1">
        <f t="array" ref="I2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8">
        <f>tblTargetStatus[[#This Row],[CompletedDependencyCount]]</f>
        <v>0</v>
      </c>
      <c r="K288" t="b">
        <f>tblTargetStatus[[#This Row],[CompletedDependencies]]=tblTargetStatus[[#This Row],[TotalDependencies]]</f>
        <v>0</v>
      </c>
      <c r="L288">
        <f>tblTargetStatus[[#This Row],[TotalDependencies]]-tblTargetStatus[[#This Row],[CompletedDependencies]]</f>
        <v>1</v>
      </c>
      <c r="M288" t="str" cm="1">
        <f t="array" ref="M2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state.meet_mech_adventurer@2b</v>
      </c>
      <c r="N288" t="str">
        <f>IF(tblTargetStatus[[#This Row],[FirstMissingDependencyID]]="","",_xlfn.XLOOKUP(tblTargetStatus[[#This Row],[FirstMissingDependencyID]],tblTargets[TargetID],tblTargets[DisplayName],tblTargetStatus[[#This Row],[FirstMissingDependencyID]]))</f>
        <v>Meet Mech Adventurer@2B</v>
      </c>
      <c r="O288" s="2" cm="1">
        <f t="array" ref="O2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8" t="str">
        <f>IF(tblTargetStatus[[#This Row],[FirstMissingDependencyID]]="","",_xlfn.XLOOKUP(tblTargetStatus[[#This Row],[FirstMissingDependencyID]],tblTargetStatus[TargetID],tblTargetStatus[Status],""))</f>
        <v>BLOCKED</v>
      </c>
      <c r="Q288" t="str">
        <f>IF(
 tblTargetStatus[[#This Row],[Status]]&lt;&gt;"BLOCKED",
 tblTargetStatus[[#This Row],[Status]],
 IF(
  AND(
   tblTargetStatus[[#This Row],[MissingDependencies]]=1,
   tblTargetStatus[[#This Row],[FirstMissingStatus]]="READY"
  ),
  "ONE AWAY",
  "BLOCKED"
 )
)</f>
        <v>BLOCKED</v>
      </c>
      <c r="R288">
        <f>IF(
 OR(
  tblTargetStatus[[#This Row],[StateType]]="CHARACTER",
  RIGHT(tblTargetStatus[[#This Row],[TargetID]],6)=".maxed"
 ),
 0,
 _xlfn.LET(
  _xlpm.sort,
   _xlfn.XLOOKUP(
    tblTargetStatus[[#This Row],[TargetID]],
    tblChecklist[TargetID],
    tblChecklist[PlayerSort],
    0
   ),
  IF(_xlpm.sort=0,500,_xlpm.sort)
 )
)</f>
        <v>500</v>
      </c>
      <c r="S288" t="str" cm="1">
        <f t="array" ref="S28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 Finished, Find Jade Gate in 2C</v>
      </c>
      <c r="T288" t="str">
        <f>_xlfn.XLOOKUP(tblTargetStatus[[#This Row],[TargetID]],tblTargets[TargetID],tblTargets[CompletionMethod],"")</f>
        <v>PLAYER</v>
      </c>
      <c r="U288" t="b">
        <f>COUNTIF(
    tblCost[TargetID],
    tblTargetStatus[[#This Row],[TargetID]]
)&gt;0</f>
        <v>0</v>
      </c>
      <c r="V288" s="81" t="str">
        <f>IF(tblTargetStatus[[#This Row],[HasCost]]=FALSE,
"N/A",
_xlfn.XLOOKUP(
tblTargetStatus[[#This Row],[TargetID]],
tblCost[TargetID],
tblCost[FundingPercent],
""
)
)</f>
        <v>N/A</v>
      </c>
      <c r="W288" t="str">
        <f>IF(
COUNTIF(tblCost[TargetID],tblTargetStatus[[#This Row],[TargetID]])=0,
"",
_xlfn.XLOOKUP(
tblTargetStatus[[#This Row],[TargetID]],
tblCost[TargetID],
tblCost[RemainingRequirements],
""
)
)</f>
        <v/>
      </c>
      <c r="X288" s="79" t="str">
        <f>IF(tblTargetStatus[[#This Row],[HasCost]]=FALSE,"N/A",_xlfn.XLOOKUP(
tblTargetStatus[[#This Row],[TargetID]],
tblCost[TargetID],
tblCost[TargetFunded],
TRUE
))</f>
        <v>N/A</v>
      </c>
      <c r="Y288" t="str" cm="1">
        <f t="array" ref="Y288">_xlfn.TEXTJOIN(
", ",
TRUE,
_xlfn._xlws.FILTER(
tblCost[ResourceID]&amp;": "&amp;tblCost[QuantityRequired],
(tblCost[TargetID]=tblTargetStatus[[#This Row],[TargetID]])*
(tblCost[PlayerPaid]=FALSE),
""
)
)</f>
        <v/>
      </c>
      <c r="Z2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8" t="str" cm="1">
        <f t="array" ref="AA28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89" spans="1:27">
      <c r="A289" t="s">
        <v>2482</v>
      </c>
      <c r="B289" t="str">
        <f>_xlfn.XLOOKUP(tblTargetStatus[[#This Row],[TargetID]],tblTargets[TargetID],tblTargets[DisplayName],"")</f>
        <v>Once Upon a Forest Chapter 1 Finished</v>
      </c>
      <c r="C289" t="str">
        <f>IF(tblTargetStatus[[#This Row],[PlayerCompleted]],"COMPLETED",IF(tblTargetStatus[[#This Row],[MissingDependencies]]=0,"READY","BLOCKED"))</f>
        <v>BLOCKED</v>
      </c>
      <c r="D2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9" t="str">
        <f>_xlfn.XLOOKUP(tblTargetStatus[[#This Row],[TargetID]],tblTargets[TargetID],tblTargets[TargetType],"")</f>
        <v>QUEST</v>
      </c>
      <c r="F289" t="str">
        <f>_xlfn.XLOOKUP(tblTargetStatus[[#This Row],[TargetID]],tblTargets[TargetID],tblTargets[StateType])</f>
        <v/>
      </c>
      <c r="G289">
        <f>_xlfn.LET(
_xlpm.id,tblTargetStatus[[#This Row],[TargetID]],
_xlpm.depCount,COUNTIF(tblDependencies[TargetID],_xlpm.id),
_xlpm.objCount,COUNTIF(tblQuestObjectives[QuestTargetID],_xlpm.id),
_xlpm.depCount+_xlpm.objCount
)</f>
        <v>2</v>
      </c>
      <c r="H289">
        <f>tblTargetStatus[[#This Row],[DependencyCount]]</f>
        <v>2</v>
      </c>
      <c r="I289" cm="1">
        <f t="array" ref="I2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9">
        <f>tblTargetStatus[[#This Row],[CompletedDependencyCount]]</f>
        <v>0</v>
      </c>
      <c r="K289" t="b">
        <f>tblTargetStatus[[#This Row],[CompletedDependencies]]=tblTargetStatus[[#This Row],[TotalDependencies]]</f>
        <v>0</v>
      </c>
      <c r="L289">
        <f>tblTargetStatus[[#This Row],[TotalDependencies]]-tblTargetStatus[[#This Row],[CompletedDependencies]]</f>
        <v>2</v>
      </c>
      <c r="M289" t="str" cm="1">
        <f t="array" ref="M2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quest.once_upon_a_forest_chapter_1.accepted</v>
      </c>
      <c r="N289" t="str">
        <f>IF(tblTargetStatus[[#This Row],[FirstMissingDependencyID]]="","",_xlfn.XLOOKUP(tblTargetStatus[[#This Row],[FirstMissingDependencyID]],tblTargets[TargetID],tblTargets[DisplayName],tblTargetStatus[[#This Row],[FirstMissingDependencyID]]))</f>
        <v>Once Upon a Forest Chapter 1 Accepted</v>
      </c>
      <c r="O289" s="2" cm="1">
        <f t="array" ref="O2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9" t="str">
        <f>IF(tblTargetStatus[[#This Row],[FirstMissingDependencyID]]="","",_xlfn.XLOOKUP(tblTargetStatus[[#This Row],[FirstMissingDependencyID]],tblTargetStatus[TargetID],tblTargetStatus[Status],""))</f>
        <v>BLOCKED</v>
      </c>
      <c r="Q289" t="str">
        <f>IF(
 tblTargetStatus[[#This Row],[Status]]&lt;&gt;"BLOCKED",
 tblTargetStatus[[#This Row],[Status]],
 IF(
  AND(
   tblTargetStatus[[#This Row],[MissingDependencies]]=1,
   tblTargetStatus[[#This Row],[FirstMissingStatus]]="READY"
  ),
  "ONE AWAY",
  "BLOCKED"
 )
)</f>
        <v>BLOCKED</v>
      </c>
      <c r="R289">
        <f>IF(
 OR(
  tblTargetStatus[[#This Row],[StateType]]="CHARACTER",
  RIGHT(tblTargetStatus[[#This Row],[TargetID]],6)=".maxed"
 ),
 0,
 _xlfn.LET(
  _xlpm.sort,
   _xlfn.XLOOKUP(
    tblTargetStatus[[#This Row],[TargetID]],
    tblChecklist[TargetID],
    tblChecklist[PlayerSort],
    0
   ),
  IF(_xlpm.sort=0,500,_xlpm.sort)
 )
)</f>
        <v>500</v>
      </c>
      <c r="S289" t="str" cm="1">
        <f t="array" ref="S28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2 Accepted, Meet Raven @F1 on first entrance</v>
      </c>
      <c r="T289" t="str">
        <f>_xlfn.XLOOKUP(tblTargetStatus[[#This Row],[TargetID]],tblTargets[TargetID],tblTargets[CompletionMethod],"")</f>
        <v>PLAYER</v>
      </c>
      <c r="U289" t="b">
        <f>COUNTIF(
    tblCost[TargetID],
    tblTargetStatus[[#This Row],[TargetID]]
)&gt;0</f>
        <v>0</v>
      </c>
      <c r="V289" s="81" t="str">
        <f>IF(tblTargetStatus[[#This Row],[HasCost]]=FALSE,
"N/A",
_xlfn.XLOOKUP(
tblTargetStatus[[#This Row],[TargetID]],
tblCost[TargetID],
tblCost[FundingPercent],
""
)
)</f>
        <v>N/A</v>
      </c>
      <c r="W289" t="str">
        <f>IF(
COUNTIF(tblCost[TargetID],tblTargetStatus[[#This Row],[TargetID]])=0,
"",
_xlfn.XLOOKUP(
tblTargetStatus[[#This Row],[TargetID]],
tblCost[TargetID],
tblCost[RemainingRequirements],
""
)
)</f>
        <v/>
      </c>
      <c r="X289" s="79" t="str">
        <f>IF(tblTargetStatus[[#This Row],[HasCost]]=FALSE,"N/A",_xlfn.XLOOKUP(
tblTargetStatus[[#This Row],[TargetID]],
tblCost[TargetID],
tblCost[TargetFunded],
TRUE
))</f>
        <v>N/A</v>
      </c>
      <c r="Y289" t="str" cm="1">
        <f t="array" ref="Y289">_xlfn.TEXTJOIN(
", ",
TRUE,
_xlfn._xlws.FILTER(
tblCost[ResourceID]&amp;": "&amp;tblCost[QuantityRequired],
(tblCost[TargetID]=tblTargetStatus[[#This Row],[TargetID]])*
(tblCost[PlayerPaid]=FALSE),
""
)
)</f>
        <v/>
      </c>
      <c r="Z2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9" t="str" cm="1">
        <f t="array" ref="AA28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2</v>
      </c>
    </row>
    <row r="290" spans="1:27">
      <c r="A290" t="s">
        <v>2357</v>
      </c>
      <c r="B290" t="str">
        <f>_xlfn.XLOOKUP(tblTargetStatus[[#This Row],[TargetID]],tblTargets[TargetID],tblTargets[DisplayName],"")</f>
        <v>Once Upon a Forest Chapter 10 Accepted</v>
      </c>
      <c r="C290" t="str">
        <f>IF(tblTargetStatus[[#This Row],[PlayerCompleted]],"COMPLETED",IF(tblTargetStatus[[#This Row],[MissingDependencies]]=0,"READY","BLOCKED"))</f>
        <v>BLOCKED</v>
      </c>
      <c r="D2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0" t="str">
        <f>_xlfn.XLOOKUP(tblTargetStatus[[#This Row],[TargetID]],tblTargets[TargetID],tblTargets[TargetType],"")</f>
        <v>QUEST</v>
      </c>
      <c r="F290" t="str">
        <f>_xlfn.XLOOKUP(tblTargetStatus[[#This Row],[TargetID]],tblTargets[TargetID],tblTargets[StateType])</f>
        <v/>
      </c>
      <c r="G290">
        <f>_xlfn.LET(
_xlpm.id,tblTargetStatus[[#This Row],[TargetID]],
_xlpm.depCount,COUNTIF(tblDependencies[TargetID],_xlpm.id),
_xlpm.objCount,COUNTIF(tblQuestObjectives[QuestTargetID],_xlpm.id),
_xlpm.depCount+_xlpm.objCount
)</f>
        <v>2</v>
      </c>
      <c r="H290">
        <f>tblTargetStatus[[#This Row],[DependencyCount]]</f>
        <v>2</v>
      </c>
      <c r="I290" cm="1">
        <f t="array" ref="I2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0">
        <f>tblTargetStatus[[#This Row],[CompletedDependencyCount]]</f>
        <v>0</v>
      </c>
      <c r="K290" t="b">
        <f>tblTargetStatus[[#This Row],[CompletedDependencies]]=tblTargetStatus[[#This Row],[TotalDependencies]]</f>
        <v>0</v>
      </c>
      <c r="L290">
        <f>tblTargetStatus[[#This Row],[TotalDependencies]]-tblTargetStatus[[#This Row],[CompletedDependencies]]</f>
        <v>2</v>
      </c>
      <c r="M290" t="str" cm="1">
        <f t="array" ref="M2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quest.once_upon_a_forest_chapter_9.accepted</v>
      </c>
      <c r="N290" t="str">
        <f>IF(tblTargetStatus[[#This Row],[FirstMissingDependencyID]]="","",_xlfn.XLOOKUP(tblTargetStatus[[#This Row],[FirstMissingDependencyID]],tblTargets[TargetID],tblTargets[DisplayName],tblTargetStatus[[#This Row],[FirstMissingDependencyID]]))</f>
        <v>Once Upon a Forest Chapter 9 Accepted</v>
      </c>
      <c r="O290" cm="1">
        <f t="array" ref="O2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0" t="str">
        <f>IF(tblTargetStatus[[#This Row],[FirstMissingDependencyID]]="","",_xlfn.XLOOKUP(tblTargetStatus[[#This Row],[FirstMissingDependencyID]],tblTargetStatus[TargetID],tblTargetStatus[Status],""))</f>
        <v>BLOCKED</v>
      </c>
      <c r="Q290" t="str">
        <f>IF(
 tblTargetStatus[[#This Row],[Status]]&lt;&gt;"BLOCKED",
 tblTargetStatus[[#This Row],[Status]],
 IF(
  AND(
   tblTargetStatus[[#This Row],[MissingDependencies]]=1,
   tblTargetStatus[[#This Row],[FirstMissingStatus]]="READY"
  ),
  "ONE AWAY",
  "BLOCKED"
 )
)</f>
        <v>BLOCKED</v>
      </c>
      <c r="R290">
        <f>IF(
 OR(
  tblTargetStatus[[#This Row],[StateType]]="CHARACTER",
  RIGHT(tblTargetStatus[[#This Row],[TargetID]],6)=".maxed"
 ),
 0,
 _xlfn.LET(
  _xlpm.sort,
   _xlfn.XLOOKUP(
    tblTargetStatus[[#This Row],[TargetID]],
    tblChecklist[TargetID],
    tblChecklist[PlayerSort],
    0
   ),
  IF(_xlpm.sort=0,500,_xlpm.sort)
 )
)</f>
        <v>500</v>
      </c>
      <c r="S290" t="str" cm="1">
        <f t="array" ref="S29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10 Finished, Once Upon a Forest Chapter 11 Accepted, Deliver Balm To Hunter @F2, Meet Pilot@F3</v>
      </c>
      <c r="T290" t="str">
        <f>_xlfn.XLOOKUP(tblTargetStatus[[#This Row],[TargetID]],tblTargets[TargetID],tblTargets[CompletionMethod],"")</f>
        <v>PLAYER</v>
      </c>
      <c r="U290" t="b">
        <f>COUNTIF(
    tblCost[TargetID],
    tblTargetStatus[[#This Row],[TargetID]]
)&gt;0</f>
        <v>0</v>
      </c>
      <c r="V290" s="81" t="str">
        <f>IF(tblTargetStatus[[#This Row],[HasCost]]=FALSE,
"N/A",
_xlfn.XLOOKUP(
tblTargetStatus[[#This Row],[TargetID]],
tblCost[TargetID],
tblCost[FundingPercent],
""
)
)</f>
        <v>N/A</v>
      </c>
      <c r="W290" t="str">
        <f>IF(
COUNTIF(tblCost[TargetID],tblTargetStatus[[#This Row],[TargetID]])=0,
"",
_xlfn.XLOOKUP(
tblTargetStatus[[#This Row],[TargetID]],
tblCost[TargetID],
tblCost[RemainingRequirements],
""
)
)</f>
        <v/>
      </c>
      <c r="X290" s="79" t="str">
        <f>IF(tblTargetStatus[[#This Row],[HasCost]]=FALSE,"N/A",_xlfn.XLOOKUP(
tblTargetStatus[[#This Row],[TargetID]],
tblCost[TargetID],
tblCost[TargetFunded],
TRUE
))</f>
        <v>N/A</v>
      </c>
      <c r="Y290" t="str" cm="1">
        <f t="array" ref="Y290">_xlfn.TEXTJOIN(
", ",
TRUE,
_xlfn._xlws.FILTER(
tblCost[ResourceID]&amp;": "&amp;tblCost[QuantityRequired],
(tblCost[TargetID]=tblTargetStatus[[#This Row],[TargetID]])*
(tblCost[PlayerPaid]=FALSE),
""
)
)</f>
        <v/>
      </c>
      <c r="Z2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0" t="str" cm="1">
        <f t="array" ref="AA29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11</v>
      </c>
    </row>
    <row r="291" spans="1:27">
      <c r="A291" t="s">
        <v>2500</v>
      </c>
      <c r="B291" t="str">
        <f>_xlfn.XLOOKUP(tblTargetStatus[[#This Row],[TargetID]],tblTargets[TargetID],tblTargets[DisplayName],"")</f>
        <v>Once Upon a Forest Chapter 10 Finished</v>
      </c>
      <c r="C291" t="str">
        <f>IF(tblTargetStatus[[#This Row],[PlayerCompleted]],"COMPLETED",IF(tblTargetStatus[[#This Row],[MissingDependencies]]=0,"READY","BLOCKED"))</f>
        <v>BLOCKED</v>
      </c>
      <c r="D2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1" t="str">
        <f>_xlfn.XLOOKUP(tblTargetStatus[[#This Row],[TargetID]],tblTargets[TargetID],tblTargets[TargetType],"")</f>
        <v>QUEST</v>
      </c>
      <c r="F291" t="str">
        <f>_xlfn.XLOOKUP(tblTargetStatus[[#This Row],[TargetID]],tblTargets[TargetID],tblTargets[StateType])</f>
        <v/>
      </c>
      <c r="G291">
        <f>_xlfn.LET(
_xlpm.id,tblTargetStatus[[#This Row],[TargetID]],
_xlpm.depCount,COUNTIF(tblDependencies[TargetID],_xlpm.id),
_xlpm.objCount,COUNTIF(tblQuestObjectives[QuestTargetID],_xlpm.id),
_xlpm.depCount+_xlpm.objCount
)</f>
        <v>2</v>
      </c>
      <c r="H291">
        <f>tblTargetStatus[[#This Row],[DependencyCount]]</f>
        <v>2</v>
      </c>
      <c r="I291" cm="1">
        <f t="array" ref="I2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1">
        <f>tblTargetStatus[[#This Row],[CompletedDependencyCount]]</f>
        <v>0</v>
      </c>
      <c r="K291" t="b">
        <f>tblTargetStatus[[#This Row],[CompletedDependencies]]=tblTargetStatus[[#This Row],[TotalDependencies]]</f>
        <v>0</v>
      </c>
      <c r="L291">
        <f>tblTargetStatus[[#This Row],[TotalDependencies]]-tblTargetStatus[[#This Row],[CompletedDependencies]]</f>
        <v>2</v>
      </c>
      <c r="M291" t="str" cm="1">
        <f t="array" ref="M2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quest.once_upon_a_forest_chapter_10.accepted</v>
      </c>
      <c r="N291" t="str">
        <f>IF(tblTargetStatus[[#This Row],[FirstMissingDependencyID]]="","",_xlfn.XLOOKUP(tblTargetStatus[[#This Row],[FirstMissingDependencyID]],tblTargets[TargetID],tblTargets[DisplayName],tblTargetStatus[[#This Row],[FirstMissingDependencyID]]))</f>
        <v>Once Upon a Forest Chapter 10 Accepted</v>
      </c>
      <c r="O291" s="2" cm="1">
        <f t="array" ref="O2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1" t="str">
        <f>IF(tblTargetStatus[[#This Row],[FirstMissingDependencyID]]="","",_xlfn.XLOOKUP(tblTargetStatus[[#This Row],[FirstMissingDependencyID]],tblTargetStatus[TargetID],tblTargetStatus[Status],""))</f>
        <v>BLOCKED</v>
      </c>
      <c r="Q291" t="str">
        <f>IF(
 tblTargetStatus[[#This Row],[Status]]&lt;&gt;"BLOCKED",
 tblTargetStatus[[#This Row],[Status]],
 IF(
  AND(
   tblTargetStatus[[#This Row],[MissingDependencies]]=1,
   tblTargetStatus[[#This Row],[FirstMissingStatus]]="READY"
  ),
  "ONE AWAY",
  "BLOCKED"
 )
)</f>
        <v>BLOCKED</v>
      </c>
      <c r="R291">
        <f>IF(
 OR(
  tblTargetStatus[[#This Row],[StateType]]="CHARACTER",
  RIGHT(tblTargetStatus[[#This Row],[TargetID]],6)=".maxed"
 ),
 0,
 _xlfn.LET(
  _xlpm.sort,
   _xlfn.XLOOKUP(
    tblTargetStatus[[#This Row],[TargetID]],
    tblChecklist[TargetID],
    tblChecklist[PlayerSort],
    0
   ),
  IF(_xlpm.sort=0,500,_xlpm.sort)
 )
)</f>
        <v>500</v>
      </c>
      <c r="S291" t="str" cm="1">
        <f t="array" ref="S29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Hat Of Concentration, Tailor - Salamander Velour</v>
      </c>
      <c r="T291" t="str">
        <f>_xlfn.XLOOKUP(tblTargetStatus[[#This Row],[TargetID]],tblTargets[TargetID],tblTargets[CompletionMethod],"")</f>
        <v>PLAYER</v>
      </c>
      <c r="U291" t="b">
        <f>COUNTIF(
    tblCost[TargetID],
    tblTargetStatus[[#This Row],[TargetID]]
)&gt;0</f>
        <v>0</v>
      </c>
      <c r="V291" s="81" t="str">
        <f>IF(tblTargetStatus[[#This Row],[HasCost]]=FALSE,
"N/A",
_xlfn.XLOOKUP(
tblTargetStatus[[#This Row],[TargetID]],
tblCost[TargetID],
tblCost[FundingPercent],
""
)
)</f>
        <v>N/A</v>
      </c>
      <c r="W291" t="str">
        <f>IF(
COUNTIF(tblCost[TargetID],tblTargetStatus[[#This Row],[TargetID]])=0,
"",
_xlfn.XLOOKUP(
tblTargetStatus[[#This Row],[TargetID]],
tblCost[TargetID],
tblCost[RemainingRequirements],
""
)
)</f>
        <v/>
      </c>
      <c r="X291" s="79" t="str">
        <f>IF(tblTargetStatus[[#This Row],[HasCost]]=FALSE,"N/A",_xlfn.XLOOKUP(
tblTargetStatus[[#This Row],[TargetID]],
tblCost[TargetID],
tblCost[TargetFunded],
TRUE
))</f>
        <v>N/A</v>
      </c>
      <c r="Y291" t="str" cm="1">
        <f t="array" ref="Y291">_xlfn.TEXTJOIN(
", ",
TRUE,
_xlfn._xlws.FILTER(
tblCost[ResourceID]&amp;": "&amp;tblCost[QuantityRequired],
(tblCost[TargetID]=tblTargetStatus[[#This Row],[TargetID]])*
(tblCost[PlayerPaid]=FALSE),
""
)
)</f>
        <v/>
      </c>
      <c r="Z2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1" t="str" cm="1">
        <f t="array" ref="AA29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92" spans="1:27">
      <c r="A292" t="s">
        <v>2360</v>
      </c>
      <c r="B292" t="str">
        <f>_xlfn.XLOOKUP(tblTargetStatus[[#This Row],[TargetID]],tblTargets[TargetID],tblTargets[DisplayName],"")</f>
        <v>Once Upon a Forest Chapter 11 Accepted</v>
      </c>
      <c r="C292" t="str">
        <f>IF(tblTargetStatus[[#This Row],[PlayerCompleted]],"COMPLETED",IF(tblTargetStatus[[#This Row],[MissingDependencies]]=0,"READY","BLOCKED"))</f>
        <v>BLOCKED</v>
      </c>
      <c r="D2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2" t="str">
        <f>_xlfn.XLOOKUP(tblTargetStatus[[#This Row],[TargetID]],tblTargets[TargetID],tblTargets[TargetType],"")</f>
        <v>QUEST</v>
      </c>
      <c r="F292" t="str">
        <f>_xlfn.XLOOKUP(tblTargetStatus[[#This Row],[TargetID]],tblTargets[TargetID],tblTargets[StateType])</f>
        <v/>
      </c>
      <c r="G292">
        <f>_xlfn.LET(
_xlpm.id,tblTargetStatus[[#This Row],[TargetID]],
_xlpm.depCount,COUNTIF(tblDependencies[TargetID],_xlpm.id),
_xlpm.objCount,COUNTIF(tblQuestObjectives[QuestTargetID],_xlpm.id),
_xlpm.depCount+_xlpm.objCount
)</f>
        <v>2</v>
      </c>
      <c r="H292">
        <f>tblTargetStatus[[#This Row],[DependencyCount]]</f>
        <v>2</v>
      </c>
      <c r="I292" cm="1">
        <f t="array" ref="I2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2">
        <f>tblTargetStatus[[#This Row],[CompletedDependencyCount]]</f>
        <v>0</v>
      </c>
      <c r="K292" t="b">
        <f>tblTargetStatus[[#This Row],[CompletedDependencies]]=tblTargetStatus[[#This Row],[TotalDependencies]]</f>
        <v>0</v>
      </c>
      <c r="L292">
        <f>tblTargetStatus[[#This Row],[TotalDependencies]]-tblTargetStatus[[#This Row],[CompletedDependencies]]</f>
        <v>2</v>
      </c>
      <c r="M292" t="str" cm="1">
        <f t="array" ref="M2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quest.once_upon_a_forest_chapter_10.accepted</v>
      </c>
      <c r="N292" t="str">
        <f>IF(tblTargetStatus[[#This Row],[FirstMissingDependencyID]]="","",_xlfn.XLOOKUP(tblTargetStatus[[#This Row],[FirstMissingDependencyID]],tblTargets[TargetID],tblTargets[DisplayName],tblTargetStatus[[#This Row],[FirstMissingDependencyID]]))</f>
        <v>Once Upon a Forest Chapter 10 Accepted</v>
      </c>
      <c r="O292" cm="1">
        <f t="array" ref="O2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2" t="str">
        <f>IF(tblTargetStatus[[#This Row],[FirstMissingDependencyID]]="","",_xlfn.XLOOKUP(tblTargetStatus[[#This Row],[FirstMissingDependencyID]],tblTargetStatus[TargetID],tblTargetStatus[Status],""))</f>
        <v>BLOCKED</v>
      </c>
      <c r="Q292" t="str">
        <f>IF(
 tblTargetStatus[[#This Row],[Status]]&lt;&gt;"BLOCKED",
 tblTargetStatus[[#This Row],[Status]],
 IF(
  AND(
   tblTargetStatus[[#This Row],[MissingDependencies]]=1,
   tblTargetStatus[[#This Row],[FirstMissingStatus]]="READY"
  ),
  "ONE AWAY",
  "BLOCKED"
 )
)</f>
        <v>BLOCKED</v>
      </c>
      <c r="R292">
        <f>IF(
 OR(
  tblTargetStatus[[#This Row],[StateType]]="CHARACTER",
  RIGHT(tblTargetStatus[[#This Row],[TargetID]],6)=".maxed"
 ),
 0,
 _xlfn.LET(
  _xlpm.sort,
   _xlfn.XLOOKUP(
    tblTargetStatus[[#This Row],[TargetID]],
    tblChecklist[TargetID],
    tblChecklist[PlayerSort],
    0
   ),
  IF(_xlpm.sort=0,500,_xlpm.sort)
 )
)</f>
        <v>500</v>
      </c>
      <c r="S292" t="str" cm="1">
        <f t="array" ref="S29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11 Finished, Once Upon a Forest Chapter 12 Accepted, Meet Mr Diligence@F1, Visit Melbourne in Airship</v>
      </c>
      <c r="T292" t="str">
        <f>_xlfn.XLOOKUP(tblTargetStatus[[#This Row],[TargetID]],tblTargets[TargetID],tblTargets[CompletionMethod],"")</f>
        <v>PLAYER</v>
      </c>
      <c r="U292" t="b">
        <f>COUNTIF(
    tblCost[TargetID],
    tblTargetStatus[[#This Row],[TargetID]]
)&gt;0</f>
        <v>0</v>
      </c>
      <c r="V292" s="81" t="str">
        <f>IF(tblTargetStatus[[#This Row],[HasCost]]=FALSE,
"N/A",
_xlfn.XLOOKUP(
tblTargetStatus[[#This Row],[TargetID]],
tblCost[TargetID],
tblCost[FundingPercent],
""
)
)</f>
        <v>N/A</v>
      </c>
      <c r="W292" t="str">
        <f>IF(
COUNTIF(tblCost[TargetID],tblTargetStatus[[#This Row],[TargetID]])=0,
"",
_xlfn.XLOOKUP(
tblTargetStatus[[#This Row],[TargetID]],
tblCost[TargetID],
tblCost[RemainingRequirements],
""
)
)</f>
        <v/>
      </c>
      <c r="X292" s="79" t="str">
        <f>IF(tblTargetStatus[[#This Row],[HasCost]]=FALSE,"N/A",_xlfn.XLOOKUP(
tblTargetStatus[[#This Row],[TargetID]],
tblCost[TargetID],
tblCost[TargetFunded],
TRUE
))</f>
        <v>N/A</v>
      </c>
      <c r="Y292" t="str" cm="1">
        <f t="array" ref="Y292">_xlfn.TEXTJOIN(
", ",
TRUE,
_xlfn._xlws.FILTER(
tblCost[ResourceID]&amp;": "&amp;tblCost[QuantityRequired],
(tblCost[TargetID]=tblTargetStatus[[#This Row],[TargetID]])*
(tblCost[PlayerPaid]=FALSE),
""
)
)</f>
        <v/>
      </c>
      <c r="Z2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2" t="str" cm="1">
        <f t="array" ref="AA29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12</v>
      </c>
    </row>
    <row r="293" spans="1:27">
      <c r="A293" t="s">
        <v>2502</v>
      </c>
      <c r="B293" t="str">
        <f>_xlfn.XLOOKUP(tblTargetStatus[[#This Row],[TargetID]],tblTargets[TargetID],tblTargets[DisplayName],"")</f>
        <v>Once Upon a Forest Chapter 11 Finished</v>
      </c>
      <c r="C293" t="str">
        <f>IF(tblTargetStatus[[#This Row],[PlayerCompleted]],"COMPLETED",IF(tblTargetStatus[[#This Row],[MissingDependencies]]=0,"READY","BLOCKED"))</f>
        <v>BLOCKED</v>
      </c>
      <c r="D2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3" t="str">
        <f>_xlfn.XLOOKUP(tblTargetStatus[[#This Row],[TargetID]],tblTargets[TargetID],tblTargets[TargetType],"")</f>
        <v>QUEST</v>
      </c>
      <c r="F293" t="str">
        <f>_xlfn.XLOOKUP(tblTargetStatus[[#This Row],[TargetID]],tblTargets[TargetID],tblTargets[StateType])</f>
        <v/>
      </c>
      <c r="G293">
        <f>_xlfn.LET(
_xlpm.id,tblTargetStatus[[#This Row],[TargetID]],
_xlpm.depCount,COUNTIF(tblDependencies[TargetID],_xlpm.id),
_xlpm.objCount,COUNTIF(tblQuestObjectives[QuestTargetID],_xlpm.id),
_xlpm.depCount+_xlpm.objCount
)</f>
        <v>2</v>
      </c>
      <c r="H293">
        <f>tblTargetStatus[[#This Row],[DependencyCount]]</f>
        <v>2</v>
      </c>
      <c r="I293" cm="1">
        <f t="array" ref="I2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3">
        <f>tblTargetStatus[[#This Row],[CompletedDependencyCount]]</f>
        <v>0</v>
      </c>
      <c r="K293" t="b">
        <f>tblTargetStatus[[#This Row],[CompletedDependencies]]=tblTargetStatus[[#This Row],[TotalDependencies]]</f>
        <v>0</v>
      </c>
      <c r="L293">
        <f>tblTargetStatus[[#This Row],[TotalDependencies]]-tblTargetStatus[[#This Row],[CompletedDependencies]]</f>
        <v>2</v>
      </c>
      <c r="M293" t="str" cm="1">
        <f t="array" ref="M2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quest.once_upon_a_forest_chapter_11.accepted</v>
      </c>
      <c r="N293" t="str">
        <f>IF(tblTargetStatus[[#This Row],[FirstMissingDependencyID]]="","",_xlfn.XLOOKUP(tblTargetStatus[[#This Row],[FirstMissingDependencyID]],tblTargets[TargetID],tblTargets[DisplayName],tblTargetStatus[[#This Row],[FirstMissingDependencyID]]))</f>
        <v>Once Upon a Forest Chapter 11 Accepted</v>
      </c>
      <c r="O293" s="2" cm="1">
        <f t="array" ref="O2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3" t="str">
        <f>IF(tblTargetStatus[[#This Row],[FirstMissingDependencyID]]="","",_xlfn.XLOOKUP(tblTargetStatus[[#This Row],[FirstMissingDependencyID]],tblTargetStatus[TargetID],tblTargetStatus[Status],""))</f>
        <v>BLOCKED</v>
      </c>
      <c r="Q293" t="str">
        <f>IF(
 tblTargetStatus[[#This Row],[Status]]&lt;&gt;"BLOCKED",
 tblTargetStatus[[#This Row],[Status]],
 IF(
  AND(
   tblTargetStatus[[#This Row],[MissingDependencies]]=1,
   tblTargetStatus[[#This Row],[FirstMissingStatus]]="READY"
  ),
  "ONE AWAY",
  "BLOCKED"
 )
)</f>
        <v>BLOCKED</v>
      </c>
      <c r="R293">
        <f>IF(
 OR(
  tblTargetStatus[[#This Row],[StateType]]="CHARACTER",
  RIGHT(tblTargetStatus[[#This Row],[TargetID]],6)=".maxed"
 ),
 0,
 _xlfn.LET(
  _xlpm.sort,
   _xlfn.XLOOKUP(
    tblTargetStatus[[#This Row],[TargetID]],
    tblChecklist[TargetID],
    tblChecklist[PlayerSort],
    0
   ),
  IF(_xlpm.sort=0,500,_xlpm.sort)
 )
)</f>
        <v>500</v>
      </c>
      <c r="S293" t="str" cm="1">
        <f t="array" ref="S29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Flamethrower, Metal Detector, Airship - Titanium Longerons, Furnace - Titanium Parts, Train - Titanium Components</v>
      </c>
      <c r="T293" t="str">
        <f>_xlfn.XLOOKUP(tblTargetStatus[[#This Row],[TargetID]],tblTargets[TargetID],tblTargets[CompletionMethod],"")</f>
        <v>PLAYER</v>
      </c>
      <c r="U293" t="b">
        <f>COUNTIF(
    tblCost[TargetID],
    tblTargetStatus[[#This Row],[TargetID]]
)&gt;0</f>
        <v>0</v>
      </c>
      <c r="V293" s="81" t="str">
        <f>IF(tblTargetStatus[[#This Row],[HasCost]]=FALSE,
"N/A",
_xlfn.XLOOKUP(
tblTargetStatus[[#This Row],[TargetID]],
tblCost[TargetID],
tblCost[FundingPercent],
""
)
)</f>
        <v>N/A</v>
      </c>
      <c r="W293" t="str">
        <f>IF(
COUNTIF(tblCost[TargetID],tblTargetStatus[[#This Row],[TargetID]])=0,
"",
_xlfn.XLOOKUP(
tblTargetStatus[[#This Row],[TargetID]],
tblCost[TargetID],
tblCost[RemainingRequirements],
""
)
)</f>
        <v/>
      </c>
      <c r="X293" s="79" t="str">
        <f>IF(tblTargetStatus[[#This Row],[HasCost]]=FALSE,"N/A",_xlfn.XLOOKUP(
tblTargetStatus[[#This Row],[TargetID]],
tblCost[TargetID],
tblCost[TargetFunded],
TRUE
))</f>
        <v>N/A</v>
      </c>
      <c r="Y293" t="str" cm="1">
        <f t="array" ref="Y293">_xlfn.TEXTJOIN(
", ",
TRUE,
_xlfn._xlws.FILTER(
tblCost[ResourceID]&amp;": "&amp;tblCost[QuantityRequired],
(tblCost[TargetID]=tblTargetStatus[[#This Row],[TargetID]])*
(tblCost[PlayerPaid]=FALSE),
""
)
)</f>
        <v/>
      </c>
      <c r="Z2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3" t="str" cm="1">
        <f t="array" ref="AA29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94" spans="1:27">
      <c r="A294" t="s">
        <v>2363</v>
      </c>
      <c r="B294" t="str">
        <f>_xlfn.XLOOKUP(tblTargetStatus[[#This Row],[TargetID]],tblTargets[TargetID],tblTargets[DisplayName],"")</f>
        <v>Once Upon a Forest Chapter 12 Accepted</v>
      </c>
      <c r="C294" t="str">
        <f>IF(tblTargetStatus[[#This Row],[PlayerCompleted]],"COMPLETED",IF(tblTargetStatus[[#This Row],[MissingDependencies]]=0,"READY","BLOCKED"))</f>
        <v>BLOCKED</v>
      </c>
      <c r="D2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4" t="str">
        <f>_xlfn.XLOOKUP(tblTargetStatus[[#This Row],[TargetID]],tblTargets[TargetID],tblTargets[TargetType],"")</f>
        <v>QUEST</v>
      </c>
      <c r="F294" t="str">
        <f>_xlfn.XLOOKUP(tblTargetStatus[[#This Row],[TargetID]],tblTargets[TargetID],tblTargets[StateType])</f>
        <v/>
      </c>
      <c r="G294">
        <f>_xlfn.LET(
_xlpm.id,tblTargetStatus[[#This Row],[TargetID]],
_xlpm.depCount,COUNTIF(tblDependencies[TargetID],_xlpm.id),
_xlpm.objCount,COUNTIF(tblQuestObjectives[QuestTargetID],_xlpm.id),
_xlpm.depCount+_xlpm.objCount
)</f>
        <v>3</v>
      </c>
      <c r="H294">
        <f>tblTargetStatus[[#This Row],[DependencyCount]]</f>
        <v>3</v>
      </c>
      <c r="I294" cm="1">
        <f t="array" ref="I2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4">
        <f>tblTargetStatus[[#This Row],[CompletedDependencyCount]]</f>
        <v>0</v>
      </c>
      <c r="K294" t="b">
        <f>tblTargetStatus[[#This Row],[CompletedDependencies]]=tblTargetStatus[[#This Row],[TotalDependencies]]</f>
        <v>0</v>
      </c>
      <c r="L294">
        <f>tblTargetStatus[[#This Row],[TotalDependencies]]-tblTargetStatus[[#This Row],[CompletedDependencies]]</f>
        <v>3</v>
      </c>
      <c r="M294" t="str" cm="1">
        <f t="array" ref="M2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quest.once_upon_a_forest_chapter_3.finished</v>
      </c>
      <c r="N294" t="str">
        <f>IF(tblTargetStatus[[#This Row],[FirstMissingDependencyID]]="","",_xlfn.XLOOKUP(tblTargetStatus[[#This Row],[FirstMissingDependencyID]],tblTargets[TargetID],tblTargets[DisplayName],tblTargetStatus[[#This Row],[FirstMissingDependencyID]]))</f>
        <v>Once Upon a Forest Chapter 3 Finished</v>
      </c>
      <c r="O294" cm="1">
        <f t="array" ref="O2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4" t="str">
        <f>IF(tblTargetStatus[[#This Row],[FirstMissingDependencyID]]="","",_xlfn.XLOOKUP(tblTargetStatus[[#This Row],[FirstMissingDependencyID]],tblTargetStatus[TargetID],tblTargetStatus[Status],""))</f>
        <v>BLOCKED</v>
      </c>
      <c r="Q294" t="str">
        <f>IF(
 tblTargetStatus[[#This Row],[Status]]&lt;&gt;"BLOCKED",
 tblTargetStatus[[#This Row],[Status]],
 IF(
  AND(
   tblTargetStatus[[#This Row],[MissingDependencies]]=1,
   tblTargetStatus[[#This Row],[FirstMissingStatus]]="READY"
  ),
  "ONE AWAY",
  "BLOCKED"
 )
)</f>
        <v>BLOCKED</v>
      </c>
      <c r="R294">
        <f>IF(
 OR(
  tblTargetStatus[[#This Row],[StateType]]="CHARACTER",
  RIGHT(tblTargetStatus[[#This Row],[TargetID]],6)=".maxed"
 ),
 0,
 _xlfn.LET(
  _xlpm.sort,
   _xlfn.XLOOKUP(
    tblTargetStatus[[#This Row],[TargetID]],
    tblChecklist[TargetID],
    tblChecklist[PlayerSort],
    0
   ),
  IF(_xlpm.sort=0,500,_xlpm.sort)
 )
)</f>
        <v>500</v>
      </c>
      <c r="S294" t="str" cm="1">
        <f t="array" ref="S29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12 Finished, Once Upon a Forest Chapter 13 Accepted, Escort Mr and Mrs Diligance through F1, Escort Mr and Mrs Diligance through F2, Escort Mr and Mrs Diligance through F3, Escort Mr and Mrs Diligance through F4, Meet Foodie Demon@F2</v>
      </c>
      <c r="T294" t="str">
        <f>_xlfn.XLOOKUP(tblTargetStatus[[#This Row],[TargetID]],tblTargets[TargetID],tblTargets[CompletionMethod],"")</f>
        <v>PLAYER</v>
      </c>
      <c r="U294" t="b">
        <f>COUNTIF(
    tblCost[TargetID],
    tblTargetStatus[[#This Row],[TargetID]]
)&gt;0</f>
        <v>0</v>
      </c>
      <c r="V294" s="81" t="str">
        <f>IF(tblTargetStatus[[#This Row],[HasCost]]=FALSE,
"N/A",
_xlfn.XLOOKUP(
tblTargetStatus[[#This Row],[TargetID]],
tblCost[TargetID],
tblCost[FundingPercent],
""
)
)</f>
        <v>N/A</v>
      </c>
      <c r="W294" t="str">
        <f>IF(
COUNTIF(tblCost[TargetID],tblTargetStatus[[#This Row],[TargetID]])=0,
"",
_xlfn.XLOOKUP(
tblTargetStatus[[#This Row],[TargetID]],
tblCost[TargetID],
tblCost[RemainingRequirements],
""
)
)</f>
        <v/>
      </c>
      <c r="X294" s="79" t="str">
        <f>IF(tblTargetStatus[[#This Row],[HasCost]]=FALSE,"N/A",_xlfn.XLOOKUP(
tblTargetStatus[[#This Row],[TargetID]],
tblCost[TargetID],
tblCost[TargetFunded],
TRUE
))</f>
        <v>N/A</v>
      </c>
      <c r="Y294" t="str" cm="1">
        <f t="array" ref="Y294">_xlfn.TEXTJOIN(
", ",
TRUE,
_xlfn._xlws.FILTER(
tblCost[ResourceID]&amp;": "&amp;tblCost[QuantityRequired],
(tblCost[TargetID]=tblTargetStatus[[#This Row],[TargetID]])*
(tblCost[PlayerPaid]=FALSE),
""
)
)</f>
        <v/>
      </c>
      <c r="Z2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4" t="str" cm="1">
        <f t="array" ref="AA29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13</v>
      </c>
    </row>
    <row r="295" spans="1:27">
      <c r="A295" t="s">
        <v>2504</v>
      </c>
      <c r="B295" t="str">
        <f>_xlfn.XLOOKUP(tblTargetStatus[[#This Row],[TargetID]],tblTargets[TargetID],tblTargets[DisplayName],"")</f>
        <v>Once Upon a Forest Chapter 12 Finished</v>
      </c>
      <c r="C295" t="str">
        <f>IF(tblTargetStatus[[#This Row],[PlayerCompleted]],"COMPLETED",IF(tblTargetStatus[[#This Row],[MissingDependencies]]=0,"READY","BLOCKED"))</f>
        <v>BLOCKED</v>
      </c>
      <c r="D2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5" t="str">
        <f>_xlfn.XLOOKUP(tblTargetStatus[[#This Row],[TargetID]],tblTargets[TargetID],tblTargets[TargetType],"")</f>
        <v>QUEST</v>
      </c>
      <c r="F295" t="str">
        <f>_xlfn.XLOOKUP(tblTargetStatus[[#This Row],[TargetID]],tblTargets[TargetID],tblTargets[StateType])</f>
        <v/>
      </c>
      <c r="G295">
        <f>_xlfn.LET(
_xlpm.id,tblTargetStatus[[#This Row],[TargetID]],
_xlpm.depCount,COUNTIF(tblDependencies[TargetID],_xlpm.id),
_xlpm.objCount,COUNTIF(tblQuestObjectives[QuestTargetID],_xlpm.id),
_xlpm.depCount+_xlpm.objCount
)</f>
        <v>6</v>
      </c>
      <c r="H295">
        <f>tblTargetStatus[[#This Row],[DependencyCount]]</f>
        <v>6</v>
      </c>
      <c r="I295" cm="1">
        <f t="array" ref="I2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5">
        <f>tblTargetStatus[[#This Row],[CompletedDependencyCount]]</f>
        <v>0</v>
      </c>
      <c r="K295" t="b">
        <f>tblTargetStatus[[#This Row],[CompletedDependencies]]=tblTargetStatus[[#This Row],[TotalDependencies]]</f>
        <v>0</v>
      </c>
      <c r="L295">
        <f>tblTargetStatus[[#This Row],[TotalDependencies]]-tblTargetStatus[[#This Row],[CompletedDependencies]]</f>
        <v>6</v>
      </c>
      <c r="M295" t="str" cm="1">
        <f t="array" ref="M2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295" t="str">
        <f>IF(tblTargetStatus[[#This Row],[FirstMissingDependencyID]]="","",_xlfn.XLOOKUP(tblTargetStatus[[#This Row],[FirstMissingDependencyID]],tblTargets[TargetID],tblTargets[DisplayName],tblTargetStatus[[#This Row],[FirstMissingDependencyID]]))</f>
        <v>Once Upon a Forest Chapter 12 Accepted</v>
      </c>
      <c r="O295" s="2" cm="1">
        <f t="array" ref="O2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5" t="str">
        <f>IF(tblTargetStatus[[#This Row],[FirstMissingDependencyID]]="","",_xlfn.XLOOKUP(tblTargetStatus[[#This Row],[FirstMissingDependencyID]],tblTargetStatus[TargetID],tblTargetStatus[Status],""))</f>
        <v>BLOCKED</v>
      </c>
      <c r="Q295" t="str">
        <f>IF(
 tblTargetStatus[[#This Row],[Status]]&lt;&gt;"BLOCKED",
 tblTargetStatus[[#This Row],[Status]],
 IF(
  AND(
   tblTargetStatus[[#This Row],[MissingDependencies]]=1,
   tblTargetStatus[[#This Row],[FirstMissingStatus]]="READY"
  ),
  "ONE AWAY",
  "BLOCKED"
 )
)</f>
        <v>BLOCKED</v>
      </c>
      <c r="R295">
        <f>IF(
 OR(
  tblTargetStatus[[#This Row],[StateType]]="CHARACTER",
  RIGHT(tblTargetStatus[[#This Row],[TargetID]],6)=".maxed"
 ),
 0,
 _xlfn.LET(
  _xlpm.sort,
   _xlfn.XLOOKUP(
    tblTargetStatus[[#This Row],[TargetID]],
    tblChecklist[TargetID],
    tblChecklist[PlayerSort],
    0
   ),
  IF(_xlpm.sort=0,500,_xlpm.sort)
 )
)</f>
        <v>500</v>
      </c>
      <c r="S295" t="str" cm="1">
        <f t="array" ref="S29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14 Accepted, The Ordinary Days of an Adventurer Chapter 1 Accepted, The Ordinary Days of an Adventurer Chapter 2 Accepted, Meet Methusalem@F3, Meet Samurai Panda@6A, Smithy - Sword For A Hero Lvl 4+</v>
      </c>
      <c r="T295" t="str">
        <f>_xlfn.XLOOKUP(tblTargetStatus[[#This Row],[TargetID]],tblTargets[TargetID],tblTargets[CompletionMethod],"")</f>
        <v>PLAYER</v>
      </c>
      <c r="U295" t="b">
        <f>COUNTIF(
    tblCost[TargetID],
    tblTargetStatus[[#This Row],[TargetID]]
)&gt;0</f>
        <v>0</v>
      </c>
      <c r="V295" s="81" t="str">
        <f>IF(tblTargetStatus[[#This Row],[HasCost]]=FALSE,
"N/A",
_xlfn.XLOOKUP(
tblTargetStatus[[#This Row],[TargetID]],
tblCost[TargetID],
tblCost[FundingPercent],
""
)
)</f>
        <v>N/A</v>
      </c>
      <c r="W295" t="str">
        <f>IF(
COUNTIF(tblCost[TargetID],tblTargetStatus[[#This Row],[TargetID]])=0,
"",
_xlfn.XLOOKUP(
tblTargetStatus[[#This Row],[TargetID]],
tblCost[TargetID],
tblCost[RemainingRequirements],
""
)
)</f>
        <v/>
      </c>
      <c r="X295" s="79" t="str">
        <f>IF(tblTargetStatus[[#This Row],[HasCost]]=FALSE,"N/A",_xlfn.XLOOKUP(
tblTargetStatus[[#This Row],[TargetID]],
tblCost[TargetID],
tblCost[TargetFunded],
TRUE
))</f>
        <v>N/A</v>
      </c>
      <c r="Y295" t="str" cm="1">
        <f t="array" ref="Y295">_xlfn.TEXTJOIN(
", ",
TRUE,
_xlfn._xlws.FILTER(
tblCost[ResourceID]&amp;": "&amp;tblCost[QuantityRequired],
(tblCost[TargetID]=tblTargetStatus[[#This Row],[TargetID]])*
(tblCost[PlayerPaid]=FALSE),
""
)
)</f>
        <v/>
      </c>
      <c r="Z2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5" t="str" cm="1">
        <f t="array" ref="AA29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14, The Ordinary Days of an Adventurer Chapter 1, The Ordinary Days of an Adventurer Chapter 2</v>
      </c>
    </row>
    <row r="296" spans="1:27">
      <c r="A296" t="s">
        <v>2366</v>
      </c>
      <c r="B296" t="str">
        <f>_xlfn.XLOOKUP(tblTargetStatus[[#This Row],[TargetID]],tblTargets[TargetID],tblTargets[DisplayName],"")</f>
        <v>Once Upon a Forest Chapter 13 Accepted</v>
      </c>
      <c r="C296" t="str">
        <f>IF(tblTargetStatus[[#This Row],[PlayerCompleted]],"COMPLETED",IF(tblTargetStatus[[#This Row],[MissingDependencies]]=0,"READY","BLOCKED"))</f>
        <v>BLOCKED</v>
      </c>
      <c r="D2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6" t="str">
        <f>_xlfn.XLOOKUP(tblTargetStatus[[#This Row],[TargetID]],tblTargets[TargetID],tblTargets[TargetType],"")</f>
        <v>QUEST</v>
      </c>
      <c r="F296" t="str">
        <f>_xlfn.XLOOKUP(tblTargetStatus[[#This Row],[TargetID]],tblTargets[TargetID],tblTargets[StateType])</f>
        <v/>
      </c>
      <c r="G296">
        <f>_xlfn.LET(
_xlpm.id,tblTargetStatus[[#This Row],[TargetID]],
_xlpm.depCount,COUNTIF(tblDependencies[TargetID],_xlpm.id),
_xlpm.objCount,COUNTIF(tblQuestObjectives[QuestTargetID],_xlpm.id),
_xlpm.depCount+_xlpm.objCount
)</f>
        <v>2</v>
      </c>
      <c r="H296">
        <f>tblTargetStatus[[#This Row],[DependencyCount]]</f>
        <v>2</v>
      </c>
      <c r="I296" cm="1">
        <f t="array" ref="I2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6">
        <f>tblTargetStatus[[#This Row],[CompletedDependencyCount]]</f>
        <v>0</v>
      </c>
      <c r="K296" t="b">
        <f>tblTargetStatus[[#This Row],[CompletedDependencies]]=tblTargetStatus[[#This Row],[TotalDependencies]]</f>
        <v>0</v>
      </c>
      <c r="L296">
        <f>tblTargetStatus[[#This Row],[TotalDependencies]]-tblTargetStatus[[#This Row],[CompletedDependencies]]</f>
        <v>2</v>
      </c>
      <c r="M296" t="str" cm="1">
        <f t="array" ref="M2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296" t="str">
        <f>IF(tblTargetStatus[[#This Row],[FirstMissingDependencyID]]="","",_xlfn.XLOOKUP(tblTargetStatus[[#This Row],[FirstMissingDependencyID]],tblTargets[TargetID],tblTargets[DisplayName],tblTargetStatus[[#This Row],[FirstMissingDependencyID]]))</f>
        <v>Once Upon a Forest Chapter 12 Accepted</v>
      </c>
      <c r="O296" t="str" cm="1">
        <f t="array" ref="O2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muffin:10,baklava:10,cake:5,jam:5,honey:5,mcola:10</v>
      </c>
      <c r="P296" t="str">
        <f>IF(tblTargetStatus[[#This Row],[FirstMissingDependencyID]]="","",_xlfn.XLOOKUP(tblTargetStatus[[#This Row],[FirstMissingDependencyID]],tblTargetStatus[TargetID],tblTargetStatus[Status],""))</f>
        <v>BLOCKED</v>
      </c>
      <c r="Q296" t="str">
        <f>IF(
 tblTargetStatus[[#This Row],[Status]]&lt;&gt;"BLOCKED",
 tblTargetStatus[[#This Row],[Status]],
 IF(
  AND(
   tblTargetStatus[[#This Row],[MissingDependencies]]=1,
   tblTargetStatus[[#This Row],[FirstMissingStatus]]="READY"
  ),
  "ONE AWAY",
  "BLOCKED"
 )
)</f>
        <v>BLOCKED</v>
      </c>
      <c r="R296">
        <f>IF(
 OR(
  tblTargetStatus[[#This Row],[StateType]]="CHARACTER",
  RIGHT(tblTargetStatus[[#This Row],[TargetID]],6)=".maxed"
 ),
 0,
 _xlfn.LET(
  _xlpm.sort,
   _xlfn.XLOOKUP(
    tblTargetStatus[[#This Row],[TargetID]],
    tblChecklist[TargetID],
    tblChecklist[PlayerSort],
    0
   ),
  IF(_xlpm.sort=0,500,_xlpm.sort)
 )
)</f>
        <v>500</v>
      </c>
      <c r="S296" t="str" cm="1">
        <f t="array" ref="S29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13 Finished, Escort Mr and Mrs Diligance through F1, Escort Mr and Mrs Diligance through F2, Escort Mr and Mrs Diligance through F3, Escort Mr and Mrs Diligance through F4</v>
      </c>
      <c r="T296" t="str">
        <f>_xlfn.XLOOKUP(tblTargetStatus[[#This Row],[TargetID]],tblTargets[TargetID],tblTargets[CompletionMethod],"")</f>
        <v>PLAYER</v>
      </c>
      <c r="U296" t="b">
        <f>COUNTIF(
    tblCost[TargetID],
    tblTargetStatus[[#This Row],[TargetID]]
)&gt;0</f>
        <v>0</v>
      </c>
      <c r="V296" s="81" t="str">
        <f>IF(tblTargetStatus[[#This Row],[HasCost]]=FALSE,
"N/A",
_xlfn.XLOOKUP(
tblTargetStatus[[#This Row],[TargetID]],
tblCost[TargetID],
tblCost[FundingPercent],
""
)
)</f>
        <v>N/A</v>
      </c>
      <c r="W296" t="str">
        <f>IF(
COUNTIF(tblCost[TargetID],tblTargetStatus[[#This Row],[TargetID]])=0,
"",
_xlfn.XLOOKUP(
tblTargetStatus[[#This Row],[TargetID]],
tblCost[TargetID],
tblCost[RemainingRequirements],
""
)
)</f>
        <v/>
      </c>
      <c r="X296" s="79" t="str">
        <f>IF(tblTargetStatus[[#This Row],[HasCost]]=FALSE,"N/A",_xlfn.XLOOKUP(
tblTargetStatus[[#This Row],[TargetID]],
tblCost[TargetID],
tblCost[TargetFunded],
TRUE
))</f>
        <v>N/A</v>
      </c>
      <c r="Y296" t="str" cm="1">
        <f t="array" ref="Y296">_xlfn.TEXTJOIN(
", ",
TRUE,
_xlfn._xlws.FILTER(
tblCost[ResourceID]&amp;": "&amp;tblCost[QuantityRequired],
(tblCost[TargetID]=tblTargetStatus[[#This Row],[TargetID]])*
(tblCost[PlayerPaid]=FALSE),
""
)
)</f>
        <v/>
      </c>
      <c r="Z2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6" t="str" cm="1">
        <f t="array" ref="AA29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97" spans="1:27" ht="29">
      <c r="A297" t="s">
        <v>2506</v>
      </c>
      <c r="B297" t="str">
        <f>_xlfn.XLOOKUP(tblTargetStatus[[#This Row],[TargetID]],tblTargets[TargetID],tblTargets[DisplayName],"")</f>
        <v>Once Upon a Forest Chapter 13 Finished</v>
      </c>
      <c r="C297" t="str">
        <f>IF(tblTargetStatus[[#This Row],[PlayerCompleted]],"COMPLETED",IF(tblTargetStatus[[#This Row],[MissingDependencies]]=0,"READY","BLOCKED"))</f>
        <v>BLOCKED</v>
      </c>
      <c r="D2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7" t="str">
        <f>_xlfn.XLOOKUP(tblTargetStatus[[#This Row],[TargetID]],tblTargets[TargetID],tblTargets[TargetType],"")</f>
        <v>QUEST</v>
      </c>
      <c r="F297" t="str">
        <f>_xlfn.XLOOKUP(tblTargetStatus[[#This Row],[TargetID]],tblTargets[TargetID],tblTargets[StateType])</f>
        <v/>
      </c>
      <c r="G297">
        <f>_xlfn.LET(
_xlpm.id,tblTargetStatus[[#This Row],[TargetID]],
_xlpm.depCount,COUNTIF(tblDependencies[TargetID],_xlpm.id),
_xlpm.objCount,COUNTIF(tblQuestObjectives[QuestTargetID],_xlpm.id),
_xlpm.depCount+_xlpm.objCount
)</f>
        <v>3</v>
      </c>
      <c r="H297">
        <f>tblTargetStatus[[#This Row],[DependencyCount]]</f>
        <v>3</v>
      </c>
      <c r="I297" cm="1">
        <f t="array" ref="I2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7">
        <f>tblTargetStatus[[#This Row],[CompletedDependencyCount]]</f>
        <v>0</v>
      </c>
      <c r="K297" t="b">
        <f>tblTargetStatus[[#This Row],[CompletedDependencies]]=tblTargetStatus[[#This Row],[TotalDependencies]]</f>
        <v>0</v>
      </c>
      <c r="L297">
        <f>tblTargetStatus[[#This Row],[TotalDependencies]]-tblTargetStatus[[#This Row],[CompletedDependencies]]</f>
        <v>3</v>
      </c>
      <c r="M297" t="str" cm="1">
        <f t="array" ref="M2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quest.once_upon_a_forest_chapter_13.accepted</v>
      </c>
      <c r="N297" t="str">
        <f>IF(tblTargetStatus[[#This Row],[FirstMissingDependencyID]]="","",_xlfn.XLOOKUP(tblTargetStatus[[#This Row],[FirstMissingDependencyID]],tblTargets[TargetID],tblTargets[DisplayName],tblTargetStatus[[#This Row],[FirstMissingDependencyID]]))</f>
        <v>Once Upon a Forest Chapter 13 Accepted</v>
      </c>
      <c r="O297" s="2" t="str" cm="1">
        <f t="array" ref="O2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muffin:10,baklava:10,cake:5,jam:5,honey:5,mcola:10</v>
      </c>
      <c r="P297" t="str">
        <f>IF(tblTargetStatus[[#This Row],[FirstMissingDependencyID]]="","",_xlfn.XLOOKUP(tblTargetStatus[[#This Row],[FirstMissingDependencyID]],tblTargetStatus[TargetID],tblTargetStatus[Status],""))</f>
        <v>BLOCKED</v>
      </c>
      <c r="Q297" t="str">
        <f>IF(
 tblTargetStatus[[#This Row],[Status]]&lt;&gt;"BLOCKED",
 tblTargetStatus[[#This Row],[Status]],
 IF(
  AND(
   tblTargetStatus[[#This Row],[MissingDependencies]]=1,
   tblTargetStatus[[#This Row],[FirstMissingStatus]]="READY"
  ),
  "ONE AWAY",
  "BLOCKED"
 )
)</f>
        <v>BLOCKED</v>
      </c>
      <c r="R297">
        <f>IF(
 OR(
  tblTargetStatus[[#This Row],[StateType]]="CHARACTER",
  RIGHT(tblTargetStatus[[#This Row],[TargetID]],6)=".maxed"
 ),
 0,
 _xlfn.LET(
  _xlpm.sort,
   _xlfn.XLOOKUP(
    tblTargetStatus[[#This Row],[TargetID]],
    tblChecklist[TargetID],
    tblChecklist[PlayerSort],
    0
   ),
  IF(_xlpm.sort=0,500,_xlpm.sort)
 )
)</f>
        <v>500</v>
      </c>
      <c r="S297" t="str" cm="1">
        <f t="array" ref="S29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15 Accepted, Meet Raven@F1</v>
      </c>
      <c r="T297" t="str">
        <f>_xlfn.XLOOKUP(tblTargetStatus[[#This Row],[TargetID]],tblTargets[TargetID],tblTargets[CompletionMethod],"")</f>
        <v>PLAYER</v>
      </c>
      <c r="U297" t="b">
        <f>COUNTIF(
    tblCost[TargetID],
    tblTargetStatus[[#This Row],[TargetID]]
)&gt;0</f>
        <v>1</v>
      </c>
      <c r="V297" s="81">
        <f>IF(tblTargetStatus[[#This Row],[HasCost]]=FALSE,
"N/A",
_xlfn.XLOOKUP(
tblTargetStatus[[#This Row],[TargetID]],
tblCost[TargetID],
tblCost[FundingPercent],
""
)
)</f>
        <v>0</v>
      </c>
      <c r="W297">
        <f>IF(
COUNTIF(tblCost[TargetID],tblTargetStatus[[#This Row],[TargetID]])=0,
"",
_xlfn.XLOOKUP(
tblTargetStatus[[#This Row],[TargetID]],
tblCost[TargetID],
tblCost[RemainingRequirements],
""
)
)</f>
        <v>6</v>
      </c>
      <c r="X297" s="79" t="b">
        <f>IF(tblTargetStatus[[#This Row],[HasCost]]=FALSE,"N/A",_xlfn.XLOOKUP(
tblTargetStatus[[#This Row],[TargetID]],
tblCost[TargetID],
tblCost[TargetFunded],
TRUE
))</f>
        <v>0</v>
      </c>
      <c r="Y297" t="str" cm="1">
        <f t="array" ref="Y297">_xlfn.TEXTJOIN(
", ",
TRUE,
_xlfn._xlws.FILTER(
tblCost[ResourceID]&amp;": "&amp;tblCost[QuantityRequired],
(tblCost[TargetID]=tblTargetStatus[[#This Row],[TargetID]])*
(tblCost[PlayerPaid]=FALSE),
""
)
)</f>
        <v>muffin: 10, baklava: 10, cake: 5, jam: 5, honey: 5, mcola: 10</v>
      </c>
      <c r="Z2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7" t="str" cm="1">
        <f t="array" ref="AA29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15</v>
      </c>
    </row>
    <row r="298" spans="1:27">
      <c r="A298" t="s">
        <v>2369</v>
      </c>
      <c r="B298" t="str">
        <f>_xlfn.XLOOKUP(tblTargetStatus[[#This Row],[TargetID]],tblTargets[TargetID],tblTargets[DisplayName],"")</f>
        <v>Once Upon a Forest Chapter 14 Accepted</v>
      </c>
      <c r="C298" t="str">
        <f>IF(tblTargetStatus[[#This Row],[PlayerCompleted]],"COMPLETED",IF(tblTargetStatus[[#This Row],[MissingDependencies]]=0,"READY","BLOCKED"))</f>
        <v>BLOCKED</v>
      </c>
      <c r="D2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8" t="str">
        <f>_xlfn.XLOOKUP(tblTargetStatus[[#This Row],[TargetID]],tblTargets[TargetID],tblTargets[TargetType],"")</f>
        <v>QUEST</v>
      </c>
      <c r="F298" t="str">
        <f>_xlfn.XLOOKUP(tblTargetStatus[[#This Row],[TargetID]],tblTargets[TargetID],tblTargets[StateType])</f>
        <v/>
      </c>
      <c r="G298">
        <f>_xlfn.LET(
_xlpm.id,tblTargetStatus[[#This Row],[TargetID]],
_xlpm.depCount,COUNTIF(tblDependencies[TargetID],_xlpm.id),
_xlpm.objCount,COUNTIF(tblQuestObjectives[QuestTargetID],_xlpm.id),
_xlpm.depCount+_xlpm.objCount
)</f>
        <v>1</v>
      </c>
      <c r="H298">
        <f>tblTargetStatus[[#This Row],[DependencyCount]]</f>
        <v>1</v>
      </c>
      <c r="I298" cm="1">
        <f t="array" ref="I2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8">
        <f>tblTargetStatus[[#This Row],[CompletedDependencyCount]]</f>
        <v>0</v>
      </c>
      <c r="K298" t="b">
        <f>tblTargetStatus[[#This Row],[CompletedDependencies]]=tblTargetStatus[[#This Row],[TotalDependencies]]</f>
        <v>0</v>
      </c>
      <c r="L298">
        <f>tblTargetStatus[[#This Row],[TotalDependencies]]-tblTargetStatus[[#This Row],[CompletedDependencies]]</f>
        <v>1</v>
      </c>
      <c r="M298" t="str" cm="1">
        <f t="array" ref="M2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quest.once_upon_a_forest_chapter_12.finished</v>
      </c>
      <c r="N298" t="str">
        <f>IF(tblTargetStatus[[#This Row],[FirstMissingDependencyID]]="","",_xlfn.XLOOKUP(tblTargetStatus[[#This Row],[FirstMissingDependencyID]],tblTargets[TargetID],tblTargets[DisplayName],tblTargetStatus[[#This Row],[FirstMissingDependencyID]]))</f>
        <v>Once Upon a Forest Chapter 12 Finished</v>
      </c>
      <c r="O298" s="2" cm="1">
        <f t="array" ref="O2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8" t="str">
        <f>IF(tblTargetStatus[[#This Row],[FirstMissingDependencyID]]="","",_xlfn.XLOOKUP(tblTargetStatus[[#This Row],[FirstMissingDependencyID]],tblTargetStatus[TargetID],tblTargetStatus[Status],""))</f>
        <v>BLOCKED</v>
      </c>
      <c r="Q298" t="str">
        <f>IF(
 tblTargetStatus[[#This Row],[Status]]&lt;&gt;"BLOCKED",
 tblTargetStatus[[#This Row],[Status]],
 IF(
  AND(
   tblTargetStatus[[#This Row],[MissingDependencies]]=1,
   tblTargetStatus[[#This Row],[FirstMissingStatus]]="READY"
  ),
  "ONE AWAY",
  "BLOCKED"
 )
)</f>
        <v>BLOCKED</v>
      </c>
      <c r="R298">
        <f>IF(
 OR(
  tblTargetStatus[[#This Row],[StateType]]="CHARACTER",
  RIGHT(tblTargetStatus[[#This Row],[TargetID]],6)=".maxed"
 ),
 0,
 _xlfn.LET(
  _xlpm.sort,
   _xlfn.XLOOKUP(
    tblTargetStatus[[#This Row],[TargetID]],
    tblChecklist[TargetID],
    tblChecklist[PlayerSort],
    0
   ),
  IF(_xlpm.sort=0,500,_xlpm.sort)
 )
)</f>
        <v>500</v>
      </c>
      <c r="S298" t="str" cm="1">
        <f t="array" ref="S29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14 Finished</v>
      </c>
      <c r="T298" t="str">
        <f>_xlfn.XLOOKUP(tblTargetStatus[[#This Row],[TargetID]],tblTargets[TargetID],tblTargets[CompletionMethod],"")</f>
        <v>PLAYER</v>
      </c>
      <c r="U298" t="b">
        <f>COUNTIF(
    tblCost[TargetID],
    tblTargetStatus[[#This Row],[TargetID]]
)&gt;0</f>
        <v>0</v>
      </c>
      <c r="V298" s="81" t="str">
        <f>IF(tblTargetStatus[[#This Row],[HasCost]]=FALSE,
"N/A",
_xlfn.XLOOKUP(
tblTargetStatus[[#This Row],[TargetID]],
tblCost[TargetID],
tblCost[FundingPercent],
""
)
)</f>
        <v>N/A</v>
      </c>
      <c r="W298" t="str">
        <f>IF(
COUNTIF(tblCost[TargetID],tblTargetStatus[[#This Row],[TargetID]])=0,
"",
_xlfn.XLOOKUP(
tblTargetStatus[[#This Row],[TargetID]],
tblCost[TargetID],
tblCost[RemainingRequirements],
""
)
)</f>
        <v/>
      </c>
      <c r="X298" s="79" t="str">
        <f>IF(tblTargetStatus[[#This Row],[HasCost]]=FALSE,"N/A",_xlfn.XLOOKUP(
tblTargetStatus[[#This Row],[TargetID]],
tblCost[TargetID],
tblCost[TargetFunded],
TRUE
))</f>
        <v>N/A</v>
      </c>
      <c r="Y298" t="str" cm="1">
        <f t="array" ref="Y298">_xlfn.TEXTJOIN(
", ",
TRUE,
_xlfn._xlws.FILTER(
tblCost[ResourceID]&amp;": "&amp;tblCost[QuantityRequired],
(tblCost[TargetID]=tblTargetStatus[[#This Row],[TargetID]])*
(tblCost[PlayerPaid]=FALSE),
""
)
)</f>
        <v/>
      </c>
      <c r="Z2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8" t="str" cm="1">
        <f t="array" ref="AA29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299" spans="1:27">
      <c r="A299" t="s">
        <v>2508</v>
      </c>
      <c r="B299" t="str">
        <f>_xlfn.XLOOKUP(tblTargetStatus[[#This Row],[TargetID]],tblTargets[TargetID],tblTargets[DisplayName],"")</f>
        <v>Once Upon a Forest Chapter 14 Finished</v>
      </c>
      <c r="C299" t="str">
        <f>IF(tblTargetStatus[[#This Row],[PlayerCompleted]],"COMPLETED",IF(tblTargetStatus[[#This Row],[MissingDependencies]]=0,"READY","BLOCKED"))</f>
        <v>BLOCKED</v>
      </c>
      <c r="D2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9" t="str">
        <f>_xlfn.XLOOKUP(tblTargetStatus[[#This Row],[TargetID]],tblTargets[TargetID],tblTargets[TargetType],"")</f>
        <v>QUEST</v>
      </c>
      <c r="F299" t="str">
        <f>_xlfn.XLOOKUP(tblTargetStatus[[#This Row],[TargetID]],tblTargets[TargetID],tblTargets[StateType])</f>
        <v/>
      </c>
      <c r="G299">
        <f>_xlfn.LET(
_xlpm.id,tblTargetStatus[[#This Row],[TargetID]],
_xlpm.depCount,COUNTIF(tblDependencies[TargetID],_xlpm.id),
_xlpm.objCount,COUNTIF(tblQuestObjectives[QuestTargetID],_xlpm.id),
_xlpm.depCount+_xlpm.objCount
)</f>
        <v>2</v>
      </c>
      <c r="H299">
        <f>tblTargetStatus[[#This Row],[DependencyCount]]</f>
        <v>2</v>
      </c>
      <c r="I299" cm="1">
        <f t="array" ref="I2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9">
        <f>tblTargetStatus[[#This Row],[CompletedDependencyCount]]</f>
        <v>0</v>
      </c>
      <c r="K299" t="b">
        <f>tblTargetStatus[[#This Row],[CompletedDependencies]]=tblTargetStatus[[#This Row],[TotalDependencies]]</f>
        <v>0</v>
      </c>
      <c r="L299">
        <f>tblTargetStatus[[#This Row],[TotalDependencies]]-tblTargetStatus[[#This Row],[CompletedDependencies]]</f>
        <v>2</v>
      </c>
      <c r="M299" t="str" cm="1">
        <f t="array" ref="M2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quest.once_upon_a_forest_chapter_14.accepted</v>
      </c>
      <c r="N299" t="str">
        <f>IF(tblTargetStatus[[#This Row],[FirstMissingDependencyID]]="","",_xlfn.XLOOKUP(tblTargetStatus[[#This Row],[FirstMissingDependencyID]],tblTargets[TargetID],tblTargets[DisplayName],tblTargetStatus[[#This Row],[FirstMissingDependencyID]]))</f>
        <v>Once Upon a Forest Chapter 14 Accepted</v>
      </c>
      <c r="O299" s="2" cm="1">
        <f t="array" ref="O2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9" t="str">
        <f>IF(tblTargetStatus[[#This Row],[FirstMissingDependencyID]]="","",_xlfn.XLOOKUP(tblTargetStatus[[#This Row],[FirstMissingDependencyID]],tblTargetStatus[TargetID],tblTargetStatus[Status],""))</f>
        <v>BLOCKED</v>
      </c>
      <c r="Q299" t="str">
        <f>IF(
 tblTargetStatus[[#This Row],[Status]]&lt;&gt;"BLOCKED",
 tblTargetStatus[[#This Row],[Status]],
 IF(
  AND(
   tblTargetStatus[[#This Row],[MissingDependencies]]=1,
   tblTargetStatus[[#This Row],[FirstMissingStatus]]="READY"
  ),
  "ONE AWAY",
  "BLOCKED"
 )
)</f>
        <v>BLOCKED</v>
      </c>
      <c r="R299">
        <f>IF(
 OR(
  tblTargetStatus[[#This Row],[StateType]]="CHARACTER",
  RIGHT(tblTargetStatus[[#This Row],[TargetID]],6)=".maxed"
 ),
 0,
 _xlfn.LET(
  _xlpm.sort,
   _xlfn.XLOOKUP(
    tblTargetStatus[[#This Row],[TargetID]],
    tblChecklist[TargetID],
    tblChecklist[PlayerSort],
    0
   ),
  IF(_xlpm.sort=0,500,_xlpm.sort)
 )
)</f>
        <v>500</v>
      </c>
      <c r="S299" t="str" cm="1">
        <f t="array" ref="S29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15 Accepted, Meet Raven@F1</v>
      </c>
      <c r="T299" t="str">
        <f>_xlfn.XLOOKUP(tblTargetStatus[[#This Row],[TargetID]],tblTargets[TargetID],tblTargets[CompletionMethod],"")</f>
        <v>PLAYER</v>
      </c>
      <c r="U299" t="b">
        <f>COUNTIF(
    tblCost[TargetID],
    tblTargetStatus[[#This Row],[TargetID]]
)&gt;0</f>
        <v>0</v>
      </c>
      <c r="V299" s="81" t="str">
        <f>IF(tblTargetStatus[[#This Row],[HasCost]]=FALSE,
"N/A",
_xlfn.XLOOKUP(
tblTargetStatus[[#This Row],[TargetID]],
tblCost[TargetID],
tblCost[FundingPercent],
""
)
)</f>
        <v>N/A</v>
      </c>
      <c r="W299" t="str">
        <f>IF(
COUNTIF(tblCost[TargetID],tblTargetStatus[[#This Row],[TargetID]])=0,
"",
_xlfn.XLOOKUP(
tblTargetStatus[[#This Row],[TargetID]],
tblCost[TargetID],
tblCost[RemainingRequirements],
""
)
)</f>
        <v/>
      </c>
      <c r="X299" s="79" t="str">
        <f>IF(tblTargetStatus[[#This Row],[HasCost]]=FALSE,"N/A",_xlfn.XLOOKUP(
tblTargetStatus[[#This Row],[TargetID]],
tblCost[TargetID],
tblCost[TargetFunded],
TRUE
))</f>
        <v>N/A</v>
      </c>
      <c r="Y299" t="str" cm="1">
        <f t="array" ref="Y299">_xlfn.TEXTJOIN(
", ",
TRUE,
_xlfn._xlws.FILTER(
tblCost[ResourceID]&amp;": "&amp;tblCost[QuantityRequired],
(tblCost[TargetID]=tblTargetStatus[[#This Row],[TargetID]])*
(tblCost[PlayerPaid]=FALSE),
""
)
)</f>
        <v/>
      </c>
      <c r="Z2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9" t="str" cm="1">
        <f t="array" ref="AA29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15</v>
      </c>
    </row>
    <row r="300" spans="1:27">
      <c r="A300" t="s">
        <v>2372</v>
      </c>
      <c r="B300" t="str">
        <f>_xlfn.XLOOKUP(tblTargetStatus[[#This Row],[TargetID]],tblTargets[TargetID],tblTargets[DisplayName],"")</f>
        <v>Once Upon a Forest Chapter 15 Accepted</v>
      </c>
      <c r="C300" t="str">
        <f>IF(tblTargetStatus[[#This Row],[PlayerCompleted]],"COMPLETED",IF(tblTargetStatus[[#This Row],[MissingDependencies]]=0,"READY","BLOCKED"))</f>
        <v>BLOCKED</v>
      </c>
      <c r="D3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0" t="str">
        <f>_xlfn.XLOOKUP(tblTargetStatus[[#This Row],[TargetID]],tblTargets[TargetID],tblTargets[TargetType],"")</f>
        <v>QUEST</v>
      </c>
      <c r="F300" t="str">
        <f>_xlfn.XLOOKUP(tblTargetStatus[[#This Row],[TargetID]],tblTargets[TargetID],tblTargets[StateType])</f>
        <v/>
      </c>
      <c r="G300">
        <f>_xlfn.LET(
_xlpm.id,tblTargetStatus[[#This Row],[TargetID]],
_xlpm.depCount,COUNTIF(tblDependencies[TargetID],_xlpm.id),
_xlpm.objCount,COUNTIF(tblQuestObjectives[QuestTargetID],_xlpm.id),
_xlpm.depCount+_xlpm.objCount
)</f>
        <v>5</v>
      </c>
      <c r="H300">
        <f>tblTargetStatus[[#This Row],[DependencyCount]]</f>
        <v>5</v>
      </c>
      <c r="I300" cm="1">
        <f t="array" ref="I3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0">
        <f>tblTargetStatus[[#This Row],[CompletedDependencyCount]]</f>
        <v>0</v>
      </c>
      <c r="K300" t="b">
        <f>tblTargetStatus[[#This Row],[CompletedDependencies]]=tblTargetStatus[[#This Row],[TotalDependencies]]</f>
        <v>0</v>
      </c>
      <c r="L300">
        <f>tblTargetStatus[[#This Row],[TotalDependencies]]-tblTargetStatus[[#This Row],[CompletedDependencies]]</f>
        <v>5</v>
      </c>
      <c r="M300" t="str" cm="1">
        <f t="array" ref="M3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quest.once_upon_a_forest_chapter_14.finished</v>
      </c>
      <c r="N300" t="str">
        <f>IF(tblTargetStatus[[#This Row],[FirstMissingDependencyID]]="","",_xlfn.XLOOKUP(tblTargetStatus[[#This Row],[FirstMissingDependencyID]],tblTargets[TargetID],tblTargets[DisplayName],tblTargetStatus[[#This Row],[FirstMissingDependencyID]]))</f>
        <v>Once Upon a Forest Chapter 14 Finished</v>
      </c>
      <c r="O300" cm="1">
        <f t="array" ref="O3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0" t="str">
        <f>IF(tblTargetStatus[[#This Row],[FirstMissingDependencyID]]="","",_xlfn.XLOOKUP(tblTargetStatus[[#This Row],[FirstMissingDependencyID]],tblTargetStatus[TargetID],tblTargetStatus[Status],""))</f>
        <v>BLOCKED</v>
      </c>
      <c r="Q300" t="str">
        <f>IF(
 tblTargetStatus[[#This Row],[Status]]&lt;&gt;"BLOCKED",
 tblTargetStatus[[#This Row],[Status]],
 IF(
  AND(
   tblTargetStatus[[#This Row],[MissingDependencies]]=1,
   tblTargetStatus[[#This Row],[FirstMissingStatus]]="READY"
  ),
  "ONE AWAY",
  "BLOCKED"
 )
)</f>
        <v>BLOCKED</v>
      </c>
      <c r="R300">
        <f>IF(
 OR(
  tblTargetStatus[[#This Row],[StateType]]="CHARACTER",
  RIGHT(tblTargetStatus[[#This Row],[TargetID]],6)=".maxed"
 ),
 0,
 _xlfn.LET(
  _xlpm.sort,
   _xlfn.XLOOKUP(
    tblTargetStatus[[#This Row],[TargetID]],
    tblChecklist[TargetID],
    tblChecklist[PlayerSort],
    0
   ),
  IF(_xlpm.sort=0,500,_xlpm.sort)
 )
)</f>
        <v>500</v>
      </c>
      <c r="S300" t="str" cm="1">
        <f t="array" ref="S30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15 Finished, Meet the raven in F2</v>
      </c>
      <c r="T300" t="str">
        <f>_xlfn.XLOOKUP(tblTargetStatus[[#This Row],[TargetID]],tblTargets[TargetID],tblTargets[CompletionMethod],"")</f>
        <v>PLAYER</v>
      </c>
      <c r="U300" t="b">
        <f>COUNTIF(
    tblCost[TargetID],
    tblTargetStatus[[#This Row],[TargetID]]
)&gt;0</f>
        <v>0</v>
      </c>
      <c r="V300" s="81" t="str">
        <f>IF(tblTargetStatus[[#This Row],[HasCost]]=FALSE,
"N/A",
_xlfn.XLOOKUP(
tblTargetStatus[[#This Row],[TargetID]],
tblCost[TargetID],
tblCost[FundingPercent],
""
)
)</f>
        <v>N/A</v>
      </c>
      <c r="W300" t="str">
        <f>IF(
COUNTIF(tblCost[TargetID],tblTargetStatus[[#This Row],[TargetID]])=0,
"",
_xlfn.XLOOKUP(
tblTargetStatus[[#This Row],[TargetID]],
tblCost[TargetID],
tblCost[RemainingRequirements],
""
)
)</f>
        <v/>
      </c>
      <c r="X300" s="79" t="str">
        <f>IF(tblTargetStatus[[#This Row],[HasCost]]=FALSE,"N/A",_xlfn.XLOOKUP(
tblTargetStatus[[#This Row],[TargetID]],
tblCost[TargetID],
tblCost[TargetFunded],
TRUE
))</f>
        <v>N/A</v>
      </c>
      <c r="Y300" t="str" cm="1">
        <f t="array" ref="Y300">_xlfn.TEXTJOIN(
", ",
TRUE,
_xlfn._xlws.FILTER(
tblCost[ResourceID]&amp;": "&amp;tblCost[QuantityRequired],
(tblCost[TargetID]=tblTargetStatus[[#This Row],[TargetID]])*
(tblCost[PlayerPaid]=FALSE),
""
)
)</f>
        <v/>
      </c>
      <c r="Z3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0" t="str" cm="1">
        <f t="array" ref="AA30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01" spans="1:27">
      <c r="A301" t="s">
        <v>2510</v>
      </c>
      <c r="B301" t="str">
        <f>_xlfn.XLOOKUP(tblTargetStatus[[#This Row],[TargetID]],tblTargets[TargetID],tblTargets[DisplayName],"")</f>
        <v>Once Upon a Forest Chapter 15 Finished</v>
      </c>
      <c r="C301" t="str">
        <f>IF(tblTargetStatus[[#This Row],[PlayerCompleted]],"COMPLETED",IF(tblTargetStatus[[#This Row],[MissingDependencies]]=0,"READY","BLOCKED"))</f>
        <v>BLOCKED</v>
      </c>
      <c r="D3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1" t="str">
        <f>_xlfn.XLOOKUP(tblTargetStatus[[#This Row],[TargetID]],tblTargets[TargetID],tblTargets[TargetType],"")</f>
        <v>QUEST</v>
      </c>
      <c r="F301" t="str">
        <f>_xlfn.XLOOKUP(tblTargetStatus[[#This Row],[TargetID]],tblTargets[TargetID],tblTargets[StateType])</f>
        <v/>
      </c>
      <c r="G301">
        <f>_xlfn.LET(
_xlpm.id,tblTargetStatus[[#This Row],[TargetID]],
_xlpm.depCount,COUNTIF(tblDependencies[TargetID],_xlpm.id),
_xlpm.objCount,COUNTIF(tblQuestObjectives[QuestTargetID],_xlpm.id),
_xlpm.depCount+_xlpm.objCount
)</f>
        <v>2</v>
      </c>
      <c r="H301">
        <f>tblTargetStatus[[#This Row],[DependencyCount]]</f>
        <v>2</v>
      </c>
      <c r="I301" cm="1">
        <f t="array" ref="I3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1">
        <f>tblTargetStatus[[#This Row],[CompletedDependencyCount]]</f>
        <v>0</v>
      </c>
      <c r="K301" t="b">
        <f>tblTargetStatus[[#This Row],[CompletedDependencies]]=tblTargetStatus[[#This Row],[TotalDependencies]]</f>
        <v>0</v>
      </c>
      <c r="L301">
        <f>tblTargetStatus[[#This Row],[TotalDependencies]]-tblTargetStatus[[#This Row],[CompletedDependencies]]</f>
        <v>2</v>
      </c>
      <c r="M301" t="str" cm="1">
        <f t="array" ref="M3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quest.once_upon_a_forest_chapter_15.accepted</v>
      </c>
      <c r="N301" t="str">
        <f>IF(tblTargetStatus[[#This Row],[FirstMissingDependencyID]]="","",_xlfn.XLOOKUP(tblTargetStatus[[#This Row],[FirstMissingDependencyID]],tblTargets[TargetID],tblTargets[DisplayName],tblTargetStatus[[#This Row],[FirstMissingDependencyID]]))</f>
        <v>Once Upon a Forest Chapter 15 Accepted</v>
      </c>
      <c r="O301" s="2" cm="1">
        <f t="array" ref="O3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1" t="str">
        <f>IF(tblTargetStatus[[#This Row],[FirstMissingDependencyID]]="","",_xlfn.XLOOKUP(tblTargetStatus[[#This Row],[FirstMissingDependencyID]],tblTargetStatus[TargetID],tblTargetStatus[Status],""))</f>
        <v>BLOCKED</v>
      </c>
      <c r="Q301" t="str">
        <f>IF(
 tblTargetStatus[[#This Row],[Status]]&lt;&gt;"BLOCKED",
 tblTargetStatus[[#This Row],[Status]],
 IF(
  AND(
   tblTargetStatus[[#This Row],[MissingDependencies]]=1,
   tblTargetStatus[[#This Row],[FirstMissingStatus]]="READY"
  ),
  "ONE AWAY",
  "BLOCKED"
 )
)</f>
        <v>BLOCKED</v>
      </c>
      <c r="R301">
        <f>IF(
 OR(
  tblTargetStatus[[#This Row],[StateType]]="CHARACTER",
  RIGHT(tblTargetStatus[[#This Row],[TargetID]],6)=".maxed"
 ),
 0,
 _xlfn.LET(
  _xlpm.sort,
   _xlfn.XLOOKUP(
    tblTargetStatus[[#This Row],[TargetID]],
    tblChecklist[TargetID],
    tblChecklist[PlayerSort],
    0
   ),
  IF(_xlpm.sort=0,500,_xlpm.sort)
 )
)</f>
        <v>500</v>
      </c>
      <c r="S301" t="str" cm="1">
        <f t="array" ref="S30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Armory, Gallery, Treasury, Meet mechanical adventurer in Dungeon 3A</v>
      </c>
      <c r="T301" t="str">
        <f>_xlfn.XLOOKUP(tblTargetStatus[[#This Row],[TargetID]],tblTargets[TargetID],tblTargets[CompletionMethod],"")</f>
        <v>PLAYER</v>
      </c>
      <c r="U301" t="b">
        <f>COUNTIF(
    tblCost[TargetID],
    tblTargetStatus[[#This Row],[TargetID]]
)&gt;0</f>
        <v>0</v>
      </c>
      <c r="V301" s="81" t="str">
        <f>IF(tblTargetStatus[[#This Row],[HasCost]]=FALSE,
"N/A",
_xlfn.XLOOKUP(
tblTargetStatus[[#This Row],[TargetID]],
tblCost[TargetID],
tblCost[FundingPercent],
""
)
)</f>
        <v>N/A</v>
      </c>
      <c r="W301" t="str">
        <f>IF(
COUNTIF(tblCost[TargetID],tblTargetStatus[[#This Row],[TargetID]])=0,
"",
_xlfn.XLOOKUP(
tblTargetStatus[[#This Row],[TargetID]],
tblCost[TargetID],
tblCost[RemainingRequirements],
""
)
)</f>
        <v/>
      </c>
      <c r="X301" s="79" t="str">
        <f>IF(tblTargetStatus[[#This Row],[HasCost]]=FALSE,"N/A",_xlfn.XLOOKUP(
tblTargetStatus[[#This Row],[TargetID]],
tblCost[TargetID],
tblCost[TargetFunded],
TRUE
))</f>
        <v>N/A</v>
      </c>
      <c r="Y301" t="str" cm="1">
        <f t="array" ref="Y301">_xlfn.TEXTJOIN(
", ",
TRUE,
_xlfn._xlws.FILTER(
tblCost[ResourceID]&amp;": "&amp;tblCost[QuantityRequired],
(tblCost[TargetID]=tblTargetStatus[[#This Row],[TargetID]])*
(tblCost[PlayerPaid]=FALSE),
""
)
)</f>
        <v/>
      </c>
      <c r="Z3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1" t="str" cm="1">
        <f t="array" ref="AA30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02" spans="1:27">
      <c r="A302" t="s">
        <v>2333</v>
      </c>
      <c r="B302" t="str">
        <f>_xlfn.XLOOKUP(tblTargetStatus[[#This Row],[TargetID]],tblTargets[TargetID],tblTargets[DisplayName],"")</f>
        <v>Once Upon a Forest Chapter 2 Accepted</v>
      </c>
      <c r="C302" t="str">
        <f>IF(tblTargetStatus[[#This Row],[PlayerCompleted]],"COMPLETED",IF(tblTargetStatus[[#This Row],[MissingDependencies]]=0,"READY","BLOCKED"))</f>
        <v>BLOCKED</v>
      </c>
      <c r="D3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2" t="str">
        <f>_xlfn.XLOOKUP(tblTargetStatus[[#This Row],[TargetID]],tblTargets[TargetID],tblTargets[TargetType],"")</f>
        <v>QUEST</v>
      </c>
      <c r="F302" t="str">
        <f>_xlfn.XLOOKUP(tblTargetStatus[[#This Row],[TargetID]],tblTargets[TargetID],tblTargets[StateType])</f>
        <v/>
      </c>
      <c r="G302">
        <f>_xlfn.LET(
_xlpm.id,tblTargetStatus[[#This Row],[TargetID]],
_xlpm.depCount,COUNTIF(tblDependencies[TargetID],_xlpm.id),
_xlpm.objCount,COUNTIF(tblQuestObjectives[QuestTargetID],_xlpm.id),
_xlpm.depCount+_xlpm.objCount
)</f>
        <v>2</v>
      </c>
      <c r="H302">
        <f>tblTargetStatus[[#This Row],[DependencyCount]]</f>
        <v>2</v>
      </c>
      <c r="I302" cm="1">
        <f t="array" ref="I3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2">
        <f>tblTargetStatus[[#This Row],[CompletedDependencyCount]]</f>
        <v>0</v>
      </c>
      <c r="K302" t="b">
        <f>tblTargetStatus[[#This Row],[CompletedDependencies]]=tblTargetStatus[[#This Row],[TotalDependencies]]</f>
        <v>0</v>
      </c>
      <c r="L302">
        <f>tblTargetStatus[[#This Row],[TotalDependencies]]-tblTargetStatus[[#This Row],[CompletedDependencies]]</f>
        <v>2</v>
      </c>
      <c r="M302" t="str" cm="1">
        <f t="array" ref="M3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quest.once_upon_a_forest_chapter_1.finished</v>
      </c>
      <c r="N302" t="str">
        <f>IF(tblTargetStatus[[#This Row],[FirstMissingDependencyID]]="","",_xlfn.XLOOKUP(tblTargetStatus[[#This Row],[FirstMissingDependencyID]],tblTargets[TargetID],tblTargets[DisplayName],tblTargetStatus[[#This Row],[FirstMissingDependencyID]]))</f>
        <v>Once Upon a Forest Chapter 1 Finished</v>
      </c>
      <c r="O302" cm="1">
        <f t="array" ref="O3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2" t="str">
        <f>IF(tblTargetStatus[[#This Row],[FirstMissingDependencyID]]="","",_xlfn.XLOOKUP(tblTargetStatus[[#This Row],[FirstMissingDependencyID]],tblTargetStatus[TargetID],tblTargetStatus[Status],""))</f>
        <v>BLOCKED</v>
      </c>
      <c r="Q302" t="str">
        <f>IF(
 tblTargetStatus[[#This Row],[Status]]&lt;&gt;"BLOCKED",
 tblTargetStatus[[#This Row],[Status]],
 IF(
  AND(
   tblTargetStatus[[#This Row],[MissingDependencies]]=1,
   tblTargetStatus[[#This Row],[FirstMissingStatus]]="READY"
  ),
  "ONE AWAY",
  "BLOCKED"
 )
)</f>
        <v>BLOCKED</v>
      </c>
      <c r="R302">
        <f>IF(
 OR(
  tblTargetStatus[[#This Row],[StateType]]="CHARACTER",
  RIGHT(tblTargetStatus[[#This Row],[TargetID]],6)=".maxed"
 ),
 0,
 _xlfn.LET(
  _xlpm.sort,
   _xlfn.XLOOKUP(
    tblTargetStatus[[#This Row],[TargetID]],
    tblChecklist[TargetID],
    tblChecklist[PlayerSort],
    0
   ),
  IF(_xlpm.sort=0,500,_xlpm.sort)
 )
)</f>
        <v>500</v>
      </c>
      <c r="S302" t="str" cm="1">
        <f t="array" ref="S30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2 Finished, Complete F1 for the first time</v>
      </c>
      <c r="T302" t="str">
        <f>_xlfn.XLOOKUP(tblTargetStatus[[#This Row],[TargetID]],tblTargets[TargetID],tblTargets[CompletionMethod],"")</f>
        <v>PLAYER</v>
      </c>
      <c r="U302" t="b">
        <f>COUNTIF(
    tblCost[TargetID],
    tblTargetStatus[[#This Row],[TargetID]]
)&gt;0</f>
        <v>0</v>
      </c>
      <c r="V302" s="81" t="str">
        <f>IF(tblTargetStatus[[#This Row],[HasCost]]=FALSE,
"N/A",
_xlfn.XLOOKUP(
tblTargetStatus[[#This Row],[TargetID]],
tblCost[TargetID],
tblCost[FundingPercent],
""
)
)</f>
        <v>N/A</v>
      </c>
      <c r="W302" t="str">
        <f>IF(
COUNTIF(tblCost[TargetID],tblTargetStatus[[#This Row],[TargetID]])=0,
"",
_xlfn.XLOOKUP(
tblTargetStatus[[#This Row],[TargetID]],
tblCost[TargetID],
tblCost[RemainingRequirements],
""
)
)</f>
        <v/>
      </c>
      <c r="X302" s="79" t="str">
        <f>IF(tblTargetStatus[[#This Row],[HasCost]]=FALSE,"N/A",_xlfn.XLOOKUP(
tblTargetStatus[[#This Row],[TargetID]],
tblCost[TargetID],
tblCost[TargetFunded],
TRUE
))</f>
        <v>N/A</v>
      </c>
      <c r="Y302" t="str" cm="1">
        <f t="array" ref="Y302">_xlfn.TEXTJOIN(
", ",
TRUE,
_xlfn._xlws.FILTER(
tblCost[ResourceID]&amp;": "&amp;tblCost[QuantityRequired],
(tblCost[TargetID]=tblTargetStatus[[#This Row],[TargetID]])*
(tblCost[PlayerPaid]=FALSE),
""
)
)</f>
        <v/>
      </c>
      <c r="Z3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2" t="str" cm="1">
        <f t="array" ref="AA30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03" spans="1:27">
      <c r="A303" t="s">
        <v>2484</v>
      </c>
      <c r="B303" t="str">
        <f>_xlfn.XLOOKUP(tblTargetStatus[[#This Row],[TargetID]],tblTargets[TargetID],tblTargets[DisplayName],"")</f>
        <v>Once Upon a Forest Chapter 2 Finished</v>
      </c>
      <c r="C303" t="str">
        <f>IF(tblTargetStatus[[#This Row],[PlayerCompleted]],"COMPLETED",IF(tblTargetStatus[[#This Row],[MissingDependencies]]=0,"READY","BLOCKED"))</f>
        <v>BLOCKED</v>
      </c>
      <c r="D3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3" t="str">
        <f>_xlfn.XLOOKUP(tblTargetStatus[[#This Row],[TargetID]],tblTargets[TargetID],tblTargets[TargetType],"")</f>
        <v>QUEST</v>
      </c>
      <c r="F303" t="str">
        <f>_xlfn.XLOOKUP(tblTargetStatus[[#This Row],[TargetID]],tblTargets[TargetID],tblTargets[StateType])</f>
        <v/>
      </c>
      <c r="G303">
        <f>_xlfn.LET(
_xlpm.id,tblTargetStatus[[#This Row],[TargetID]],
_xlpm.depCount,COUNTIF(tblDependencies[TargetID],_xlpm.id),
_xlpm.objCount,COUNTIF(tblQuestObjectives[QuestTargetID],_xlpm.id),
_xlpm.depCount+_xlpm.objCount
)</f>
        <v>2</v>
      </c>
      <c r="H303">
        <f>tblTargetStatus[[#This Row],[DependencyCount]]</f>
        <v>2</v>
      </c>
      <c r="I303" cm="1">
        <f t="array" ref="I3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3">
        <f>tblTargetStatus[[#This Row],[CompletedDependencyCount]]</f>
        <v>0</v>
      </c>
      <c r="K303" t="b">
        <f>tblTargetStatus[[#This Row],[CompletedDependencies]]=tblTargetStatus[[#This Row],[TotalDependencies]]</f>
        <v>0</v>
      </c>
      <c r="L303">
        <f>tblTargetStatus[[#This Row],[TotalDependencies]]-tblTargetStatus[[#This Row],[CompletedDependencies]]</f>
        <v>2</v>
      </c>
      <c r="M303" t="str" cm="1">
        <f t="array" ref="M3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quest.once_upon_a_forest_chapter_2.accepted</v>
      </c>
      <c r="N303" t="str">
        <f>IF(tblTargetStatus[[#This Row],[FirstMissingDependencyID]]="","",_xlfn.XLOOKUP(tblTargetStatus[[#This Row],[FirstMissingDependencyID]],tblTargets[TargetID],tblTargets[DisplayName],tblTargetStatus[[#This Row],[FirstMissingDependencyID]]))</f>
        <v>Once Upon a Forest Chapter 2 Accepted</v>
      </c>
      <c r="O303" s="2" cm="1">
        <f t="array" ref="O3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3" t="str">
        <f>IF(tblTargetStatus[[#This Row],[FirstMissingDependencyID]]="","",_xlfn.XLOOKUP(tblTargetStatus[[#This Row],[FirstMissingDependencyID]],tblTargetStatus[TargetID],tblTargetStatus[Status],""))</f>
        <v>BLOCKED</v>
      </c>
      <c r="Q303" t="str">
        <f>IF(
 tblTargetStatus[[#This Row],[Status]]&lt;&gt;"BLOCKED",
 tblTargetStatus[[#This Row],[Status]],
 IF(
  AND(
   tblTargetStatus[[#This Row],[MissingDependencies]]=1,
   tblTargetStatus[[#This Row],[FirstMissingStatus]]="READY"
  ),
  "ONE AWAY",
  "BLOCKED"
 )
)</f>
        <v>BLOCKED</v>
      </c>
      <c r="R303">
        <f>IF(
 OR(
  tblTargetStatus[[#This Row],[StateType]]="CHARACTER",
  RIGHT(tblTargetStatus[[#This Row],[TargetID]],6)=".maxed"
 ),
 0,
 _xlfn.LET(
  _xlpm.sort,
   _xlfn.XLOOKUP(
    tblTargetStatus[[#This Row],[TargetID]],
    tblChecklist[TargetID],
    tblChecklist[PlayerSort],
    0
   ),
  IF(_xlpm.sort=0,500,_xlpm.sort)
 )
)</f>
        <v>500</v>
      </c>
      <c r="S303" t="str" cm="1">
        <f t="array" ref="S30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Courtyard, Horse Lv 1, Once Upon a Forest Chapter 3 Accepted, Meet mechanical adventurer in Dungeon F1</v>
      </c>
      <c r="T303" t="str">
        <f>_xlfn.XLOOKUP(tblTargetStatus[[#This Row],[TargetID]],tblTargets[TargetID],tblTargets[CompletionMethod],"")</f>
        <v>PLAYER</v>
      </c>
      <c r="U303" t="b">
        <f>COUNTIF(
    tblCost[TargetID],
    tblTargetStatus[[#This Row],[TargetID]]
)&gt;0</f>
        <v>0</v>
      </c>
      <c r="V303" s="81" t="str">
        <f>IF(tblTargetStatus[[#This Row],[HasCost]]=FALSE,
"N/A",
_xlfn.XLOOKUP(
tblTargetStatus[[#This Row],[TargetID]],
tblCost[TargetID],
tblCost[FundingPercent],
""
)
)</f>
        <v>N/A</v>
      </c>
      <c r="W303" t="str">
        <f>IF(
COUNTIF(tblCost[TargetID],tblTargetStatus[[#This Row],[TargetID]])=0,
"",
_xlfn.XLOOKUP(
tblTargetStatus[[#This Row],[TargetID]],
tblCost[TargetID],
tblCost[RemainingRequirements],
""
)
)</f>
        <v/>
      </c>
      <c r="X303" s="79" t="str">
        <f>IF(tblTargetStatus[[#This Row],[HasCost]]=FALSE,"N/A",_xlfn.XLOOKUP(
tblTargetStatus[[#This Row],[TargetID]],
tblCost[TargetID],
tblCost[TargetFunded],
TRUE
))</f>
        <v>N/A</v>
      </c>
      <c r="Y303" t="str" cm="1">
        <f t="array" ref="Y303">_xlfn.TEXTJOIN(
", ",
TRUE,
_xlfn._xlws.FILTER(
tblCost[ResourceID]&amp;": "&amp;tblCost[QuantityRequired],
(tblCost[TargetID]=tblTargetStatus[[#This Row],[TargetID]])*
(tblCost[PlayerPaid]=FALSE),
""
)
)</f>
        <v/>
      </c>
      <c r="Z3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3" t="str" cm="1">
        <f t="array" ref="AA30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3</v>
      </c>
    </row>
    <row r="304" spans="1:27">
      <c r="A304" t="s">
        <v>2336</v>
      </c>
      <c r="B304" t="str">
        <f>_xlfn.XLOOKUP(tblTargetStatus[[#This Row],[TargetID]],tblTargets[TargetID],tblTargets[DisplayName],"")</f>
        <v>Once Upon a Forest Chapter 3 Accepted</v>
      </c>
      <c r="C304" t="str">
        <f>IF(tblTargetStatus[[#This Row],[PlayerCompleted]],"COMPLETED",IF(tblTargetStatus[[#This Row],[MissingDependencies]]=0,"READY","BLOCKED"))</f>
        <v>BLOCKED</v>
      </c>
      <c r="D3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4" t="str">
        <f>_xlfn.XLOOKUP(tblTargetStatus[[#This Row],[TargetID]],tblTargets[TargetID],tblTargets[TargetType],"")</f>
        <v>QUEST</v>
      </c>
      <c r="F304" t="str">
        <f>_xlfn.XLOOKUP(tblTargetStatus[[#This Row],[TargetID]],tblTargets[TargetID],tblTargets[StateType])</f>
        <v/>
      </c>
      <c r="G304">
        <f>_xlfn.LET(
_xlpm.id,tblTargetStatus[[#This Row],[TargetID]],
_xlpm.depCount,COUNTIF(tblDependencies[TargetID],_xlpm.id),
_xlpm.objCount,COUNTIF(tblQuestObjectives[QuestTargetID],_xlpm.id),
_xlpm.depCount+_xlpm.objCount
)</f>
        <v>2</v>
      </c>
      <c r="H304">
        <f>tblTargetStatus[[#This Row],[DependencyCount]]</f>
        <v>2</v>
      </c>
      <c r="I304" cm="1">
        <f t="array" ref="I3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4">
        <f>tblTargetStatus[[#This Row],[CompletedDependencyCount]]</f>
        <v>0</v>
      </c>
      <c r="K304" t="b">
        <f>tblTargetStatus[[#This Row],[CompletedDependencies]]=tblTargetStatus[[#This Row],[TotalDependencies]]</f>
        <v>0</v>
      </c>
      <c r="L304">
        <f>tblTargetStatus[[#This Row],[TotalDependencies]]-tblTargetStatus[[#This Row],[CompletedDependencies]]</f>
        <v>2</v>
      </c>
      <c r="M304" t="str" cm="1">
        <f t="array" ref="M3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state.meet_mech_adventurer_f1</v>
      </c>
      <c r="N304" t="str">
        <f>IF(tblTargetStatus[[#This Row],[FirstMissingDependencyID]]="","",_xlfn.XLOOKUP(tblTargetStatus[[#This Row],[FirstMissingDependencyID]],tblTargets[TargetID],tblTargets[DisplayName],tblTargetStatus[[#This Row],[FirstMissingDependencyID]]))</f>
        <v>Meet mechanical adventurer in Dungeon F1</v>
      </c>
      <c r="O304" s="2" cm="1">
        <f t="array" ref="O3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4" t="str">
        <f>IF(tblTargetStatus[[#This Row],[FirstMissingDependencyID]]="","",_xlfn.XLOOKUP(tblTargetStatus[[#This Row],[FirstMissingDependencyID]],tblTargetStatus[TargetID],tblTargetStatus[Status],""))</f>
        <v>BLOCKED</v>
      </c>
      <c r="Q304" t="str">
        <f>IF(
 tblTargetStatus[[#This Row],[Status]]&lt;&gt;"BLOCKED",
 tblTargetStatus[[#This Row],[Status]],
 IF(
  AND(
   tblTargetStatus[[#This Row],[MissingDependencies]]=1,
   tblTargetStatus[[#This Row],[FirstMissingStatus]]="READY"
  ),
  "ONE AWAY",
  "BLOCKED"
 )
)</f>
        <v>BLOCKED</v>
      </c>
      <c r="R304">
        <f>IF(
 OR(
  tblTargetStatus[[#This Row],[StateType]]="CHARACTER",
  RIGHT(tblTargetStatus[[#This Row],[TargetID]],6)=".maxed"
 ),
 0,
 _xlfn.LET(
  _xlpm.sort,
   _xlfn.XLOOKUP(
    tblTargetStatus[[#This Row],[TargetID]],
    tblChecklist[TargetID],
    tblChecklist[PlayerSort],
    0
   ),
  IF(_xlpm.sort=0,500,_xlpm.sort)
 )
)</f>
        <v>500</v>
      </c>
      <c r="S304" t="str" cm="1">
        <f t="array" ref="S30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3 Finished, Obtain 8 MALU</v>
      </c>
      <c r="T304" t="str">
        <f>_xlfn.XLOOKUP(tblTargetStatus[[#This Row],[TargetID]],tblTargets[TargetID],tblTargets[CompletionMethod],"")</f>
        <v>PLAYER</v>
      </c>
      <c r="U304" t="b">
        <f>COUNTIF(
    tblCost[TargetID],
    tblTargetStatus[[#This Row],[TargetID]]
)&gt;0</f>
        <v>0</v>
      </c>
      <c r="V304" s="81" t="str">
        <f>IF(tblTargetStatus[[#This Row],[HasCost]]=FALSE,
"N/A",
_xlfn.XLOOKUP(
tblTargetStatus[[#This Row],[TargetID]],
tblCost[TargetID],
tblCost[FundingPercent],
""
)
)</f>
        <v>N/A</v>
      </c>
      <c r="W304" t="str">
        <f>IF(
COUNTIF(tblCost[TargetID],tblTargetStatus[[#This Row],[TargetID]])=0,
"",
_xlfn.XLOOKUP(
tblTargetStatus[[#This Row],[TargetID]],
tblCost[TargetID],
tblCost[RemainingRequirements],
""
)
)</f>
        <v/>
      </c>
      <c r="X304" s="79" t="str">
        <f>IF(tblTargetStatus[[#This Row],[HasCost]]=FALSE,"N/A",_xlfn.XLOOKUP(
tblTargetStatus[[#This Row],[TargetID]],
tblCost[TargetID],
tblCost[TargetFunded],
TRUE
))</f>
        <v>N/A</v>
      </c>
      <c r="Y304" t="str" cm="1">
        <f t="array" ref="Y304">_xlfn.TEXTJOIN(
", ",
TRUE,
_xlfn._xlws.FILTER(
tblCost[ResourceID]&amp;": "&amp;tblCost[QuantityRequired],
(tblCost[TargetID]=tblTargetStatus[[#This Row],[TargetID]])*
(tblCost[PlayerPaid]=FALSE),
""
)
)</f>
        <v/>
      </c>
      <c r="Z3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4" t="str" cm="1">
        <f t="array" ref="AA30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05" spans="1:27">
      <c r="A305" t="s">
        <v>2486</v>
      </c>
      <c r="B305" t="str">
        <f>_xlfn.XLOOKUP(tblTargetStatus[[#This Row],[TargetID]],tblTargets[TargetID],tblTargets[DisplayName],"")</f>
        <v>Once Upon a Forest Chapter 3 Finished</v>
      </c>
      <c r="C305" t="str">
        <f>IF(tblTargetStatus[[#This Row],[PlayerCompleted]],"COMPLETED",IF(tblTargetStatus[[#This Row],[MissingDependencies]]=0,"READY","BLOCKED"))</f>
        <v>BLOCKED</v>
      </c>
      <c r="D3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5" t="str">
        <f>_xlfn.XLOOKUP(tblTargetStatus[[#This Row],[TargetID]],tblTargets[TargetID],tblTargets[TargetType],"")</f>
        <v>QUEST</v>
      </c>
      <c r="F305" t="str">
        <f>_xlfn.XLOOKUP(tblTargetStatus[[#This Row],[TargetID]],tblTargets[TargetID],tblTargets[StateType])</f>
        <v/>
      </c>
      <c r="G305">
        <f>_xlfn.LET(
_xlpm.id,tblTargetStatus[[#This Row],[TargetID]],
_xlpm.depCount,COUNTIF(tblDependencies[TargetID],_xlpm.id),
_xlpm.objCount,COUNTIF(tblQuestObjectives[QuestTargetID],_xlpm.id),
_xlpm.depCount+_xlpm.objCount
)</f>
        <v>2</v>
      </c>
      <c r="H305">
        <f>tblTargetStatus[[#This Row],[DependencyCount]]</f>
        <v>2</v>
      </c>
      <c r="I305" cm="1">
        <f t="array" ref="I3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5">
        <f>tblTargetStatus[[#This Row],[CompletedDependencyCount]]</f>
        <v>0</v>
      </c>
      <c r="K305" t="b">
        <f>tblTargetStatus[[#This Row],[CompletedDependencies]]=tblTargetStatus[[#This Row],[TotalDependencies]]</f>
        <v>0</v>
      </c>
      <c r="L305">
        <f>tblTargetStatus[[#This Row],[TotalDependencies]]-tblTargetStatus[[#This Row],[CompletedDependencies]]</f>
        <v>2</v>
      </c>
      <c r="M305" t="str" cm="1">
        <f t="array" ref="M3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quest.once_upon_a_forest_chapter_3.accepted</v>
      </c>
      <c r="N305" t="str">
        <f>IF(tblTargetStatus[[#This Row],[FirstMissingDependencyID]]="","",_xlfn.XLOOKUP(tblTargetStatus[[#This Row],[FirstMissingDependencyID]],tblTargets[TargetID],tblTargets[DisplayName],tblTargetStatus[[#This Row],[FirstMissingDependencyID]]))</f>
        <v>Once Upon a Forest Chapter 3 Accepted</v>
      </c>
      <c r="O305" s="2" cm="1">
        <f t="array" ref="O3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5" t="str">
        <f>IF(tblTargetStatus[[#This Row],[FirstMissingDependencyID]]="","",_xlfn.XLOOKUP(tblTargetStatus[[#This Row],[FirstMissingDependencyID]],tblTargetStatus[TargetID],tblTargetStatus[Status],""))</f>
        <v>BLOCKED</v>
      </c>
      <c r="Q305" t="str">
        <f>IF(
 tblTargetStatus[[#This Row],[Status]]&lt;&gt;"BLOCKED",
 tblTargetStatus[[#This Row],[Status]],
 IF(
  AND(
   tblTargetStatus[[#This Row],[MissingDependencies]]=1,
   tblTargetStatus[[#This Row],[FirstMissingStatus]]="READY"
  ),
  "ONE AWAY",
  "BLOCKED"
 )
)</f>
        <v>BLOCKED</v>
      </c>
      <c r="R305">
        <f>IF(
 OR(
  tblTargetStatus[[#This Row],[StateType]]="CHARACTER",
  RIGHT(tblTargetStatus[[#This Row],[TargetID]],6)=".maxed"
 ),
 0,
 _xlfn.LET(
  _xlpm.sort,
   _xlfn.XLOOKUP(
    tblTargetStatus[[#This Row],[TargetID]],
    tblChecklist[TargetID],
    tblChecklist[PlayerSort],
    0
   ),
  IF(_xlpm.sort=0,500,_xlpm.sort)
 )
)</f>
        <v>500</v>
      </c>
      <c r="S305" t="str" cm="1">
        <f t="array" ref="S30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Solver 1 Prototype, Once Upon a Forest Chapter 12 Accepted, Meet Mr Diligence@F1, Repeat Visit Dungeon@ F1</v>
      </c>
      <c r="T305" t="str">
        <f>_xlfn.XLOOKUP(tblTargetStatus[[#This Row],[TargetID]],tblTargets[TargetID],tblTargets[CompletionMethod],"")</f>
        <v>PLAYER</v>
      </c>
      <c r="U305" t="b">
        <f>COUNTIF(
    tblCost[TargetID],
    tblTargetStatus[[#This Row],[TargetID]]
)&gt;0</f>
        <v>0</v>
      </c>
      <c r="V305" s="81" t="str">
        <f>IF(tblTargetStatus[[#This Row],[HasCost]]=FALSE,
"N/A",
_xlfn.XLOOKUP(
tblTargetStatus[[#This Row],[TargetID]],
tblCost[TargetID],
tblCost[FundingPercent],
""
)
)</f>
        <v>N/A</v>
      </c>
      <c r="W305" t="str">
        <f>IF(
COUNTIF(tblCost[TargetID],tblTargetStatus[[#This Row],[TargetID]])=0,
"",
_xlfn.XLOOKUP(
tblTargetStatus[[#This Row],[TargetID]],
tblCost[TargetID],
tblCost[RemainingRequirements],
""
)
)</f>
        <v/>
      </c>
      <c r="X305" s="79" t="str">
        <f>IF(tblTargetStatus[[#This Row],[HasCost]]=FALSE,"N/A",_xlfn.XLOOKUP(
tblTargetStatus[[#This Row],[TargetID]],
tblCost[TargetID],
tblCost[TargetFunded],
TRUE
))</f>
        <v>N/A</v>
      </c>
      <c r="Y305" t="str" cm="1">
        <f t="array" ref="Y305">_xlfn.TEXTJOIN(
", ",
TRUE,
_xlfn._xlws.FILTER(
tblCost[ResourceID]&amp;": "&amp;tblCost[QuantityRequired],
(tblCost[TargetID]=tblTargetStatus[[#This Row],[TargetID]])*
(tblCost[PlayerPaid]=FALSE),
""
)
)</f>
        <v/>
      </c>
      <c r="Z3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5" t="str" cm="1">
        <f t="array" ref="AA30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12</v>
      </c>
    </row>
    <row r="306" spans="1:27">
      <c r="A306" t="s">
        <v>2339</v>
      </c>
      <c r="B306" t="str">
        <f>_xlfn.XLOOKUP(tblTargetStatus[[#This Row],[TargetID]],tblTargets[TargetID],tblTargets[DisplayName],"")</f>
        <v>Once Upon a Forest Chapter 4 Accepted</v>
      </c>
      <c r="C306" t="str">
        <f>IF(tblTargetStatus[[#This Row],[PlayerCompleted]],"COMPLETED",IF(tblTargetStatus[[#This Row],[MissingDependencies]]=0,"READY","BLOCKED"))</f>
        <v>BLOCKED</v>
      </c>
      <c r="D3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6" t="str">
        <f>_xlfn.XLOOKUP(tblTargetStatus[[#This Row],[TargetID]],tblTargets[TargetID],tblTargets[TargetType],"")</f>
        <v>QUEST</v>
      </c>
      <c r="F306" t="str">
        <f>_xlfn.XLOOKUP(tblTargetStatus[[#This Row],[TargetID]],tblTargets[TargetID],tblTargets[StateType])</f>
        <v/>
      </c>
      <c r="G306">
        <f>_xlfn.LET(
_xlpm.id,tblTargetStatus[[#This Row],[TargetID]],
_xlpm.depCount,COUNTIF(tblDependencies[TargetID],_xlpm.id),
_xlpm.objCount,COUNTIF(tblQuestObjectives[QuestTargetID],_xlpm.id),
_xlpm.depCount+_xlpm.objCount
)</f>
        <v>1</v>
      </c>
      <c r="H306">
        <f>tblTargetStatus[[#This Row],[DependencyCount]]</f>
        <v>1</v>
      </c>
      <c r="I306" cm="1">
        <f t="array" ref="I3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6">
        <f>tblTargetStatus[[#This Row],[CompletedDependencyCount]]</f>
        <v>0</v>
      </c>
      <c r="K306" t="b">
        <f>tblTargetStatus[[#This Row],[CompletedDependencies]]=tblTargetStatus[[#This Row],[TotalDependencies]]</f>
        <v>0</v>
      </c>
      <c r="L306">
        <f>tblTargetStatus[[#This Row],[TotalDependencies]]-tblTargetStatus[[#This Row],[CompletedDependencies]]</f>
        <v>1</v>
      </c>
      <c r="M306" t="str" cm="1">
        <f t="array" ref="M3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state.meet_raven@f1_second_time</v>
      </c>
      <c r="N306" t="str">
        <f>IF(tblTargetStatus[[#This Row],[FirstMissingDependencyID]]="","",_xlfn.XLOOKUP(tblTargetStatus[[#This Row],[FirstMissingDependencyID]],tblTargets[TargetID],tblTargets[DisplayName],tblTargetStatus[[#This Row],[FirstMissingDependencyID]]))</f>
        <v>Repeat Visit Dungeon@ F1</v>
      </c>
      <c r="O306" s="2" cm="1">
        <f t="array" ref="O3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6" t="str">
        <f>IF(tblTargetStatus[[#This Row],[FirstMissingDependencyID]]="","",_xlfn.XLOOKUP(tblTargetStatus[[#This Row],[FirstMissingDependencyID]],tblTargetStatus[TargetID],tblTargetStatus[Status],""))</f>
        <v>BLOCKED</v>
      </c>
      <c r="Q306" t="str">
        <f>IF(
 tblTargetStatus[[#This Row],[Status]]&lt;&gt;"BLOCKED",
 tblTargetStatus[[#This Row],[Status]],
 IF(
  AND(
   tblTargetStatus[[#This Row],[MissingDependencies]]=1,
   tblTargetStatus[[#This Row],[FirstMissingStatus]]="READY"
  ),
  "ONE AWAY",
  "BLOCKED"
 )
)</f>
        <v>BLOCKED</v>
      </c>
      <c r="R306">
        <f>IF(
 OR(
  tblTargetStatus[[#This Row],[StateType]]="CHARACTER",
  RIGHT(tblTargetStatus[[#This Row],[TargetID]],6)=".maxed"
 ),
 0,
 _xlfn.LET(
  _xlpm.sort,
   _xlfn.XLOOKUP(
    tblTargetStatus[[#This Row],[TargetID]],
    tblChecklist[TargetID],
    tblChecklist[PlayerSort],
    0
   ),
  IF(_xlpm.sort=0,500,_xlpm.sort)
 )
)</f>
        <v>500</v>
      </c>
      <c r="S306" t="str" cm="1">
        <f t="array" ref="S30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4 Finished, Discover the gate in 3C to F2, Discover the gate in 4C to F3, Discover the gate in 5C to F4</v>
      </c>
      <c r="T306" t="str">
        <f>_xlfn.XLOOKUP(tblTargetStatus[[#This Row],[TargetID]],tblTargets[TargetID],tblTargets[CompletionMethod],"")</f>
        <v>PLAYER</v>
      </c>
      <c r="U306" t="b">
        <f>COUNTIF(
    tblCost[TargetID],
    tblTargetStatus[[#This Row],[TargetID]]
)&gt;0</f>
        <v>0</v>
      </c>
      <c r="V306" s="81" t="str">
        <f>IF(tblTargetStatus[[#This Row],[HasCost]]=FALSE,
"N/A",
_xlfn.XLOOKUP(
tblTargetStatus[[#This Row],[TargetID]],
tblCost[TargetID],
tblCost[FundingPercent],
""
)
)</f>
        <v>N/A</v>
      </c>
      <c r="W306" t="str">
        <f>IF(
COUNTIF(tblCost[TargetID],tblTargetStatus[[#This Row],[TargetID]])=0,
"",
_xlfn.XLOOKUP(
tblTargetStatus[[#This Row],[TargetID]],
tblCost[TargetID],
tblCost[RemainingRequirements],
""
)
)</f>
        <v/>
      </c>
      <c r="X306" s="79" t="str">
        <f>IF(tblTargetStatus[[#This Row],[HasCost]]=FALSE,"N/A",_xlfn.XLOOKUP(
tblTargetStatus[[#This Row],[TargetID]],
tblCost[TargetID],
tblCost[TargetFunded],
TRUE
))</f>
        <v>N/A</v>
      </c>
      <c r="Y306" t="str" cm="1">
        <f t="array" ref="Y306">_xlfn.TEXTJOIN(
", ",
TRUE,
_xlfn._xlws.FILTER(
tblCost[ResourceID]&amp;": "&amp;tblCost[QuantityRequired],
(tblCost[TargetID]=tblTargetStatus[[#This Row],[TargetID]])*
(tblCost[PlayerPaid]=FALSE),
""
)
)</f>
        <v/>
      </c>
      <c r="Z3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6" t="str" cm="1">
        <f t="array" ref="AA30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07" spans="1:27">
      <c r="A307" t="s">
        <v>2488</v>
      </c>
      <c r="B307" t="str">
        <f>_xlfn.XLOOKUP(tblTargetStatus[[#This Row],[TargetID]],tblTargets[TargetID],tblTargets[DisplayName],"")</f>
        <v>Once Upon a Forest Chapter 4 Finished</v>
      </c>
      <c r="C307" t="str">
        <f>IF(tblTargetStatus[[#This Row],[PlayerCompleted]],"COMPLETED",IF(tblTargetStatus[[#This Row],[MissingDependencies]]=0,"READY","BLOCKED"))</f>
        <v>BLOCKED</v>
      </c>
      <c r="D3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7" t="str">
        <f>_xlfn.XLOOKUP(tblTargetStatus[[#This Row],[TargetID]],tblTargets[TargetID],tblTargets[TargetType],"")</f>
        <v>QUEST</v>
      </c>
      <c r="F307" t="str">
        <f>_xlfn.XLOOKUP(tblTargetStatus[[#This Row],[TargetID]],tblTargets[TargetID],tblTargets[StateType])</f>
        <v/>
      </c>
      <c r="G307">
        <f>_xlfn.LET(
_xlpm.id,tblTargetStatus[[#This Row],[TargetID]],
_xlpm.depCount,COUNTIF(tblDependencies[TargetID],_xlpm.id),
_xlpm.objCount,COUNTIF(tblQuestObjectives[QuestTargetID],_xlpm.id),
_xlpm.depCount+_xlpm.objCount
)</f>
        <v>4</v>
      </c>
      <c r="H307">
        <f>tblTargetStatus[[#This Row],[DependencyCount]]</f>
        <v>4</v>
      </c>
      <c r="I307" cm="1">
        <f t="array" ref="I3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7">
        <f>tblTargetStatus[[#This Row],[CompletedDependencyCount]]</f>
        <v>0</v>
      </c>
      <c r="K307" t="b">
        <f>tblTargetStatus[[#This Row],[CompletedDependencies]]=tblTargetStatus[[#This Row],[TotalDependencies]]</f>
        <v>0</v>
      </c>
      <c r="L307">
        <f>tblTargetStatus[[#This Row],[TotalDependencies]]-tblTargetStatus[[#This Row],[CompletedDependencies]]</f>
        <v>4</v>
      </c>
      <c r="M307" t="str" cm="1">
        <f t="array" ref="M3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quest.once_upon_a_forest_chapter_4.accepted</v>
      </c>
      <c r="N307" t="str">
        <f>IF(tblTargetStatus[[#This Row],[FirstMissingDependencyID]]="","",_xlfn.XLOOKUP(tblTargetStatus[[#This Row],[FirstMissingDependencyID]],tblTargets[TargetID],tblTargets[DisplayName],tblTargetStatus[[#This Row],[FirstMissingDependencyID]]))</f>
        <v>Once Upon a Forest Chapter 4 Accepted</v>
      </c>
      <c r="O307" s="2" cm="1">
        <f t="array" ref="O3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7" t="str">
        <f>IF(tblTargetStatus[[#This Row],[FirstMissingDependencyID]]="","",_xlfn.XLOOKUP(tblTargetStatus[[#This Row],[FirstMissingDependencyID]],tblTargetStatus[TargetID],tblTargetStatus[Status],""))</f>
        <v>BLOCKED</v>
      </c>
      <c r="Q307" t="str">
        <f>IF(
 tblTargetStatus[[#This Row],[Status]]&lt;&gt;"BLOCKED",
 tblTargetStatus[[#This Row],[Status]],
 IF(
  AND(
   tblTargetStatus[[#This Row],[MissingDependencies]]=1,
   tblTargetStatus[[#This Row],[FirstMissingStatus]]="READY"
  ),
  "ONE AWAY",
  "BLOCKED"
 )
)</f>
        <v>BLOCKED</v>
      </c>
      <c r="R307">
        <f>IF(
 OR(
  tblTargetStatus[[#This Row],[StateType]]="CHARACTER",
  RIGHT(tblTargetStatus[[#This Row],[TargetID]],6)=".maxed"
 ),
 0,
 _xlfn.LET(
  _xlpm.sort,
   _xlfn.XLOOKUP(
    tblTargetStatus[[#This Row],[TargetID]],
    tblChecklist[TargetID],
    tblChecklist[PlayerSort],
    0
   ),
  IF(_xlpm.sort=0,500,_xlpm.sort)
 )
)</f>
        <v>500</v>
      </c>
      <c r="S307" t="str" cm="1">
        <f t="array" ref="S30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5 Accepted, Meet Mrs Diligance@F2</v>
      </c>
      <c r="T307" t="str">
        <f>_xlfn.XLOOKUP(tblTargetStatus[[#This Row],[TargetID]],tblTargets[TargetID],tblTargets[CompletionMethod],"")</f>
        <v>PLAYER</v>
      </c>
      <c r="U307" t="b">
        <f>COUNTIF(
    tblCost[TargetID],
    tblTargetStatus[[#This Row],[TargetID]]
)&gt;0</f>
        <v>0</v>
      </c>
      <c r="V307" s="81" t="str">
        <f>IF(tblTargetStatus[[#This Row],[HasCost]]=FALSE,
"N/A",
_xlfn.XLOOKUP(
tblTargetStatus[[#This Row],[TargetID]],
tblCost[TargetID],
tblCost[FundingPercent],
""
)
)</f>
        <v>N/A</v>
      </c>
      <c r="W307" t="str">
        <f>IF(
COUNTIF(tblCost[TargetID],tblTargetStatus[[#This Row],[TargetID]])=0,
"",
_xlfn.XLOOKUP(
tblTargetStatus[[#This Row],[TargetID]],
tblCost[TargetID],
tblCost[RemainingRequirements],
""
)
)</f>
        <v/>
      </c>
      <c r="X307" s="79" t="str">
        <f>IF(tblTargetStatus[[#This Row],[HasCost]]=FALSE,"N/A",_xlfn.XLOOKUP(
tblTargetStatus[[#This Row],[TargetID]],
tblCost[TargetID],
tblCost[TargetFunded],
TRUE
))</f>
        <v>N/A</v>
      </c>
      <c r="Y307" t="str" cm="1">
        <f t="array" ref="Y307">_xlfn.TEXTJOIN(
", ",
TRUE,
_xlfn._xlws.FILTER(
tblCost[ResourceID]&amp;": "&amp;tblCost[QuantityRequired],
(tblCost[TargetID]=tblTargetStatus[[#This Row],[TargetID]])*
(tblCost[PlayerPaid]=FALSE),
""
)
)</f>
        <v/>
      </c>
      <c r="Z3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7" t="str" cm="1">
        <f t="array" ref="AA30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5</v>
      </c>
    </row>
    <row r="308" spans="1:27">
      <c r="A308" t="s">
        <v>2342</v>
      </c>
      <c r="B308" t="str">
        <f>_xlfn.XLOOKUP(tblTargetStatus[[#This Row],[TargetID]],tblTargets[TargetID],tblTargets[DisplayName],"")</f>
        <v>Once Upon a Forest Chapter 5 Accepted</v>
      </c>
      <c r="C308" t="str">
        <f>IF(tblTargetStatus[[#This Row],[PlayerCompleted]],"COMPLETED",IF(tblTargetStatus[[#This Row],[MissingDependencies]]=0,"READY","BLOCKED"))</f>
        <v>BLOCKED</v>
      </c>
      <c r="D3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8" t="str">
        <f>_xlfn.XLOOKUP(tblTargetStatus[[#This Row],[TargetID]],tblTargets[TargetID],tblTargets[TargetType],"")</f>
        <v>QUEST</v>
      </c>
      <c r="F308" t="str">
        <f>_xlfn.XLOOKUP(tblTargetStatus[[#This Row],[TargetID]],tblTargets[TargetID],tblTargets[StateType])</f>
        <v/>
      </c>
      <c r="G308">
        <f>_xlfn.LET(
_xlpm.id,tblTargetStatus[[#This Row],[TargetID]],
_xlpm.depCount,COUNTIF(tblDependencies[TargetID],_xlpm.id),
_xlpm.objCount,COUNTIF(tblQuestObjectives[QuestTargetID],_xlpm.id),
_xlpm.depCount+_xlpm.objCount
)</f>
        <v>2</v>
      </c>
      <c r="H308">
        <f>tblTargetStatus[[#This Row],[DependencyCount]]</f>
        <v>2</v>
      </c>
      <c r="I308" cm="1">
        <f t="array" ref="I3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8">
        <f>tblTargetStatus[[#This Row],[CompletedDependencyCount]]</f>
        <v>0</v>
      </c>
      <c r="K308" t="b">
        <f>tblTargetStatus[[#This Row],[CompletedDependencies]]=tblTargetStatus[[#This Row],[TotalDependencies]]</f>
        <v>0</v>
      </c>
      <c r="L308">
        <f>tblTargetStatus[[#This Row],[TotalDependencies]]-tblTargetStatus[[#This Row],[CompletedDependencies]]</f>
        <v>2</v>
      </c>
      <c r="M308" t="str" cm="1">
        <f t="array" ref="M3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quest.once_upon_a_forest_chapter_4.finished</v>
      </c>
      <c r="N308" t="str">
        <f>IF(tblTargetStatus[[#This Row],[FirstMissingDependencyID]]="","",_xlfn.XLOOKUP(tblTargetStatus[[#This Row],[FirstMissingDependencyID]],tblTargets[TargetID],tblTargets[DisplayName],tblTargetStatus[[#This Row],[FirstMissingDependencyID]]))</f>
        <v>Once Upon a Forest Chapter 4 Finished</v>
      </c>
      <c r="O308" t="str" cm="1">
        <f t="array" ref="O3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cup:2,smoothie2:2,silk:2,thread:4</v>
      </c>
      <c r="P308" t="str">
        <f>IF(tblTargetStatus[[#This Row],[FirstMissingDependencyID]]="","",_xlfn.XLOOKUP(tblTargetStatus[[#This Row],[FirstMissingDependencyID]],tblTargetStatus[TargetID],tblTargetStatus[Status],""))</f>
        <v>BLOCKED</v>
      </c>
      <c r="Q308" t="str">
        <f>IF(
 tblTargetStatus[[#This Row],[Status]]&lt;&gt;"BLOCKED",
 tblTargetStatus[[#This Row],[Status]],
 IF(
  AND(
   tblTargetStatus[[#This Row],[MissingDependencies]]=1,
   tblTargetStatus[[#This Row],[FirstMissingStatus]]="READY"
  ),
  "ONE AWAY",
  "BLOCKED"
 )
)</f>
        <v>BLOCKED</v>
      </c>
      <c r="R308">
        <f>IF(
 OR(
  tblTargetStatus[[#This Row],[StateType]]="CHARACTER",
  RIGHT(tblTargetStatus[[#This Row],[TargetID]],6)=".maxed"
 ),
 0,
 _xlfn.LET(
  _xlpm.sort,
   _xlfn.XLOOKUP(
    tblTargetStatus[[#This Row],[TargetID]],
    tblChecklist[TargetID],
    tblChecklist[PlayerSort],
    0
   ),
  IF(_xlpm.sort=0,500,_xlpm.sort)
 )
)</f>
        <v>500</v>
      </c>
      <c r="S308" t="str" cm="1">
        <f t="array" ref="S30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5 Finished, Once Upon a Forest Chapter 6 Accepted, Meet Forest Fairy@F2</v>
      </c>
      <c r="T308" t="str">
        <f>_xlfn.XLOOKUP(tblTargetStatus[[#This Row],[TargetID]],tblTargets[TargetID],tblTargets[CompletionMethod],"")</f>
        <v>PLAYER</v>
      </c>
      <c r="U308" t="b">
        <f>COUNTIF(
    tblCost[TargetID],
    tblTargetStatus[[#This Row],[TargetID]]
)&gt;0</f>
        <v>0</v>
      </c>
      <c r="V308" s="81" t="str">
        <f>IF(tblTargetStatus[[#This Row],[HasCost]]=FALSE,
"N/A",
_xlfn.XLOOKUP(
tblTargetStatus[[#This Row],[TargetID]],
tblCost[TargetID],
tblCost[FundingPercent],
""
)
)</f>
        <v>N/A</v>
      </c>
      <c r="W308" t="str">
        <f>IF(
COUNTIF(tblCost[TargetID],tblTargetStatus[[#This Row],[TargetID]])=0,
"",
_xlfn.XLOOKUP(
tblTargetStatus[[#This Row],[TargetID]],
tblCost[TargetID],
tblCost[RemainingRequirements],
""
)
)</f>
        <v/>
      </c>
      <c r="X308" s="79" t="str">
        <f>IF(tblTargetStatus[[#This Row],[HasCost]]=FALSE,"N/A",_xlfn.XLOOKUP(
tblTargetStatus[[#This Row],[TargetID]],
tblCost[TargetID],
tblCost[TargetFunded],
TRUE
))</f>
        <v>N/A</v>
      </c>
      <c r="Y308" t="str" cm="1">
        <f t="array" ref="Y308">_xlfn.TEXTJOIN(
", ",
TRUE,
_xlfn._xlws.FILTER(
tblCost[ResourceID]&amp;": "&amp;tblCost[QuantityRequired],
(tblCost[TargetID]=tblTargetStatus[[#This Row],[TargetID]])*
(tblCost[PlayerPaid]=FALSE),
""
)
)</f>
        <v/>
      </c>
      <c r="Z3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8" t="str" cm="1">
        <f t="array" ref="AA30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6</v>
      </c>
    </row>
    <row r="309" spans="1:27">
      <c r="A309" t="s">
        <v>2490</v>
      </c>
      <c r="B309" t="str">
        <f>_xlfn.XLOOKUP(tblTargetStatus[[#This Row],[TargetID]],tblTargets[TargetID],tblTargets[DisplayName],"")</f>
        <v>Once Upon a Forest Chapter 5 Finished</v>
      </c>
      <c r="C309" t="str">
        <f>IF(tblTargetStatus[[#This Row],[PlayerCompleted]],"COMPLETED",IF(tblTargetStatus[[#This Row],[MissingDependencies]]=0,"READY","BLOCKED"))</f>
        <v>BLOCKED</v>
      </c>
      <c r="D3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9" t="str">
        <f>_xlfn.XLOOKUP(tblTargetStatus[[#This Row],[TargetID]],tblTargets[TargetID],tblTargets[TargetType],"")</f>
        <v>QUEST</v>
      </c>
      <c r="F309" t="str">
        <f>_xlfn.XLOOKUP(tblTargetStatus[[#This Row],[TargetID]],tblTargets[TargetID],tblTargets[StateType])</f>
        <v/>
      </c>
      <c r="G309">
        <f>_xlfn.LET(
_xlpm.id,tblTargetStatus[[#This Row],[TargetID]],
_xlpm.depCount,COUNTIF(tblDependencies[TargetID],_xlpm.id),
_xlpm.objCount,COUNTIF(tblQuestObjectives[QuestTargetID],_xlpm.id),
_xlpm.depCount+_xlpm.objCount
)</f>
        <v>1</v>
      </c>
      <c r="H309">
        <f>tblTargetStatus[[#This Row],[DependencyCount]]</f>
        <v>1</v>
      </c>
      <c r="I309" cm="1">
        <f t="array" ref="I3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9">
        <f>tblTargetStatus[[#This Row],[CompletedDependencyCount]]</f>
        <v>0</v>
      </c>
      <c r="K309" t="b">
        <f>tblTargetStatus[[#This Row],[CompletedDependencies]]=tblTargetStatus[[#This Row],[TotalDependencies]]</f>
        <v>0</v>
      </c>
      <c r="L309">
        <f>tblTargetStatus[[#This Row],[TotalDependencies]]-tblTargetStatus[[#This Row],[CompletedDependencies]]</f>
        <v>1</v>
      </c>
      <c r="M309" t="str" cm="1">
        <f t="array" ref="M3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quest.once_upon_a_forest_chapter_5.accepted</v>
      </c>
      <c r="N309" t="str">
        <f>IF(tblTargetStatus[[#This Row],[FirstMissingDependencyID]]="","",_xlfn.XLOOKUP(tblTargetStatus[[#This Row],[FirstMissingDependencyID]],tblTargets[TargetID],tblTargets[DisplayName],tblTargetStatus[[#This Row],[FirstMissingDependencyID]]))</f>
        <v>Once Upon a Forest Chapter 5 Accepted</v>
      </c>
      <c r="O309" s="2" t="str" cm="1">
        <f t="array" ref="O3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cup:2,smoothie2:2,silk:2,thread:4</v>
      </c>
      <c r="P309" t="str">
        <f>IF(tblTargetStatus[[#This Row],[FirstMissingDependencyID]]="","",_xlfn.XLOOKUP(tblTargetStatus[[#This Row],[FirstMissingDependencyID]],tblTargetStatus[TargetID],tblTargetStatus[Status],""))</f>
        <v>BLOCKED</v>
      </c>
      <c r="Q309" t="str">
        <f>IF(
 tblTargetStatus[[#This Row],[Status]]&lt;&gt;"BLOCKED",
 tblTargetStatus[[#This Row],[Status]],
 IF(
  AND(
   tblTargetStatus[[#This Row],[MissingDependencies]]=1,
   tblTargetStatus[[#This Row],[FirstMissingStatus]]="READY"
  ),
  "ONE AWAY",
  "BLOCKED"
 )
)</f>
        <v>BLOCKED</v>
      </c>
      <c r="R309">
        <f>IF(
 OR(
  tblTargetStatus[[#This Row],[StateType]]="CHARACTER",
  RIGHT(tblTargetStatus[[#This Row],[TargetID]],6)=".maxed"
 ),
 0,
 _xlfn.LET(
  _xlpm.sort,
   _xlfn.XLOOKUP(
    tblTargetStatus[[#This Row],[TargetID]],
    tblChecklist[TargetID],
    tblChecklist[PlayerSort],
    0
   ),
  IF(_xlpm.sort=0,500,_xlpm.sort)
 )
)</f>
        <v>500</v>
      </c>
      <c r="S309" t="str" cm="1">
        <f t="array" ref="S30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15 Accepted, Tailor - Bedroll</v>
      </c>
      <c r="T309" t="str">
        <f>_xlfn.XLOOKUP(tblTargetStatus[[#This Row],[TargetID]],tblTargets[TargetID],tblTargets[CompletionMethod],"")</f>
        <v>PLAYER</v>
      </c>
      <c r="U309" t="b">
        <f>COUNTIF(
    tblCost[TargetID],
    tblTargetStatus[[#This Row],[TargetID]]
)&gt;0</f>
        <v>1</v>
      </c>
      <c r="V309" s="81">
        <f>IF(tblTargetStatus[[#This Row],[HasCost]]=FALSE,
"N/A",
_xlfn.XLOOKUP(
tblTargetStatus[[#This Row],[TargetID]],
tblCost[TargetID],
tblCost[FundingPercent],
""
)
)</f>
        <v>0</v>
      </c>
      <c r="W309">
        <f>IF(
COUNTIF(tblCost[TargetID],tblTargetStatus[[#This Row],[TargetID]])=0,
"",
_xlfn.XLOOKUP(
tblTargetStatus[[#This Row],[TargetID]],
tblCost[TargetID],
tblCost[RemainingRequirements],
""
)
)</f>
        <v>4</v>
      </c>
      <c r="X309" s="79" t="b">
        <f>IF(tblTargetStatus[[#This Row],[HasCost]]=FALSE,"N/A",_xlfn.XLOOKUP(
tblTargetStatus[[#This Row],[TargetID]],
tblCost[TargetID],
tblCost[TargetFunded],
TRUE
))</f>
        <v>0</v>
      </c>
      <c r="Y309" t="str" cm="1">
        <f t="array" ref="Y309">_xlfn.TEXTJOIN(
", ",
TRUE,
_xlfn._xlws.FILTER(
tblCost[ResourceID]&amp;": "&amp;tblCost[QuantityRequired],
(tblCost[TargetID]=tblTargetStatus[[#This Row],[TargetID]])*
(tblCost[PlayerPaid]=FALSE),
""
)
)</f>
        <v>cup: 2, smoothie2: 2, silk: 2, thread: 4</v>
      </c>
      <c r="Z3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9" t="str" cm="1">
        <f t="array" ref="AA30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15</v>
      </c>
    </row>
    <row r="310" spans="1:27">
      <c r="A310" t="s">
        <v>2345</v>
      </c>
      <c r="B310" t="str">
        <f>_xlfn.XLOOKUP(tblTargetStatus[[#This Row],[TargetID]],tblTargets[TargetID],tblTargets[DisplayName],"")</f>
        <v>Once Upon a Forest Chapter 6 Accepted</v>
      </c>
      <c r="C310" t="str">
        <f>IF(tblTargetStatus[[#This Row],[PlayerCompleted]],"COMPLETED",IF(tblTargetStatus[[#This Row],[MissingDependencies]]=0,"READY","BLOCKED"))</f>
        <v>BLOCKED</v>
      </c>
      <c r="D3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0" t="str">
        <f>_xlfn.XLOOKUP(tblTargetStatus[[#This Row],[TargetID]],tblTargets[TargetID],tblTargets[TargetType],"")</f>
        <v>QUEST</v>
      </c>
      <c r="F310" t="str">
        <f>_xlfn.XLOOKUP(tblTargetStatus[[#This Row],[TargetID]],tblTargets[TargetID],tblTargets[StateType])</f>
        <v/>
      </c>
      <c r="G310">
        <f>_xlfn.LET(
_xlpm.id,tblTargetStatus[[#This Row],[TargetID]],
_xlpm.depCount,COUNTIF(tblDependencies[TargetID],_xlpm.id),
_xlpm.objCount,COUNTIF(tblQuestObjectives[QuestTargetID],_xlpm.id),
_xlpm.depCount+_xlpm.objCount
)</f>
        <v>2</v>
      </c>
      <c r="H310">
        <f>tblTargetStatus[[#This Row],[DependencyCount]]</f>
        <v>2</v>
      </c>
      <c r="I310" cm="1">
        <f t="array" ref="I3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0">
        <f>tblTargetStatus[[#This Row],[CompletedDependencyCount]]</f>
        <v>0</v>
      </c>
      <c r="K310" t="b">
        <f>tblTargetStatus[[#This Row],[CompletedDependencies]]=tblTargetStatus[[#This Row],[TotalDependencies]]</f>
        <v>0</v>
      </c>
      <c r="L310">
        <f>tblTargetStatus[[#This Row],[TotalDependencies]]-tblTargetStatus[[#This Row],[CompletedDependencies]]</f>
        <v>2</v>
      </c>
      <c r="M310" t="str" cm="1">
        <f t="array" ref="M3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quest.once_upon_a_forest_chapter_5.accepted</v>
      </c>
      <c r="N310" t="str">
        <f>IF(tblTargetStatus[[#This Row],[FirstMissingDependencyID]]="","",_xlfn.XLOOKUP(tblTargetStatus[[#This Row],[FirstMissingDependencyID]],tblTargets[TargetID],tblTargets[DisplayName],tblTargetStatus[[#This Row],[FirstMissingDependencyID]]))</f>
        <v>Once Upon a Forest Chapter 5 Accepted</v>
      </c>
      <c r="O310" cm="1">
        <f t="array" ref="O3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0" t="str">
        <f>IF(tblTargetStatus[[#This Row],[FirstMissingDependencyID]]="","",_xlfn.XLOOKUP(tblTargetStatus[[#This Row],[FirstMissingDependencyID]],tblTargetStatus[TargetID],tblTargetStatus[Status],""))</f>
        <v>BLOCKED</v>
      </c>
      <c r="Q310" t="str">
        <f>IF(
 tblTargetStatus[[#This Row],[Status]]&lt;&gt;"BLOCKED",
 tblTargetStatus[[#This Row],[Status]],
 IF(
  AND(
   tblTargetStatus[[#This Row],[MissingDependencies]]=1,
   tblTargetStatus[[#This Row],[FirstMissingStatus]]="READY"
  ),
  "ONE AWAY",
  "BLOCKED"
 )
)</f>
        <v>BLOCKED</v>
      </c>
      <c r="R310">
        <f>IF(
 OR(
  tblTargetStatus[[#This Row],[StateType]]="CHARACTER",
  RIGHT(tblTargetStatus[[#This Row],[TargetID]],6)=".maxed"
 ),
 0,
 _xlfn.LET(
  _xlpm.sort,
   _xlfn.XLOOKUP(
    tblTargetStatus[[#This Row],[TargetID]],
    tblChecklist[TargetID],
    tblChecklist[PlayerSort],
    0
   ),
  IF(_xlpm.sort=0,500,_xlpm.sort)
 )
)</f>
        <v>500</v>
      </c>
      <c r="S310" t="str" cm="1">
        <f t="array" ref="S31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6 Finished, Deliver Potion of Mental Power to F2, Craft Potion of Mental Power, Alchemists Hut - Balm, Alchemists Hut - Potion Of Mental Power</v>
      </c>
      <c r="T310" t="str">
        <f>_xlfn.XLOOKUP(tblTargetStatus[[#This Row],[TargetID]],tblTargets[TargetID],tblTargets[CompletionMethod],"")</f>
        <v>PLAYER</v>
      </c>
      <c r="U310" t="b">
        <f>COUNTIF(
    tblCost[TargetID],
    tblTargetStatus[[#This Row],[TargetID]]
)&gt;0</f>
        <v>0</v>
      </c>
      <c r="V310" s="81" t="str">
        <f>IF(tblTargetStatus[[#This Row],[HasCost]]=FALSE,
"N/A",
_xlfn.XLOOKUP(
tblTargetStatus[[#This Row],[TargetID]],
tblCost[TargetID],
tblCost[FundingPercent],
""
)
)</f>
        <v>N/A</v>
      </c>
      <c r="W310" t="str">
        <f>IF(
COUNTIF(tblCost[TargetID],tblTargetStatus[[#This Row],[TargetID]])=0,
"",
_xlfn.XLOOKUP(
tblTargetStatus[[#This Row],[TargetID]],
tblCost[TargetID],
tblCost[RemainingRequirements],
""
)
)</f>
        <v/>
      </c>
      <c r="X310" s="79" t="str">
        <f>IF(tblTargetStatus[[#This Row],[HasCost]]=FALSE,"N/A",_xlfn.XLOOKUP(
tblTargetStatus[[#This Row],[TargetID]],
tblCost[TargetID],
tblCost[TargetFunded],
TRUE
))</f>
        <v>N/A</v>
      </c>
      <c r="Y310" t="str" cm="1">
        <f t="array" ref="Y310">_xlfn.TEXTJOIN(
", ",
TRUE,
_xlfn._xlws.FILTER(
tblCost[ResourceID]&amp;": "&amp;tblCost[QuantityRequired],
(tblCost[TargetID]=tblTargetStatus[[#This Row],[TargetID]])*
(tblCost[PlayerPaid]=FALSE),
""
)
)</f>
        <v/>
      </c>
      <c r="Z3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0" t="str" cm="1">
        <f t="array" ref="AA31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11" spans="1:27">
      <c r="A311" t="s">
        <v>2492</v>
      </c>
      <c r="B311" t="str">
        <f>_xlfn.XLOOKUP(tblTargetStatus[[#This Row],[TargetID]],tblTargets[TargetID],tblTargets[DisplayName],"")</f>
        <v>Once Upon a Forest Chapter 6 Finished</v>
      </c>
      <c r="C311" t="str">
        <f>IF(tblTargetStatus[[#This Row],[PlayerCompleted]],"COMPLETED",IF(tblTargetStatus[[#This Row],[MissingDependencies]]=0,"READY","BLOCKED"))</f>
        <v>BLOCKED</v>
      </c>
      <c r="D3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1" t="str">
        <f>_xlfn.XLOOKUP(tblTargetStatus[[#This Row],[TargetID]],tblTargets[TargetID],tblTargets[TargetType],"")</f>
        <v>QUEST</v>
      </c>
      <c r="F311" t="str">
        <f>_xlfn.XLOOKUP(tblTargetStatus[[#This Row],[TargetID]],tblTargets[TargetID],tblTargets[StateType])</f>
        <v/>
      </c>
      <c r="G311">
        <f>_xlfn.LET(
_xlpm.id,tblTargetStatus[[#This Row],[TargetID]],
_xlpm.depCount,COUNTIF(tblDependencies[TargetID],_xlpm.id),
_xlpm.objCount,COUNTIF(tblQuestObjectives[QuestTargetID],_xlpm.id),
_xlpm.depCount+_xlpm.objCount
)</f>
        <v>4</v>
      </c>
      <c r="H311">
        <f>tblTargetStatus[[#This Row],[DependencyCount]]</f>
        <v>4</v>
      </c>
      <c r="I311" cm="1">
        <f t="array" ref="I3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1">
        <f>tblTargetStatus[[#This Row],[CompletedDependencyCount]]</f>
        <v>0</v>
      </c>
      <c r="K311" t="b">
        <f>tblTargetStatus[[#This Row],[CompletedDependencies]]=tblTargetStatus[[#This Row],[TotalDependencies]]</f>
        <v>0</v>
      </c>
      <c r="L311">
        <f>tblTargetStatus[[#This Row],[TotalDependencies]]-tblTargetStatus[[#This Row],[CompletedDependencies]]</f>
        <v>4</v>
      </c>
      <c r="M311" t="str" cm="1">
        <f t="array" ref="M3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quest.once_upon_a_forest_chapter_6.accepted</v>
      </c>
      <c r="N311" t="str">
        <f>IF(tblTargetStatus[[#This Row],[FirstMissingDependencyID]]="","",_xlfn.XLOOKUP(tblTargetStatus[[#This Row],[FirstMissingDependencyID]],tblTargets[TargetID],tblTargets[DisplayName],tblTargetStatus[[#This Row],[FirstMissingDependencyID]]))</f>
        <v>Once Upon a Forest Chapter 6 Accepted</v>
      </c>
      <c r="O311" s="2" cm="1">
        <f t="array" ref="O3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1" t="str">
        <f>IF(tblTargetStatus[[#This Row],[FirstMissingDependencyID]]="","",_xlfn.XLOOKUP(tblTargetStatus[[#This Row],[FirstMissingDependencyID]],tblTargetStatus[TargetID],tblTargetStatus[Status],""))</f>
        <v>BLOCKED</v>
      </c>
      <c r="Q311" t="str">
        <f>IF(
 tblTargetStatus[[#This Row],[Status]]&lt;&gt;"BLOCKED",
 tblTargetStatus[[#This Row],[Status]],
 IF(
  AND(
   tblTargetStatus[[#This Row],[MissingDependencies]]=1,
   tblTargetStatus[[#This Row],[FirstMissingStatus]]="READY"
  ),
  "ONE AWAY",
  "BLOCKED"
 )
)</f>
        <v>BLOCKED</v>
      </c>
      <c r="R311">
        <f>IF(
 OR(
  tblTargetStatus[[#This Row],[StateType]]="CHARACTER",
  RIGHT(tblTargetStatus[[#This Row],[TargetID]],6)=".maxed"
 ),
 0,
 _xlfn.LET(
  _xlpm.sort,
   _xlfn.XLOOKUP(
    tblTargetStatus[[#This Row],[TargetID]],
    tblChecklist[TargetID],
    tblChecklist[PlayerSort],
    0
   ),
  IF(_xlpm.sort=0,500,_xlpm.sort)
 )
)</f>
        <v>500</v>
      </c>
      <c r="S311" t="str" cm="1">
        <f t="array" ref="S31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7 Accepted, Meet Dark Lady@F2, Alchemists Hut - Mercury</v>
      </c>
      <c r="T311" t="str">
        <f>_xlfn.XLOOKUP(tblTargetStatus[[#This Row],[TargetID]],tblTargets[TargetID],tblTargets[CompletionMethod],"")</f>
        <v>PLAYER</v>
      </c>
      <c r="U311" t="b">
        <f>COUNTIF(
    tblCost[TargetID],
    tblTargetStatus[[#This Row],[TargetID]]
)&gt;0</f>
        <v>0</v>
      </c>
      <c r="V311" s="81" t="str">
        <f>IF(tblTargetStatus[[#This Row],[HasCost]]=FALSE,
"N/A",
_xlfn.XLOOKUP(
tblTargetStatus[[#This Row],[TargetID]],
tblCost[TargetID],
tblCost[FundingPercent],
""
)
)</f>
        <v>N/A</v>
      </c>
      <c r="W311" t="str">
        <f>IF(
COUNTIF(tblCost[TargetID],tblTargetStatus[[#This Row],[TargetID]])=0,
"",
_xlfn.XLOOKUP(
tblTargetStatus[[#This Row],[TargetID]],
tblCost[TargetID],
tblCost[RemainingRequirements],
""
)
)</f>
        <v/>
      </c>
      <c r="X311" s="79" t="str">
        <f>IF(tblTargetStatus[[#This Row],[HasCost]]=FALSE,"N/A",_xlfn.XLOOKUP(
tblTargetStatus[[#This Row],[TargetID]],
tblCost[TargetID],
tblCost[TargetFunded],
TRUE
))</f>
        <v>N/A</v>
      </c>
      <c r="Y311" t="str" cm="1">
        <f t="array" ref="Y311">_xlfn.TEXTJOIN(
", ",
TRUE,
_xlfn._xlws.FILTER(
tblCost[ResourceID]&amp;": "&amp;tblCost[QuantityRequired],
(tblCost[TargetID]=tblTargetStatus[[#This Row],[TargetID]])*
(tblCost[PlayerPaid]=FALSE),
""
)
)</f>
        <v/>
      </c>
      <c r="Z3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1" t="str" cm="1">
        <f t="array" ref="AA31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7</v>
      </c>
    </row>
    <row r="312" spans="1:27">
      <c r="A312" t="s">
        <v>2348</v>
      </c>
      <c r="B312" t="str">
        <f>_xlfn.XLOOKUP(tblTargetStatus[[#This Row],[TargetID]],tblTargets[TargetID],tblTargets[DisplayName],"")</f>
        <v>Once Upon a Forest Chapter 7 Accepted</v>
      </c>
      <c r="C312" t="str">
        <f>IF(tblTargetStatus[[#This Row],[PlayerCompleted]],"COMPLETED",IF(tblTargetStatus[[#This Row],[MissingDependencies]]=0,"READY","BLOCKED"))</f>
        <v>BLOCKED</v>
      </c>
      <c r="D3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2" t="str">
        <f>_xlfn.XLOOKUP(tblTargetStatus[[#This Row],[TargetID]],tblTargets[TargetID],tblTargets[TargetType],"")</f>
        <v>QUEST</v>
      </c>
      <c r="F312" t="str">
        <f>_xlfn.XLOOKUP(tblTargetStatus[[#This Row],[TargetID]],tblTargets[TargetID],tblTargets[StateType])</f>
        <v/>
      </c>
      <c r="G312">
        <f>_xlfn.LET(
_xlpm.id,tblTargetStatus[[#This Row],[TargetID]],
_xlpm.depCount,COUNTIF(tblDependencies[TargetID],_xlpm.id),
_xlpm.objCount,COUNTIF(tblQuestObjectives[QuestTargetID],_xlpm.id),
_xlpm.depCount+_xlpm.objCount
)</f>
        <v>2</v>
      </c>
      <c r="H312">
        <f>tblTargetStatus[[#This Row],[DependencyCount]]</f>
        <v>2</v>
      </c>
      <c r="I312" cm="1">
        <f t="array" ref="I3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2">
        <f>tblTargetStatus[[#This Row],[CompletedDependencyCount]]</f>
        <v>0</v>
      </c>
      <c r="K312" t="b">
        <f>tblTargetStatus[[#This Row],[CompletedDependencies]]=tblTargetStatus[[#This Row],[TotalDependencies]]</f>
        <v>0</v>
      </c>
      <c r="L312">
        <f>tblTargetStatus[[#This Row],[TotalDependencies]]-tblTargetStatus[[#This Row],[CompletedDependencies]]</f>
        <v>2</v>
      </c>
      <c r="M312" t="str" cm="1">
        <f t="array" ref="M3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quest.once_upon_a_forest_chapter_6.finished</v>
      </c>
      <c r="N312" t="str">
        <f>IF(tblTargetStatus[[#This Row],[FirstMissingDependencyID]]="","",_xlfn.XLOOKUP(tblTargetStatus[[#This Row],[FirstMissingDependencyID]],tblTargets[TargetID],tblTargets[DisplayName],tblTargetStatus[[#This Row],[FirstMissingDependencyID]]))</f>
        <v>Once Upon a Forest Chapter 6 Finished</v>
      </c>
      <c r="O312" cm="1">
        <f t="array" ref="O3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2" t="str">
        <f>IF(tblTargetStatus[[#This Row],[FirstMissingDependencyID]]="","",_xlfn.XLOOKUP(tblTargetStatus[[#This Row],[FirstMissingDependencyID]],tblTargetStatus[TargetID],tblTargetStatus[Status],""))</f>
        <v>BLOCKED</v>
      </c>
      <c r="Q312" t="str">
        <f>IF(
 tblTargetStatus[[#This Row],[Status]]&lt;&gt;"BLOCKED",
 tblTargetStatus[[#This Row],[Status]],
 IF(
  AND(
   tblTargetStatus[[#This Row],[MissingDependencies]]=1,
   tblTargetStatus[[#This Row],[FirstMissingStatus]]="READY"
  ),
  "ONE AWAY",
  "BLOCKED"
 )
)</f>
        <v>BLOCKED</v>
      </c>
      <c r="R312">
        <f>IF(
 OR(
  tblTargetStatus[[#This Row],[StateType]]="CHARACTER",
  RIGHT(tblTargetStatus[[#This Row],[TargetID]],6)=".maxed"
 ),
 0,
 _xlfn.LET(
  _xlpm.sort,
   _xlfn.XLOOKUP(
    tblTargetStatus[[#This Row],[TargetID]],
    tblChecklist[TargetID],
    tblChecklist[PlayerSort],
    0
   ),
  IF(_xlpm.sort=0,500,_xlpm.sort)
 )
)</f>
        <v>500</v>
      </c>
      <c r="S312" t="str" cm="1">
        <f t="array" ref="S31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7 Finished, Deliver Ambrosia to Dark Lady in F3</v>
      </c>
      <c r="T312" t="str">
        <f>_xlfn.XLOOKUP(tblTargetStatus[[#This Row],[TargetID]],tblTargets[TargetID],tblTargets[CompletionMethod],"")</f>
        <v>PLAYER</v>
      </c>
      <c r="U312" t="b">
        <f>COUNTIF(
    tblCost[TargetID],
    tblTargetStatus[[#This Row],[TargetID]]
)&gt;0</f>
        <v>0</v>
      </c>
      <c r="V312" s="81" t="str">
        <f>IF(tblTargetStatus[[#This Row],[HasCost]]=FALSE,
"N/A",
_xlfn.XLOOKUP(
tblTargetStatus[[#This Row],[TargetID]],
tblCost[TargetID],
tblCost[FundingPercent],
""
)
)</f>
        <v>N/A</v>
      </c>
      <c r="W312" t="str">
        <f>IF(
COUNTIF(tblCost[TargetID],tblTargetStatus[[#This Row],[TargetID]])=0,
"",
_xlfn.XLOOKUP(
tblTargetStatus[[#This Row],[TargetID]],
tblCost[TargetID],
tblCost[RemainingRequirements],
""
)
)</f>
        <v/>
      </c>
      <c r="X312" s="79" t="str">
        <f>IF(tblTargetStatus[[#This Row],[HasCost]]=FALSE,"N/A",_xlfn.XLOOKUP(
tblTargetStatus[[#This Row],[TargetID]],
tblCost[TargetID],
tblCost[TargetFunded],
TRUE
))</f>
        <v>N/A</v>
      </c>
      <c r="Y312" t="str" cm="1">
        <f t="array" ref="Y312">_xlfn.TEXTJOIN(
", ",
TRUE,
_xlfn._xlws.FILTER(
tblCost[ResourceID]&amp;": "&amp;tblCost[QuantityRequired],
(tblCost[TargetID]=tblTargetStatus[[#This Row],[TargetID]])*
(tblCost[PlayerPaid]=FALSE),
""
)
)</f>
        <v/>
      </c>
      <c r="Z3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2" t="str" cm="1">
        <f t="array" ref="AA31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13" spans="1:27">
      <c r="A313" t="s">
        <v>2494</v>
      </c>
      <c r="B313" t="str">
        <f>_xlfn.XLOOKUP(tblTargetStatus[[#This Row],[TargetID]],tblTargets[TargetID],tblTargets[DisplayName],"")</f>
        <v>Once Upon a Forest Chapter 7 Finished</v>
      </c>
      <c r="C313" t="str">
        <f>IF(tblTargetStatus[[#This Row],[PlayerCompleted]],"COMPLETED",IF(tblTargetStatus[[#This Row],[MissingDependencies]]=0,"READY","BLOCKED"))</f>
        <v>BLOCKED</v>
      </c>
      <c r="D3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3" t="str">
        <f>_xlfn.XLOOKUP(tblTargetStatus[[#This Row],[TargetID]],tblTargets[TargetID],tblTargets[TargetType],"")</f>
        <v>QUEST</v>
      </c>
      <c r="F313" t="str">
        <f>_xlfn.XLOOKUP(tblTargetStatus[[#This Row],[TargetID]],tblTargets[TargetID],tblTargets[StateType])</f>
        <v/>
      </c>
      <c r="G313">
        <f>_xlfn.LET(
_xlpm.id,tblTargetStatus[[#This Row],[TargetID]],
_xlpm.depCount,COUNTIF(tblDependencies[TargetID],_xlpm.id),
_xlpm.objCount,COUNTIF(tblQuestObjectives[QuestTargetID],_xlpm.id),
_xlpm.depCount+_xlpm.objCount
)</f>
        <v>2</v>
      </c>
      <c r="H313">
        <f>tblTargetStatus[[#This Row],[DependencyCount]]</f>
        <v>2</v>
      </c>
      <c r="I313" cm="1">
        <f t="array" ref="I3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3">
        <f>tblTargetStatus[[#This Row],[CompletedDependencyCount]]</f>
        <v>0</v>
      </c>
      <c r="K313" t="b">
        <f>tblTargetStatus[[#This Row],[CompletedDependencies]]=tblTargetStatus[[#This Row],[TotalDependencies]]</f>
        <v>0</v>
      </c>
      <c r="L313">
        <f>tblTargetStatus[[#This Row],[TotalDependencies]]-tblTargetStatus[[#This Row],[CompletedDependencies]]</f>
        <v>2</v>
      </c>
      <c r="M313" t="str" cm="1">
        <f t="array" ref="M3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quest.once_upon_a_forest_chapter_7.accepted</v>
      </c>
      <c r="N313" t="str">
        <f>IF(tblTargetStatus[[#This Row],[FirstMissingDependencyID]]="","",_xlfn.XLOOKUP(tblTargetStatus[[#This Row],[FirstMissingDependencyID]],tblTargets[TargetID],tblTargets[DisplayName],tblTargetStatus[[#This Row],[FirstMissingDependencyID]]))</f>
        <v>Once Upon a Forest Chapter 7 Accepted</v>
      </c>
      <c r="O313" s="2" cm="1">
        <f t="array" ref="O3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3" t="str">
        <f>IF(tblTargetStatus[[#This Row],[FirstMissingDependencyID]]="","",_xlfn.XLOOKUP(tblTargetStatus[[#This Row],[FirstMissingDependencyID]],tblTargetStatus[TargetID],tblTargetStatus[Status],""))</f>
        <v>BLOCKED</v>
      </c>
      <c r="Q313" t="str">
        <f>IF(
 tblTargetStatus[[#This Row],[Status]]&lt;&gt;"BLOCKED",
 tblTargetStatus[[#This Row],[Status]],
 IF(
  AND(
   tblTargetStatus[[#This Row],[MissingDependencies]]=1,
   tblTargetStatus[[#This Row],[FirstMissingStatus]]="READY"
  ),
  "ONE AWAY",
  "BLOCKED"
 )
)</f>
        <v>BLOCKED</v>
      </c>
      <c r="R313">
        <f>IF(
 OR(
  tblTargetStatus[[#This Row],[StateType]]="CHARACTER",
  RIGHT(tblTargetStatus[[#This Row],[TargetID]],6)=".maxed"
 ),
 0,
 _xlfn.LET(
  _xlpm.sort,
   _xlfn.XLOOKUP(
    tblTargetStatus[[#This Row],[TargetID]],
    tblChecklist[TargetID],
    tblChecklist[PlayerSort],
    0
   ),
  IF(_xlpm.sort=0,500,_xlpm.sort)
 )
)</f>
        <v>500</v>
      </c>
      <c r="S313" t="str" cm="1">
        <f t="array" ref="S31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Barometer, Once Upon a Forest Chapter 8 Accepted, Meet Raven@F3, Alchemists Hut - Gold Ingot, Alchemists Hut - Madness Grenade, Alchemists Hut - Mercury, Alchemists Hut - Metamorphosis</v>
      </c>
      <c r="T313" t="str">
        <f>_xlfn.XLOOKUP(tblTargetStatus[[#This Row],[TargetID]],tblTargets[TargetID],tblTargets[CompletionMethod],"")</f>
        <v>PLAYER</v>
      </c>
      <c r="U313" t="b">
        <f>COUNTIF(
    tblCost[TargetID],
    tblTargetStatus[[#This Row],[TargetID]]
)&gt;0</f>
        <v>0</v>
      </c>
      <c r="V313" s="81" t="str">
        <f>IF(tblTargetStatus[[#This Row],[HasCost]]=FALSE,
"N/A",
_xlfn.XLOOKUP(
tblTargetStatus[[#This Row],[TargetID]],
tblCost[TargetID],
tblCost[FundingPercent],
""
)
)</f>
        <v>N/A</v>
      </c>
      <c r="W313" t="str">
        <f>IF(
COUNTIF(tblCost[TargetID],tblTargetStatus[[#This Row],[TargetID]])=0,
"",
_xlfn.XLOOKUP(
tblTargetStatus[[#This Row],[TargetID]],
tblCost[TargetID],
tblCost[RemainingRequirements],
""
)
)</f>
        <v/>
      </c>
      <c r="X313" s="79" t="str">
        <f>IF(tblTargetStatus[[#This Row],[HasCost]]=FALSE,"N/A",_xlfn.XLOOKUP(
tblTargetStatus[[#This Row],[TargetID]],
tblCost[TargetID],
tblCost[TargetFunded],
TRUE
))</f>
        <v>N/A</v>
      </c>
      <c r="Y313" t="str" cm="1">
        <f t="array" ref="Y313">_xlfn.TEXTJOIN(
", ",
TRUE,
_xlfn._xlws.FILTER(
tblCost[ResourceID]&amp;": "&amp;tblCost[QuantityRequired],
(tblCost[TargetID]=tblTargetStatus[[#This Row],[TargetID]])*
(tblCost[PlayerPaid]=FALSE),
""
)
)</f>
        <v/>
      </c>
      <c r="Z3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3" t="str" cm="1">
        <f t="array" ref="AA31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8</v>
      </c>
    </row>
    <row r="314" spans="1:27">
      <c r="A314" t="s">
        <v>2351</v>
      </c>
      <c r="B314" t="str">
        <f>_xlfn.XLOOKUP(tblTargetStatus[[#This Row],[TargetID]],tblTargets[TargetID],tblTargets[DisplayName],"")</f>
        <v>Once Upon a Forest Chapter 8 Accepted</v>
      </c>
      <c r="C314" t="str">
        <f>IF(tblTargetStatus[[#This Row],[PlayerCompleted]],"COMPLETED",IF(tblTargetStatus[[#This Row],[MissingDependencies]]=0,"READY","BLOCKED"))</f>
        <v>BLOCKED</v>
      </c>
      <c r="D3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4" t="str">
        <f>_xlfn.XLOOKUP(tblTargetStatus[[#This Row],[TargetID]],tblTargets[TargetID],tblTargets[TargetType],"")</f>
        <v>QUEST</v>
      </c>
      <c r="F314" t="str">
        <f>_xlfn.XLOOKUP(tblTargetStatus[[#This Row],[TargetID]],tblTargets[TargetID],tblTargets[StateType])</f>
        <v/>
      </c>
      <c r="G314">
        <f>_xlfn.LET(
_xlpm.id,tblTargetStatus[[#This Row],[TargetID]],
_xlpm.depCount,COUNTIF(tblDependencies[TargetID],_xlpm.id),
_xlpm.objCount,COUNTIF(tblQuestObjectives[QuestTargetID],_xlpm.id),
_xlpm.depCount+_xlpm.objCount
)</f>
        <v>2</v>
      </c>
      <c r="H314">
        <f>tblTargetStatus[[#This Row],[DependencyCount]]</f>
        <v>2</v>
      </c>
      <c r="I314" cm="1">
        <f t="array" ref="I3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4">
        <f>tblTargetStatus[[#This Row],[CompletedDependencyCount]]</f>
        <v>0</v>
      </c>
      <c r="K314" t="b">
        <f>tblTargetStatus[[#This Row],[CompletedDependencies]]=tblTargetStatus[[#This Row],[TotalDependencies]]</f>
        <v>0</v>
      </c>
      <c r="L314">
        <f>tblTargetStatus[[#This Row],[TotalDependencies]]-tblTargetStatus[[#This Row],[CompletedDependencies]]</f>
        <v>2</v>
      </c>
      <c r="M314" t="str" cm="1">
        <f t="array" ref="M3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quest.once_upon_a_forest_chapter_7.finished</v>
      </c>
      <c r="N314" t="str">
        <f>IF(tblTargetStatus[[#This Row],[FirstMissingDependencyID]]="","",_xlfn.XLOOKUP(tblTargetStatus[[#This Row],[FirstMissingDependencyID]],tblTargets[TargetID],tblTargets[DisplayName],tblTargetStatus[[#This Row],[FirstMissingDependencyID]]))</f>
        <v>Once Upon a Forest Chapter 7 Finished</v>
      </c>
      <c r="O314" t="str" cm="1">
        <f t="array" ref="O3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wheat:10,rice:10,coin:1000</v>
      </c>
      <c r="P314" t="str">
        <f>IF(tblTargetStatus[[#This Row],[FirstMissingDependencyID]]="","",_xlfn.XLOOKUP(tblTargetStatus[[#This Row],[FirstMissingDependencyID]],tblTargetStatus[TargetID],tblTargetStatus[Status],""))</f>
        <v>BLOCKED</v>
      </c>
      <c r="Q314" t="str">
        <f>IF(
 tblTargetStatus[[#This Row],[Status]]&lt;&gt;"BLOCKED",
 tblTargetStatus[[#This Row],[Status]],
 IF(
  AND(
   tblTargetStatus[[#This Row],[MissingDependencies]]=1,
   tblTargetStatus[[#This Row],[FirstMissingStatus]]="READY"
  ),
  "ONE AWAY",
  "BLOCKED"
 )
)</f>
        <v>BLOCKED</v>
      </c>
      <c r="R314">
        <f>IF(
 OR(
  tblTargetStatus[[#This Row],[StateType]]="CHARACTER",
  RIGHT(tblTargetStatus[[#This Row],[TargetID]],6)=".maxed"
 ),
 0,
 _xlfn.LET(
  _xlpm.sort,
   _xlfn.XLOOKUP(
    tblTargetStatus[[#This Row],[TargetID]],
    tblChecklist[TargetID],
    tblChecklist[PlayerSort],
    0
   ),
  IF(_xlpm.sort=0,500,_xlpm.sort)
 )
)</f>
        <v>500</v>
      </c>
      <c r="S314" t="str" cm="1">
        <f t="array" ref="S31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8 Finished</v>
      </c>
      <c r="T314" t="str">
        <f>_xlfn.XLOOKUP(tblTargetStatus[[#This Row],[TargetID]],tblTargets[TargetID],tblTargets[CompletionMethod],"")</f>
        <v>PLAYER</v>
      </c>
      <c r="U314" t="b">
        <f>COUNTIF(
    tblCost[TargetID],
    tblTargetStatus[[#This Row],[TargetID]]
)&gt;0</f>
        <v>0</v>
      </c>
      <c r="V314" s="81" t="str">
        <f>IF(tblTargetStatus[[#This Row],[HasCost]]=FALSE,
"N/A",
_xlfn.XLOOKUP(
tblTargetStatus[[#This Row],[TargetID]],
tblCost[TargetID],
tblCost[FundingPercent],
""
)
)</f>
        <v>N/A</v>
      </c>
      <c r="W314" t="str">
        <f>IF(
COUNTIF(tblCost[TargetID],tblTargetStatus[[#This Row],[TargetID]])=0,
"",
_xlfn.XLOOKUP(
tblTargetStatus[[#This Row],[TargetID]],
tblCost[TargetID],
tblCost[RemainingRequirements],
""
)
)</f>
        <v/>
      </c>
      <c r="X314" s="79" t="str">
        <f>IF(tblTargetStatus[[#This Row],[HasCost]]=FALSE,"N/A",_xlfn.XLOOKUP(
tblTargetStatus[[#This Row],[TargetID]],
tblCost[TargetID],
tblCost[TargetFunded],
TRUE
))</f>
        <v>N/A</v>
      </c>
      <c r="Y314" t="str" cm="1">
        <f t="array" ref="Y314">_xlfn.TEXTJOIN(
", ",
TRUE,
_xlfn._xlws.FILTER(
tblCost[ResourceID]&amp;": "&amp;tblCost[QuantityRequired],
(tblCost[TargetID]=tblTargetStatus[[#This Row],[TargetID]])*
(tblCost[PlayerPaid]=FALSE),
""
)
)</f>
        <v/>
      </c>
      <c r="Z3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4" t="str" cm="1">
        <f t="array" ref="AA31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15" spans="1:27">
      <c r="A315" t="s">
        <v>2496</v>
      </c>
      <c r="B315" t="str">
        <f>_xlfn.XLOOKUP(tblTargetStatus[[#This Row],[TargetID]],tblTargets[TargetID],tblTargets[DisplayName],"")</f>
        <v>Once Upon a Forest Chapter 8 Finished</v>
      </c>
      <c r="C315" t="str">
        <f>IF(tblTargetStatus[[#This Row],[PlayerCompleted]],"COMPLETED",IF(tblTargetStatus[[#This Row],[MissingDependencies]]=0,"READY","BLOCKED"))</f>
        <v>BLOCKED</v>
      </c>
      <c r="D3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5" t="str">
        <f>_xlfn.XLOOKUP(tblTargetStatus[[#This Row],[TargetID]],tblTargets[TargetID],tblTargets[TargetType],"")</f>
        <v>QUEST</v>
      </c>
      <c r="F315" t="str">
        <f>_xlfn.XLOOKUP(tblTargetStatus[[#This Row],[TargetID]],tblTargets[TargetID],tblTargets[StateType])</f>
        <v/>
      </c>
      <c r="G315">
        <f>_xlfn.LET(
_xlpm.id,tblTargetStatus[[#This Row],[TargetID]],
_xlpm.depCount,COUNTIF(tblDependencies[TargetID],_xlpm.id),
_xlpm.objCount,COUNTIF(tblQuestObjectives[QuestTargetID],_xlpm.id),
_xlpm.depCount+_xlpm.objCount
)</f>
        <v>1</v>
      </c>
      <c r="H315">
        <f>tblTargetStatus[[#This Row],[DependencyCount]]</f>
        <v>1</v>
      </c>
      <c r="I315" cm="1">
        <f t="array" ref="I3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5">
        <f>tblTargetStatus[[#This Row],[CompletedDependencyCount]]</f>
        <v>0</v>
      </c>
      <c r="K315" t="b">
        <f>tblTargetStatus[[#This Row],[CompletedDependencies]]=tblTargetStatus[[#This Row],[TotalDependencies]]</f>
        <v>0</v>
      </c>
      <c r="L315">
        <f>tblTargetStatus[[#This Row],[TotalDependencies]]-tblTargetStatus[[#This Row],[CompletedDependencies]]</f>
        <v>1</v>
      </c>
      <c r="M315" t="str" cm="1">
        <f t="array" ref="M3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quest.once_upon_a_forest_chapter_8.accepted</v>
      </c>
      <c r="N315" t="str">
        <f>IF(tblTargetStatus[[#This Row],[FirstMissingDependencyID]]="","",_xlfn.XLOOKUP(tblTargetStatus[[#This Row],[FirstMissingDependencyID]],tblTargets[TargetID],tblTargets[DisplayName],tblTargetStatus[[#This Row],[FirstMissingDependencyID]]))</f>
        <v>Once Upon a Forest Chapter 8 Accepted</v>
      </c>
      <c r="O315" s="2" t="str" cm="1">
        <f t="array" ref="O3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wheat:10,rice:10,coin:1000</v>
      </c>
      <c r="P315" t="str">
        <f>IF(tblTargetStatus[[#This Row],[FirstMissingDependencyID]]="","",_xlfn.XLOOKUP(tblTargetStatus[[#This Row],[FirstMissingDependencyID]],tblTargetStatus[TargetID],tblTargetStatus[Status],""))</f>
        <v>BLOCKED</v>
      </c>
      <c r="Q315" t="str">
        <f>IF(
 tblTargetStatus[[#This Row],[Status]]&lt;&gt;"BLOCKED",
 tblTargetStatus[[#This Row],[Status]],
 IF(
  AND(
   tblTargetStatus[[#This Row],[MissingDependencies]]=1,
   tblTargetStatus[[#This Row],[FirstMissingStatus]]="READY"
  ),
  "ONE AWAY",
  "BLOCKED"
 )
)</f>
        <v>BLOCKED</v>
      </c>
      <c r="R315">
        <f>IF(
 OR(
  tblTargetStatus[[#This Row],[StateType]]="CHARACTER",
  RIGHT(tblTargetStatus[[#This Row],[TargetID]],6)=".maxed"
 ),
 0,
 _xlfn.LET(
  _xlpm.sort,
   _xlfn.XLOOKUP(
    tblTargetStatus[[#This Row],[TargetID]],
    tblChecklist[TargetID],
    tblChecklist[PlayerSort],
    0
   ),
  IF(_xlpm.sort=0,500,_xlpm.sort)
 )
)</f>
        <v>500</v>
      </c>
      <c r="S315" t="str" cm="1">
        <f t="array" ref="S31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9 Accepted, Meet Inventor@5B</v>
      </c>
      <c r="T315" t="str">
        <f>_xlfn.XLOOKUP(tblTargetStatus[[#This Row],[TargetID]],tblTargets[TargetID],tblTargets[CompletionMethod],"")</f>
        <v>PLAYER</v>
      </c>
      <c r="U315" t="b">
        <f>COUNTIF(
    tblCost[TargetID],
    tblTargetStatus[[#This Row],[TargetID]]
)&gt;0</f>
        <v>1</v>
      </c>
      <c r="V315" s="81">
        <f>IF(tblTargetStatus[[#This Row],[HasCost]]=FALSE,
"N/A",
_xlfn.XLOOKUP(
tblTargetStatus[[#This Row],[TargetID]],
tblCost[TargetID],
tblCost[FundingPercent],
""
)
)</f>
        <v>0</v>
      </c>
      <c r="W315">
        <f>IF(
COUNTIF(tblCost[TargetID],tblTargetStatus[[#This Row],[TargetID]])=0,
"",
_xlfn.XLOOKUP(
tblTargetStatus[[#This Row],[TargetID]],
tblCost[TargetID],
tblCost[RemainingRequirements],
""
)
)</f>
        <v>3</v>
      </c>
      <c r="X315" s="79" t="b">
        <f>IF(tblTargetStatus[[#This Row],[HasCost]]=FALSE,"N/A",_xlfn.XLOOKUP(
tblTargetStatus[[#This Row],[TargetID]],
tblCost[TargetID],
tblCost[TargetFunded],
TRUE
))</f>
        <v>0</v>
      </c>
      <c r="Y315" t="str" cm="1">
        <f t="array" ref="Y315">_xlfn.TEXTJOIN(
", ",
TRUE,
_xlfn._xlws.FILTER(
tblCost[ResourceID]&amp;": "&amp;tblCost[QuantityRequired],
(tblCost[TargetID]=tblTargetStatus[[#This Row],[TargetID]])*
(tblCost[PlayerPaid]=FALSE),
""
)
)</f>
        <v>wheat: 10, rice: 10, coin: 1000</v>
      </c>
      <c r="Z3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5" t="str" cm="1">
        <f t="array" ref="AA31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9</v>
      </c>
    </row>
    <row r="316" spans="1:27">
      <c r="A316" t="s">
        <v>2354</v>
      </c>
      <c r="B316" t="str">
        <f>_xlfn.XLOOKUP(tblTargetStatus[[#This Row],[TargetID]],tblTargets[TargetID],tblTargets[DisplayName],"")</f>
        <v>Once Upon a Forest Chapter 9 Accepted</v>
      </c>
      <c r="C316" t="str">
        <f>IF(tblTargetStatus[[#This Row],[PlayerCompleted]],"COMPLETED",IF(tblTargetStatus[[#This Row],[MissingDependencies]]=0,"READY","BLOCKED"))</f>
        <v>BLOCKED</v>
      </c>
      <c r="D3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6" t="str">
        <f>_xlfn.XLOOKUP(tblTargetStatus[[#This Row],[TargetID]],tblTargets[TargetID],tblTargets[TargetType],"")</f>
        <v>QUEST</v>
      </c>
      <c r="F316" t="str">
        <f>_xlfn.XLOOKUP(tblTargetStatus[[#This Row],[TargetID]],tblTargets[TargetID],tblTargets[StateType])</f>
        <v/>
      </c>
      <c r="G316">
        <f>_xlfn.LET(
_xlpm.id,tblTargetStatus[[#This Row],[TargetID]],
_xlpm.depCount,COUNTIF(tblDependencies[TargetID],_xlpm.id),
_xlpm.objCount,COUNTIF(tblQuestObjectives[QuestTargetID],_xlpm.id),
_xlpm.depCount+_xlpm.objCount
)</f>
        <v>2</v>
      </c>
      <c r="H316">
        <f>tblTargetStatus[[#This Row],[DependencyCount]]</f>
        <v>2</v>
      </c>
      <c r="I316" cm="1">
        <f t="array" ref="I3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6">
        <f>tblTargetStatus[[#This Row],[CompletedDependencyCount]]</f>
        <v>0</v>
      </c>
      <c r="K316" t="b">
        <f>tblTargetStatus[[#This Row],[CompletedDependencies]]=tblTargetStatus[[#This Row],[TotalDependencies]]</f>
        <v>0</v>
      </c>
      <c r="L316">
        <f>tblTargetStatus[[#This Row],[TotalDependencies]]-tblTargetStatus[[#This Row],[CompletedDependencies]]</f>
        <v>2</v>
      </c>
      <c r="M316" t="str" cm="1">
        <f t="array" ref="M3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quest.once_upon_a_forest_chapter_8.finished</v>
      </c>
      <c r="N316" t="str">
        <f>IF(tblTargetStatus[[#This Row],[FirstMissingDependencyID]]="","",_xlfn.XLOOKUP(tblTargetStatus[[#This Row],[FirstMissingDependencyID]],tblTargets[TargetID],tblTargets[DisplayName],tblTargetStatus[[#This Row],[FirstMissingDependencyID]]))</f>
        <v>Once Upon a Forest Chapter 8 Finished</v>
      </c>
      <c r="O316" cm="1">
        <f t="array" ref="O3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6" t="str">
        <f>IF(tblTargetStatus[[#This Row],[FirstMissingDependencyID]]="","",_xlfn.XLOOKUP(tblTargetStatus[[#This Row],[FirstMissingDependencyID]],tblTargetStatus[TargetID],tblTargetStatus[Status],""))</f>
        <v>BLOCKED</v>
      </c>
      <c r="Q316" t="str">
        <f>IF(
 tblTargetStatus[[#This Row],[Status]]&lt;&gt;"BLOCKED",
 tblTargetStatus[[#This Row],[Status]],
 IF(
  AND(
   tblTargetStatus[[#This Row],[MissingDependencies]]=1,
   tblTargetStatus[[#This Row],[FirstMissingStatus]]="READY"
  ),
  "ONE AWAY",
  "BLOCKED"
 )
)</f>
        <v>BLOCKED</v>
      </c>
      <c r="R316">
        <f>IF(
 OR(
  tblTargetStatus[[#This Row],[StateType]]="CHARACTER",
  RIGHT(tblTargetStatus[[#This Row],[TargetID]],6)=".maxed"
 ),
 0,
 _xlfn.LET(
  _xlpm.sort,
   _xlfn.XLOOKUP(
    tblTargetStatus[[#This Row],[TargetID]],
    tblChecklist[TargetID],
    tblChecklist[PlayerSort],
    0
   ),
  IF(_xlpm.sort=0,500,_xlpm.sort)
 )
)</f>
        <v>500</v>
      </c>
      <c r="S316" t="str" cm="1">
        <f t="array" ref="S31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10 Accepted, Once Upon a Forest Chapter 9 Finished, Visit Dungeon@F1, Obtain Hide, Obtain Titanium, Tailor - Armor For A Hero Lvl 4</v>
      </c>
      <c r="T316" t="str">
        <f>_xlfn.XLOOKUP(tblTargetStatus[[#This Row],[TargetID]],tblTargets[TargetID],tblTargets[CompletionMethod],"")</f>
        <v>PLAYER</v>
      </c>
      <c r="U316" t="b">
        <f>COUNTIF(
    tblCost[TargetID],
    tblTargetStatus[[#This Row],[TargetID]]
)&gt;0</f>
        <v>0</v>
      </c>
      <c r="V316" s="81" t="str">
        <f>IF(tblTargetStatus[[#This Row],[HasCost]]=FALSE,
"N/A",
_xlfn.XLOOKUP(
tblTargetStatus[[#This Row],[TargetID]],
tblCost[TargetID],
tblCost[FundingPercent],
""
)
)</f>
        <v>N/A</v>
      </c>
      <c r="W316" t="str">
        <f>IF(
COUNTIF(tblCost[TargetID],tblTargetStatus[[#This Row],[TargetID]])=0,
"",
_xlfn.XLOOKUP(
tblTargetStatus[[#This Row],[TargetID]],
tblCost[TargetID],
tblCost[RemainingRequirements],
""
)
)</f>
        <v/>
      </c>
      <c r="X316" s="79" t="str">
        <f>IF(tblTargetStatus[[#This Row],[HasCost]]=FALSE,"N/A",_xlfn.XLOOKUP(
tblTargetStatus[[#This Row],[TargetID]],
tblCost[TargetID],
tblCost[TargetFunded],
TRUE
))</f>
        <v>N/A</v>
      </c>
      <c r="Y316" t="str" cm="1">
        <f t="array" ref="Y316">_xlfn.TEXTJOIN(
", ",
TRUE,
_xlfn._xlws.FILTER(
tblCost[ResourceID]&amp;": "&amp;tblCost[QuantityRequired],
(tblCost[TargetID]=tblTargetStatus[[#This Row],[TargetID]])*
(tblCost[PlayerPaid]=FALSE),
""
)
)</f>
        <v/>
      </c>
      <c r="Z3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6" t="str" cm="1">
        <f t="array" ref="AA31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10</v>
      </c>
    </row>
    <row r="317" spans="1:27">
      <c r="A317" t="s">
        <v>2498</v>
      </c>
      <c r="B317" t="str">
        <f>_xlfn.XLOOKUP(tblTargetStatus[[#This Row],[TargetID]],tblTargets[TargetID],tblTargets[DisplayName],"")</f>
        <v>Once Upon a Forest Chapter 9 Finished</v>
      </c>
      <c r="C317" t="str">
        <f>IF(tblTargetStatus[[#This Row],[PlayerCompleted]],"COMPLETED",IF(tblTargetStatus[[#This Row],[MissingDependencies]]=0,"READY","BLOCKED"))</f>
        <v>BLOCKED</v>
      </c>
      <c r="D3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7" t="str">
        <f>_xlfn.XLOOKUP(tblTargetStatus[[#This Row],[TargetID]],tblTargets[TargetID],tblTargets[TargetType],"")</f>
        <v>QUEST</v>
      </c>
      <c r="F317" t="str">
        <f>_xlfn.XLOOKUP(tblTargetStatus[[#This Row],[TargetID]],tblTargets[TargetID],tblTargets[StateType])</f>
        <v/>
      </c>
      <c r="G317">
        <f>_xlfn.LET(
_xlpm.id,tblTargetStatus[[#This Row],[TargetID]],
_xlpm.depCount,COUNTIF(tblDependencies[TargetID],_xlpm.id),
_xlpm.objCount,COUNTIF(tblQuestObjectives[QuestTargetID],_xlpm.id),
_xlpm.depCount+_xlpm.objCount
)</f>
        <v>5</v>
      </c>
      <c r="H317">
        <f>tblTargetStatus[[#This Row],[DependencyCount]]</f>
        <v>5</v>
      </c>
      <c r="I317" cm="1">
        <f t="array" ref="I3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7">
        <f>tblTargetStatus[[#This Row],[CompletedDependencyCount]]</f>
        <v>0</v>
      </c>
      <c r="K317" t="b">
        <f>tblTargetStatus[[#This Row],[CompletedDependencies]]=tblTargetStatus[[#This Row],[TotalDependencies]]</f>
        <v>0</v>
      </c>
      <c r="L317">
        <f>tblTargetStatus[[#This Row],[TotalDependencies]]-tblTargetStatus[[#This Row],[CompletedDependencies]]</f>
        <v>5</v>
      </c>
      <c r="M317" t="str" cm="1">
        <f t="array" ref="M3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quest.once_upon_a_forest_chapter_9.accepted</v>
      </c>
      <c r="N317" t="str">
        <f>IF(tblTargetStatus[[#This Row],[FirstMissingDependencyID]]="","",_xlfn.XLOOKUP(tblTargetStatus[[#This Row],[FirstMissingDependencyID]],tblTargets[TargetID],tblTargets[DisplayName],tblTargetStatus[[#This Row],[FirstMissingDependencyID]]))</f>
        <v>Once Upon a Forest Chapter 9 Accepted</v>
      </c>
      <c r="O317" s="2" cm="1">
        <f t="array" ref="O3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7" t="str">
        <f>IF(tblTargetStatus[[#This Row],[FirstMissingDependencyID]]="","",_xlfn.XLOOKUP(tblTargetStatus[[#This Row],[FirstMissingDependencyID]],tblTargetStatus[TargetID],tblTargetStatus[Status],""))</f>
        <v>BLOCKED</v>
      </c>
      <c r="Q317" t="str">
        <f>IF(
 tblTargetStatus[[#This Row],[Status]]&lt;&gt;"BLOCKED",
 tblTargetStatus[[#This Row],[Status]],
 IF(
  AND(
   tblTargetStatus[[#This Row],[MissingDependencies]]=1,
   tblTargetStatus[[#This Row],[FirstMissingStatus]]="READY"
  ),
  "ONE AWAY",
  "BLOCKED"
 )
)</f>
        <v>BLOCKED</v>
      </c>
      <c r="R317">
        <f>IF(
 OR(
  tblTargetStatus[[#This Row],[StateType]]="CHARACTER",
  RIGHT(tblTargetStatus[[#This Row],[TargetID]],6)=".maxed"
 ),
 0,
 _xlfn.LET(
  _xlpm.sort,
   _xlfn.XLOOKUP(
    tblTargetStatus[[#This Row],[TargetID]],
    tblChecklist[TargetID],
    tblChecklist[PlayerSort],
    0
   ),
  IF(_xlpm.sort=0,500,_xlpm.sort)
 )
)</f>
        <v>500</v>
      </c>
      <c r="S317" t="str" cm="1">
        <f t="array" ref="S31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Accepted, Once Upon a Forest Chapter 15 Accepted, Complete Lvl1 Any Project</v>
      </c>
      <c r="T317" t="str">
        <f>_xlfn.XLOOKUP(tblTargetStatus[[#This Row],[TargetID]],tblTargets[TargetID],tblTargets[CompletionMethod],"")</f>
        <v>PLAYER</v>
      </c>
      <c r="U317" t="b">
        <f>COUNTIF(
    tblCost[TargetID],
    tblTargetStatus[[#This Row],[TargetID]]
)&gt;0</f>
        <v>0</v>
      </c>
      <c r="V317" s="81" t="str">
        <f>IF(tblTargetStatus[[#This Row],[HasCost]]=FALSE,
"N/A",
_xlfn.XLOOKUP(
tblTargetStatus[[#This Row],[TargetID]],
tblCost[TargetID],
tblCost[FundingPercent],
""
)
)</f>
        <v>N/A</v>
      </c>
      <c r="W317" t="str">
        <f>IF(
COUNTIF(tblCost[TargetID],tblTargetStatus[[#This Row],[TargetID]])=0,
"",
_xlfn.XLOOKUP(
tblTargetStatus[[#This Row],[TargetID]],
tblCost[TargetID],
tblCost[RemainingRequirements],
""
)
)</f>
        <v/>
      </c>
      <c r="X317" s="79" t="str">
        <f>IF(tblTargetStatus[[#This Row],[HasCost]]=FALSE,"N/A",_xlfn.XLOOKUP(
tblTargetStatus[[#This Row],[TargetID]],
tblCost[TargetID],
tblCost[TargetFunded],
TRUE
))</f>
        <v>N/A</v>
      </c>
      <c r="Y317" t="str" cm="1">
        <f t="array" ref="Y317">_xlfn.TEXTJOIN(
", ",
TRUE,
_xlfn._xlws.FILTER(
tblCost[ResourceID]&amp;": "&amp;tblCost[QuantityRequired],
(tblCost[TargetID]=tblTargetStatus[[#This Row],[TargetID]])*
(tblCost[PlayerPaid]=FALSE),
""
)
)</f>
        <v/>
      </c>
      <c r="Z3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7" t="str" cm="1">
        <f t="array" ref="AA31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1, Once Upon a Forest Chapter 15</v>
      </c>
    </row>
    <row r="318" spans="1:27">
      <c r="A318" t="s">
        <v>2375</v>
      </c>
      <c r="B318" t="str">
        <f>_xlfn.XLOOKUP(tblTargetStatus[[#This Row],[TargetID]],tblTargets[TargetID],tblTargets[DisplayName],"")</f>
        <v>Quest for Knowledge Chapter 1 Accepted</v>
      </c>
      <c r="C318" t="str">
        <f>IF(tblTargetStatus[[#This Row],[PlayerCompleted]],"COMPLETED",IF(tblTargetStatus[[#This Row],[MissingDependencies]]=0,"READY","BLOCKED"))</f>
        <v>BLOCKED</v>
      </c>
      <c r="D3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8" t="str">
        <f>_xlfn.XLOOKUP(tblTargetStatus[[#This Row],[TargetID]],tblTargets[TargetID],tblTargets[TargetType],"")</f>
        <v>QUEST</v>
      </c>
      <c r="F318" t="str">
        <f>_xlfn.XLOOKUP(tblTargetStatus[[#This Row],[TargetID]],tblTargets[TargetID],tblTargets[StateType])</f>
        <v/>
      </c>
      <c r="G318">
        <f>_xlfn.LET(
_xlpm.id,tblTargetStatus[[#This Row],[TargetID]],
_xlpm.depCount,COUNTIF(tblDependencies[TargetID],_xlpm.id),
_xlpm.objCount,COUNTIF(tblQuestObjectives[QuestTargetID],_xlpm.id),
_xlpm.depCount+_xlpm.objCount
)</f>
        <v>1</v>
      </c>
      <c r="H318">
        <f>tblTargetStatus[[#This Row],[DependencyCount]]</f>
        <v>1</v>
      </c>
      <c r="I318" cm="1">
        <f t="array" ref="I3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8">
        <f>tblTargetStatus[[#This Row],[CompletedDependencyCount]]</f>
        <v>0</v>
      </c>
      <c r="K318" t="b">
        <f>tblTargetStatus[[#This Row],[CompletedDependencies]]=tblTargetStatus[[#This Row],[TotalDependencies]]</f>
        <v>0</v>
      </c>
      <c r="L318">
        <f>tblTargetStatus[[#This Row],[TotalDependencies]]-tblTargetStatus[[#This Row],[CompletedDependencies]]</f>
        <v>1</v>
      </c>
      <c r="M318" t="str" cm="1">
        <f t="array" ref="M3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building.dungeon@1</v>
      </c>
      <c r="N318" t="str">
        <f>IF(tblTargetStatus[[#This Row],[FirstMissingDependencyID]]="","",_xlfn.XLOOKUP(tblTargetStatus[[#This Row],[FirstMissingDependencyID]],tblTargets[TargetID],tblTargets[DisplayName],tblTargetStatus[[#This Row],[FirstMissingDependencyID]]))</f>
        <v>Dungeon Lv 1</v>
      </c>
      <c r="O318" s="2" cm="1">
        <f t="array" ref="O3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8" t="str">
        <f>IF(tblTargetStatus[[#This Row],[FirstMissingDependencyID]]="","",_xlfn.XLOOKUP(tblTargetStatus[[#This Row],[FirstMissingDependencyID]],tblTargetStatus[TargetID],tblTargetStatus[Status],""))</f>
        <v>BLOCKED</v>
      </c>
      <c r="Q318" t="str">
        <f>IF(
 tblTargetStatus[[#This Row],[Status]]&lt;&gt;"BLOCKED",
 tblTargetStatus[[#This Row],[Status]],
 IF(
  AND(
   tblTargetStatus[[#This Row],[MissingDependencies]]=1,
   tblTargetStatus[[#This Row],[FirstMissingStatus]]="READY"
  ),
  "ONE AWAY",
  "BLOCKED"
 )
)</f>
        <v>BLOCKED</v>
      </c>
      <c r="R318">
        <f>IF(
 OR(
  tblTargetStatus[[#This Row],[StateType]]="CHARACTER",
  RIGHT(tblTargetStatus[[#This Row],[TargetID]],6)=".maxed"
 ),
 0,
 _xlfn.LET(
  _xlpm.sort,
   _xlfn.XLOOKUP(
    tblTargetStatus[[#This Row],[TargetID]],
    tblChecklist[TargetID],
    tblChecklist[PlayerSort],
    0
   ),
  IF(_xlpm.sort=0,500,_xlpm.sort)
 )
)</f>
        <v>500</v>
      </c>
      <c r="S318" t="str" cm="1">
        <f t="array" ref="S31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1 Finished</v>
      </c>
      <c r="T318" t="str">
        <f>_xlfn.XLOOKUP(tblTargetStatus[[#This Row],[TargetID]],tblTargets[TargetID],tblTargets[CompletionMethod],"")</f>
        <v>PLAYER</v>
      </c>
      <c r="U318" t="b">
        <f>COUNTIF(
    tblCost[TargetID],
    tblTargetStatus[[#This Row],[TargetID]]
)&gt;0</f>
        <v>0</v>
      </c>
      <c r="V318" s="81" t="str">
        <f>IF(tblTargetStatus[[#This Row],[HasCost]]=FALSE,
"N/A",
_xlfn.XLOOKUP(
tblTargetStatus[[#This Row],[TargetID]],
tblCost[TargetID],
tblCost[FundingPercent],
""
)
)</f>
        <v>N/A</v>
      </c>
      <c r="W318" t="str">
        <f>IF(
COUNTIF(tblCost[TargetID],tblTargetStatus[[#This Row],[TargetID]])=0,
"",
_xlfn.XLOOKUP(
tblTargetStatus[[#This Row],[TargetID]],
tblCost[TargetID],
tblCost[RemainingRequirements],
""
)
)</f>
        <v/>
      </c>
      <c r="X318" s="79" t="str">
        <f>IF(tblTargetStatus[[#This Row],[HasCost]]=FALSE,"N/A",_xlfn.XLOOKUP(
tblTargetStatus[[#This Row],[TargetID]],
tblCost[TargetID],
tblCost[TargetFunded],
TRUE
))</f>
        <v>N/A</v>
      </c>
      <c r="Y318" t="str" cm="1">
        <f t="array" ref="Y318">_xlfn.TEXTJOIN(
", ",
TRUE,
_xlfn._xlws.FILTER(
tblCost[ResourceID]&amp;": "&amp;tblCost[QuantityRequired],
(tblCost[TargetID]=tblTargetStatus[[#This Row],[TargetID]])*
(tblCost[PlayerPaid]=FALSE),
""
)
)</f>
        <v/>
      </c>
      <c r="Z3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8" t="str" cm="1">
        <f t="array" ref="AA31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19" spans="1:27">
      <c r="A319" t="s">
        <v>2512</v>
      </c>
      <c r="B319" t="str">
        <f>_xlfn.XLOOKUP(tblTargetStatus[[#This Row],[TargetID]],tblTargets[TargetID],tblTargets[DisplayName],"")</f>
        <v>Quest for Knowledge Chapter 1 Finished</v>
      </c>
      <c r="C319" t="str">
        <f>IF(tblTargetStatus[[#This Row],[PlayerCompleted]],"COMPLETED",IF(tblTargetStatus[[#This Row],[MissingDependencies]]=0,"READY","BLOCKED"))</f>
        <v>BLOCKED</v>
      </c>
      <c r="D3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9" t="str">
        <f>_xlfn.XLOOKUP(tblTargetStatus[[#This Row],[TargetID]],tblTargets[TargetID],tblTargets[TargetType],"")</f>
        <v>QUEST</v>
      </c>
      <c r="F319" t="str">
        <f>_xlfn.XLOOKUP(tblTargetStatus[[#This Row],[TargetID]],tblTargets[TargetID],tblTargets[StateType])</f>
        <v/>
      </c>
      <c r="G319">
        <f>_xlfn.LET(
_xlpm.id,tblTargetStatus[[#This Row],[TargetID]],
_xlpm.depCount,COUNTIF(tblDependencies[TargetID],_xlpm.id),
_xlpm.objCount,COUNTIF(tblQuestObjectives[QuestTargetID],_xlpm.id),
_xlpm.depCount+_xlpm.objCount
)</f>
        <v>4</v>
      </c>
      <c r="H319">
        <f>tblTargetStatus[[#This Row],[DependencyCount]]</f>
        <v>4</v>
      </c>
      <c r="I319" cm="1">
        <f t="array" ref="I3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9">
        <f>tblTargetStatus[[#This Row],[CompletedDependencyCount]]</f>
        <v>0</v>
      </c>
      <c r="K319" t="b">
        <f>tblTargetStatus[[#This Row],[CompletedDependencies]]=tblTargetStatus[[#This Row],[TotalDependencies]]</f>
        <v>0</v>
      </c>
      <c r="L319">
        <f>tblTargetStatus[[#This Row],[TotalDependencies]]-tblTargetStatus[[#This Row],[CompletedDependencies]]</f>
        <v>4</v>
      </c>
      <c r="M319" t="str" cm="1">
        <f t="array" ref="M3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quest.quest_for_knowledge_chapter_1.accepted</v>
      </c>
      <c r="N319" t="str">
        <f>IF(tblTargetStatus[[#This Row],[FirstMissingDependencyID]]="","",_xlfn.XLOOKUP(tblTargetStatus[[#This Row],[FirstMissingDependencyID]],tblTargets[TargetID],tblTargets[DisplayName],tblTargetStatus[[#This Row],[FirstMissingDependencyID]]))</f>
        <v>Quest for Knowledge Chapter 1 Accepted</v>
      </c>
      <c r="O319" s="2" cm="1">
        <f t="array" ref="O3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9" t="str">
        <f>IF(tblTargetStatus[[#This Row],[FirstMissingDependencyID]]="","",_xlfn.XLOOKUP(tblTargetStatus[[#This Row],[FirstMissingDependencyID]],tblTargetStatus[TargetID],tblTargetStatus[Status],""))</f>
        <v>BLOCKED</v>
      </c>
      <c r="Q319" t="str">
        <f>IF(
 tblTargetStatus[[#This Row],[Status]]&lt;&gt;"BLOCKED",
 tblTargetStatus[[#This Row],[Status]],
 IF(
  AND(
   tblTargetStatus[[#This Row],[MissingDependencies]]=1,
   tblTargetStatus[[#This Row],[FirstMissingStatus]]="READY"
  ),
  "ONE AWAY",
  "BLOCKED"
 )
)</f>
        <v>BLOCKED</v>
      </c>
      <c r="R319">
        <f>IF(
 OR(
  tblTargetStatus[[#This Row],[StateType]]="CHARACTER",
  RIGHT(tblTargetStatus[[#This Row],[TargetID]],6)=".maxed"
 ),
 0,
 _xlfn.LET(
  _xlpm.sort,
   _xlfn.XLOOKUP(
    tblTargetStatus[[#This Row],[TargetID]],
    tblChecklist[TargetID],
    tblChecklist[PlayerSort],
    0
   ),
  IF(_xlpm.sort=0,500,_xlpm.sort)
 )
)</f>
        <v>500</v>
      </c>
      <c r="S319" t="str" cm="1">
        <f t="array" ref="S31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2 Accepted, Quest for Knowledge Chapter 3 Accepted</v>
      </c>
      <c r="T319" t="str">
        <f>_xlfn.XLOOKUP(tblTargetStatus[[#This Row],[TargetID]],tblTargets[TargetID],tblTargets[CompletionMethod],"")</f>
        <v>PLAYER</v>
      </c>
      <c r="U319" t="b">
        <f>COUNTIF(
    tblCost[TargetID],
    tblTargetStatus[[#This Row],[TargetID]]
)&gt;0</f>
        <v>0</v>
      </c>
      <c r="V319" s="81" t="str">
        <f>IF(tblTargetStatus[[#This Row],[HasCost]]=FALSE,
"N/A",
_xlfn.XLOOKUP(
tblTargetStatus[[#This Row],[TargetID]],
tblCost[TargetID],
tblCost[FundingPercent],
""
)
)</f>
        <v>N/A</v>
      </c>
      <c r="W319" t="str">
        <f>IF(
COUNTIF(tblCost[TargetID],tblTargetStatus[[#This Row],[TargetID]])=0,
"",
_xlfn.XLOOKUP(
tblTargetStatus[[#This Row],[TargetID]],
tblCost[TargetID],
tblCost[RemainingRequirements],
""
)
)</f>
        <v/>
      </c>
      <c r="X319" s="79" t="str">
        <f>IF(tblTargetStatus[[#This Row],[HasCost]]=FALSE,"N/A",_xlfn.XLOOKUP(
tblTargetStatus[[#This Row],[TargetID]],
tblCost[TargetID],
tblCost[TargetFunded],
TRUE
))</f>
        <v>N/A</v>
      </c>
      <c r="Y319" t="str" cm="1">
        <f t="array" ref="Y319">_xlfn.TEXTJOIN(
", ",
TRUE,
_xlfn._xlws.FILTER(
tblCost[ResourceID]&amp;": "&amp;tblCost[QuantityRequired],
(tblCost[TargetID]=tblTargetStatus[[#This Row],[TargetID]])*
(tblCost[PlayerPaid]=FALSE),
""
)
)</f>
        <v/>
      </c>
      <c r="Z3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9" t="str" cm="1">
        <f t="array" ref="AA31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Quest for Knowledge Chapter 2, Quest for Knowledge Chapter 3</v>
      </c>
    </row>
    <row r="320" spans="1:27">
      <c r="A320" t="s">
        <v>2378</v>
      </c>
      <c r="B320" t="str">
        <f>_xlfn.XLOOKUP(tblTargetStatus[[#This Row],[TargetID]],tblTargets[TargetID],tblTargets[DisplayName],"")</f>
        <v>Quest for Knowledge Chapter 2 Accepted</v>
      </c>
      <c r="C320" t="str">
        <f>IF(tblTargetStatus[[#This Row],[PlayerCompleted]],"COMPLETED",IF(tblTargetStatus[[#This Row],[MissingDependencies]]=0,"READY","BLOCKED"))</f>
        <v>BLOCKED</v>
      </c>
      <c r="D3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0" t="str">
        <f>_xlfn.XLOOKUP(tblTargetStatus[[#This Row],[TargetID]],tblTargets[TargetID],tblTargets[TargetType],"")</f>
        <v>QUEST</v>
      </c>
      <c r="F320" t="str">
        <f>_xlfn.XLOOKUP(tblTargetStatus[[#This Row],[TargetID]],tblTargets[TargetID],tblTargets[StateType])</f>
        <v/>
      </c>
      <c r="G320">
        <f>_xlfn.LET(
_xlpm.id,tblTargetStatus[[#This Row],[TargetID]],
_xlpm.depCount,COUNTIF(tblDependencies[TargetID],_xlpm.id),
_xlpm.objCount,COUNTIF(tblQuestObjectives[QuestTargetID],_xlpm.id),
_xlpm.depCount+_xlpm.objCount
)</f>
        <v>1</v>
      </c>
      <c r="H320">
        <f>tblTargetStatus[[#This Row],[DependencyCount]]</f>
        <v>1</v>
      </c>
      <c r="I320" cm="1">
        <f t="array" ref="I3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0">
        <f>tblTargetStatus[[#This Row],[CompletedDependencyCount]]</f>
        <v>0</v>
      </c>
      <c r="K320" t="b">
        <f>tblTargetStatus[[#This Row],[CompletedDependencies]]=tblTargetStatus[[#This Row],[TotalDependencies]]</f>
        <v>0</v>
      </c>
      <c r="L320">
        <f>tblTargetStatus[[#This Row],[TotalDependencies]]-tblTargetStatus[[#This Row],[CompletedDependencies]]</f>
        <v>1</v>
      </c>
      <c r="M320" t="str" cm="1">
        <f t="array" ref="M3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quest.quest_for_knowledge_chapter_1.finished</v>
      </c>
      <c r="N320" t="str">
        <f>IF(tblTargetStatus[[#This Row],[FirstMissingDependencyID]]="","",_xlfn.XLOOKUP(tblTargetStatus[[#This Row],[FirstMissingDependencyID]],tblTargets[TargetID],tblTargets[DisplayName],tblTargetStatus[[#This Row],[FirstMissingDependencyID]]))</f>
        <v>Quest for Knowledge Chapter 1 Finished</v>
      </c>
      <c r="O320" s="2" cm="1">
        <f t="array" ref="O3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0" t="str">
        <f>IF(tblTargetStatus[[#This Row],[FirstMissingDependencyID]]="","",_xlfn.XLOOKUP(tblTargetStatus[[#This Row],[FirstMissingDependencyID]],tblTargetStatus[TargetID],tblTargetStatus[Status],""))</f>
        <v>BLOCKED</v>
      </c>
      <c r="Q320" t="str">
        <f>IF(
 tblTargetStatus[[#This Row],[Status]]&lt;&gt;"BLOCKED",
 tblTargetStatus[[#This Row],[Status]],
 IF(
  AND(
   tblTargetStatus[[#This Row],[MissingDependencies]]=1,
   tblTargetStatus[[#This Row],[FirstMissingStatus]]="READY"
  ),
  "ONE AWAY",
  "BLOCKED"
 )
)</f>
        <v>BLOCKED</v>
      </c>
      <c r="R320">
        <f>IF(
 OR(
  tblTargetStatus[[#This Row],[StateType]]="CHARACTER",
  RIGHT(tblTargetStatus[[#This Row],[TargetID]],6)=".maxed"
 ),
 0,
 _xlfn.LET(
  _xlpm.sort,
   _xlfn.XLOOKUP(
    tblTargetStatus[[#This Row],[TargetID]],
    tblChecklist[TargetID],
    tblChecklist[PlayerSort],
    0
   ),
  IF(_xlpm.sort=0,500,_xlpm.sort)
 )
)</f>
        <v>500</v>
      </c>
      <c r="S320" t="str" cm="1">
        <f t="array" ref="S32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2 Finished</v>
      </c>
      <c r="T320" t="str">
        <f>_xlfn.XLOOKUP(tblTargetStatus[[#This Row],[TargetID]],tblTargets[TargetID],tblTargets[CompletionMethod],"")</f>
        <v>PLAYER</v>
      </c>
      <c r="U320" t="b">
        <f>COUNTIF(
    tblCost[TargetID],
    tblTargetStatus[[#This Row],[TargetID]]
)&gt;0</f>
        <v>0</v>
      </c>
      <c r="V320" s="81" t="str">
        <f>IF(tblTargetStatus[[#This Row],[HasCost]]=FALSE,
"N/A",
_xlfn.XLOOKUP(
tblTargetStatus[[#This Row],[TargetID]],
tblCost[TargetID],
tblCost[FundingPercent],
""
)
)</f>
        <v>N/A</v>
      </c>
      <c r="W320" t="str">
        <f>IF(
COUNTIF(tblCost[TargetID],tblTargetStatus[[#This Row],[TargetID]])=0,
"",
_xlfn.XLOOKUP(
tblTargetStatus[[#This Row],[TargetID]],
tblCost[TargetID],
tblCost[RemainingRequirements],
""
)
)</f>
        <v/>
      </c>
      <c r="X320" s="79" t="str">
        <f>IF(tblTargetStatus[[#This Row],[HasCost]]=FALSE,"N/A",_xlfn.XLOOKUP(
tblTargetStatus[[#This Row],[TargetID]],
tblCost[TargetID],
tblCost[TargetFunded],
TRUE
))</f>
        <v>N/A</v>
      </c>
      <c r="Y320" t="str" cm="1">
        <f t="array" ref="Y320">_xlfn.TEXTJOIN(
", ",
TRUE,
_xlfn._xlws.FILTER(
tblCost[ResourceID]&amp;": "&amp;tblCost[QuantityRequired],
(tblCost[TargetID]=tblTargetStatus[[#This Row],[TargetID]])*
(tblCost[PlayerPaid]=FALSE),
""
)
)</f>
        <v/>
      </c>
      <c r="Z3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0" t="str" cm="1">
        <f t="array" ref="AA32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21" spans="1:27">
      <c r="A321" t="s">
        <v>2514</v>
      </c>
      <c r="B321" t="str">
        <f>_xlfn.XLOOKUP(tblTargetStatus[[#This Row],[TargetID]],tblTargets[TargetID],tblTargets[DisplayName],"")</f>
        <v>Quest for Knowledge Chapter 2 Finished</v>
      </c>
      <c r="C321" t="str">
        <f>IF(tblTargetStatus[[#This Row],[PlayerCompleted]],"COMPLETED",IF(tblTargetStatus[[#This Row],[MissingDependencies]]=0,"READY","BLOCKED"))</f>
        <v>BLOCKED</v>
      </c>
      <c r="D3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1" t="str">
        <f>_xlfn.XLOOKUP(tblTargetStatus[[#This Row],[TargetID]],tblTargets[TargetID],tblTargets[TargetType],"")</f>
        <v>QUEST</v>
      </c>
      <c r="F321" t="str">
        <f>_xlfn.XLOOKUP(tblTargetStatus[[#This Row],[TargetID]],tblTargets[TargetID],tblTargets[StateType])</f>
        <v/>
      </c>
      <c r="G321">
        <f>_xlfn.LET(
_xlpm.id,tblTargetStatus[[#This Row],[TargetID]],
_xlpm.depCount,COUNTIF(tblDependencies[TargetID],_xlpm.id),
_xlpm.objCount,COUNTIF(tblQuestObjectives[QuestTargetID],_xlpm.id),
_xlpm.depCount+_xlpm.objCount
)</f>
        <v>2</v>
      </c>
      <c r="H321">
        <f>tblTargetStatus[[#This Row],[DependencyCount]]</f>
        <v>2</v>
      </c>
      <c r="I321" cm="1">
        <f t="array" ref="I3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1">
        <f>tblTargetStatus[[#This Row],[CompletedDependencyCount]]</f>
        <v>0</v>
      </c>
      <c r="K321" t="b">
        <f>tblTargetStatus[[#This Row],[CompletedDependencies]]=tblTargetStatus[[#This Row],[TotalDependencies]]</f>
        <v>0</v>
      </c>
      <c r="L321">
        <f>tblTargetStatus[[#This Row],[TotalDependencies]]-tblTargetStatus[[#This Row],[CompletedDependencies]]</f>
        <v>2</v>
      </c>
      <c r="M321" t="str" cm="1">
        <f t="array" ref="M3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quest.quest_for_knowledge_chapter_2.accepted</v>
      </c>
      <c r="N321" t="str">
        <f>IF(tblTargetStatus[[#This Row],[FirstMissingDependencyID]]="","",_xlfn.XLOOKUP(tblTargetStatus[[#This Row],[FirstMissingDependencyID]],tblTargets[TargetID],tblTargets[DisplayName],tblTargetStatus[[#This Row],[FirstMissingDependencyID]]))</f>
        <v>Quest for Knowledge Chapter 2 Accepted</v>
      </c>
      <c r="O321" s="2" cm="1">
        <f t="array" ref="O3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1" t="str">
        <f>IF(tblTargetStatus[[#This Row],[FirstMissingDependencyID]]="","",_xlfn.XLOOKUP(tblTargetStatus[[#This Row],[FirstMissingDependencyID]],tblTargetStatus[TargetID],tblTargetStatus[Status],""))</f>
        <v>BLOCKED</v>
      </c>
      <c r="Q321" t="str">
        <f>IF(
 tblTargetStatus[[#This Row],[Status]]&lt;&gt;"BLOCKED",
 tblTargetStatus[[#This Row],[Status]],
 IF(
  AND(
   tblTargetStatus[[#This Row],[MissingDependencies]]=1,
   tblTargetStatus[[#This Row],[FirstMissingStatus]]="READY"
  ),
  "ONE AWAY",
  "BLOCKED"
 )
)</f>
        <v>BLOCKED</v>
      </c>
      <c r="R321">
        <f>IF(
 OR(
  tblTargetStatus[[#This Row],[StateType]]="CHARACTER",
  RIGHT(tblTargetStatus[[#This Row],[TargetID]],6)=".maxed"
 ),
 0,
 _xlfn.LET(
  _xlpm.sort,
   _xlfn.XLOOKUP(
    tblTargetStatus[[#This Row],[TargetID]],
    tblChecklist[TargetID],
    tblChecklist[PlayerSort],
    0
   ),
  IF(_xlpm.sort=0,500,_xlpm.sort)
 )
)</f>
        <v>500</v>
      </c>
      <c r="S321" t="str" cm="1">
        <f t="array" ref="S32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21" t="str">
        <f>_xlfn.XLOOKUP(tblTargetStatus[[#This Row],[TargetID]],tblTargets[TargetID],tblTargets[CompletionMethod],"")</f>
        <v>PLAYER</v>
      </c>
      <c r="U321" t="b">
        <f>COUNTIF(
    tblCost[TargetID],
    tblTargetStatus[[#This Row],[TargetID]]
)&gt;0</f>
        <v>0</v>
      </c>
      <c r="V321" s="81" t="str">
        <f>IF(tblTargetStatus[[#This Row],[HasCost]]=FALSE,
"N/A",
_xlfn.XLOOKUP(
tblTargetStatus[[#This Row],[TargetID]],
tblCost[TargetID],
tblCost[FundingPercent],
""
)
)</f>
        <v>N/A</v>
      </c>
      <c r="W321" t="str">
        <f>IF(
COUNTIF(tblCost[TargetID],tblTargetStatus[[#This Row],[TargetID]])=0,
"",
_xlfn.XLOOKUP(
tblTargetStatus[[#This Row],[TargetID]],
tblCost[TargetID],
tblCost[RemainingRequirements],
""
)
)</f>
        <v/>
      </c>
      <c r="X321" s="79" t="str">
        <f>IF(tblTargetStatus[[#This Row],[HasCost]]=FALSE,"N/A",_xlfn.XLOOKUP(
tblTargetStatus[[#This Row],[TargetID]],
tblCost[TargetID],
tblCost[TargetFunded],
TRUE
))</f>
        <v>N/A</v>
      </c>
      <c r="Y321" t="str" cm="1">
        <f t="array" ref="Y321">_xlfn.TEXTJOIN(
", ",
TRUE,
_xlfn._xlws.FILTER(
tblCost[ResourceID]&amp;": "&amp;tblCost[QuantityRequired],
(tblCost[TargetID]=tblTargetStatus[[#This Row],[TargetID]])*
(tblCost[PlayerPaid]=FALSE),
""
)
)</f>
        <v/>
      </c>
      <c r="Z3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1" t="str" cm="1">
        <f t="array" ref="AA32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22" spans="1:27">
      <c r="A322" t="s">
        <v>2381</v>
      </c>
      <c r="B322" t="str">
        <f>_xlfn.XLOOKUP(tblTargetStatus[[#This Row],[TargetID]],tblTargets[TargetID],tblTargets[DisplayName],"")</f>
        <v>Quest for Knowledge Chapter 3 Accepted</v>
      </c>
      <c r="C322" t="str">
        <f>IF(tblTargetStatus[[#This Row],[PlayerCompleted]],"COMPLETED",IF(tblTargetStatus[[#This Row],[MissingDependencies]]=0,"READY","BLOCKED"))</f>
        <v>BLOCKED</v>
      </c>
      <c r="D3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2" t="str">
        <f>_xlfn.XLOOKUP(tblTargetStatus[[#This Row],[TargetID]],tblTargets[TargetID],tblTargets[TargetType],"")</f>
        <v>QUEST</v>
      </c>
      <c r="F322" t="str">
        <f>_xlfn.XLOOKUP(tblTargetStatus[[#This Row],[TargetID]],tblTargets[TargetID],tblTargets[StateType])</f>
        <v/>
      </c>
      <c r="G322">
        <f>_xlfn.LET(
_xlpm.id,tblTargetStatus[[#This Row],[TargetID]],
_xlpm.depCount,COUNTIF(tblDependencies[TargetID],_xlpm.id),
_xlpm.objCount,COUNTIF(tblQuestObjectives[QuestTargetID],_xlpm.id),
_xlpm.depCount+_xlpm.objCount
)</f>
        <v>1</v>
      </c>
      <c r="H322">
        <f>tblTargetStatus[[#This Row],[DependencyCount]]</f>
        <v>1</v>
      </c>
      <c r="I322" cm="1">
        <f t="array" ref="I3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2">
        <f>tblTargetStatus[[#This Row],[CompletedDependencyCount]]</f>
        <v>0</v>
      </c>
      <c r="K322" t="b">
        <f>tblTargetStatus[[#This Row],[CompletedDependencies]]=tblTargetStatus[[#This Row],[TotalDependencies]]</f>
        <v>0</v>
      </c>
      <c r="L322">
        <f>tblTargetStatus[[#This Row],[TotalDependencies]]-tblTargetStatus[[#This Row],[CompletedDependencies]]</f>
        <v>1</v>
      </c>
      <c r="M322" t="str" cm="1">
        <f t="array" ref="M3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quest.quest_for_knowledge_chapter_1.finished</v>
      </c>
      <c r="N322" t="str">
        <f>IF(tblTargetStatus[[#This Row],[FirstMissingDependencyID]]="","",_xlfn.XLOOKUP(tblTargetStatus[[#This Row],[FirstMissingDependencyID]],tblTargets[TargetID],tblTargets[DisplayName],tblTargetStatus[[#This Row],[FirstMissingDependencyID]]))</f>
        <v>Quest for Knowledge Chapter 1 Finished</v>
      </c>
      <c r="O322" s="2" cm="1">
        <f t="array" ref="O3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2" t="str">
        <f>IF(tblTargetStatus[[#This Row],[FirstMissingDependencyID]]="","",_xlfn.XLOOKUP(tblTargetStatus[[#This Row],[FirstMissingDependencyID]],tblTargetStatus[TargetID],tblTargetStatus[Status],""))</f>
        <v>BLOCKED</v>
      </c>
      <c r="Q322" t="str">
        <f>IF(
 tblTargetStatus[[#This Row],[Status]]&lt;&gt;"BLOCKED",
 tblTargetStatus[[#This Row],[Status]],
 IF(
  AND(
   tblTargetStatus[[#This Row],[MissingDependencies]]=1,
   tblTargetStatus[[#This Row],[FirstMissingStatus]]="READY"
  ),
  "ONE AWAY",
  "BLOCKED"
 )
)</f>
        <v>BLOCKED</v>
      </c>
      <c r="R322">
        <f>IF(
 OR(
  tblTargetStatus[[#This Row],[StateType]]="CHARACTER",
  RIGHT(tblTargetStatus[[#This Row],[TargetID]],6)=".maxed"
 ),
 0,
 _xlfn.LET(
  _xlpm.sort,
   _xlfn.XLOOKUP(
    tblTargetStatus[[#This Row],[TargetID]],
    tblChecklist[TargetID],
    tblChecklist[PlayerSort],
    0
   ),
  IF(_xlpm.sort=0,500,_xlpm.sort)
 )
)</f>
        <v>500</v>
      </c>
      <c r="S322" t="str" cm="1">
        <f t="array" ref="S32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3 Finished, Obtain all emerald shards</v>
      </c>
      <c r="T322" t="str">
        <f>_xlfn.XLOOKUP(tblTargetStatus[[#This Row],[TargetID]],tblTargets[TargetID],tblTargets[CompletionMethod],"")</f>
        <v>PLAYER</v>
      </c>
      <c r="U322" t="b">
        <f>COUNTIF(
    tblCost[TargetID],
    tblTargetStatus[[#This Row],[TargetID]]
)&gt;0</f>
        <v>0</v>
      </c>
      <c r="V322" s="81" t="str">
        <f>IF(tblTargetStatus[[#This Row],[HasCost]]=FALSE,
"N/A",
_xlfn.XLOOKUP(
tblTargetStatus[[#This Row],[TargetID]],
tblCost[TargetID],
tblCost[FundingPercent],
""
)
)</f>
        <v>N/A</v>
      </c>
      <c r="W322" t="str">
        <f>IF(
COUNTIF(tblCost[TargetID],tblTargetStatus[[#This Row],[TargetID]])=0,
"",
_xlfn.XLOOKUP(
tblTargetStatus[[#This Row],[TargetID]],
tblCost[TargetID],
tblCost[RemainingRequirements],
""
)
)</f>
        <v/>
      </c>
      <c r="X322" s="79" t="str">
        <f>IF(tblTargetStatus[[#This Row],[HasCost]]=FALSE,"N/A",_xlfn.XLOOKUP(
tblTargetStatus[[#This Row],[TargetID]],
tblCost[TargetID],
tblCost[TargetFunded],
TRUE
))</f>
        <v>N/A</v>
      </c>
      <c r="Y322" t="str" cm="1">
        <f t="array" ref="Y322">_xlfn.TEXTJOIN(
", ",
TRUE,
_xlfn._xlws.FILTER(
tblCost[ResourceID]&amp;": "&amp;tblCost[QuantityRequired],
(tblCost[TargetID]=tblTargetStatus[[#This Row],[TargetID]])*
(tblCost[PlayerPaid]=FALSE),
""
)
)</f>
        <v/>
      </c>
      <c r="Z3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2" t="str" cm="1">
        <f t="array" ref="AA32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23" spans="1:27">
      <c r="A323" t="s">
        <v>2516</v>
      </c>
      <c r="B323" t="str">
        <f>_xlfn.XLOOKUP(tblTargetStatus[[#This Row],[TargetID]],tblTargets[TargetID],tblTargets[DisplayName],"")</f>
        <v>Quest for Knowledge Chapter 3 Finished</v>
      </c>
      <c r="C323" t="str">
        <f>IF(tblTargetStatus[[#This Row],[PlayerCompleted]],"COMPLETED",IF(tblTargetStatus[[#This Row],[MissingDependencies]]=0,"READY","BLOCKED"))</f>
        <v>BLOCKED</v>
      </c>
      <c r="D3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3" t="str">
        <f>_xlfn.XLOOKUP(tblTargetStatus[[#This Row],[TargetID]],tblTargets[TargetID],tblTargets[TargetType],"")</f>
        <v>QUEST</v>
      </c>
      <c r="F323" t="str">
        <f>_xlfn.XLOOKUP(tblTargetStatus[[#This Row],[TargetID]],tblTargets[TargetID],tblTargets[StateType])</f>
        <v/>
      </c>
      <c r="G323">
        <f>_xlfn.LET(
_xlpm.id,tblTargetStatus[[#This Row],[TargetID]],
_xlpm.depCount,COUNTIF(tblDependencies[TargetID],_xlpm.id),
_xlpm.objCount,COUNTIF(tblQuestObjectives[QuestTargetID],_xlpm.id),
_xlpm.depCount+_xlpm.objCount
)</f>
        <v>3</v>
      </c>
      <c r="H323">
        <f>tblTargetStatus[[#This Row],[DependencyCount]]</f>
        <v>3</v>
      </c>
      <c r="I323" cm="1">
        <f t="array" ref="I3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3">
        <f>tblTargetStatus[[#This Row],[CompletedDependencyCount]]</f>
        <v>0</v>
      </c>
      <c r="K323" t="b">
        <f>tblTargetStatus[[#This Row],[CompletedDependencies]]=tblTargetStatus[[#This Row],[TotalDependencies]]</f>
        <v>0</v>
      </c>
      <c r="L323">
        <f>tblTargetStatus[[#This Row],[TotalDependencies]]-tblTargetStatus[[#This Row],[CompletedDependencies]]</f>
        <v>3</v>
      </c>
      <c r="M323" t="str" cm="1">
        <f t="array" ref="M3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quest.quest_for_knowledge_chapter_3.accepted</v>
      </c>
      <c r="N323" t="str">
        <f>IF(tblTargetStatus[[#This Row],[FirstMissingDependencyID]]="","",_xlfn.XLOOKUP(tblTargetStatus[[#This Row],[FirstMissingDependencyID]],tblTargets[TargetID],tblTargets[DisplayName],tblTargetStatus[[#This Row],[FirstMissingDependencyID]]))</f>
        <v>Quest for Knowledge Chapter 3 Accepted</v>
      </c>
      <c r="O323" s="2" cm="1">
        <f t="array" ref="O3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3" t="str">
        <f>IF(tblTargetStatus[[#This Row],[FirstMissingDependencyID]]="","",_xlfn.XLOOKUP(tblTargetStatus[[#This Row],[FirstMissingDependencyID]],tblTargetStatus[TargetID],tblTargetStatus[Status],""))</f>
        <v>BLOCKED</v>
      </c>
      <c r="Q323" t="str">
        <f>IF(
 tblTargetStatus[[#This Row],[Status]]&lt;&gt;"BLOCKED",
 tblTargetStatus[[#This Row],[Status]],
 IF(
  AND(
   tblTargetStatus[[#This Row],[MissingDependencies]]=1,
   tblTargetStatus[[#This Row],[FirstMissingStatus]]="READY"
  ),
  "ONE AWAY",
  "BLOCKED"
 )
)</f>
        <v>BLOCKED</v>
      </c>
      <c r="R323">
        <f>IF(
 OR(
  tblTargetStatus[[#This Row],[StateType]]="CHARACTER",
  RIGHT(tblTargetStatus[[#This Row],[TargetID]],6)=".maxed"
 ),
 0,
 _xlfn.LET(
  _xlpm.sort,
   _xlfn.XLOOKUP(
    tblTargetStatus[[#This Row],[TargetID]],
    tblChecklist[TargetID],
    tblChecklist[PlayerSort],
    0
   ),
  IF(_xlpm.sort=0,500,_xlpm.sort)
 )
)</f>
        <v>500</v>
      </c>
      <c r="S323" t="str" cm="1">
        <f t="array" ref="S32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Map Catacombs</v>
      </c>
      <c r="T323" t="str">
        <f>_xlfn.XLOOKUP(tblTargetStatus[[#This Row],[TargetID]],tblTargets[TargetID],tblTargets[CompletionMethod],"")</f>
        <v>PLAYER</v>
      </c>
      <c r="U323" t="b">
        <f>COUNTIF(
    tblCost[TargetID],
    tblTargetStatus[[#This Row],[TargetID]]
)&gt;0</f>
        <v>0</v>
      </c>
      <c r="V323" s="81" t="str">
        <f>IF(tblTargetStatus[[#This Row],[HasCost]]=FALSE,
"N/A",
_xlfn.XLOOKUP(
tblTargetStatus[[#This Row],[TargetID]],
tblCost[TargetID],
tblCost[FundingPercent],
""
)
)</f>
        <v>N/A</v>
      </c>
      <c r="W323" t="str">
        <f>IF(
COUNTIF(tblCost[TargetID],tblTargetStatus[[#This Row],[TargetID]])=0,
"",
_xlfn.XLOOKUP(
tblTargetStatus[[#This Row],[TargetID]],
tblCost[TargetID],
tblCost[RemainingRequirements],
""
)
)</f>
        <v/>
      </c>
      <c r="X323" s="79" t="str">
        <f>IF(tblTargetStatus[[#This Row],[HasCost]]=FALSE,"N/A",_xlfn.XLOOKUP(
tblTargetStatus[[#This Row],[TargetID]],
tblCost[TargetID],
tblCost[TargetFunded],
TRUE
))</f>
        <v>N/A</v>
      </c>
      <c r="Y323" t="str" cm="1">
        <f t="array" ref="Y323">_xlfn.TEXTJOIN(
", ",
TRUE,
_xlfn._xlws.FILTER(
tblCost[ResourceID]&amp;": "&amp;tblCost[QuantityRequired],
(tblCost[TargetID]=tblTargetStatus[[#This Row],[TargetID]])*
(tblCost[PlayerPaid]=FALSE),
""
)
)</f>
        <v/>
      </c>
      <c r="Z3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3" t="str" cm="1">
        <f t="array" ref="AA32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24" spans="1:27">
      <c r="A324" t="s">
        <v>2384</v>
      </c>
      <c r="B324" t="str">
        <f>_xlfn.XLOOKUP(tblTargetStatus[[#This Row],[TargetID]],tblTargets[TargetID],tblTargets[DisplayName],"")</f>
        <v>Quest for Knowledge Chapter 4 Accepted</v>
      </c>
      <c r="C324" t="str">
        <f>IF(tblTargetStatus[[#This Row],[PlayerCompleted]],"COMPLETED",IF(tblTargetStatus[[#This Row],[MissingDependencies]]=0,"READY","BLOCKED"))</f>
        <v>BLOCKED</v>
      </c>
      <c r="D3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4" t="str">
        <f>_xlfn.XLOOKUP(tblTargetStatus[[#This Row],[TargetID]],tblTargets[TargetID],tblTargets[TargetType],"")</f>
        <v>QUEST</v>
      </c>
      <c r="F324" t="str">
        <f>_xlfn.XLOOKUP(tblTargetStatus[[#This Row],[TargetID]],tblTargets[TargetID],tblTargets[StateType])</f>
        <v/>
      </c>
      <c r="G324">
        <f>_xlfn.LET(
_xlpm.id,tblTargetStatus[[#This Row],[TargetID]],
_xlpm.depCount,COUNTIF(tblDependencies[TargetID],_xlpm.id),
_xlpm.objCount,COUNTIF(tblQuestObjectives[QuestTargetID],_xlpm.id),
_xlpm.depCount+_xlpm.objCount
)</f>
        <v>1</v>
      </c>
      <c r="H324">
        <f>tblTargetStatus[[#This Row],[DependencyCount]]</f>
        <v>1</v>
      </c>
      <c r="I324" cm="1">
        <f t="array" ref="I3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4">
        <f>tblTargetStatus[[#This Row],[CompletedDependencyCount]]</f>
        <v>0</v>
      </c>
      <c r="K324" t="b">
        <f>tblTargetStatus[[#This Row],[CompletedDependencies]]=tblTargetStatus[[#This Row],[TotalDependencies]]</f>
        <v>0</v>
      </c>
      <c r="L324">
        <f>tblTargetStatus[[#This Row],[TotalDependencies]]-tblTargetStatus[[#This Row],[CompletedDependencies]]</f>
        <v>1</v>
      </c>
      <c r="M324" t="str" cm="1">
        <f t="array" ref="M3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state.obtain_map_catacombs</v>
      </c>
      <c r="N324" t="str">
        <f>IF(tblTargetStatus[[#This Row],[FirstMissingDependencyID]]="","",_xlfn.XLOOKUP(tblTargetStatus[[#This Row],[FirstMissingDependencyID]],tblTargets[TargetID],tblTargets[DisplayName],tblTargetStatus[[#This Row],[FirstMissingDependencyID]]))</f>
        <v>Map Catacombs</v>
      </c>
      <c r="O324" s="2" cm="1">
        <f t="array" ref="O3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4" t="str">
        <f>IF(tblTargetStatus[[#This Row],[FirstMissingDependencyID]]="","",_xlfn.XLOOKUP(tblTargetStatus[[#This Row],[FirstMissingDependencyID]],tblTargetStatus[TargetID],tblTargetStatus[Status],""))</f>
        <v>BLOCKED</v>
      </c>
      <c r="Q324" t="str">
        <f>IF(
 tblTargetStatus[[#This Row],[Status]]&lt;&gt;"BLOCKED",
 tblTargetStatus[[#This Row],[Status]],
 IF(
  AND(
   tblTargetStatus[[#This Row],[MissingDependencies]]=1,
   tblTargetStatus[[#This Row],[FirstMissingStatus]]="READY"
  ),
  "ONE AWAY",
  "BLOCKED"
 )
)</f>
        <v>BLOCKED</v>
      </c>
      <c r="R324">
        <f>IF(
 OR(
  tblTargetStatus[[#This Row],[StateType]]="CHARACTER",
  RIGHT(tblTargetStatus[[#This Row],[TargetID]],6)=".maxed"
 ),
 0,
 _xlfn.LET(
  _xlpm.sort,
   _xlfn.XLOOKUP(
    tblTargetStatus[[#This Row],[TargetID]],
    tblChecklist[TargetID],
    tblChecklist[PlayerSort],
    0
   ),
  IF(_xlpm.sort=0,500,_xlpm.sort)
 )
)</f>
        <v>500</v>
      </c>
      <c r="S324" t="str" cm="1">
        <f t="array" ref="S32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4 Finished</v>
      </c>
      <c r="T324" t="str">
        <f>_xlfn.XLOOKUP(tblTargetStatus[[#This Row],[TargetID]],tblTargets[TargetID],tblTargets[CompletionMethod],"")</f>
        <v>PLAYER</v>
      </c>
      <c r="U324" t="b">
        <f>COUNTIF(
    tblCost[TargetID],
    tblTargetStatus[[#This Row],[TargetID]]
)&gt;0</f>
        <v>0</v>
      </c>
      <c r="V324" s="81" t="str">
        <f>IF(tblTargetStatus[[#This Row],[HasCost]]=FALSE,
"N/A",
_xlfn.XLOOKUP(
tblTargetStatus[[#This Row],[TargetID]],
tblCost[TargetID],
tblCost[FundingPercent],
""
)
)</f>
        <v>N/A</v>
      </c>
      <c r="W324" t="str">
        <f>IF(
COUNTIF(tblCost[TargetID],tblTargetStatus[[#This Row],[TargetID]])=0,
"",
_xlfn.XLOOKUP(
tblTargetStatus[[#This Row],[TargetID]],
tblCost[TargetID],
tblCost[RemainingRequirements],
""
)
)</f>
        <v/>
      </c>
      <c r="X324" s="79" t="str">
        <f>IF(tblTargetStatus[[#This Row],[HasCost]]=FALSE,"N/A",_xlfn.XLOOKUP(
tblTargetStatus[[#This Row],[TargetID]],
tblCost[TargetID],
tblCost[TargetFunded],
TRUE
))</f>
        <v>N/A</v>
      </c>
      <c r="Y324" t="str" cm="1">
        <f t="array" ref="Y324">_xlfn.TEXTJOIN(
", ",
TRUE,
_xlfn._xlws.FILTER(
tblCost[ResourceID]&amp;": "&amp;tblCost[QuantityRequired],
(tblCost[TargetID]=tblTargetStatus[[#This Row],[TargetID]])*
(tblCost[PlayerPaid]=FALSE),
""
)
)</f>
        <v/>
      </c>
      <c r="Z3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4" t="str" cm="1">
        <f t="array" ref="AA32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25" spans="1:27">
      <c r="A325" t="s">
        <v>2518</v>
      </c>
      <c r="B325" t="str">
        <f>_xlfn.XLOOKUP(tblTargetStatus[[#This Row],[TargetID]],tblTargets[TargetID],tblTargets[DisplayName],"")</f>
        <v>Quest for Knowledge Chapter 4 Finished</v>
      </c>
      <c r="C325" t="str">
        <f>IF(tblTargetStatus[[#This Row],[PlayerCompleted]],"COMPLETED",IF(tblTargetStatus[[#This Row],[MissingDependencies]]=0,"READY","BLOCKED"))</f>
        <v>BLOCKED</v>
      </c>
      <c r="D3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5" t="str">
        <f>_xlfn.XLOOKUP(tblTargetStatus[[#This Row],[TargetID]],tblTargets[TargetID],tblTargets[TargetType],"")</f>
        <v>QUEST</v>
      </c>
      <c r="F325" t="str">
        <f>_xlfn.XLOOKUP(tblTargetStatus[[#This Row],[TargetID]],tblTargets[TargetID],tblTargets[StateType])</f>
        <v/>
      </c>
      <c r="G325">
        <f>_xlfn.LET(
_xlpm.id,tblTargetStatus[[#This Row],[TargetID]],
_xlpm.depCount,COUNTIF(tblDependencies[TargetID],_xlpm.id),
_xlpm.objCount,COUNTIF(tblQuestObjectives[QuestTargetID],_xlpm.id),
_xlpm.depCount+_xlpm.objCount
)</f>
        <v>2</v>
      </c>
      <c r="H325">
        <f>tblTargetStatus[[#This Row],[DependencyCount]]</f>
        <v>2</v>
      </c>
      <c r="I325" cm="1">
        <f t="array" ref="I3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5">
        <f>tblTargetStatus[[#This Row],[CompletedDependencyCount]]</f>
        <v>0</v>
      </c>
      <c r="K325" t="b">
        <f>tblTargetStatus[[#This Row],[CompletedDependencies]]=tblTargetStatus[[#This Row],[TotalDependencies]]</f>
        <v>0</v>
      </c>
      <c r="L325">
        <f>tblTargetStatus[[#This Row],[TotalDependencies]]-tblTargetStatus[[#This Row],[CompletedDependencies]]</f>
        <v>2</v>
      </c>
      <c r="M325" t="str" cm="1">
        <f t="array" ref="M3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quest.quest_for_knowledge_chapter_4.accepted</v>
      </c>
      <c r="N325" t="str">
        <f>IF(tblTargetStatus[[#This Row],[FirstMissingDependencyID]]="","",_xlfn.XLOOKUP(tblTargetStatus[[#This Row],[FirstMissingDependencyID]],tblTargets[TargetID],tblTargets[DisplayName],tblTargetStatus[[#This Row],[FirstMissingDependencyID]]))</f>
        <v>Quest for Knowledge Chapter 4 Accepted</v>
      </c>
      <c r="O325" s="2" cm="1">
        <f t="array" ref="O3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5" t="str">
        <f>IF(tblTargetStatus[[#This Row],[FirstMissingDependencyID]]="","",_xlfn.XLOOKUP(tblTargetStatus[[#This Row],[FirstMissingDependencyID]],tblTargetStatus[TargetID],tblTargetStatus[Status],""))</f>
        <v>BLOCKED</v>
      </c>
      <c r="Q325" t="str">
        <f>IF(
 tblTargetStatus[[#This Row],[Status]]&lt;&gt;"BLOCKED",
 tblTargetStatus[[#This Row],[Status]],
 IF(
  AND(
   tblTargetStatus[[#This Row],[MissingDependencies]]=1,
   tblTargetStatus[[#This Row],[FirstMissingStatus]]="READY"
  ),
  "ONE AWAY",
  "BLOCKED"
 )
)</f>
        <v>BLOCKED</v>
      </c>
      <c r="R325">
        <f>IF(
 OR(
  tblTargetStatus[[#This Row],[StateType]]="CHARACTER",
  RIGHT(tblTargetStatus[[#This Row],[TargetID]],6)=".maxed"
 ),
 0,
 _xlfn.LET(
  _xlpm.sort,
   _xlfn.XLOOKUP(
    tblTargetStatus[[#This Row],[TargetID]],
    tblChecklist[TargetID],
    tblChecklist[PlayerSort],
    0
   ),
  IF(_xlpm.sort=0,500,_xlpm.sort)
 )
)</f>
        <v>500</v>
      </c>
      <c r="S325" t="str" cm="1">
        <f t="array" ref="S32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25" t="str">
        <f>_xlfn.XLOOKUP(tblTargetStatus[[#This Row],[TargetID]],tblTargets[TargetID],tblTargets[CompletionMethod],"")</f>
        <v>PLAYER</v>
      </c>
      <c r="U325" t="b">
        <f>COUNTIF(
    tblCost[TargetID],
    tblTargetStatus[[#This Row],[TargetID]]
)&gt;0</f>
        <v>0</v>
      </c>
      <c r="V325" s="81" t="str">
        <f>IF(tblTargetStatus[[#This Row],[HasCost]]=FALSE,
"N/A",
_xlfn.XLOOKUP(
tblTargetStatus[[#This Row],[TargetID]],
tblCost[TargetID],
tblCost[FundingPercent],
""
)
)</f>
        <v>N/A</v>
      </c>
      <c r="W325" t="str">
        <f>IF(
COUNTIF(tblCost[TargetID],tblTargetStatus[[#This Row],[TargetID]])=0,
"",
_xlfn.XLOOKUP(
tblTargetStatus[[#This Row],[TargetID]],
tblCost[TargetID],
tblCost[RemainingRequirements],
""
)
)</f>
        <v/>
      </c>
      <c r="X325" s="79" t="str">
        <f>IF(tblTargetStatus[[#This Row],[HasCost]]=FALSE,"N/A",_xlfn.XLOOKUP(
tblTargetStatus[[#This Row],[TargetID]],
tblCost[TargetID],
tblCost[TargetFunded],
TRUE
))</f>
        <v>N/A</v>
      </c>
      <c r="Y325" t="str" cm="1">
        <f t="array" ref="Y325">_xlfn.TEXTJOIN(
", ",
TRUE,
_xlfn._xlws.FILTER(
tblCost[ResourceID]&amp;": "&amp;tblCost[QuantityRequired],
(tblCost[TargetID]=tblTargetStatus[[#This Row],[TargetID]])*
(tblCost[PlayerPaid]=FALSE),
""
)
)</f>
        <v/>
      </c>
      <c r="Z3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5" t="str" cm="1">
        <f t="array" ref="AA32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26" spans="1:27">
      <c r="A326" t="s">
        <v>2387</v>
      </c>
      <c r="B326" t="str">
        <f>_xlfn.XLOOKUP(tblTargetStatus[[#This Row],[TargetID]],tblTargets[TargetID],tblTargets[DisplayName],"")</f>
        <v>Quest for Knowledge Chapter 5 Accepted</v>
      </c>
      <c r="C326" t="str">
        <f>IF(tblTargetStatus[[#This Row],[PlayerCompleted]],"COMPLETED",IF(tblTargetStatus[[#This Row],[MissingDependencies]]=0,"READY","BLOCKED"))</f>
        <v>BLOCKED</v>
      </c>
      <c r="D3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6" t="str">
        <f>_xlfn.XLOOKUP(tblTargetStatus[[#This Row],[TargetID]],tblTargets[TargetID],tblTargets[TargetType],"")</f>
        <v>QUEST</v>
      </c>
      <c r="F326" t="str">
        <f>_xlfn.XLOOKUP(tblTargetStatus[[#This Row],[TargetID]],tblTargets[TargetID],tblTargets[StateType])</f>
        <v/>
      </c>
      <c r="G326">
        <f>_xlfn.LET(
_xlpm.id,tblTargetStatus[[#This Row],[TargetID]],
_xlpm.depCount,COUNTIF(tblDependencies[TargetID],_xlpm.id),
_xlpm.objCount,COUNTIF(tblQuestObjectives[QuestTargetID],_xlpm.id),
_xlpm.depCount+_xlpm.objCount
)</f>
        <v>1</v>
      </c>
      <c r="H326">
        <f>tblTargetStatus[[#This Row],[DependencyCount]]</f>
        <v>1</v>
      </c>
      <c r="I326" cm="1">
        <f t="array" ref="I3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6">
        <f>tblTargetStatus[[#This Row],[CompletedDependencyCount]]</f>
        <v>0</v>
      </c>
      <c r="K326" t="b">
        <f>tblTargetStatus[[#This Row],[CompletedDependencies]]=tblTargetStatus[[#This Row],[TotalDependencies]]</f>
        <v>0</v>
      </c>
      <c r="L326">
        <f>tblTargetStatus[[#This Row],[TotalDependencies]]-tblTargetStatus[[#This Row],[CompletedDependencies]]</f>
        <v>1</v>
      </c>
      <c r="M326" t="str" cm="1">
        <f t="array" ref="M3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building.airship@1</v>
      </c>
      <c r="N326" t="str">
        <f>IF(tblTargetStatus[[#This Row],[FirstMissingDependencyID]]="","",_xlfn.XLOOKUP(tblTargetStatus[[#This Row],[FirstMissingDependencyID]],tblTargets[TargetID],tblTargets[DisplayName],tblTargetStatus[[#This Row],[FirstMissingDependencyID]]))</f>
        <v>Airship Lv 1</v>
      </c>
      <c r="O326" cm="1">
        <f t="array" ref="O3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6" t="str">
        <f>IF(tblTargetStatus[[#This Row],[FirstMissingDependencyID]]="","",_xlfn.XLOOKUP(tblTargetStatus[[#This Row],[FirstMissingDependencyID]],tblTargetStatus[TargetID],tblTargetStatus[Status],""))</f>
        <v>BLOCKED</v>
      </c>
      <c r="Q326" t="str">
        <f>IF(
 tblTargetStatus[[#This Row],[Status]]&lt;&gt;"BLOCKED",
 tblTargetStatus[[#This Row],[Status]],
 IF(
  AND(
   tblTargetStatus[[#This Row],[MissingDependencies]]=1,
   tblTargetStatus[[#This Row],[FirstMissingStatus]]="READY"
  ),
  "ONE AWAY",
  "BLOCKED"
 )
)</f>
        <v>BLOCKED</v>
      </c>
      <c r="R326">
        <f>IF(
 OR(
  tblTargetStatus[[#This Row],[StateType]]="CHARACTER",
  RIGHT(tblTargetStatus[[#This Row],[TargetID]],6)=".maxed"
 ),
 0,
 _xlfn.LET(
  _xlpm.sort,
   _xlfn.XLOOKUP(
    tblTargetStatus[[#This Row],[TargetID]],
    tblChecklist[TargetID],
    tblChecklist[PlayerSort],
    0
   ),
  IF(_xlpm.sort=0,500,_xlpm.sort)
 )
)</f>
        <v>500</v>
      </c>
      <c r="S326" t="str" cm="1">
        <f t="array" ref="S32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5 Finished, Craft mechanism, Craft steamobile</v>
      </c>
      <c r="T326" t="str">
        <f>_xlfn.XLOOKUP(tblTargetStatus[[#This Row],[TargetID]],tblTargets[TargetID],tblTargets[CompletionMethod],"")</f>
        <v>PLAYER</v>
      </c>
      <c r="U326" t="b">
        <f>COUNTIF(
    tblCost[TargetID],
    tblTargetStatus[[#This Row],[TargetID]]
)&gt;0</f>
        <v>0</v>
      </c>
      <c r="V326" s="81" t="str">
        <f>IF(tblTargetStatus[[#This Row],[HasCost]]=FALSE,
"N/A",
_xlfn.XLOOKUP(
tblTargetStatus[[#This Row],[TargetID]],
tblCost[TargetID],
tblCost[FundingPercent],
""
)
)</f>
        <v>N/A</v>
      </c>
      <c r="W326" t="str">
        <f>IF(
COUNTIF(tblCost[TargetID],tblTargetStatus[[#This Row],[TargetID]])=0,
"",
_xlfn.XLOOKUP(
tblTargetStatus[[#This Row],[TargetID]],
tblCost[TargetID],
tblCost[RemainingRequirements],
""
)
)</f>
        <v/>
      </c>
      <c r="X326" s="79" t="str">
        <f>IF(tblTargetStatus[[#This Row],[HasCost]]=FALSE,"N/A",_xlfn.XLOOKUP(
tblTargetStatus[[#This Row],[TargetID]],
tblCost[TargetID],
tblCost[TargetFunded],
TRUE
))</f>
        <v>N/A</v>
      </c>
      <c r="Y326" t="str" cm="1">
        <f t="array" ref="Y326">_xlfn.TEXTJOIN(
", ",
TRUE,
_xlfn._xlws.FILTER(
tblCost[ResourceID]&amp;": "&amp;tblCost[QuantityRequired],
(tblCost[TargetID]=tblTargetStatus[[#This Row],[TargetID]])*
(tblCost[PlayerPaid]=FALSE),
""
)
)</f>
        <v/>
      </c>
      <c r="Z3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6" t="str" cm="1">
        <f t="array" ref="AA32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27" spans="1:27">
      <c r="A327" t="s">
        <v>2520</v>
      </c>
      <c r="B327" t="str">
        <f>_xlfn.XLOOKUP(tblTargetStatus[[#This Row],[TargetID]],tblTargets[TargetID],tblTargets[DisplayName],"")</f>
        <v>Quest for Knowledge Chapter 5 Finished</v>
      </c>
      <c r="C327" t="str">
        <f>IF(tblTargetStatus[[#This Row],[PlayerCompleted]],"COMPLETED",IF(tblTargetStatus[[#This Row],[MissingDependencies]]=0,"READY","BLOCKED"))</f>
        <v>BLOCKED</v>
      </c>
      <c r="D3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7" t="str">
        <f>_xlfn.XLOOKUP(tblTargetStatus[[#This Row],[TargetID]],tblTargets[TargetID],tblTargets[TargetType],"")</f>
        <v>QUEST</v>
      </c>
      <c r="F327" t="str">
        <f>_xlfn.XLOOKUP(tblTargetStatus[[#This Row],[TargetID]],tblTargets[TargetID],tblTargets[StateType])</f>
        <v/>
      </c>
      <c r="G327">
        <f>_xlfn.LET(
_xlpm.id,tblTargetStatus[[#This Row],[TargetID]],
_xlpm.depCount,COUNTIF(tblDependencies[TargetID],_xlpm.id),
_xlpm.objCount,COUNTIF(tblQuestObjectives[QuestTargetID],_xlpm.id),
_xlpm.depCount+_xlpm.objCount
)</f>
        <v>4</v>
      </c>
      <c r="H327">
        <f>tblTargetStatus[[#This Row],[DependencyCount]]</f>
        <v>4</v>
      </c>
      <c r="I327" cm="1">
        <f t="array" ref="I3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7">
        <f>tblTargetStatus[[#This Row],[CompletedDependencyCount]]</f>
        <v>0</v>
      </c>
      <c r="K327" t="b">
        <f>tblTargetStatus[[#This Row],[CompletedDependencies]]=tblTargetStatus[[#This Row],[TotalDependencies]]</f>
        <v>0</v>
      </c>
      <c r="L327">
        <f>tblTargetStatus[[#This Row],[TotalDependencies]]-tblTargetStatus[[#This Row],[CompletedDependencies]]</f>
        <v>4</v>
      </c>
      <c r="M327" t="str" cm="1">
        <f t="array" ref="M3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quest.quest_for_knowledge_chapter_5.accepted</v>
      </c>
      <c r="N327" t="str">
        <f>IF(tblTargetStatus[[#This Row],[FirstMissingDependencyID]]="","",_xlfn.XLOOKUP(tblTargetStatus[[#This Row],[FirstMissingDependencyID]],tblTargets[TargetID],tblTargets[DisplayName],tblTargetStatus[[#This Row],[FirstMissingDependencyID]]))</f>
        <v>Quest for Knowledge Chapter 5 Accepted</v>
      </c>
      <c r="O327" s="2" cm="1">
        <f t="array" ref="O3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7" t="str">
        <f>IF(tblTargetStatus[[#This Row],[FirstMissingDependencyID]]="","",_xlfn.XLOOKUP(tblTargetStatus[[#This Row],[FirstMissingDependencyID]],tblTargetStatus[TargetID],tblTargetStatus[Status],""))</f>
        <v>BLOCKED</v>
      </c>
      <c r="Q327" t="str">
        <f>IF(
 tblTargetStatus[[#This Row],[Status]]&lt;&gt;"BLOCKED",
 tblTargetStatus[[#This Row],[Status]],
 IF(
  AND(
   tblTargetStatus[[#This Row],[MissingDependencies]]=1,
   tblTargetStatus[[#This Row],[FirstMissingStatus]]="READY"
  ),
  "ONE AWAY",
  "BLOCKED"
 )
)</f>
        <v>BLOCKED</v>
      </c>
      <c r="R327">
        <f>IF(
 OR(
  tblTargetStatus[[#This Row],[StateType]]="CHARACTER",
  RIGHT(tblTargetStatus[[#This Row],[TargetID]],6)=".maxed"
 ),
 0,
 _xlfn.LET(
  _xlpm.sort,
   _xlfn.XLOOKUP(
    tblTargetStatus[[#This Row],[TargetID]],
    tblChecklist[TargetID],
    tblChecklist[PlayerSort],
    0
   ),
  IF(_xlpm.sort=0,500,_xlpm.sort)
 )
)</f>
        <v>500</v>
      </c>
      <c r="S327" t="str" cm="1">
        <f t="array" ref="S32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27" t="str">
        <f>_xlfn.XLOOKUP(tblTargetStatus[[#This Row],[TargetID]],tblTargets[TargetID],tblTargets[CompletionMethod],"")</f>
        <v>PLAYER</v>
      </c>
      <c r="U327" t="b">
        <f>COUNTIF(
    tblCost[TargetID],
    tblTargetStatus[[#This Row],[TargetID]]
)&gt;0</f>
        <v>0</v>
      </c>
      <c r="V327" s="81" t="str">
        <f>IF(tblTargetStatus[[#This Row],[HasCost]]=FALSE,
"N/A",
_xlfn.XLOOKUP(
tblTargetStatus[[#This Row],[TargetID]],
tblCost[TargetID],
tblCost[FundingPercent],
""
)
)</f>
        <v>N/A</v>
      </c>
      <c r="W327" t="str">
        <f>IF(
COUNTIF(tblCost[TargetID],tblTargetStatus[[#This Row],[TargetID]])=0,
"",
_xlfn.XLOOKUP(
tblTargetStatus[[#This Row],[TargetID]],
tblCost[TargetID],
tblCost[RemainingRequirements],
""
)
)</f>
        <v/>
      </c>
      <c r="X327" s="79" t="str">
        <f>IF(tblTargetStatus[[#This Row],[HasCost]]=FALSE,"N/A",_xlfn.XLOOKUP(
tblTargetStatus[[#This Row],[TargetID]],
tblCost[TargetID],
tblCost[TargetFunded],
TRUE
))</f>
        <v>N/A</v>
      </c>
      <c r="Y327" t="str" cm="1">
        <f t="array" ref="Y327">_xlfn.TEXTJOIN(
", ",
TRUE,
_xlfn._xlws.FILTER(
tblCost[ResourceID]&amp;": "&amp;tblCost[QuantityRequired],
(tblCost[TargetID]=tblTargetStatus[[#This Row],[TargetID]])*
(tblCost[PlayerPaid]=FALSE),
""
)
)</f>
        <v/>
      </c>
      <c r="Z3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7" t="str" cm="1">
        <f t="array" ref="AA32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28" spans="1:27">
      <c r="A328" t="s">
        <v>2390</v>
      </c>
      <c r="B328" t="str">
        <f>_xlfn.XLOOKUP(tblTargetStatus[[#This Row],[TargetID]],tblTargets[TargetID],tblTargets[DisplayName],"")</f>
        <v>Shogun's Katana Chapter 1 Accepted</v>
      </c>
      <c r="C328" t="str">
        <f>IF(tblTargetStatus[[#This Row],[PlayerCompleted]],"COMPLETED",IF(tblTargetStatus[[#This Row],[MissingDependencies]]=0,"READY","BLOCKED"))</f>
        <v>BLOCKED</v>
      </c>
      <c r="D3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8" t="str">
        <f>_xlfn.XLOOKUP(tblTargetStatus[[#This Row],[TargetID]],tblTargets[TargetID],tblTargets[TargetType],"")</f>
        <v>QUEST</v>
      </c>
      <c r="F328" t="str">
        <f>_xlfn.XLOOKUP(tblTargetStatus[[#This Row],[TargetID]],tblTargets[TargetID],tblTargets[StateType])</f>
        <v/>
      </c>
      <c r="G328">
        <f>_xlfn.LET(
_xlpm.id,tblTargetStatus[[#This Row],[TargetID]],
_xlpm.depCount,COUNTIF(tblDependencies[TargetID],_xlpm.id),
_xlpm.objCount,COUNTIF(tblQuestObjectives[QuestTargetID],_xlpm.id),
_xlpm.depCount+_xlpm.objCount
)</f>
        <v>1</v>
      </c>
      <c r="H328">
        <f>tblTargetStatus[[#This Row],[DependencyCount]]</f>
        <v>1</v>
      </c>
      <c r="I328" cm="1">
        <f t="array" ref="I3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8">
        <f>tblTargetStatus[[#This Row],[CompletedDependencyCount]]</f>
        <v>0</v>
      </c>
      <c r="K328" t="b">
        <f>tblTargetStatus[[#This Row],[CompletedDependencies]]=tblTargetStatus[[#This Row],[TotalDependencies]]</f>
        <v>0</v>
      </c>
      <c r="L328">
        <f>tblTargetStatus[[#This Row],[TotalDependencies]]-tblTargetStatus[[#This Row],[CompletedDependencies]]</f>
        <v>1</v>
      </c>
      <c r="M328" t="str" cm="1">
        <f t="array" ref="M3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state.obtain_any_artifact</v>
      </c>
      <c r="N328" t="str">
        <f>IF(tblTargetStatus[[#This Row],[FirstMissingDependencyID]]="","",_xlfn.XLOOKUP(tblTargetStatus[[#This Row],[FirstMissingDependencyID]],tblTargets[TargetID],tblTargets[DisplayName],tblTargetStatus[[#This Row],[FirstMissingDependencyID]]))</f>
        <v>Obtain Any Artifact</v>
      </c>
      <c r="O328" s="2" t="str" cm="1">
        <f t="array" ref="O3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map2:1</v>
      </c>
      <c r="P328" t="str">
        <f>IF(tblTargetStatus[[#This Row],[FirstMissingDependencyID]]="","",_xlfn.XLOOKUP(tblTargetStatus[[#This Row],[FirstMissingDependencyID]],tblTargetStatus[TargetID],tblTargetStatus[Status],""))</f>
        <v>BLOCKED</v>
      </c>
      <c r="Q328" t="str">
        <f>IF(
 tblTargetStatus[[#This Row],[Status]]&lt;&gt;"BLOCKED",
 tblTargetStatus[[#This Row],[Status]],
 IF(
  AND(
   tblTargetStatus[[#This Row],[MissingDependencies]]=1,
   tblTargetStatus[[#This Row],[FirstMissingStatus]]="READY"
  ),
  "ONE AWAY",
  "BLOCKED"
 )
)</f>
        <v>BLOCKED</v>
      </c>
      <c r="R328">
        <f>IF(
 OR(
  tblTargetStatus[[#This Row],[StateType]]="CHARACTER",
  RIGHT(tblTargetStatus[[#This Row],[TargetID]],6)=".maxed"
 ),
 0,
 _xlfn.LET(
  _xlpm.sort,
   _xlfn.XLOOKUP(
    tblTargetStatus[[#This Row],[TargetID]],
    tblChecklist[TargetID],
    tblChecklist[PlayerSort],
    0
   ),
  IF(_xlpm.sort=0,500,_xlpm.sort)
 )
)</f>
        <v>500</v>
      </c>
      <c r="S328" t="str" cm="1">
        <f t="array" ref="S32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1 Finished, Obtain level 2 artifact, Craft level 2 map</v>
      </c>
      <c r="T328" t="str">
        <f>_xlfn.XLOOKUP(tblTargetStatus[[#This Row],[TargetID]],tblTargets[TargetID],tblTargets[CompletionMethod],"")</f>
        <v>PLAYER</v>
      </c>
      <c r="U328" t="b">
        <f>COUNTIF(
    tblCost[TargetID],
    tblTargetStatus[[#This Row],[TargetID]]
)&gt;0</f>
        <v>0</v>
      </c>
      <c r="V328" s="81" t="str">
        <f>IF(tblTargetStatus[[#This Row],[HasCost]]=FALSE,
"N/A",
_xlfn.XLOOKUP(
tblTargetStatus[[#This Row],[TargetID]],
tblCost[TargetID],
tblCost[FundingPercent],
""
)
)</f>
        <v>N/A</v>
      </c>
      <c r="W328" t="str">
        <f>IF(
COUNTIF(tblCost[TargetID],tblTargetStatus[[#This Row],[TargetID]])=0,
"",
_xlfn.XLOOKUP(
tblTargetStatus[[#This Row],[TargetID]],
tblCost[TargetID],
tblCost[RemainingRequirements],
""
)
)</f>
        <v/>
      </c>
      <c r="X328" s="79" t="str">
        <f>IF(tblTargetStatus[[#This Row],[HasCost]]=FALSE,"N/A",_xlfn.XLOOKUP(
tblTargetStatus[[#This Row],[TargetID]],
tblCost[TargetID],
tblCost[TargetFunded],
TRUE
))</f>
        <v>N/A</v>
      </c>
      <c r="Y328" t="str" cm="1">
        <f t="array" ref="Y328">_xlfn.TEXTJOIN(
", ",
TRUE,
_xlfn._xlws.FILTER(
tblCost[ResourceID]&amp;": "&amp;tblCost[QuantityRequired],
(tblCost[TargetID]=tblTargetStatus[[#This Row],[TargetID]])*
(tblCost[PlayerPaid]=FALSE),
""
)
)</f>
        <v/>
      </c>
      <c r="Z3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8" t="str" cm="1">
        <f t="array" ref="AA32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29" spans="1:27">
      <c r="A329" t="s">
        <v>2522</v>
      </c>
      <c r="B329" t="str">
        <f>_xlfn.XLOOKUP(tblTargetStatus[[#This Row],[TargetID]],tblTargets[TargetID],tblTargets[DisplayName],"")</f>
        <v>Shogun's Katana Chapter 1 Finished</v>
      </c>
      <c r="C329" t="str">
        <f>IF(tblTargetStatus[[#This Row],[PlayerCompleted]],"COMPLETED",IF(tblTargetStatus[[#This Row],[MissingDependencies]]=0,"READY","BLOCKED"))</f>
        <v>BLOCKED</v>
      </c>
      <c r="D3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9" t="str">
        <f>_xlfn.XLOOKUP(tblTargetStatus[[#This Row],[TargetID]],tblTargets[TargetID],tblTargets[TargetType],"")</f>
        <v>QUEST</v>
      </c>
      <c r="F329" t="str">
        <f>_xlfn.XLOOKUP(tblTargetStatus[[#This Row],[TargetID]],tblTargets[TargetID],tblTargets[StateType])</f>
        <v/>
      </c>
      <c r="G329">
        <f>_xlfn.LET(
_xlpm.id,tblTargetStatus[[#This Row],[TargetID]],
_xlpm.depCount,COUNTIF(tblDependencies[TargetID],_xlpm.id),
_xlpm.objCount,COUNTIF(tblQuestObjectives[QuestTargetID],_xlpm.id),
_xlpm.depCount+_xlpm.objCount
)</f>
        <v>5</v>
      </c>
      <c r="H329">
        <f>tblTargetStatus[[#This Row],[DependencyCount]]</f>
        <v>5</v>
      </c>
      <c r="I329" cm="1">
        <f t="array" ref="I3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9">
        <f>tblTargetStatus[[#This Row],[CompletedDependencyCount]]</f>
        <v>0</v>
      </c>
      <c r="K329" t="b">
        <f>tblTargetStatus[[#This Row],[CompletedDependencies]]=tblTargetStatus[[#This Row],[TotalDependencies]]</f>
        <v>0</v>
      </c>
      <c r="L329">
        <f>tblTargetStatus[[#This Row],[TotalDependencies]]-tblTargetStatus[[#This Row],[CompletedDependencies]]</f>
        <v>5</v>
      </c>
      <c r="M329" t="str" cm="1">
        <f t="array" ref="M3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quest.shoguns_katana_chapter_1.accepted</v>
      </c>
      <c r="N329" t="str">
        <f>IF(tblTargetStatus[[#This Row],[FirstMissingDependencyID]]="","",_xlfn.XLOOKUP(tblTargetStatus[[#This Row],[FirstMissingDependencyID]],tblTargets[TargetID],tblTargets[DisplayName],tblTargetStatus[[#This Row],[FirstMissingDependencyID]]))</f>
        <v>Shogun's Katana Chapter 1 Accepted</v>
      </c>
      <c r="O329" s="2" t="str" cm="1">
        <f t="array" ref="O3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map2:1</v>
      </c>
      <c r="P329" t="str">
        <f>IF(tblTargetStatus[[#This Row],[FirstMissingDependencyID]]="","",_xlfn.XLOOKUP(tblTargetStatus[[#This Row],[FirstMissingDependencyID]],tblTargetStatus[TargetID],tblTargetStatus[Status],""))</f>
        <v>BLOCKED</v>
      </c>
      <c r="Q329" t="str">
        <f>IF(
 tblTargetStatus[[#This Row],[Status]]&lt;&gt;"BLOCKED",
 tblTargetStatus[[#This Row],[Status]],
 IF(
  AND(
   tblTargetStatus[[#This Row],[MissingDependencies]]=1,
   tblTargetStatus[[#This Row],[FirstMissingStatus]]="READY"
  ),
  "ONE AWAY",
  "BLOCKED"
 )
)</f>
        <v>BLOCKED</v>
      </c>
      <c r="R329">
        <f>IF(
 OR(
  tblTargetStatus[[#This Row],[StateType]]="CHARACTER",
  RIGHT(tblTargetStatus[[#This Row],[TargetID]],6)=".maxed"
 ),
 0,
 _xlfn.LET(
  _xlpm.sort,
   _xlfn.XLOOKUP(
    tblTargetStatus[[#This Row],[TargetID]],
    tblChecklist[TargetID],
    tblChecklist[PlayerSort],
    0
   ),
  IF(_xlpm.sort=0,500,_xlpm.sort)
 )
)</f>
        <v>500</v>
      </c>
      <c r="S329" t="str" cm="1">
        <f t="array" ref="S32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2 Accepted</v>
      </c>
      <c r="T329" t="str">
        <f>_xlfn.XLOOKUP(tblTargetStatus[[#This Row],[TargetID]],tblTargets[TargetID],tblTargets[CompletionMethod],"")</f>
        <v>PLAYER</v>
      </c>
      <c r="U329" t="b">
        <f>COUNTIF(
    tblCost[TargetID],
    tblTargetStatus[[#This Row],[TargetID]]
)&gt;0</f>
        <v>1</v>
      </c>
      <c r="V329" s="81">
        <f>IF(tblTargetStatus[[#This Row],[HasCost]]=FALSE,
"N/A",
_xlfn.XLOOKUP(
tblTargetStatus[[#This Row],[TargetID]],
tblCost[TargetID],
tblCost[FundingPercent],
""
)
)</f>
        <v>0</v>
      </c>
      <c r="W329">
        <f>IF(
COUNTIF(tblCost[TargetID],tblTargetStatus[[#This Row],[TargetID]])=0,
"",
_xlfn.XLOOKUP(
tblTargetStatus[[#This Row],[TargetID]],
tblCost[TargetID],
tblCost[RemainingRequirements],
""
)
)</f>
        <v>1</v>
      </c>
      <c r="X329" s="79" t="b">
        <f>IF(tblTargetStatus[[#This Row],[HasCost]]=FALSE,"N/A",_xlfn.XLOOKUP(
tblTargetStatus[[#This Row],[TargetID]],
tblCost[TargetID],
tblCost[TargetFunded],
TRUE
))</f>
        <v>0</v>
      </c>
      <c r="Y329" t="str" cm="1">
        <f t="array" ref="Y329">_xlfn.TEXTJOIN(
", ",
TRUE,
_xlfn._xlws.FILTER(
tblCost[ResourceID]&amp;": "&amp;tblCost[QuantityRequired],
(tblCost[TargetID]=tblTargetStatus[[#This Row],[TargetID]])*
(tblCost[PlayerPaid]=FALSE),
""
)
)</f>
        <v>map2: 1</v>
      </c>
      <c r="Z3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9" t="str" cm="1">
        <f t="array" ref="AA32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Shogun's Katana Chapter 2</v>
      </c>
    </row>
    <row r="330" spans="1:27">
      <c r="A330" t="s">
        <v>2393</v>
      </c>
      <c r="B330" t="str">
        <f>_xlfn.XLOOKUP(tblTargetStatus[[#This Row],[TargetID]],tblTargets[TargetID],tblTargets[DisplayName],"")</f>
        <v>Shogun's Katana Chapter 2 Accepted</v>
      </c>
      <c r="C330" t="str">
        <f>IF(tblTargetStatus[[#This Row],[PlayerCompleted]],"COMPLETED",IF(tblTargetStatus[[#This Row],[MissingDependencies]]=0,"READY","BLOCKED"))</f>
        <v>BLOCKED</v>
      </c>
      <c r="D3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0" t="str">
        <f>_xlfn.XLOOKUP(tblTargetStatus[[#This Row],[TargetID]],tblTargets[TargetID],tblTargets[TargetType],"")</f>
        <v>QUEST</v>
      </c>
      <c r="F330" t="str">
        <f>_xlfn.XLOOKUP(tblTargetStatus[[#This Row],[TargetID]],tblTargets[TargetID],tblTargets[StateType])</f>
        <v/>
      </c>
      <c r="G330">
        <f>_xlfn.LET(
_xlpm.id,tblTargetStatus[[#This Row],[TargetID]],
_xlpm.depCount,COUNTIF(tblDependencies[TargetID],_xlpm.id),
_xlpm.objCount,COUNTIF(tblQuestObjectives[QuestTargetID],_xlpm.id),
_xlpm.depCount+_xlpm.objCount
)</f>
        <v>1</v>
      </c>
      <c r="H330">
        <f>tblTargetStatus[[#This Row],[DependencyCount]]</f>
        <v>1</v>
      </c>
      <c r="I330" cm="1">
        <f t="array" ref="I3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0">
        <f>tblTargetStatus[[#This Row],[CompletedDependencyCount]]</f>
        <v>0</v>
      </c>
      <c r="K330" t="b">
        <f>tblTargetStatus[[#This Row],[CompletedDependencies]]=tblTargetStatus[[#This Row],[TotalDependencies]]</f>
        <v>0</v>
      </c>
      <c r="L330">
        <f>tblTargetStatus[[#This Row],[TotalDependencies]]-tblTargetStatus[[#This Row],[CompletedDependencies]]</f>
        <v>1</v>
      </c>
      <c r="M330" t="str" cm="1">
        <f t="array" ref="M3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quest.shoguns_katana_chapter_1.finished</v>
      </c>
      <c r="N330" t="str">
        <f>IF(tblTargetStatus[[#This Row],[FirstMissingDependencyID]]="","",_xlfn.XLOOKUP(tblTargetStatus[[#This Row],[FirstMissingDependencyID]],tblTargets[TargetID],tblTargets[DisplayName],tblTargetStatus[[#This Row],[FirstMissingDependencyID]]))</f>
        <v>Shogun's Katana Chapter 1 Finished</v>
      </c>
      <c r="O330" s="2" t="str" cm="1">
        <f t="array" ref="O3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map3:1</v>
      </c>
      <c r="P330" t="str">
        <f>IF(tblTargetStatus[[#This Row],[FirstMissingDependencyID]]="","",_xlfn.XLOOKUP(tblTargetStatus[[#This Row],[FirstMissingDependencyID]],tblTargetStatus[TargetID],tblTargetStatus[Status],""))</f>
        <v>BLOCKED</v>
      </c>
      <c r="Q330" t="str">
        <f>IF(
 tblTargetStatus[[#This Row],[Status]]&lt;&gt;"BLOCKED",
 tblTargetStatus[[#This Row],[Status]],
 IF(
  AND(
   tblTargetStatus[[#This Row],[MissingDependencies]]=1,
   tblTargetStatus[[#This Row],[FirstMissingStatus]]="READY"
  ),
  "ONE AWAY",
  "BLOCKED"
 )
)</f>
        <v>BLOCKED</v>
      </c>
      <c r="R330">
        <f>IF(
 OR(
  tblTargetStatus[[#This Row],[StateType]]="CHARACTER",
  RIGHT(tblTargetStatus[[#This Row],[TargetID]],6)=".maxed"
 ),
 0,
 _xlfn.LET(
  _xlpm.sort,
   _xlfn.XLOOKUP(
    tblTargetStatus[[#This Row],[TargetID]],
    tblChecklist[TargetID],
    tblChecklist[PlayerSort],
    0
   ),
  IF(_xlpm.sort=0,500,_xlpm.sort)
 )
)</f>
        <v>500</v>
      </c>
      <c r="S330" t="str" cm="1">
        <f t="array" ref="S33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2 Finished, Obtain level 3 artifact</v>
      </c>
      <c r="T330" t="str">
        <f>_xlfn.XLOOKUP(tblTargetStatus[[#This Row],[TargetID]],tblTargets[TargetID],tblTargets[CompletionMethod],"")</f>
        <v>PLAYER</v>
      </c>
      <c r="U330" t="b">
        <f>COUNTIF(
    tblCost[TargetID],
    tblTargetStatus[[#This Row],[TargetID]]
)&gt;0</f>
        <v>0</v>
      </c>
      <c r="V330" s="81" t="str">
        <f>IF(tblTargetStatus[[#This Row],[HasCost]]=FALSE,
"N/A",
_xlfn.XLOOKUP(
tblTargetStatus[[#This Row],[TargetID]],
tblCost[TargetID],
tblCost[FundingPercent],
""
)
)</f>
        <v>N/A</v>
      </c>
      <c r="W330" t="str">
        <f>IF(
COUNTIF(tblCost[TargetID],tblTargetStatus[[#This Row],[TargetID]])=0,
"",
_xlfn.XLOOKUP(
tblTargetStatus[[#This Row],[TargetID]],
tblCost[TargetID],
tblCost[RemainingRequirements],
""
)
)</f>
        <v/>
      </c>
      <c r="X330" s="79" t="str">
        <f>IF(tblTargetStatus[[#This Row],[HasCost]]=FALSE,"N/A",_xlfn.XLOOKUP(
tblTargetStatus[[#This Row],[TargetID]],
tblCost[TargetID],
tblCost[TargetFunded],
TRUE
))</f>
        <v>N/A</v>
      </c>
      <c r="Y330" t="str" cm="1">
        <f t="array" ref="Y330">_xlfn.TEXTJOIN(
", ",
TRUE,
_xlfn._xlws.FILTER(
tblCost[ResourceID]&amp;": "&amp;tblCost[QuantityRequired],
(tblCost[TargetID]=tblTargetStatus[[#This Row],[TargetID]])*
(tblCost[PlayerPaid]=FALSE),
""
)
)</f>
        <v/>
      </c>
      <c r="Z3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0" t="str" cm="1">
        <f t="array" ref="AA33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31" spans="1:27">
      <c r="A331" t="s">
        <v>2524</v>
      </c>
      <c r="B331" t="str">
        <f>_xlfn.XLOOKUP(tblTargetStatus[[#This Row],[TargetID]],tblTargets[TargetID],tblTargets[DisplayName],"")</f>
        <v>Shogun's Katana Chapter 2 Finished</v>
      </c>
      <c r="C331" t="str">
        <f>IF(tblTargetStatus[[#This Row],[PlayerCompleted]],"COMPLETED",IF(tblTargetStatus[[#This Row],[MissingDependencies]]=0,"READY","BLOCKED"))</f>
        <v>BLOCKED</v>
      </c>
      <c r="D3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1" t="str">
        <f>_xlfn.XLOOKUP(tblTargetStatus[[#This Row],[TargetID]],tblTargets[TargetID],tblTargets[TargetType],"")</f>
        <v>QUEST</v>
      </c>
      <c r="F331" t="str">
        <f>_xlfn.XLOOKUP(tblTargetStatus[[#This Row],[TargetID]],tblTargets[TargetID],tblTargets[StateType])</f>
        <v/>
      </c>
      <c r="G331">
        <f>_xlfn.LET(
_xlpm.id,tblTargetStatus[[#This Row],[TargetID]],
_xlpm.depCount,COUNTIF(tblDependencies[TargetID],_xlpm.id),
_xlpm.objCount,COUNTIF(tblQuestObjectives[QuestTargetID],_xlpm.id),
_xlpm.depCount+_xlpm.objCount
)</f>
        <v>6</v>
      </c>
      <c r="H331">
        <f>tblTargetStatus[[#This Row],[DependencyCount]]</f>
        <v>6</v>
      </c>
      <c r="I331" cm="1">
        <f t="array" ref="I3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1">
        <f>tblTargetStatus[[#This Row],[CompletedDependencyCount]]</f>
        <v>0</v>
      </c>
      <c r="K331" t="b">
        <f>tblTargetStatus[[#This Row],[CompletedDependencies]]=tblTargetStatus[[#This Row],[TotalDependencies]]</f>
        <v>0</v>
      </c>
      <c r="L331">
        <f>tblTargetStatus[[#This Row],[TotalDependencies]]-tblTargetStatus[[#This Row],[CompletedDependencies]]</f>
        <v>6</v>
      </c>
      <c r="M331" t="str" cm="1">
        <f t="array" ref="M3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quest.shoguns_katana_chapter_2.accepted</v>
      </c>
      <c r="N331" t="str">
        <f>IF(tblTargetStatus[[#This Row],[FirstMissingDependencyID]]="","",_xlfn.XLOOKUP(tblTargetStatus[[#This Row],[FirstMissingDependencyID]],tblTargets[TargetID],tblTargets[DisplayName],tblTargetStatus[[#This Row],[FirstMissingDependencyID]]))</f>
        <v>Shogun's Katana Chapter 2 Accepted</v>
      </c>
      <c r="O331" s="2" t="str" cm="1">
        <f t="array" ref="O3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map3:1</v>
      </c>
      <c r="P331" t="str">
        <f>IF(tblTargetStatus[[#This Row],[FirstMissingDependencyID]]="","",_xlfn.XLOOKUP(tblTargetStatus[[#This Row],[FirstMissingDependencyID]],tblTargetStatus[TargetID],tblTargetStatus[Status],""))</f>
        <v>BLOCKED</v>
      </c>
      <c r="Q331" t="str">
        <f>IF(
 tblTargetStatus[[#This Row],[Status]]&lt;&gt;"BLOCKED",
 tblTargetStatus[[#This Row],[Status]],
 IF(
  AND(
   tblTargetStatus[[#This Row],[MissingDependencies]]=1,
   tblTargetStatus[[#This Row],[FirstMissingStatus]]="READY"
  ),
  "ONE AWAY",
  "BLOCKED"
 )
)</f>
        <v>BLOCKED</v>
      </c>
      <c r="R331">
        <f>IF(
 OR(
  tblTargetStatus[[#This Row],[StateType]]="CHARACTER",
  RIGHT(tblTargetStatus[[#This Row],[TargetID]],6)=".maxed"
 ),
 0,
 _xlfn.LET(
  _xlpm.sort,
   _xlfn.XLOOKUP(
    tblTargetStatus[[#This Row],[TargetID]],
    tblChecklist[TargetID],
    tblChecklist[PlayerSort],
    0
   ),
  IF(_xlpm.sort=0,500,_xlpm.sort)
 )
)</f>
        <v>500</v>
      </c>
      <c r="S331" t="str" cm="1">
        <f t="array" ref="S33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3 Accepted</v>
      </c>
      <c r="T331" t="str">
        <f>_xlfn.XLOOKUP(tblTargetStatus[[#This Row],[TargetID]],tblTargets[TargetID],tblTargets[CompletionMethod],"")</f>
        <v>PLAYER</v>
      </c>
      <c r="U331" t="b">
        <f>COUNTIF(
    tblCost[TargetID],
    tblTargetStatus[[#This Row],[TargetID]]
)&gt;0</f>
        <v>1</v>
      </c>
      <c r="V331" s="81">
        <f>IF(tblTargetStatus[[#This Row],[HasCost]]=FALSE,
"N/A",
_xlfn.XLOOKUP(
tblTargetStatus[[#This Row],[TargetID]],
tblCost[TargetID],
tblCost[FundingPercent],
""
)
)</f>
        <v>0</v>
      </c>
      <c r="W331">
        <f>IF(
COUNTIF(tblCost[TargetID],tblTargetStatus[[#This Row],[TargetID]])=0,
"",
_xlfn.XLOOKUP(
tblTargetStatus[[#This Row],[TargetID]],
tblCost[TargetID],
tblCost[RemainingRequirements],
""
)
)</f>
        <v>1</v>
      </c>
      <c r="X331" s="79" t="b">
        <f>IF(tblTargetStatus[[#This Row],[HasCost]]=FALSE,"N/A",_xlfn.XLOOKUP(
tblTargetStatus[[#This Row],[TargetID]],
tblCost[TargetID],
tblCost[TargetFunded],
TRUE
))</f>
        <v>0</v>
      </c>
      <c r="Y331" t="str" cm="1">
        <f t="array" ref="Y331">_xlfn.TEXTJOIN(
", ",
TRUE,
_xlfn._xlws.FILTER(
tblCost[ResourceID]&amp;": "&amp;tblCost[QuantityRequired],
(tblCost[TargetID]=tblTargetStatus[[#This Row],[TargetID]])*
(tblCost[PlayerPaid]=FALSE),
""
)
)</f>
        <v>map3: 1</v>
      </c>
      <c r="Z3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1" t="str" cm="1">
        <f t="array" ref="AA33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Shogun's Katana Chapter 3</v>
      </c>
    </row>
    <row r="332" spans="1:27">
      <c r="A332" t="s">
        <v>2396</v>
      </c>
      <c r="B332" t="str">
        <f>_xlfn.XLOOKUP(tblTargetStatus[[#This Row],[TargetID]],tblTargets[TargetID],tblTargets[DisplayName],"")</f>
        <v>Shogun's Katana Chapter 3 Accepted</v>
      </c>
      <c r="C332" t="str">
        <f>IF(tblTargetStatus[[#This Row],[PlayerCompleted]],"COMPLETED",IF(tblTargetStatus[[#This Row],[MissingDependencies]]=0,"READY","BLOCKED"))</f>
        <v>BLOCKED</v>
      </c>
      <c r="D3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2" t="str">
        <f>_xlfn.XLOOKUP(tblTargetStatus[[#This Row],[TargetID]],tblTargets[TargetID],tblTargets[TargetType],"")</f>
        <v>QUEST</v>
      </c>
      <c r="F332" t="str">
        <f>_xlfn.XLOOKUP(tblTargetStatus[[#This Row],[TargetID]],tblTargets[TargetID],tblTargets[StateType])</f>
        <v/>
      </c>
      <c r="G332">
        <f>_xlfn.LET(
_xlpm.id,tblTargetStatus[[#This Row],[TargetID]],
_xlpm.depCount,COUNTIF(tblDependencies[TargetID],_xlpm.id),
_xlpm.objCount,COUNTIF(tblQuestObjectives[QuestTargetID],_xlpm.id),
_xlpm.depCount+_xlpm.objCount
)</f>
        <v>1</v>
      </c>
      <c r="H332">
        <f>tblTargetStatus[[#This Row],[DependencyCount]]</f>
        <v>1</v>
      </c>
      <c r="I332" cm="1">
        <f t="array" ref="I3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2">
        <f>tblTargetStatus[[#This Row],[CompletedDependencyCount]]</f>
        <v>0</v>
      </c>
      <c r="K332" t="b">
        <f>tblTargetStatus[[#This Row],[CompletedDependencies]]=tblTargetStatus[[#This Row],[TotalDependencies]]</f>
        <v>0</v>
      </c>
      <c r="L332">
        <f>tblTargetStatus[[#This Row],[TotalDependencies]]-tblTargetStatus[[#This Row],[CompletedDependencies]]</f>
        <v>1</v>
      </c>
      <c r="M332" t="str" cm="1">
        <f t="array" ref="M3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quest.shoguns_katana_chapter_2.finished</v>
      </c>
      <c r="N332" t="str">
        <f>IF(tblTargetStatus[[#This Row],[FirstMissingDependencyID]]="","",_xlfn.XLOOKUP(tblTargetStatus[[#This Row],[FirstMissingDependencyID]],tblTargets[TargetID],tblTargets[DisplayName],tblTargetStatus[[#This Row],[FirstMissingDependencyID]]))</f>
        <v>Shogun's Katana Chapter 2 Finished</v>
      </c>
      <c r="O332" s="2" t="str" cm="1">
        <f t="array" ref="O3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2" t="str">
        <f>IF(tblTargetStatus[[#This Row],[FirstMissingDependencyID]]="","",_xlfn.XLOOKUP(tblTargetStatus[[#This Row],[FirstMissingDependencyID]],tblTargetStatus[TargetID],tblTargetStatus[Status],""))</f>
        <v>BLOCKED</v>
      </c>
      <c r="Q332" t="str">
        <f>IF(
 tblTargetStatus[[#This Row],[Status]]&lt;&gt;"BLOCKED",
 tblTargetStatus[[#This Row],[Status]],
 IF(
  AND(
   tblTargetStatus[[#This Row],[MissingDependencies]]=1,
   tblTargetStatus[[#This Row],[FirstMissingStatus]]="READY"
  ),
  "ONE AWAY",
  "BLOCKED"
 )
)</f>
        <v>BLOCKED</v>
      </c>
      <c r="R332">
        <f>IF(
 OR(
  tblTargetStatus[[#This Row],[StateType]]="CHARACTER",
  RIGHT(tblTargetStatus[[#This Row],[TargetID]],6)=".maxed"
 ),
 0,
 _xlfn.LET(
  _xlpm.sort,
   _xlfn.XLOOKUP(
    tblTargetStatus[[#This Row],[TargetID]],
    tblChecklist[TargetID],
    tblChecklist[PlayerSort],
    0
   ),
  IF(_xlpm.sort=0,500,_xlpm.sort)
 )
)</f>
        <v>500</v>
      </c>
      <c r="S332" t="str" cm="1">
        <f t="array" ref="S33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3 Finished, Purchase Smuggler's map for 100 coffee beans</v>
      </c>
      <c r="T332" t="str">
        <f>_xlfn.XLOOKUP(tblTargetStatus[[#This Row],[TargetID]],tblTargets[TargetID],tblTargets[CompletionMethod],"")</f>
        <v>PLAYER</v>
      </c>
      <c r="U332" t="b">
        <f>COUNTIF(
    tblCost[TargetID],
    tblTargetStatus[[#This Row],[TargetID]]
)&gt;0</f>
        <v>0</v>
      </c>
      <c r="V332" s="81" t="str">
        <f>IF(tblTargetStatus[[#This Row],[HasCost]]=FALSE,
"N/A",
_xlfn.XLOOKUP(
tblTargetStatus[[#This Row],[TargetID]],
tblCost[TargetID],
tblCost[FundingPercent],
""
)
)</f>
        <v>N/A</v>
      </c>
      <c r="W332" t="str">
        <f>IF(
COUNTIF(tblCost[TargetID],tblTargetStatus[[#This Row],[TargetID]])=0,
"",
_xlfn.XLOOKUP(
tblTargetStatus[[#This Row],[TargetID]],
tblCost[TargetID],
tblCost[RemainingRequirements],
""
)
)</f>
        <v/>
      </c>
      <c r="X332" s="79" t="str">
        <f>IF(tblTargetStatus[[#This Row],[HasCost]]=FALSE,"N/A",_xlfn.XLOOKUP(
tblTargetStatus[[#This Row],[TargetID]],
tblCost[TargetID],
tblCost[TargetFunded],
TRUE
))</f>
        <v>N/A</v>
      </c>
      <c r="Y332" t="str" cm="1">
        <f t="array" ref="Y332">_xlfn.TEXTJOIN(
", ",
TRUE,
_xlfn._xlws.FILTER(
tblCost[ResourceID]&amp;": "&amp;tblCost[QuantityRequired],
(tblCost[TargetID]=tblTargetStatus[[#This Row],[TargetID]])*
(tblCost[PlayerPaid]=FALSE),
""
)
)</f>
        <v/>
      </c>
      <c r="Z3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2" t="str" cm="1">
        <f t="array" ref="AA33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33" spans="1:27">
      <c r="A333" t="s">
        <v>2526</v>
      </c>
      <c r="B333" t="str">
        <f>_xlfn.XLOOKUP(tblTargetStatus[[#This Row],[TargetID]],tblTargets[TargetID],tblTargets[DisplayName],"")</f>
        <v>Shogun's Katana Chapter 3 Finished</v>
      </c>
      <c r="C333" t="str">
        <f>IF(tblTargetStatus[[#This Row],[PlayerCompleted]],"COMPLETED",IF(tblTargetStatus[[#This Row],[MissingDependencies]]=0,"READY","BLOCKED"))</f>
        <v>BLOCKED</v>
      </c>
      <c r="D3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3" t="str">
        <f>_xlfn.XLOOKUP(tblTargetStatus[[#This Row],[TargetID]],tblTargets[TargetID],tblTargets[TargetType],"")</f>
        <v>QUEST</v>
      </c>
      <c r="F333" t="str">
        <f>_xlfn.XLOOKUP(tblTargetStatus[[#This Row],[TargetID]],tblTargets[TargetID],tblTargets[StateType])</f>
        <v/>
      </c>
      <c r="G333">
        <f>_xlfn.LET(
_xlpm.id,tblTargetStatus[[#This Row],[TargetID]],
_xlpm.depCount,COUNTIF(tblDependencies[TargetID],_xlpm.id),
_xlpm.objCount,COUNTIF(tblQuestObjectives[QuestTargetID],_xlpm.id),
_xlpm.depCount+_xlpm.objCount
)</f>
        <v>6</v>
      </c>
      <c r="H333">
        <f>tblTargetStatus[[#This Row],[DependencyCount]]</f>
        <v>6</v>
      </c>
      <c r="I333" cm="1">
        <f t="array" ref="I3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3">
        <f>tblTargetStatus[[#This Row],[CompletedDependencyCount]]</f>
        <v>0</v>
      </c>
      <c r="K333" t="b">
        <f>tblTargetStatus[[#This Row],[CompletedDependencies]]=tblTargetStatus[[#This Row],[TotalDependencies]]</f>
        <v>0</v>
      </c>
      <c r="L333">
        <f>tblTargetStatus[[#This Row],[TotalDependencies]]-tblTargetStatus[[#This Row],[CompletedDependencies]]</f>
        <v>6</v>
      </c>
      <c r="M333" t="str" cm="1">
        <f t="array" ref="M3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quest.shoguns_katana_chapter_3.accepted</v>
      </c>
      <c r="N333" t="str">
        <f>IF(tblTargetStatus[[#This Row],[FirstMissingDependencyID]]="","",_xlfn.XLOOKUP(tblTargetStatus[[#This Row],[FirstMissingDependencyID]],tblTargets[TargetID],tblTargets[DisplayName],tblTargetStatus[[#This Row],[FirstMissingDependencyID]]))</f>
        <v>Shogun's Katana Chapter 3 Accepted</v>
      </c>
      <c r="O333" s="2" t="str" cm="1">
        <f t="array" ref="O3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3" t="str">
        <f>IF(tblTargetStatus[[#This Row],[FirstMissingDependencyID]]="","",_xlfn.XLOOKUP(tblTargetStatus[[#This Row],[FirstMissingDependencyID]],tblTargetStatus[TargetID],tblTargetStatus[Status],""))</f>
        <v>BLOCKED</v>
      </c>
      <c r="Q333" t="str">
        <f>IF(
 tblTargetStatus[[#This Row],[Status]]&lt;&gt;"BLOCKED",
 tblTargetStatus[[#This Row],[Status]],
 IF(
  AND(
   tblTargetStatus[[#This Row],[MissingDependencies]]=1,
   tblTargetStatus[[#This Row],[FirstMissingStatus]]="READY"
  ),
  "ONE AWAY",
  "BLOCKED"
 )
)</f>
        <v>BLOCKED</v>
      </c>
      <c r="R333">
        <f>IF(
 OR(
  tblTargetStatus[[#This Row],[StateType]]="CHARACTER",
  RIGHT(tblTargetStatus[[#This Row],[TargetID]],6)=".maxed"
 ),
 0,
 _xlfn.LET(
  _xlpm.sort,
   _xlfn.XLOOKUP(
    tblTargetStatus[[#This Row],[TargetID]],
    tblChecklist[TargetID],
    tblChecklist[PlayerSort],
    0
   ),
  IF(_xlpm.sort=0,500,_xlpm.sort)
 )
)</f>
        <v>500</v>
      </c>
      <c r="S333" t="str" cm="1">
        <f t="array" ref="S33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4 Accepted, Shogun's Katana Chapter 5 Accepted</v>
      </c>
      <c r="T333" t="str">
        <f>_xlfn.XLOOKUP(tblTargetStatus[[#This Row],[TargetID]],tblTargets[TargetID],tblTargets[CompletionMethod],"")</f>
        <v>PLAYER</v>
      </c>
      <c r="U333" t="b">
        <f>COUNTIF(
    tblCost[TargetID],
    tblTargetStatus[[#This Row],[TargetID]]
)&gt;0</f>
        <v>1</v>
      </c>
      <c r="V333" s="81">
        <f>IF(tblTargetStatus[[#This Row],[HasCost]]=FALSE,
"N/A",
_xlfn.XLOOKUP(
tblTargetStatus[[#This Row],[TargetID]],
tblCost[TargetID],
tblCost[FundingPercent],
""
)
)</f>
        <v>0</v>
      </c>
      <c r="W333">
        <f>IF(
COUNTIF(tblCost[TargetID],tblTargetStatus[[#This Row],[TargetID]])=0,
"",
_xlfn.XLOOKUP(
tblTargetStatus[[#This Row],[TargetID]],
tblCost[TargetID],
tblCost[RemainingRequirements],
""
)
)</f>
        <v>1</v>
      </c>
      <c r="X333" s="79" t="b">
        <f>IF(tblTargetStatus[[#This Row],[HasCost]]=FALSE,"N/A",_xlfn.XLOOKUP(
tblTargetStatus[[#This Row],[TargetID]],
tblCost[TargetID],
tblCost[TargetFunded],
TRUE
))</f>
        <v>0</v>
      </c>
      <c r="Y333" t="str" cm="1">
        <f t="array" ref="Y333">_xlfn.TEXTJOIN(
", ",
TRUE,
_xlfn._xlws.FILTER(
tblCost[ResourceID]&amp;": "&amp;tblCost[QuantityRequired],
(tblCost[TargetID]=tblTargetStatus[[#This Row],[TargetID]])*
(tblCost[PlayerPaid]=FALSE),
""
)
)</f>
        <v>mapsmug: 1</v>
      </c>
      <c r="Z3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3" t="str" cm="1">
        <f t="array" ref="AA33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Shogun's Katana Chapter 4, Shogun's Katana Chapter 5</v>
      </c>
    </row>
    <row r="334" spans="1:27">
      <c r="A334" t="s">
        <v>2399</v>
      </c>
      <c r="B334" t="str">
        <f>_xlfn.XLOOKUP(tblTargetStatus[[#This Row],[TargetID]],tblTargets[TargetID],tblTargets[DisplayName],"")</f>
        <v>Shogun's Katana Chapter 4 Accepted</v>
      </c>
      <c r="C334" t="str">
        <f>IF(tblTargetStatus[[#This Row],[PlayerCompleted]],"COMPLETED",IF(tblTargetStatus[[#This Row],[MissingDependencies]]=0,"READY","BLOCKED"))</f>
        <v>BLOCKED</v>
      </c>
      <c r="D3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4" t="str">
        <f>_xlfn.XLOOKUP(tblTargetStatus[[#This Row],[TargetID]],tblTargets[TargetID],tblTargets[TargetType],"")</f>
        <v>QUEST</v>
      </c>
      <c r="F334" t="str">
        <f>_xlfn.XLOOKUP(tblTargetStatus[[#This Row],[TargetID]],tblTargets[TargetID],tblTargets[StateType])</f>
        <v/>
      </c>
      <c r="G334">
        <f>_xlfn.LET(
_xlpm.id,tblTargetStatus[[#This Row],[TargetID]],
_xlpm.depCount,COUNTIF(tblDependencies[TargetID],_xlpm.id),
_xlpm.objCount,COUNTIF(tblQuestObjectives[QuestTargetID],_xlpm.id),
_xlpm.depCount+_xlpm.objCount
)</f>
        <v>1</v>
      </c>
      <c r="H334">
        <f>tblTargetStatus[[#This Row],[DependencyCount]]</f>
        <v>1</v>
      </c>
      <c r="I334" cm="1">
        <f t="array" ref="I3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4">
        <f>tblTargetStatus[[#This Row],[CompletedDependencyCount]]</f>
        <v>0</v>
      </c>
      <c r="K334" t="b">
        <f>tblTargetStatus[[#This Row],[CompletedDependencies]]=tblTargetStatus[[#This Row],[TotalDependencies]]</f>
        <v>0</v>
      </c>
      <c r="L334">
        <f>tblTargetStatus[[#This Row],[TotalDependencies]]-tblTargetStatus[[#This Row],[CompletedDependencies]]</f>
        <v>1</v>
      </c>
      <c r="M334" t="str" cm="1">
        <f t="array" ref="M3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quest.shoguns_katana_chapter_3.finished</v>
      </c>
      <c r="N334" t="str">
        <f>IF(tblTargetStatus[[#This Row],[FirstMissingDependencyID]]="","",_xlfn.XLOOKUP(tblTargetStatus[[#This Row],[FirstMissingDependencyID]],tblTargets[TargetID],tblTargets[DisplayName],tblTargetStatus[[#This Row],[FirstMissingDependencyID]]))</f>
        <v>Shogun's Katana Chapter 3 Finished</v>
      </c>
      <c r="O334" s="2" t="str" cm="1">
        <f t="array" ref="O3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4" t="str">
        <f>IF(tblTargetStatus[[#This Row],[FirstMissingDependencyID]]="","",_xlfn.XLOOKUP(tblTargetStatus[[#This Row],[FirstMissingDependencyID]],tblTargetStatus[TargetID],tblTargetStatus[Status],""))</f>
        <v>BLOCKED</v>
      </c>
      <c r="Q334" t="str">
        <f>IF(
 tblTargetStatus[[#This Row],[Status]]&lt;&gt;"BLOCKED",
 tblTargetStatus[[#This Row],[Status]],
 IF(
  AND(
   tblTargetStatus[[#This Row],[MissingDependencies]]=1,
   tblTargetStatus[[#This Row],[FirstMissingStatus]]="READY"
  ),
  "ONE AWAY",
  "BLOCKED"
 )
)</f>
        <v>BLOCKED</v>
      </c>
      <c r="R334">
        <f>IF(
 OR(
  tblTargetStatus[[#This Row],[StateType]]="CHARACTER",
  RIGHT(tblTargetStatus[[#This Row],[TargetID]],6)=".maxed"
 ),
 0,
 _xlfn.LET(
  _xlpm.sort,
   _xlfn.XLOOKUP(
    tblTargetStatus[[#This Row],[TargetID]],
    tblChecklist[TargetID],
    tblChecklist[PlayerSort],
    0
   ),
  IF(_xlpm.sort=0,500,_xlpm.sort)
 )
)</f>
        <v>500</v>
      </c>
      <c r="S334" t="str" cm="1">
        <f t="array" ref="S33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4 Finished, Obtain Ship in a bottle, Purchase Smuggler's map for 10 spices</v>
      </c>
      <c r="T334" t="str">
        <f>_xlfn.XLOOKUP(tblTargetStatus[[#This Row],[TargetID]],tblTargets[TargetID],tblTargets[CompletionMethod],"")</f>
        <v>PLAYER</v>
      </c>
      <c r="U334" t="b">
        <f>COUNTIF(
    tblCost[TargetID],
    tblTargetStatus[[#This Row],[TargetID]]
)&gt;0</f>
        <v>0</v>
      </c>
      <c r="V334" s="81" t="str">
        <f>IF(tblTargetStatus[[#This Row],[HasCost]]=FALSE,
"N/A",
_xlfn.XLOOKUP(
tblTargetStatus[[#This Row],[TargetID]],
tblCost[TargetID],
tblCost[FundingPercent],
""
)
)</f>
        <v>N/A</v>
      </c>
      <c r="W334" t="str">
        <f>IF(
COUNTIF(tblCost[TargetID],tblTargetStatus[[#This Row],[TargetID]])=0,
"",
_xlfn.XLOOKUP(
tblTargetStatus[[#This Row],[TargetID]],
tblCost[TargetID],
tblCost[RemainingRequirements],
""
)
)</f>
        <v/>
      </c>
      <c r="X334" s="79" t="str">
        <f>IF(tblTargetStatus[[#This Row],[HasCost]]=FALSE,"N/A",_xlfn.XLOOKUP(
tblTargetStatus[[#This Row],[TargetID]],
tblCost[TargetID],
tblCost[TargetFunded],
TRUE
))</f>
        <v>N/A</v>
      </c>
      <c r="Y334" t="str" cm="1">
        <f t="array" ref="Y334">_xlfn.TEXTJOIN(
", ",
TRUE,
_xlfn._xlws.FILTER(
tblCost[ResourceID]&amp;": "&amp;tblCost[QuantityRequired],
(tblCost[TargetID]=tblTargetStatus[[#This Row],[TargetID]])*
(tblCost[PlayerPaid]=FALSE),
""
)
)</f>
        <v/>
      </c>
      <c r="Z3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4" t="str" cm="1">
        <f t="array" ref="AA33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35" spans="1:27">
      <c r="A335" t="s">
        <v>2528</v>
      </c>
      <c r="B335" t="str">
        <f>_xlfn.XLOOKUP(tblTargetStatus[[#This Row],[TargetID]],tblTargets[TargetID],tblTargets[DisplayName],"")</f>
        <v>Shogun's Katana Chapter 4 Finished</v>
      </c>
      <c r="C335" t="str">
        <f>IF(tblTargetStatus[[#This Row],[PlayerCompleted]],"COMPLETED",IF(tblTargetStatus[[#This Row],[MissingDependencies]]=0,"READY","BLOCKED"))</f>
        <v>BLOCKED</v>
      </c>
      <c r="D3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5" t="str">
        <f>_xlfn.XLOOKUP(tblTargetStatus[[#This Row],[TargetID]],tblTargets[TargetID],tblTargets[TargetType],"")</f>
        <v>QUEST</v>
      </c>
      <c r="F335" t="str">
        <f>_xlfn.XLOOKUP(tblTargetStatus[[#This Row],[TargetID]],tblTargets[TargetID],tblTargets[StateType])</f>
        <v/>
      </c>
      <c r="G335">
        <f>_xlfn.LET(
_xlpm.id,tblTargetStatus[[#This Row],[TargetID]],
_xlpm.depCount,COUNTIF(tblDependencies[TargetID],_xlpm.id),
_xlpm.objCount,COUNTIF(tblQuestObjectives[QuestTargetID],_xlpm.id),
_xlpm.depCount+_xlpm.objCount
)</f>
        <v>5</v>
      </c>
      <c r="H335">
        <f>tblTargetStatus[[#This Row],[DependencyCount]]</f>
        <v>5</v>
      </c>
      <c r="I335" cm="1">
        <f t="array" ref="I3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5">
        <f>tblTargetStatus[[#This Row],[CompletedDependencyCount]]</f>
        <v>0</v>
      </c>
      <c r="K335" t="b">
        <f>tblTargetStatus[[#This Row],[CompletedDependencies]]=tblTargetStatus[[#This Row],[TotalDependencies]]</f>
        <v>0</v>
      </c>
      <c r="L335">
        <f>tblTargetStatus[[#This Row],[TotalDependencies]]-tblTargetStatus[[#This Row],[CompletedDependencies]]</f>
        <v>5</v>
      </c>
      <c r="M335" t="str" cm="1">
        <f t="array" ref="M3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quest.shoguns_katana_chapter_4.accepted</v>
      </c>
      <c r="N335" t="str">
        <f>IF(tblTargetStatus[[#This Row],[FirstMissingDependencyID]]="","",_xlfn.XLOOKUP(tblTargetStatus[[#This Row],[FirstMissingDependencyID]],tblTargets[TargetID],tblTargets[DisplayName],tblTargetStatus[[#This Row],[FirstMissingDependencyID]]))</f>
        <v>Shogun's Katana Chapter 4 Accepted</v>
      </c>
      <c r="O335" s="2" t="str" cm="1">
        <f t="array" ref="O3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5" t="str">
        <f>IF(tblTargetStatus[[#This Row],[FirstMissingDependencyID]]="","",_xlfn.XLOOKUP(tblTargetStatus[[#This Row],[FirstMissingDependencyID]],tblTargetStatus[TargetID],tblTargetStatus[Status],""))</f>
        <v>BLOCKED</v>
      </c>
      <c r="Q335" t="str">
        <f>IF(
 tblTargetStatus[[#This Row],[Status]]&lt;&gt;"BLOCKED",
 tblTargetStatus[[#This Row],[Status]],
 IF(
  AND(
   tblTargetStatus[[#This Row],[MissingDependencies]]=1,
   tblTargetStatus[[#This Row],[FirstMissingStatus]]="READY"
  ),
  "ONE AWAY",
  "BLOCKED"
 )
)</f>
        <v>BLOCKED</v>
      </c>
      <c r="R335">
        <f>IF(
 OR(
  tblTargetStatus[[#This Row],[StateType]]="CHARACTER",
  RIGHT(tblTargetStatus[[#This Row],[TargetID]],6)=".maxed"
 ),
 0,
 _xlfn.LET(
  _xlpm.sort,
   _xlfn.XLOOKUP(
    tblTargetStatus[[#This Row],[TargetID]],
    tblChecklist[TargetID],
    tblChecklist[PlayerSort],
    0
   ),
  IF(_xlpm.sort=0,500,_xlpm.sort)
 )
)</f>
        <v>500</v>
      </c>
      <c r="S335" t="str" cm="1">
        <f t="array" ref="S33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6 Accepted, Treasure Island Accepted, Meet Pirate Skeleton@3A</v>
      </c>
      <c r="T335" t="str">
        <f>_xlfn.XLOOKUP(tblTargetStatus[[#This Row],[TargetID]],tblTargets[TargetID],tblTargets[CompletionMethod],"")</f>
        <v>PLAYER</v>
      </c>
      <c r="U335" t="b">
        <f>COUNTIF(
    tblCost[TargetID],
    tblTargetStatus[[#This Row],[TargetID]]
)&gt;0</f>
        <v>1</v>
      </c>
      <c r="V335" s="81">
        <f>IF(tblTargetStatus[[#This Row],[HasCost]]=FALSE,
"N/A",
_xlfn.XLOOKUP(
tblTargetStatus[[#This Row],[TargetID]],
tblCost[TargetID],
tblCost[FundingPercent],
""
)
)</f>
        <v>0</v>
      </c>
      <c r="W335">
        <f>IF(
COUNTIF(tblCost[TargetID],tblTargetStatus[[#This Row],[TargetID]])=0,
"",
_xlfn.XLOOKUP(
tblTargetStatus[[#This Row],[TargetID]],
tblCost[TargetID],
tblCost[RemainingRequirements],
""
)
)</f>
        <v>1</v>
      </c>
      <c r="X335" s="79" t="b">
        <f>IF(tblTargetStatus[[#This Row],[HasCost]]=FALSE,"N/A",_xlfn.XLOOKUP(
tblTargetStatus[[#This Row],[TargetID]],
tblCost[TargetID],
tblCost[TargetFunded],
TRUE
))</f>
        <v>0</v>
      </c>
      <c r="Y335" t="str" cm="1">
        <f t="array" ref="Y335">_xlfn.TEXTJOIN(
", ",
TRUE,
_xlfn._xlws.FILTER(
tblCost[ResourceID]&amp;": "&amp;tblCost[QuantityRequired],
(tblCost[TargetID]=tblTargetStatus[[#This Row],[TargetID]])*
(tblCost[PlayerPaid]=FALSE),
""
)
)</f>
        <v>mapsmug: 1</v>
      </c>
      <c r="Z3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5" t="str" cm="1">
        <f t="array" ref="AA33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Shogun's Katana Chapter 6, Treasure Island</v>
      </c>
    </row>
    <row r="336" spans="1:27">
      <c r="A336" t="s">
        <v>2402</v>
      </c>
      <c r="B336" t="str">
        <f>_xlfn.XLOOKUP(tblTargetStatus[[#This Row],[TargetID]],tblTargets[TargetID],tblTargets[DisplayName],"")</f>
        <v>Shogun's Katana Chapter 5 Accepted</v>
      </c>
      <c r="C336" t="str">
        <f>IF(tblTargetStatus[[#This Row],[PlayerCompleted]],"COMPLETED",IF(tblTargetStatus[[#This Row],[MissingDependencies]]=0,"READY","BLOCKED"))</f>
        <v>BLOCKED</v>
      </c>
      <c r="D3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6" t="str">
        <f>_xlfn.XLOOKUP(tblTargetStatus[[#This Row],[TargetID]],tblTargets[TargetID],tblTargets[TargetType],"")</f>
        <v>QUEST</v>
      </c>
      <c r="F336" t="str">
        <f>_xlfn.XLOOKUP(tblTargetStatus[[#This Row],[TargetID]],tblTargets[TargetID],tblTargets[StateType])</f>
        <v/>
      </c>
      <c r="G336">
        <f>_xlfn.LET(
_xlpm.id,tblTargetStatus[[#This Row],[TargetID]],
_xlpm.depCount,COUNTIF(tblDependencies[TargetID],_xlpm.id),
_xlpm.objCount,COUNTIF(tblQuestObjectives[QuestTargetID],_xlpm.id),
_xlpm.depCount+_xlpm.objCount
)</f>
        <v>1</v>
      </c>
      <c r="H336">
        <f>tblTargetStatus[[#This Row],[DependencyCount]]</f>
        <v>1</v>
      </c>
      <c r="I336" cm="1">
        <f t="array" ref="I3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6">
        <f>tblTargetStatus[[#This Row],[CompletedDependencyCount]]</f>
        <v>0</v>
      </c>
      <c r="K336" t="b">
        <f>tblTargetStatus[[#This Row],[CompletedDependencies]]=tblTargetStatus[[#This Row],[TotalDependencies]]</f>
        <v>0</v>
      </c>
      <c r="L336">
        <f>tblTargetStatus[[#This Row],[TotalDependencies]]-tblTargetStatus[[#This Row],[CompletedDependencies]]</f>
        <v>1</v>
      </c>
      <c r="M336" t="str" cm="1">
        <f t="array" ref="M3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quest.shoguns_katana_chapter_3.finished</v>
      </c>
      <c r="N336" t="str">
        <f>IF(tblTargetStatus[[#This Row],[FirstMissingDependencyID]]="","",_xlfn.XLOOKUP(tblTargetStatus[[#This Row],[FirstMissingDependencyID]],tblTargets[TargetID],tblTargets[DisplayName],tblTargetStatus[[#This Row],[FirstMissingDependencyID]]))</f>
        <v>Shogun's Katana Chapter 3 Finished</v>
      </c>
      <c r="O336" s="2" t="str" cm="1">
        <f t="array" ref="O3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6" t="str">
        <f>IF(tblTargetStatus[[#This Row],[FirstMissingDependencyID]]="","",_xlfn.XLOOKUP(tblTargetStatus[[#This Row],[FirstMissingDependencyID]],tblTargetStatus[TargetID],tblTargetStatus[Status],""))</f>
        <v>BLOCKED</v>
      </c>
      <c r="Q336" t="str">
        <f>IF(
 tblTargetStatus[[#This Row],[Status]]&lt;&gt;"BLOCKED",
 tblTargetStatus[[#This Row],[Status]],
 IF(
  AND(
   tblTargetStatus[[#This Row],[MissingDependencies]]=1,
   tblTargetStatus[[#This Row],[FirstMissingStatus]]="READY"
  ),
  "ONE AWAY",
  "BLOCKED"
 )
)</f>
        <v>BLOCKED</v>
      </c>
      <c r="R336">
        <f>IF(
 OR(
  tblTargetStatus[[#This Row],[StateType]]="CHARACTER",
  RIGHT(tblTargetStatus[[#This Row],[TargetID]],6)=".maxed"
 ),
 0,
 _xlfn.LET(
  _xlpm.sort,
   _xlfn.XLOOKUP(
    tblTargetStatus[[#This Row],[TargetID]],
    tblChecklist[TargetID],
    tblChecklist[PlayerSort],
    0
   ),
  IF(_xlpm.sort=0,500,_xlpm.sort)
 )
)</f>
        <v>500</v>
      </c>
      <c r="S336" t="str" cm="1">
        <f t="array" ref="S33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5 Finished, Purchase Smuggler's map for 15 pearl</v>
      </c>
      <c r="T336" t="str">
        <f>_xlfn.XLOOKUP(tblTargetStatus[[#This Row],[TargetID]],tblTargets[TargetID],tblTargets[CompletionMethod],"")</f>
        <v>PLAYER</v>
      </c>
      <c r="U336" t="b">
        <f>COUNTIF(
    tblCost[TargetID],
    tblTargetStatus[[#This Row],[TargetID]]
)&gt;0</f>
        <v>0</v>
      </c>
      <c r="V336" s="81" t="str">
        <f>IF(tblTargetStatus[[#This Row],[HasCost]]=FALSE,
"N/A",
_xlfn.XLOOKUP(
tblTargetStatus[[#This Row],[TargetID]],
tblCost[TargetID],
tblCost[FundingPercent],
""
)
)</f>
        <v>N/A</v>
      </c>
      <c r="W336" t="str">
        <f>IF(
COUNTIF(tblCost[TargetID],tblTargetStatus[[#This Row],[TargetID]])=0,
"",
_xlfn.XLOOKUP(
tblTargetStatus[[#This Row],[TargetID]],
tblCost[TargetID],
tblCost[RemainingRequirements],
""
)
)</f>
        <v/>
      </c>
      <c r="X336" s="79" t="str">
        <f>IF(tblTargetStatus[[#This Row],[HasCost]]=FALSE,"N/A",_xlfn.XLOOKUP(
tblTargetStatus[[#This Row],[TargetID]],
tblCost[TargetID],
tblCost[TargetFunded],
TRUE
))</f>
        <v>N/A</v>
      </c>
      <c r="Y336" t="str" cm="1">
        <f t="array" ref="Y336">_xlfn.TEXTJOIN(
", ",
TRUE,
_xlfn._xlws.FILTER(
tblCost[ResourceID]&amp;": "&amp;tblCost[QuantityRequired],
(tblCost[TargetID]=tblTargetStatus[[#This Row],[TargetID]])*
(tblCost[PlayerPaid]=FALSE),
""
)
)</f>
        <v/>
      </c>
      <c r="Z3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6" t="str" cm="1">
        <f t="array" ref="AA33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37" spans="1:27">
      <c r="A337" t="s">
        <v>2530</v>
      </c>
      <c r="B337" t="str">
        <f>_xlfn.XLOOKUP(tblTargetStatus[[#This Row],[TargetID]],tblTargets[TargetID],tblTargets[DisplayName],"")</f>
        <v>Shogun's Katana Chapter 5 Finished</v>
      </c>
      <c r="C337" t="str">
        <f>IF(tblTargetStatus[[#This Row],[PlayerCompleted]],"COMPLETED",IF(tblTargetStatus[[#This Row],[MissingDependencies]]=0,"READY","BLOCKED"))</f>
        <v>BLOCKED</v>
      </c>
      <c r="D3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7" t="str">
        <f>_xlfn.XLOOKUP(tblTargetStatus[[#This Row],[TargetID]],tblTargets[TargetID],tblTargets[TargetType],"")</f>
        <v>QUEST</v>
      </c>
      <c r="F337" t="str">
        <f>_xlfn.XLOOKUP(tblTargetStatus[[#This Row],[TargetID]],tblTargets[TargetID],tblTargets[StateType])</f>
        <v/>
      </c>
      <c r="G337">
        <f>_xlfn.LET(
_xlpm.id,tblTargetStatus[[#This Row],[TargetID]],
_xlpm.depCount,COUNTIF(tblDependencies[TargetID],_xlpm.id),
_xlpm.objCount,COUNTIF(tblQuestObjectives[QuestTargetID],_xlpm.id),
_xlpm.depCount+_xlpm.objCount
)</f>
        <v>5</v>
      </c>
      <c r="H337">
        <f>tblTargetStatus[[#This Row],[DependencyCount]]</f>
        <v>5</v>
      </c>
      <c r="I337" cm="1">
        <f t="array" ref="I3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7">
        <f>tblTargetStatus[[#This Row],[CompletedDependencyCount]]</f>
        <v>0</v>
      </c>
      <c r="K337" t="b">
        <f>tblTargetStatus[[#This Row],[CompletedDependencies]]=tblTargetStatus[[#This Row],[TotalDependencies]]</f>
        <v>0</v>
      </c>
      <c r="L337">
        <f>tblTargetStatus[[#This Row],[TotalDependencies]]-tblTargetStatus[[#This Row],[CompletedDependencies]]</f>
        <v>5</v>
      </c>
      <c r="M337" t="str" cm="1">
        <f t="array" ref="M3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quest.shoguns_katana_chapter_5.accepted</v>
      </c>
      <c r="N337" t="str">
        <f>IF(tblTargetStatus[[#This Row],[FirstMissingDependencyID]]="","",_xlfn.XLOOKUP(tblTargetStatus[[#This Row],[FirstMissingDependencyID]],tblTargets[TargetID],tblTargets[DisplayName],tblTargetStatus[[#This Row],[FirstMissingDependencyID]]))</f>
        <v>Shogun's Katana Chapter 5 Accepted</v>
      </c>
      <c r="O337" s="2" t="str" cm="1">
        <f t="array" ref="O3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7" t="str">
        <f>IF(tblTargetStatus[[#This Row],[FirstMissingDependencyID]]="","",_xlfn.XLOOKUP(tblTargetStatus[[#This Row],[FirstMissingDependencyID]],tblTargetStatus[TargetID],tblTargetStatus[Status],""))</f>
        <v>BLOCKED</v>
      </c>
      <c r="Q337" t="str">
        <f>IF(
 tblTargetStatus[[#This Row],[Status]]&lt;&gt;"BLOCKED",
 tblTargetStatus[[#This Row],[Status]],
 IF(
  AND(
   tblTargetStatus[[#This Row],[MissingDependencies]]=1,
   tblTargetStatus[[#This Row],[FirstMissingStatus]]="READY"
  ),
  "ONE AWAY",
  "BLOCKED"
 )
)</f>
        <v>BLOCKED</v>
      </c>
      <c r="R337">
        <f>IF(
 OR(
  tblTargetStatus[[#This Row],[StateType]]="CHARACTER",
  RIGHT(tblTargetStatus[[#This Row],[TargetID]],6)=".maxed"
 ),
 0,
 _xlfn.LET(
  _xlpm.sort,
   _xlfn.XLOOKUP(
    tblTargetStatus[[#This Row],[TargetID]],
    tblChecklist[TargetID],
    tblChecklist[PlayerSort],
    0
   ),
  IF(_xlpm.sort=0,500,_xlpm.sort)
 )
)</f>
        <v>500</v>
      </c>
      <c r="S337" t="str" cm="1">
        <f t="array" ref="S33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7 Accepted</v>
      </c>
      <c r="T337" t="str">
        <f>_xlfn.XLOOKUP(tblTargetStatus[[#This Row],[TargetID]],tblTargets[TargetID],tblTargets[CompletionMethod],"")</f>
        <v>PLAYER</v>
      </c>
      <c r="U337" t="b">
        <f>COUNTIF(
    tblCost[TargetID],
    tblTargetStatus[[#This Row],[TargetID]]
)&gt;0</f>
        <v>1</v>
      </c>
      <c r="V337" s="81">
        <f>IF(tblTargetStatus[[#This Row],[HasCost]]=FALSE,
"N/A",
_xlfn.XLOOKUP(
tblTargetStatus[[#This Row],[TargetID]],
tblCost[TargetID],
tblCost[FundingPercent],
""
)
)</f>
        <v>0</v>
      </c>
      <c r="W337">
        <f>IF(
COUNTIF(tblCost[TargetID],tblTargetStatus[[#This Row],[TargetID]])=0,
"",
_xlfn.XLOOKUP(
tblTargetStatus[[#This Row],[TargetID]],
tblCost[TargetID],
tblCost[RemainingRequirements],
""
)
)</f>
        <v>1</v>
      </c>
      <c r="X337" s="79" t="b">
        <f>IF(tblTargetStatus[[#This Row],[HasCost]]=FALSE,"N/A",_xlfn.XLOOKUP(
tblTargetStatus[[#This Row],[TargetID]],
tblCost[TargetID],
tblCost[TargetFunded],
TRUE
))</f>
        <v>0</v>
      </c>
      <c r="Y337" t="str" cm="1">
        <f t="array" ref="Y337">_xlfn.TEXTJOIN(
", ",
TRUE,
_xlfn._xlws.FILTER(
tblCost[ResourceID]&amp;": "&amp;tblCost[QuantityRequired],
(tblCost[TargetID]=tblTargetStatus[[#This Row],[TargetID]])*
(tblCost[PlayerPaid]=FALSE),
""
)
)</f>
        <v>mapsmug: 1</v>
      </c>
      <c r="Z3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7" t="str" cm="1">
        <f t="array" ref="AA33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Shogun's Katana Chapter 7</v>
      </c>
    </row>
    <row r="338" spans="1:27">
      <c r="A338" t="s">
        <v>2405</v>
      </c>
      <c r="B338" t="str">
        <f>_xlfn.XLOOKUP(tblTargetStatus[[#This Row],[TargetID]],tblTargets[TargetID],tblTargets[DisplayName],"")</f>
        <v>Shogun's Katana Chapter 6 Accepted</v>
      </c>
      <c r="C338" t="str">
        <f>IF(tblTargetStatus[[#This Row],[PlayerCompleted]],"COMPLETED",IF(tblTargetStatus[[#This Row],[MissingDependencies]]=0,"READY","BLOCKED"))</f>
        <v>BLOCKED</v>
      </c>
      <c r="D3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8" t="str">
        <f>_xlfn.XLOOKUP(tblTargetStatus[[#This Row],[TargetID]],tblTargets[TargetID],tblTargets[TargetType],"")</f>
        <v>QUEST</v>
      </c>
      <c r="F338" t="str">
        <f>_xlfn.XLOOKUP(tblTargetStatus[[#This Row],[TargetID]],tblTargets[TargetID],tblTargets[StateType])</f>
        <v/>
      </c>
      <c r="G338">
        <f>_xlfn.LET(
_xlpm.id,tblTargetStatus[[#This Row],[TargetID]],
_xlpm.depCount,COUNTIF(tblDependencies[TargetID],_xlpm.id),
_xlpm.objCount,COUNTIF(tblQuestObjectives[QuestTargetID],_xlpm.id),
_xlpm.depCount+_xlpm.objCount
)</f>
        <v>1</v>
      </c>
      <c r="H338">
        <f>tblTargetStatus[[#This Row],[DependencyCount]]</f>
        <v>1</v>
      </c>
      <c r="I338" cm="1">
        <f t="array" ref="I3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8">
        <f>tblTargetStatus[[#This Row],[CompletedDependencyCount]]</f>
        <v>0</v>
      </c>
      <c r="K338" t="b">
        <f>tblTargetStatus[[#This Row],[CompletedDependencies]]=tblTargetStatus[[#This Row],[TotalDependencies]]</f>
        <v>0</v>
      </c>
      <c r="L338">
        <f>tblTargetStatus[[#This Row],[TotalDependencies]]-tblTargetStatus[[#This Row],[CompletedDependencies]]</f>
        <v>1</v>
      </c>
      <c r="M338" t="str" cm="1">
        <f t="array" ref="M3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quest.shoguns_katana_chapter_4.finished</v>
      </c>
      <c r="N338" t="str">
        <f>IF(tblTargetStatus[[#This Row],[FirstMissingDependencyID]]="","",_xlfn.XLOOKUP(tblTargetStatus[[#This Row],[FirstMissingDependencyID]],tblTargets[TargetID],tblTargets[DisplayName],tblTargetStatus[[#This Row],[FirstMissingDependencyID]]))</f>
        <v>Shogun's Katana Chapter 4 Finished</v>
      </c>
      <c r="O338" s="2" t="str" cm="1">
        <f t="array" ref="O3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map4:1</v>
      </c>
      <c r="P338" t="str">
        <f>IF(tblTargetStatus[[#This Row],[FirstMissingDependencyID]]="","",_xlfn.XLOOKUP(tblTargetStatus[[#This Row],[FirstMissingDependencyID]],tblTargetStatus[TargetID],tblTargetStatus[Status],""))</f>
        <v>BLOCKED</v>
      </c>
      <c r="Q338" t="str">
        <f>IF(
 tblTargetStatus[[#This Row],[Status]]&lt;&gt;"BLOCKED",
 tblTargetStatus[[#This Row],[Status]],
 IF(
  AND(
   tblTargetStatus[[#This Row],[MissingDependencies]]=1,
   tblTargetStatus[[#This Row],[FirstMissingStatus]]="READY"
  ),
  "ONE AWAY",
  "BLOCKED"
 )
)</f>
        <v>BLOCKED</v>
      </c>
      <c r="R338">
        <f>IF(
 OR(
  tblTargetStatus[[#This Row],[StateType]]="CHARACTER",
  RIGHT(tblTargetStatus[[#This Row],[TargetID]],6)=".maxed"
 ),
 0,
 _xlfn.LET(
  _xlpm.sort,
   _xlfn.XLOOKUP(
    tblTargetStatus[[#This Row],[TargetID]],
    tblChecklist[TargetID],
    tblChecklist[PlayerSort],
    0
   ),
  IF(_xlpm.sort=0,500,_xlpm.sort)
 )
)</f>
        <v>500</v>
      </c>
      <c r="S338" t="str" cm="1">
        <f t="array" ref="S33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6 Finished, Craft level 4 map</v>
      </c>
      <c r="T338" t="str">
        <f>_xlfn.XLOOKUP(tblTargetStatus[[#This Row],[TargetID]],tblTargets[TargetID],tblTargets[CompletionMethod],"")</f>
        <v>PLAYER</v>
      </c>
      <c r="U338" t="b">
        <f>COUNTIF(
    tblCost[TargetID],
    tblTargetStatus[[#This Row],[TargetID]]
)&gt;0</f>
        <v>0</v>
      </c>
      <c r="V338" s="81" t="str">
        <f>IF(tblTargetStatus[[#This Row],[HasCost]]=FALSE,
"N/A",
_xlfn.XLOOKUP(
tblTargetStatus[[#This Row],[TargetID]],
tblCost[TargetID],
tblCost[FundingPercent],
""
)
)</f>
        <v>N/A</v>
      </c>
      <c r="W338" t="str">
        <f>IF(
COUNTIF(tblCost[TargetID],tblTargetStatus[[#This Row],[TargetID]])=0,
"",
_xlfn.XLOOKUP(
tblTargetStatus[[#This Row],[TargetID]],
tblCost[TargetID],
tblCost[RemainingRequirements],
""
)
)</f>
        <v/>
      </c>
      <c r="X338" s="79" t="str">
        <f>IF(tblTargetStatus[[#This Row],[HasCost]]=FALSE,"N/A",_xlfn.XLOOKUP(
tblTargetStatus[[#This Row],[TargetID]],
tblCost[TargetID],
tblCost[TargetFunded],
TRUE
))</f>
        <v>N/A</v>
      </c>
      <c r="Y338" t="str" cm="1">
        <f t="array" ref="Y338">_xlfn.TEXTJOIN(
", ",
TRUE,
_xlfn._xlws.FILTER(
tblCost[ResourceID]&amp;": "&amp;tblCost[QuantityRequired],
(tblCost[TargetID]=tblTargetStatus[[#This Row],[TargetID]])*
(tblCost[PlayerPaid]=FALSE),
""
)
)</f>
        <v/>
      </c>
      <c r="Z3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8" t="str" cm="1">
        <f t="array" ref="AA33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39" spans="1:27">
      <c r="A339" t="s">
        <v>2532</v>
      </c>
      <c r="B339" t="str">
        <f>_xlfn.XLOOKUP(tblTargetStatus[[#This Row],[TargetID]],tblTargets[TargetID],tblTargets[DisplayName],"")</f>
        <v>Shogun's Katana Chapter 6 Finished</v>
      </c>
      <c r="C339" t="str">
        <f>IF(tblTargetStatus[[#This Row],[PlayerCompleted]],"COMPLETED",IF(tblTargetStatus[[#This Row],[MissingDependencies]]=0,"READY","BLOCKED"))</f>
        <v>BLOCKED</v>
      </c>
      <c r="D3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9" t="str">
        <f>_xlfn.XLOOKUP(tblTargetStatus[[#This Row],[TargetID]],tblTargets[TargetID],tblTargets[TargetType],"")</f>
        <v>QUEST</v>
      </c>
      <c r="F339" t="str">
        <f>_xlfn.XLOOKUP(tblTargetStatus[[#This Row],[TargetID]],tblTargets[TargetID],tblTargets[StateType])</f>
        <v/>
      </c>
      <c r="G339">
        <f>_xlfn.LET(
_xlpm.id,tblTargetStatus[[#This Row],[TargetID]],
_xlpm.depCount,COUNTIF(tblDependencies[TargetID],_xlpm.id),
_xlpm.objCount,COUNTIF(tblQuestObjectives[QuestTargetID],_xlpm.id),
_xlpm.depCount+_xlpm.objCount
)</f>
        <v>7</v>
      </c>
      <c r="H339">
        <f>tblTargetStatus[[#This Row],[DependencyCount]]</f>
        <v>7</v>
      </c>
      <c r="I339" cm="1">
        <f t="array" ref="I3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9">
        <f>tblTargetStatus[[#This Row],[CompletedDependencyCount]]</f>
        <v>0</v>
      </c>
      <c r="K339" t="b">
        <f>tblTargetStatus[[#This Row],[CompletedDependencies]]=tblTargetStatus[[#This Row],[TotalDependencies]]</f>
        <v>0</v>
      </c>
      <c r="L339">
        <f>tblTargetStatus[[#This Row],[TotalDependencies]]-tblTargetStatus[[#This Row],[CompletedDependencies]]</f>
        <v>7</v>
      </c>
      <c r="M339" t="str" cm="1">
        <f t="array" ref="M3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quest.shoguns_katana_chapter_6.accepted</v>
      </c>
      <c r="N339" t="str">
        <f>IF(tblTargetStatus[[#This Row],[FirstMissingDependencyID]]="","",_xlfn.XLOOKUP(tblTargetStatus[[#This Row],[FirstMissingDependencyID]],tblTargets[TargetID],tblTargets[DisplayName],tblTargetStatus[[#This Row],[FirstMissingDependencyID]]))</f>
        <v>Shogun's Katana Chapter 6 Accepted</v>
      </c>
      <c r="O339" s="2" t="str" cm="1">
        <f t="array" ref="O3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map4:1</v>
      </c>
      <c r="P339" t="str">
        <f>IF(tblTargetStatus[[#This Row],[FirstMissingDependencyID]]="","",_xlfn.XLOOKUP(tblTargetStatus[[#This Row],[FirstMissingDependencyID]],tblTargetStatus[TargetID],tblTargetStatus[Status],""))</f>
        <v>BLOCKED</v>
      </c>
      <c r="Q339" t="str">
        <f>IF(
 tblTargetStatus[[#This Row],[Status]]&lt;&gt;"BLOCKED",
 tblTargetStatus[[#This Row],[Status]],
 IF(
  AND(
   tblTargetStatus[[#This Row],[MissingDependencies]]=1,
   tblTargetStatus[[#This Row],[FirstMissingStatus]]="READY"
  ),
  "ONE AWAY",
  "BLOCKED"
 )
)</f>
        <v>BLOCKED</v>
      </c>
      <c r="R339">
        <f>IF(
 OR(
  tblTargetStatus[[#This Row],[StateType]]="CHARACTER",
  RIGHT(tblTargetStatus[[#This Row],[TargetID]],6)=".maxed"
 ),
 0,
 _xlfn.LET(
  _xlpm.sort,
   _xlfn.XLOOKUP(
    tblTargetStatus[[#This Row],[TargetID]],
    tblChecklist[TargetID],
    tblChecklist[PlayerSort],
    0
   ),
  IF(_xlpm.sort=0,500,_xlpm.sort)
 )
)</f>
        <v>500</v>
      </c>
      <c r="S339" t="str" cm="1">
        <f t="array" ref="S33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7 Accepted</v>
      </c>
      <c r="T339" t="str">
        <f>_xlfn.XLOOKUP(tblTargetStatus[[#This Row],[TargetID]],tblTargets[TargetID],tblTargets[CompletionMethod],"")</f>
        <v>PLAYER</v>
      </c>
      <c r="U339" t="b">
        <f>COUNTIF(
    tblCost[TargetID],
    tblTargetStatus[[#This Row],[TargetID]]
)&gt;0</f>
        <v>1</v>
      </c>
      <c r="V339" s="81">
        <f>IF(tblTargetStatus[[#This Row],[HasCost]]=FALSE,
"N/A",
_xlfn.XLOOKUP(
tblTargetStatus[[#This Row],[TargetID]],
tblCost[TargetID],
tblCost[FundingPercent],
""
)
)</f>
        <v>0</v>
      </c>
      <c r="W339">
        <f>IF(
COUNTIF(tblCost[TargetID],tblTargetStatus[[#This Row],[TargetID]])=0,
"",
_xlfn.XLOOKUP(
tblTargetStatus[[#This Row],[TargetID]],
tblCost[TargetID],
tblCost[RemainingRequirements],
""
)
)</f>
        <v>1</v>
      </c>
      <c r="X339" s="79" t="b">
        <f>IF(tblTargetStatus[[#This Row],[HasCost]]=FALSE,"N/A",_xlfn.XLOOKUP(
tblTargetStatus[[#This Row],[TargetID]],
tblCost[TargetID],
tblCost[TargetFunded],
TRUE
))</f>
        <v>0</v>
      </c>
      <c r="Y339" t="str" cm="1">
        <f t="array" ref="Y339">_xlfn.TEXTJOIN(
", ",
TRUE,
_xlfn._xlws.FILTER(
tblCost[ResourceID]&amp;": "&amp;tblCost[QuantityRequired],
(tblCost[TargetID]=tblTargetStatus[[#This Row],[TargetID]])*
(tblCost[PlayerPaid]=FALSE),
""
)
)</f>
        <v>map4: 1</v>
      </c>
      <c r="Z3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9" t="str" cm="1">
        <f t="array" ref="AA33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Shogun's Katana Chapter 7</v>
      </c>
    </row>
    <row r="340" spans="1:27">
      <c r="A340" t="s">
        <v>2408</v>
      </c>
      <c r="B340" t="str">
        <f>_xlfn.XLOOKUP(tblTargetStatus[[#This Row],[TargetID]],tblTargets[TargetID],tblTargets[DisplayName],"")</f>
        <v>Shogun's Katana Chapter 7 Accepted</v>
      </c>
      <c r="C340" t="str">
        <f>IF(tblTargetStatus[[#This Row],[PlayerCompleted]],"COMPLETED",IF(tblTargetStatus[[#This Row],[MissingDependencies]]=0,"READY","BLOCKED"))</f>
        <v>BLOCKED</v>
      </c>
      <c r="D3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0" t="str">
        <f>_xlfn.XLOOKUP(tblTargetStatus[[#This Row],[TargetID]],tblTargets[TargetID],tblTargets[TargetType],"")</f>
        <v>QUEST</v>
      </c>
      <c r="F340" t="str">
        <f>_xlfn.XLOOKUP(tblTargetStatus[[#This Row],[TargetID]],tblTargets[TargetID],tblTargets[StateType])</f>
        <v/>
      </c>
      <c r="G340">
        <f>_xlfn.LET(
_xlpm.id,tblTargetStatus[[#This Row],[TargetID]],
_xlpm.depCount,COUNTIF(tblDependencies[TargetID],_xlpm.id),
_xlpm.objCount,COUNTIF(tblQuestObjectives[QuestTargetID],_xlpm.id),
_xlpm.depCount+_xlpm.objCount
)</f>
        <v>2</v>
      </c>
      <c r="H340">
        <f>tblTargetStatus[[#This Row],[DependencyCount]]</f>
        <v>2</v>
      </c>
      <c r="I340" cm="1">
        <f t="array" ref="I3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0">
        <f>tblTargetStatus[[#This Row],[CompletedDependencyCount]]</f>
        <v>0</v>
      </c>
      <c r="K340" t="b">
        <f>tblTargetStatus[[#This Row],[CompletedDependencies]]=tblTargetStatus[[#This Row],[TotalDependencies]]</f>
        <v>0</v>
      </c>
      <c r="L340">
        <f>tblTargetStatus[[#This Row],[TotalDependencies]]-tblTargetStatus[[#This Row],[CompletedDependencies]]</f>
        <v>2</v>
      </c>
      <c r="M340" t="str" cm="1">
        <f t="array" ref="M3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quest.shoguns_katana_chapter_5.finished</v>
      </c>
      <c r="N340" t="str">
        <f>IF(tblTargetStatus[[#This Row],[FirstMissingDependencyID]]="","",_xlfn.XLOOKUP(tblTargetStatus[[#This Row],[FirstMissingDependencyID]],tblTargets[TargetID],tblTargets[DisplayName],tblTargetStatus[[#This Row],[FirstMissingDependencyID]]))</f>
        <v>Shogun's Katana Chapter 5 Finished</v>
      </c>
      <c r="O340" t="str" cm="1">
        <f t="array" ref="O3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map4:1</v>
      </c>
      <c r="P340" t="str">
        <f>IF(tblTargetStatus[[#This Row],[FirstMissingDependencyID]]="","",_xlfn.XLOOKUP(tblTargetStatus[[#This Row],[FirstMissingDependencyID]],tblTargetStatus[TargetID],tblTargetStatus[Status],""))</f>
        <v>BLOCKED</v>
      </c>
      <c r="Q340" t="str">
        <f>IF(
 tblTargetStatus[[#This Row],[Status]]&lt;&gt;"BLOCKED",
 tblTargetStatus[[#This Row],[Status]],
 IF(
  AND(
   tblTargetStatus[[#This Row],[MissingDependencies]]=1,
   tblTargetStatus[[#This Row],[FirstMissingStatus]]="READY"
  ),
  "ONE AWAY",
  "BLOCKED"
 )
)</f>
        <v>BLOCKED</v>
      </c>
      <c r="R340">
        <f>IF(
 OR(
  tblTargetStatus[[#This Row],[StateType]]="CHARACTER",
  RIGHT(tblTargetStatus[[#This Row],[TargetID]],6)=".maxed"
 ),
 0,
 _xlfn.LET(
  _xlpm.sort,
   _xlfn.XLOOKUP(
    tblTargetStatus[[#This Row],[TargetID]],
    tblChecklist[TargetID],
    tblChecklist[PlayerSort],
    0
   ),
  IF(_xlpm.sort=0,500,_xlpm.sort)
 )
)</f>
        <v>500</v>
      </c>
      <c r="S340" t="str" cm="1">
        <f t="array" ref="S34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7 Finished, Craft level 4 map again</v>
      </c>
      <c r="T340" t="str">
        <f>_xlfn.XLOOKUP(tblTargetStatus[[#This Row],[TargetID]],tblTargets[TargetID],tblTargets[CompletionMethod],"")</f>
        <v>PLAYER</v>
      </c>
      <c r="U340" t="b">
        <f>COUNTIF(
    tblCost[TargetID],
    tblTargetStatus[[#This Row],[TargetID]]
)&gt;0</f>
        <v>0</v>
      </c>
      <c r="V340" s="81" t="str">
        <f>IF(tblTargetStatus[[#This Row],[HasCost]]=FALSE,
"N/A",
_xlfn.XLOOKUP(
tblTargetStatus[[#This Row],[TargetID]],
tblCost[TargetID],
tblCost[FundingPercent],
""
)
)</f>
        <v>N/A</v>
      </c>
      <c r="W340" t="str">
        <f>IF(
COUNTIF(tblCost[TargetID],tblTargetStatus[[#This Row],[TargetID]])=0,
"",
_xlfn.XLOOKUP(
tblTargetStatus[[#This Row],[TargetID]],
tblCost[TargetID],
tblCost[RemainingRequirements],
""
)
)</f>
        <v/>
      </c>
      <c r="X340" s="79" t="str">
        <f>IF(tblTargetStatus[[#This Row],[HasCost]]=FALSE,"N/A",_xlfn.XLOOKUP(
tblTargetStatus[[#This Row],[TargetID]],
tblCost[TargetID],
tblCost[TargetFunded],
TRUE
))</f>
        <v>N/A</v>
      </c>
      <c r="Y340" t="str" cm="1">
        <f t="array" ref="Y340">_xlfn.TEXTJOIN(
", ",
TRUE,
_xlfn._xlws.FILTER(
tblCost[ResourceID]&amp;": "&amp;tblCost[QuantityRequired],
(tblCost[TargetID]=tblTargetStatus[[#This Row],[TargetID]])*
(tblCost[PlayerPaid]=FALSE),
""
)
)</f>
        <v/>
      </c>
      <c r="Z3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0" t="str" cm="1">
        <f t="array" ref="AA34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41" spans="1:27">
      <c r="A341" t="s">
        <v>2534</v>
      </c>
      <c r="B341" t="str">
        <f>_xlfn.XLOOKUP(tblTargetStatus[[#This Row],[TargetID]],tblTargets[TargetID],tblTargets[DisplayName],"")</f>
        <v>Shogun's Katana Chapter 7 Finished</v>
      </c>
      <c r="C341" t="str">
        <f>IF(tblTargetStatus[[#This Row],[PlayerCompleted]],"COMPLETED",IF(tblTargetStatus[[#This Row],[MissingDependencies]]=0,"READY","BLOCKED"))</f>
        <v>BLOCKED</v>
      </c>
      <c r="D3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1" t="str">
        <f>_xlfn.XLOOKUP(tblTargetStatus[[#This Row],[TargetID]],tblTargets[TargetID],tblTargets[TargetType],"")</f>
        <v>QUEST</v>
      </c>
      <c r="F341" t="str">
        <f>_xlfn.XLOOKUP(tblTargetStatus[[#This Row],[TargetID]],tblTargets[TargetID],tblTargets[StateType])</f>
        <v/>
      </c>
      <c r="G341">
        <f>_xlfn.LET(
_xlpm.id,tblTargetStatus[[#This Row],[TargetID]],
_xlpm.depCount,COUNTIF(tblDependencies[TargetID],_xlpm.id),
_xlpm.objCount,COUNTIF(tblQuestObjectives[QuestTargetID],_xlpm.id),
_xlpm.depCount+_xlpm.objCount
)</f>
        <v>3</v>
      </c>
      <c r="H341">
        <f>tblTargetStatus[[#This Row],[DependencyCount]]</f>
        <v>3</v>
      </c>
      <c r="I341" cm="1">
        <f t="array" ref="I3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1">
        <f>tblTargetStatus[[#This Row],[CompletedDependencyCount]]</f>
        <v>0</v>
      </c>
      <c r="K341" t="b">
        <f>tblTargetStatus[[#This Row],[CompletedDependencies]]=tblTargetStatus[[#This Row],[TotalDependencies]]</f>
        <v>0</v>
      </c>
      <c r="L341">
        <f>tblTargetStatus[[#This Row],[TotalDependencies]]-tblTargetStatus[[#This Row],[CompletedDependencies]]</f>
        <v>3</v>
      </c>
      <c r="M341" t="str" cm="1">
        <f t="array" ref="M3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quest.shoguns_katana_chapter_7.accepted</v>
      </c>
      <c r="N341" t="str">
        <f>IF(tblTargetStatus[[#This Row],[FirstMissingDependencyID]]="","",_xlfn.XLOOKUP(tblTargetStatus[[#This Row],[FirstMissingDependencyID]],tblTargets[TargetID],tblTargets[DisplayName],tblTargetStatus[[#This Row],[FirstMissingDependencyID]]))</f>
        <v>Shogun's Katana Chapter 7 Accepted</v>
      </c>
      <c r="O341" s="2" t="str" cm="1">
        <f t="array" ref="O3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map4:1</v>
      </c>
      <c r="P341" t="str">
        <f>IF(tblTargetStatus[[#This Row],[FirstMissingDependencyID]]="","",_xlfn.XLOOKUP(tblTargetStatus[[#This Row],[FirstMissingDependencyID]],tblTargetStatus[TargetID],tblTargetStatus[Status],""))</f>
        <v>BLOCKED</v>
      </c>
      <c r="Q341" t="str">
        <f>IF(
 tblTargetStatus[[#This Row],[Status]]&lt;&gt;"BLOCKED",
 tblTargetStatus[[#This Row],[Status]],
 IF(
  AND(
   tblTargetStatus[[#This Row],[MissingDependencies]]=1,
   tblTargetStatus[[#This Row],[FirstMissingStatus]]="READY"
  ),
  "ONE AWAY",
  "BLOCKED"
 )
)</f>
        <v>BLOCKED</v>
      </c>
      <c r="R341">
        <f>IF(
 OR(
  tblTargetStatus[[#This Row],[StateType]]="CHARACTER",
  RIGHT(tblTargetStatus[[#This Row],[TargetID]],6)=".maxed"
 ),
 0,
 _xlfn.LET(
  _xlpm.sort,
   _xlfn.XLOOKUP(
    tblTargetStatus[[#This Row],[TargetID]],
    tblChecklist[TargetID],
    tblChecklist[PlayerSort],
    0
   ),
  IF(_xlpm.sort=0,500,_xlpm.sort)
 )
)</f>
        <v>500</v>
      </c>
      <c r="S341" t="str" cm="1">
        <f t="array" ref="S34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Obtain Shogun's Katana</v>
      </c>
      <c r="T341" t="str">
        <f>_xlfn.XLOOKUP(tblTargetStatus[[#This Row],[TargetID]],tblTargets[TargetID],tblTargets[CompletionMethod],"")</f>
        <v>PLAYER</v>
      </c>
      <c r="U341" t="b">
        <f>COUNTIF(
    tblCost[TargetID],
    tblTargetStatus[[#This Row],[TargetID]]
)&gt;0</f>
        <v>1</v>
      </c>
      <c r="V341" s="81">
        <f>IF(tblTargetStatus[[#This Row],[HasCost]]=FALSE,
"N/A",
_xlfn.XLOOKUP(
tblTargetStatus[[#This Row],[TargetID]],
tblCost[TargetID],
tblCost[FundingPercent],
""
)
)</f>
        <v>0</v>
      </c>
      <c r="W341">
        <f>IF(
COUNTIF(tblCost[TargetID],tblTargetStatus[[#This Row],[TargetID]])=0,
"",
_xlfn.XLOOKUP(
tblTargetStatus[[#This Row],[TargetID]],
tblCost[TargetID],
tblCost[RemainingRequirements],
""
)
)</f>
        <v>1</v>
      </c>
      <c r="X341" s="79" t="b">
        <f>IF(tblTargetStatus[[#This Row],[HasCost]]=FALSE,"N/A",_xlfn.XLOOKUP(
tblTargetStatus[[#This Row],[TargetID]],
tblCost[TargetID],
tblCost[TargetFunded],
TRUE
))</f>
        <v>0</v>
      </c>
      <c r="Y341" t="str" cm="1">
        <f t="array" ref="Y341">_xlfn.TEXTJOIN(
", ",
TRUE,
_xlfn._xlws.FILTER(
tblCost[ResourceID]&amp;": "&amp;tblCost[QuantityRequired],
(tblCost[TargetID]=tblTargetStatus[[#This Row],[TargetID]])*
(tblCost[PlayerPaid]=FALSE),
""
)
)</f>
        <v>map4: 1</v>
      </c>
      <c r="Z3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1" t="str" cm="1">
        <f t="array" ref="AA34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42" spans="1:27">
      <c r="A342" t="s">
        <v>2411</v>
      </c>
      <c r="B342" t="str">
        <f>_xlfn.XLOOKUP(tblTargetStatus[[#This Row],[TargetID]],tblTargets[TargetID],tblTargets[DisplayName],"")</f>
        <v>Silk Road Accepted</v>
      </c>
      <c r="C342" t="str">
        <f>IF(tblTargetStatus[[#This Row],[PlayerCompleted]],"COMPLETED",IF(tblTargetStatus[[#This Row],[MissingDependencies]]=0,"READY","BLOCKED"))</f>
        <v>BLOCKED</v>
      </c>
      <c r="D3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2" t="str">
        <f>_xlfn.XLOOKUP(tblTargetStatus[[#This Row],[TargetID]],tblTargets[TargetID],tblTargets[TargetType],"")</f>
        <v>QUEST</v>
      </c>
      <c r="F342" t="str">
        <f>_xlfn.XLOOKUP(tblTargetStatus[[#This Row],[TargetID]],tblTargets[TargetID],tblTargets[StateType])</f>
        <v/>
      </c>
      <c r="G342">
        <f>_xlfn.LET(
_xlpm.id,tblTargetStatus[[#This Row],[TargetID]],
_xlpm.depCount,COUNTIF(tblDependencies[TargetID],_xlpm.id),
_xlpm.objCount,COUNTIF(tblQuestObjectives[QuestTargetID],_xlpm.id),
_xlpm.depCount+_xlpm.objCount
)</f>
        <v>1</v>
      </c>
      <c r="H342">
        <f>tblTargetStatus[[#This Row],[DependencyCount]]</f>
        <v>1</v>
      </c>
      <c r="I342" cm="1">
        <f t="array" ref="I3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2">
        <f>tblTargetStatus[[#This Row],[CompletedDependencyCount]]</f>
        <v>0</v>
      </c>
      <c r="K342" t="b">
        <f>tblTargetStatus[[#This Row],[CompletedDependencies]]=tblTargetStatus[[#This Row],[TotalDependencies]]</f>
        <v>0</v>
      </c>
      <c r="L342">
        <f>tblTargetStatus[[#This Row],[TotalDependencies]]-tblTargetStatus[[#This Row],[CompletedDependencies]]</f>
        <v>1</v>
      </c>
      <c r="M342" t="str" cm="1">
        <f t="array" ref="M3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342" t="str">
        <f>IF(tblTargetStatus[[#This Row],[FirstMissingDependencyID]]="","",_xlfn.XLOOKUP(tblTargetStatus[[#This Row],[FirstMissingDependencyID]],tblTargets[TargetID],tblTargets[DisplayName],tblTargetStatus[[#This Row],[FirstMissingDependencyID]]))</f>
        <v>Bridge Lv 1</v>
      </c>
      <c r="O342" s="2" cm="1">
        <f t="array" ref="O3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2" t="str">
        <f>IF(tblTargetStatus[[#This Row],[FirstMissingDependencyID]]="","",_xlfn.XLOOKUP(tblTargetStatus[[#This Row],[FirstMissingDependencyID]],tblTargetStatus[TargetID],tblTargetStatus[Status],""))</f>
        <v>BLOCKED</v>
      </c>
      <c r="Q342" t="str">
        <f>IF(
 tblTargetStatus[[#This Row],[Status]]&lt;&gt;"BLOCKED",
 tblTargetStatus[[#This Row],[Status]],
 IF(
  AND(
   tblTargetStatus[[#This Row],[MissingDependencies]]=1,
   tblTargetStatus[[#This Row],[FirstMissingStatus]]="READY"
  ),
  "ONE AWAY",
  "BLOCKED"
 )
)</f>
        <v>BLOCKED</v>
      </c>
      <c r="R342">
        <f>IF(
 OR(
  tblTargetStatus[[#This Row],[StateType]]="CHARACTER",
  RIGHT(tblTargetStatus[[#This Row],[TargetID]],6)=".maxed"
 ),
 0,
 _xlfn.LET(
  _xlpm.sort,
   _xlfn.XLOOKUP(
    tblTargetStatus[[#This Row],[TargetID]],
    tblChecklist[TargetID],
    tblChecklist[PlayerSort],
    0
   ),
  IF(_xlpm.sort=0,500,_xlpm.sort)
 )
)</f>
        <v>500</v>
      </c>
      <c r="S342" t="str" cm="1">
        <f t="array" ref="S34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Silk Road Finished, Visit Athens, Visit Baghdad, Visit Beijing, Visit Cairo, Visit Delhi, Visit Kyiv, Visit Rome, Visit Xian</v>
      </c>
      <c r="T342" t="str">
        <f>_xlfn.XLOOKUP(tblTargetStatus[[#This Row],[TargetID]],tblTargets[TargetID],tblTargets[CompletionMethod],"")</f>
        <v>PLAYER</v>
      </c>
      <c r="U342" t="b">
        <f>COUNTIF(
    tblCost[TargetID],
    tblTargetStatus[[#This Row],[TargetID]]
)&gt;0</f>
        <v>0</v>
      </c>
      <c r="V342" s="81" t="str">
        <f>IF(tblTargetStatus[[#This Row],[HasCost]]=FALSE,
"N/A",
_xlfn.XLOOKUP(
tblTargetStatus[[#This Row],[TargetID]],
tblCost[TargetID],
tblCost[FundingPercent],
""
)
)</f>
        <v>N/A</v>
      </c>
      <c r="W342" t="str">
        <f>IF(
COUNTIF(tblCost[TargetID],tblTargetStatus[[#This Row],[TargetID]])=0,
"",
_xlfn.XLOOKUP(
tblTargetStatus[[#This Row],[TargetID]],
tblCost[TargetID],
tblCost[RemainingRequirements],
""
)
)</f>
        <v/>
      </c>
      <c r="X342" s="79" t="str">
        <f>IF(tblTargetStatus[[#This Row],[HasCost]]=FALSE,"N/A",_xlfn.XLOOKUP(
tblTargetStatus[[#This Row],[TargetID]],
tblCost[TargetID],
tblCost[TargetFunded],
TRUE
))</f>
        <v>N/A</v>
      </c>
      <c r="Y342" t="str" cm="1">
        <f t="array" ref="Y342">_xlfn.TEXTJOIN(
", ",
TRUE,
_xlfn._xlws.FILTER(
tblCost[ResourceID]&amp;": "&amp;tblCost[QuantityRequired],
(tblCost[TargetID]=tblTargetStatus[[#This Row],[TargetID]])*
(tblCost[PlayerPaid]=FALSE),
""
)
)</f>
        <v/>
      </c>
      <c r="Z3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2" t="str" cm="1">
        <f t="array" ref="AA34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43" spans="1:27">
      <c r="A343" t="s">
        <v>2536</v>
      </c>
      <c r="B343" t="str">
        <f>_xlfn.XLOOKUP(tblTargetStatus[[#This Row],[TargetID]],tblTargets[TargetID],tblTargets[DisplayName],"")</f>
        <v>Silk Road Finished</v>
      </c>
      <c r="C343" t="str">
        <f>IF(tblTargetStatus[[#This Row],[PlayerCompleted]],"COMPLETED",IF(tblTargetStatus[[#This Row],[MissingDependencies]]=0,"READY","BLOCKED"))</f>
        <v>BLOCKED</v>
      </c>
      <c r="D3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3" t="str">
        <f>_xlfn.XLOOKUP(tblTargetStatus[[#This Row],[TargetID]],tblTargets[TargetID],tblTargets[TargetType],"")</f>
        <v>QUEST</v>
      </c>
      <c r="F343" t="str">
        <f>_xlfn.XLOOKUP(tblTargetStatus[[#This Row],[TargetID]],tblTargets[TargetID],tblTargets[StateType])</f>
        <v/>
      </c>
      <c r="G343">
        <f>_xlfn.LET(
_xlpm.id,tblTargetStatus[[#This Row],[TargetID]],
_xlpm.depCount,COUNTIF(tblDependencies[TargetID],_xlpm.id),
_xlpm.objCount,COUNTIF(tblQuestObjectives[QuestTargetID],_xlpm.id),
_xlpm.depCount+_xlpm.objCount
)</f>
        <v>9</v>
      </c>
      <c r="H343">
        <f>tblTargetStatus[[#This Row],[DependencyCount]]</f>
        <v>9</v>
      </c>
      <c r="I343" cm="1">
        <f t="array" ref="I3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3">
        <f>tblTargetStatus[[#This Row],[CompletedDependencyCount]]</f>
        <v>0</v>
      </c>
      <c r="K343" t="b">
        <f>tblTargetStatus[[#This Row],[CompletedDependencies]]=tblTargetStatus[[#This Row],[TotalDependencies]]</f>
        <v>0</v>
      </c>
      <c r="L343">
        <f>tblTargetStatus[[#This Row],[TotalDependencies]]-tblTargetStatus[[#This Row],[CompletedDependencies]]</f>
        <v>9</v>
      </c>
      <c r="M343" t="str" cm="1">
        <f t="array" ref="M3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343" t="str">
        <f>IF(tblTargetStatus[[#This Row],[FirstMissingDependencyID]]="","",_xlfn.XLOOKUP(tblTargetStatus[[#This Row],[FirstMissingDependencyID]],tblTargets[TargetID],tblTargets[DisplayName],tblTargetStatus[[#This Row],[FirstMissingDependencyID]]))</f>
        <v>Silk Road Accepted</v>
      </c>
      <c r="O343" s="2" cm="1">
        <f t="array" ref="O3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3" t="str">
        <f>IF(tblTargetStatus[[#This Row],[FirstMissingDependencyID]]="","",_xlfn.XLOOKUP(tblTargetStatus[[#This Row],[FirstMissingDependencyID]],tblTargetStatus[TargetID],tblTargetStatus[Status],""))</f>
        <v>BLOCKED</v>
      </c>
      <c r="Q343" t="str">
        <f>IF(
 tblTargetStatus[[#This Row],[Status]]&lt;&gt;"BLOCKED",
 tblTargetStatus[[#This Row],[Status]],
 IF(
  AND(
   tblTargetStatus[[#This Row],[MissingDependencies]]=1,
   tblTargetStatus[[#This Row],[FirstMissingStatus]]="READY"
  ),
  "ONE AWAY",
  "BLOCKED"
 )
)</f>
        <v>BLOCKED</v>
      </c>
      <c r="R343">
        <f>IF(
 OR(
  tblTargetStatus[[#This Row],[StateType]]="CHARACTER",
  RIGHT(tblTargetStatus[[#This Row],[TargetID]],6)=".maxed"
 ),
 0,
 _xlfn.LET(
  _xlpm.sort,
   _xlfn.XLOOKUP(
    tblTargetStatus[[#This Row],[TargetID]],
    tblChecklist[TargetID],
    tblChecklist[PlayerSort],
    0
   ),
  IF(_xlpm.sort=0,500,_xlpm.sort)
 )
)</f>
        <v>500</v>
      </c>
      <c r="S343" t="str" cm="1">
        <f t="array" ref="S34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43" t="str">
        <f>_xlfn.XLOOKUP(tblTargetStatus[[#This Row],[TargetID]],tblTargets[TargetID],tblTargets[CompletionMethod],"")</f>
        <v>PLAYER</v>
      </c>
      <c r="U343" t="b">
        <f>COUNTIF(
    tblCost[TargetID],
    tblTargetStatus[[#This Row],[TargetID]]
)&gt;0</f>
        <v>0</v>
      </c>
      <c r="V343" s="81" t="str">
        <f>IF(tblTargetStatus[[#This Row],[HasCost]]=FALSE,
"N/A",
_xlfn.XLOOKUP(
tblTargetStatus[[#This Row],[TargetID]],
tblCost[TargetID],
tblCost[FundingPercent],
""
)
)</f>
        <v>N/A</v>
      </c>
      <c r="W343" t="str">
        <f>IF(
COUNTIF(tblCost[TargetID],tblTargetStatus[[#This Row],[TargetID]])=0,
"",
_xlfn.XLOOKUP(
tblTargetStatus[[#This Row],[TargetID]],
tblCost[TargetID],
tblCost[RemainingRequirements],
""
)
)</f>
        <v/>
      </c>
      <c r="X343" s="79" t="str">
        <f>IF(tblTargetStatus[[#This Row],[HasCost]]=FALSE,"N/A",_xlfn.XLOOKUP(
tblTargetStatus[[#This Row],[TargetID]],
tblCost[TargetID],
tblCost[TargetFunded],
TRUE
))</f>
        <v>N/A</v>
      </c>
      <c r="Y343" t="str" cm="1">
        <f t="array" ref="Y343">_xlfn.TEXTJOIN(
", ",
TRUE,
_xlfn._xlws.FILTER(
tblCost[ResourceID]&amp;": "&amp;tblCost[QuantityRequired],
(tblCost[TargetID]=tblTargetStatus[[#This Row],[TargetID]])*
(tblCost[PlayerPaid]=FALSE),
""
)
)</f>
        <v/>
      </c>
      <c r="Z3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3" t="str" cm="1">
        <f t="array" ref="AA34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44" spans="1:27">
      <c r="A344" t="s">
        <v>2414</v>
      </c>
      <c r="B344" t="str">
        <f>_xlfn.XLOOKUP(tblTargetStatus[[#This Row],[TargetID]],tblTargets[TargetID],tblTargets[DisplayName],"")</f>
        <v>Spicy Odyssey Accepted</v>
      </c>
      <c r="C344" t="str">
        <f>IF(tblTargetStatus[[#This Row],[PlayerCompleted]],"COMPLETED",IF(tblTargetStatus[[#This Row],[MissingDependencies]]=0,"READY","BLOCKED"))</f>
        <v>BLOCKED</v>
      </c>
      <c r="D3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4" t="str">
        <f>_xlfn.XLOOKUP(tblTargetStatus[[#This Row],[TargetID]],tblTargets[TargetID],tblTargets[TargetType],"")</f>
        <v>QUEST</v>
      </c>
      <c r="F344" t="str">
        <f>_xlfn.XLOOKUP(tblTargetStatus[[#This Row],[TargetID]],tblTargets[TargetID],tblTargets[StateType])</f>
        <v/>
      </c>
      <c r="G344">
        <f>_xlfn.LET(
_xlpm.id,tblTargetStatus[[#This Row],[TargetID]],
_xlpm.depCount,COUNTIF(tblDependencies[TargetID],_xlpm.id),
_xlpm.objCount,COUNTIF(tblQuestObjectives[QuestTargetID],_xlpm.id),
_xlpm.depCount+_xlpm.objCount
)</f>
        <v>1</v>
      </c>
      <c r="H344">
        <f>tblTargetStatus[[#This Row],[DependencyCount]]</f>
        <v>1</v>
      </c>
      <c r="I344" cm="1">
        <f t="array" ref="I3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4">
        <f>tblTargetStatus[[#This Row],[CompletedDependencyCount]]</f>
        <v>0</v>
      </c>
      <c r="K344" t="b">
        <f>tblTargetStatus[[#This Row],[CompletedDependencies]]=tblTargetStatus[[#This Row],[TotalDependencies]]</f>
        <v>0</v>
      </c>
      <c r="L344">
        <f>tblTargetStatus[[#This Row],[TotalDependencies]]-tblTargetStatus[[#This Row],[CompletedDependencies]]</f>
        <v>1</v>
      </c>
      <c r="M344" t="str" cm="1">
        <f t="array" ref="M3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building.ship@1</v>
      </c>
      <c r="N344" t="str">
        <f>IF(tblTargetStatus[[#This Row],[FirstMissingDependencyID]]="","",_xlfn.XLOOKUP(tblTargetStatus[[#This Row],[FirstMissingDependencyID]],tblTargets[TargetID],tblTargets[DisplayName],tblTargetStatus[[#This Row],[FirstMissingDependencyID]]))</f>
        <v>Ship Lv 1</v>
      </c>
      <c r="O344" s="2" cm="1">
        <f t="array" ref="O3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4" t="str">
        <f>IF(tblTargetStatus[[#This Row],[FirstMissingDependencyID]]="","",_xlfn.XLOOKUP(tblTargetStatus[[#This Row],[FirstMissingDependencyID]],tblTargetStatus[TargetID],tblTargetStatus[Status],""))</f>
        <v>BLOCKED</v>
      </c>
      <c r="Q344" t="str">
        <f>IF(
 tblTargetStatus[[#This Row],[Status]]&lt;&gt;"BLOCKED",
 tblTargetStatus[[#This Row],[Status]],
 IF(
  AND(
   tblTargetStatus[[#This Row],[MissingDependencies]]=1,
   tblTargetStatus[[#This Row],[FirstMissingStatus]]="READY"
  ),
  "ONE AWAY",
  "BLOCKED"
 )
)</f>
        <v>BLOCKED</v>
      </c>
      <c r="R344">
        <f>IF(
 OR(
  tblTargetStatus[[#This Row],[StateType]]="CHARACTER",
  RIGHT(tblTargetStatus[[#This Row],[TargetID]],6)=".maxed"
 ),
 0,
 _xlfn.LET(
  _xlpm.sort,
   _xlfn.XLOOKUP(
    tblTargetStatus[[#This Row],[TargetID]],
    tblChecklist[TargetID],
    tblChecklist[PlayerSort],
    0
   ),
  IF(_xlpm.sort=0,500,_xlpm.sort)
 )
)</f>
        <v>500</v>
      </c>
      <c r="S344" t="str" cm="1">
        <f t="array" ref="S34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Spicy Odyssey Finished, Obtain Spices from Spice Island</v>
      </c>
      <c r="T344" t="str">
        <f>_xlfn.XLOOKUP(tblTargetStatus[[#This Row],[TargetID]],tblTargets[TargetID],tblTargets[CompletionMethod],"")</f>
        <v>PLAYER</v>
      </c>
      <c r="U344" t="b">
        <f>COUNTIF(
    tblCost[TargetID],
    tblTargetStatus[[#This Row],[TargetID]]
)&gt;0</f>
        <v>0</v>
      </c>
      <c r="V344" s="81" t="str">
        <f>IF(tblTargetStatus[[#This Row],[HasCost]]=FALSE,
"N/A",
_xlfn.XLOOKUP(
tblTargetStatus[[#This Row],[TargetID]],
tblCost[TargetID],
tblCost[FundingPercent],
""
)
)</f>
        <v>N/A</v>
      </c>
      <c r="W344" t="str">
        <f>IF(
COUNTIF(tblCost[TargetID],tblTargetStatus[[#This Row],[TargetID]])=0,
"",
_xlfn.XLOOKUP(
tblTargetStatus[[#This Row],[TargetID]],
tblCost[TargetID],
tblCost[RemainingRequirements],
""
)
)</f>
        <v/>
      </c>
      <c r="X344" s="79" t="str">
        <f>IF(tblTargetStatus[[#This Row],[HasCost]]=FALSE,"N/A",_xlfn.XLOOKUP(
tblTargetStatus[[#This Row],[TargetID]],
tblCost[TargetID],
tblCost[TargetFunded],
TRUE
))</f>
        <v>N/A</v>
      </c>
      <c r="Y344" t="str" cm="1">
        <f t="array" ref="Y344">_xlfn.TEXTJOIN(
", ",
TRUE,
_xlfn._xlws.FILTER(
tblCost[ResourceID]&amp;": "&amp;tblCost[QuantityRequired],
(tblCost[TargetID]=tblTargetStatus[[#This Row],[TargetID]])*
(tblCost[PlayerPaid]=FALSE),
""
)
)</f>
        <v/>
      </c>
      <c r="Z3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4" t="str" cm="1">
        <f t="array" ref="AA34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45" spans="1:27">
      <c r="A345" t="s">
        <v>2538</v>
      </c>
      <c r="B345" t="str">
        <f>_xlfn.XLOOKUP(tblTargetStatus[[#This Row],[TargetID]],tblTargets[TargetID],tblTargets[DisplayName],"")</f>
        <v>Spicy Odyssey Finished</v>
      </c>
      <c r="C345" t="str">
        <f>IF(tblTargetStatus[[#This Row],[PlayerCompleted]],"COMPLETED",IF(tblTargetStatus[[#This Row],[MissingDependencies]]=0,"READY","BLOCKED"))</f>
        <v>BLOCKED</v>
      </c>
      <c r="D3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5" t="str">
        <f>_xlfn.XLOOKUP(tblTargetStatus[[#This Row],[TargetID]],tblTargets[TargetID],tblTargets[TargetType],"")</f>
        <v>QUEST</v>
      </c>
      <c r="F345" t="str">
        <f>_xlfn.XLOOKUP(tblTargetStatus[[#This Row],[TargetID]],tblTargets[TargetID],tblTargets[StateType])</f>
        <v/>
      </c>
      <c r="G345">
        <f>_xlfn.LET(
_xlpm.id,tblTargetStatus[[#This Row],[TargetID]],
_xlpm.depCount,COUNTIF(tblDependencies[TargetID],_xlpm.id),
_xlpm.objCount,COUNTIF(tblQuestObjectives[QuestTargetID],_xlpm.id),
_xlpm.depCount+_xlpm.objCount
)</f>
        <v>3</v>
      </c>
      <c r="H345">
        <f>tblTargetStatus[[#This Row],[DependencyCount]]</f>
        <v>3</v>
      </c>
      <c r="I345" cm="1">
        <f t="array" ref="I3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5">
        <f>tblTargetStatus[[#This Row],[CompletedDependencyCount]]</f>
        <v>0</v>
      </c>
      <c r="K345" t="b">
        <f>tblTargetStatus[[#This Row],[CompletedDependencies]]=tblTargetStatus[[#This Row],[TotalDependencies]]</f>
        <v>0</v>
      </c>
      <c r="L345">
        <f>tblTargetStatus[[#This Row],[TotalDependencies]]-tblTargetStatus[[#This Row],[CompletedDependencies]]</f>
        <v>3</v>
      </c>
      <c r="M345" t="str" cm="1">
        <f t="array" ref="M3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quest.spicy_odyssey.accepted</v>
      </c>
      <c r="N345" t="str">
        <f>IF(tblTargetStatus[[#This Row],[FirstMissingDependencyID]]="","",_xlfn.XLOOKUP(tblTargetStatus[[#This Row],[FirstMissingDependencyID]],tblTargets[TargetID],tblTargets[DisplayName],tblTargetStatus[[#This Row],[FirstMissingDependencyID]]))</f>
        <v>Spicy Odyssey Accepted</v>
      </c>
      <c r="O345" s="2" cm="1">
        <f t="array" ref="O3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5" t="str">
        <f>IF(tblTargetStatus[[#This Row],[FirstMissingDependencyID]]="","",_xlfn.XLOOKUP(tblTargetStatus[[#This Row],[FirstMissingDependencyID]],tblTargetStatus[TargetID],tblTargetStatus[Status],""))</f>
        <v>BLOCKED</v>
      </c>
      <c r="Q345" t="str">
        <f>IF(
 tblTargetStatus[[#This Row],[Status]]&lt;&gt;"BLOCKED",
 tblTargetStatus[[#This Row],[Status]],
 IF(
  AND(
   tblTargetStatus[[#This Row],[MissingDependencies]]=1,
   tblTargetStatus[[#This Row],[FirstMissingStatus]]="READY"
  ),
  "ONE AWAY",
  "BLOCKED"
 )
)</f>
        <v>BLOCKED</v>
      </c>
      <c r="R345">
        <f>IF(
 OR(
  tblTargetStatus[[#This Row],[StateType]]="CHARACTER",
  RIGHT(tblTargetStatus[[#This Row],[TargetID]],6)=".maxed"
 ),
 0,
 _xlfn.LET(
  _xlpm.sort,
   _xlfn.XLOOKUP(
    tblTargetStatus[[#This Row],[TargetID]],
    tblChecklist[TargetID],
    tblChecklist[PlayerSort],
    0
   ),
  IF(_xlpm.sort=0,500,_xlpm.sort)
 )
)</f>
        <v>500</v>
      </c>
      <c r="S345" t="str" cm="1">
        <f t="array" ref="S34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Treasure Island Accepted, Meet Pirate Skeleton@3A</v>
      </c>
      <c r="T345" t="str">
        <f>_xlfn.XLOOKUP(tblTargetStatus[[#This Row],[TargetID]],tblTargets[TargetID],tblTargets[CompletionMethod],"")</f>
        <v>PLAYER</v>
      </c>
      <c r="U345" t="b">
        <f>COUNTIF(
    tblCost[TargetID],
    tblTargetStatus[[#This Row],[TargetID]]
)&gt;0</f>
        <v>0</v>
      </c>
      <c r="V345" s="81" t="str">
        <f>IF(tblTargetStatus[[#This Row],[HasCost]]=FALSE,
"N/A",
_xlfn.XLOOKUP(
tblTargetStatus[[#This Row],[TargetID]],
tblCost[TargetID],
tblCost[FundingPercent],
""
)
)</f>
        <v>N/A</v>
      </c>
      <c r="W345" t="str">
        <f>IF(
COUNTIF(tblCost[TargetID],tblTargetStatus[[#This Row],[TargetID]])=0,
"",
_xlfn.XLOOKUP(
tblTargetStatus[[#This Row],[TargetID]],
tblCost[TargetID],
tblCost[RemainingRequirements],
""
)
)</f>
        <v/>
      </c>
      <c r="X345" s="79" t="str">
        <f>IF(tblTargetStatus[[#This Row],[HasCost]]=FALSE,"N/A",_xlfn.XLOOKUP(
tblTargetStatus[[#This Row],[TargetID]],
tblCost[TargetID],
tblCost[TargetFunded],
TRUE
))</f>
        <v>N/A</v>
      </c>
      <c r="Y345" t="str" cm="1">
        <f t="array" ref="Y345">_xlfn.TEXTJOIN(
", ",
TRUE,
_xlfn._xlws.FILTER(
tblCost[ResourceID]&amp;": "&amp;tblCost[QuantityRequired],
(tblCost[TargetID]=tblTargetStatus[[#This Row],[TargetID]])*
(tblCost[PlayerPaid]=FALSE),
""
)
)</f>
        <v/>
      </c>
      <c r="Z3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5" t="str" cm="1">
        <f t="array" ref="AA34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Treasure Island</v>
      </c>
    </row>
    <row r="346" spans="1:27">
      <c r="A346" t="s">
        <v>2417</v>
      </c>
      <c r="B346" t="str">
        <f>_xlfn.XLOOKUP(tblTargetStatus[[#This Row],[TargetID]],tblTargets[TargetID],tblTargets[DisplayName],"")</f>
        <v>The Ordinary Days of an Adventurer Chapter 1 Accepted</v>
      </c>
      <c r="C346" t="str">
        <f>IF(tblTargetStatus[[#This Row],[PlayerCompleted]],"COMPLETED",IF(tblTargetStatus[[#This Row],[MissingDependencies]]=0,"READY","BLOCKED"))</f>
        <v>BLOCKED</v>
      </c>
      <c r="D3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6" t="str">
        <f>_xlfn.XLOOKUP(tblTargetStatus[[#This Row],[TargetID]],tblTargets[TargetID],tblTargets[TargetType],"")</f>
        <v>QUEST</v>
      </c>
      <c r="F346" t="str">
        <f>_xlfn.XLOOKUP(tblTargetStatus[[#This Row],[TargetID]],tblTargets[TargetID],tblTargets[StateType])</f>
        <v/>
      </c>
      <c r="G346">
        <f>_xlfn.LET(
_xlpm.id,tblTargetStatus[[#This Row],[TargetID]],
_xlpm.depCount,COUNTIF(tblDependencies[TargetID],_xlpm.id),
_xlpm.objCount,COUNTIF(tblQuestObjectives[QuestTargetID],_xlpm.id),
_xlpm.depCount+_xlpm.objCount
)</f>
        <v>5</v>
      </c>
      <c r="H346">
        <f>tblTargetStatus[[#This Row],[DependencyCount]]</f>
        <v>5</v>
      </c>
      <c r="I346" cm="1">
        <f t="array" ref="I3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6">
        <f>tblTargetStatus[[#This Row],[CompletedDependencyCount]]</f>
        <v>0</v>
      </c>
      <c r="K346" t="b">
        <f>tblTargetStatus[[#This Row],[CompletedDependencies]]=tblTargetStatus[[#This Row],[TotalDependencies]]</f>
        <v>0</v>
      </c>
      <c r="L346">
        <f>tblTargetStatus[[#This Row],[TotalDependencies]]-tblTargetStatus[[#This Row],[CompletedDependencies]]</f>
        <v>5</v>
      </c>
      <c r="M346" t="str" cm="1">
        <f t="array" ref="M3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tech.smithy.sword_for_a_hero_lvl_4</v>
      </c>
      <c r="N346" t="str">
        <f>IF(tblTargetStatus[[#This Row],[FirstMissingDependencyID]]="","",_xlfn.XLOOKUP(tblTargetStatus[[#This Row],[FirstMissingDependencyID]],tblTargets[TargetID],tblTargets[DisplayName],tblTargetStatus[[#This Row],[FirstMissingDependencyID]]))</f>
        <v>Smithy - Sword For A Hero Lvl 4</v>
      </c>
      <c r="O346" cm="1">
        <f t="array" ref="O3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6" t="str">
        <f>IF(tblTargetStatus[[#This Row],[FirstMissingDependencyID]]="","",_xlfn.XLOOKUP(tblTargetStatus[[#This Row],[FirstMissingDependencyID]],tblTargetStatus[TargetID],tblTargetStatus[Status],""))</f>
        <v>BLOCKED</v>
      </c>
      <c r="Q346" t="str">
        <f>IF(
 tblTargetStatus[[#This Row],[Status]]&lt;&gt;"BLOCKED",
 tblTargetStatus[[#This Row],[Status]],
 IF(
  AND(
   tblTargetStatus[[#This Row],[MissingDependencies]]=1,
   tblTargetStatus[[#This Row],[FirstMissingStatus]]="READY"
  ),
  "ONE AWAY",
  "BLOCKED"
 )
)</f>
        <v>BLOCKED</v>
      </c>
      <c r="R346">
        <f>IF(
 OR(
  tblTargetStatus[[#This Row],[StateType]]="CHARACTER",
  RIGHT(tblTargetStatus[[#This Row],[TargetID]],6)=".maxed"
 ),
 0,
 _xlfn.LET(
  _xlpm.sort,
   _xlfn.XLOOKUP(
    tblTargetStatus[[#This Row],[TargetID]],
    tblChecklist[TargetID],
    tblChecklist[PlayerSort],
    0
   ),
  IF(_xlpm.sort=0,500,_xlpm.sort)
 )
)</f>
        <v>500</v>
      </c>
      <c r="S346" t="str" cm="1">
        <f t="array" ref="S34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Dungeon Lv 6, The Ordinary Days of an Adventurer Chapter 1 Finished, Find Goat in 6B</v>
      </c>
      <c r="T346" t="str">
        <f>_xlfn.XLOOKUP(tblTargetStatus[[#This Row],[TargetID]],tblTargets[TargetID],tblTargets[CompletionMethod],"")</f>
        <v>PLAYER</v>
      </c>
      <c r="U346" t="b">
        <f>COUNTIF(
    tblCost[TargetID],
    tblTargetStatus[[#This Row],[TargetID]]
)&gt;0</f>
        <v>0</v>
      </c>
      <c r="V346" s="81" t="str">
        <f>IF(tblTargetStatus[[#This Row],[HasCost]]=FALSE,
"N/A",
_xlfn.XLOOKUP(
tblTargetStatus[[#This Row],[TargetID]],
tblCost[TargetID],
tblCost[FundingPercent],
""
)
)</f>
        <v>N/A</v>
      </c>
      <c r="W346" t="str">
        <f>IF(
COUNTIF(tblCost[TargetID],tblTargetStatus[[#This Row],[TargetID]])=0,
"",
_xlfn.XLOOKUP(
tblTargetStatus[[#This Row],[TargetID]],
tblCost[TargetID],
tblCost[RemainingRequirements],
""
)
)</f>
        <v/>
      </c>
      <c r="X346" s="79" t="str">
        <f>IF(tblTargetStatus[[#This Row],[HasCost]]=FALSE,"N/A",_xlfn.XLOOKUP(
tblTargetStatus[[#This Row],[TargetID]],
tblCost[TargetID],
tblCost[TargetFunded],
TRUE
))</f>
        <v>N/A</v>
      </c>
      <c r="Y346" t="str" cm="1">
        <f t="array" ref="Y346">_xlfn.TEXTJOIN(
", ",
TRUE,
_xlfn._xlws.FILTER(
tblCost[ResourceID]&amp;": "&amp;tblCost[QuantityRequired],
(tblCost[TargetID]=tblTargetStatus[[#This Row],[TargetID]])*
(tblCost[PlayerPaid]=FALSE),
""
)
)</f>
        <v/>
      </c>
      <c r="Z3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6" t="str" cm="1">
        <f t="array" ref="AA34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47" spans="1:27">
      <c r="A347" t="s">
        <v>2540</v>
      </c>
      <c r="B347" t="str">
        <f>_xlfn.XLOOKUP(tblTargetStatus[[#This Row],[TargetID]],tblTargets[TargetID],tblTargets[DisplayName],"")</f>
        <v>The Ordinary Days of an Adventurer Chapter 1 Finished</v>
      </c>
      <c r="C347" t="str">
        <f>IF(tblTargetStatus[[#This Row],[PlayerCompleted]],"COMPLETED",IF(tblTargetStatus[[#This Row],[MissingDependencies]]=0,"READY","BLOCKED"))</f>
        <v>BLOCKED</v>
      </c>
      <c r="D3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7" t="str">
        <f>_xlfn.XLOOKUP(tblTargetStatus[[#This Row],[TargetID]],tblTargets[TargetID],tblTargets[TargetType],"")</f>
        <v>QUEST</v>
      </c>
      <c r="F347" t="str">
        <f>_xlfn.XLOOKUP(tblTargetStatus[[#This Row],[TargetID]],tblTargets[TargetID],tblTargets[StateType])</f>
        <v/>
      </c>
      <c r="G347">
        <f>_xlfn.LET(
_xlpm.id,tblTargetStatus[[#This Row],[TargetID]],
_xlpm.depCount,COUNTIF(tblDependencies[TargetID],_xlpm.id),
_xlpm.objCount,COUNTIF(tblQuestObjectives[QuestTargetID],_xlpm.id),
_xlpm.depCount+_xlpm.objCount
)</f>
        <v>2</v>
      </c>
      <c r="H347">
        <f>tblTargetStatus[[#This Row],[DependencyCount]]</f>
        <v>2</v>
      </c>
      <c r="I347" cm="1">
        <f t="array" ref="I3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7">
        <f>tblTargetStatus[[#This Row],[CompletedDependencyCount]]</f>
        <v>0</v>
      </c>
      <c r="K347" t="b">
        <f>tblTargetStatus[[#This Row],[CompletedDependencies]]=tblTargetStatus[[#This Row],[TotalDependencies]]</f>
        <v>0</v>
      </c>
      <c r="L347">
        <f>tblTargetStatus[[#This Row],[TotalDependencies]]-tblTargetStatus[[#This Row],[CompletedDependencies]]</f>
        <v>2</v>
      </c>
      <c r="M347" t="str" cm="1">
        <f t="array" ref="M3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quest.the_ordinary_days_of_an_adventurer_chapter_1.accepted</v>
      </c>
      <c r="N347" t="str">
        <f>IF(tblTargetStatus[[#This Row],[FirstMissingDependencyID]]="","",_xlfn.XLOOKUP(tblTargetStatus[[#This Row],[FirstMissingDependencyID]],tblTargets[TargetID],tblTargets[DisplayName],tblTargetStatus[[#This Row],[FirstMissingDependencyID]]))</f>
        <v>The Ordinary Days of an Adventurer Chapter 1 Accepted</v>
      </c>
      <c r="O347" s="2" cm="1">
        <f t="array" ref="O3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7" t="str">
        <f>IF(tblTargetStatus[[#This Row],[FirstMissingDependencyID]]="","",_xlfn.XLOOKUP(tblTargetStatus[[#This Row],[FirstMissingDependencyID]],tblTargetStatus[TargetID],tblTargetStatus[Status],""))</f>
        <v>BLOCKED</v>
      </c>
      <c r="Q347" t="str">
        <f>IF(
 tblTargetStatus[[#This Row],[Status]]&lt;&gt;"BLOCKED",
 tblTargetStatus[[#This Row],[Status]],
 IF(
  AND(
   tblTargetStatus[[#This Row],[MissingDependencies]]=1,
   tblTargetStatus[[#This Row],[FirstMissingStatus]]="READY"
  ),
  "ONE AWAY",
  "BLOCKED"
 )
)</f>
        <v>BLOCKED</v>
      </c>
      <c r="R347">
        <f>IF(
 OR(
  tblTargetStatus[[#This Row],[StateType]]="CHARACTER",
  RIGHT(tblTargetStatus[[#This Row],[TargetID]],6)=".maxed"
 ),
 0,
 _xlfn.LET(
  _xlpm.sort,
   _xlfn.XLOOKUP(
    tblTargetStatus[[#This Row],[TargetID]],
    tblChecklist[TargetID],
    tblChecklist[PlayerSort],
    0
   ),
  IF(_xlpm.sort=0,500,_xlpm.sort)
 )
)</f>
        <v>500</v>
      </c>
      <c r="S347" t="str" cm="1">
        <f t="array" ref="S34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47" t="str">
        <f>_xlfn.XLOOKUP(tblTargetStatus[[#This Row],[TargetID]],tblTargets[TargetID],tblTargets[CompletionMethod],"")</f>
        <v>PLAYER</v>
      </c>
      <c r="U347" t="b">
        <f>COUNTIF(
    tblCost[TargetID],
    tblTargetStatus[[#This Row],[TargetID]]
)&gt;0</f>
        <v>0</v>
      </c>
      <c r="V347" s="81" t="str">
        <f>IF(tblTargetStatus[[#This Row],[HasCost]]=FALSE,
"N/A",
_xlfn.XLOOKUP(
tblTargetStatus[[#This Row],[TargetID]],
tblCost[TargetID],
tblCost[FundingPercent],
""
)
)</f>
        <v>N/A</v>
      </c>
      <c r="W347" t="str">
        <f>IF(
COUNTIF(tblCost[TargetID],tblTargetStatus[[#This Row],[TargetID]])=0,
"",
_xlfn.XLOOKUP(
tblTargetStatus[[#This Row],[TargetID]],
tblCost[TargetID],
tblCost[RemainingRequirements],
""
)
)</f>
        <v/>
      </c>
      <c r="X347" s="79" t="str">
        <f>IF(tblTargetStatus[[#This Row],[HasCost]]=FALSE,"N/A",_xlfn.XLOOKUP(
tblTargetStatus[[#This Row],[TargetID]],
tblCost[TargetID],
tblCost[TargetFunded],
TRUE
))</f>
        <v>N/A</v>
      </c>
      <c r="Y347" t="str" cm="1">
        <f t="array" ref="Y347">_xlfn.TEXTJOIN(
", ",
TRUE,
_xlfn._xlws.FILTER(
tblCost[ResourceID]&amp;": "&amp;tblCost[QuantityRequired],
(tblCost[TargetID]=tblTargetStatus[[#This Row],[TargetID]])*
(tblCost[PlayerPaid]=FALSE),
""
)
)</f>
        <v/>
      </c>
      <c r="Z3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7" t="str" cm="1">
        <f t="array" ref="AA34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48" spans="1:27">
      <c r="A348" t="s">
        <v>2420</v>
      </c>
      <c r="B348" t="str">
        <f>_xlfn.XLOOKUP(tblTargetStatus[[#This Row],[TargetID]],tblTargets[TargetID],tblTargets[DisplayName],"")</f>
        <v>The Ordinary Days of an Adventurer Chapter 2 Accepted</v>
      </c>
      <c r="C348" t="str">
        <f>IF(tblTargetStatus[[#This Row],[PlayerCompleted]],"COMPLETED",IF(tblTargetStatus[[#This Row],[MissingDependencies]]=0,"READY","BLOCKED"))</f>
        <v>BLOCKED</v>
      </c>
      <c r="D3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8" t="str">
        <f>_xlfn.XLOOKUP(tblTargetStatus[[#This Row],[TargetID]],tblTargets[TargetID],tblTargets[TargetType],"")</f>
        <v>QUEST</v>
      </c>
      <c r="F348" t="str">
        <f>_xlfn.XLOOKUP(tblTargetStatus[[#This Row],[TargetID]],tblTargets[TargetID],tblTargets[StateType])</f>
        <v/>
      </c>
      <c r="G348">
        <f>_xlfn.LET(
_xlpm.id,tblTargetStatus[[#This Row],[TargetID]],
_xlpm.depCount,COUNTIF(tblDependencies[TargetID],_xlpm.id),
_xlpm.objCount,COUNTIF(tblQuestObjectives[QuestTargetID],_xlpm.id),
_xlpm.depCount+_xlpm.objCount
)</f>
        <v>2</v>
      </c>
      <c r="H348">
        <f>tblTargetStatus[[#This Row],[DependencyCount]]</f>
        <v>2</v>
      </c>
      <c r="I348" cm="1">
        <f t="array" ref="I3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8">
        <f>tblTargetStatus[[#This Row],[CompletedDependencyCount]]</f>
        <v>0</v>
      </c>
      <c r="K348" t="b">
        <f>tblTargetStatus[[#This Row],[CompletedDependencies]]=tblTargetStatus[[#This Row],[TotalDependencies]]</f>
        <v>0</v>
      </c>
      <c r="L348">
        <f>tblTargetStatus[[#This Row],[TotalDependencies]]-tblTargetStatus[[#This Row],[CompletedDependencies]]</f>
        <v>2</v>
      </c>
      <c r="M348" t="str" cm="1">
        <f t="array" ref="M3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quest.once_upon_a_forest_chapter_12.finished</v>
      </c>
      <c r="N348" t="str">
        <f>IF(tblTargetStatus[[#This Row],[FirstMissingDependencyID]]="","",_xlfn.XLOOKUP(tblTargetStatus[[#This Row],[FirstMissingDependencyID]],tblTargets[TargetID],tblTargets[DisplayName],tblTargetStatus[[#This Row],[FirstMissingDependencyID]]))</f>
        <v>Once Upon a Forest Chapter 12 Finished</v>
      </c>
      <c r="O348" t="str" cm="1">
        <f t="array" ref="O3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bamboo:25,soy:5,inarizushi:3</v>
      </c>
      <c r="P348" t="str">
        <f>IF(tblTargetStatus[[#This Row],[FirstMissingDependencyID]]="","",_xlfn.XLOOKUP(tblTargetStatus[[#This Row],[FirstMissingDependencyID]],tblTargetStatus[TargetID],tblTargetStatus[Status],""))</f>
        <v>BLOCKED</v>
      </c>
      <c r="Q348" t="str">
        <f>IF(
 tblTargetStatus[[#This Row],[Status]]&lt;&gt;"BLOCKED",
 tblTargetStatus[[#This Row],[Status]],
 IF(
  AND(
   tblTargetStatus[[#This Row],[MissingDependencies]]=1,
   tblTargetStatus[[#This Row],[FirstMissingStatus]]="READY"
  ),
  "ONE AWAY",
  "BLOCKED"
 )
)</f>
        <v>BLOCKED</v>
      </c>
      <c r="R348">
        <f>IF(
 OR(
  tblTargetStatus[[#This Row],[StateType]]="CHARACTER",
  RIGHT(tblTargetStatus[[#This Row],[TargetID]],6)=".maxed"
 ),
 0,
 _xlfn.LET(
  _xlpm.sort,
   _xlfn.XLOOKUP(
    tblTargetStatus[[#This Row],[TargetID]],
    tblChecklist[TargetID],
    tblChecklist[PlayerSort],
    0
   ),
  IF(_xlpm.sort=0,500,_xlpm.sort)
 )
)</f>
        <v>500</v>
      </c>
      <c r="S348" t="str" cm="1">
        <f t="array" ref="S34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2 Finished</v>
      </c>
      <c r="T348" t="str">
        <f>_xlfn.XLOOKUP(tblTargetStatus[[#This Row],[TargetID]],tblTargets[TargetID],tblTargets[CompletionMethod],"")</f>
        <v>PLAYER</v>
      </c>
      <c r="U348" t="b">
        <f>COUNTIF(
    tblCost[TargetID],
    tblTargetStatus[[#This Row],[TargetID]]
)&gt;0</f>
        <v>0</v>
      </c>
      <c r="V348" s="81" t="str">
        <f>IF(tblTargetStatus[[#This Row],[HasCost]]=FALSE,
"N/A",
_xlfn.XLOOKUP(
tblTargetStatus[[#This Row],[TargetID]],
tblCost[TargetID],
tblCost[FundingPercent],
""
)
)</f>
        <v>N/A</v>
      </c>
      <c r="W348" t="str">
        <f>IF(
COUNTIF(tblCost[TargetID],tblTargetStatus[[#This Row],[TargetID]])=0,
"",
_xlfn.XLOOKUP(
tblTargetStatus[[#This Row],[TargetID]],
tblCost[TargetID],
tblCost[RemainingRequirements],
""
)
)</f>
        <v/>
      </c>
      <c r="X348" s="79" t="str">
        <f>IF(tblTargetStatus[[#This Row],[HasCost]]=FALSE,"N/A",_xlfn.XLOOKUP(
tblTargetStatus[[#This Row],[TargetID]],
tblCost[TargetID],
tblCost[TargetFunded],
TRUE
))</f>
        <v>N/A</v>
      </c>
      <c r="Y348" t="str" cm="1">
        <f t="array" ref="Y348">_xlfn.TEXTJOIN(
", ",
TRUE,
_xlfn._xlws.FILTER(
tblCost[ResourceID]&amp;": "&amp;tblCost[QuantityRequired],
(tblCost[TargetID]=tblTargetStatus[[#This Row],[TargetID]])*
(tblCost[PlayerPaid]=FALSE),
""
)
)</f>
        <v/>
      </c>
      <c r="Z3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8" t="str" cm="1">
        <f t="array" ref="AA34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49" spans="1:27">
      <c r="A349" t="s">
        <v>2542</v>
      </c>
      <c r="B349" t="str">
        <f>_xlfn.XLOOKUP(tblTargetStatus[[#This Row],[TargetID]],tblTargets[TargetID],tblTargets[DisplayName],"")</f>
        <v>The Ordinary Days of an Adventurer Chapter 2 Finished</v>
      </c>
      <c r="C349" t="str">
        <f>IF(tblTargetStatus[[#This Row],[PlayerCompleted]],"COMPLETED",IF(tblTargetStatus[[#This Row],[MissingDependencies]]=0,"READY","BLOCKED"))</f>
        <v>BLOCKED</v>
      </c>
      <c r="D3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9" t="str">
        <f>_xlfn.XLOOKUP(tblTargetStatus[[#This Row],[TargetID]],tblTargets[TargetID],tblTargets[TargetType],"")</f>
        <v>QUEST</v>
      </c>
      <c r="F349" t="str">
        <f>_xlfn.XLOOKUP(tblTargetStatus[[#This Row],[TargetID]],tblTargets[TargetID],tblTargets[StateType])</f>
        <v/>
      </c>
      <c r="G349">
        <f>_xlfn.LET(
_xlpm.id,tblTargetStatus[[#This Row],[TargetID]],
_xlpm.depCount,COUNTIF(tblDependencies[TargetID],_xlpm.id),
_xlpm.objCount,COUNTIF(tblQuestObjectives[QuestTargetID],_xlpm.id),
_xlpm.depCount+_xlpm.objCount
)</f>
        <v>1</v>
      </c>
      <c r="H349">
        <f>tblTargetStatus[[#This Row],[DependencyCount]]</f>
        <v>1</v>
      </c>
      <c r="I349" cm="1">
        <f t="array" ref="I3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9">
        <f>tblTargetStatus[[#This Row],[CompletedDependencyCount]]</f>
        <v>0</v>
      </c>
      <c r="K349" t="b">
        <f>tblTargetStatus[[#This Row],[CompletedDependencies]]=tblTargetStatus[[#This Row],[TotalDependencies]]</f>
        <v>0</v>
      </c>
      <c r="L349">
        <f>tblTargetStatus[[#This Row],[TotalDependencies]]-tblTargetStatus[[#This Row],[CompletedDependencies]]</f>
        <v>1</v>
      </c>
      <c r="M349" t="str" cm="1">
        <f t="array" ref="M3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quest.the_ordinary_days_of_an_adventurer_chapter_2.accepted</v>
      </c>
      <c r="N349" t="str">
        <f>IF(tblTargetStatus[[#This Row],[FirstMissingDependencyID]]="","",_xlfn.XLOOKUP(tblTargetStatus[[#This Row],[FirstMissingDependencyID]],tblTargets[TargetID],tblTargets[DisplayName],tblTargetStatus[[#This Row],[FirstMissingDependencyID]]))</f>
        <v>The Ordinary Days of an Adventurer Chapter 2 Accepted</v>
      </c>
      <c r="O349" s="2" t="str" cm="1">
        <f t="array" ref="O3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bamboo:25,soy:5,inarizushi:3</v>
      </c>
      <c r="P349" t="str">
        <f>IF(tblTargetStatus[[#This Row],[FirstMissingDependencyID]]="","",_xlfn.XLOOKUP(tblTargetStatus[[#This Row],[FirstMissingDependencyID]],tblTargetStatus[TargetID],tblTargetStatus[Status],""))</f>
        <v>BLOCKED</v>
      </c>
      <c r="Q349" t="str">
        <f>IF(
 tblTargetStatus[[#This Row],[Status]]&lt;&gt;"BLOCKED",
 tblTargetStatus[[#This Row],[Status]],
 IF(
  AND(
   tblTargetStatus[[#This Row],[MissingDependencies]]=1,
   tblTargetStatus[[#This Row],[FirstMissingStatus]]="READY"
  ),
  "ONE AWAY",
  "BLOCKED"
 )
)</f>
        <v>BLOCKED</v>
      </c>
      <c r="R349">
        <f>IF(
 OR(
  tblTargetStatus[[#This Row],[StateType]]="CHARACTER",
  RIGHT(tblTargetStatus[[#This Row],[TargetID]],6)=".maxed"
 ),
 0,
 _xlfn.LET(
  _xlpm.sort,
   _xlfn.XLOOKUP(
    tblTargetStatus[[#This Row],[TargetID]],
    tblChecklist[TargetID],
    tblChecklist[PlayerSort],
    0
   ),
  IF(_xlpm.sort=0,500,_xlpm.sort)
 )
)</f>
        <v>500</v>
      </c>
      <c r="S349" t="str" cm="1">
        <f t="array" ref="S34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3 Accepted, Meet Dark Lady@6A, Smithy - Sword For A Hero Lvl 4+, Workshop - Zen Fountain</v>
      </c>
      <c r="T349" t="str">
        <f>_xlfn.XLOOKUP(tblTargetStatus[[#This Row],[TargetID]],tblTargets[TargetID],tblTargets[CompletionMethod],"")</f>
        <v>PLAYER</v>
      </c>
      <c r="U349" t="b">
        <f>COUNTIF(
    tblCost[TargetID],
    tblTargetStatus[[#This Row],[TargetID]]
)&gt;0</f>
        <v>1</v>
      </c>
      <c r="V349" s="81">
        <f>IF(tblTargetStatus[[#This Row],[HasCost]]=FALSE,
"N/A",
_xlfn.XLOOKUP(
tblTargetStatus[[#This Row],[TargetID]],
tblCost[TargetID],
tblCost[FundingPercent],
""
)
)</f>
        <v>0</v>
      </c>
      <c r="W349">
        <f>IF(
COUNTIF(tblCost[TargetID],tblTargetStatus[[#This Row],[TargetID]])=0,
"",
_xlfn.XLOOKUP(
tblTargetStatus[[#This Row],[TargetID]],
tblCost[TargetID],
tblCost[RemainingRequirements],
""
)
)</f>
        <v>3</v>
      </c>
      <c r="X349" s="79" t="b">
        <f>IF(tblTargetStatus[[#This Row],[HasCost]]=FALSE,"N/A",_xlfn.XLOOKUP(
tblTargetStatus[[#This Row],[TargetID]],
tblCost[TargetID],
tblCost[TargetFunded],
TRUE
))</f>
        <v>0</v>
      </c>
      <c r="Y349" t="str" cm="1">
        <f t="array" ref="Y349">_xlfn.TEXTJOIN(
", ",
TRUE,
_xlfn._xlws.FILTER(
tblCost[ResourceID]&amp;": "&amp;tblCost[QuantityRequired],
(tblCost[TargetID]=tblTargetStatus[[#This Row],[TargetID]])*
(tblCost[PlayerPaid]=FALSE),
""
)
)</f>
        <v>bamboo: 25, soy: 5, inarizushi: 3</v>
      </c>
      <c r="Z3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9" t="str" cm="1">
        <f t="array" ref="AA34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3</v>
      </c>
    </row>
    <row r="350" spans="1:27">
      <c r="A350" t="s">
        <v>2423</v>
      </c>
      <c r="B350" t="str">
        <f>_xlfn.XLOOKUP(tblTargetStatus[[#This Row],[TargetID]],tblTargets[TargetID],tblTargets[DisplayName],"")</f>
        <v>The Ordinary Days of an Adventurer Chapter 3 Accepted</v>
      </c>
      <c r="C350" t="str">
        <f>IF(tblTargetStatus[[#This Row],[PlayerCompleted]],"COMPLETED",IF(tblTargetStatus[[#This Row],[MissingDependencies]]=0,"READY","BLOCKED"))</f>
        <v>BLOCKED</v>
      </c>
      <c r="D3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0" t="str">
        <f>_xlfn.XLOOKUP(tblTargetStatus[[#This Row],[TargetID]],tblTargets[TargetID],tblTargets[TargetType],"")</f>
        <v>QUEST</v>
      </c>
      <c r="F350" t="str">
        <f>_xlfn.XLOOKUP(tblTargetStatus[[#This Row],[TargetID]],tblTargets[TargetID],tblTargets[StateType])</f>
        <v/>
      </c>
      <c r="G350">
        <f>_xlfn.LET(
_xlpm.id,tblTargetStatus[[#This Row],[TargetID]],
_xlpm.depCount,COUNTIF(tblDependencies[TargetID],_xlpm.id),
_xlpm.objCount,COUNTIF(tblQuestObjectives[QuestTargetID],_xlpm.id),
_xlpm.depCount+_xlpm.objCount
)</f>
        <v>2</v>
      </c>
      <c r="H350">
        <f>tblTargetStatus[[#This Row],[DependencyCount]]</f>
        <v>2</v>
      </c>
      <c r="I350" cm="1">
        <f t="array" ref="I3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0">
        <f>tblTargetStatus[[#This Row],[CompletedDependencyCount]]</f>
        <v>0</v>
      </c>
      <c r="K350" t="b">
        <f>tblTargetStatus[[#This Row],[CompletedDependencies]]=tblTargetStatus[[#This Row],[TotalDependencies]]</f>
        <v>0</v>
      </c>
      <c r="L350">
        <f>tblTargetStatus[[#This Row],[TotalDependencies]]-tblTargetStatus[[#This Row],[CompletedDependencies]]</f>
        <v>2</v>
      </c>
      <c r="M350" t="str" cm="1">
        <f t="array" ref="M3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quest.the_ordinary_days_of_an_adventurer_chapter_2.finished</v>
      </c>
      <c r="N350" t="str">
        <f>IF(tblTargetStatus[[#This Row],[FirstMissingDependencyID]]="","",_xlfn.XLOOKUP(tblTargetStatus[[#This Row],[FirstMissingDependencyID]],tblTargets[TargetID],tblTargets[DisplayName],tblTargetStatus[[#This Row],[FirstMissingDependencyID]]))</f>
        <v>The Ordinary Days of an Adventurer Chapter 2 Finished</v>
      </c>
      <c r="O350" cm="1">
        <f t="array" ref="O3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0" t="str">
        <f>IF(tblTargetStatus[[#This Row],[FirstMissingDependencyID]]="","",_xlfn.XLOOKUP(tblTargetStatus[[#This Row],[FirstMissingDependencyID]],tblTargetStatus[TargetID],tblTargetStatus[Status],""))</f>
        <v>BLOCKED</v>
      </c>
      <c r="Q350" t="str">
        <f>IF(
 tblTargetStatus[[#This Row],[Status]]&lt;&gt;"BLOCKED",
 tblTargetStatus[[#This Row],[Status]],
 IF(
  AND(
   tblTargetStatus[[#This Row],[MissingDependencies]]=1,
   tblTargetStatus[[#This Row],[FirstMissingStatus]]="READY"
  ),
  "ONE AWAY",
  "BLOCKED"
 )
)</f>
        <v>BLOCKED</v>
      </c>
      <c r="R350">
        <f>IF(
 OR(
  tblTargetStatus[[#This Row],[StateType]]="CHARACTER",
  RIGHT(tblTargetStatus[[#This Row],[TargetID]],6)=".maxed"
 ),
 0,
 _xlfn.LET(
  _xlpm.sort,
   _xlfn.XLOOKUP(
    tblTargetStatus[[#This Row],[TargetID]],
    tblChecklist[TargetID],
    tblChecklist[PlayerSort],
    0
   ),
  IF(_xlpm.sort=0,500,_xlpm.sort)
 )
)</f>
        <v>500</v>
      </c>
      <c r="S350" t="str" cm="1">
        <f t="array" ref="S35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3 Finished, Obtain the Red Diamond in 6A, Obtain the Red Diamond in 6B, Obtain the Red Diamond in 6C, Workshop - Shield For A Hero Lvl 4+</v>
      </c>
      <c r="T350" t="str">
        <f>_xlfn.XLOOKUP(tblTargetStatus[[#This Row],[TargetID]],tblTargets[TargetID],tblTargets[CompletionMethod],"")</f>
        <v>PLAYER</v>
      </c>
      <c r="U350" t="b">
        <f>COUNTIF(
    tblCost[TargetID],
    tblTargetStatus[[#This Row],[TargetID]]
)&gt;0</f>
        <v>0</v>
      </c>
      <c r="V350" s="81" t="str">
        <f>IF(tblTargetStatus[[#This Row],[HasCost]]=FALSE,
"N/A",
_xlfn.XLOOKUP(
tblTargetStatus[[#This Row],[TargetID]],
tblCost[TargetID],
tblCost[FundingPercent],
""
)
)</f>
        <v>N/A</v>
      </c>
      <c r="W350" t="str">
        <f>IF(
COUNTIF(tblCost[TargetID],tblTargetStatus[[#This Row],[TargetID]])=0,
"",
_xlfn.XLOOKUP(
tblTargetStatus[[#This Row],[TargetID]],
tblCost[TargetID],
tblCost[RemainingRequirements],
""
)
)</f>
        <v/>
      </c>
      <c r="X350" s="79" t="str">
        <f>IF(tblTargetStatus[[#This Row],[HasCost]]=FALSE,"N/A",_xlfn.XLOOKUP(
tblTargetStatus[[#This Row],[TargetID]],
tblCost[TargetID],
tblCost[TargetFunded],
TRUE
))</f>
        <v>N/A</v>
      </c>
      <c r="Y350" t="str" cm="1">
        <f t="array" ref="Y350">_xlfn.TEXTJOIN(
", ",
TRUE,
_xlfn._xlws.FILTER(
tblCost[ResourceID]&amp;": "&amp;tblCost[QuantityRequired],
(tblCost[TargetID]=tblTargetStatus[[#This Row],[TargetID]])*
(tblCost[PlayerPaid]=FALSE),
""
)
)</f>
        <v/>
      </c>
      <c r="Z3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0" t="str" cm="1">
        <f t="array" ref="AA35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51" spans="1:27">
      <c r="A351" t="s">
        <v>2544</v>
      </c>
      <c r="B351" t="str">
        <f>_xlfn.XLOOKUP(tblTargetStatus[[#This Row],[TargetID]],tblTargets[TargetID],tblTargets[DisplayName],"")</f>
        <v>The Ordinary Days of an Adventurer Chapter 3 Finished</v>
      </c>
      <c r="C351" t="str">
        <f>IF(tblTargetStatus[[#This Row],[PlayerCompleted]],"COMPLETED",IF(tblTargetStatus[[#This Row],[MissingDependencies]]=0,"READY","BLOCKED"))</f>
        <v>BLOCKED</v>
      </c>
      <c r="D3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1" t="str">
        <f>_xlfn.XLOOKUP(tblTargetStatus[[#This Row],[TargetID]],tblTargets[TargetID],tblTargets[TargetType],"")</f>
        <v>QUEST</v>
      </c>
      <c r="F351" t="str">
        <f>_xlfn.XLOOKUP(tblTargetStatus[[#This Row],[TargetID]],tblTargets[TargetID],tblTargets[StateType])</f>
        <v/>
      </c>
      <c r="G351">
        <f>_xlfn.LET(
_xlpm.id,tblTargetStatus[[#This Row],[TargetID]],
_xlpm.depCount,COUNTIF(tblDependencies[TargetID],_xlpm.id),
_xlpm.objCount,COUNTIF(tblQuestObjectives[QuestTargetID],_xlpm.id),
_xlpm.depCount+_xlpm.objCount
)</f>
        <v>4</v>
      </c>
      <c r="H351">
        <f>tblTargetStatus[[#This Row],[DependencyCount]]</f>
        <v>4</v>
      </c>
      <c r="I351" cm="1">
        <f t="array" ref="I3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1">
        <f>tblTargetStatus[[#This Row],[CompletedDependencyCount]]</f>
        <v>0</v>
      </c>
      <c r="K351" t="b">
        <f>tblTargetStatus[[#This Row],[CompletedDependencies]]=tblTargetStatus[[#This Row],[TotalDependencies]]</f>
        <v>0</v>
      </c>
      <c r="L351">
        <f>tblTargetStatus[[#This Row],[TotalDependencies]]-tblTargetStatus[[#This Row],[CompletedDependencies]]</f>
        <v>4</v>
      </c>
      <c r="M351" t="str" cm="1">
        <f t="array" ref="M3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quest.the_ordinary_days_of_an_adventurer_chapter_3.accepted</v>
      </c>
      <c r="N351" t="str">
        <f>IF(tblTargetStatus[[#This Row],[FirstMissingDependencyID]]="","",_xlfn.XLOOKUP(tblTargetStatus[[#This Row],[FirstMissingDependencyID]],tblTargets[TargetID],tblTargets[DisplayName],tblTargetStatus[[#This Row],[FirstMissingDependencyID]]))</f>
        <v>The Ordinary Days of an Adventurer Chapter 3 Accepted</v>
      </c>
      <c r="O351" s="2" cm="1">
        <f t="array" ref="O3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1" t="str">
        <f>IF(tblTargetStatus[[#This Row],[FirstMissingDependencyID]]="","",_xlfn.XLOOKUP(tblTargetStatus[[#This Row],[FirstMissingDependencyID]],tblTargetStatus[TargetID],tblTargetStatus[Status],""))</f>
        <v>BLOCKED</v>
      </c>
      <c r="Q351" t="str">
        <f>IF(
 tblTargetStatus[[#This Row],[Status]]&lt;&gt;"BLOCKED",
 tblTargetStatus[[#This Row],[Status]],
 IF(
  AND(
   tblTargetStatus[[#This Row],[MissingDependencies]]=1,
   tblTargetStatus[[#This Row],[FirstMissingStatus]]="READY"
  ),
  "ONE AWAY",
  "BLOCKED"
 )
)</f>
        <v>BLOCKED</v>
      </c>
      <c r="R351">
        <f>IF(
 OR(
  tblTargetStatus[[#This Row],[StateType]]="CHARACTER",
  RIGHT(tblTargetStatus[[#This Row],[TargetID]],6)=".maxed"
 ),
 0,
 _xlfn.LET(
  _xlpm.sort,
   _xlfn.XLOOKUP(
    tblTargetStatus[[#This Row],[TargetID]],
    tblChecklist[TargetID],
    tblChecklist[PlayerSort],
    0
   ),
  IF(_xlpm.sort=0,500,_xlpm.sort)
 )
)</f>
        <v>500</v>
      </c>
      <c r="S351" t="str" cm="1">
        <f t="array" ref="S35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4 Accepted, Meet Dark Lady@6B, Smithy - Treasure</v>
      </c>
      <c r="T351" t="str">
        <f>_xlfn.XLOOKUP(tblTargetStatus[[#This Row],[TargetID]],tblTargets[TargetID],tblTargets[CompletionMethod],"")</f>
        <v>PLAYER</v>
      </c>
      <c r="U351" t="b">
        <f>COUNTIF(
    tblCost[TargetID],
    tblTargetStatus[[#This Row],[TargetID]]
)&gt;0</f>
        <v>0</v>
      </c>
      <c r="V351" s="81" t="str">
        <f>IF(tblTargetStatus[[#This Row],[HasCost]]=FALSE,
"N/A",
_xlfn.XLOOKUP(
tblTargetStatus[[#This Row],[TargetID]],
tblCost[TargetID],
tblCost[FundingPercent],
""
)
)</f>
        <v>N/A</v>
      </c>
      <c r="W351" t="str">
        <f>IF(
COUNTIF(tblCost[TargetID],tblTargetStatus[[#This Row],[TargetID]])=0,
"",
_xlfn.XLOOKUP(
tblTargetStatus[[#This Row],[TargetID]],
tblCost[TargetID],
tblCost[RemainingRequirements],
""
)
)</f>
        <v/>
      </c>
      <c r="X351" s="79" t="str">
        <f>IF(tblTargetStatus[[#This Row],[HasCost]]=FALSE,"N/A",_xlfn.XLOOKUP(
tblTargetStatus[[#This Row],[TargetID]],
tblCost[TargetID],
tblCost[TargetFunded],
TRUE
))</f>
        <v>N/A</v>
      </c>
      <c r="Y351" t="str" cm="1">
        <f t="array" ref="Y351">_xlfn.TEXTJOIN(
", ",
TRUE,
_xlfn._xlws.FILTER(
tblCost[ResourceID]&amp;": "&amp;tblCost[QuantityRequired],
(tblCost[TargetID]=tblTargetStatus[[#This Row],[TargetID]])*
(tblCost[PlayerPaid]=FALSE),
""
)
)</f>
        <v/>
      </c>
      <c r="Z3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1" t="str" cm="1">
        <f t="array" ref="AA35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4</v>
      </c>
    </row>
    <row r="352" spans="1:27">
      <c r="A352" t="s">
        <v>2426</v>
      </c>
      <c r="B352" t="str">
        <f>_xlfn.XLOOKUP(tblTargetStatus[[#This Row],[TargetID]],tblTargets[TargetID],tblTargets[DisplayName],"")</f>
        <v>The Ordinary Days of an Adventurer Chapter 4 Accepted</v>
      </c>
      <c r="C352" t="str">
        <f>IF(tblTargetStatus[[#This Row],[PlayerCompleted]],"COMPLETED",IF(tblTargetStatus[[#This Row],[MissingDependencies]]=0,"READY","BLOCKED"))</f>
        <v>BLOCKED</v>
      </c>
      <c r="D3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2" t="str">
        <f>_xlfn.XLOOKUP(tblTargetStatus[[#This Row],[TargetID]],tblTargets[TargetID],tblTargets[TargetType],"")</f>
        <v>QUEST</v>
      </c>
      <c r="F352" t="str">
        <f>_xlfn.XLOOKUP(tblTargetStatus[[#This Row],[TargetID]],tblTargets[TargetID],tblTargets[StateType])</f>
        <v/>
      </c>
      <c r="G352">
        <f>_xlfn.LET(
_xlpm.id,tblTargetStatus[[#This Row],[TargetID]],
_xlpm.depCount,COUNTIF(tblDependencies[TargetID],_xlpm.id),
_xlpm.objCount,COUNTIF(tblQuestObjectives[QuestTargetID],_xlpm.id),
_xlpm.depCount+_xlpm.objCount
)</f>
        <v>2</v>
      </c>
      <c r="H352">
        <f>tblTargetStatus[[#This Row],[DependencyCount]]</f>
        <v>2</v>
      </c>
      <c r="I352" cm="1">
        <f t="array" ref="I3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2">
        <f>tblTargetStatus[[#This Row],[CompletedDependencyCount]]</f>
        <v>0</v>
      </c>
      <c r="K352" t="b">
        <f>tblTargetStatus[[#This Row],[CompletedDependencies]]=tblTargetStatus[[#This Row],[TotalDependencies]]</f>
        <v>0</v>
      </c>
      <c r="L352">
        <f>tblTargetStatus[[#This Row],[TotalDependencies]]-tblTargetStatus[[#This Row],[CompletedDependencies]]</f>
        <v>2</v>
      </c>
      <c r="M352" t="str" cm="1">
        <f t="array" ref="M3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quest.the_ordinary_days_of_an_adventurer_chapter_3.finished</v>
      </c>
      <c r="N352" t="str">
        <f>IF(tblTargetStatus[[#This Row],[FirstMissingDependencyID]]="","",_xlfn.XLOOKUP(tblTargetStatus[[#This Row],[FirstMissingDependencyID]],tblTargets[TargetID],tblTargets[DisplayName],tblTargetStatus[[#This Row],[FirstMissingDependencyID]]))</f>
        <v>The Ordinary Days of an Adventurer Chapter 3 Finished</v>
      </c>
      <c r="O352" cm="1">
        <f t="array" ref="O3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2" t="str">
        <f>IF(tblTargetStatus[[#This Row],[FirstMissingDependencyID]]="","",_xlfn.XLOOKUP(tblTargetStatus[[#This Row],[FirstMissingDependencyID]],tblTargetStatus[TargetID],tblTargetStatus[Status],""))</f>
        <v>BLOCKED</v>
      </c>
      <c r="Q352" t="str">
        <f>IF(
 tblTargetStatus[[#This Row],[Status]]&lt;&gt;"BLOCKED",
 tblTargetStatus[[#This Row],[Status]],
 IF(
  AND(
   tblTargetStatus[[#This Row],[MissingDependencies]]=1,
   tblTargetStatus[[#This Row],[FirstMissingStatus]]="READY"
  ),
  "ONE AWAY",
  "BLOCKED"
 )
)</f>
        <v>BLOCKED</v>
      </c>
      <c r="R352">
        <f>IF(
 OR(
  tblTargetStatus[[#This Row],[StateType]]="CHARACTER",
  RIGHT(tblTargetStatus[[#This Row],[TargetID]],6)=".maxed"
 ),
 0,
 _xlfn.LET(
  _xlpm.sort,
   _xlfn.XLOOKUP(
    tblTargetStatus[[#This Row],[TargetID]],
    tblChecklist[TargetID],
    tblChecklist[PlayerSort],
    0
   ),
  IF(_xlpm.sort=0,500,_xlpm.sort)
 )
)</f>
        <v>500</v>
      </c>
      <c r="S352" t="str" cm="1">
        <f t="array" ref="S35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4 Finished, The Ordinary Days of an Adventurer Chapter 5 Accepted, Action Reenter Guild, Tailor - Armor For A Hero Lvl 4+</v>
      </c>
      <c r="T352" t="str">
        <f>_xlfn.XLOOKUP(tblTargetStatus[[#This Row],[TargetID]],tblTargets[TargetID],tblTargets[CompletionMethod],"")</f>
        <v>PLAYER</v>
      </c>
      <c r="U352" t="b">
        <f>COUNTIF(
    tblCost[TargetID],
    tblTargetStatus[[#This Row],[TargetID]]
)&gt;0</f>
        <v>0</v>
      </c>
      <c r="V352" s="81" t="str">
        <f>IF(tblTargetStatus[[#This Row],[HasCost]]=FALSE,
"N/A",
_xlfn.XLOOKUP(
tblTargetStatus[[#This Row],[TargetID]],
tblCost[TargetID],
tblCost[FundingPercent],
""
)
)</f>
        <v>N/A</v>
      </c>
      <c r="W352" t="str">
        <f>IF(
COUNTIF(tblCost[TargetID],tblTargetStatus[[#This Row],[TargetID]])=0,
"",
_xlfn.XLOOKUP(
tblTargetStatus[[#This Row],[TargetID]],
tblCost[TargetID],
tblCost[RemainingRequirements],
""
)
)</f>
        <v/>
      </c>
      <c r="X352" s="79" t="str">
        <f>IF(tblTargetStatus[[#This Row],[HasCost]]=FALSE,"N/A",_xlfn.XLOOKUP(
tblTargetStatus[[#This Row],[TargetID]],
tblCost[TargetID],
tblCost[TargetFunded],
TRUE
))</f>
        <v>N/A</v>
      </c>
      <c r="Y352" t="str" cm="1">
        <f t="array" ref="Y352">_xlfn.TEXTJOIN(
", ",
TRUE,
_xlfn._xlws.FILTER(
tblCost[ResourceID]&amp;": "&amp;tblCost[QuantityRequired],
(tblCost[TargetID]=tblTargetStatus[[#This Row],[TargetID]])*
(tblCost[PlayerPaid]=FALSE),
""
)
)</f>
        <v/>
      </c>
      <c r="Z3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2" t="str" cm="1">
        <f t="array" ref="AA35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5</v>
      </c>
    </row>
    <row r="353" spans="1:27">
      <c r="A353" t="s">
        <v>2546</v>
      </c>
      <c r="B353" t="str">
        <f>_xlfn.XLOOKUP(tblTargetStatus[[#This Row],[TargetID]],tblTargets[TargetID],tblTargets[DisplayName],"")</f>
        <v>The Ordinary Days of an Adventurer Chapter 4 Finished</v>
      </c>
      <c r="C353" t="str">
        <f>IF(tblTargetStatus[[#This Row],[PlayerCompleted]],"COMPLETED",IF(tblTargetStatus[[#This Row],[MissingDependencies]]=0,"READY","BLOCKED"))</f>
        <v>BLOCKED</v>
      </c>
      <c r="D3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3" t="str">
        <f>_xlfn.XLOOKUP(tblTargetStatus[[#This Row],[TargetID]],tblTargets[TargetID],tblTargets[TargetType],"")</f>
        <v>QUEST</v>
      </c>
      <c r="F353" t="str">
        <f>_xlfn.XLOOKUP(tblTargetStatus[[#This Row],[TargetID]],tblTargets[TargetID],tblTargets[StateType])</f>
        <v/>
      </c>
      <c r="G353">
        <f>_xlfn.LET(
_xlpm.id,tblTargetStatus[[#This Row],[TargetID]],
_xlpm.depCount,COUNTIF(tblDependencies[TargetID],_xlpm.id),
_xlpm.objCount,COUNTIF(tblQuestObjectives[QuestTargetID],_xlpm.id),
_xlpm.depCount+_xlpm.objCount
)</f>
        <v>4</v>
      </c>
      <c r="H353">
        <f>tblTargetStatus[[#This Row],[DependencyCount]]</f>
        <v>4</v>
      </c>
      <c r="I353" cm="1">
        <f t="array" ref="I3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3">
        <f>tblTargetStatus[[#This Row],[CompletedDependencyCount]]</f>
        <v>0</v>
      </c>
      <c r="K353" t="b">
        <f>tblTargetStatus[[#This Row],[CompletedDependencies]]=tblTargetStatus[[#This Row],[TotalDependencies]]</f>
        <v>0</v>
      </c>
      <c r="L353">
        <f>tblTargetStatus[[#This Row],[TotalDependencies]]-tblTargetStatus[[#This Row],[CompletedDependencies]]</f>
        <v>4</v>
      </c>
      <c r="M353" t="str" cm="1">
        <f t="array" ref="M3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quest.the_ordinary_days_of_an_adventurer_chapter_4.accepted</v>
      </c>
      <c r="N353" t="str">
        <f>IF(tblTargetStatus[[#This Row],[FirstMissingDependencyID]]="","",_xlfn.XLOOKUP(tblTargetStatus[[#This Row],[FirstMissingDependencyID]],tblTargets[TargetID],tblTargets[DisplayName],tblTargetStatus[[#This Row],[FirstMissingDependencyID]]))</f>
        <v>The Ordinary Days of an Adventurer Chapter 4 Accepted</v>
      </c>
      <c r="O353" s="2" cm="1">
        <f t="array" ref="O3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3" t="str">
        <f>IF(tblTargetStatus[[#This Row],[FirstMissingDependencyID]]="","",_xlfn.XLOOKUP(tblTargetStatus[[#This Row],[FirstMissingDependencyID]],tblTargetStatus[TargetID],tblTargetStatus[Status],""))</f>
        <v>BLOCKED</v>
      </c>
      <c r="Q353" t="str">
        <f>IF(
 tblTargetStatus[[#This Row],[Status]]&lt;&gt;"BLOCKED",
 tblTargetStatus[[#This Row],[Status]],
 IF(
  AND(
   tblTargetStatus[[#This Row],[MissingDependencies]]=1,
   tblTargetStatus[[#This Row],[FirstMissingStatus]]="READY"
  ),
  "ONE AWAY",
  "BLOCKED"
 )
)</f>
        <v>BLOCKED</v>
      </c>
      <c r="R353">
        <f>IF(
 OR(
  tblTargetStatus[[#This Row],[StateType]]="CHARACTER",
  RIGHT(tblTargetStatus[[#This Row],[TargetID]],6)=".maxed"
 ),
 0,
 _xlfn.LET(
  _xlpm.sort,
   _xlfn.XLOOKUP(
    tblTargetStatus[[#This Row],[TargetID]],
    tblChecklist[TargetID],
    tblChecklist[PlayerSort],
    0
   ),
  IF(_xlpm.sort=0,500,_xlpm.sort)
 )
)</f>
        <v>500</v>
      </c>
      <c r="S353" t="str" cm="1">
        <f t="array" ref="S35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7 Accepted, Furnace - Glass</v>
      </c>
      <c r="T353" t="str">
        <f>_xlfn.XLOOKUP(tblTargetStatus[[#This Row],[TargetID]],tblTargets[TargetID],tblTargets[CompletionMethod],"")</f>
        <v>PLAYER</v>
      </c>
      <c r="U353" t="b">
        <f>COUNTIF(
    tblCost[TargetID],
    tblTargetStatus[[#This Row],[TargetID]]
)&gt;0</f>
        <v>0</v>
      </c>
      <c r="V353" s="81" t="str">
        <f>IF(tblTargetStatus[[#This Row],[HasCost]]=FALSE,
"N/A",
_xlfn.XLOOKUP(
tblTargetStatus[[#This Row],[TargetID]],
tblCost[TargetID],
tblCost[FundingPercent],
""
)
)</f>
        <v>N/A</v>
      </c>
      <c r="W353" t="str">
        <f>IF(
COUNTIF(tblCost[TargetID],tblTargetStatus[[#This Row],[TargetID]])=0,
"",
_xlfn.XLOOKUP(
tblTargetStatus[[#This Row],[TargetID]],
tblCost[TargetID],
tblCost[RemainingRequirements],
""
)
)</f>
        <v/>
      </c>
      <c r="X353" s="79" t="str">
        <f>IF(tblTargetStatus[[#This Row],[HasCost]]=FALSE,"N/A",_xlfn.XLOOKUP(
tblTargetStatus[[#This Row],[TargetID]],
tblCost[TargetID],
tblCost[TargetFunded],
TRUE
))</f>
        <v>N/A</v>
      </c>
      <c r="Y353" t="str" cm="1">
        <f t="array" ref="Y353">_xlfn.TEXTJOIN(
", ",
TRUE,
_xlfn._xlws.FILTER(
tblCost[ResourceID]&amp;": "&amp;tblCost[QuantityRequired],
(tblCost[TargetID]=tblTargetStatus[[#This Row],[TargetID]])*
(tblCost[PlayerPaid]=FALSE),
""
)
)</f>
        <v/>
      </c>
      <c r="Z3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3" t="str" cm="1">
        <f t="array" ref="AA35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7</v>
      </c>
    </row>
    <row r="354" spans="1:27">
      <c r="A354" t="s">
        <v>2429</v>
      </c>
      <c r="B354" t="str">
        <f>_xlfn.XLOOKUP(tblTargetStatus[[#This Row],[TargetID]],tblTargets[TargetID],tblTargets[DisplayName],"")</f>
        <v>The Ordinary Days of an Adventurer Chapter 5 Accepted</v>
      </c>
      <c r="C354" t="str">
        <f>IF(tblTargetStatus[[#This Row],[PlayerCompleted]],"COMPLETED",IF(tblTargetStatus[[#This Row],[MissingDependencies]]=0,"READY","BLOCKED"))</f>
        <v>BLOCKED</v>
      </c>
      <c r="D3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4" t="str">
        <f>_xlfn.XLOOKUP(tblTargetStatus[[#This Row],[TargetID]],tblTargets[TargetID],tblTargets[TargetType],"")</f>
        <v>QUEST</v>
      </c>
      <c r="F354" t="str">
        <f>_xlfn.XLOOKUP(tblTargetStatus[[#This Row],[TargetID]],tblTargets[TargetID],tblTargets[StateType])</f>
        <v/>
      </c>
      <c r="G354">
        <f>_xlfn.LET(
_xlpm.id,tblTargetStatus[[#This Row],[TargetID]],
_xlpm.depCount,COUNTIF(tblDependencies[TargetID],_xlpm.id),
_xlpm.objCount,COUNTIF(tblQuestObjectives[QuestTargetID],_xlpm.id),
_xlpm.depCount+_xlpm.objCount
)</f>
        <v>2</v>
      </c>
      <c r="H354">
        <f>tblTargetStatus[[#This Row],[DependencyCount]]</f>
        <v>2</v>
      </c>
      <c r="I354" cm="1">
        <f t="array" ref="I3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4">
        <f>tblTargetStatus[[#This Row],[CompletedDependencyCount]]</f>
        <v>0</v>
      </c>
      <c r="K354" t="b">
        <f>tblTargetStatus[[#This Row],[CompletedDependencies]]=tblTargetStatus[[#This Row],[TotalDependencies]]</f>
        <v>0</v>
      </c>
      <c r="L354">
        <f>tblTargetStatus[[#This Row],[TotalDependencies]]-tblTargetStatus[[#This Row],[CompletedDependencies]]</f>
        <v>2</v>
      </c>
      <c r="M354" t="str" cm="1">
        <f t="array" ref="M3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quest.the_ordinary_days_of_an_adventurer_chapter_4.accepted</v>
      </c>
      <c r="N354" t="str">
        <f>IF(tblTargetStatus[[#This Row],[FirstMissingDependencyID]]="","",_xlfn.XLOOKUP(tblTargetStatus[[#This Row],[FirstMissingDependencyID]],tblTargets[TargetID],tblTargets[DisplayName],tblTargetStatus[[#This Row],[FirstMissingDependencyID]]))</f>
        <v>The Ordinary Days of an Adventurer Chapter 4 Accepted</v>
      </c>
      <c r="O354" t="str" cm="1">
        <f t="array" ref="O3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flour:150,egg:30,salmon:20,dates:20,oil:20</v>
      </c>
      <c r="P354" t="str">
        <f>IF(tblTargetStatus[[#This Row],[FirstMissingDependencyID]]="","",_xlfn.XLOOKUP(tblTargetStatus[[#This Row],[FirstMissingDependencyID]],tblTargetStatus[TargetID],tblTargetStatus[Status],""))</f>
        <v>BLOCKED</v>
      </c>
      <c r="Q354" t="str">
        <f>IF(
 tblTargetStatus[[#This Row],[Status]]&lt;&gt;"BLOCKED",
 tblTargetStatus[[#This Row],[Status]],
 IF(
  AND(
   tblTargetStatus[[#This Row],[MissingDependencies]]=1,
   tblTargetStatus[[#This Row],[FirstMissingStatus]]="READY"
  ),
  "ONE AWAY",
  "BLOCKED"
 )
)</f>
        <v>BLOCKED</v>
      </c>
      <c r="R354">
        <f>IF(
 OR(
  tblTargetStatus[[#This Row],[StateType]]="CHARACTER",
  RIGHT(tblTargetStatus[[#This Row],[TargetID]],6)=".maxed"
 ),
 0,
 _xlfn.LET(
  _xlpm.sort,
   _xlfn.XLOOKUP(
    tblTargetStatus[[#This Row],[TargetID]],
    tblChecklist[TargetID],
    tblChecklist[PlayerSort],
    0
   ),
  IF(_xlpm.sort=0,500,_xlpm.sort)
 )
)</f>
        <v>500</v>
      </c>
      <c r="S354" t="str" cm="1">
        <f t="array" ref="S35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5 Finished</v>
      </c>
      <c r="T354" t="str">
        <f>_xlfn.XLOOKUP(tblTargetStatus[[#This Row],[TargetID]],tblTargets[TargetID],tblTargets[CompletionMethod],"")</f>
        <v>PLAYER</v>
      </c>
      <c r="U354" t="b">
        <f>COUNTIF(
    tblCost[TargetID],
    tblTargetStatus[[#This Row],[TargetID]]
)&gt;0</f>
        <v>0</v>
      </c>
      <c r="V354" s="81" t="str">
        <f>IF(tblTargetStatus[[#This Row],[HasCost]]=FALSE,
"N/A",
_xlfn.XLOOKUP(
tblTargetStatus[[#This Row],[TargetID]],
tblCost[TargetID],
tblCost[FundingPercent],
""
)
)</f>
        <v>N/A</v>
      </c>
      <c r="W354" t="str">
        <f>IF(
COUNTIF(tblCost[TargetID],tblTargetStatus[[#This Row],[TargetID]])=0,
"",
_xlfn.XLOOKUP(
tblTargetStatus[[#This Row],[TargetID]],
tblCost[TargetID],
tblCost[RemainingRequirements],
""
)
)</f>
        <v/>
      </c>
      <c r="X354" s="79" t="str">
        <f>IF(tblTargetStatus[[#This Row],[HasCost]]=FALSE,"N/A",_xlfn.XLOOKUP(
tblTargetStatus[[#This Row],[TargetID]],
tblCost[TargetID],
tblCost[TargetFunded],
TRUE
))</f>
        <v>N/A</v>
      </c>
      <c r="Y354" t="str" cm="1">
        <f t="array" ref="Y354">_xlfn.TEXTJOIN(
", ",
TRUE,
_xlfn._xlws.FILTER(
tblCost[ResourceID]&amp;": "&amp;tblCost[QuantityRequired],
(tblCost[TargetID]=tblTargetStatus[[#This Row],[TargetID]])*
(tblCost[PlayerPaid]=FALSE),
""
)
)</f>
        <v/>
      </c>
      <c r="Z3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4" t="str" cm="1">
        <f t="array" ref="AA35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55" spans="1:27">
      <c r="A355" t="s">
        <v>2548</v>
      </c>
      <c r="B355" t="str">
        <f>_xlfn.XLOOKUP(tblTargetStatus[[#This Row],[TargetID]],tblTargets[TargetID],tblTargets[DisplayName],"")</f>
        <v>The Ordinary Days of an Adventurer Chapter 5 Finished</v>
      </c>
      <c r="C355" t="str">
        <f>IF(tblTargetStatus[[#This Row],[PlayerCompleted]],"COMPLETED",IF(tblTargetStatus[[#This Row],[MissingDependencies]]=0,"READY","BLOCKED"))</f>
        <v>BLOCKED</v>
      </c>
      <c r="D3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5" t="str">
        <f>_xlfn.XLOOKUP(tblTargetStatus[[#This Row],[TargetID]],tblTargets[TargetID],tblTargets[TargetType],"")</f>
        <v>QUEST</v>
      </c>
      <c r="F355" t="str">
        <f>_xlfn.XLOOKUP(tblTargetStatus[[#This Row],[TargetID]],tblTargets[TargetID],tblTargets[StateType])</f>
        <v/>
      </c>
      <c r="G355">
        <f>_xlfn.LET(
_xlpm.id,tblTargetStatus[[#This Row],[TargetID]],
_xlpm.depCount,COUNTIF(tblDependencies[TargetID],_xlpm.id),
_xlpm.objCount,COUNTIF(tblQuestObjectives[QuestTargetID],_xlpm.id),
_xlpm.depCount+_xlpm.objCount
)</f>
        <v>1</v>
      </c>
      <c r="H355">
        <f>tblTargetStatus[[#This Row],[DependencyCount]]</f>
        <v>1</v>
      </c>
      <c r="I355" cm="1">
        <f t="array" ref="I3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5">
        <f>tblTargetStatus[[#This Row],[CompletedDependencyCount]]</f>
        <v>0</v>
      </c>
      <c r="K355" t="b">
        <f>tblTargetStatus[[#This Row],[CompletedDependencies]]=tblTargetStatus[[#This Row],[TotalDependencies]]</f>
        <v>0</v>
      </c>
      <c r="L355">
        <f>tblTargetStatus[[#This Row],[TotalDependencies]]-tblTargetStatus[[#This Row],[CompletedDependencies]]</f>
        <v>1</v>
      </c>
      <c r="M355" t="str" cm="1">
        <f t="array" ref="M3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quest.the_ordinary_days_of_an_adventurer_chapter_5.accepted</v>
      </c>
      <c r="N355" t="str">
        <f>IF(tblTargetStatus[[#This Row],[FirstMissingDependencyID]]="","",_xlfn.XLOOKUP(tblTargetStatus[[#This Row],[FirstMissingDependencyID]],tblTargets[TargetID],tblTargets[DisplayName],tblTargetStatus[[#This Row],[FirstMissingDependencyID]]))</f>
        <v>The Ordinary Days of an Adventurer Chapter 5 Accepted</v>
      </c>
      <c r="O355" s="2" t="str" cm="1">
        <f t="array" ref="O3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flour:150,egg:30,salmon:20,dates:20,oil:20</v>
      </c>
      <c r="P355" t="str">
        <f>IF(tblTargetStatus[[#This Row],[FirstMissingDependencyID]]="","",_xlfn.XLOOKUP(tblTargetStatus[[#This Row],[FirstMissingDependencyID]],tblTargetStatus[TargetID],tblTargetStatus[Status],""))</f>
        <v>BLOCKED</v>
      </c>
      <c r="Q355" t="str">
        <f>IF(
 tblTargetStatus[[#This Row],[Status]]&lt;&gt;"BLOCKED",
 tblTargetStatus[[#This Row],[Status]],
 IF(
  AND(
   tblTargetStatus[[#This Row],[MissingDependencies]]=1,
   tblTargetStatus[[#This Row],[FirstMissingStatus]]="READY"
  ),
  "ONE AWAY",
  "BLOCKED"
 )
)</f>
        <v>BLOCKED</v>
      </c>
      <c r="R355">
        <f>IF(
 OR(
  tblTargetStatus[[#This Row],[StateType]]="CHARACTER",
  RIGHT(tblTargetStatus[[#This Row],[TargetID]],6)=".maxed"
 ),
 0,
 _xlfn.LET(
  _xlpm.sort,
   _xlfn.XLOOKUP(
    tblTargetStatus[[#This Row],[TargetID]],
    tblChecklist[TargetID],
    tblChecklist[PlayerSort],
    0
   ),
  IF(_xlpm.sort=0,500,_xlpm.sort)
 )
)</f>
        <v>500</v>
      </c>
      <c r="S355" t="str" cm="1">
        <f t="array" ref="S35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Dairy Lv 1</v>
      </c>
      <c r="T355" t="str">
        <f>_xlfn.XLOOKUP(tblTargetStatus[[#This Row],[TargetID]],tblTargets[TargetID],tblTargets[CompletionMethod],"")</f>
        <v>PLAYER</v>
      </c>
      <c r="U355" t="b">
        <f>COUNTIF(
    tblCost[TargetID],
    tblTargetStatus[[#This Row],[TargetID]]
)&gt;0</f>
        <v>1</v>
      </c>
      <c r="V355" s="81">
        <f>IF(tblTargetStatus[[#This Row],[HasCost]]=FALSE,
"N/A",
_xlfn.XLOOKUP(
tblTargetStatus[[#This Row],[TargetID]],
tblCost[TargetID],
tblCost[FundingPercent],
""
)
)</f>
        <v>0</v>
      </c>
      <c r="W355">
        <f>IF(
COUNTIF(tblCost[TargetID],tblTargetStatus[[#This Row],[TargetID]])=0,
"",
_xlfn.XLOOKUP(
tblTargetStatus[[#This Row],[TargetID]],
tblCost[TargetID],
tblCost[RemainingRequirements],
""
)
)</f>
        <v>5</v>
      </c>
      <c r="X355" s="79" t="b">
        <f>IF(tblTargetStatus[[#This Row],[HasCost]]=FALSE,"N/A",_xlfn.XLOOKUP(
tblTargetStatus[[#This Row],[TargetID]],
tblCost[TargetID],
tblCost[TargetFunded],
TRUE
))</f>
        <v>0</v>
      </c>
      <c r="Y355" t="str" cm="1">
        <f t="array" ref="Y355">_xlfn.TEXTJOIN(
", ",
TRUE,
_xlfn._xlws.FILTER(
tblCost[ResourceID]&amp;": "&amp;tblCost[QuantityRequired],
(tblCost[TargetID]=tblTargetStatus[[#This Row],[TargetID]])*
(tblCost[PlayerPaid]=FALSE),
""
)
)</f>
        <v>flour: 150, egg: 30, salmon: 20, dates: 20, oil: 20</v>
      </c>
      <c r="Z3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5" t="str" cm="1">
        <f t="array" ref="AA35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56" spans="1:27">
      <c r="A356" t="s">
        <v>2432</v>
      </c>
      <c r="B356" t="str">
        <f>_xlfn.XLOOKUP(tblTargetStatus[[#This Row],[TargetID]],tblTargets[TargetID],tblTargets[DisplayName],"")</f>
        <v>The Ordinary Days of an Adventurer Chapter 6 Accepted</v>
      </c>
      <c r="C356" t="str">
        <f>IF(tblTargetStatus[[#This Row],[PlayerCompleted]],"COMPLETED",IF(tblTargetStatus[[#This Row],[MissingDependencies]]=0,"READY","BLOCKED"))</f>
        <v>BLOCKED</v>
      </c>
      <c r="D3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6" t="str">
        <f>_xlfn.XLOOKUP(tblTargetStatus[[#This Row],[TargetID]],tblTargets[TargetID],tblTargets[TargetType],"")</f>
        <v>QUEST</v>
      </c>
      <c r="F356" t="str">
        <f>_xlfn.XLOOKUP(tblTargetStatus[[#This Row],[TargetID]],tblTargets[TargetID],tblTargets[StateType])</f>
        <v/>
      </c>
      <c r="G356">
        <f>_xlfn.LET(
_xlpm.id,tblTargetStatus[[#This Row],[TargetID]],
_xlpm.depCount,COUNTIF(tblDependencies[TargetID],_xlpm.id),
_xlpm.objCount,COUNTIF(tblQuestObjectives[QuestTargetID],_xlpm.id),
_xlpm.depCount+_xlpm.objCount
)</f>
        <v>2</v>
      </c>
      <c r="H356">
        <f>tblTargetStatus[[#This Row],[DependencyCount]]</f>
        <v>2</v>
      </c>
      <c r="I356" cm="1">
        <f t="array" ref="I3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6">
        <f>tblTargetStatus[[#This Row],[CompletedDependencyCount]]</f>
        <v>0</v>
      </c>
      <c r="K356" t="b">
        <f>tblTargetStatus[[#This Row],[CompletedDependencies]]=tblTargetStatus[[#This Row],[TotalDependencies]]</f>
        <v>0</v>
      </c>
      <c r="L356">
        <f>tblTargetStatus[[#This Row],[TotalDependencies]]-tblTargetStatus[[#This Row],[CompletedDependencies]]</f>
        <v>2</v>
      </c>
      <c r="M356" t="str" cm="1">
        <f t="array" ref="M3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building.dairy@2</v>
      </c>
      <c r="N356" t="str">
        <f>IF(tblTargetStatus[[#This Row],[FirstMissingDependencyID]]="","",_xlfn.XLOOKUP(tblTargetStatus[[#This Row],[FirstMissingDependencyID]],tblTargets[TargetID],tblTargets[DisplayName],tblTargetStatus[[#This Row],[FirstMissingDependencyID]]))</f>
        <v>Dairy Lv 2</v>
      </c>
      <c r="O356" t="str" cm="1">
        <f t="array" ref="O3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vintcheese:1</v>
      </c>
      <c r="P356" t="str">
        <f>IF(tblTargetStatus[[#This Row],[FirstMissingDependencyID]]="","",_xlfn.XLOOKUP(tblTargetStatus[[#This Row],[FirstMissingDependencyID]],tblTargetStatus[TargetID],tblTargetStatus[Status],""))</f>
        <v>BLOCKED</v>
      </c>
      <c r="Q356" t="str">
        <f>IF(
 tblTargetStatus[[#This Row],[Status]]&lt;&gt;"BLOCKED",
 tblTargetStatus[[#This Row],[Status]],
 IF(
  AND(
   tblTargetStatus[[#This Row],[MissingDependencies]]=1,
   tblTargetStatus[[#This Row],[FirstMissingStatus]]="READY"
  ),
  "ONE AWAY",
  "BLOCKED"
 )
)</f>
        <v>BLOCKED</v>
      </c>
      <c r="R356">
        <f>IF(
 OR(
  tblTargetStatus[[#This Row],[StateType]]="CHARACTER",
  RIGHT(tblTargetStatus[[#This Row],[TargetID]],6)=".maxed"
 ),
 0,
 _xlfn.LET(
  _xlpm.sort,
   _xlfn.XLOOKUP(
    tblTargetStatus[[#This Row],[TargetID]],
    tblChecklist[TargetID],
    tblChecklist[PlayerSort],
    0
   ),
  IF(_xlpm.sort=0,500,_xlpm.sort)
 )
)</f>
        <v>500</v>
      </c>
      <c r="S356" t="str" cm="1">
        <f t="array" ref="S35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Cheese Cave, The Ordinary Days of an Adventurer Chapter 6 Finished, Deliver Cheese to Rat in 6B</v>
      </c>
      <c r="T356" t="str">
        <f>_xlfn.XLOOKUP(tblTargetStatus[[#This Row],[TargetID]],tblTargets[TargetID],tblTargets[CompletionMethod],"")</f>
        <v>PLAYER</v>
      </c>
      <c r="U356" t="b">
        <f>COUNTIF(
    tblCost[TargetID],
    tblTargetStatus[[#This Row],[TargetID]]
)&gt;0</f>
        <v>0</v>
      </c>
      <c r="V356" s="81" t="str">
        <f>IF(tblTargetStatus[[#This Row],[HasCost]]=FALSE,
"N/A",
_xlfn.XLOOKUP(
tblTargetStatus[[#This Row],[TargetID]],
tblCost[TargetID],
tblCost[FundingPercent],
""
)
)</f>
        <v>N/A</v>
      </c>
      <c r="W356" t="str">
        <f>IF(
COUNTIF(tblCost[TargetID],tblTargetStatus[[#This Row],[TargetID]])=0,
"",
_xlfn.XLOOKUP(
tblTargetStatus[[#This Row],[TargetID]],
tblCost[TargetID],
tblCost[RemainingRequirements],
""
)
)</f>
        <v/>
      </c>
      <c r="X356" s="79" t="str">
        <f>IF(tblTargetStatus[[#This Row],[HasCost]]=FALSE,"N/A",_xlfn.XLOOKUP(
tblTargetStatus[[#This Row],[TargetID]],
tblCost[TargetID],
tblCost[TargetFunded],
TRUE
))</f>
        <v>N/A</v>
      </c>
      <c r="Y356" t="str" cm="1">
        <f t="array" ref="Y356">_xlfn.TEXTJOIN(
", ",
TRUE,
_xlfn._xlws.FILTER(
tblCost[ResourceID]&amp;": "&amp;tblCost[QuantityRequired],
(tblCost[TargetID]=tblTargetStatus[[#This Row],[TargetID]])*
(tblCost[PlayerPaid]=FALSE),
""
)
)</f>
        <v/>
      </c>
      <c r="Z3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6" t="str" cm="1">
        <f t="array" ref="AA35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57" spans="1:27">
      <c r="A357" t="s">
        <v>2550</v>
      </c>
      <c r="B357" t="str">
        <f>_xlfn.XLOOKUP(tblTargetStatus[[#This Row],[TargetID]],tblTargets[TargetID],tblTargets[DisplayName],"")</f>
        <v>The Ordinary Days of an Adventurer Chapter 6 Finished</v>
      </c>
      <c r="C357" t="str">
        <f>IF(tblTargetStatus[[#This Row],[PlayerCompleted]],"COMPLETED",IF(tblTargetStatus[[#This Row],[MissingDependencies]]=0,"READY","BLOCKED"))</f>
        <v>BLOCKED</v>
      </c>
      <c r="D3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7" t="str">
        <f>_xlfn.XLOOKUP(tblTargetStatus[[#This Row],[TargetID]],tblTargets[TargetID],tblTargets[TargetType],"")</f>
        <v>QUEST</v>
      </c>
      <c r="F357" t="str">
        <f>_xlfn.XLOOKUP(tblTargetStatus[[#This Row],[TargetID]],tblTargets[TargetID],tblTargets[StateType])</f>
        <v/>
      </c>
      <c r="G357">
        <f>_xlfn.LET(
_xlpm.id,tblTargetStatus[[#This Row],[TargetID]],
_xlpm.depCount,COUNTIF(tblDependencies[TargetID],_xlpm.id),
_xlpm.objCount,COUNTIF(tblQuestObjectives[QuestTargetID],_xlpm.id),
_xlpm.depCount+_xlpm.objCount
)</f>
        <v>2</v>
      </c>
      <c r="H357">
        <f>tblTargetStatus[[#This Row],[DependencyCount]]</f>
        <v>2</v>
      </c>
      <c r="I357" cm="1">
        <f t="array" ref="I3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7">
        <f>tblTargetStatus[[#This Row],[CompletedDependencyCount]]</f>
        <v>0</v>
      </c>
      <c r="K357" t="b">
        <f>tblTargetStatus[[#This Row],[CompletedDependencies]]=tblTargetStatus[[#This Row],[TotalDependencies]]</f>
        <v>0</v>
      </c>
      <c r="L357">
        <f>tblTargetStatus[[#This Row],[TotalDependencies]]-tblTargetStatus[[#This Row],[CompletedDependencies]]</f>
        <v>2</v>
      </c>
      <c r="M357" t="str" cm="1">
        <f t="array" ref="M3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quest.the_ordinary_days_of_an_adventurer_chapter_6.accepted</v>
      </c>
      <c r="N357" t="str">
        <f>IF(tblTargetStatus[[#This Row],[FirstMissingDependencyID]]="","",_xlfn.XLOOKUP(tblTargetStatus[[#This Row],[FirstMissingDependencyID]],tblTargets[TargetID],tblTargets[DisplayName],tblTargetStatus[[#This Row],[FirstMissingDependencyID]]))</f>
        <v>The Ordinary Days of an Adventurer Chapter 6 Accepted</v>
      </c>
      <c r="O357" s="2" t="str" cm="1">
        <f t="array" ref="O3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vintcheese:1</v>
      </c>
      <c r="P357" t="str">
        <f>IF(tblTargetStatus[[#This Row],[FirstMissingDependencyID]]="","",_xlfn.XLOOKUP(tblTargetStatus[[#This Row],[FirstMissingDependencyID]],tblTargetStatus[TargetID],tblTargetStatus[Status],""))</f>
        <v>BLOCKED</v>
      </c>
      <c r="Q357" t="str">
        <f>IF(
 tblTargetStatus[[#This Row],[Status]]&lt;&gt;"BLOCKED",
 tblTargetStatus[[#This Row],[Status]],
 IF(
  AND(
   tblTargetStatus[[#This Row],[MissingDependencies]]=1,
   tblTargetStatus[[#This Row],[FirstMissingStatus]]="READY"
  ),
  "ONE AWAY",
  "BLOCKED"
 )
)</f>
        <v>BLOCKED</v>
      </c>
      <c r="R357">
        <f>IF(
 OR(
  tblTargetStatus[[#This Row],[StateType]]="CHARACTER",
  RIGHT(tblTargetStatus[[#This Row],[TargetID]],6)=".maxed"
 ),
 0,
 _xlfn.LET(
  _xlpm.sort,
   _xlfn.XLOOKUP(
    tblTargetStatus[[#This Row],[TargetID]],
    tblChecklist[TargetID],
    tblChecklist[PlayerSort],
    0
   ),
  IF(_xlpm.sort=0,500,_xlpm.sort)
 )
)</f>
        <v>500</v>
      </c>
      <c r="S357" t="str" cm="1">
        <f t="array" ref="S35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Letter from the Dark Lady Accepted</v>
      </c>
      <c r="T357" t="str">
        <f>_xlfn.XLOOKUP(tblTargetStatus[[#This Row],[TargetID]],tblTargets[TargetID],tblTargets[CompletionMethod],"")</f>
        <v>PLAYER</v>
      </c>
      <c r="U357" t="b">
        <f>COUNTIF(
    tblCost[TargetID],
    tblTargetStatus[[#This Row],[TargetID]]
)&gt;0</f>
        <v>1</v>
      </c>
      <c r="V357" s="81">
        <f>IF(tblTargetStatus[[#This Row],[HasCost]]=FALSE,
"N/A",
_xlfn.XLOOKUP(
tblTargetStatus[[#This Row],[TargetID]],
tblCost[TargetID],
tblCost[FundingPercent],
""
)
)</f>
        <v>0</v>
      </c>
      <c r="W357">
        <f>IF(
COUNTIF(tblCost[TargetID],tblTargetStatus[[#This Row],[TargetID]])=0,
"",
_xlfn.XLOOKUP(
tblTargetStatus[[#This Row],[TargetID]],
tblCost[TargetID],
tblCost[RemainingRequirements],
""
)
)</f>
        <v>1</v>
      </c>
      <c r="X357" s="79" t="b">
        <f>IF(tblTargetStatus[[#This Row],[HasCost]]=FALSE,"N/A",_xlfn.XLOOKUP(
tblTargetStatus[[#This Row],[TargetID]],
tblCost[TargetID],
tblCost[TargetFunded],
TRUE
))</f>
        <v>0</v>
      </c>
      <c r="Y357" t="str" cm="1">
        <f t="array" ref="Y357">_xlfn.TEXTJOIN(
", ",
TRUE,
_xlfn._xlws.FILTER(
tblCost[ResourceID]&amp;": "&amp;tblCost[QuantityRequired],
(tblCost[TargetID]=tblTargetStatus[[#This Row],[TargetID]])*
(tblCost[PlayerPaid]=FALSE),
""
)
)</f>
        <v>vintcheese: 1</v>
      </c>
      <c r="Z3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7" t="str" cm="1">
        <f t="array" ref="AA35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Letter from the Dark Lady</v>
      </c>
    </row>
    <row r="358" spans="1:27">
      <c r="A358" t="s">
        <v>2435</v>
      </c>
      <c r="B358" t="str">
        <f>_xlfn.XLOOKUP(tblTargetStatus[[#This Row],[TargetID]],tblTargets[TargetID],tblTargets[DisplayName],"")</f>
        <v>The Ordinary Days of an Adventurer Chapter 7 Accepted</v>
      </c>
      <c r="C358" t="str">
        <f>IF(tblTargetStatus[[#This Row],[PlayerCompleted]],"COMPLETED",IF(tblTargetStatus[[#This Row],[MissingDependencies]]=0,"READY","BLOCKED"))</f>
        <v>BLOCKED</v>
      </c>
      <c r="D3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8" t="str">
        <f>_xlfn.XLOOKUP(tblTargetStatus[[#This Row],[TargetID]],tblTargets[TargetID],tblTargets[TargetType],"")</f>
        <v>QUEST</v>
      </c>
      <c r="F358" t="str">
        <f>_xlfn.XLOOKUP(tblTargetStatus[[#This Row],[TargetID]],tblTargets[TargetID],tblTargets[StateType])</f>
        <v/>
      </c>
      <c r="G358">
        <f>_xlfn.LET(
_xlpm.id,tblTargetStatus[[#This Row],[TargetID]],
_xlpm.depCount,COUNTIF(tblDependencies[TargetID],_xlpm.id),
_xlpm.objCount,COUNTIF(tblQuestObjectives[QuestTargetID],_xlpm.id),
_xlpm.depCount+_xlpm.objCount
)</f>
        <v>1</v>
      </c>
      <c r="H358">
        <f>tblTargetStatus[[#This Row],[DependencyCount]]</f>
        <v>1</v>
      </c>
      <c r="I358" cm="1">
        <f t="array" ref="I3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8">
        <f>tblTargetStatus[[#This Row],[CompletedDependencyCount]]</f>
        <v>0</v>
      </c>
      <c r="K358" t="b">
        <f>tblTargetStatus[[#This Row],[CompletedDependencies]]=tblTargetStatus[[#This Row],[TotalDependencies]]</f>
        <v>0</v>
      </c>
      <c r="L358">
        <f>tblTargetStatus[[#This Row],[TotalDependencies]]-tblTargetStatus[[#This Row],[CompletedDependencies]]</f>
        <v>1</v>
      </c>
      <c r="M358" t="str" cm="1">
        <f t="array" ref="M3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quest.the_ordinary_days_of_an_adventurer_chapter_4.finished</v>
      </c>
      <c r="N358" t="str">
        <f>IF(tblTargetStatus[[#This Row],[FirstMissingDependencyID]]="","",_xlfn.XLOOKUP(tblTargetStatus[[#This Row],[FirstMissingDependencyID]],tblTargets[TargetID],tblTargets[DisplayName],tblTargetStatus[[#This Row],[FirstMissingDependencyID]]))</f>
        <v>The Ordinary Days of an Adventurer Chapter 4 Finished</v>
      </c>
      <c r="O358" s="2" cm="1">
        <f t="array" ref="O3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8" t="str">
        <f>IF(tblTargetStatus[[#This Row],[FirstMissingDependencyID]]="","",_xlfn.XLOOKUP(tblTargetStatus[[#This Row],[FirstMissingDependencyID]],tblTargetStatus[TargetID],tblTargetStatus[Status],""))</f>
        <v>BLOCKED</v>
      </c>
      <c r="Q358" t="str">
        <f>IF(
 tblTargetStatus[[#This Row],[Status]]&lt;&gt;"BLOCKED",
 tblTargetStatus[[#This Row],[Status]],
 IF(
  AND(
   tblTargetStatus[[#This Row],[MissingDependencies]]=1,
   tblTargetStatus[[#This Row],[FirstMissingStatus]]="READY"
  ),
  "ONE AWAY",
  "BLOCKED"
 )
)</f>
        <v>BLOCKED</v>
      </c>
      <c r="R358">
        <f>IF(
 OR(
  tblTargetStatus[[#This Row],[StateType]]="CHARACTER",
  RIGHT(tblTargetStatus[[#This Row],[TargetID]],6)=".maxed"
 ),
 0,
 _xlfn.LET(
  _xlpm.sort,
   _xlfn.XLOOKUP(
    tblTargetStatus[[#This Row],[TargetID]],
    tblChecklist[TargetID],
    tblChecklist[PlayerSort],
    0
   ),
  IF(_xlpm.sort=0,500,_xlpm.sort)
 )
)</f>
        <v>500</v>
      </c>
      <c r="S358" t="str" cm="1">
        <f t="array" ref="S35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7 Finished, Complete Dungeon 6C</v>
      </c>
      <c r="T358" t="str">
        <f>_xlfn.XLOOKUP(tblTargetStatus[[#This Row],[TargetID]],tblTargets[TargetID],tblTargets[CompletionMethod],"")</f>
        <v>PLAYER</v>
      </c>
      <c r="U358" t="b">
        <f>COUNTIF(
    tblCost[TargetID],
    tblTargetStatus[[#This Row],[TargetID]]
)&gt;0</f>
        <v>0</v>
      </c>
      <c r="V358" s="81" t="str">
        <f>IF(tblTargetStatus[[#This Row],[HasCost]]=FALSE,
"N/A",
_xlfn.XLOOKUP(
tblTargetStatus[[#This Row],[TargetID]],
tblCost[TargetID],
tblCost[FundingPercent],
""
)
)</f>
        <v>N/A</v>
      </c>
      <c r="W358" t="str">
        <f>IF(
COUNTIF(tblCost[TargetID],tblTargetStatus[[#This Row],[TargetID]])=0,
"",
_xlfn.XLOOKUP(
tblTargetStatus[[#This Row],[TargetID]],
tblCost[TargetID],
tblCost[RemainingRequirements],
""
)
)</f>
        <v/>
      </c>
      <c r="X358" s="79" t="str">
        <f>IF(tblTargetStatus[[#This Row],[HasCost]]=FALSE,"N/A",_xlfn.XLOOKUP(
tblTargetStatus[[#This Row],[TargetID]],
tblCost[TargetID],
tblCost[TargetFunded],
TRUE
))</f>
        <v>N/A</v>
      </c>
      <c r="Y358" t="str" cm="1">
        <f t="array" ref="Y358">_xlfn.TEXTJOIN(
", ",
TRUE,
_xlfn._xlws.FILTER(
tblCost[ResourceID]&amp;": "&amp;tblCost[QuantityRequired],
(tblCost[TargetID]=tblTargetStatus[[#This Row],[TargetID]])*
(tblCost[PlayerPaid]=FALSE),
""
)
)</f>
        <v/>
      </c>
      <c r="Z3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8" t="str" cm="1">
        <f t="array" ref="AA35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59" spans="1:27">
      <c r="A359" t="s">
        <v>2552</v>
      </c>
      <c r="B359" t="str">
        <f>_xlfn.XLOOKUP(tblTargetStatus[[#This Row],[TargetID]],tblTargets[TargetID],tblTargets[DisplayName],"")</f>
        <v>The Ordinary Days of an Adventurer Chapter 7 Finished</v>
      </c>
      <c r="C359" t="str">
        <f>IF(tblTargetStatus[[#This Row],[PlayerCompleted]],"COMPLETED",IF(tblTargetStatus[[#This Row],[MissingDependencies]]=0,"READY","BLOCKED"))</f>
        <v>BLOCKED</v>
      </c>
      <c r="D3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9" t="str">
        <f>_xlfn.XLOOKUP(tblTargetStatus[[#This Row],[TargetID]],tblTargets[TargetID],tblTargets[TargetType],"")</f>
        <v>QUEST</v>
      </c>
      <c r="F359" t="str">
        <f>_xlfn.XLOOKUP(tblTargetStatus[[#This Row],[TargetID]],tblTargets[TargetID],tblTargets[StateType])</f>
        <v/>
      </c>
      <c r="G359">
        <f>_xlfn.LET(
_xlpm.id,tblTargetStatus[[#This Row],[TargetID]],
_xlpm.depCount,COUNTIF(tblDependencies[TargetID],_xlpm.id),
_xlpm.objCount,COUNTIF(tblQuestObjectives[QuestTargetID],_xlpm.id),
_xlpm.depCount+_xlpm.objCount
)</f>
        <v>2</v>
      </c>
      <c r="H359">
        <f>tblTargetStatus[[#This Row],[DependencyCount]]</f>
        <v>2</v>
      </c>
      <c r="I359" cm="1">
        <f t="array" ref="I3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9">
        <f>tblTargetStatus[[#This Row],[CompletedDependencyCount]]</f>
        <v>0</v>
      </c>
      <c r="K359" t="b">
        <f>tblTargetStatus[[#This Row],[CompletedDependencies]]=tblTargetStatus[[#This Row],[TotalDependencies]]</f>
        <v>0</v>
      </c>
      <c r="L359">
        <f>tblTargetStatus[[#This Row],[TotalDependencies]]-tblTargetStatus[[#This Row],[CompletedDependencies]]</f>
        <v>2</v>
      </c>
      <c r="M359" t="str" cm="1">
        <f t="array" ref="M3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quest.the_ordinary_days_of_an_adventurer_chapter_7.accepted</v>
      </c>
      <c r="N359" t="str">
        <f>IF(tblTargetStatus[[#This Row],[FirstMissingDependencyID]]="","",_xlfn.XLOOKUP(tblTargetStatus[[#This Row],[FirstMissingDependencyID]],tblTargets[TargetID],tblTargets[DisplayName],tblTargetStatus[[#This Row],[FirstMissingDependencyID]]))</f>
        <v>The Ordinary Days of an Adventurer Chapter 7 Accepted</v>
      </c>
      <c r="O359" s="2" cm="1">
        <f t="array" ref="O3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9" t="str">
        <f>IF(tblTargetStatus[[#This Row],[FirstMissingDependencyID]]="","",_xlfn.XLOOKUP(tblTargetStatus[[#This Row],[FirstMissingDependencyID]],tblTargetStatus[TargetID],tblTargetStatus[Status],""))</f>
        <v>BLOCKED</v>
      </c>
      <c r="Q359" t="str">
        <f>IF(
 tblTargetStatus[[#This Row],[Status]]&lt;&gt;"BLOCKED",
 tblTargetStatus[[#This Row],[Status]],
 IF(
  AND(
   tblTargetStatus[[#This Row],[MissingDependencies]]=1,
   tblTargetStatus[[#This Row],[FirstMissingStatus]]="READY"
  ),
  "ONE AWAY",
  "BLOCKED"
 )
)</f>
        <v>BLOCKED</v>
      </c>
      <c r="R359">
        <f>IF(
 OR(
  tblTargetStatus[[#This Row],[StateType]]="CHARACTER",
  RIGHT(tblTargetStatus[[#This Row],[TargetID]],6)=".maxed"
 ),
 0,
 _xlfn.LET(
  _xlpm.sort,
   _xlfn.XLOOKUP(
    tblTargetStatus[[#This Row],[TargetID]],
    tblChecklist[TargetID],
    tblChecklist[PlayerSort],
    0
   ),
  IF(_xlpm.sort=0,500,_xlpm.sort)
 )
)</f>
        <v>500</v>
      </c>
      <c r="S359" t="str" cm="1">
        <f t="array" ref="S35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Armory 2 Lv 1, Courtyard 1 Lv 1, Courtyard 2 Lv 1, Gallery 3 Lv 1, Pantry 4 Lv 1, Treasury 3 Lv 1, The Ordinary Days of an Adventurer Chapter 8 Accepted, Dairy - Classical Music For The Farm, Meet Dark Lady@6B second time</v>
      </c>
      <c r="T359" t="str">
        <f>_xlfn.XLOOKUP(tblTargetStatus[[#This Row],[TargetID]],tblTargets[TargetID],tblTargets[CompletionMethod],"")</f>
        <v>PLAYER</v>
      </c>
      <c r="U359" t="b">
        <f>COUNTIF(
    tblCost[TargetID],
    tblTargetStatus[[#This Row],[TargetID]]
)&gt;0</f>
        <v>0</v>
      </c>
      <c r="V359" s="81" t="str">
        <f>IF(tblTargetStatus[[#This Row],[HasCost]]=FALSE,
"N/A",
_xlfn.XLOOKUP(
tblTargetStatus[[#This Row],[TargetID]],
tblCost[TargetID],
tblCost[FundingPercent],
""
)
)</f>
        <v>N/A</v>
      </c>
      <c r="W359" t="str">
        <f>IF(
COUNTIF(tblCost[TargetID],tblTargetStatus[[#This Row],[TargetID]])=0,
"",
_xlfn.XLOOKUP(
tblTargetStatus[[#This Row],[TargetID]],
tblCost[TargetID],
tblCost[RemainingRequirements],
""
)
)</f>
        <v/>
      </c>
      <c r="X359" s="79" t="str">
        <f>IF(tblTargetStatus[[#This Row],[HasCost]]=FALSE,"N/A",_xlfn.XLOOKUP(
tblTargetStatus[[#This Row],[TargetID]],
tblCost[TargetID],
tblCost[TargetFunded],
TRUE
))</f>
        <v>N/A</v>
      </c>
      <c r="Y359" t="str" cm="1">
        <f t="array" ref="Y359">_xlfn.TEXTJOIN(
", ",
TRUE,
_xlfn._xlws.FILTER(
tblCost[ResourceID]&amp;": "&amp;tblCost[QuantityRequired],
(tblCost[TargetID]=tblTargetStatus[[#This Row],[TargetID]])*
(tblCost[PlayerPaid]=FALSE),
""
)
)</f>
        <v/>
      </c>
      <c r="Z3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9" t="str" cm="1">
        <f t="array" ref="AA35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8</v>
      </c>
    </row>
    <row r="360" spans="1:27">
      <c r="A360" t="s">
        <v>2438</v>
      </c>
      <c r="B360" t="str">
        <f>_xlfn.XLOOKUP(tblTargetStatus[[#This Row],[TargetID]],tblTargets[TargetID],tblTargets[DisplayName],"")</f>
        <v>The Ordinary Days of an Adventurer Chapter 8 Accepted</v>
      </c>
      <c r="C360" t="str">
        <f>IF(tblTargetStatus[[#This Row],[PlayerCompleted]],"COMPLETED",IF(tblTargetStatus[[#This Row],[MissingDependencies]]=0,"READY","BLOCKED"))</f>
        <v>BLOCKED</v>
      </c>
      <c r="D3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0" t="str">
        <f>_xlfn.XLOOKUP(tblTargetStatus[[#This Row],[TargetID]],tblTargets[TargetID],tblTargets[TargetType],"")</f>
        <v>QUEST</v>
      </c>
      <c r="F360" t="str">
        <f>_xlfn.XLOOKUP(tblTargetStatus[[#This Row],[TargetID]],tblTargets[TargetID],tblTargets[StateType])</f>
        <v/>
      </c>
      <c r="G360">
        <f>_xlfn.LET(
_xlpm.id,tblTargetStatus[[#This Row],[TargetID]],
_xlpm.depCount,COUNTIF(tblDependencies[TargetID],_xlpm.id),
_xlpm.objCount,COUNTIF(tblQuestObjectives[QuestTargetID],_xlpm.id),
_xlpm.depCount+_xlpm.objCount
)</f>
        <v>2</v>
      </c>
      <c r="H360">
        <f>tblTargetStatus[[#This Row],[DependencyCount]]</f>
        <v>2</v>
      </c>
      <c r="I360" cm="1">
        <f t="array" ref="I3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0">
        <f>tblTargetStatus[[#This Row],[CompletedDependencyCount]]</f>
        <v>0</v>
      </c>
      <c r="K360" t="b">
        <f>tblTargetStatus[[#This Row],[CompletedDependencies]]=tblTargetStatus[[#This Row],[TotalDependencies]]</f>
        <v>0</v>
      </c>
      <c r="L360">
        <f>tblTargetStatus[[#This Row],[TotalDependencies]]-tblTargetStatus[[#This Row],[CompletedDependencies]]</f>
        <v>2</v>
      </c>
      <c r="M360" t="str" cm="1">
        <f t="array" ref="M3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quest.the_ordinary_days_of_an_adventurer_chapter_7.finished</v>
      </c>
      <c r="N360" t="str">
        <f>IF(tblTargetStatus[[#This Row],[FirstMissingDependencyID]]="","",_xlfn.XLOOKUP(tblTargetStatus[[#This Row],[FirstMissingDependencyID]],tblTargets[TargetID],tblTargets[DisplayName],tblTargetStatus[[#This Row],[FirstMissingDependencyID]]))</f>
        <v>The Ordinary Days of an Adventurer Chapter 7 Finished</v>
      </c>
      <c r="O360" cm="1">
        <f t="array" ref="O3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0" t="str">
        <f>IF(tblTargetStatus[[#This Row],[FirstMissingDependencyID]]="","",_xlfn.XLOOKUP(tblTargetStatus[[#This Row],[FirstMissingDependencyID]],tblTargetStatus[TargetID],tblTargetStatus[Status],""))</f>
        <v>BLOCKED</v>
      </c>
      <c r="Q360" t="str">
        <f>IF(
 tblTargetStatus[[#This Row],[Status]]&lt;&gt;"BLOCKED",
 tblTargetStatus[[#This Row],[Status]],
 IF(
  AND(
   tblTargetStatus[[#This Row],[MissingDependencies]]=1,
   tblTargetStatus[[#This Row],[FirstMissingStatus]]="READY"
  ),
  "ONE AWAY",
  "BLOCKED"
 )
)</f>
        <v>BLOCKED</v>
      </c>
      <c r="R360">
        <f>IF(
 OR(
  tblTargetStatus[[#This Row],[StateType]]="CHARACTER",
  RIGHT(tblTargetStatus[[#This Row],[TargetID]],6)=".maxed"
 ),
 0,
 _xlfn.LET(
  _xlpm.sort,
   _xlfn.XLOOKUP(
    tblTargetStatus[[#This Row],[TargetID]],
    tblChecklist[TargetID],
    tblChecklist[PlayerSort],
    0
   ),
  IF(_xlpm.sort=0,500,_xlpm.sort)
 )
)</f>
        <v>500</v>
      </c>
      <c r="S360" t="str" cm="1">
        <f t="array" ref="S36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8 Finished, Visit Paris in the Airship</v>
      </c>
      <c r="T360" t="str">
        <f>_xlfn.XLOOKUP(tblTargetStatus[[#This Row],[TargetID]],tblTargets[TargetID],tblTargets[CompletionMethod],"")</f>
        <v>PLAYER</v>
      </c>
      <c r="U360" t="b">
        <f>COUNTIF(
    tblCost[TargetID],
    tblTargetStatus[[#This Row],[TargetID]]
)&gt;0</f>
        <v>0</v>
      </c>
      <c r="V360" s="81" t="str">
        <f>IF(tblTargetStatus[[#This Row],[HasCost]]=FALSE,
"N/A",
_xlfn.XLOOKUP(
tblTargetStatus[[#This Row],[TargetID]],
tblCost[TargetID],
tblCost[FundingPercent],
""
)
)</f>
        <v>N/A</v>
      </c>
      <c r="W360" t="str">
        <f>IF(
COUNTIF(tblCost[TargetID],tblTargetStatus[[#This Row],[TargetID]])=0,
"",
_xlfn.XLOOKUP(
tblTargetStatus[[#This Row],[TargetID]],
tblCost[TargetID],
tblCost[RemainingRequirements],
""
)
)</f>
        <v/>
      </c>
      <c r="X360" s="79" t="str">
        <f>IF(tblTargetStatus[[#This Row],[HasCost]]=FALSE,"N/A",_xlfn.XLOOKUP(
tblTargetStatus[[#This Row],[TargetID]],
tblCost[TargetID],
tblCost[TargetFunded],
TRUE
))</f>
        <v>N/A</v>
      </c>
      <c r="Y360" t="str" cm="1">
        <f t="array" ref="Y360">_xlfn.TEXTJOIN(
", ",
TRUE,
_xlfn._xlws.FILTER(
tblCost[ResourceID]&amp;": "&amp;tblCost[QuantityRequired],
(tblCost[TargetID]=tblTargetStatus[[#This Row],[TargetID]])*
(tblCost[PlayerPaid]=FALSE),
""
)
)</f>
        <v/>
      </c>
      <c r="Z3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0" t="str" cm="1">
        <f t="array" ref="AA36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61" spans="1:27">
      <c r="A361" t="s">
        <v>2554</v>
      </c>
      <c r="B361" t="str">
        <f>_xlfn.XLOOKUP(tblTargetStatus[[#This Row],[TargetID]],tblTargets[TargetID],tblTargets[DisplayName],"")</f>
        <v>The Ordinary Days of an Adventurer Chapter 8 Finished</v>
      </c>
      <c r="C361" t="str">
        <f>IF(tblTargetStatus[[#This Row],[PlayerCompleted]],"COMPLETED",IF(tblTargetStatus[[#This Row],[MissingDependencies]]=0,"READY","BLOCKED"))</f>
        <v>BLOCKED</v>
      </c>
      <c r="D3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1" t="str">
        <f>_xlfn.XLOOKUP(tblTargetStatus[[#This Row],[TargetID]],tblTargets[TargetID],tblTargets[TargetType],"")</f>
        <v>QUEST</v>
      </c>
      <c r="F361" t="str">
        <f>_xlfn.XLOOKUP(tblTargetStatus[[#This Row],[TargetID]],tblTargets[TargetID],tblTargets[StateType])</f>
        <v/>
      </c>
      <c r="G361">
        <f>_xlfn.LET(
_xlpm.id,tblTargetStatus[[#This Row],[TargetID]],
_xlpm.depCount,COUNTIF(tblDependencies[TargetID],_xlpm.id),
_xlpm.objCount,COUNTIF(tblQuestObjectives[QuestTargetID],_xlpm.id),
_xlpm.depCount+_xlpm.objCount
)</f>
        <v>2</v>
      </c>
      <c r="H361">
        <f>tblTargetStatus[[#This Row],[DependencyCount]]</f>
        <v>2</v>
      </c>
      <c r="I361" cm="1">
        <f t="array" ref="I3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1">
        <f>tblTargetStatus[[#This Row],[CompletedDependencyCount]]</f>
        <v>0</v>
      </c>
      <c r="K361" t="b">
        <f>tblTargetStatus[[#This Row],[CompletedDependencies]]=tblTargetStatus[[#This Row],[TotalDependencies]]</f>
        <v>0</v>
      </c>
      <c r="L361">
        <f>tblTargetStatus[[#This Row],[TotalDependencies]]-tblTargetStatus[[#This Row],[CompletedDependencies]]</f>
        <v>2</v>
      </c>
      <c r="M361" t="str" cm="1">
        <f t="array" ref="M3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quest.the_ordinary_days_of_an_adventurer_chapter_8.accepted</v>
      </c>
      <c r="N361" t="str">
        <f>IF(tblTargetStatus[[#This Row],[FirstMissingDependencyID]]="","",_xlfn.XLOOKUP(tblTargetStatus[[#This Row],[FirstMissingDependencyID]],tblTargets[TargetID],tblTargets[DisplayName],tblTargetStatus[[#This Row],[FirstMissingDependencyID]]))</f>
        <v>The Ordinary Days of an Adventurer Chapter 8 Accepted</v>
      </c>
      <c r="O361" s="2" cm="1">
        <f t="array" ref="O3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1" t="str">
        <f>IF(tblTargetStatus[[#This Row],[FirstMissingDependencyID]]="","",_xlfn.XLOOKUP(tblTargetStatus[[#This Row],[FirstMissingDependencyID]],tblTargetStatus[TargetID],tblTargetStatus[Status],""))</f>
        <v>BLOCKED</v>
      </c>
      <c r="Q361" t="str">
        <f>IF(
 tblTargetStatus[[#This Row],[Status]]&lt;&gt;"BLOCKED",
 tblTargetStatus[[#This Row],[Status]],
 IF(
  AND(
   tblTargetStatus[[#This Row],[MissingDependencies]]=1,
   tblTargetStatus[[#This Row],[FirstMissingStatus]]="READY"
  ),
  "ONE AWAY",
  "BLOCKED"
 )
)</f>
        <v>BLOCKED</v>
      </c>
      <c r="R361">
        <f>IF(
 OR(
  tblTargetStatus[[#This Row],[StateType]]="CHARACTER",
  RIGHT(tblTargetStatus[[#This Row],[TargetID]],6)=".maxed"
 ),
 0,
 _xlfn.LET(
  _xlpm.sort,
   _xlfn.XLOOKUP(
    tblTargetStatus[[#This Row],[TargetID]],
    tblChecklist[TargetID],
    tblChecklist[PlayerSort],
    0
   ),
  IF(_xlpm.sort=0,500,_xlpm.sort)
 )
)</f>
        <v>500</v>
      </c>
      <c r="S361" t="str" cm="1">
        <f t="array" ref="S36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2 Accepted</v>
      </c>
      <c r="T361" t="str">
        <f>_xlfn.XLOOKUP(tblTargetStatus[[#This Row],[TargetID]],tblTargets[TargetID],tblTargets[CompletionMethod],"")</f>
        <v>PLAYER</v>
      </c>
      <c r="U361" t="b">
        <f>COUNTIF(
    tblCost[TargetID],
    tblTargetStatus[[#This Row],[TargetID]]
)&gt;0</f>
        <v>0</v>
      </c>
      <c r="V361" s="81" t="str">
        <f>IF(tblTargetStatus[[#This Row],[HasCost]]=FALSE,
"N/A",
_xlfn.XLOOKUP(
tblTargetStatus[[#This Row],[TargetID]],
tblCost[TargetID],
tblCost[FundingPercent],
""
)
)</f>
        <v>N/A</v>
      </c>
      <c r="W361" t="str">
        <f>IF(
COUNTIF(tblCost[TargetID],tblTargetStatus[[#This Row],[TargetID]])=0,
"",
_xlfn.XLOOKUP(
tblTargetStatus[[#This Row],[TargetID]],
tblCost[TargetID],
tblCost[RemainingRequirements],
""
)
)</f>
        <v/>
      </c>
      <c r="X361" s="79" t="str">
        <f>IF(tblTargetStatus[[#This Row],[HasCost]]=FALSE,"N/A",_xlfn.XLOOKUP(
tblTargetStatus[[#This Row],[TargetID]],
tblCost[TargetID],
tblCost[TargetFunded],
TRUE
))</f>
        <v>N/A</v>
      </c>
      <c r="Y361" t="str" cm="1">
        <f t="array" ref="Y361">_xlfn.TEXTJOIN(
", ",
TRUE,
_xlfn._xlws.FILTER(
tblCost[ResourceID]&amp;": "&amp;tblCost[QuantityRequired],
(tblCost[TargetID]=tblTargetStatus[[#This Row],[TargetID]])*
(tblCost[PlayerPaid]=FALSE),
""
)
)</f>
        <v/>
      </c>
      <c r="Z3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1" t="str" cm="1">
        <f t="array" ref="AA36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2</v>
      </c>
    </row>
    <row r="362" spans="1:27">
      <c r="A362" t="s">
        <v>2441</v>
      </c>
      <c r="B362" t="str">
        <f>_xlfn.XLOOKUP(tblTargetStatus[[#This Row],[TargetID]],tblTargets[TargetID],tblTargets[DisplayName],"")</f>
        <v>The Ring of the Dark Lady Accepted</v>
      </c>
      <c r="C362" t="str">
        <f>IF(tblTargetStatus[[#This Row],[PlayerCompleted]],"COMPLETED",IF(tblTargetStatus[[#This Row],[MissingDependencies]]=0,"READY","BLOCKED"))</f>
        <v>BLOCKED</v>
      </c>
      <c r="D3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2" t="str">
        <f>_xlfn.XLOOKUP(tblTargetStatus[[#This Row],[TargetID]],tblTargets[TargetID],tblTargets[TargetType],"")</f>
        <v>QUEST</v>
      </c>
      <c r="F362" t="str">
        <f>_xlfn.XLOOKUP(tblTargetStatus[[#This Row],[TargetID]],tblTargets[TargetID],tblTargets[StateType])</f>
        <v/>
      </c>
      <c r="G362">
        <f>_xlfn.LET(
_xlpm.id,tblTargetStatus[[#This Row],[TargetID]],
_xlpm.depCount,COUNTIF(tblDependencies[TargetID],_xlpm.id),
_xlpm.objCount,COUNTIF(tblQuestObjectives[QuestTargetID],_xlpm.id),
_xlpm.depCount+_xlpm.objCount
)</f>
        <v>2</v>
      </c>
      <c r="H362">
        <f>tblTargetStatus[[#This Row],[DependencyCount]]</f>
        <v>2</v>
      </c>
      <c r="I362" cm="1">
        <f t="array" ref="I3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2">
        <f>tblTargetStatus[[#This Row],[CompletedDependencyCount]]</f>
        <v>0</v>
      </c>
      <c r="K362" t="b">
        <f>tblTargetStatus[[#This Row],[CompletedDependencies]]=tblTargetStatus[[#This Row],[TotalDependencies]]</f>
        <v>0</v>
      </c>
      <c r="L362">
        <f>tblTargetStatus[[#This Row],[TotalDependencies]]-tblTargetStatus[[#This Row],[CompletedDependencies]]</f>
        <v>2</v>
      </c>
      <c r="M362" t="str" cm="1">
        <f t="array" ref="M3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quest.dragon_teeth.finished</v>
      </c>
      <c r="N362" t="str">
        <f>IF(tblTargetStatus[[#This Row],[FirstMissingDependencyID]]="","",_xlfn.XLOOKUP(tblTargetStatus[[#This Row],[FirstMissingDependencyID]],tblTargets[TargetID],tblTargets[DisplayName],tblTargetStatus[[#This Row],[FirstMissingDependencyID]]))</f>
        <v>Dragon teeth Finished</v>
      </c>
      <c r="O362" cm="1">
        <f t="array" ref="O3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2" t="str">
        <f>IF(tblTargetStatus[[#This Row],[FirstMissingDependencyID]]="","",_xlfn.XLOOKUP(tblTargetStatus[[#This Row],[FirstMissingDependencyID]],tblTargetStatus[TargetID],tblTargetStatus[Status],""))</f>
        <v>BLOCKED</v>
      </c>
      <c r="Q362" t="str">
        <f>IF(
 tblTargetStatus[[#This Row],[Status]]&lt;&gt;"BLOCKED",
 tblTargetStatus[[#This Row],[Status]],
 IF(
  AND(
   tblTargetStatus[[#This Row],[MissingDependencies]]=1,
   tblTargetStatus[[#This Row],[FirstMissingStatus]]="READY"
  ),
  "ONE AWAY",
  "BLOCKED"
 )
)</f>
        <v>BLOCKED</v>
      </c>
      <c r="R362">
        <f>IF(
 OR(
  tblTargetStatus[[#This Row],[StateType]]="CHARACTER",
  RIGHT(tblTargetStatus[[#This Row],[TargetID]],6)=".maxed"
 ),
 0,
 _xlfn.LET(
  _xlpm.sort,
   _xlfn.XLOOKUP(
    tblTargetStatus[[#This Row],[TargetID]],
    tblChecklist[TargetID],
    tblChecklist[PlayerSort],
    0
   ),
  IF(_xlpm.sort=0,500,_xlpm.sort)
 )
)</f>
        <v>500</v>
      </c>
      <c r="S362" t="str" cm="1">
        <f t="array" ref="S36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Ring of the Dark Lady Finished, Return the ring</v>
      </c>
      <c r="T362" t="str">
        <f>_xlfn.XLOOKUP(tblTargetStatus[[#This Row],[TargetID]],tblTargets[TargetID],tblTargets[CompletionMethod],"")</f>
        <v>PLAYER</v>
      </c>
      <c r="U362" t="b">
        <f>COUNTIF(
    tblCost[TargetID],
    tblTargetStatus[[#This Row],[TargetID]]
)&gt;0</f>
        <v>0</v>
      </c>
      <c r="V362" s="81" t="str">
        <f>IF(tblTargetStatus[[#This Row],[HasCost]]=FALSE,
"N/A",
_xlfn.XLOOKUP(
tblTargetStatus[[#This Row],[TargetID]],
tblCost[TargetID],
tblCost[FundingPercent],
""
)
)</f>
        <v>N/A</v>
      </c>
      <c r="W362" t="str">
        <f>IF(
COUNTIF(tblCost[TargetID],tblTargetStatus[[#This Row],[TargetID]])=0,
"",
_xlfn.XLOOKUP(
tblTargetStatus[[#This Row],[TargetID]],
tblCost[TargetID],
tblCost[RemainingRequirements],
""
)
)</f>
        <v/>
      </c>
      <c r="X362" s="79" t="str">
        <f>IF(tblTargetStatus[[#This Row],[HasCost]]=FALSE,"N/A",_xlfn.XLOOKUP(
tblTargetStatus[[#This Row],[TargetID]],
tblCost[TargetID],
tblCost[TargetFunded],
TRUE
))</f>
        <v>N/A</v>
      </c>
      <c r="Y362" t="str" cm="1">
        <f t="array" ref="Y362">_xlfn.TEXTJOIN(
", ",
TRUE,
_xlfn._xlws.FILTER(
tblCost[ResourceID]&amp;": "&amp;tblCost[QuantityRequired],
(tblCost[TargetID]=tblTargetStatus[[#This Row],[TargetID]])*
(tblCost[PlayerPaid]=FALSE),
""
)
)</f>
        <v/>
      </c>
      <c r="Z3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2" t="str" cm="1">
        <f t="array" ref="AA36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63" spans="1:27">
      <c r="A363" t="s">
        <v>2556</v>
      </c>
      <c r="B363" t="str">
        <f>_xlfn.XLOOKUP(tblTargetStatus[[#This Row],[TargetID]],tblTargets[TargetID],tblTargets[DisplayName],"")</f>
        <v>The Ring of the Dark Lady Finished</v>
      </c>
      <c r="C363" t="str">
        <f>IF(tblTargetStatus[[#This Row],[PlayerCompleted]],"COMPLETED",IF(tblTargetStatus[[#This Row],[MissingDependencies]]=0,"READY","BLOCKED"))</f>
        <v>BLOCKED</v>
      </c>
      <c r="D3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3" t="str">
        <f>_xlfn.XLOOKUP(tblTargetStatus[[#This Row],[TargetID]],tblTargets[TargetID],tblTargets[TargetType],"")</f>
        <v>QUEST</v>
      </c>
      <c r="F363" t="str">
        <f>_xlfn.XLOOKUP(tblTargetStatus[[#This Row],[TargetID]],tblTargets[TargetID],tblTargets[StateType])</f>
        <v/>
      </c>
      <c r="G363">
        <f>_xlfn.LET(
_xlpm.id,tblTargetStatus[[#This Row],[TargetID]],
_xlpm.depCount,COUNTIF(tblDependencies[TargetID],_xlpm.id),
_xlpm.objCount,COUNTIF(tblQuestObjectives[QuestTargetID],_xlpm.id),
_xlpm.depCount+_xlpm.objCount
)</f>
        <v>2</v>
      </c>
      <c r="H363">
        <f>tblTargetStatus[[#This Row],[DependencyCount]]</f>
        <v>2</v>
      </c>
      <c r="I363" cm="1">
        <f t="array" ref="I3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3">
        <f>tblTargetStatus[[#This Row],[CompletedDependencyCount]]</f>
        <v>0</v>
      </c>
      <c r="K363" t="b">
        <f>tblTargetStatus[[#This Row],[CompletedDependencies]]=tblTargetStatus[[#This Row],[TotalDependencies]]</f>
        <v>0</v>
      </c>
      <c r="L363">
        <f>tblTargetStatus[[#This Row],[TotalDependencies]]-tblTargetStatus[[#This Row],[CompletedDependencies]]</f>
        <v>2</v>
      </c>
      <c r="M363" t="str" cm="1">
        <f t="array" ref="M3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quest.the_ring_of_the_dark_lady.accepted</v>
      </c>
      <c r="N363" t="str">
        <f>IF(tblTargetStatus[[#This Row],[FirstMissingDependencyID]]="","",_xlfn.XLOOKUP(tblTargetStatus[[#This Row],[FirstMissingDependencyID]],tblTargets[TargetID],tblTargets[DisplayName],tblTargetStatus[[#This Row],[FirstMissingDependencyID]]))</f>
        <v>The Ring of the Dark Lady Accepted</v>
      </c>
      <c r="O363" s="2" cm="1">
        <f t="array" ref="O3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3" t="str">
        <f>IF(tblTargetStatus[[#This Row],[FirstMissingDependencyID]]="","",_xlfn.XLOOKUP(tblTargetStatus[[#This Row],[FirstMissingDependencyID]],tblTargetStatus[TargetID],tblTargetStatus[Status],""))</f>
        <v>BLOCKED</v>
      </c>
      <c r="Q363" t="str">
        <f>IF(
 tblTargetStatus[[#This Row],[Status]]&lt;&gt;"BLOCKED",
 tblTargetStatus[[#This Row],[Status]],
 IF(
  AND(
   tblTargetStatus[[#This Row],[MissingDependencies]]=1,
   tblTargetStatus[[#This Row],[FirstMissingStatus]]="READY"
  ),
  "ONE AWAY",
  "BLOCKED"
 )
)</f>
        <v>BLOCKED</v>
      </c>
      <c r="R363">
        <f>IF(
 OR(
  tblTargetStatus[[#This Row],[StateType]]="CHARACTER",
  RIGHT(tblTargetStatus[[#This Row],[TargetID]],6)=".maxed"
 ),
 0,
 _xlfn.LET(
  _xlpm.sort,
   _xlfn.XLOOKUP(
    tblTargetStatus[[#This Row],[TargetID]],
    tblChecklist[TargetID],
    tblChecklist[PlayerSort],
    0
   ),
  IF(_xlpm.sort=0,500,_xlpm.sort)
 )
)</f>
        <v>500</v>
      </c>
      <c r="S363" t="str" cm="1">
        <f t="array" ref="S36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Magic Beans Accepted, Visit Dungeon@4A, Workshop - Shield For A Hero Lvl 4</v>
      </c>
      <c r="T363" t="str">
        <f>_xlfn.XLOOKUP(tblTargetStatus[[#This Row],[TargetID]],tblTargets[TargetID],tblTargets[CompletionMethod],"")</f>
        <v>PLAYER</v>
      </c>
      <c r="U363" t="b">
        <f>COUNTIF(
    tblCost[TargetID],
    tblTargetStatus[[#This Row],[TargetID]]
)&gt;0</f>
        <v>0</v>
      </c>
      <c r="V363" s="81" t="str">
        <f>IF(tblTargetStatus[[#This Row],[HasCost]]=FALSE,
"N/A",
_xlfn.XLOOKUP(
tblTargetStatus[[#This Row],[TargetID]],
tblCost[TargetID],
tblCost[FundingPercent],
""
)
)</f>
        <v>N/A</v>
      </c>
      <c r="W363" t="str">
        <f>IF(
COUNTIF(tblCost[TargetID],tblTargetStatus[[#This Row],[TargetID]])=0,
"",
_xlfn.XLOOKUP(
tblTargetStatus[[#This Row],[TargetID]],
tblCost[TargetID],
tblCost[RemainingRequirements],
""
)
)</f>
        <v/>
      </c>
      <c r="X363" s="79" t="str">
        <f>IF(tblTargetStatus[[#This Row],[HasCost]]=FALSE,"N/A",_xlfn.XLOOKUP(
tblTargetStatus[[#This Row],[TargetID]],
tblCost[TargetID],
tblCost[TargetFunded],
TRUE
))</f>
        <v>N/A</v>
      </c>
      <c r="Y363" t="str" cm="1">
        <f t="array" ref="Y363">_xlfn.TEXTJOIN(
", ",
TRUE,
_xlfn._xlws.FILTER(
tblCost[ResourceID]&amp;": "&amp;tblCost[QuantityRequired],
(tblCost[TargetID]=tblTargetStatus[[#This Row],[TargetID]])*
(tblCost[PlayerPaid]=FALSE),
""
)
)</f>
        <v/>
      </c>
      <c r="Z3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3" t="str" cm="1">
        <f t="array" ref="AA36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Magic Beans</v>
      </c>
    </row>
    <row r="364" spans="1:27">
      <c r="A364" t="s">
        <v>2444</v>
      </c>
      <c r="B364" t="str">
        <f>_xlfn.XLOOKUP(tblTargetStatus[[#This Row],[TargetID]],tblTargets[TargetID],tblTargets[DisplayName],"")</f>
        <v>Treasure Island Accepted</v>
      </c>
      <c r="C364" t="str">
        <f>IF(tblTargetStatus[[#This Row],[PlayerCompleted]],"COMPLETED",IF(tblTargetStatus[[#This Row],[MissingDependencies]]=0,"READY","BLOCKED"))</f>
        <v>BLOCKED</v>
      </c>
      <c r="D3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4" t="str">
        <f>_xlfn.XLOOKUP(tblTargetStatus[[#This Row],[TargetID]],tblTargets[TargetID],tblTargets[TargetType],"")</f>
        <v>QUEST</v>
      </c>
      <c r="F364" t="str">
        <f>_xlfn.XLOOKUP(tblTargetStatus[[#This Row],[TargetID]],tblTargets[TargetID],tblTargets[StateType])</f>
        <v/>
      </c>
      <c r="G364">
        <f>_xlfn.LET(
_xlpm.id,tblTargetStatus[[#This Row],[TargetID]],
_xlpm.depCount,COUNTIF(tblDependencies[TargetID],_xlpm.id),
_xlpm.objCount,COUNTIF(tblQuestObjectives[QuestTargetID],_xlpm.id),
_xlpm.depCount+_xlpm.objCount
)</f>
        <v>3</v>
      </c>
      <c r="H364">
        <f>tblTargetStatus[[#This Row],[DependencyCount]]</f>
        <v>3</v>
      </c>
      <c r="I364" cm="1">
        <f t="array" ref="I3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4">
        <f>tblTargetStatus[[#This Row],[CompletedDependencyCount]]</f>
        <v>0</v>
      </c>
      <c r="K364" t="b">
        <f>tblTargetStatus[[#This Row],[CompletedDependencies]]=tblTargetStatus[[#This Row],[TotalDependencies]]</f>
        <v>0</v>
      </c>
      <c r="L364">
        <f>tblTargetStatus[[#This Row],[TotalDependencies]]-tblTargetStatus[[#This Row],[CompletedDependencies]]</f>
        <v>3</v>
      </c>
      <c r="M364" t="str" cm="1">
        <f t="array" ref="M3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quest.shoguns_katana_chapter_4.finished</v>
      </c>
      <c r="N364" t="str">
        <f>IF(tblTargetStatus[[#This Row],[FirstMissingDependencyID]]="","",_xlfn.XLOOKUP(tblTargetStatus[[#This Row],[FirstMissingDependencyID]],tblTargets[TargetID],tblTargets[DisplayName],tblTargetStatus[[#This Row],[FirstMissingDependencyID]]))</f>
        <v>Shogun's Katana Chapter 4 Finished</v>
      </c>
      <c r="O364" cm="1">
        <f t="array" ref="O3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4" t="str">
        <f>IF(tblTargetStatus[[#This Row],[FirstMissingDependencyID]]="","",_xlfn.XLOOKUP(tblTargetStatus[[#This Row],[FirstMissingDependencyID]],tblTargetStatus[TargetID],tblTargetStatus[Status],""))</f>
        <v>BLOCKED</v>
      </c>
      <c r="Q364" t="str">
        <f>IF(
 tblTargetStatus[[#This Row],[Status]]&lt;&gt;"BLOCKED",
 tblTargetStatus[[#This Row],[Status]],
 IF(
  AND(
   tblTargetStatus[[#This Row],[MissingDependencies]]=1,
   tblTargetStatus[[#This Row],[FirstMissingStatus]]="READY"
  ),
  "ONE AWAY",
  "BLOCKED"
 )
)</f>
        <v>BLOCKED</v>
      </c>
      <c r="R364">
        <f>IF(
 OR(
  tblTargetStatus[[#This Row],[StateType]]="CHARACTER",
  RIGHT(tblTargetStatus[[#This Row],[TargetID]],6)=".maxed"
 ),
 0,
 _xlfn.LET(
  _xlpm.sort,
   _xlfn.XLOOKUP(
    tblTargetStatus[[#This Row],[TargetID]],
    tblChecklist[TargetID],
    tblChecklist[PlayerSort],
    0
   ),
  IF(_xlpm.sort=0,500,_xlpm.sort)
 )
)</f>
        <v>500</v>
      </c>
      <c r="S364" t="str" cm="1">
        <f t="array" ref="S36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Treasure Island Finished, Obtain Treasure</v>
      </c>
      <c r="T364" t="str">
        <f>_xlfn.XLOOKUP(tblTargetStatus[[#This Row],[TargetID]],tblTargets[TargetID],tblTargets[CompletionMethod],"")</f>
        <v>PLAYER</v>
      </c>
      <c r="U364" t="b">
        <f>COUNTIF(
    tblCost[TargetID],
    tblTargetStatus[[#This Row],[TargetID]]
)&gt;0</f>
        <v>0</v>
      </c>
      <c r="V364" s="81" t="str">
        <f>IF(tblTargetStatus[[#This Row],[HasCost]]=FALSE,
"N/A",
_xlfn.XLOOKUP(
tblTargetStatus[[#This Row],[TargetID]],
tblCost[TargetID],
tblCost[FundingPercent],
""
)
)</f>
        <v>N/A</v>
      </c>
      <c r="W364" t="str">
        <f>IF(
COUNTIF(tblCost[TargetID],tblTargetStatus[[#This Row],[TargetID]])=0,
"",
_xlfn.XLOOKUP(
tblTargetStatus[[#This Row],[TargetID]],
tblCost[TargetID],
tblCost[RemainingRequirements],
""
)
)</f>
        <v/>
      </c>
      <c r="X364" s="79" t="str">
        <f>IF(tblTargetStatus[[#This Row],[HasCost]]=FALSE,"N/A",_xlfn.XLOOKUP(
tblTargetStatus[[#This Row],[TargetID]],
tblCost[TargetID],
tblCost[TargetFunded],
TRUE
))</f>
        <v>N/A</v>
      </c>
      <c r="Y364" t="str" cm="1">
        <f t="array" ref="Y364">_xlfn.TEXTJOIN(
", ",
TRUE,
_xlfn._xlws.FILTER(
tblCost[ResourceID]&amp;": "&amp;tblCost[QuantityRequired],
(tblCost[TargetID]=tblTargetStatus[[#This Row],[TargetID]])*
(tblCost[PlayerPaid]=FALSE),
""
)
)</f>
        <v/>
      </c>
      <c r="Z3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4" t="str" cm="1">
        <f t="array" ref="AA36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65" spans="1:27">
      <c r="A365" t="s">
        <v>2558</v>
      </c>
      <c r="B365" t="str">
        <f>_xlfn.XLOOKUP(tblTargetStatus[[#This Row],[TargetID]],tblTargets[TargetID],tblTargets[DisplayName],"")</f>
        <v>Treasure Island Finished</v>
      </c>
      <c r="C365" t="str">
        <f>IF(tblTargetStatus[[#This Row],[PlayerCompleted]],"COMPLETED",IF(tblTargetStatus[[#This Row],[MissingDependencies]]=0,"READY","BLOCKED"))</f>
        <v>BLOCKED</v>
      </c>
      <c r="D3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5" t="str">
        <f>_xlfn.XLOOKUP(tblTargetStatus[[#This Row],[TargetID]],tblTargets[TargetID],tblTargets[TargetType],"")</f>
        <v>QUEST</v>
      </c>
      <c r="F365" t="str">
        <f>_xlfn.XLOOKUP(tblTargetStatus[[#This Row],[TargetID]],tblTargets[TargetID],tblTargets[StateType])</f>
        <v/>
      </c>
      <c r="G365">
        <f>_xlfn.LET(
_xlpm.id,tblTargetStatus[[#This Row],[TargetID]],
_xlpm.depCount,COUNTIF(tblDependencies[TargetID],_xlpm.id),
_xlpm.objCount,COUNTIF(tblQuestObjectives[QuestTargetID],_xlpm.id),
_xlpm.depCount+_xlpm.objCount
)</f>
        <v>2</v>
      </c>
      <c r="H365">
        <f>tblTargetStatus[[#This Row],[DependencyCount]]</f>
        <v>2</v>
      </c>
      <c r="I365" cm="1">
        <f t="array" ref="I3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5">
        <f>tblTargetStatus[[#This Row],[CompletedDependencyCount]]</f>
        <v>0</v>
      </c>
      <c r="K365" t="b">
        <f>tblTargetStatus[[#This Row],[CompletedDependencies]]=tblTargetStatus[[#This Row],[TotalDependencies]]</f>
        <v>0</v>
      </c>
      <c r="L365">
        <f>tblTargetStatus[[#This Row],[TotalDependencies]]-tblTargetStatus[[#This Row],[CompletedDependencies]]</f>
        <v>2</v>
      </c>
      <c r="M365" t="str" cm="1">
        <f t="array" ref="M3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quest.treasure_island.accepted</v>
      </c>
      <c r="N365" t="str">
        <f>IF(tblTargetStatus[[#This Row],[FirstMissingDependencyID]]="","",_xlfn.XLOOKUP(tblTargetStatus[[#This Row],[FirstMissingDependencyID]],tblTargets[TargetID],tblTargets[DisplayName],tblTargetStatus[[#This Row],[FirstMissingDependencyID]]))</f>
        <v>Treasure Island Accepted</v>
      </c>
      <c r="O365" s="2" cm="1">
        <f t="array" ref="O3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5" t="str">
        <f>IF(tblTargetStatus[[#This Row],[FirstMissingDependencyID]]="","",_xlfn.XLOOKUP(tblTargetStatus[[#This Row],[FirstMissingDependencyID]],tblTargetStatus[TargetID],tblTargetStatus[Status],""))</f>
        <v>BLOCKED</v>
      </c>
      <c r="Q365" t="str">
        <f>IF(
 tblTargetStatus[[#This Row],[Status]]&lt;&gt;"BLOCKED",
 tblTargetStatus[[#This Row],[Status]],
 IF(
  AND(
   tblTargetStatus[[#This Row],[MissingDependencies]]=1,
   tblTargetStatus[[#This Row],[FirstMissingStatus]]="READY"
  ),
  "ONE AWAY",
  "BLOCKED"
 )
)</f>
        <v>BLOCKED</v>
      </c>
      <c r="R365">
        <f>IF(
 OR(
  tblTargetStatus[[#This Row],[StateType]]="CHARACTER",
  RIGHT(tblTargetStatus[[#This Row],[TargetID]],6)=".maxed"
 ),
 0,
 _xlfn.LET(
  _xlpm.sort,
   _xlfn.XLOOKUP(
    tblTargetStatus[[#This Row],[TargetID]],
    tblChecklist[TargetID],
    tblChecklist[PlayerSort],
    0
   ),
  IF(_xlpm.sort=0,500,_xlpm.sort)
 )
)</f>
        <v>500</v>
      </c>
      <c r="S365" t="str" cm="1">
        <f t="array" ref="S36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65" t="str">
        <f>_xlfn.XLOOKUP(tblTargetStatus[[#This Row],[TargetID]],tblTargets[TargetID],tblTargets[CompletionMethod],"")</f>
        <v>PLAYER</v>
      </c>
      <c r="U365" t="b">
        <f>COUNTIF(
    tblCost[TargetID],
    tblTargetStatus[[#This Row],[TargetID]]
)&gt;0</f>
        <v>0</v>
      </c>
      <c r="V365" s="81" t="str">
        <f>IF(tblTargetStatus[[#This Row],[HasCost]]=FALSE,
"N/A",
_xlfn.XLOOKUP(
tblTargetStatus[[#This Row],[TargetID]],
tblCost[TargetID],
tblCost[FundingPercent],
""
)
)</f>
        <v>N/A</v>
      </c>
      <c r="W365" t="str">
        <f>IF(
COUNTIF(tblCost[TargetID],tblTargetStatus[[#This Row],[TargetID]])=0,
"",
_xlfn.XLOOKUP(
tblTargetStatus[[#This Row],[TargetID]],
tblCost[TargetID],
tblCost[RemainingRequirements],
""
)
)</f>
        <v/>
      </c>
      <c r="X365" s="79" t="str">
        <f>IF(tblTargetStatus[[#This Row],[HasCost]]=FALSE,"N/A",_xlfn.XLOOKUP(
tblTargetStatus[[#This Row],[TargetID]],
tblCost[TargetID],
tblCost[TargetFunded],
TRUE
))</f>
        <v>N/A</v>
      </c>
      <c r="Y365" t="str" cm="1">
        <f t="array" ref="Y365">_xlfn.TEXTJOIN(
", ",
TRUE,
_xlfn._xlws.FILTER(
tblCost[ResourceID]&amp;": "&amp;tblCost[QuantityRequired],
(tblCost[TargetID]=tblTargetStatus[[#This Row],[TargetID]])*
(tblCost[PlayerPaid]=FALSE),
""
)
)</f>
        <v/>
      </c>
      <c r="Z3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5" t="str" cm="1">
        <f t="array" ref="AA36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66" spans="1:27">
      <c r="A366" t="s">
        <v>2447</v>
      </c>
      <c r="B366" t="str">
        <f>_xlfn.XLOOKUP(tblTargetStatus[[#This Row],[TargetID]],tblTargets[TargetID],tblTargets[DisplayName],"")</f>
        <v>Undead Revenge Accepted</v>
      </c>
      <c r="C366" t="str">
        <f>IF(tblTargetStatus[[#This Row],[PlayerCompleted]],"COMPLETED",IF(tblTargetStatus[[#This Row],[MissingDependencies]]=0,"READY","BLOCKED"))</f>
        <v>BLOCKED</v>
      </c>
      <c r="D3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6" t="str">
        <f>_xlfn.XLOOKUP(tblTargetStatus[[#This Row],[TargetID]],tblTargets[TargetID],tblTargets[TargetType],"")</f>
        <v>QUEST</v>
      </c>
      <c r="F366" t="str">
        <f>_xlfn.XLOOKUP(tblTargetStatus[[#This Row],[TargetID]],tblTargets[TargetID],tblTargets[StateType])</f>
        <v/>
      </c>
      <c r="G366">
        <f>_xlfn.LET(
_xlpm.id,tblTargetStatus[[#This Row],[TargetID]],
_xlpm.depCount,COUNTIF(tblDependencies[TargetID],_xlpm.id),
_xlpm.objCount,COUNTIF(tblQuestObjectives[QuestTargetID],_xlpm.id),
_xlpm.depCount+_xlpm.objCount
)</f>
        <v>3</v>
      </c>
      <c r="H366">
        <f>tblTargetStatus[[#This Row],[DependencyCount]]</f>
        <v>3</v>
      </c>
      <c r="I366" cm="1">
        <f t="array" ref="I3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6">
        <f>tblTargetStatus[[#This Row],[CompletedDependencyCount]]</f>
        <v>0</v>
      </c>
      <c r="K366" t="b">
        <f>tblTargetStatus[[#This Row],[CompletedDependencies]]=tblTargetStatus[[#This Row],[TotalDependencies]]</f>
        <v>0</v>
      </c>
      <c r="L366">
        <f>tblTargetStatus[[#This Row],[TotalDependencies]]-tblTargetStatus[[#This Row],[CompletedDependencies]]</f>
        <v>3</v>
      </c>
      <c r="M366" t="str" cm="1">
        <f t="array" ref="M3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quest.dragon_teeth.finished</v>
      </c>
      <c r="N366" t="str">
        <f>IF(tblTargetStatus[[#This Row],[FirstMissingDependencyID]]="","",_xlfn.XLOOKUP(tblTargetStatus[[#This Row],[FirstMissingDependencyID]],tblTargets[TargetID],tblTargets[DisplayName],tblTargetStatus[[#This Row],[FirstMissingDependencyID]]))</f>
        <v>Dragon teeth Finished</v>
      </c>
      <c r="O366" cm="1">
        <f t="array" ref="O3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6" t="str">
        <f>IF(tblTargetStatus[[#This Row],[FirstMissingDependencyID]]="","",_xlfn.XLOOKUP(tblTargetStatus[[#This Row],[FirstMissingDependencyID]],tblTargetStatus[TargetID],tblTargetStatus[Status],""))</f>
        <v>BLOCKED</v>
      </c>
      <c r="Q366" t="str">
        <f>IF(
 tblTargetStatus[[#This Row],[Status]]&lt;&gt;"BLOCKED",
 tblTargetStatus[[#This Row],[Status]],
 IF(
  AND(
   tblTargetStatus[[#This Row],[MissingDependencies]]=1,
   tblTargetStatus[[#This Row],[FirstMissingStatus]]="READY"
  ),
  "ONE AWAY",
  "BLOCKED"
 )
)</f>
        <v>BLOCKED</v>
      </c>
      <c r="R366">
        <f>IF(
 OR(
  tblTargetStatus[[#This Row],[StateType]]="CHARACTER",
  RIGHT(tblTargetStatus[[#This Row],[TargetID]],6)=".maxed"
 ),
 0,
 _xlfn.LET(
  _xlpm.sort,
   _xlfn.XLOOKUP(
    tblTargetStatus[[#This Row],[TargetID]],
    tblChecklist[TargetID],
    tblChecklist[PlayerSort],
    0
   ),
  IF(_xlpm.sort=0,500,_xlpm.sort)
 )
)</f>
        <v>500</v>
      </c>
      <c r="S366" t="str" cm="1">
        <f t="array" ref="S36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xml:space="preserve">Undead Revenge Finished, Complete Dungeon 5C second </v>
      </c>
      <c r="T366" t="str">
        <f>_xlfn.XLOOKUP(tblTargetStatus[[#This Row],[TargetID]],tblTargets[TargetID],tblTargets[CompletionMethod],"")</f>
        <v>PLAYER</v>
      </c>
      <c r="U366" t="b">
        <f>COUNTIF(
    tblCost[TargetID],
    tblTargetStatus[[#This Row],[TargetID]]
)&gt;0</f>
        <v>0</v>
      </c>
      <c r="V366" s="81" t="str">
        <f>IF(tblTargetStatus[[#This Row],[HasCost]]=FALSE,
"N/A",
_xlfn.XLOOKUP(
tblTargetStatus[[#This Row],[TargetID]],
tblCost[TargetID],
tblCost[FundingPercent],
""
)
)</f>
        <v>N/A</v>
      </c>
      <c r="W366" t="str">
        <f>IF(
COUNTIF(tblCost[TargetID],tblTargetStatus[[#This Row],[TargetID]])=0,
"",
_xlfn.XLOOKUP(
tblTargetStatus[[#This Row],[TargetID]],
tblCost[TargetID],
tblCost[RemainingRequirements],
""
)
)</f>
        <v/>
      </c>
      <c r="X366" s="79" t="str">
        <f>IF(tblTargetStatus[[#This Row],[HasCost]]=FALSE,"N/A",_xlfn.XLOOKUP(
tblTargetStatus[[#This Row],[TargetID]],
tblCost[TargetID],
tblCost[TargetFunded],
TRUE
))</f>
        <v>N/A</v>
      </c>
      <c r="Y366" t="str" cm="1">
        <f t="array" ref="Y366">_xlfn.TEXTJOIN(
", ",
TRUE,
_xlfn._xlws.FILTER(
tblCost[ResourceID]&amp;": "&amp;tblCost[QuantityRequired],
(tblCost[TargetID]=tblTargetStatus[[#This Row],[TargetID]])*
(tblCost[PlayerPaid]=FALSE),
""
)
)</f>
        <v/>
      </c>
      <c r="Z3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6" t="str" cm="1">
        <f t="array" ref="AA36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67" spans="1:27">
      <c r="A367" t="s">
        <v>2560</v>
      </c>
      <c r="B367" t="str">
        <f>_xlfn.XLOOKUP(tblTargetStatus[[#This Row],[TargetID]],tblTargets[TargetID],tblTargets[DisplayName],"")</f>
        <v>Undead Revenge Finished</v>
      </c>
      <c r="C367" t="str">
        <f>IF(tblTargetStatus[[#This Row],[PlayerCompleted]],"COMPLETED",IF(tblTargetStatus[[#This Row],[MissingDependencies]]=0,"READY","BLOCKED"))</f>
        <v>BLOCKED</v>
      </c>
      <c r="D3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7" t="str">
        <f>_xlfn.XLOOKUP(tblTargetStatus[[#This Row],[TargetID]],tblTargets[TargetID],tblTargets[TargetType],"")</f>
        <v>QUEST</v>
      </c>
      <c r="F367" t="str">
        <f>_xlfn.XLOOKUP(tblTargetStatus[[#This Row],[TargetID]],tblTargets[TargetID],tblTargets[StateType])</f>
        <v/>
      </c>
      <c r="G367">
        <f>_xlfn.LET(
_xlpm.id,tblTargetStatus[[#This Row],[TargetID]],
_xlpm.depCount,COUNTIF(tblDependencies[TargetID],_xlpm.id),
_xlpm.objCount,COUNTIF(tblQuestObjectives[QuestTargetID],_xlpm.id),
_xlpm.depCount+_xlpm.objCount
)</f>
        <v>3</v>
      </c>
      <c r="H367">
        <f>tblTargetStatus[[#This Row],[DependencyCount]]</f>
        <v>3</v>
      </c>
      <c r="I367" cm="1">
        <f t="array" ref="I3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7">
        <f>tblTargetStatus[[#This Row],[CompletedDependencyCount]]</f>
        <v>0</v>
      </c>
      <c r="K367" t="b">
        <f>tblTargetStatus[[#This Row],[CompletedDependencies]]=tblTargetStatus[[#This Row],[TotalDependencies]]</f>
        <v>0</v>
      </c>
      <c r="L367">
        <f>tblTargetStatus[[#This Row],[TotalDependencies]]-tblTargetStatus[[#This Row],[CompletedDependencies]]</f>
        <v>3</v>
      </c>
      <c r="M367" t="str" cm="1">
        <f t="array" ref="M3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quest.undead_revenge.accepted</v>
      </c>
      <c r="N367" t="str">
        <f>IF(tblTargetStatus[[#This Row],[FirstMissingDependencyID]]="","",_xlfn.XLOOKUP(tblTargetStatus[[#This Row],[FirstMissingDependencyID]],tblTargets[TargetID],tblTargets[DisplayName],tblTargetStatus[[#This Row],[FirstMissingDependencyID]]))</f>
        <v>Undead Revenge Accepted</v>
      </c>
      <c r="O367" s="2" cm="1">
        <f t="array" ref="O3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7" t="str">
        <f>IF(tblTargetStatus[[#This Row],[FirstMissingDependencyID]]="","",_xlfn.XLOOKUP(tblTargetStatus[[#This Row],[FirstMissingDependencyID]],tblTargetStatus[TargetID],tblTargetStatus[Status],""))</f>
        <v>BLOCKED</v>
      </c>
      <c r="Q367" t="str">
        <f>IF(
 tblTargetStatus[[#This Row],[Status]]&lt;&gt;"BLOCKED",
 tblTargetStatus[[#This Row],[Status]],
 IF(
  AND(
   tblTargetStatus[[#This Row],[MissingDependencies]]=1,
   tblTargetStatus[[#This Row],[FirstMissingStatus]]="READY"
  ),
  "ONE AWAY",
  "BLOCKED"
 )
)</f>
        <v>BLOCKED</v>
      </c>
      <c r="R367">
        <f>IF(
 OR(
  tblTargetStatus[[#This Row],[StateType]]="CHARACTER",
  RIGHT(tblTargetStatus[[#This Row],[TargetID]],6)=".maxed"
 ),
 0,
 _xlfn.LET(
  _xlpm.sort,
   _xlfn.XLOOKUP(
    tblTargetStatus[[#This Row],[TargetID]],
    tblChecklist[TargetID],
    tblChecklist[PlayerSort],
    0
   ),
  IF(_xlpm.sort=0,500,_xlpm.sort)
 )
)</f>
        <v>500</v>
      </c>
      <c r="S367" t="str" cm="1">
        <f t="array" ref="S36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67" t="str">
        <f>_xlfn.XLOOKUP(tblTargetStatus[[#This Row],[TargetID]],tblTargets[TargetID],tblTargets[CompletionMethod],"")</f>
        <v>PLAYER</v>
      </c>
      <c r="U367" t="b">
        <f>COUNTIF(
    tblCost[TargetID],
    tblTargetStatus[[#This Row],[TargetID]]
)&gt;0</f>
        <v>0</v>
      </c>
      <c r="V367" s="81" t="str">
        <f>IF(tblTargetStatus[[#This Row],[HasCost]]=FALSE,
"N/A",
_xlfn.XLOOKUP(
tblTargetStatus[[#This Row],[TargetID]],
tblCost[TargetID],
tblCost[FundingPercent],
""
)
)</f>
        <v>N/A</v>
      </c>
      <c r="W367" t="str">
        <f>IF(
COUNTIF(tblCost[TargetID],tblTargetStatus[[#This Row],[TargetID]])=0,
"",
_xlfn.XLOOKUP(
tblTargetStatus[[#This Row],[TargetID]],
tblCost[TargetID],
tblCost[RemainingRequirements],
""
)
)</f>
        <v/>
      </c>
      <c r="X367" s="79" t="str">
        <f>IF(tblTargetStatus[[#This Row],[HasCost]]=FALSE,"N/A",_xlfn.XLOOKUP(
tblTargetStatus[[#This Row],[TargetID]],
tblCost[TargetID],
tblCost[TargetFunded],
TRUE
))</f>
        <v>N/A</v>
      </c>
      <c r="Y367" t="str" cm="1">
        <f t="array" ref="Y367">_xlfn.TEXTJOIN(
", ",
TRUE,
_xlfn._xlws.FILTER(
tblCost[ResourceID]&amp;": "&amp;tblCost[QuantityRequired],
(tblCost[TargetID]=tblTargetStatus[[#This Row],[TargetID]])*
(tblCost[PlayerPaid]=FALSE),
""
)
)</f>
        <v/>
      </c>
      <c r="Z3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7" t="str" cm="1">
        <f t="array" ref="AA36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68" spans="1:27">
      <c r="A368" t="s">
        <v>6098</v>
      </c>
      <c r="B368" t="str">
        <f>_xlfn.XLOOKUP(tblTargetStatus[[#This Row],[TargetID]],tblTargets[TargetID],tblTargets[DisplayName],"")</f>
        <v>Defeat Bone Dragon in 4C</v>
      </c>
      <c r="C368" t="str">
        <f>IF(tblTargetStatus[[#This Row],[PlayerCompleted]],"COMPLETED",IF(tblTargetStatus[[#This Row],[MissingDependencies]]=0,"READY","BLOCKED"))</f>
        <v>BLOCKED</v>
      </c>
      <c r="D3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8" t="str">
        <f>_xlfn.XLOOKUP(tblTargetStatus[[#This Row],[TargetID]],tblTargets[TargetID],tblTargets[TargetType],"")</f>
        <v>STATE</v>
      </c>
      <c r="F368" t="str">
        <f>_xlfn.XLOOKUP(tblTargetStatus[[#This Row],[TargetID]],tblTargets[TargetID],tblTargets[StateType])</f>
        <v>ACTION</v>
      </c>
      <c r="G368">
        <f>_xlfn.LET(
_xlpm.id,tblTargetStatus[[#This Row],[TargetID]],
_xlpm.depCount,COUNTIF(tblDependencies[TargetID],_xlpm.id),
_xlpm.objCount,COUNTIF(tblQuestObjectives[QuestTargetID],_xlpm.id),
_xlpm.depCount+_xlpm.objCount
)</f>
        <v>1</v>
      </c>
      <c r="H368">
        <f>tblTargetStatus[[#This Row],[DependencyCount]]</f>
        <v>1</v>
      </c>
      <c r="I368" cm="1">
        <f t="array" ref="I3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8">
        <f>tblTargetStatus[[#This Row],[CompletedDependencyCount]]</f>
        <v>0</v>
      </c>
      <c r="K368" t="b">
        <f>tblTargetStatus[[#This Row],[CompletedDependencies]]=tblTargetStatus[[#This Row],[TotalDependencies]]</f>
        <v>0</v>
      </c>
      <c r="L368">
        <f>tblTargetStatus[[#This Row],[TotalDependencies]]-tblTargetStatus[[#This Row],[CompletedDependencies]]</f>
        <v>1</v>
      </c>
      <c r="M368" t="str" cm="1">
        <f t="array" ref="M3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quest.dragon_teeth.accepted</v>
      </c>
      <c r="N368" t="str">
        <f>IF(tblTargetStatus[[#This Row],[FirstMissingDependencyID]]="","",_xlfn.XLOOKUP(tblTargetStatus[[#This Row],[FirstMissingDependencyID]],tblTargets[TargetID],tblTargets[DisplayName],tblTargetStatus[[#This Row],[FirstMissingDependencyID]]))</f>
        <v>Dragon teeth Accepted</v>
      </c>
      <c r="O368" s="2" t="str" cm="1">
        <f t="array" ref="O3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68" t="str">
        <f>IF(tblTargetStatus[[#This Row],[FirstMissingDependencyID]]="","",_xlfn.XLOOKUP(tblTargetStatus[[#This Row],[FirstMissingDependencyID]],tblTargetStatus[TargetID],tblTargetStatus[Status],""))</f>
        <v>BLOCKED</v>
      </c>
      <c r="Q368" t="str">
        <f>IF(
 tblTargetStatus[[#This Row],[Status]]&lt;&gt;"BLOCKED",
 tblTargetStatus[[#This Row],[Status]],
 IF(
  AND(
   tblTargetStatus[[#This Row],[MissingDependencies]]=1,
   tblTargetStatus[[#This Row],[FirstMissingStatus]]="READY"
  ),
  "ONE AWAY",
  "BLOCKED"
 )
)</f>
        <v>BLOCKED</v>
      </c>
      <c r="R368">
        <f>IF(
 OR(
  tblTargetStatus[[#This Row],[StateType]]="CHARACTER",
  RIGHT(tblTargetStatus[[#This Row],[TargetID]],6)=".maxed"
 ),
 0,
 _xlfn.LET(
  _xlpm.sort,
   _xlfn.XLOOKUP(
    tblTargetStatus[[#This Row],[TargetID]],
    tblChecklist[TargetID],
    tblChecklist[PlayerSort],
    0
   ),
  IF(_xlpm.sort=0,500,_xlpm.sort)
 )
)</f>
        <v>500</v>
      </c>
      <c r="S368" t="str" cm="1">
        <f t="array" ref="S36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Dragon teeth Finished</v>
      </c>
      <c r="T368" t="str">
        <f>_xlfn.XLOOKUP(tblTargetStatus[[#This Row],[TargetID]],tblTargets[TargetID],tblTargets[CompletionMethod],"")</f>
        <v>PLAYER</v>
      </c>
      <c r="U368" t="b">
        <f>COUNTIF(
    tblCost[TargetID],
    tblTargetStatus[[#This Row],[TargetID]]
)&gt;0</f>
        <v>0</v>
      </c>
      <c r="V368" s="81" t="str">
        <f>IF(tblTargetStatus[[#This Row],[HasCost]]=FALSE,
"N/A",
_xlfn.XLOOKUP(
tblTargetStatus[[#This Row],[TargetID]],
tblCost[TargetID],
tblCost[FundingPercent],
""
)
)</f>
        <v>N/A</v>
      </c>
      <c r="W368" t="str">
        <f>IF(
COUNTIF(tblCost[TargetID],tblTargetStatus[[#This Row],[TargetID]])=0,
"",
_xlfn.XLOOKUP(
tblTargetStatus[[#This Row],[TargetID]],
tblCost[TargetID],
tblCost[RemainingRequirements],
""
)
)</f>
        <v/>
      </c>
      <c r="X368" s="79" t="str">
        <f>IF(tblTargetStatus[[#This Row],[HasCost]]=FALSE,"N/A",_xlfn.XLOOKUP(
tblTargetStatus[[#This Row],[TargetID]],
tblCost[TargetID],
tblCost[TargetFunded],
TRUE
))</f>
        <v>N/A</v>
      </c>
      <c r="Y368" t="str" cm="1">
        <f t="array" ref="Y368">_xlfn.TEXTJOIN(
", ",
TRUE,
_xlfn._xlws.FILTER(
tblCost[ResourceID]&amp;": "&amp;tblCost[QuantityRequired],
(tblCost[TargetID]=tblTargetStatus[[#This Row],[TargetID]])*
(tblCost[PlayerPaid]=FALSE),
""
)
)</f>
        <v/>
      </c>
      <c r="Z3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8" t="str" cm="1">
        <f t="array" ref="AA36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69" spans="1:27">
      <c r="A369" t="s">
        <v>3500</v>
      </c>
      <c r="B369" t="str">
        <f>_xlfn.XLOOKUP(tblTargetStatus[[#This Row],[TargetID]],tblTargets[TargetID],tblTargets[DisplayName],"")</f>
        <v>Action Reenter Guild</v>
      </c>
      <c r="C369" t="str">
        <f>IF(tblTargetStatus[[#This Row],[PlayerCompleted]],"COMPLETED",IF(tblTargetStatus[[#This Row],[MissingDependencies]]=0,"READY","BLOCKED"))</f>
        <v>BLOCKED</v>
      </c>
      <c r="D3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9" t="str">
        <f>_xlfn.XLOOKUP(tblTargetStatus[[#This Row],[TargetID]],tblTargets[TargetID],tblTargets[TargetType],"")</f>
        <v>STATE</v>
      </c>
      <c r="F369" t="str">
        <f>_xlfn.XLOOKUP(tblTargetStatus[[#This Row],[TargetID]],tblTargets[TargetID],tblTargets[StateType])</f>
        <v>ACTION</v>
      </c>
      <c r="G369">
        <f>_xlfn.LET(
_xlpm.id,tblTargetStatus[[#This Row],[TargetID]],
_xlpm.depCount,COUNTIF(tblDependencies[TargetID],_xlpm.id),
_xlpm.objCount,COUNTIF(tblQuestObjectives[QuestTargetID],_xlpm.id),
_xlpm.depCount+_xlpm.objCount
)</f>
        <v>1</v>
      </c>
      <c r="H369">
        <f>tblTargetStatus[[#This Row],[DependencyCount]]</f>
        <v>1</v>
      </c>
      <c r="I369" cm="1">
        <f t="array" ref="I3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9">
        <f>tblTargetStatus[[#This Row],[CompletedDependencyCount]]</f>
        <v>0</v>
      </c>
      <c r="K369" t="b">
        <f>tblTargetStatus[[#This Row],[CompletedDependencies]]=tblTargetStatus[[#This Row],[TotalDependencies]]</f>
        <v>0</v>
      </c>
      <c r="L369">
        <f>tblTargetStatus[[#This Row],[TotalDependencies]]-tblTargetStatus[[#This Row],[CompletedDependencies]]</f>
        <v>1</v>
      </c>
      <c r="M369" t="str" cm="1">
        <f t="array" ref="M3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quest.the_ordinary_days_of_an_adventurer_chapter_4.accepted</v>
      </c>
      <c r="N369" t="str">
        <f>IF(tblTargetStatus[[#This Row],[FirstMissingDependencyID]]="","",_xlfn.XLOOKUP(tblTargetStatus[[#This Row],[FirstMissingDependencyID]],tblTargets[TargetID],tblTargets[DisplayName],tblTargetStatus[[#This Row],[FirstMissingDependencyID]]))</f>
        <v>The Ordinary Days of an Adventurer Chapter 4 Accepted</v>
      </c>
      <c r="O369" t="str" cm="1">
        <f t="array" ref="O3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69" t="str">
        <f>IF(tblTargetStatus[[#This Row],[FirstMissingDependencyID]]="","",_xlfn.XLOOKUP(tblTargetStatus[[#This Row],[FirstMissingDependencyID]],tblTargetStatus[TargetID],tblTargetStatus[Status],""))</f>
        <v>BLOCKED</v>
      </c>
      <c r="Q369" t="str">
        <f>IF(
 tblTargetStatus[[#This Row],[Status]]&lt;&gt;"BLOCKED",
 tblTargetStatus[[#This Row],[Status]],
 IF(
  AND(
   tblTargetStatus[[#This Row],[MissingDependencies]]=1,
   tblTargetStatus[[#This Row],[FirstMissingStatus]]="READY"
  ),
  "ONE AWAY",
  "BLOCKED"
 )
)</f>
        <v>BLOCKED</v>
      </c>
      <c r="R369">
        <f>IF(
 OR(
  tblTargetStatus[[#This Row],[StateType]]="CHARACTER",
  RIGHT(tblTargetStatus[[#This Row],[TargetID]],6)=".maxed"
 ),
 0,
 _xlfn.LET(
  _xlpm.sort,
   _xlfn.XLOOKUP(
    tblTargetStatus[[#This Row],[TargetID]],
    tblChecklist[TargetID],
    tblChecklist[PlayerSort],
    0
   ),
  IF(_xlpm.sort=0,500,_xlpm.sort)
 )
)</f>
        <v>500</v>
      </c>
      <c r="S369" t="str" cm="1">
        <f t="array" ref="S36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5 Accepted</v>
      </c>
      <c r="T369" t="str">
        <f>_xlfn.XLOOKUP(tblTargetStatus[[#This Row],[TargetID]],tblTargets[TargetID],tblTargets[CompletionMethod],"")</f>
        <v>PLAYER</v>
      </c>
      <c r="U369" t="b">
        <f>COUNTIF(
    tblCost[TargetID],
    tblTargetStatus[[#This Row],[TargetID]]
)&gt;0</f>
        <v>0</v>
      </c>
      <c r="V369" s="81" t="str">
        <f>IF(tblTargetStatus[[#This Row],[HasCost]]=FALSE,
"N/A",
_xlfn.XLOOKUP(
tblTargetStatus[[#This Row],[TargetID]],
tblCost[TargetID],
tblCost[FundingPercent],
""
)
)</f>
        <v>N/A</v>
      </c>
      <c r="W369" t="str">
        <f>IF(
COUNTIF(tblCost[TargetID],tblTargetStatus[[#This Row],[TargetID]])=0,
"",
_xlfn.XLOOKUP(
tblTargetStatus[[#This Row],[TargetID]],
tblCost[TargetID],
tblCost[RemainingRequirements],
""
)
)</f>
        <v/>
      </c>
      <c r="X369" s="79" t="str">
        <f>IF(tblTargetStatus[[#This Row],[HasCost]]=FALSE,"N/A",_xlfn.XLOOKUP(
tblTargetStatus[[#This Row],[TargetID]],
tblCost[TargetID],
tblCost[TargetFunded],
TRUE
))</f>
        <v>N/A</v>
      </c>
      <c r="Y369" t="str" cm="1">
        <f t="array" ref="Y369">_xlfn.TEXTJOIN(
", ",
TRUE,
_xlfn._xlws.FILTER(
tblCost[ResourceID]&amp;": "&amp;tblCost[QuantityRequired],
(tblCost[TargetID]=tblTargetStatus[[#This Row],[TargetID]])*
(tblCost[PlayerPaid]=FALSE),
""
)
)</f>
        <v/>
      </c>
      <c r="Z3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9" t="str" cm="1">
        <f t="array" ref="AA36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5</v>
      </c>
    </row>
    <row r="370" spans="1:27">
      <c r="A370" t="s">
        <v>5668</v>
      </c>
      <c r="B370" t="str">
        <f>_xlfn.XLOOKUP(tblTargetStatus[[#This Row],[TargetID]],tblTargets[TargetID],tblTargets[DisplayName],"")</f>
        <v>Send Train to Sapporo</v>
      </c>
      <c r="C370" t="str">
        <f>IF(tblTargetStatus[[#This Row],[PlayerCompleted]],"COMPLETED",IF(tblTargetStatus[[#This Row],[MissingDependencies]]=0,"READY","BLOCKED"))</f>
        <v>BLOCKED</v>
      </c>
      <c r="D3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0" t="str">
        <f>_xlfn.XLOOKUP(tblTargetStatus[[#This Row],[TargetID]],tblTargets[TargetID],tblTargets[TargetType],"")</f>
        <v>STATE</v>
      </c>
      <c r="F370" t="str">
        <f>_xlfn.XLOOKUP(tblTargetStatus[[#This Row],[TargetID]],tblTargets[TargetID],tblTargets[StateType])</f>
        <v>ACTION</v>
      </c>
      <c r="G370">
        <f>_xlfn.LET(
_xlpm.id,tblTargetStatus[[#This Row],[TargetID]],
_xlpm.depCount,COUNTIF(tblDependencies[TargetID],_xlpm.id),
_xlpm.objCount,COUNTIF(tblQuestObjectives[QuestTargetID],_xlpm.id),
_xlpm.depCount+_xlpm.objCount
)</f>
        <v>2</v>
      </c>
      <c r="H370">
        <f>tblTargetStatus[[#This Row],[DependencyCount]]</f>
        <v>2</v>
      </c>
      <c r="I370" cm="1">
        <f t="array" ref="I3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0">
        <f>tblTargetStatus[[#This Row],[CompletedDependencyCount]]</f>
        <v>0</v>
      </c>
      <c r="K370" t="b">
        <f>tblTargetStatus[[#This Row],[CompletedDependencies]]=tblTargetStatus[[#This Row],[TotalDependencies]]</f>
        <v>0</v>
      </c>
      <c r="L370">
        <f>tblTargetStatus[[#This Row],[TotalDependencies]]-tblTargetStatus[[#This Row],[CompletedDependencies]]</f>
        <v>2</v>
      </c>
      <c r="M370" t="str" cm="1">
        <f t="array" ref="M3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citadel.tunnel</v>
      </c>
      <c r="N370" t="str">
        <f>IF(tblTargetStatus[[#This Row],[FirstMissingDependencyID]]="","",_xlfn.XLOOKUP(tblTargetStatus[[#This Row],[FirstMissingDependencyID]],tblTargets[TargetID],tblTargets[DisplayName],tblTargetStatus[[#This Row],[FirstMissingDependencyID]]))</f>
        <v>Tunnel</v>
      </c>
      <c r="O370" s="2" t="str" cm="1">
        <f t="array" ref="O3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0" t="str">
        <f>IF(tblTargetStatus[[#This Row],[FirstMissingDependencyID]]="","",_xlfn.XLOOKUP(tblTargetStatus[[#This Row],[FirstMissingDependencyID]],tblTargetStatus[TargetID],tblTargetStatus[Status],""))</f>
        <v>BLOCKED</v>
      </c>
      <c r="Q370" t="str">
        <f>IF(
 tblTargetStatus[[#This Row],[Status]]&lt;&gt;"BLOCKED",
 tblTargetStatus[[#This Row],[Status]],
 IF(
  AND(
   tblTargetStatus[[#This Row],[MissingDependencies]]=1,
   tblTargetStatus[[#This Row],[FirstMissingStatus]]="READY"
  ),
  "ONE AWAY",
  "BLOCKED"
 )
)</f>
        <v>BLOCKED</v>
      </c>
      <c r="R370">
        <f>IF(
 OR(
  tblTargetStatus[[#This Row],[StateType]]="CHARACTER",
  RIGHT(tblTargetStatus[[#This Row],[TargetID]],6)=".maxed"
 ),
 0,
 _xlfn.LET(
  _xlpm.sort,
   _xlfn.XLOOKUP(
    tblTargetStatus[[#This Row],[TargetID]],
    tblChecklist[TargetID],
    tblChecklist[PlayerSort],
    0
   ),
  IF(_xlpm.sort=0,500,_xlpm.sort)
 )
)</f>
        <v>500</v>
      </c>
      <c r="S370" t="str" cm="1">
        <f t="array" ref="S37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Train Lv 2, Ahead of Time Chapter 4 Finished</v>
      </c>
      <c r="T370" t="str">
        <f>_xlfn.XLOOKUP(tblTargetStatus[[#This Row],[TargetID]],tblTargets[TargetID],tblTargets[CompletionMethod],"")</f>
        <v>PLAYER</v>
      </c>
      <c r="U370" t="b">
        <f>COUNTIF(
    tblCost[TargetID],
    tblTargetStatus[[#This Row],[TargetID]]
)&gt;0</f>
        <v>0</v>
      </c>
      <c r="V370" s="81" t="str">
        <f>IF(tblTargetStatus[[#This Row],[HasCost]]=FALSE,
"N/A",
_xlfn.XLOOKUP(
tblTargetStatus[[#This Row],[TargetID]],
tblCost[TargetID],
tblCost[FundingPercent],
""
)
)</f>
        <v>N/A</v>
      </c>
      <c r="W370" t="str">
        <f>IF(
COUNTIF(tblCost[TargetID],tblTargetStatus[[#This Row],[TargetID]])=0,
"",
_xlfn.XLOOKUP(
tblTargetStatus[[#This Row],[TargetID]],
tblCost[TargetID],
tblCost[RemainingRequirements],
""
)
)</f>
        <v/>
      </c>
      <c r="X370" s="79" t="str">
        <f>IF(tblTargetStatus[[#This Row],[HasCost]]=FALSE,"N/A",_xlfn.XLOOKUP(
tblTargetStatus[[#This Row],[TargetID]],
tblCost[TargetID],
tblCost[TargetFunded],
TRUE
))</f>
        <v>N/A</v>
      </c>
      <c r="Y370" t="str" cm="1">
        <f t="array" ref="Y370">_xlfn.TEXTJOIN(
", ",
TRUE,
_xlfn._xlws.FILTER(
tblCost[ResourceID]&amp;": "&amp;tblCost[QuantityRequired],
(tblCost[TargetID]=tblTargetStatus[[#This Row],[TargetID]])*
(tblCost[PlayerPaid]=FALSE),
""
)
)</f>
        <v/>
      </c>
      <c r="Z3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0" t="str" cm="1">
        <f t="array" ref="AA37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71" spans="1:27">
      <c r="A371" t="s">
        <v>6099</v>
      </c>
      <c r="B371" t="str">
        <f>_xlfn.XLOOKUP(tblTargetStatus[[#This Row],[TargetID]],tblTargets[TargetID],tblTargets[DisplayName],"")</f>
        <v>Tame A Critter</v>
      </c>
      <c r="C371" t="str">
        <f>IF(tblTargetStatus[[#This Row],[PlayerCompleted]],"COMPLETED",IF(tblTargetStatus[[#This Row],[MissingDependencies]]=0,"READY","BLOCKED"))</f>
        <v>BLOCKED</v>
      </c>
      <c r="D3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1" t="str">
        <f>_xlfn.XLOOKUP(tblTargetStatus[[#This Row],[TargetID]],tblTargets[TargetID],tblTargets[TargetType],"")</f>
        <v>STATE</v>
      </c>
      <c r="F371" t="str">
        <f>_xlfn.XLOOKUP(tblTargetStatus[[#This Row],[TargetID]],tblTargets[TargetID],tblTargets[StateType])</f>
        <v>ACTION</v>
      </c>
      <c r="G371">
        <f>_xlfn.LET(
_xlpm.id,tblTargetStatus[[#This Row],[TargetID]],
_xlpm.depCount,COUNTIF(tblDependencies[TargetID],_xlpm.id),
_xlpm.objCount,COUNTIF(tblQuestObjectives[QuestTargetID],_xlpm.id),
_xlpm.depCount+_xlpm.objCount
)</f>
        <v>2</v>
      </c>
      <c r="H371">
        <f>tblTargetStatus[[#This Row],[DependencyCount]]</f>
        <v>2</v>
      </c>
      <c r="I371" cm="1">
        <f t="array" ref="I3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1">
        <f>tblTargetStatus[[#This Row],[CompletedDependencyCount]]</f>
        <v>0</v>
      </c>
      <c r="K371" t="b">
        <f>tblTargetStatus[[#This Row],[CompletedDependencies]]=tblTargetStatus[[#This Row],[TotalDependencies]]</f>
        <v>0</v>
      </c>
      <c r="L371">
        <f>tblTargetStatus[[#This Row],[TotalDependencies]]-tblTargetStatus[[#This Row],[CompletedDependencies]]</f>
        <v>2</v>
      </c>
      <c r="M371" t="str" cm="1">
        <f t="array" ref="M3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371" t="str">
        <f>IF(tblTargetStatus[[#This Row],[FirstMissingDependencyID]]="","",_xlfn.XLOOKUP(tblTargetStatus[[#This Row],[FirstMissingDependencyID]],tblTargets[TargetID],tblTargets[DisplayName],tblTargetStatus[[#This Row],[FirstMissingDependencyID]]))</f>
        <v>Great Hall</v>
      </c>
      <c r="O371" t="str" cm="1">
        <f t="array" ref="O3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1" t="str">
        <f>IF(tblTargetStatus[[#This Row],[FirstMissingDependencyID]]="","",_xlfn.XLOOKUP(tblTargetStatus[[#This Row],[FirstMissingDependencyID]],tblTargetStatus[TargetID],tblTargetStatus[Status],""))</f>
        <v>BLOCKED</v>
      </c>
      <c r="Q371" t="str">
        <f>IF(
 tblTargetStatus[[#This Row],[Status]]&lt;&gt;"BLOCKED",
 tblTargetStatus[[#This Row],[Status]],
 IF(
  AND(
   tblTargetStatus[[#This Row],[MissingDependencies]]=1,
   tblTargetStatus[[#This Row],[FirstMissingStatus]]="READY"
  ),
  "ONE AWAY",
  "BLOCKED"
 )
)</f>
        <v>BLOCKED</v>
      </c>
      <c r="R371">
        <f>IF(
 OR(
  tblTargetStatus[[#This Row],[StateType]]="CHARACTER",
  RIGHT(tblTargetStatus[[#This Row],[TargetID]],6)=".maxed"
 ),
 0,
 _xlfn.LET(
  _xlpm.sort,
   _xlfn.XLOOKUP(
    tblTargetStatus[[#This Row],[TargetID]],
    tblChecklist[TargetID],
    tblChecklist[PlayerSort],
    0
   ),
  IF(_xlpm.sort=0,500,_xlpm.sort)
 )
)</f>
        <v>500</v>
      </c>
      <c r="S371" t="str" cm="1">
        <f t="array" ref="S37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Lair lvl. 1</v>
      </c>
      <c r="T371" t="str">
        <f>_xlfn.XLOOKUP(tblTargetStatus[[#This Row],[TargetID]],tblTargets[TargetID],tblTargets[CompletionMethod],"")</f>
        <v>PLAYER</v>
      </c>
      <c r="U371" t="b">
        <f>COUNTIF(
    tblCost[TargetID],
    tblTargetStatus[[#This Row],[TargetID]]
)&gt;0</f>
        <v>0</v>
      </c>
      <c r="V371" s="81" t="str">
        <f>IF(tblTargetStatus[[#This Row],[HasCost]]=FALSE,
"N/A",
_xlfn.XLOOKUP(
tblTargetStatus[[#This Row],[TargetID]],
tblCost[TargetID],
tblCost[FundingPercent],
""
)
)</f>
        <v>N/A</v>
      </c>
      <c r="W371" t="str">
        <f>IF(
COUNTIF(tblCost[TargetID],tblTargetStatus[[#This Row],[TargetID]])=0,
"",
_xlfn.XLOOKUP(
tblTargetStatus[[#This Row],[TargetID]],
tblCost[TargetID],
tblCost[RemainingRequirements],
""
)
)</f>
        <v/>
      </c>
      <c r="X371" s="79" t="str">
        <f>IF(tblTargetStatus[[#This Row],[HasCost]]=FALSE,"N/A",_xlfn.XLOOKUP(
tblTargetStatus[[#This Row],[TargetID]],
tblCost[TargetID],
tblCost[TargetFunded],
TRUE
))</f>
        <v>N/A</v>
      </c>
      <c r="Y371" t="str" cm="1">
        <f t="array" ref="Y371">_xlfn.TEXTJOIN(
", ",
TRUE,
_xlfn._xlws.FILTER(
tblCost[ResourceID]&amp;": "&amp;tblCost[QuantityRequired],
(tblCost[TargetID]=tblTargetStatus[[#This Row],[TargetID]])*
(tblCost[PlayerPaid]=FALSE),
""
)
)</f>
        <v/>
      </c>
      <c r="Z3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1" t="str" cm="1">
        <f t="array" ref="AA37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72" spans="1:27">
      <c r="A372" t="s">
        <v>6087</v>
      </c>
      <c r="B372" t="str">
        <f>_xlfn.XLOOKUP(tblTargetStatus[[#This Row],[TargetID]],tblTargets[TargetID],tblTargets[DisplayName],"")</f>
        <v>Learn character skill cartographer lvl 1</v>
      </c>
      <c r="C372" t="str">
        <f>IF(tblTargetStatus[[#This Row],[PlayerCompleted]],"COMPLETED",IF(tblTargetStatus[[#This Row],[MissingDependencies]]=0,"READY","BLOCKED"))</f>
        <v>READY</v>
      </c>
      <c r="D3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2" t="str">
        <f>_xlfn.XLOOKUP(tblTargetStatus[[#This Row],[TargetID]],tblTargets[TargetID],tblTargets[TargetType],"")</f>
        <v>STATE</v>
      </c>
      <c r="F372" t="str">
        <f>_xlfn.XLOOKUP(tblTargetStatus[[#This Row],[TargetID]],tblTargets[TargetID],tblTargets[StateType])</f>
        <v>CHARACTER</v>
      </c>
      <c r="G372">
        <f>_xlfn.LET(
_xlpm.id,tblTargetStatus[[#This Row],[TargetID]],
_xlpm.depCount,COUNTIF(tblDependencies[TargetID],_xlpm.id),
_xlpm.objCount,COUNTIF(tblQuestObjectives[QuestTargetID],_xlpm.id),
_xlpm.depCount+_xlpm.objCount
)</f>
        <v>0</v>
      </c>
      <c r="H372">
        <f>tblTargetStatus[[#This Row],[DependencyCount]]</f>
        <v>0</v>
      </c>
      <c r="I372" cm="1">
        <f t="array" ref="I3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2">
        <f>tblTargetStatus[[#This Row],[CompletedDependencyCount]]</f>
        <v>0</v>
      </c>
      <c r="K372" t="b">
        <f>tblTargetStatus[[#This Row],[CompletedDependencies]]=tblTargetStatus[[#This Row],[TotalDependencies]]</f>
        <v>1</v>
      </c>
      <c r="L372">
        <f>tblTargetStatus[[#This Row],[TotalDependencies]]-tblTargetStatus[[#This Row],[CompletedDependencies]]</f>
        <v>0</v>
      </c>
      <c r="M372" t="str" cm="1">
        <f t="array" ref="M3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2" t="str">
        <f>IF(tblTargetStatus[[#This Row],[FirstMissingDependencyID]]="","",_xlfn.XLOOKUP(tblTargetStatus[[#This Row],[FirstMissingDependencyID]],tblTargets[TargetID],tblTargets[DisplayName],tblTargetStatus[[#This Row],[FirstMissingDependencyID]]))</f>
        <v/>
      </c>
      <c r="O372" s="2" t="str" cm="1">
        <f t="array" ref="O3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2" t="str">
        <f>IF(tblTargetStatus[[#This Row],[FirstMissingDependencyID]]="","",_xlfn.XLOOKUP(tblTargetStatus[[#This Row],[FirstMissingDependencyID]],tblTargetStatus[TargetID],tblTargetStatus[Status],""))</f>
        <v/>
      </c>
      <c r="Q372" t="str">
        <f>IF(
 tblTargetStatus[[#This Row],[Status]]&lt;&gt;"BLOCKED",
 tblTargetStatus[[#This Row],[Status]],
 IF(
  AND(
   tblTargetStatus[[#This Row],[MissingDependencies]]=1,
   tblTargetStatus[[#This Row],[FirstMissingStatus]]="READY"
  ),
  "ONE AWAY",
  "BLOCKED"
 )
)</f>
        <v>READY</v>
      </c>
      <c r="R372">
        <f>IF(
 OR(
  tblTargetStatus[[#This Row],[StateType]]="CHARACTER",
  RIGHT(tblTargetStatus[[#This Row],[TargetID]],6)=".maxed"
 ),
 0,
 _xlfn.LET(
  _xlpm.sort,
   _xlfn.XLOOKUP(
    tblTargetStatus[[#This Row],[TargetID]],
    tblChecklist[TargetID],
    tblChecklist[PlayerSort],
    0
   ),
  IF(_xlpm.sort=0,500,_xlpm.sort)
 )
)</f>
        <v>0</v>
      </c>
      <c r="S372" t="str" cm="1">
        <f t="array" ref="S37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72" t="str">
        <f>_xlfn.XLOOKUP(tblTargetStatus[[#This Row],[TargetID]],tblTargets[TargetID],tblTargets[CompletionMethod],"")</f>
        <v>PLAYER</v>
      </c>
      <c r="U372" t="b">
        <f>COUNTIF(
    tblCost[TargetID],
    tblTargetStatus[[#This Row],[TargetID]]
)&gt;0</f>
        <v>0</v>
      </c>
      <c r="V372" s="81" t="str">
        <f>IF(tblTargetStatus[[#This Row],[HasCost]]=FALSE,
"N/A",
_xlfn.XLOOKUP(
tblTargetStatus[[#This Row],[TargetID]],
tblCost[TargetID],
tblCost[FundingPercent],
""
)
)</f>
        <v>N/A</v>
      </c>
      <c r="W372" t="str">
        <f>IF(
COUNTIF(tblCost[TargetID],tblTargetStatus[[#This Row],[TargetID]])=0,
"",
_xlfn.XLOOKUP(
tblTargetStatus[[#This Row],[TargetID]],
tblCost[TargetID],
tblCost[RemainingRequirements],
""
)
)</f>
        <v/>
      </c>
      <c r="X372" s="79" t="str">
        <f>IF(tblTargetStatus[[#This Row],[HasCost]]=FALSE,"N/A",_xlfn.XLOOKUP(
tblTargetStatus[[#This Row],[TargetID]],
tblCost[TargetID],
tblCost[TargetFunded],
TRUE
))</f>
        <v>N/A</v>
      </c>
      <c r="Y372" t="str" cm="1">
        <f t="array" ref="Y372">_xlfn.TEXTJOIN(
", ",
TRUE,
_xlfn._xlws.FILTER(
tblCost[ResourceID]&amp;": "&amp;tblCost[QuantityRequired],
(tblCost[TargetID]=tblTargetStatus[[#This Row],[TargetID]])*
(tblCost[PlayerPaid]=FALSE),
""
)
)</f>
        <v/>
      </c>
      <c r="Z3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2" t="str" cm="1">
        <f t="array" ref="AA37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73" spans="1:27">
      <c r="A373" t="s">
        <v>6086</v>
      </c>
      <c r="B373" t="str">
        <f>_xlfn.XLOOKUP(tblTargetStatus[[#This Row],[TargetID]],tblTargets[TargetID],tblTargets[DisplayName],"")</f>
        <v>Learn character skill cartographer lvl 2</v>
      </c>
      <c r="C373" t="str">
        <f>IF(tblTargetStatus[[#This Row],[PlayerCompleted]],"COMPLETED",IF(tblTargetStatus[[#This Row],[MissingDependencies]]=0,"READY","BLOCKED"))</f>
        <v>READY</v>
      </c>
      <c r="D3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3" t="str">
        <f>_xlfn.XLOOKUP(tblTargetStatus[[#This Row],[TargetID]],tblTargets[TargetID],tblTargets[TargetType],"")</f>
        <v>STATE</v>
      </c>
      <c r="F373" t="str">
        <f>_xlfn.XLOOKUP(tblTargetStatus[[#This Row],[TargetID]],tblTargets[TargetID],tblTargets[StateType])</f>
        <v>CHARACTER</v>
      </c>
      <c r="G373">
        <f>_xlfn.LET(
_xlpm.id,tblTargetStatus[[#This Row],[TargetID]],
_xlpm.depCount,COUNTIF(tblDependencies[TargetID],_xlpm.id),
_xlpm.objCount,COUNTIF(tblQuestObjectives[QuestTargetID],_xlpm.id),
_xlpm.depCount+_xlpm.objCount
)</f>
        <v>0</v>
      </c>
      <c r="H373">
        <f>tblTargetStatus[[#This Row],[DependencyCount]]</f>
        <v>0</v>
      </c>
      <c r="I373" cm="1">
        <f t="array" ref="I3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3">
        <f>tblTargetStatus[[#This Row],[CompletedDependencyCount]]</f>
        <v>0</v>
      </c>
      <c r="K373" t="b">
        <f>tblTargetStatus[[#This Row],[CompletedDependencies]]=tblTargetStatus[[#This Row],[TotalDependencies]]</f>
        <v>1</v>
      </c>
      <c r="L373">
        <f>tblTargetStatus[[#This Row],[TotalDependencies]]-tblTargetStatus[[#This Row],[CompletedDependencies]]</f>
        <v>0</v>
      </c>
      <c r="M373" t="str" cm="1">
        <f t="array" ref="M3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3" t="str">
        <f>IF(tblTargetStatus[[#This Row],[FirstMissingDependencyID]]="","",_xlfn.XLOOKUP(tblTargetStatus[[#This Row],[FirstMissingDependencyID]],tblTargets[TargetID],tblTargets[DisplayName],tblTargetStatus[[#This Row],[FirstMissingDependencyID]]))</f>
        <v/>
      </c>
      <c r="O373" s="2" t="str" cm="1">
        <f t="array" ref="O3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3" t="str">
        <f>IF(tblTargetStatus[[#This Row],[FirstMissingDependencyID]]="","",_xlfn.XLOOKUP(tblTargetStatus[[#This Row],[FirstMissingDependencyID]],tblTargetStatus[TargetID],tblTargetStatus[Status],""))</f>
        <v/>
      </c>
      <c r="Q373" t="str">
        <f>IF(
 tblTargetStatus[[#This Row],[Status]]&lt;&gt;"BLOCKED",
 tblTargetStatus[[#This Row],[Status]],
 IF(
  AND(
   tblTargetStatus[[#This Row],[MissingDependencies]]=1,
   tblTargetStatus[[#This Row],[FirstMissingStatus]]="READY"
  ),
  "ONE AWAY",
  "BLOCKED"
 )
)</f>
        <v>READY</v>
      </c>
      <c r="R373">
        <f>IF(
 OR(
  tblTargetStatus[[#This Row],[StateType]]="CHARACTER",
  RIGHT(tblTargetStatus[[#This Row],[TargetID]],6)=".maxed"
 ),
 0,
 _xlfn.LET(
  _xlpm.sort,
   _xlfn.XLOOKUP(
    tblTargetStatus[[#This Row],[TargetID]],
    tblChecklist[TargetID],
    tblChecklist[PlayerSort],
    0
   ),
  IF(_xlpm.sort=0,500,_xlpm.sort)
 )
)</f>
        <v>0</v>
      </c>
      <c r="S373" t="str" cm="1">
        <f t="array" ref="S37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1 Finished</v>
      </c>
      <c r="T373" t="str">
        <f>_xlfn.XLOOKUP(tblTargetStatus[[#This Row],[TargetID]],tblTargets[TargetID],tblTargets[CompletionMethod],"")</f>
        <v>PLAYER</v>
      </c>
      <c r="U373" t="b">
        <f>COUNTIF(
    tblCost[TargetID],
    tblTargetStatus[[#This Row],[TargetID]]
)&gt;0</f>
        <v>0</v>
      </c>
      <c r="V373" s="81" t="str">
        <f>IF(tblTargetStatus[[#This Row],[HasCost]]=FALSE,
"N/A",
_xlfn.XLOOKUP(
tblTargetStatus[[#This Row],[TargetID]],
tblCost[TargetID],
tblCost[FundingPercent],
""
)
)</f>
        <v>N/A</v>
      </c>
      <c r="W373" t="str">
        <f>IF(
COUNTIF(tblCost[TargetID],tblTargetStatus[[#This Row],[TargetID]])=0,
"",
_xlfn.XLOOKUP(
tblTargetStatus[[#This Row],[TargetID]],
tblCost[TargetID],
tblCost[RemainingRequirements],
""
)
)</f>
        <v/>
      </c>
      <c r="X373" s="79" t="str">
        <f>IF(tblTargetStatus[[#This Row],[HasCost]]=FALSE,"N/A",_xlfn.XLOOKUP(
tblTargetStatus[[#This Row],[TargetID]],
tblCost[TargetID],
tblCost[TargetFunded],
TRUE
))</f>
        <v>N/A</v>
      </c>
      <c r="Y373" t="str" cm="1">
        <f t="array" ref="Y373">_xlfn.TEXTJOIN(
", ",
TRUE,
_xlfn._xlws.FILTER(
tblCost[ResourceID]&amp;": "&amp;tblCost[QuantityRequired],
(tblCost[TargetID]=tblTargetStatus[[#This Row],[TargetID]])*
(tblCost[PlayerPaid]=FALSE),
""
)
)</f>
        <v/>
      </c>
      <c r="Z3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3" t="str" cm="1">
        <f t="array" ref="AA37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74" spans="1:27">
      <c r="A374" t="s">
        <v>6088</v>
      </c>
      <c r="B374" t="str">
        <f>_xlfn.XLOOKUP(tblTargetStatus[[#This Row],[TargetID]],tblTargets[TargetID],tblTargets[DisplayName],"")</f>
        <v>Learn character skill cartographer lvl 3</v>
      </c>
      <c r="C374" t="str">
        <f>IF(tblTargetStatus[[#This Row],[PlayerCompleted]],"COMPLETED",IF(tblTargetStatus[[#This Row],[MissingDependencies]]=0,"READY","BLOCKED"))</f>
        <v>READY</v>
      </c>
      <c r="D3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4" t="str">
        <f>_xlfn.XLOOKUP(tblTargetStatus[[#This Row],[TargetID]],tblTargets[TargetID],tblTargets[TargetType],"")</f>
        <v>STATE</v>
      </c>
      <c r="F374" t="str">
        <f>_xlfn.XLOOKUP(tblTargetStatus[[#This Row],[TargetID]],tblTargets[TargetID],tblTargets[StateType])</f>
        <v>CHARACTER</v>
      </c>
      <c r="G374">
        <f>_xlfn.LET(
_xlpm.id,tblTargetStatus[[#This Row],[TargetID]],
_xlpm.depCount,COUNTIF(tblDependencies[TargetID],_xlpm.id),
_xlpm.objCount,COUNTIF(tblQuestObjectives[QuestTargetID],_xlpm.id),
_xlpm.depCount+_xlpm.objCount
)</f>
        <v>0</v>
      </c>
      <c r="H374">
        <f>tblTargetStatus[[#This Row],[DependencyCount]]</f>
        <v>0</v>
      </c>
      <c r="I374" cm="1">
        <f t="array" ref="I3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4">
        <f>tblTargetStatus[[#This Row],[CompletedDependencyCount]]</f>
        <v>0</v>
      </c>
      <c r="K374" t="b">
        <f>tblTargetStatus[[#This Row],[CompletedDependencies]]=tblTargetStatus[[#This Row],[TotalDependencies]]</f>
        <v>1</v>
      </c>
      <c r="L374">
        <f>tblTargetStatus[[#This Row],[TotalDependencies]]-tblTargetStatus[[#This Row],[CompletedDependencies]]</f>
        <v>0</v>
      </c>
      <c r="M374" t="str" cm="1">
        <f t="array" ref="M3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4" t="str">
        <f>IF(tblTargetStatus[[#This Row],[FirstMissingDependencyID]]="","",_xlfn.XLOOKUP(tblTargetStatus[[#This Row],[FirstMissingDependencyID]],tblTargets[TargetID],tblTargets[DisplayName],tblTargetStatus[[#This Row],[FirstMissingDependencyID]]))</f>
        <v/>
      </c>
      <c r="O374" s="2" t="str" cm="1">
        <f t="array" ref="O3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4" t="str">
        <f>IF(tblTargetStatus[[#This Row],[FirstMissingDependencyID]]="","",_xlfn.XLOOKUP(tblTargetStatus[[#This Row],[FirstMissingDependencyID]],tblTargetStatus[TargetID],tblTargetStatus[Status],""))</f>
        <v/>
      </c>
      <c r="Q374" t="str">
        <f>IF(
 tblTargetStatus[[#This Row],[Status]]&lt;&gt;"BLOCKED",
 tblTargetStatus[[#This Row],[Status]],
 IF(
  AND(
   tblTargetStatus[[#This Row],[MissingDependencies]]=1,
   tblTargetStatus[[#This Row],[FirstMissingStatus]]="READY"
  ),
  "ONE AWAY",
  "BLOCKED"
 )
)</f>
        <v>READY</v>
      </c>
      <c r="R374">
        <f>IF(
 OR(
  tblTargetStatus[[#This Row],[StateType]]="CHARACTER",
  RIGHT(tblTargetStatus[[#This Row],[TargetID]],6)=".maxed"
 ),
 0,
 _xlfn.LET(
  _xlpm.sort,
   _xlfn.XLOOKUP(
    tblTargetStatus[[#This Row],[TargetID]],
    tblChecklist[TargetID],
    tblChecklist[PlayerSort],
    0
   ),
  IF(_xlpm.sort=0,500,_xlpm.sort)
 )
)</f>
        <v>0</v>
      </c>
      <c r="S374" t="str" cm="1">
        <f t="array" ref="S37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74" t="str">
        <f>_xlfn.XLOOKUP(tblTargetStatus[[#This Row],[TargetID]],tblTargets[TargetID],tblTargets[CompletionMethod],"")</f>
        <v>PLAYER</v>
      </c>
      <c r="U374" t="b">
        <f>COUNTIF(
    tblCost[TargetID],
    tblTargetStatus[[#This Row],[TargetID]]
)&gt;0</f>
        <v>0</v>
      </c>
      <c r="V374" s="81" t="str">
        <f>IF(tblTargetStatus[[#This Row],[HasCost]]=FALSE,
"N/A",
_xlfn.XLOOKUP(
tblTargetStatus[[#This Row],[TargetID]],
tblCost[TargetID],
tblCost[FundingPercent],
""
)
)</f>
        <v>N/A</v>
      </c>
      <c r="W374" t="str">
        <f>IF(
COUNTIF(tblCost[TargetID],tblTargetStatus[[#This Row],[TargetID]])=0,
"",
_xlfn.XLOOKUP(
tblTargetStatus[[#This Row],[TargetID]],
tblCost[TargetID],
tblCost[RemainingRequirements],
""
)
)</f>
        <v/>
      </c>
      <c r="X374" s="79" t="str">
        <f>IF(tblTargetStatus[[#This Row],[HasCost]]=FALSE,"N/A",_xlfn.XLOOKUP(
tblTargetStatus[[#This Row],[TargetID]],
tblCost[TargetID],
tblCost[TargetFunded],
TRUE
))</f>
        <v>N/A</v>
      </c>
      <c r="Y374" t="str" cm="1">
        <f t="array" ref="Y374">_xlfn.TEXTJOIN(
", ",
TRUE,
_xlfn._xlws.FILTER(
tblCost[ResourceID]&amp;": "&amp;tblCost[QuantityRequired],
(tblCost[TargetID]=tblTargetStatus[[#This Row],[TargetID]])*
(tblCost[PlayerPaid]=FALSE),
""
)
)</f>
        <v/>
      </c>
      <c r="Z3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4" t="str" cm="1">
        <f t="array" ref="AA37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75" spans="1:27">
      <c r="A375" t="s">
        <v>6085</v>
      </c>
      <c r="B375" t="str">
        <f>_xlfn.XLOOKUP(tblTargetStatus[[#This Row],[TargetID]],tblTargets[TargetID],tblTargets[DisplayName],"")</f>
        <v>Learn character skill cartographer lvl 4</v>
      </c>
      <c r="C375" t="str">
        <f>IF(tblTargetStatus[[#This Row],[PlayerCompleted]],"COMPLETED",IF(tblTargetStatus[[#This Row],[MissingDependencies]]=0,"READY","BLOCKED"))</f>
        <v>READY</v>
      </c>
      <c r="D3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5" t="str">
        <f>_xlfn.XLOOKUP(tblTargetStatus[[#This Row],[TargetID]],tblTargets[TargetID],tblTargets[TargetType],"")</f>
        <v>STATE</v>
      </c>
      <c r="F375" t="str">
        <f>_xlfn.XLOOKUP(tblTargetStatus[[#This Row],[TargetID]],tblTargets[TargetID],tblTargets[StateType])</f>
        <v>CHARACTER</v>
      </c>
      <c r="G375">
        <f>_xlfn.LET(
_xlpm.id,tblTargetStatus[[#This Row],[TargetID]],
_xlpm.depCount,COUNTIF(tblDependencies[TargetID],_xlpm.id),
_xlpm.objCount,COUNTIF(tblQuestObjectives[QuestTargetID],_xlpm.id),
_xlpm.depCount+_xlpm.objCount
)</f>
        <v>0</v>
      </c>
      <c r="H375">
        <f>tblTargetStatus[[#This Row],[DependencyCount]]</f>
        <v>0</v>
      </c>
      <c r="I375" cm="1">
        <f t="array" ref="I3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5">
        <f>tblTargetStatus[[#This Row],[CompletedDependencyCount]]</f>
        <v>0</v>
      </c>
      <c r="K375" t="b">
        <f>tblTargetStatus[[#This Row],[CompletedDependencies]]=tblTargetStatus[[#This Row],[TotalDependencies]]</f>
        <v>1</v>
      </c>
      <c r="L375">
        <f>tblTargetStatus[[#This Row],[TotalDependencies]]-tblTargetStatus[[#This Row],[CompletedDependencies]]</f>
        <v>0</v>
      </c>
      <c r="M375" t="str" cm="1">
        <f t="array" ref="M3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5" t="str">
        <f>IF(tblTargetStatus[[#This Row],[FirstMissingDependencyID]]="","",_xlfn.XLOOKUP(tblTargetStatus[[#This Row],[FirstMissingDependencyID]],tblTargets[TargetID],tblTargets[DisplayName],tblTargetStatus[[#This Row],[FirstMissingDependencyID]]))</f>
        <v/>
      </c>
      <c r="O375" s="2" t="str" cm="1">
        <f t="array" ref="O3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5" t="str">
        <f>IF(tblTargetStatus[[#This Row],[FirstMissingDependencyID]]="","",_xlfn.XLOOKUP(tblTargetStatus[[#This Row],[FirstMissingDependencyID]],tblTargetStatus[TargetID],tblTargetStatus[Status],""))</f>
        <v/>
      </c>
      <c r="Q375" t="str">
        <f>IF(
 tblTargetStatus[[#This Row],[Status]]&lt;&gt;"BLOCKED",
 tblTargetStatus[[#This Row],[Status]],
 IF(
  AND(
   tblTargetStatus[[#This Row],[MissingDependencies]]=1,
   tblTargetStatus[[#This Row],[FirstMissingStatus]]="READY"
  ),
  "ONE AWAY",
  "BLOCKED"
 )
)</f>
        <v>READY</v>
      </c>
      <c r="R375">
        <f>IF(
 OR(
  tblTargetStatus[[#This Row],[StateType]]="CHARACTER",
  RIGHT(tblTargetStatus[[#This Row],[TargetID]],6)=".maxed"
 ),
 0,
 _xlfn.LET(
  _xlpm.sort,
   _xlfn.XLOOKUP(
    tblTargetStatus[[#This Row],[TargetID]],
    tblChecklist[TargetID],
    tblChecklist[PlayerSort],
    0
   ),
  IF(_xlpm.sort=0,500,_xlpm.sort)
 )
)</f>
        <v>0</v>
      </c>
      <c r="S375" t="str" cm="1">
        <f t="array" ref="S37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6 Finished</v>
      </c>
      <c r="T375" t="str">
        <f>_xlfn.XLOOKUP(tblTargetStatus[[#This Row],[TargetID]],tblTargets[TargetID],tblTargets[CompletionMethod],"")</f>
        <v>PLAYER</v>
      </c>
      <c r="U375" t="b">
        <f>COUNTIF(
    tblCost[TargetID],
    tblTargetStatus[[#This Row],[TargetID]]
)&gt;0</f>
        <v>0</v>
      </c>
      <c r="V375" s="81" t="str">
        <f>IF(tblTargetStatus[[#This Row],[HasCost]]=FALSE,
"N/A",
_xlfn.XLOOKUP(
tblTargetStatus[[#This Row],[TargetID]],
tblCost[TargetID],
tblCost[FundingPercent],
""
)
)</f>
        <v>N/A</v>
      </c>
      <c r="W375" t="str">
        <f>IF(
COUNTIF(tblCost[TargetID],tblTargetStatus[[#This Row],[TargetID]])=0,
"",
_xlfn.XLOOKUP(
tblTargetStatus[[#This Row],[TargetID]],
tblCost[TargetID],
tblCost[RemainingRequirements],
""
)
)</f>
        <v/>
      </c>
      <c r="X375" s="79" t="str">
        <f>IF(tblTargetStatus[[#This Row],[HasCost]]=FALSE,"N/A",_xlfn.XLOOKUP(
tblTargetStatus[[#This Row],[TargetID]],
tblCost[TargetID],
tblCost[TargetFunded],
TRUE
))</f>
        <v>N/A</v>
      </c>
      <c r="Y375" t="str" cm="1">
        <f t="array" ref="Y375">_xlfn.TEXTJOIN(
", ",
TRUE,
_xlfn._xlws.FILTER(
tblCost[ResourceID]&amp;": "&amp;tblCost[QuantityRequired],
(tblCost[TargetID]=tblTargetStatus[[#This Row],[TargetID]])*
(tblCost[PlayerPaid]=FALSE),
""
)
)</f>
        <v/>
      </c>
      <c r="Z3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5" t="str" cm="1">
        <f t="array" ref="AA37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76" spans="1:27">
      <c r="A376" t="s">
        <v>6092</v>
      </c>
      <c r="B376" t="str">
        <f>_xlfn.XLOOKUP(tblTargetStatus[[#This Row],[TargetID]],tblTargets[TargetID],tblTargets[DisplayName],"")</f>
        <v>Attain level 1 cooking skill</v>
      </c>
      <c r="C376" t="str">
        <f>IF(tblTargetStatus[[#This Row],[PlayerCompleted]],"COMPLETED",IF(tblTargetStatus[[#This Row],[MissingDependencies]]=0,"READY","BLOCKED"))</f>
        <v>READY</v>
      </c>
      <c r="D3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6" t="str">
        <f>_xlfn.XLOOKUP(tblTargetStatus[[#This Row],[TargetID]],tblTargets[TargetID],tblTargets[TargetType],"")</f>
        <v>STATE</v>
      </c>
      <c r="F376" t="str">
        <f>_xlfn.XLOOKUP(tblTargetStatus[[#This Row],[TargetID]],tblTargets[TargetID],tblTargets[StateType])</f>
        <v>CHARACTER</v>
      </c>
      <c r="G376">
        <f>_xlfn.LET(
_xlpm.id,tblTargetStatus[[#This Row],[TargetID]],
_xlpm.depCount,COUNTIF(tblDependencies[TargetID],_xlpm.id),
_xlpm.objCount,COUNTIF(tblQuestObjectives[QuestTargetID],_xlpm.id),
_xlpm.depCount+_xlpm.objCount
)</f>
        <v>0</v>
      </c>
      <c r="H376">
        <f>tblTargetStatus[[#This Row],[DependencyCount]]</f>
        <v>0</v>
      </c>
      <c r="I376" cm="1">
        <f t="array" ref="I3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6">
        <f>tblTargetStatus[[#This Row],[CompletedDependencyCount]]</f>
        <v>0</v>
      </c>
      <c r="K376" t="b">
        <f>tblTargetStatus[[#This Row],[CompletedDependencies]]=tblTargetStatus[[#This Row],[TotalDependencies]]</f>
        <v>1</v>
      </c>
      <c r="L376">
        <f>tblTargetStatus[[#This Row],[TotalDependencies]]-tblTargetStatus[[#This Row],[CompletedDependencies]]</f>
        <v>0</v>
      </c>
      <c r="M376" t="str" cm="1">
        <f t="array" ref="M3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6" t="str">
        <f>IF(tblTargetStatus[[#This Row],[FirstMissingDependencyID]]="","",_xlfn.XLOOKUP(tblTargetStatus[[#This Row],[FirstMissingDependencyID]],tblTargets[TargetID],tblTargets[DisplayName],tblTargetStatus[[#This Row],[FirstMissingDependencyID]]))</f>
        <v/>
      </c>
      <c r="O376" s="2" t="str" cm="1">
        <f t="array" ref="O3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6" t="str">
        <f>IF(tblTargetStatus[[#This Row],[FirstMissingDependencyID]]="","",_xlfn.XLOOKUP(tblTargetStatus[[#This Row],[FirstMissingDependencyID]],tblTargetStatus[TargetID],tblTargetStatus[Status],""))</f>
        <v/>
      </c>
      <c r="Q376" t="str">
        <f>IF(
 tblTargetStatus[[#This Row],[Status]]&lt;&gt;"BLOCKED",
 tblTargetStatus[[#This Row],[Status]],
 IF(
  AND(
   tblTargetStatus[[#This Row],[MissingDependencies]]=1,
   tblTargetStatus[[#This Row],[FirstMissingStatus]]="READY"
  ),
  "ONE AWAY",
  "BLOCKED"
 )
)</f>
        <v>READY</v>
      </c>
      <c r="R376">
        <f>IF(
 OR(
  tblTargetStatus[[#This Row],[StateType]]="CHARACTER",
  RIGHT(tblTargetStatus[[#This Row],[TargetID]],6)=".maxed"
 ),
 0,
 _xlfn.LET(
  _xlpm.sort,
   _xlfn.XLOOKUP(
    tblTargetStatus[[#This Row],[TargetID]],
    tblChecklist[TargetID],
    tblChecklist[PlayerSort],
    0
   ),
  IF(_xlpm.sort=0,500,_xlpm.sort)
 )
)</f>
        <v>0</v>
      </c>
      <c r="S376" t="str" cm="1">
        <f t="array" ref="S37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76" t="str">
        <f>_xlfn.XLOOKUP(tblTargetStatus[[#This Row],[TargetID]],tblTargets[TargetID],tblTargets[CompletionMethod],"")</f>
        <v>PLAYER</v>
      </c>
      <c r="U376" t="b">
        <f>COUNTIF(
    tblCost[TargetID],
    tblTargetStatus[[#This Row],[TargetID]]
)&gt;0</f>
        <v>0</v>
      </c>
      <c r="V376" s="81" t="str">
        <f>IF(tblTargetStatus[[#This Row],[HasCost]]=FALSE,
"N/A",
_xlfn.XLOOKUP(
tblTargetStatus[[#This Row],[TargetID]],
tblCost[TargetID],
tblCost[FundingPercent],
""
)
)</f>
        <v>N/A</v>
      </c>
      <c r="W376" t="str">
        <f>IF(
COUNTIF(tblCost[TargetID],tblTargetStatus[[#This Row],[TargetID]])=0,
"",
_xlfn.XLOOKUP(
tblTargetStatus[[#This Row],[TargetID]],
tblCost[TargetID],
tblCost[RemainingRequirements],
""
)
)</f>
        <v/>
      </c>
      <c r="X376" s="79" t="str">
        <f>IF(tblTargetStatus[[#This Row],[HasCost]]=FALSE,"N/A",_xlfn.XLOOKUP(
tblTargetStatus[[#This Row],[TargetID]],
tblCost[TargetID],
tblCost[TargetFunded],
TRUE
))</f>
        <v>N/A</v>
      </c>
      <c r="Y376" t="str" cm="1">
        <f t="array" ref="Y376">_xlfn.TEXTJOIN(
", ",
TRUE,
_xlfn._xlws.FILTER(
tblCost[ResourceID]&amp;": "&amp;tblCost[QuantityRequired],
(tblCost[TargetID]=tblTargetStatus[[#This Row],[TargetID]])*
(tblCost[PlayerPaid]=FALSE),
""
)
)</f>
        <v/>
      </c>
      <c r="Z3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6" t="str" cm="1">
        <f t="array" ref="AA37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77" spans="1:27">
      <c r="A377" t="s">
        <v>6093</v>
      </c>
      <c r="B377" t="str">
        <f>_xlfn.XLOOKUP(tblTargetStatus[[#This Row],[TargetID]],tblTargets[TargetID],tblTargets[DisplayName],"")</f>
        <v>Attain level 12 cooking skill</v>
      </c>
      <c r="C377" t="str">
        <f>IF(tblTargetStatus[[#This Row],[PlayerCompleted]],"COMPLETED",IF(tblTargetStatus[[#This Row],[MissingDependencies]]=0,"READY","BLOCKED"))</f>
        <v>READY</v>
      </c>
      <c r="D3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7" t="str">
        <f>_xlfn.XLOOKUP(tblTargetStatus[[#This Row],[TargetID]],tblTargets[TargetID],tblTargets[TargetType],"")</f>
        <v>STATE</v>
      </c>
      <c r="F377" t="str">
        <f>_xlfn.XLOOKUP(tblTargetStatus[[#This Row],[TargetID]],tblTargets[TargetID],tblTargets[StateType])</f>
        <v>CHARACTER</v>
      </c>
      <c r="G377">
        <f>_xlfn.LET(
_xlpm.id,tblTargetStatus[[#This Row],[TargetID]],
_xlpm.depCount,COUNTIF(tblDependencies[TargetID],_xlpm.id),
_xlpm.objCount,COUNTIF(tblQuestObjectives[QuestTargetID],_xlpm.id),
_xlpm.depCount+_xlpm.objCount
)</f>
        <v>0</v>
      </c>
      <c r="H377">
        <f>tblTargetStatus[[#This Row],[DependencyCount]]</f>
        <v>0</v>
      </c>
      <c r="I377" cm="1">
        <f t="array" ref="I3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7">
        <f>tblTargetStatus[[#This Row],[CompletedDependencyCount]]</f>
        <v>0</v>
      </c>
      <c r="K377" t="b">
        <f>tblTargetStatus[[#This Row],[CompletedDependencies]]=tblTargetStatus[[#This Row],[TotalDependencies]]</f>
        <v>1</v>
      </c>
      <c r="L377">
        <f>tblTargetStatus[[#This Row],[TotalDependencies]]-tblTargetStatus[[#This Row],[CompletedDependencies]]</f>
        <v>0</v>
      </c>
      <c r="M377" t="str" cm="1">
        <f t="array" ref="M3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7" t="str">
        <f>IF(tblTargetStatus[[#This Row],[FirstMissingDependencyID]]="","",_xlfn.XLOOKUP(tblTargetStatus[[#This Row],[FirstMissingDependencyID]],tblTargets[TargetID],tblTargets[DisplayName],tblTargetStatus[[#This Row],[FirstMissingDependencyID]]))</f>
        <v/>
      </c>
      <c r="O377" s="2" t="str" cm="1">
        <f t="array" ref="O3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7" t="str">
        <f>IF(tblTargetStatus[[#This Row],[FirstMissingDependencyID]]="","",_xlfn.XLOOKUP(tblTargetStatus[[#This Row],[FirstMissingDependencyID]],tblTargetStatus[TargetID],tblTargetStatus[Status],""))</f>
        <v/>
      </c>
      <c r="Q377" t="str">
        <f>IF(
 tblTargetStatus[[#This Row],[Status]]&lt;&gt;"BLOCKED",
 tblTargetStatus[[#This Row],[Status]],
 IF(
  AND(
   tblTargetStatus[[#This Row],[MissingDependencies]]=1,
   tblTargetStatus[[#This Row],[FirstMissingStatus]]="READY"
  ),
  "ONE AWAY",
  "BLOCKED"
 )
)</f>
        <v>READY</v>
      </c>
      <c r="R377">
        <f>IF(
 OR(
  tblTargetStatus[[#This Row],[StateType]]="CHARACTER",
  RIGHT(tblTargetStatus[[#This Row],[TargetID]],6)=".maxed"
 ),
 0,
 _xlfn.LET(
  _xlpm.sort,
   _xlfn.XLOOKUP(
    tblTargetStatus[[#This Row],[TargetID]],
    tblChecklist[TargetID],
    tblChecklist[PlayerSort],
    0
   ),
  IF(_xlpm.sort=0,500,_xlpm.sort)
 )
)</f>
        <v>0</v>
      </c>
      <c r="S377" t="str" cm="1">
        <f t="array" ref="S37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377" t="str">
        <f>_xlfn.XLOOKUP(tblTargetStatus[[#This Row],[TargetID]],tblTargets[TargetID],tblTargets[CompletionMethod],"")</f>
        <v>PLAYER</v>
      </c>
      <c r="U377" t="b">
        <f>COUNTIF(
    tblCost[TargetID],
    tblTargetStatus[[#This Row],[TargetID]]
)&gt;0</f>
        <v>0</v>
      </c>
      <c r="V377" s="81" t="str">
        <f>IF(tblTargetStatus[[#This Row],[HasCost]]=FALSE,
"N/A",
_xlfn.XLOOKUP(
tblTargetStatus[[#This Row],[TargetID]],
tblCost[TargetID],
tblCost[FundingPercent],
""
)
)</f>
        <v>N/A</v>
      </c>
      <c r="W377" t="str">
        <f>IF(
COUNTIF(tblCost[TargetID],tblTargetStatus[[#This Row],[TargetID]])=0,
"",
_xlfn.XLOOKUP(
tblTargetStatus[[#This Row],[TargetID]],
tblCost[TargetID],
tblCost[RemainingRequirements],
""
)
)</f>
        <v/>
      </c>
      <c r="X377" s="79" t="str">
        <f>IF(tblTargetStatus[[#This Row],[HasCost]]=FALSE,"N/A",_xlfn.XLOOKUP(
tblTargetStatus[[#This Row],[TargetID]],
tblCost[TargetID],
tblCost[TargetFunded],
TRUE
))</f>
        <v>N/A</v>
      </c>
      <c r="Y377" t="str" cm="1">
        <f t="array" ref="Y377">_xlfn.TEXTJOIN(
", ",
TRUE,
_xlfn._xlws.FILTER(
tblCost[ResourceID]&amp;": "&amp;tblCost[QuantityRequired],
(tblCost[TargetID]=tblTargetStatus[[#This Row],[TargetID]])*
(tblCost[PlayerPaid]=FALSE),
""
)
)</f>
        <v/>
      </c>
      <c r="Z3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7" t="str" cm="1">
        <f t="array" ref="AA37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78" spans="1:27">
      <c r="A378" t="s">
        <v>6089</v>
      </c>
      <c r="B378" t="str">
        <f>_xlfn.XLOOKUP(tblTargetStatus[[#This Row],[TargetID]],tblTargets[TargetID],tblTargets[DisplayName],"")</f>
        <v>Attain level 13 cooking skill</v>
      </c>
      <c r="C378" t="str">
        <f>IF(tblTargetStatus[[#This Row],[PlayerCompleted]],"COMPLETED",IF(tblTargetStatus[[#This Row],[MissingDependencies]]=0,"READY","BLOCKED"))</f>
        <v>READY</v>
      </c>
      <c r="D3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8" t="str">
        <f>_xlfn.XLOOKUP(tblTargetStatus[[#This Row],[TargetID]],tblTargets[TargetID],tblTargets[TargetType],"")</f>
        <v>STATE</v>
      </c>
      <c r="F378" t="str">
        <f>_xlfn.XLOOKUP(tblTargetStatus[[#This Row],[TargetID]],tblTargets[TargetID],tblTargets[StateType])</f>
        <v>CHARACTER</v>
      </c>
      <c r="G378">
        <f>_xlfn.LET(
_xlpm.id,tblTargetStatus[[#This Row],[TargetID]],
_xlpm.depCount,COUNTIF(tblDependencies[TargetID],_xlpm.id),
_xlpm.objCount,COUNTIF(tblQuestObjectives[QuestTargetID],_xlpm.id),
_xlpm.depCount+_xlpm.objCount
)</f>
        <v>0</v>
      </c>
      <c r="H378">
        <f>tblTargetStatus[[#This Row],[DependencyCount]]</f>
        <v>0</v>
      </c>
      <c r="I378" cm="1">
        <f t="array" ref="I3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8">
        <f>tblTargetStatus[[#This Row],[CompletedDependencyCount]]</f>
        <v>0</v>
      </c>
      <c r="K378" t="b">
        <f>tblTargetStatus[[#This Row],[CompletedDependencies]]=tblTargetStatus[[#This Row],[TotalDependencies]]</f>
        <v>1</v>
      </c>
      <c r="L378">
        <f>tblTargetStatus[[#This Row],[TotalDependencies]]-tblTargetStatus[[#This Row],[CompletedDependencies]]</f>
        <v>0</v>
      </c>
      <c r="M378" t="str" cm="1">
        <f t="array" ref="M3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8" t="str">
        <f>IF(tblTargetStatus[[#This Row],[FirstMissingDependencyID]]="","",_xlfn.XLOOKUP(tblTargetStatus[[#This Row],[FirstMissingDependencyID]],tblTargets[TargetID],tblTargets[DisplayName],tblTargetStatus[[#This Row],[FirstMissingDependencyID]]))</f>
        <v/>
      </c>
      <c r="O378" t="str" cm="1">
        <f t="array" ref="O3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8" t="str">
        <f>IF(tblTargetStatus[[#This Row],[FirstMissingDependencyID]]="","",_xlfn.XLOOKUP(tblTargetStatus[[#This Row],[FirstMissingDependencyID]],tblTargetStatus[TargetID],tblTargetStatus[Status],""))</f>
        <v/>
      </c>
      <c r="Q378" t="str">
        <f>IF(
 tblTargetStatus[[#This Row],[Status]]&lt;&gt;"BLOCKED",
 tblTargetStatus[[#This Row],[Status]],
 IF(
  AND(
   tblTargetStatus[[#This Row],[MissingDependencies]]=1,
   tblTargetStatus[[#This Row],[FirstMissingStatus]]="READY"
  ),
  "ONE AWAY",
  "BLOCKED"
 )
)</f>
        <v>READY</v>
      </c>
      <c r="R378">
        <f>IF(
 OR(
  tblTargetStatus[[#This Row],[StateType]]="CHARACTER",
  RIGHT(tblTargetStatus[[#This Row],[TargetID]],6)=".maxed"
 ),
 0,
 _xlfn.LET(
  _xlpm.sort,
   _xlfn.XLOOKUP(
    tblTargetStatus[[#This Row],[TargetID]],
    tblChecklist[TargetID],
    tblChecklist[PlayerSort],
    0
   ),
  IF(_xlpm.sort=0,500,_xlpm.sort)
 )
)</f>
        <v>0</v>
      </c>
      <c r="S378" t="str" cm="1">
        <f t="array" ref="S37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Food Stall - Inarizushi, Culinary Battle Finished</v>
      </c>
      <c r="T378" t="str">
        <f>_xlfn.XLOOKUP(tblTargetStatus[[#This Row],[TargetID]],tblTargets[TargetID],tblTargets[CompletionMethod],"")</f>
        <v>PLAYER</v>
      </c>
      <c r="U378" t="b">
        <f>COUNTIF(
    tblCost[TargetID],
    tblTargetStatus[[#This Row],[TargetID]]
)&gt;0</f>
        <v>0</v>
      </c>
      <c r="V378" s="81" t="str">
        <f>IF(tblTargetStatus[[#This Row],[HasCost]]=FALSE,
"N/A",
_xlfn.XLOOKUP(
tblTargetStatus[[#This Row],[TargetID]],
tblCost[TargetID],
tblCost[FundingPercent],
""
)
)</f>
        <v>N/A</v>
      </c>
      <c r="W378" t="str">
        <f>IF(
COUNTIF(tblCost[TargetID],tblTargetStatus[[#This Row],[TargetID]])=0,
"",
_xlfn.XLOOKUP(
tblTargetStatus[[#This Row],[TargetID]],
tblCost[TargetID],
tblCost[RemainingRequirements],
""
)
)</f>
        <v/>
      </c>
      <c r="X378" s="79" t="str">
        <f>IF(tblTargetStatus[[#This Row],[HasCost]]=FALSE,"N/A",_xlfn.XLOOKUP(
tblTargetStatus[[#This Row],[TargetID]],
tblCost[TargetID],
tblCost[TargetFunded],
TRUE
))</f>
        <v>N/A</v>
      </c>
      <c r="Y378" t="str" cm="1">
        <f t="array" ref="Y378">_xlfn.TEXTJOIN(
", ",
TRUE,
_xlfn._xlws.FILTER(
tblCost[ResourceID]&amp;": "&amp;tblCost[QuantityRequired],
(tblCost[TargetID]=tblTargetStatus[[#This Row],[TargetID]])*
(tblCost[PlayerPaid]=FALSE),
""
)
)</f>
        <v/>
      </c>
      <c r="Z3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8" t="str" cm="1">
        <f t="array" ref="AA37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79" spans="1:27">
      <c r="A379" t="s">
        <v>6090</v>
      </c>
      <c r="B379" t="str">
        <f>_xlfn.XLOOKUP(tblTargetStatus[[#This Row],[TargetID]],tblTargets[TargetID],tblTargets[DisplayName],"")</f>
        <v>Attain level 2 cooking skill</v>
      </c>
      <c r="C379" t="str">
        <f>IF(tblTargetStatus[[#This Row],[PlayerCompleted]],"COMPLETED",IF(tblTargetStatus[[#This Row],[MissingDependencies]]=0,"READY","BLOCKED"))</f>
        <v>READY</v>
      </c>
      <c r="D3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9" t="str">
        <f>_xlfn.XLOOKUP(tblTargetStatus[[#This Row],[TargetID]],tblTargets[TargetID],tblTargets[TargetType],"")</f>
        <v>STATE</v>
      </c>
      <c r="F379" t="str">
        <f>_xlfn.XLOOKUP(tblTargetStatus[[#This Row],[TargetID]],tblTargets[TargetID],tblTargets[StateType])</f>
        <v>CHARACTER</v>
      </c>
      <c r="G379">
        <f>_xlfn.LET(
_xlpm.id,tblTargetStatus[[#This Row],[TargetID]],
_xlpm.depCount,COUNTIF(tblDependencies[TargetID],_xlpm.id),
_xlpm.objCount,COUNTIF(tblQuestObjectives[QuestTargetID],_xlpm.id),
_xlpm.depCount+_xlpm.objCount
)</f>
        <v>0</v>
      </c>
      <c r="H379">
        <f>tblTargetStatus[[#This Row],[DependencyCount]]</f>
        <v>0</v>
      </c>
      <c r="I379" cm="1">
        <f t="array" ref="I3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9">
        <f>tblTargetStatus[[#This Row],[CompletedDependencyCount]]</f>
        <v>0</v>
      </c>
      <c r="K379" t="b">
        <f>tblTargetStatus[[#This Row],[CompletedDependencies]]=tblTargetStatus[[#This Row],[TotalDependencies]]</f>
        <v>1</v>
      </c>
      <c r="L379">
        <f>tblTargetStatus[[#This Row],[TotalDependencies]]-tblTargetStatus[[#This Row],[CompletedDependencies]]</f>
        <v>0</v>
      </c>
      <c r="M379" t="str" cm="1">
        <f t="array" ref="M3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9" t="str">
        <f>IF(tblTargetStatus[[#This Row],[FirstMissingDependencyID]]="","",_xlfn.XLOOKUP(tblTargetStatus[[#This Row],[FirstMissingDependencyID]],tblTargets[TargetID],tblTargets[DisplayName],tblTargetStatus[[#This Row],[FirstMissingDependencyID]]))</f>
        <v/>
      </c>
      <c r="O379" s="2" t="str" cm="1">
        <f t="array" ref="O3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9" t="str">
        <f>IF(tblTargetStatus[[#This Row],[FirstMissingDependencyID]]="","",_xlfn.XLOOKUP(tblTargetStatus[[#This Row],[FirstMissingDependencyID]],tblTargetStatus[TargetID],tblTargetStatus[Status],""))</f>
        <v/>
      </c>
      <c r="Q379" t="str">
        <f>IF(
 tblTargetStatus[[#This Row],[Status]]&lt;&gt;"BLOCKED",
 tblTargetStatus[[#This Row],[Status]],
 IF(
  AND(
   tblTargetStatus[[#This Row],[MissingDependencies]]=1,
   tblTargetStatus[[#This Row],[FirstMissingStatus]]="READY"
  ),
  "ONE AWAY",
  "BLOCKED"
 )
)</f>
        <v>READY</v>
      </c>
      <c r="R379">
        <f>IF(
 OR(
  tblTargetStatus[[#This Row],[StateType]]="CHARACTER",
  RIGHT(tblTargetStatus[[#This Row],[TargetID]],6)=".maxed"
 ),
 0,
 _xlfn.LET(
  _xlpm.sort,
   _xlfn.XLOOKUP(
    tblTargetStatus[[#This Row],[TargetID]],
    tblChecklist[TargetID],
    tblChecklist[PlayerSort],
    0
   ),
  IF(_xlpm.sort=0,500,_xlpm.sort)
 )
)</f>
        <v>0</v>
      </c>
      <c r="S379" t="str" cm="1">
        <f t="array" ref="S37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4 Finished</v>
      </c>
      <c r="T379" t="str">
        <f>_xlfn.XLOOKUP(tblTargetStatus[[#This Row],[TargetID]],tblTargets[TargetID],tblTargets[CompletionMethod],"")</f>
        <v>PLAYER</v>
      </c>
      <c r="U379" t="b">
        <f>COUNTIF(
    tblCost[TargetID],
    tblTargetStatus[[#This Row],[TargetID]]
)&gt;0</f>
        <v>0</v>
      </c>
      <c r="V379" s="81" t="str">
        <f>IF(tblTargetStatus[[#This Row],[HasCost]]=FALSE,
"N/A",
_xlfn.XLOOKUP(
tblTargetStatus[[#This Row],[TargetID]],
tblCost[TargetID],
tblCost[FundingPercent],
""
)
)</f>
        <v>N/A</v>
      </c>
      <c r="W379" t="str">
        <f>IF(
COUNTIF(tblCost[TargetID],tblTargetStatus[[#This Row],[TargetID]])=0,
"",
_xlfn.XLOOKUP(
tblTargetStatus[[#This Row],[TargetID]],
tblCost[TargetID],
tblCost[RemainingRequirements],
""
)
)</f>
        <v/>
      </c>
      <c r="X379" s="79" t="str">
        <f>IF(tblTargetStatus[[#This Row],[HasCost]]=FALSE,"N/A",_xlfn.XLOOKUP(
tblTargetStatus[[#This Row],[TargetID]],
tblCost[TargetID],
tblCost[TargetFunded],
TRUE
))</f>
        <v>N/A</v>
      </c>
      <c r="Y379" t="str" cm="1">
        <f t="array" ref="Y379">_xlfn.TEXTJOIN(
", ",
TRUE,
_xlfn._xlws.FILTER(
tblCost[ResourceID]&amp;": "&amp;tblCost[QuantityRequired],
(tblCost[TargetID]=tblTargetStatus[[#This Row],[TargetID]])*
(tblCost[PlayerPaid]=FALSE),
""
)
)</f>
        <v/>
      </c>
      <c r="Z3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9" t="str" cm="1">
        <f t="array" ref="AA37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0" spans="1:27">
      <c r="A380" t="s">
        <v>6091</v>
      </c>
      <c r="B380" t="str">
        <f>_xlfn.XLOOKUP(tblTargetStatus[[#This Row],[TargetID]],tblTargets[TargetID],tblTargets[DisplayName],"")</f>
        <v>Attain level 3 cooking skill</v>
      </c>
      <c r="C380" t="str">
        <f>IF(tblTargetStatus[[#This Row],[PlayerCompleted]],"COMPLETED",IF(tblTargetStatus[[#This Row],[MissingDependencies]]=0,"READY","BLOCKED"))</f>
        <v>READY</v>
      </c>
      <c r="D3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0" t="str">
        <f>_xlfn.XLOOKUP(tblTargetStatus[[#This Row],[TargetID]],tblTargets[TargetID],tblTargets[TargetType],"")</f>
        <v>STATE</v>
      </c>
      <c r="F380" t="str">
        <f>_xlfn.XLOOKUP(tblTargetStatus[[#This Row],[TargetID]],tblTargets[TargetID],tblTargets[StateType])</f>
        <v>CHARACTER</v>
      </c>
      <c r="G380">
        <f>_xlfn.LET(
_xlpm.id,tblTargetStatus[[#This Row],[TargetID]],
_xlpm.depCount,COUNTIF(tblDependencies[TargetID],_xlpm.id),
_xlpm.objCount,COUNTIF(tblQuestObjectives[QuestTargetID],_xlpm.id),
_xlpm.depCount+_xlpm.objCount
)</f>
        <v>0</v>
      </c>
      <c r="H380">
        <f>tblTargetStatus[[#This Row],[DependencyCount]]</f>
        <v>0</v>
      </c>
      <c r="I380" cm="1">
        <f t="array" ref="I3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0">
        <f>tblTargetStatus[[#This Row],[CompletedDependencyCount]]</f>
        <v>0</v>
      </c>
      <c r="K380" t="b">
        <f>tblTargetStatus[[#This Row],[CompletedDependencies]]=tblTargetStatus[[#This Row],[TotalDependencies]]</f>
        <v>1</v>
      </c>
      <c r="L380">
        <f>tblTargetStatus[[#This Row],[TotalDependencies]]-tblTargetStatus[[#This Row],[CompletedDependencies]]</f>
        <v>0</v>
      </c>
      <c r="M380" t="str" cm="1">
        <f t="array" ref="M3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0" t="str">
        <f>IF(tblTargetStatus[[#This Row],[FirstMissingDependencyID]]="","",_xlfn.XLOOKUP(tblTargetStatus[[#This Row],[FirstMissingDependencyID]],tblTargets[TargetID],tblTargets[DisplayName],tblTargetStatus[[#This Row],[FirstMissingDependencyID]]))</f>
        <v/>
      </c>
      <c r="O380" s="2" t="str" cm="1">
        <f t="array" ref="O3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0" t="str">
        <f>IF(tblTargetStatus[[#This Row],[FirstMissingDependencyID]]="","",_xlfn.XLOOKUP(tblTargetStatus[[#This Row],[FirstMissingDependencyID]],tblTargetStatus[TargetID],tblTargetStatus[Status],""))</f>
        <v/>
      </c>
      <c r="Q380" t="str">
        <f>IF(
 tblTargetStatus[[#This Row],[Status]]&lt;&gt;"BLOCKED",
 tblTargetStatus[[#This Row],[Status]],
 IF(
  AND(
   tblTargetStatus[[#This Row],[MissingDependencies]]=1,
   tblTargetStatus[[#This Row],[FirstMissingStatus]]="READY"
  ),
  "ONE AWAY",
  "BLOCKED"
 )
)</f>
        <v>READY</v>
      </c>
      <c r="R380">
        <f>IF(
 OR(
  tblTargetStatus[[#This Row],[StateType]]="CHARACTER",
  RIGHT(tblTargetStatus[[#This Row],[TargetID]],6)=".maxed"
 ),
 0,
 _xlfn.LET(
  _xlpm.sort,
   _xlfn.XLOOKUP(
    tblTargetStatus[[#This Row],[TargetID]],
    tblChecklist[TargetID],
    tblChecklist[PlayerSort],
    0
   ),
  IF(_xlpm.sort=0,500,_xlpm.sort)
 )
)</f>
        <v>0</v>
      </c>
      <c r="S380" t="str" cm="1">
        <f t="array" ref="S38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5 Finished, Shogun's Katana Chapter 6 Finished</v>
      </c>
      <c r="T380" t="str">
        <f>_xlfn.XLOOKUP(tblTargetStatus[[#This Row],[TargetID]],tblTargets[TargetID],tblTargets[CompletionMethod],"")</f>
        <v>PLAYER</v>
      </c>
      <c r="U380" t="b">
        <f>COUNTIF(
    tblCost[TargetID],
    tblTargetStatus[[#This Row],[TargetID]]
)&gt;0</f>
        <v>0</v>
      </c>
      <c r="V380" s="81" t="str">
        <f>IF(tblTargetStatus[[#This Row],[HasCost]]=FALSE,
"N/A",
_xlfn.XLOOKUP(
tblTargetStatus[[#This Row],[TargetID]],
tblCost[TargetID],
tblCost[FundingPercent],
""
)
)</f>
        <v>N/A</v>
      </c>
      <c r="W380" t="str">
        <f>IF(
COUNTIF(tblCost[TargetID],tblTargetStatus[[#This Row],[TargetID]])=0,
"",
_xlfn.XLOOKUP(
tblTargetStatus[[#This Row],[TargetID]],
tblCost[TargetID],
tblCost[RemainingRequirements],
""
)
)</f>
        <v/>
      </c>
      <c r="X380" s="79" t="str">
        <f>IF(tblTargetStatus[[#This Row],[HasCost]]=FALSE,"N/A",_xlfn.XLOOKUP(
tblTargetStatus[[#This Row],[TargetID]],
tblCost[TargetID],
tblCost[TargetFunded],
TRUE
))</f>
        <v>N/A</v>
      </c>
      <c r="Y380" t="str" cm="1">
        <f t="array" ref="Y380">_xlfn.TEXTJOIN(
", ",
TRUE,
_xlfn._xlws.FILTER(
tblCost[ResourceID]&amp;": "&amp;tblCost[QuantityRequired],
(tblCost[TargetID]=tblTargetStatus[[#This Row],[TargetID]])*
(tblCost[PlayerPaid]=FALSE),
""
)
)</f>
        <v/>
      </c>
      <c r="Z3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0" t="str" cm="1">
        <f t="array" ref="AA38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1" spans="1:27">
      <c r="A381" t="s">
        <v>3311</v>
      </c>
      <c r="B381" t="str">
        <f>_xlfn.XLOOKUP(tblTargetStatus[[#This Row],[TargetID]],tblTargets[TargetID],tblTargets[DisplayName],"")</f>
        <v>Character Level@10</v>
      </c>
      <c r="C381" t="str">
        <f>IF(tblTargetStatus[[#This Row],[PlayerCompleted]],"COMPLETED",IF(tblTargetStatus[[#This Row],[MissingDependencies]]=0,"READY","BLOCKED"))</f>
        <v>READY</v>
      </c>
      <c r="D3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1" t="str">
        <f>_xlfn.XLOOKUP(tblTargetStatus[[#This Row],[TargetID]],tblTargets[TargetID],tblTargets[TargetType],"")</f>
        <v>STATE</v>
      </c>
      <c r="F381" t="str">
        <f>_xlfn.XLOOKUP(tblTargetStatus[[#This Row],[TargetID]],tblTargets[TargetID],tblTargets[StateType])</f>
        <v>CHARACTER</v>
      </c>
      <c r="G381">
        <f>_xlfn.LET(
_xlpm.id,tblTargetStatus[[#This Row],[TargetID]],
_xlpm.depCount,COUNTIF(tblDependencies[TargetID],_xlpm.id),
_xlpm.objCount,COUNTIF(tblQuestObjectives[QuestTargetID],_xlpm.id),
_xlpm.depCount+_xlpm.objCount
)</f>
        <v>0</v>
      </c>
      <c r="H381">
        <f>tblTargetStatus[[#This Row],[DependencyCount]]</f>
        <v>0</v>
      </c>
      <c r="I381" cm="1">
        <f t="array" ref="I3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1">
        <f>tblTargetStatus[[#This Row],[CompletedDependencyCount]]</f>
        <v>0</v>
      </c>
      <c r="K381" t="b">
        <f>tblTargetStatus[[#This Row],[CompletedDependencies]]=tblTargetStatus[[#This Row],[TotalDependencies]]</f>
        <v>1</v>
      </c>
      <c r="L381">
        <f>tblTargetStatus[[#This Row],[TotalDependencies]]-tblTargetStatus[[#This Row],[CompletedDependencies]]</f>
        <v>0</v>
      </c>
      <c r="M381" t="str" cm="1">
        <f t="array" ref="M3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1" t="str">
        <f>IF(tblTargetStatus[[#This Row],[FirstMissingDependencyID]]="","",_xlfn.XLOOKUP(tblTargetStatus[[#This Row],[FirstMissingDependencyID]],tblTargets[TargetID],tblTargets[DisplayName],tblTargetStatus[[#This Row],[FirstMissingDependencyID]]))</f>
        <v/>
      </c>
      <c r="O381" t="str" cm="1">
        <f t="array" ref="O3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1" t="str">
        <f>IF(tblTargetStatus[[#This Row],[FirstMissingDependencyID]]="","",_xlfn.XLOOKUP(tblTargetStatus[[#This Row],[FirstMissingDependencyID]],tblTargetStatus[TargetID],tblTargetStatus[Status],""))</f>
        <v/>
      </c>
      <c r="Q381" t="str">
        <f>IF(
 tblTargetStatus[[#This Row],[Status]]&lt;&gt;"BLOCKED",
 tblTargetStatus[[#This Row],[Status]],
 IF(
  AND(
   tblTargetStatus[[#This Row],[MissingDependencies]]=1,
   tblTargetStatus[[#This Row],[FirstMissingStatus]]="READY"
  ),
  "ONE AWAY",
  "BLOCKED"
 )
)</f>
        <v>READY</v>
      </c>
      <c r="R381">
        <f>IF(
 OR(
  tblTargetStatus[[#This Row],[StateType]]="CHARACTER",
  RIGHT(tblTargetStatus[[#This Row],[TargetID]],6)=".maxed"
 ),
 0,
 _xlfn.LET(
  _xlpm.sort,
   _xlfn.XLOOKUP(
    tblTargetStatus[[#This Row],[TargetID]],
    tblChecklist[TargetID],
    tblChecklist[PlayerSort],
    0
   ),
  IF(_xlpm.sort=0,500,_xlpm.sort)
 )
)</f>
        <v>0</v>
      </c>
      <c r="S381" t="str" cm="1">
        <f t="array" ref="S38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Dungeon Lv 1, Gong Lv 1, Pagoda Lv 3</v>
      </c>
      <c r="T381" t="str">
        <f>_xlfn.XLOOKUP(tblTargetStatus[[#This Row],[TargetID]],tblTargets[TargetID],tblTargets[CompletionMethod],"")</f>
        <v>PLAYER</v>
      </c>
      <c r="U381" t="b">
        <f>COUNTIF(
    tblCost[TargetID],
    tblTargetStatus[[#This Row],[TargetID]]
)&gt;0</f>
        <v>0</v>
      </c>
      <c r="V381" s="81" t="str">
        <f>IF(tblTargetStatus[[#This Row],[HasCost]]=FALSE,
"N/A",
_xlfn.XLOOKUP(
tblTargetStatus[[#This Row],[TargetID]],
tblCost[TargetID],
tblCost[FundingPercent],
""
)
)</f>
        <v>N/A</v>
      </c>
      <c r="W381" t="str">
        <f>IF(
COUNTIF(tblCost[TargetID],tblTargetStatus[[#This Row],[TargetID]])=0,
"",
_xlfn.XLOOKUP(
tblTargetStatus[[#This Row],[TargetID]],
tblCost[TargetID],
tblCost[RemainingRequirements],
""
)
)</f>
        <v/>
      </c>
      <c r="X381" s="79" t="str">
        <f>IF(tblTargetStatus[[#This Row],[HasCost]]=FALSE,"N/A",_xlfn.XLOOKUP(
tblTargetStatus[[#This Row],[TargetID]],
tblCost[TargetID],
tblCost[TargetFunded],
TRUE
))</f>
        <v>N/A</v>
      </c>
      <c r="Y381" t="str" cm="1">
        <f t="array" ref="Y381">_xlfn.TEXTJOIN(
", ",
TRUE,
_xlfn._xlws.FILTER(
tblCost[ResourceID]&amp;": "&amp;tblCost[QuantityRequired],
(tblCost[TargetID]=tblTargetStatus[[#This Row],[TargetID]])*
(tblCost[PlayerPaid]=FALSE),
""
)
)</f>
        <v/>
      </c>
      <c r="Z3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1" t="str" cm="1">
        <f t="array" ref="AA38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2" spans="1:27">
      <c r="A382" t="s">
        <v>3333</v>
      </c>
      <c r="B382" t="str">
        <f>_xlfn.XLOOKUP(tblTargetStatus[[#This Row],[TargetID]],tblTargets[TargetID],tblTargets[DisplayName],"")</f>
        <v>Character Level@11</v>
      </c>
      <c r="C382" t="str">
        <f>IF(tblTargetStatus[[#This Row],[PlayerCompleted]],"COMPLETED",IF(tblTargetStatus[[#This Row],[MissingDependencies]]=0,"READY","BLOCKED"))</f>
        <v>READY</v>
      </c>
      <c r="D3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2" t="str">
        <f>_xlfn.XLOOKUP(tblTargetStatus[[#This Row],[TargetID]],tblTargets[TargetID],tblTargets[TargetType],"")</f>
        <v>STATE</v>
      </c>
      <c r="F382" t="str">
        <f>_xlfn.XLOOKUP(tblTargetStatus[[#This Row],[TargetID]],tblTargets[TargetID],tblTargets[StateType])</f>
        <v>CHARACTER</v>
      </c>
      <c r="G382">
        <f>_xlfn.LET(
_xlpm.id,tblTargetStatus[[#This Row],[TargetID]],
_xlpm.depCount,COUNTIF(tblDependencies[TargetID],_xlpm.id),
_xlpm.objCount,COUNTIF(tblQuestObjectives[QuestTargetID],_xlpm.id),
_xlpm.depCount+_xlpm.objCount
)</f>
        <v>0</v>
      </c>
      <c r="H382">
        <f>tblTargetStatus[[#This Row],[DependencyCount]]</f>
        <v>0</v>
      </c>
      <c r="I382" cm="1">
        <f t="array" ref="I3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2">
        <f>tblTargetStatus[[#This Row],[CompletedDependencyCount]]</f>
        <v>0</v>
      </c>
      <c r="K382" t="b">
        <f>tblTargetStatus[[#This Row],[CompletedDependencies]]=tblTargetStatus[[#This Row],[TotalDependencies]]</f>
        <v>1</v>
      </c>
      <c r="L382">
        <f>tblTargetStatus[[#This Row],[TotalDependencies]]-tblTargetStatus[[#This Row],[CompletedDependencies]]</f>
        <v>0</v>
      </c>
      <c r="M382" t="str" cm="1">
        <f t="array" ref="M3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2" t="str">
        <f>IF(tblTargetStatus[[#This Row],[FirstMissingDependencyID]]="","",_xlfn.XLOOKUP(tblTargetStatus[[#This Row],[FirstMissingDependencyID]],tblTargets[TargetID],tblTargets[DisplayName],tblTargetStatus[[#This Row],[FirstMissingDependencyID]]))</f>
        <v/>
      </c>
      <c r="O382" t="str" cm="1">
        <f t="array" ref="O3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2" t="str">
        <f>IF(tblTargetStatus[[#This Row],[FirstMissingDependencyID]]="","",_xlfn.XLOOKUP(tblTargetStatus[[#This Row],[FirstMissingDependencyID]],tblTargetStatus[TargetID],tblTargetStatus[Status],""))</f>
        <v/>
      </c>
      <c r="Q382" t="str">
        <f>IF(
 tblTargetStatus[[#This Row],[Status]]&lt;&gt;"BLOCKED",
 tblTargetStatus[[#This Row],[Status]],
 IF(
  AND(
   tblTargetStatus[[#This Row],[MissingDependencies]]=1,
   tblTargetStatus[[#This Row],[FirstMissingStatus]]="READY"
  ),
  "ONE AWAY",
  "BLOCKED"
 )
)</f>
        <v>READY</v>
      </c>
      <c r="R382">
        <f>IF(
 OR(
  tblTargetStatus[[#This Row],[StateType]]="CHARACTER",
  RIGHT(tblTargetStatus[[#This Row],[TargetID]],6)=".maxed"
 ),
 0,
 _xlfn.LET(
  _xlpm.sort,
   _xlfn.XLOOKUP(
    tblTargetStatus[[#This Row],[TargetID]],
    tblChecklist[TargetID],
    tblChecklist[PlayerSort],
    0
   ),
  IF(_xlpm.sort=0,500,_xlpm.sort)
 )
)</f>
        <v>0</v>
      </c>
      <c r="S382" t="str" cm="1">
        <f t="array" ref="S38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Lumber Lv 1</v>
      </c>
      <c r="T382" t="str">
        <f>_xlfn.XLOOKUP(tblTargetStatus[[#This Row],[TargetID]],tblTargets[TargetID],tblTargets[CompletionMethod],"")</f>
        <v>PLAYER</v>
      </c>
      <c r="U382" t="b">
        <f>COUNTIF(
    tblCost[TargetID],
    tblTargetStatus[[#This Row],[TargetID]]
)&gt;0</f>
        <v>0</v>
      </c>
      <c r="V382" s="81" t="str">
        <f>IF(tblTargetStatus[[#This Row],[HasCost]]=FALSE,
"N/A",
_xlfn.XLOOKUP(
tblTargetStatus[[#This Row],[TargetID]],
tblCost[TargetID],
tblCost[FundingPercent],
""
)
)</f>
        <v>N/A</v>
      </c>
      <c r="W382" t="str">
        <f>IF(
COUNTIF(tblCost[TargetID],tblTargetStatus[[#This Row],[TargetID]])=0,
"",
_xlfn.XLOOKUP(
tblTargetStatus[[#This Row],[TargetID]],
tblCost[TargetID],
tblCost[RemainingRequirements],
""
)
)</f>
        <v/>
      </c>
      <c r="X382" s="79" t="str">
        <f>IF(tblTargetStatus[[#This Row],[HasCost]]=FALSE,"N/A",_xlfn.XLOOKUP(
tblTargetStatus[[#This Row],[TargetID]],
tblCost[TargetID],
tblCost[TargetFunded],
TRUE
))</f>
        <v>N/A</v>
      </c>
      <c r="Y382" t="str" cm="1">
        <f t="array" ref="Y382">_xlfn.TEXTJOIN(
", ",
TRUE,
_xlfn._xlws.FILTER(
tblCost[ResourceID]&amp;": "&amp;tblCost[QuantityRequired],
(tblCost[TargetID]=tblTargetStatus[[#This Row],[TargetID]])*
(tblCost[PlayerPaid]=FALSE),
""
)
)</f>
        <v/>
      </c>
      <c r="Z3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2" t="str" cm="1">
        <f t="array" ref="AA38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3" spans="1:27">
      <c r="A383" t="s">
        <v>3321</v>
      </c>
      <c r="B383" t="str">
        <f>_xlfn.XLOOKUP(tblTargetStatus[[#This Row],[TargetID]],tblTargets[TargetID],tblTargets[DisplayName],"")</f>
        <v>Character Level@12</v>
      </c>
      <c r="C383" t="str">
        <f>IF(tblTargetStatus[[#This Row],[PlayerCompleted]],"COMPLETED",IF(tblTargetStatus[[#This Row],[MissingDependencies]]=0,"READY","BLOCKED"))</f>
        <v>READY</v>
      </c>
      <c r="D3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3" t="str">
        <f>_xlfn.XLOOKUP(tblTargetStatus[[#This Row],[TargetID]],tblTargets[TargetID],tblTargets[TargetType],"")</f>
        <v>STATE</v>
      </c>
      <c r="F383" t="str">
        <f>_xlfn.XLOOKUP(tblTargetStatus[[#This Row],[TargetID]],tblTargets[TargetID],tblTargets[StateType])</f>
        <v>CHARACTER</v>
      </c>
      <c r="G383">
        <f>_xlfn.LET(
_xlpm.id,tblTargetStatus[[#This Row],[TargetID]],
_xlpm.depCount,COUNTIF(tblDependencies[TargetID],_xlpm.id),
_xlpm.objCount,COUNTIF(tblQuestObjectives[QuestTargetID],_xlpm.id),
_xlpm.depCount+_xlpm.objCount
)</f>
        <v>0</v>
      </c>
      <c r="H383">
        <f>tblTargetStatus[[#This Row],[DependencyCount]]</f>
        <v>0</v>
      </c>
      <c r="I383" cm="1">
        <f t="array" ref="I3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3">
        <f>tblTargetStatus[[#This Row],[CompletedDependencyCount]]</f>
        <v>0</v>
      </c>
      <c r="K383" t="b">
        <f>tblTargetStatus[[#This Row],[CompletedDependencies]]=tblTargetStatus[[#This Row],[TotalDependencies]]</f>
        <v>1</v>
      </c>
      <c r="L383">
        <f>tblTargetStatus[[#This Row],[TotalDependencies]]-tblTargetStatus[[#This Row],[CompletedDependencies]]</f>
        <v>0</v>
      </c>
      <c r="M383" t="str" cm="1">
        <f t="array" ref="M3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3" t="str">
        <f>IF(tblTargetStatus[[#This Row],[FirstMissingDependencyID]]="","",_xlfn.XLOOKUP(tblTargetStatus[[#This Row],[FirstMissingDependencyID]],tblTargets[TargetID],tblTargets[DisplayName],tblTargetStatus[[#This Row],[FirstMissingDependencyID]]))</f>
        <v/>
      </c>
      <c r="O383" t="str" cm="1">
        <f t="array" ref="O3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3" t="str">
        <f>IF(tblTargetStatus[[#This Row],[FirstMissingDependencyID]]="","",_xlfn.XLOOKUP(tblTargetStatus[[#This Row],[FirstMissingDependencyID]],tblTargetStatus[TargetID],tblTargetStatus[Status],""))</f>
        <v/>
      </c>
      <c r="Q383" t="str">
        <f>IF(
 tblTargetStatus[[#This Row],[Status]]&lt;&gt;"BLOCKED",
 tblTargetStatus[[#This Row],[Status]],
 IF(
  AND(
   tblTargetStatus[[#This Row],[MissingDependencies]]=1,
   tblTargetStatus[[#This Row],[FirstMissingStatus]]="READY"
  ),
  "ONE AWAY",
  "BLOCKED"
 )
)</f>
        <v>READY</v>
      </c>
      <c r="R383">
        <f>IF(
 OR(
  tblTargetStatus[[#This Row],[StateType]]="CHARACTER",
  RIGHT(tblTargetStatus[[#This Row],[TargetID]],6)=".maxed"
 ),
 0,
 _xlfn.LET(
  _xlpm.sort,
   _xlfn.XLOOKUP(
    tblTargetStatus[[#This Row],[TargetID]],
    tblChecklist[TargetID],
    tblChecklist[PlayerSort],
    0
   ),
  IF(_xlpm.sort=0,500,_xlpm.sort)
 )
)</f>
        <v>0</v>
      </c>
      <c r="S383" t="str" cm="1">
        <f t="array" ref="S38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Garden Lv 1</v>
      </c>
      <c r="T383" t="str">
        <f>_xlfn.XLOOKUP(tblTargetStatus[[#This Row],[TargetID]],tblTargets[TargetID],tblTargets[CompletionMethod],"")</f>
        <v>PLAYER</v>
      </c>
      <c r="U383" t="b">
        <f>COUNTIF(
    tblCost[TargetID],
    tblTargetStatus[[#This Row],[TargetID]]
)&gt;0</f>
        <v>0</v>
      </c>
      <c r="V383" s="81" t="str">
        <f>IF(tblTargetStatus[[#This Row],[HasCost]]=FALSE,
"N/A",
_xlfn.XLOOKUP(
tblTargetStatus[[#This Row],[TargetID]],
tblCost[TargetID],
tblCost[FundingPercent],
""
)
)</f>
        <v>N/A</v>
      </c>
      <c r="W383" t="str">
        <f>IF(
COUNTIF(tblCost[TargetID],tblTargetStatus[[#This Row],[TargetID]])=0,
"",
_xlfn.XLOOKUP(
tblTargetStatus[[#This Row],[TargetID]],
tblCost[TargetID],
tblCost[RemainingRequirements],
""
)
)</f>
        <v/>
      </c>
      <c r="X383" s="79" t="str">
        <f>IF(tblTargetStatus[[#This Row],[HasCost]]=FALSE,"N/A",_xlfn.XLOOKUP(
tblTargetStatus[[#This Row],[TargetID]],
tblCost[TargetID],
tblCost[TargetFunded],
TRUE
))</f>
        <v>N/A</v>
      </c>
      <c r="Y383" t="str" cm="1">
        <f t="array" ref="Y383">_xlfn.TEXTJOIN(
", ",
TRUE,
_xlfn._xlws.FILTER(
tblCost[ResourceID]&amp;": "&amp;tblCost[QuantityRequired],
(tblCost[TargetID]=tblTargetStatus[[#This Row],[TargetID]])*
(tblCost[PlayerPaid]=FALSE),
""
)
)</f>
        <v/>
      </c>
      <c r="Z3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3" t="str" cm="1">
        <f t="array" ref="AA38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4" spans="1:27">
      <c r="A384" t="s">
        <v>3341</v>
      </c>
      <c r="B384" t="str">
        <f>_xlfn.XLOOKUP(tblTargetStatus[[#This Row],[TargetID]],tblTargets[TargetID],tblTargets[DisplayName],"")</f>
        <v>Character Level@13</v>
      </c>
      <c r="C384" t="str">
        <f>IF(tblTargetStatus[[#This Row],[PlayerCompleted]],"COMPLETED",IF(tblTargetStatus[[#This Row],[MissingDependencies]]=0,"READY","BLOCKED"))</f>
        <v>READY</v>
      </c>
      <c r="D3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4" t="str">
        <f>_xlfn.XLOOKUP(tblTargetStatus[[#This Row],[TargetID]],tblTargets[TargetID],tblTargets[TargetType],"")</f>
        <v>STATE</v>
      </c>
      <c r="F384" t="str">
        <f>_xlfn.XLOOKUP(tblTargetStatus[[#This Row],[TargetID]],tblTargets[TargetID],tblTargets[StateType])</f>
        <v>CHARACTER</v>
      </c>
      <c r="G384">
        <f>_xlfn.LET(
_xlpm.id,tblTargetStatus[[#This Row],[TargetID]],
_xlpm.depCount,COUNTIF(tblDependencies[TargetID],_xlpm.id),
_xlpm.objCount,COUNTIF(tblQuestObjectives[QuestTargetID],_xlpm.id),
_xlpm.depCount+_xlpm.objCount
)</f>
        <v>0</v>
      </c>
      <c r="H384">
        <f>tblTargetStatus[[#This Row],[DependencyCount]]</f>
        <v>0</v>
      </c>
      <c r="I384" cm="1">
        <f t="array" ref="I3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4">
        <f>tblTargetStatus[[#This Row],[CompletedDependencyCount]]</f>
        <v>0</v>
      </c>
      <c r="K384" t="b">
        <f>tblTargetStatus[[#This Row],[CompletedDependencies]]=tblTargetStatus[[#This Row],[TotalDependencies]]</f>
        <v>1</v>
      </c>
      <c r="L384">
        <f>tblTargetStatus[[#This Row],[TotalDependencies]]-tblTargetStatus[[#This Row],[CompletedDependencies]]</f>
        <v>0</v>
      </c>
      <c r="M384" t="str" cm="1">
        <f t="array" ref="M3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4" t="str">
        <f>IF(tblTargetStatus[[#This Row],[FirstMissingDependencyID]]="","",_xlfn.XLOOKUP(tblTargetStatus[[#This Row],[FirstMissingDependencyID]],tblTargets[TargetID],tblTargets[DisplayName],tblTargetStatus[[#This Row],[FirstMissingDependencyID]]))</f>
        <v/>
      </c>
      <c r="O384" t="str" cm="1">
        <f t="array" ref="O3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4" t="str">
        <f>IF(tblTargetStatus[[#This Row],[FirstMissingDependencyID]]="","",_xlfn.XLOOKUP(tblTargetStatus[[#This Row],[FirstMissingDependencyID]],tblTargetStatus[TargetID],tblTargetStatus[Status],""))</f>
        <v/>
      </c>
      <c r="Q384" t="str">
        <f>IF(
 tblTargetStatus[[#This Row],[Status]]&lt;&gt;"BLOCKED",
 tblTargetStatus[[#This Row],[Status]],
 IF(
  AND(
   tblTargetStatus[[#This Row],[MissingDependencies]]=1,
   tblTargetStatus[[#This Row],[FirstMissingStatus]]="READY"
  ),
  "ONE AWAY",
  "BLOCKED"
 )
)</f>
        <v>READY</v>
      </c>
      <c r="R384">
        <f>IF(
 OR(
  tblTargetStatus[[#This Row],[StateType]]="CHARACTER",
  RIGHT(tblTargetStatus[[#This Row],[TargetID]],6)=".maxed"
 ),
 0,
 _xlfn.LET(
  _xlpm.sort,
   _xlfn.XLOOKUP(
    tblTargetStatus[[#This Row],[TargetID]],
    tblChecklist[TargetID],
    tblChecklist[PlayerSort],
    0
   ),
  IF(_xlpm.sort=0,500,_xlpm.sort)
 )
)</f>
        <v>0</v>
      </c>
      <c r="S384" t="str" cm="1">
        <f t="array" ref="S38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Rock Garden Lv 1</v>
      </c>
      <c r="T384" t="str">
        <f>_xlfn.XLOOKUP(tblTargetStatus[[#This Row],[TargetID]],tblTargets[TargetID],tblTargets[CompletionMethod],"")</f>
        <v>PLAYER</v>
      </c>
      <c r="U384" t="b">
        <f>COUNTIF(
    tblCost[TargetID],
    tblTargetStatus[[#This Row],[TargetID]]
)&gt;0</f>
        <v>0</v>
      </c>
      <c r="V384" s="81" t="str">
        <f>IF(tblTargetStatus[[#This Row],[HasCost]]=FALSE,
"N/A",
_xlfn.XLOOKUP(
tblTargetStatus[[#This Row],[TargetID]],
tblCost[TargetID],
tblCost[FundingPercent],
""
)
)</f>
        <v>N/A</v>
      </c>
      <c r="W384" t="str">
        <f>IF(
COUNTIF(tblCost[TargetID],tblTargetStatus[[#This Row],[TargetID]])=0,
"",
_xlfn.XLOOKUP(
tblTargetStatus[[#This Row],[TargetID]],
tblCost[TargetID],
tblCost[RemainingRequirements],
""
)
)</f>
        <v/>
      </c>
      <c r="X384" s="79" t="str">
        <f>IF(tblTargetStatus[[#This Row],[HasCost]]=FALSE,"N/A",_xlfn.XLOOKUP(
tblTargetStatus[[#This Row],[TargetID]],
tblCost[TargetID],
tblCost[TargetFunded],
TRUE
))</f>
        <v>N/A</v>
      </c>
      <c r="Y384" t="str" cm="1">
        <f t="array" ref="Y384">_xlfn.TEXTJOIN(
", ",
TRUE,
_xlfn._xlws.FILTER(
tblCost[ResourceID]&amp;": "&amp;tblCost[QuantityRequired],
(tblCost[TargetID]=tblTargetStatus[[#This Row],[TargetID]])*
(tblCost[PlayerPaid]=FALSE),
""
)
)</f>
        <v/>
      </c>
      <c r="Z3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4" t="str" cm="1">
        <f t="array" ref="AA38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5" spans="1:27">
      <c r="A385" t="s">
        <v>3336</v>
      </c>
      <c r="B385" t="str">
        <f>_xlfn.XLOOKUP(tblTargetStatus[[#This Row],[TargetID]],tblTargets[TargetID],tblTargets[DisplayName],"")</f>
        <v>Character Level@14</v>
      </c>
      <c r="C385" t="str">
        <f>IF(tblTargetStatus[[#This Row],[PlayerCompleted]],"COMPLETED",IF(tblTargetStatus[[#This Row],[MissingDependencies]]=0,"READY","BLOCKED"))</f>
        <v>READY</v>
      </c>
      <c r="D3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5" t="str">
        <f>_xlfn.XLOOKUP(tblTargetStatus[[#This Row],[TargetID]],tblTargets[TargetID],tblTargets[TargetType],"")</f>
        <v>STATE</v>
      </c>
      <c r="F385" t="str">
        <f>_xlfn.XLOOKUP(tblTargetStatus[[#This Row],[TargetID]],tblTargets[TargetID],tblTargets[StateType])</f>
        <v>CHARACTER</v>
      </c>
      <c r="G385">
        <f>_xlfn.LET(
_xlpm.id,tblTargetStatus[[#This Row],[TargetID]],
_xlpm.depCount,COUNTIF(tblDependencies[TargetID],_xlpm.id),
_xlpm.objCount,COUNTIF(tblQuestObjectives[QuestTargetID],_xlpm.id),
_xlpm.depCount+_xlpm.objCount
)</f>
        <v>0</v>
      </c>
      <c r="H385">
        <f>tblTargetStatus[[#This Row],[DependencyCount]]</f>
        <v>0</v>
      </c>
      <c r="I385" cm="1">
        <f t="array" ref="I3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5">
        <f>tblTargetStatus[[#This Row],[CompletedDependencyCount]]</f>
        <v>0</v>
      </c>
      <c r="K385" t="b">
        <f>tblTargetStatus[[#This Row],[CompletedDependencies]]=tblTargetStatus[[#This Row],[TotalDependencies]]</f>
        <v>1</v>
      </c>
      <c r="L385">
        <f>tblTargetStatus[[#This Row],[TotalDependencies]]-tblTargetStatus[[#This Row],[CompletedDependencies]]</f>
        <v>0</v>
      </c>
      <c r="M385" t="str" cm="1">
        <f t="array" ref="M3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5" t="str">
        <f>IF(tblTargetStatus[[#This Row],[FirstMissingDependencyID]]="","",_xlfn.XLOOKUP(tblTargetStatus[[#This Row],[FirstMissingDependencyID]],tblTargets[TargetID],tblTargets[DisplayName],tblTargetStatus[[#This Row],[FirstMissingDependencyID]]))</f>
        <v/>
      </c>
      <c r="O385" t="str" cm="1">
        <f t="array" ref="O3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5" t="str">
        <f>IF(tblTargetStatus[[#This Row],[FirstMissingDependencyID]]="","",_xlfn.XLOOKUP(tblTargetStatus[[#This Row],[FirstMissingDependencyID]],tblTargetStatus[TargetID],tblTargetStatus[Status],""))</f>
        <v/>
      </c>
      <c r="Q385" t="str">
        <f>IF(
 tblTargetStatus[[#This Row],[Status]]&lt;&gt;"BLOCKED",
 tblTargetStatus[[#This Row],[Status]],
 IF(
  AND(
   tblTargetStatus[[#This Row],[MissingDependencies]]=1,
   tblTargetStatus[[#This Row],[FirstMissingStatus]]="READY"
  ),
  "ONE AWAY",
  "BLOCKED"
 )
)</f>
        <v>READY</v>
      </c>
      <c r="R385">
        <f>IF(
 OR(
  tblTargetStatus[[#This Row],[StateType]]="CHARACTER",
  RIGHT(tblTargetStatus[[#This Row],[TargetID]],6)=".maxed"
 ),
 0,
 _xlfn.LET(
  _xlpm.sort,
   _xlfn.XLOOKUP(
    tblTargetStatus[[#This Row],[TargetID]],
    tblChecklist[TargetID],
    tblChecklist[PlayerSort],
    0
   ),
  IF(_xlpm.sort=0,500,_xlpm.sort)
 )
)</f>
        <v>0</v>
      </c>
      <c r="S385" t="str" cm="1">
        <f t="array" ref="S38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4</v>
      </c>
      <c r="T385" t="str">
        <f>_xlfn.XLOOKUP(tblTargetStatus[[#This Row],[TargetID]],tblTargets[TargetID],tblTargets[CompletionMethod],"")</f>
        <v>PLAYER</v>
      </c>
      <c r="U385" t="b">
        <f>COUNTIF(
    tblCost[TargetID],
    tblTargetStatus[[#This Row],[TargetID]]
)&gt;0</f>
        <v>0</v>
      </c>
      <c r="V385" s="81" t="str">
        <f>IF(tblTargetStatus[[#This Row],[HasCost]]=FALSE,
"N/A",
_xlfn.XLOOKUP(
tblTargetStatus[[#This Row],[TargetID]],
tblCost[TargetID],
tblCost[FundingPercent],
""
)
)</f>
        <v>N/A</v>
      </c>
      <c r="W385" t="str">
        <f>IF(
COUNTIF(tblCost[TargetID],tblTargetStatus[[#This Row],[TargetID]])=0,
"",
_xlfn.XLOOKUP(
tblTargetStatus[[#This Row],[TargetID]],
tblCost[TargetID],
tblCost[RemainingRequirements],
""
)
)</f>
        <v/>
      </c>
      <c r="X385" s="79" t="str">
        <f>IF(tblTargetStatus[[#This Row],[HasCost]]=FALSE,"N/A",_xlfn.XLOOKUP(
tblTargetStatus[[#This Row],[TargetID]],
tblCost[TargetID],
tblCost[TargetFunded],
TRUE
))</f>
        <v>N/A</v>
      </c>
      <c r="Y385" t="str" cm="1">
        <f t="array" ref="Y385">_xlfn.TEXTJOIN(
", ",
TRUE,
_xlfn._xlws.FILTER(
tblCost[ResourceID]&amp;": "&amp;tblCost[QuantityRequired],
(tblCost[TargetID]=tblTargetStatus[[#This Row],[TargetID]])*
(tblCost[PlayerPaid]=FALSE),
""
)
)</f>
        <v/>
      </c>
      <c r="Z3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5" t="str" cm="1">
        <f t="array" ref="AA38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6" spans="1:27">
      <c r="A386" t="s">
        <v>3306</v>
      </c>
      <c r="B386" t="str">
        <f>_xlfn.XLOOKUP(tblTargetStatus[[#This Row],[TargetID]],tblTargets[TargetID],tblTargets[DisplayName],"")</f>
        <v>Character Level@15</v>
      </c>
      <c r="C386" t="str">
        <f>IF(tblTargetStatus[[#This Row],[PlayerCompleted]],"COMPLETED",IF(tblTargetStatus[[#This Row],[MissingDependencies]]=0,"READY","BLOCKED"))</f>
        <v>READY</v>
      </c>
      <c r="D3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6" t="str">
        <f>_xlfn.XLOOKUP(tblTargetStatus[[#This Row],[TargetID]],tblTargets[TargetID],tblTargets[TargetType],"")</f>
        <v>STATE</v>
      </c>
      <c r="F386" t="str">
        <f>_xlfn.XLOOKUP(tblTargetStatus[[#This Row],[TargetID]],tblTargets[TargetID],tblTargets[StateType])</f>
        <v>CHARACTER</v>
      </c>
      <c r="G386">
        <f>_xlfn.LET(
_xlpm.id,tblTargetStatus[[#This Row],[TargetID]],
_xlpm.depCount,COUNTIF(tblDependencies[TargetID],_xlpm.id),
_xlpm.objCount,COUNTIF(tblQuestObjectives[QuestTargetID],_xlpm.id),
_xlpm.depCount+_xlpm.objCount
)</f>
        <v>0</v>
      </c>
      <c r="H386">
        <f>tblTargetStatus[[#This Row],[DependencyCount]]</f>
        <v>0</v>
      </c>
      <c r="I386" cm="1">
        <f t="array" ref="I3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6">
        <f>tblTargetStatus[[#This Row],[CompletedDependencyCount]]</f>
        <v>0</v>
      </c>
      <c r="K386" t="b">
        <f>tblTargetStatus[[#This Row],[CompletedDependencies]]=tblTargetStatus[[#This Row],[TotalDependencies]]</f>
        <v>1</v>
      </c>
      <c r="L386">
        <f>tblTargetStatus[[#This Row],[TotalDependencies]]-tblTargetStatus[[#This Row],[CompletedDependencies]]</f>
        <v>0</v>
      </c>
      <c r="M386" t="str" cm="1">
        <f t="array" ref="M3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6" t="str">
        <f>IF(tblTargetStatus[[#This Row],[FirstMissingDependencyID]]="","",_xlfn.XLOOKUP(tblTargetStatus[[#This Row],[FirstMissingDependencyID]],tblTargets[TargetID],tblTargets[DisplayName],tblTargetStatus[[#This Row],[FirstMissingDependencyID]]))</f>
        <v/>
      </c>
      <c r="O386" t="str" cm="1">
        <f t="array" ref="O3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6" t="str">
        <f>IF(tblTargetStatus[[#This Row],[FirstMissingDependencyID]]="","",_xlfn.XLOOKUP(tblTargetStatus[[#This Row],[FirstMissingDependencyID]],tblTargetStatus[TargetID],tblTargetStatus[Status],""))</f>
        <v/>
      </c>
      <c r="Q386" t="str">
        <f>IF(
 tblTargetStatus[[#This Row],[Status]]&lt;&gt;"BLOCKED",
 tblTargetStatus[[#This Row],[Status]],
 IF(
  AND(
   tblTargetStatus[[#This Row],[MissingDependencies]]=1,
   tblTargetStatus[[#This Row],[FirstMissingStatus]]="READY"
  ),
  "ONE AWAY",
  "BLOCKED"
 )
)</f>
        <v>READY</v>
      </c>
      <c r="R386">
        <f>IF(
 OR(
  tblTargetStatus[[#This Row],[StateType]]="CHARACTER",
  RIGHT(tblTargetStatus[[#This Row],[TargetID]],6)=".maxed"
 ),
 0,
 _xlfn.LET(
  _xlpm.sort,
   _xlfn.XLOOKUP(
    tblTargetStatus[[#This Row],[TargetID]],
    tblChecklist[TargetID],
    tblChecklist[PlayerSort],
    0
   ),
  IF(_xlpm.sort=0,500,_xlpm.sort)
 )
)</f>
        <v>0</v>
      </c>
      <c r="S386" t="str" cm="1">
        <f t="array" ref="S38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Chicken Lv 1, Dairy Lv 1</v>
      </c>
      <c r="T386" t="str">
        <f>_xlfn.XLOOKUP(tblTargetStatus[[#This Row],[TargetID]],tblTargets[TargetID],tblTargets[CompletionMethod],"")</f>
        <v>PLAYER</v>
      </c>
      <c r="U386" t="b">
        <f>COUNTIF(
    tblCost[TargetID],
    tblTargetStatus[[#This Row],[TargetID]]
)&gt;0</f>
        <v>0</v>
      </c>
      <c r="V386" s="81" t="str">
        <f>IF(tblTargetStatus[[#This Row],[HasCost]]=FALSE,
"N/A",
_xlfn.XLOOKUP(
tblTargetStatus[[#This Row],[TargetID]],
tblCost[TargetID],
tblCost[FundingPercent],
""
)
)</f>
        <v>N/A</v>
      </c>
      <c r="W386" t="str">
        <f>IF(
COUNTIF(tblCost[TargetID],tblTargetStatus[[#This Row],[TargetID]])=0,
"",
_xlfn.XLOOKUP(
tblTargetStatus[[#This Row],[TargetID]],
tblCost[TargetID],
tblCost[RemainingRequirements],
""
)
)</f>
        <v/>
      </c>
      <c r="X386" s="79" t="str">
        <f>IF(tblTargetStatus[[#This Row],[HasCost]]=FALSE,"N/A",_xlfn.XLOOKUP(
tblTargetStatus[[#This Row],[TargetID]],
tblCost[TargetID],
tblCost[TargetFunded],
TRUE
))</f>
        <v>N/A</v>
      </c>
      <c r="Y386" t="str" cm="1">
        <f t="array" ref="Y386">_xlfn.TEXTJOIN(
", ",
TRUE,
_xlfn._xlws.FILTER(
tblCost[ResourceID]&amp;": "&amp;tblCost[QuantityRequired],
(tblCost[TargetID]=tblTargetStatus[[#This Row],[TargetID]])*
(tblCost[PlayerPaid]=FALSE),
""
)
)</f>
        <v/>
      </c>
      <c r="Z3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6" t="str" cm="1">
        <f t="array" ref="AA38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7" spans="1:27">
      <c r="A387" t="s">
        <v>3337</v>
      </c>
      <c r="B387" t="str">
        <f>_xlfn.XLOOKUP(tblTargetStatus[[#This Row],[TargetID]],tblTargets[TargetID],tblTargets[DisplayName],"")</f>
        <v>Character Level@18</v>
      </c>
      <c r="C387" t="str">
        <f>IF(tblTargetStatus[[#This Row],[PlayerCompleted]],"COMPLETED",IF(tblTargetStatus[[#This Row],[MissingDependencies]]=0,"READY","BLOCKED"))</f>
        <v>READY</v>
      </c>
      <c r="D3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7" t="str">
        <f>_xlfn.XLOOKUP(tblTargetStatus[[#This Row],[TargetID]],tblTargets[TargetID],tblTargets[TargetType],"")</f>
        <v>STATE</v>
      </c>
      <c r="F387" t="str">
        <f>_xlfn.XLOOKUP(tblTargetStatus[[#This Row],[TargetID]],tblTargets[TargetID],tblTargets[StateType])</f>
        <v>CHARACTER</v>
      </c>
      <c r="G387">
        <f>_xlfn.LET(
_xlpm.id,tblTargetStatus[[#This Row],[TargetID]],
_xlpm.depCount,COUNTIF(tblDependencies[TargetID],_xlpm.id),
_xlpm.objCount,COUNTIF(tblQuestObjectives[QuestTargetID],_xlpm.id),
_xlpm.depCount+_xlpm.objCount
)</f>
        <v>0</v>
      </c>
      <c r="H387">
        <f>tblTargetStatus[[#This Row],[DependencyCount]]</f>
        <v>0</v>
      </c>
      <c r="I387" cm="1">
        <f t="array" ref="I3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7">
        <f>tblTargetStatus[[#This Row],[CompletedDependencyCount]]</f>
        <v>0</v>
      </c>
      <c r="K387" t="b">
        <f>tblTargetStatus[[#This Row],[CompletedDependencies]]=tblTargetStatus[[#This Row],[TotalDependencies]]</f>
        <v>1</v>
      </c>
      <c r="L387">
        <f>tblTargetStatus[[#This Row],[TotalDependencies]]-tblTargetStatus[[#This Row],[CompletedDependencies]]</f>
        <v>0</v>
      </c>
      <c r="M387" t="str" cm="1">
        <f t="array" ref="M3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7" t="str">
        <f>IF(tblTargetStatus[[#This Row],[FirstMissingDependencyID]]="","",_xlfn.XLOOKUP(tblTargetStatus[[#This Row],[FirstMissingDependencyID]],tblTargets[TargetID],tblTargets[DisplayName],tblTargetStatus[[#This Row],[FirstMissingDependencyID]]))</f>
        <v/>
      </c>
      <c r="O387" t="str" cm="1">
        <f t="array" ref="O3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7" t="str">
        <f>IF(tblTargetStatus[[#This Row],[FirstMissingDependencyID]]="","",_xlfn.XLOOKUP(tblTargetStatus[[#This Row],[FirstMissingDependencyID]],tblTargetStatus[TargetID],tblTargetStatus[Status],""))</f>
        <v/>
      </c>
      <c r="Q387" t="str">
        <f>IF(
 tblTargetStatus[[#This Row],[Status]]&lt;&gt;"BLOCKED",
 tblTargetStatus[[#This Row],[Status]],
 IF(
  AND(
   tblTargetStatus[[#This Row],[MissingDependencies]]=1,
   tblTargetStatus[[#This Row],[FirstMissingStatus]]="READY"
  ),
  "ONE AWAY",
  "BLOCKED"
 )
)</f>
        <v>READY</v>
      </c>
      <c r="R387">
        <f>IF(
 OR(
  tblTargetStatus[[#This Row],[StateType]]="CHARACTER",
  RIGHT(tblTargetStatus[[#This Row],[TargetID]],6)=".maxed"
 ),
 0,
 _xlfn.LET(
  _xlpm.sort,
   _xlfn.XLOOKUP(
    tblTargetStatus[[#This Row],[TargetID]],
    tblChecklist[TargetID],
    tblChecklist[PlayerSort],
    0
   ),
  IF(_xlpm.sort=0,500,_xlpm.sort)
 )
)</f>
        <v>0</v>
      </c>
      <c r="S387" t="str" cm="1">
        <f t="array" ref="S38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5</v>
      </c>
      <c r="T387" t="str">
        <f>_xlfn.XLOOKUP(tblTargetStatus[[#This Row],[TargetID]],tblTargets[TargetID],tblTargets[CompletionMethod],"")</f>
        <v>PLAYER</v>
      </c>
      <c r="U387" t="b">
        <f>COUNTIF(
    tblCost[TargetID],
    tblTargetStatus[[#This Row],[TargetID]]
)&gt;0</f>
        <v>0</v>
      </c>
      <c r="V387" s="81" t="str">
        <f>IF(tblTargetStatus[[#This Row],[HasCost]]=FALSE,
"N/A",
_xlfn.XLOOKUP(
tblTargetStatus[[#This Row],[TargetID]],
tblCost[TargetID],
tblCost[FundingPercent],
""
)
)</f>
        <v>N/A</v>
      </c>
      <c r="W387" t="str">
        <f>IF(
COUNTIF(tblCost[TargetID],tblTargetStatus[[#This Row],[TargetID]])=0,
"",
_xlfn.XLOOKUP(
tblTargetStatus[[#This Row],[TargetID]],
tblCost[TargetID],
tblCost[RemainingRequirements],
""
)
)</f>
        <v/>
      </c>
      <c r="X387" s="79" t="str">
        <f>IF(tblTargetStatus[[#This Row],[HasCost]]=FALSE,"N/A",_xlfn.XLOOKUP(
tblTargetStatus[[#This Row],[TargetID]],
tblCost[TargetID],
tblCost[TargetFunded],
TRUE
))</f>
        <v>N/A</v>
      </c>
      <c r="Y387" t="str" cm="1">
        <f t="array" ref="Y387">_xlfn.TEXTJOIN(
", ",
TRUE,
_xlfn._xlws.FILTER(
tblCost[ResourceID]&amp;": "&amp;tblCost[QuantityRequired],
(tblCost[TargetID]=tblTargetStatus[[#This Row],[TargetID]])*
(tblCost[PlayerPaid]=FALSE),
""
)
)</f>
        <v/>
      </c>
      <c r="Z3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7" t="str" cm="1">
        <f t="array" ref="AA38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8" spans="1:27">
      <c r="A388" t="s">
        <v>3351</v>
      </c>
      <c r="B388" t="str">
        <f>_xlfn.XLOOKUP(tblTargetStatus[[#This Row],[TargetID]],tblTargets[TargetID],tblTargets[DisplayName],"")</f>
        <v>Character Level@2</v>
      </c>
      <c r="C388" t="str">
        <f>IF(tblTargetStatus[[#This Row],[PlayerCompleted]],"COMPLETED",IF(tblTargetStatus[[#This Row],[MissingDependencies]]=0,"READY","BLOCKED"))</f>
        <v>READY</v>
      </c>
      <c r="D3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8" t="str">
        <f>_xlfn.XLOOKUP(tblTargetStatus[[#This Row],[TargetID]],tblTargets[TargetID],tblTargets[TargetType],"")</f>
        <v>STATE</v>
      </c>
      <c r="F388" t="str">
        <f>_xlfn.XLOOKUP(tblTargetStatus[[#This Row],[TargetID]],tblTargets[TargetID],tblTargets[StateType])</f>
        <v>CHARACTER</v>
      </c>
      <c r="G388">
        <f>_xlfn.LET(
_xlpm.id,tblTargetStatus[[#This Row],[TargetID]],
_xlpm.depCount,COUNTIF(tblDependencies[TargetID],_xlpm.id),
_xlpm.objCount,COUNTIF(tblQuestObjectives[QuestTargetID],_xlpm.id),
_xlpm.depCount+_xlpm.objCount
)</f>
        <v>0</v>
      </c>
      <c r="H388">
        <f>tblTargetStatus[[#This Row],[DependencyCount]]</f>
        <v>0</v>
      </c>
      <c r="I388" cm="1">
        <f t="array" ref="I3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8">
        <f>tblTargetStatus[[#This Row],[CompletedDependencyCount]]</f>
        <v>0</v>
      </c>
      <c r="K388" t="b">
        <f>tblTargetStatus[[#This Row],[CompletedDependencies]]=tblTargetStatus[[#This Row],[TotalDependencies]]</f>
        <v>1</v>
      </c>
      <c r="L388">
        <f>tblTargetStatus[[#This Row],[TotalDependencies]]-tblTargetStatus[[#This Row],[CompletedDependencies]]</f>
        <v>0</v>
      </c>
      <c r="M388" t="str" cm="1">
        <f t="array" ref="M3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8" t="str">
        <f>IF(tblTargetStatus[[#This Row],[FirstMissingDependencyID]]="","",_xlfn.XLOOKUP(tblTargetStatus[[#This Row],[FirstMissingDependencyID]],tblTargets[TargetID],tblTargets[DisplayName],tblTargetStatus[[#This Row],[FirstMissingDependencyID]]))</f>
        <v/>
      </c>
      <c r="O388" t="str" cm="1">
        <f t="array" ref="O3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8" t="str">
        <f>IF(tblTargetStatus[[#This Row],[FirstMissingDependencyID]]="","",_xlfn.XLOOKUP(tblTargetStatus[[#This Row],[FirstMissingDependencyID]],tblTargetStatus[TargetID],tblTargetStatus[Status],""))</f>
        <v/>
      </c>
      <c r="Q388" t="str">
        <f>IF(
 tblTargetStatus[[#This Row],[Status]]&lt;&gt;"BLOCKED",
 tblTargetStatus[[#This Row],[Status]],
 IF(
  AND(
   tblTargetStatus[[#This Row],[MissingDependencies]]=1,
   tblTargetStatus[[#This Row],[FirstMissingStatus]]="READY"
  ),
  "ONE AWAY",
  "BLOCKED"
 )
)</f>
        <v>READY</v>
      </c>
      <c r="R388">
        <f>IF(
 OR(
  tblTargetStatus[[#This Row],[StateType]]="CHARACTER",
  RIGHT(tblTargetStatus[[#This Row],[TargetID]],6)=".maxed"
 ),
 0,
 _xlfn.LET(
  _xlpm.sort,
   _xlfn.XLOOKUP(
    tblTargetStatus[[#This Row],[TargetID]],
    tblChecklist[TargetID],
    tblChecklist[PlayerSort],
    0
   ),
  IF(_xlpm.sort=0,500,_xlpm.sort)
 )
)</f>
        <v>0</v>
      </c>
      <c r="S388" t="str" cm="1">
        <f t="array" ref="S38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Lv 1</v>
      </c>
      <c r="T388" t="str">
        <f>_xlfn.XLOOKUP(tblTargetStatus[[#This Row],[TargetID]],tblTargets[TargetID],tblTargets[CompletionMethod],"")</f>
        <v>PLAYER</v>
      </c>
      <c r="U388" t="b">
        <f>COUNTIF(
    tblCost[TargetID],
    tblTargetStatus[[#This Row],[TargetID]]
)&gt;0</f>
        <v>0</v>
      </c>
      <c r="V388" s="81" t="str">
        <f>IF(tblTargetStatus[[#This Row],[HasCost]]=FALSE,
"N/A",
_xlfn.XLOOKUP(
tblTargetStatus[[#This Row],[TargetID]],
tblCost[TargetID],
tblCost[FundingPercent],
""
)
)</f>
        <v>N/A</v>
      </c>
      <c r="W388" t="str">
        <f>IF(
COUNTIF(tblCost[TargetID],tblTargetStatus[[#This Row],[TargetID]])=0,
"",
_xlfn.XLOOKUP(
tblTargetStatus[[#This Row],[TargetID]],
tblCost[TargetID],
tblCost[RemainingRequirements],
""
)
)</f>
        <v/>
      </c>
      <c r="X388" s="79" t="str">
        <f>IF(tblTargetStatus[[#This Row],[HasCost]]=FALSE,"N/A",_xlfn.XLOOKUP(
tblTargetStatus[[#This Row],[TargetID]],
tblCost[TargetID],
tblCost[TargetFunded],
TRUE
))</f>
        <v>N/A</v>
      </c>
      <c r="Y388" t="str" cm="1">
        <f t="array" ref="Y388">_xlfn.TEXTJOIN(
", ",
TRUE,
_xlfn._xlws.FILTER(
tblCost[ResourceID]&amp;": "&amp;tblCost[QuantityRequired],
(tblCost[TargetID]=tblTargetStatus[[#This Row],[TargetID]])*
(tblCost[PlayerPaid]=FALSE),
""
)
)</f>
        <v/>
      </c>
      <c r="Z3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8" t="str" cm="1">
        <f t="array" ref="AA38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89" spans="1:27">
      <c r="A389" t="s">
        <v>3312</v>
      </c>
      <c r="B389" t="str">
        <f>_xlfn.XLOOKUP(tblTargetStatus[[#This Row],[TargetID]],tblTargets[TargetID],tblTargets[DisplayName],"")</f>
        <v>Character Level@20</v>
      </c>
      <c r="C389" t="str">
        <f>IF(tblTargetStatus[[#This Row],[PlayerCompleted]],"COMPLETED",IF(tblTargetStatus[[#This Row],[MissingDependencies]]=0,"READY","BLOCKED"))</f>
        <v>READY</v>
      </c>
      <c r="D3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9" t="str">
        <f>_xlfn.XLOOKUP(tblTargetStatus[[#This Row],[TargetID]],tblTargets[TargetID],tblTargets[TargetType],"")</f>
        <v>STATE</v>
      </c>
      <c r="F389" t="str">
        <f>_xlfn.XLOOKUP(tblTargetStatus[[#This Row],[TargetID]],tblTargets[TargetID],tblTargets[StateType])</f>
        <v>CHARACTER</v>
      </c>
      <c r="G389">
        <f>_xlfn.LET(
_xlpm.id,tblTargetStatus[[#This Row],[TargetID]],
_xlpm.depCount,COUNTIF(tblDependencies[TargetID],_xlpm.id),
_xlpm.objCount,COUNTIF(tblQuestObjectives[QuestTargetID],_xlpm.id),
_xlpm.depCount+_xlpm.objCount
)</f>
        <v>0</v>
      </c>
      <c r="H389">
        <f>tblTargetStatus[[#This Row],[DependencyCount]]</f>
        <v>0</v>
      </c>
      <c r="I389" cm="1">
        <f t="array" ref="I3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9">
        <f>tblTargetStatus[[#This Row],[CompletedDependencyCount]]</f>
        <v>0</v>
      </c>
      <c r="K389" t="b">
        <f>tblTargetStatus[[#This Row],[CompletedDependencies]]=tblTargetStatus[[#This Row],[TotalDependencies]]</f>
        <v>1</v>
      </c>
      <c r="L389">
        <f>tblTargetStatus[[#This Row],[TotalDependencies]]-tblTargetStatus[[#This Row],[CompletedDependencies]]</f>
        <v>0</v>
      </c>
      <c r="M389" t="str" cm="1">
        <f t="array" ref="M3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9" t="str">
        <f>IF(tblTargetStatus[[#This Row],[FirstMissingDependencyID]]="","",_xlfn.XLOOKUP(tblTargetStatus[[#This Row],[FirstMissingDependencyID]],tblTargets[TargetID],tblTargets[DisplayName],tblTargetStatus[[#This Row],[FirstMissingDependencyID]]))</f>
        <v/>
      </c>
      <c r="O389" t="str" cm="1">
        <f t="array" ref="O3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9" t="str">
        <f>IF(tblTargetStatus[[#This Row],[FirstMissingDependencyID]]="","",_xlfn.XLOOKUP(tblTargetStatus[[#This Row],[FirstMissingDependencyID]],tblTargetStatus[TargetID],tblTargetStatus[Status],""))</f>
        <v/>
      </c>
      <c r="Q389" t="str">
        <f>IF(
 tblTargetStatus[[#This Row],[Status]]&lt;&gt;"BLOCKED",
 tblTargetStatus[[#This Row],[Status]],
 IF(
  AND(
   tblTargetStatus[[#This Row],[MissingDependencies]]=1,
   tblTargetStatus[[#This Row],[FirstMissingStatus]]="READY"
  ),
  "ONE AWAY",
  "BLOCKED"
 )
)</f>
        <v>READY</v>
      </c>
      <c r="R389">
        <f>IF(
 OR(
  tblTargetStatus[[#This Row],[StateType]]="CHARACTER",
  RIGHT(tblTargetStatus[[#This Row],[TargetID]],6)=".maxed"
 ),
 0,
 _xlfn.LET(
  _xlpm.sort,
   _xlfn.XLOOKUP(
    tblTargetStatus[[#This Row],[TargetID]],
    tblChecklist[TargetID],
    tblChecklist[PlayerSort],
    0
   ),
  IF(_xlpm.sort=0,500,_xlpm.sort)
 )
)</f>
        <v>0</v>
      </c>
      <c r="S389" t="str" cm="1">
        <f t="array" ref="S38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Dungeon Lv 2, Onsen Lv 1</v>
      </c>
      <c r="T389" t="str">
        <f>_xlfn.XLOOKUP(tblTargetStatus[[#This Row],[TargetID]],tblTargets[TargetID],tblTargets[CompletionMethod],"")</f>
        <v>PLAYER</v>
      </c>
      <c r="U389" t="b">
        <f>COUNTIF(
    tblCost[TargetID],
    tblTargetStatus[[#This Row],[TargetID]]
)&gt;0</f>
        <v>0</v>
      </c>
      <c r="V389" s="81" t="str">
        <f>IF(tblTargetStatus[[#This Row],[HasCost]]=FALSE,
"N/A",
_xlfn.XLOOKUP(
tblTargetStatus[[#This Row],[TargetID]],
tblCost[TargetID],
tblCost[FundingPercent],
""
)
)</f>
        <v>N/A</v>
      </c>
      <c r="W389" t="str">
        <f>IF(
COUNTIF(tblCost[TargetID],tblTargetStatus[[#This Row],[TargetID]])=0,
"",
_xlfn.XLOOKUP(
tblTargetStatus[[#This Row],[TargetID]],
tblCost[TargetID],
tblCost[RemainingRequirements],
""
)
)</f>
        <v/>
      </c>
      <c r="X389" s="79" t="str">
        <f>IF(tblTargetStatus[[#This Row],[HasCost]]=FALSE,"N/A",_xlfn.XLOOKUP(
tblTargetStatus[[#This Row],[TargetID]],
tblCost[TargetID],
tblCost[TargetFunded],
TRUE
))</f>
        <v>N/A</v>
      </c>
      <c r="Y389" t="str" cm="1">
        <f t="array" ref="Y389">_xlfn.TEXTJOIN(
", ",
TRUE,
_xlfn._xlws.FILTER(
tblCost[ResourceID]&amp;": "&amp;tblCost[QuantityRequired],
(tblCost[TargetID]=tblTargetStatus[[#This Row],[TargetID]])*
(tblCost[PlayerPaid]=FALSE),
""
)
)</f>
        <v/>
      </c>
      <c r="Z3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9" t="str" cm="1">
        <f t="array" ref="AA38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90" spans="1:27">
      <c r="A390" t="s">
        <v>3304</v>
      </c>
      <c r="B390" t="str">
        <f>_xlfn.XLOOKUP(tblTargetStatus[[#This Row],[TargetID]],tblTargets[TargetID],tblTargets[DisplayName],"")</f>
        <v>Character Level@21</v>
      </c>
      <c r="C390" t="str">
        <f>IF(tblTargetStatus[[#This Row],[PlayerCompleted]],"COMPLETED",IF(tblTargetStatus[[#This Row],[MissingDependencies]]=0,"READY","BLOCKED"))</f>
        <v>READY</v>
      </c>
      <c r="D3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0" t="str">
        <f>_xlfn.XLOOKUP(tblTargetStatus[[#This Row],[TargetID]],tblTargets[TargetID],tblTargets[TargetType],"")</f>
        <v>STATE</v>
      </c>
      <c r="F390" t="str">
        <f>_xlfn.XLOOKUP(tblTargetStatus[[#This Row],[TargetID]],tblTargets[TargetID],tblTargets[StateType])</f>
        <v>CHARACTER</v>
      </c>
      <c r="G390">
        <f>_xlfn.LET(
_xlpm.id,tblTargetStatus[[#This Row],[TargetID]],
_xlpm.depCount,COUNTIF(tblDependencies[TargetID],_xlpm.id),
_xlpm.objCount,COUNTIF(tblQuestObjectives[QuestTargetID],_xlpm.id),
_xlpm.depCount+_xlpm.objCount
)</f>
        <v>0</v>
      </c>
      <c r="H390">
        <f>tblTargetStatus[[#This Row],[DependencyCount]]</f>
        <v>0</v>
      </c>
      <c r="I390" cm="1">
        <f t="array" ref="I3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0">
        <f>tblTargetStatus[[#This Row],[CompletedDependencyCount]]</f>
        <v>0</v>
      </c>
      <c r="K390" t="b">
        <f>tblTargetStatus[[#This Row],[CompletedDependencies]]=tblTargetStatus[[#This Row],[TotalDependencies]]</f>
        <v>1</v>
      </c>
      <c r="L390">
        <f>tblTargetStatus[[#This Row],[TotalDependencies]]-tblTargetStatus[[#This Row],[CompletedDependencies]]</f>
        <v>0</v>
      </c>
      <c r="M390" t="str" cm="1">
        <f t="array" ref="M3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0" t="str">
        <f>IF(tblTargetStatus[[#This Row],[FirstMissingDependencyID]]="","",_xlfn.XLOOKUP(tblTargetStatus[[#This Row],[FirstMissingDependencyID]],tblTargets[TargetID],tblTargets[DisplayName],tblTargetStatus[[#This Row],[FirstMissingDependencyID]]))</f>
        <v/>
      </c>
      <c r="O390" t="str" cm="1">
        <f t="array" ref="O3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0" t="str">
        <f>IF(tblTargetStatus[[#This Row],[FirstMissingDependencyID]]="","",_xlfn.XLOOKUP(tblTargetStatus[[#This Row],[FirstMissingDependencyID]],tblTargetStatus[TargetID],tblTargetStatus[Status],""))</f>
        <v/>
      </c>
      <c r="Q390" t="str">
        <f>IF(
 tblTargetStatus[[#This Row],[Status]]&lt;&gt;"BLOCKED",
 tblTargetStatus[[#This Row],[Status]],
 IF(
  AND(
   tblTargetStatus[[#This Row],[MissingDependencies]]=1,
   tblTargetStatus[[#This Row],[FirstMissingStatus]]="READY"
  ),
  "ONE AWAY",
  "BLOCKED"
 )
)</f>
        <v>READY</v>
      </c>
      <c r="R390">
        <f>IF(
 OR(
  tblTargetStatus[[#This Row],[StateType]]="CHARACTER",
  RIGHT(tblTargetStatus[[#This Row],[TargetID]],6)=".maxed"
 ),
 0,
 _xlfn.LET(
  _xlpm.sort,
   _xlfn.XLOOKUP(
    tblTargetStatus[[#This Row],[TargetID]],
    tblChecklist[TargetID],
    tblChecklist[PlayerSort],
    0
   ),
  IF(_xlpm.sort=0,500,_xlpm.sort)
 )
)</f>
        <v>0</v>
      </c>
      <c r="S390" t="str" cm="1">
        <f t="array" ref="S39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Bonsai Lv 1</v>
      </c>
      <c r="T390" t="str">
        <f>_xlfn.XLOOKUP(tblTargetStatus[[#This Row],[TargetID]],tblTargets[TargetID],tblTargets[CompletionMethod],"")</f>
        <v>PLAYER</v>
      </c>
      <c r="U390" t="b">
        <f>COUNTIF(
    tblCost[TargetID],
    tblTargetStatus[[#This Row],[TargetID]]
)&gt;0</f>
        <v>0</v>
      </c>
      <c r="V390" s="81" t="str">
        <f>IF(tblTargetStatus[[#This Row],[HasCost]]=FALSE,
"N/A",
_xlfn.XLOOKUP(
tblTargetStatus[[#This Row],[TargetID]],
tblCost[TargetID],
tblCost[FundingPercent],
""
)
)</f>
        <v>N/A</v>
      </c>
      <c r="W390" t="str">
        <f>IF(
COUNTIF(tblCost[TargetID],tblTargetStatus[[#This Row],[TargetID]])=0,
"",
_xlfn.XLOOKUP(
tblTargetStatus[[#This Row],[TargetID]],
tblCost[TargetID],
tblCost[RemainingRequirements],
""
)
)</f>
        <v/>
      </c>
      <c r="X390" s="79" t="str">
        <f>IF(tblTargetStatus[[#This Row],[HasCost]]=FALSE,"N/A",_xlfn.XLOOKUP(
tblTargetStatus[[#This Row],[TargetID]],
tblCost[TargetID],
tblCost[TargetFunded],
TRUE
))</f>
        <v>N/A</v>
      </c>
      <c r="Y390" t="str" cm="1">
        <f t="array" ref="Y390">_xlfn.TEXTJOIN(
", ",
TRUE,
_xlfn._xlws.FILTER(
tblCost[ResourceID]&amp;": "&amp;tblCost[QuantityRequired],
(tblCost[TargetID]=tblTargetStatus[[#This Row],[TargetID]])*
(tblCost[PlayerPaid]=FALSE),
""
)
)</f>
        <v/>
      </c>
      <c r="Z3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0" t="str" cm="1">
        <f t="array" ref="AA39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91" spans="1:27">
      <c r="A391" t="s">
        <v>3340</v>
      </c>
      <c r="B391" t="str">
        <f>_xlfn.XLOOKUP(tblTargetStatus[[#This Row],[TargetID]],tblTargets[TargetID],tblTargets[DisplayName],"")</f>
        <v>Character Level@22</v>
      </c>
      <c r="C391" t="str">
        <f>IF(tblTargetStatus[[#This Row],[PlayerCompleted]],"COMPLETED",IF(tblTargetStatus[[#This Row],[MissingDependencies]]=0,"READY","BLOCKED"))</f>
        <v>READY</v>
      </c>
      <c r="D3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1" t="str">
        <f>_xlfn.XLOOKUP(tblTargetStatus[[#This Row],[TargetID]],tblTargets[TargetID],tblTargets[TargetType],"")</f>
        <v>STATE</v>
      </c>
      <c r="F391" t="str">
        <f>_xlfn.XLOOKUP(tblTargetStatus[[#This Row],[TargetID]],tblTargets[TargetID],tblTargets[StateType])</f>
        <v>CHARACTER</v>
      </c>
      <c r="G391">
        <f>_xlfn.LET(
_xlpm.id,tblTargetStatus[[#This Row],[TargetID]],
_xlpm.depCount,COUNTIF(tblDependencies[TargetID],_xlpm.id),
_xlpm.objCount,COUNTIF(tblQuestObjectives[QuestTargetID],_xlpm.id),
_xlpm.depCount+_xlpm.objCount
)</f>
        <v>0</v>
      </c>
      <c r="H391">
        <f>tblTargetStatus[[#This Row],[DependencyCount]]</f>
        <v>0</v>
      </c>
      <c r="I391" cm="1">
        <f t="array" ref="I3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1">
        <f>tblTargetStatus[[#This Row],[CompletedDependencyCount]]</f>
        <v>0</v>
      </c>
      <c r="K391" t="b">
        <f>tblTargetStatus[[#This Row],[CompletedDependencies]]=tblTargetStatus[[#This Row],[TotalDependencies]]</f>
        <v>1</v>
      </c>
      <c r="L391">
        <f>tblTargetStatus[[#This Row],[TotalDependencies]]-tblTargetStatus[[#This Row],[CompletedDependencies]]</f>
        <v>0</v>
      </c>
      <c r="M391" t="str" cm="1">
        <f t="array" ref="M3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1" t="str">
        <f>IF(tblTargetStatus[[#This Row],[FirstMissingDependencyID]]="","",_xlfn.XLOOKUP(tblTargetStatus[[#This Row],[FirstMissingDependencyID]],tblTargets[TargetID],tblTargets[DisplayName],tblTargetStatus[[#This Row],[FirstMissingDependencyID]]))</f>
        <v/>
      </c>
      <c r="O391" t="str" cm="1">
        <f t="array" ref="O3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1" t="str">
        <f>IF(tblTargetStatus[[#This Row],[FirstMissingDependencyID]]="","",_xlfn.XLOOKUP(tblTargetStatus[[#This Row],[FirstMissingDependencyID]],tblTargetStatus[TargetID],tblTargetStatus[Status],""))</f>
        <v/>
      </c>
      <c r="Q391" t="str">
        <f>IF(
 tblTargetStatus[[#This Row],[Status]]&lt;&gt;"BLOCKED",
 tblTargetStatus[[#This Row],[Status]],
 IF(
  AND(
   tblTargetStatus[[#This Row],[MissingDependencies]]=1,
   tblTargetStatus[[#This Row],[FirstMissingStatus]]="READY"
  ),
  "ONE AWAY",
  "BLOCKED"
 )
)</f>
        <v>READY</v>
      </c>
      <c r="R391">
        <f>IF(
 OR(
  tblTargetStatus[[#This Row],[StateType]]="CHARACTER",
  RIGHT(tblTargetStatus[[#This Row],[TargetID]],6)=".maxed"
 ),
 0,
 _xlfn.LET(
  _xlpm.sort,
   _xlfn.XLOOKUP(
    tblTargetStatus[[#This Row],[TargetID]],
    tblChecklist[TargetID],
    tblChecklist[PlayerSort],
    0
   ),
  IF(_xlpm.sort=0,500,_xlpm.sort)
 )
)</f>
        <v>0</v>
      </c>
      <c r="S391" t="str" cm="1">
        <f t="array" ref="S39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Pier Lv 1, Ship Lv 1, Shogun's Katana Chapter 2 Finished</v>
      </c>
      <c r="T391" t="str">
        <f>_xlfn.XLOOKUP(tblTargetStatus[[#This Row],[TargetID]],tblTargets[TargetID],tblTargets[CompletionMethod],"")</f>
        <v>PLAYER</v>
      </c>
      <c r="U391" t="b">
        <f>COUNTIF(
    tblCost[TargetID],
    tblTargetStatus[[#This Row],[TargetID]]
)&gt;0</f>
        <v>0</v>
      </c>
      <c r="V391" s="81" t="str">
        <f>IF(tblTargetStatus[[#This Row],[HasCost]]=FALSE,
"N/A",
_xlfn.XLOOKUP(
tblTargetStatus[[#This Row],[TargetID]],
tblCost[TargetID],
tblCost[FundingPercent],
""
)
)</f>
        <v>N/A</v>
      </c>
      <c r="W391" t="str">
        <f>IF(
COUNTIF(tblCost[TargetID],tblTargetStatus[[#This Row],[TargetID]])=0,
"",
_xlfn.XLOOKUP(
tblTargetStatus[[#This Row],[TargetID]],
tblCost[TargetID],
tblCost[RemainingRequirements],
""
)
)</f>
        <v/>
      </c>
      <c r="X391" s="79" t="str">
        <f>IF(tblTargetStatus[[#This Row],[HasCost]]=FALSE,"N/A",_xlfn.XLOOKUP(
tblTargetStatus[[#This Row],[TargetID]],
tblCost[TargetID],
tblCost[TargetFunded],
TRUE
))</f>
        <v>N/A</v>
      </c>
      <c r="Y391" t="str" cm="1">
        <f t="array" ref="Y391">_xlfn.TEXTJOIN(
", ",
TRUE,
_xlfn._xlws.FILTER(
tblCost[ResourceID]&amp;": "&amp;tblCost[QuantityRequired],
(tblCost[TargetID]=tblTargetStatus[[#This Row],[TargetID]])*
(tblCost[PlayerPaid]=FALSE),
""
)
)</f>
        <v/>
      </c>
      <c r="Z3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1" t="str" cm="1">
        <f t="array" ref="AA39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92" spans="1:27">
      <c r="A392" t="s">
        <v>3338</v>
      </c>
      <c r="B392" t="str">
        <f>_xlfn.XLOOKUP(tblTargetStatus[[#This Row],[TargetID]],tblTargets[TargetID],tblTargets[DisplayName],"")</f>
        <v>Character Level@23</v>
      </c>
      <c r="C392" t="str">
        <f>IF(tblTargetStatus[[#This Row],[PlayerCompleted]],"COMPLETED",IF(tblTargetStatus[[#This Row],[MissingDependencies]]=0,"READY","BLOCKED"))</f>
        <v>READY</v>
      </c>
      <c r="D3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2" t="str">
        <f>_xlfn.XLOOKUP(tblTargetStatus[[#This Row],[TargetID]],tblTargets[TargetID],tblTargets[TargetType],"")</f>
        <v>STATE</v>
      </c>
      <c r="F392" t="str">
        <f>_xlfn.XLOOKUP(tblTargetStatus[[#This Row],[TargetID]],tblTargets[TargetID],tblTargets[StateType])</f>
        <v>CHARACTER</v>
      </c>
      <c r="G392">
        <f>_xlfn.LET(
_xlpm.id,tblTargetStatus[[#This Row],[TargetID]],
_xlpm.depCount,COUNTIF(tblDependencies[TargetID],_xlpm.id),
_xlpm.objCount,COUNTIF(tblQuestObjectives[QuestTargetID],_xlpm.id),
_xlpm.depCount+_xlpm.objCount
)</f>
        <v>0</v>
      </c>
      <c r="H392">
        <f>tblTargetStatus[[#This Row],[DependencyCount]]</f>
        <v>0</v>
      </c>
      <c r="I392" cm="1">
        <f t="array" ref="I3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2">
        <f>tblTargetStatus[[#This Row],[CompletedDependencyCount]]</f>
        <v>0</v>
      </c>
      <c r="K392" t="b">
        <f>tblTargetStatus[[#This Row],[CompletedDependencies]]=tblTargetStatus[[#This Row],[TotalDependencies]]</f>
        <v>1</v>
      </c>
      <c r="L392">
        <f>tblTargetStatus[[#This Row],[TotalDependencies]]-tblTargetStatus[[#This Row],[CompletedDependencies]]</f>
        <v>0</v>
      </c>
      <c r="M392" t="str" cm="1">
        <f t="array" ref="M3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2" t="str">
        <f>IF(tblTargetStatus[[#This Row],[FirstMissingDependencyID]]="","",_xlfn.XLOOKUP(tblTargetStatus[[#This Row],[FirstMissingDependencyID]],tblTargets[TargetID],tblTargets[DisplayName],tblTargetStatus[[#This Row],[FirstMissingDependencyID]]))</f>
        <v/>
      </c>
      <c r="O392" t="str" cm="1">
        <f t="array" ref="O3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2" t="str">
        <f>IF(tblTargetStatus[[#This Row],[FirstMissingDependencyID]]="","",_xlfn.XLOOKUP(tblTargetStatus[[#This Row],[FirstMissingDependencyID]],tblTargetStatus[TargetID],tblTargetStatus[Status],""))</f>
        <v/>
      </c>
      <c r="Q392" t="str">
        <f>IF(
 tblTargetStatus[[#This Row],[Status]]&lt;&gt;"BLOCKED",
 tblTargetStatus[[#This Row],[Status]],
 IF(
  AND(
   tblTargetStatus[[#This Row],[MissingDependencies]]=1,
   tblTargetStatus[[#This Row],[FirstMissingStatus]]="READY"
  ),
  "ONE AWAY",
  "BLOCKED"
 )
)</f>
        <v>READY</v>
      </c>
      <c r="R392">
        <f>IF(
 OR(
  tblTargetStatus[[#This Row],[StateType]]="CHARACTER",
  RIGHT(tblTargetStatus[[#This Row],[TargetID]],6)=".maxed"
 ),
 0,
 _xlfn.LET(
  _xlpm.sort,
   _xlfn.XLOOKUP(
    tblTargetStatus[[#This Row],[TargetID]],
    tblChecklist[TargetID],
    tblChecklist[PlayerSort],
    0
   ),
  IF(_xlpm.sort=0,500,_xlpm.sort)
 )
)</f>
        <v>0</v>
      </c>
      <c r="S392" t="str" cm="1">
        <f t="array" ref="S39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6</v>
      </c>
      <c r="T392" t="str">
        <f>_xlfn.XLOOKUP(tblTargetStatus[[#This Row],[TargetID]],tblTargets[TargetID],tblTargets[CompletionMethod],"")</f>
        <v>PLAYER</v>
      </c>
      <c r="U392" t="b">
        <f>COUNTIF(
    tblCost[TargetID],
    tblTargetStatus[[#This Row],[TargetID]]
)&gt;0</f>
        <v>0</v>
      </c>
      <c r="V392" s="81" t="str">
        <f>IF(tblTargetStatus[[#This Row],[HasCost]]=FALSE,
"N/A",
_xlfn.XLOOKUP(
tblTargetStatus[[#This Row],[TargetID]],
tblCost[TargetID],
tblCost[FundingPercent],
""
)
)</f>
        <v>N/A</v>
      </c>
      <c r="W392" t="str">
        <f>IF(
COUNTIF(tblCost[TargetID],tblTargetStatus[[#This Row],[TargetID]])=0,
"",
_xlfn.XLOOKUP(
tblTargetStatus[[#This Row],[TargetID]],
tblCost[TargetID],
tblCost[RemainingRequirements],
""
)
)</f>
        <v/>
      </c>
      <c r="X392" s="79" t="str">
        <f>IF(tblTargetStatus[[#This Row],[HasCost]]=FALSE,"N/A",_xlfn.XLOOKUP(
tblTargetStatus[[#This Row],[TargetID]],
tblCost[TargetID],
tblCost[TargetFunded],
TRUE
))</f>
        <v>N/A</v>
      </c>
      <c r="Y392" t="str" cm="1">
        <f t="array" ref="Y392">_xlfn.TEXTJOIN(
", ",
TRUE,
_xlfn._xlws.FILTER(
tblCost[ResourceID]&amp;": "&amp;tblCost[QuantityRequired],
(tblCost[TargetID]=tblTargetStatus[[#This Row],[TargetID]])*
(tblCost[PlayerPaid]=FALSE),
""
)
)</f>
        <v/>
      </c>
      <c r="Z3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2" t="str" cm="1">
        <f t="array" ref="AA39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93" spans="1:27">
      <c r="A393" t="s">
        <v>3319</v>
      </c>
      <c r="B393" t="str">
        <f>_xlfn.XLOOKUP(tblTargetStatus[[#This Row],[TargetID]],tblTargets[TargetID],tblTargets[DisplayName],"")</f>
        <v>Character Level@24</v>
      </c>
      <c r="C393" t="str">
        <f>IF(tblTargetStatus[[#This Row],[PlayerCompleted]],"COMPLETED",IF(tblTargetStatus[[#This Row],[MissingDependencies]]=0,"READY","BLOCKED"))</f>
        <v>READY</v>
      </c>
      <c r="D3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3" t="str">
        <f>_xlfn.XLOOKUP(tblTargetStatus[[#This Row],[TargetID]],tblTargets[TargetID],tblTargets[TargetType],"")</f>
        <v>STATE</v>
      </c>
      <c r="F393" t="str">
        <f>_xlfn.XLOOKUP(tblTargetStatus[[#This Row],[TargetID]],tblTargets[TargetID],tblTargets[StateType])</f>
        <v>CHARACTER</v>
      </c>
      <c r="G393">
        <f>_xlfn.LET(
_xlpm.id,tblTargetStatus[[#This Row],[TargetID]],
_xlpm.depCount,COUNTIF(tblDependencies[TargetID],_xlpm.id),
_xlpm.objCount,COUNTIF(tblQuestObjectives[QuestTargetID],_xlpm.id),
_xlpm.depCount+_xlpm.objCount
)</f>
        <v>0</v>
      </c>
      <c r="H393">
        <f>tblTargetStatus[[#This Row],[DependencyCount]]</f>
        <v>0</v>
      </c>
      <c r="I393" cm="1">
        <f t="array" ref="I3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3">
        <f>tblTargetStatus[[#This Row],[CompletedDependencyCount]]</f>
        <v>0</v>
      </c>
      <c r="K393" t="b">
        <f>tblTargetStatus[[#This Row],[CompletedDependencies]]=tblTargetStatus[[#This Row],[TotalDependencies]]</f>
        <v>1</v>
      </c>
      <c r="L393">
        <f>tblTargetStatus[[#This Row],[TotalDependencies]]-tblTargetStatus[[#This Row],[CompletedDependencies]]</f>
        <v>0</v>
      </c>
      <c r="M393" t="str" cm="1">
        <f t="array" ref="M3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3" t="str">
        <f>IF(tblTargetStatus[[#This Row],[FirstMissingDependencyID]]="","",_xlfn.XLOOKUP(tblTargetStatus[[#This Row],[FirstMissingDependencyID]],tblTargets[TargetID],tblTargets[DisplayName],tblTargetStatus[[#This Row],[FirstMissingDependencyID]]))</f>
        <v/>
      </c>
      <c r="O393" t="str" cm="1">
        <f t="array" ref="O3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3" t="str">
        <f>IF(tblTargetStatus[[#This Row],[FirstMissingDependencyID]]="","",_xlfn.XLOOKUP(tblTargetStatus[[#This Row],[FirstMissingDependencyID]],tblTargetStatus[TargetID],tblTargetStatus[Status],""))</f>
        <v/>
      </c>
      <c r="Q393" t="str">
        <f>IF(
 tblTargetStatus[[#This Row],[Status]]&lt;&gt;"BLOCKED",
 tblTargetStatus[[#This Row],[Status]],
 IF(
  AND(
   tblTargetStatus[[#This Row],[MissingDependencies]]=1,
   tblTargetStatus[[#This Row],[FirstMissingStatus]]="READY"
  ),
  "ONE AWAY",
  "BLOCKED"
 )
)</f>
        <v>READY</v>
      </c>
      <c r="R393">
        <f>IF(
 OR(
  tblTargetStatus[[#This Row],[StateType]]="CHARACTER",
  RIGHT(tblTargetStatus[[#This Row],[TargetID]],6)=".maxed"
 ),
 0,
 _xlfn.LET(
  _xlpm.sort,
   _xlfn.XLOOKUP(
    tblTargetStatus[[#This Row],[TargetID]],
    tblChecklist[TargetID],
    tblChecklist[PlayerSort],
    0
   ),
  IF(_xlpm.sort=0,500,_xlpm.sort)
 )
)</f>
        <v>0</v>
      </c>
      <c r="S393" t="str" cm="1">
        <f t="array" ref="S39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Food Stall Lv 2, Shogun's Katana Chapter 3 Finished</v>
      </c>
      <c r="T393" t="str">
        <f>_xlfn.XLOOKUP(tblTargetStatus[[#This Row],[TargetID]],tblTargets[TargetID],tblTargets[CompletionMethod],"")</f>
        <v>PLAYER</v>
      </c>
      <c r="U393" t="b">
        <f>COUNTIF(
    tblCost[TargetID],
    tblTargetStatus[[#This Row],[TargetID]]
)&gt;0</f>
        <v>0</v>
      </c>
      <c r="V393" s="81" t="str">
        <f>IF(tblTargetStatus[[#This Row],[HasCost]]=FALSE,
"N/A",
_xlfn.XLOOKUP(
tblTargetStatus[[#This Row],[TargetID]],
tblCost[TargetID],
tblCost[FundingPercent],
""
)
)</f>
        <v>N/A</v>
      </c>
      <c r="W393" t="str">
        <f>IF(
COUNTIF(tblCost[TargetID],tblTargetStatus[[#This Row],[TargetID]])=0,
"",
_xlfn.XLOOKUP(
tblTargetStatus[[#This Row],[TargetID]],
tblCost[TargetID],
tblCost[RemainingRequirements],
""
)
)</f>
        <v/>
      </c>
      <c r="X393" s="79" t="str">
        <f>IF(tblTargetStatus[[#This Row],[HasCost]]=FALSE,"N/A",_xlfn.XLOOKUP(
tblTargetStatus[[#This Row],[TargetID]],
tblCost[TargetID],
tblCost[TargetFunded],
TRUE
))</f>
        <v>N/A</v>
      </c>
      <c r="Y393" t="str" cm="1">
        <f t="array" ref="Y393">_xlfn.TEXTJOIN(
", ",
TRUE,
_xlfn._xlws.FILTER(
tblCost[ResourceID]&amp;": "&amp;tblCost[QuantityRequired],
(tblCost[TargetID]=tblTargetStatus[[#This Row],[TargetID]])*
(tblCost[PlayerPaid]=FALSE),
""
)
)</f>
        <v/>
      </c>
      <c r="Z3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3" t="str" cm="1">
        <f t="array" ref="AA39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94" spans="1:27">
      <c r="A394" t="s">
        <v>3339</v>
      </c>
      <c r="B394" t="str">
        <f>_xlfn.XLOOKUP(tblTargetStatus[[#This Row],[TargetID]],tblTargets[TargetID],tblTargets[DisplayName],"")</f>
        <v>Character Level@28</v>
      </c>
      <c r="C394" t="str">
        <f>IF(tblTargetStatus[[#This Row],[PlayerCompleted]],"COMPLETED",IF(tblTargetStatus[[#This Row],[MissingDependencies]]=0,"READY","BLOCKED"))</f>
        <v>READY</v>
      </c>
      <c r="D3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4" t="str">
        <f>_xlfn.XLOOKUP(tblTargetStatus[[#This Row],[TargetID]],tblTargets[TargetID],tblTargets[TargetType],"")</f>
        <v>STATE</v>
      </c>
      <c r="F394" t="str">
        <f>_xlfn.XLOOKUP(tblTargetStatus[[#This Row],[TargetID]],tblTargets[TargetID],tblTargets[StateType])</f>
        <v>CHARACTER</v>
      </c>
      <c r="G394">
        <f>_xlfn.LET(
_xlpm.id,tblTargetStatus[[#This Row],[TargetID]],
_xlpm.depCount,COUNTIF(tblDependencies[TargetID],_xlpm.id),
_xlpm.objCount,COUNTIF(tblQuestObjectives[QuestTargetID],_xlpm.id),
_xlpm.depCount+_xlpm.objCount
)</f>
        <v>0</v>
      </c>
      <c r="H394">
        <f>tblTargetStatus[[#This Row],[DependencyCount]]</f>
        <v>0</v>
      </c>
      <c r="I394" cm="1">
        <f t="array" ref="I3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4">
        <f>tblTargetStatus[[#This Row],[CompletedDependencyCount]]</f>
        <v>0</v>
      </c>
      <c r="K394" t="b">
        <f>tblTargetStatus[[#This Row],[CompletedDependencies]]=tblTargetStatus[[#This Row],[TotalDependencies]]</f>
        <v>1</v>
      </c>
      <c r="L394">
        <f>tblTargetStatus[[#This Row],[TotalDependencies]]-tblTargetStatus[[#This Row],[CompletedDependencies]]</f>
        <v>0</v>
      </c>
      <c r="M394" t="str" cm="1">
        <f t="array" ref="M3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4" t="str">
        <f>IF(tblTargetStatus[[#This Row],[FirstMissingDependencyID]]="","",_xlfn.XLOOKUP(tblTargetStatus[[#This Row],[FirstMissingDependencyID]],tblTargets[TargetID],tblTargets[DisplayName],tblTargetStatus[[#This Row],[FirstMissingDependencyID]]))</f>
        <v/>
      </c>
      <c r="O394" t="str" cm="1">
        <f t="array" ref="O3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4" t="str">
        <f>IF(tblTargetStatus[[#This Row],[FirstMissingDependencyID]]="","",_xlfn.XLOOKUP(tblTargetStatus[[#This Row],[FirstMissingDependencyID]],tblTargetStatus[TargetID],tblTargetStatus[Status],""))</f>
        <v/>
      </c>
      <c r="Q394" t="str">
        <f>IF(
 tblTargetStatus[[#This Row],[Status]]&lt;&gt;"BLOCKED",
 tblTargetStatus[[#This Row],[Status]],
 IF(
  AND(
   tblTargetStatus[[#This Row],[MissingDependencies]]=1,
   tblTargetStatus[[#This Row],[FirstMissingStatus]]="READY"
  ),
  "ONE AWAY",
  "BLOCKED"
 )
)</f>
        <v>READY</v>
      </c>
      <c r="R394">
        <f>IF(
 OR(
  tblTargetStatus[[#This Row],[StateType]]="CHARACTER",
  RIGHT(tblTargetStatus[[#This Row],[TargetID]],6)=".maxed"
 ),
 0,
 _xlfn.LET(
  _xlpm.sort,
   _xlfn.XLOOKUP(
    tblTargetStatus[[#This Row],[TargetID]],
    tblChecklist[TargetID],
    tblChecklist[PlayerSort],
    0
   ),
  IF(_xlpm.sort=0,500,_xlpm.sort)
 )
)</f>
        <v>0</v>
      </c>
      <c r="S394" t="str" cm="1">
        <f t="array" ref="S39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7</v>
      </c>
      <c r="T394" t="str">
        <f>_xlfn.XLOOKUP(tblTargetStatus[[#This Row],[TargetID]],tblTargets[TargetID],tblTargets[CompletionMethod],"")</f>
        <v>PLAYER</v>
      </c>
      <c r="U394" t="b">
        <f>COUNTIF(
    tblCost[TargetID],
    tblTargetStatus[[#This Row],[TargetID]]
)&gt;0</f>
        <v>0</v>
      </c>
      <c r="V394" s="81" t="str">
        <f>IF(tblTargetStatus[[#This Row],[HasCost]]=FALSE,
"N/A",
_xlfn.XLOOKUP(
tblTargetStatus[[#This Row],[TargetID]],
tblCost[TargetID],
tblCost[FundingPercent],
""
)
)</f>
        <v>N/A</v>
      </c>
      <c r="W394" t="str">
        <f>IF(
COUNTIF(tblCost[TargetID],tblTargetStatus[[#This Row],[TargetID]])=0,
"",
_xlfn.XLOOKUP(
tblTargetStatus[[#This Row],[TargetID]],
tblCost[TargetID],
tblCost[RemainingRequirements],
""
)
)</f>
        <v/>
      </c>
      <c r="X394" s="79" t="str">
        <f>IF(tblTargetStatus[[#This Row],[HasCost]]=FALSE,"N/A",_xlfn.XLOOKUP(
tblTargetStatus[[#This Row],[TargetID]],
tblCost[TargetID],
tblCost[TargetFunded],
TRUE
))</f>
        <v>N/A</v>
      </c>
      <c r="Y394" t="str" cm="1">
        <f t="array" ref="Y394">_xlfn.TEXTJOIN(
", ",
TRUE,
_xlfn._xlws.FILTER(
tblCost[ResourceID]&amp;": "&amp;tblCost[QuantityRequired],
(tblCost[TargetID]=tblTargetStatus[[#This Row],[TargetID]])*
(tblCost[PlayerPaid]=FALSE),
""
)
)</f>
        <v/>
      </c>
      <c r="Z3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4" t="str" cm="1">
        <f t="array" ref="AA39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95" spans="1:27">
      <c r="A395" t="s">
        <v>3345</v>
      </c>
      <c r="B395" t="str">
        <f>_xlfn.XLOOKUP(tblTargetStatus[[#This Row],[TargetID]],tblTargets[TargetID],tblTargets[DisplayName],"")</f>
        <v>Character Level@3</v>
      </c>
      <c r="C395" t="str">
        <f>IF(tblTargetStatus[[#This Row],[PlayerCompleted]],"COMPLETED",IF(tblTargetStatus[[#This Row],[MissingDependencies]]=0,"READY","BLOCKED"))</f>
        <v>READY</v>
      </c>
      <c r="D3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5" t="str">
        <f>_xlfn.XLOOKUP(tblTargetStatus[[#This Row],[TargetID]],tblTargets[TargetID],tblTargets[TargetType],"")</f>
        <v>STATE</v>
      </c>
      <c r="F395" t="str">
        <f>_xlfn.XLOOKUP(tblTargetStatus[[#This Row],[TargetID]],tblTargets[TargetID],tblTargets[StateType])</f>
        <v>CHARACTER</v>
      </c>
      <c r="G395">
        <f>_xlfn.LET(
_xlpm.id,tblTargetStatus[[#This Row],[TargetID]],
_xlpm.depCount,COUNTIF(tblDependencies[TargetID],_xlpm.id),
_xlpm.objCount,COUNTIF(tblQuestObjectives[QuestTargetID],_xlpm.id),
_xlpm.depCount+_xlpm.objCount
)</f>
        <v>0</v>
      </c>
      <c r="H395">
        <f>tblTargetStatus[[#This Row],[DependencyCount]]</f>
        <v>0</v>
      </c>
      <c r="I395" cm="1">
        <f t="array" ref="I3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5">
        <f>tblTargetStatus[[#This Row],[CompletedDependencyCount]]</f>
        <v>0</v>
      </c>
      <c r="K395" t="b">
        <f>tblTargetStatus[[#This Row],[CompletedDependencies]]=tblTargetStatus[[#This Row],[TotalDependencies]]</f>
        <v>1</v>
      </c>
      <c r="L395">
        <f>tblTargetStatus[[#This Row],[TotalDependencies]]-tblTargetStatus[[#This Row],[CompletedDependencies]]</f>
        <v>0</v>
      </c>
      <c r="M395" t="str" cm="1">
        <f t="array" ref="M3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5" t="str">
        <f>IF(tblTargetStatus[[#This Row],[FirstMissingDependencyID]]="","",_xlfn.XLOOKUP(tblTargetStatus[[#This Row],[FirstMissingDependencyID]],tblTargets[TargetID],tblTargets[DisplayName],tblTargetStatus[[#This Row],[FirstMissingDependencyID]]))</f>
        <v/>
      </c>
      <c r="O395" t="str" cm="1">
        <f t="array" ref="O3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5" t="str">
        <f>IF(tblTargetStatus[[#This Row],[FirstMissingDependencyID]]="","",_xlfn.XLOOKUP(tblTargetStatus[[#This Row],[FirstMissingDependencyID]],tblTargetStatus[TargetID],tblTargetStatus[Status],""))</f>
        <v/>
      </c>
      <c r="Q395" t="str">
        <f>IF(
 tblTargetStatus[[#This Row],[Status]]&lt;&gt;"BLOCKED",
 tblTargetStatus[[#This Row],[Status]],
 IF(
  AND(
   tblTargetStatus[[#This Row],[MissingDependencies]]=1,
   tblTargetStatus[[#This Row],[FirstMissingStatus]]="READY"
  ),
  "ONE AWAY",
  "BLOCKED"
 )
)</f>
        <v>READY</v>
      </c>
      <c r="R395">
        <f>IF(
 OR(
  tblTargetStatus[[#This Row],[StateType]]="CHARACTER",
  RIGHT(tblTargetStatus[[#This Row],[TargetID]],6)=".maxed"
 ),
 0,
 _xlfn.LET(
  _xlpm.sort,
   _xlfn.XLOOKUP(
    tblTargetStatus[[#This Row],[TargetID]],
    tblChecklist[TargetID],
    tblChecklist[PlayerSort],
    0
   ),
  IF(_xlpm.sort=0,500,_xlpm.sort)
 )
)</f>
        <v>0</v>
      </c>
      <c r="S395" t="str" cm="1">
        <f t="array" ref="S39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Shop Lv 1</v>
      </c>
      <c r="T395" t="str">
        <f>_xlfn.XLOOKUP(tblTargetStatus[[#This Row],[TargetID]],tblTargets[TargetID],tblTargets[CompletionMethod],"")</f>
        <v>PLAYER</v>
      </c>
      <c r="U395" t="b">
        <f>COUNTIF(
    tblCost[TargetID],
    tblTargetStatus[[#This Row],[TargetID]]
)&gt;0</f>
        <v>0</v>
      </c>
      <c r="V395" s="81" t="str">
        <f>IF(tblTargetStatus[[#This Row],[HasCost]]=FALSE,
"N/A",
_xlfn.XLOOKUP(
tblTargetStatus[[#This Row],[TargetID]],
tblCost[TargetID],
tblCost[FundingPercent],
""
)
)</f>
        <v>N/A</v>
      </c>
      <c r="W395" t="str">
        <f>IF(
COUNTIF(tblCost[TargetID],tblTargetStatus[[#This Row],[TargetID]])=0,
"",
_xlfn.XLOOKUP(
tblTargetStatus[[#This Row],[TargetID]],
tblCost[TargetID],
tblCost[RemainingRequirements],
""
)
)</f>
        <v/>
      </c>
      <c r="X395" s="79" t="str">
        <f>IF(tblTargetStatus[[#This Row],[HasCost]]=FALSE,"N/A",_xlfn.XLOOKUP(
tblTargetStatus[[#This Row],[TargetID]],
tblCost[TargetID],
tblCost[TargetFunded],
TRUE
))</f>
        <v>N/A</v>
      </c>
      <c r="Y395" t="str" cm="1">
        <f t="array" ref="Y395">_xlfn.TEXTJOIN(
", ",
TRUE,
_xlfn._xlws.FILTER(
tblCost[ResourceID]&amp;": "&amp;tblCost[QuantityRequired],
(tblCost[TargetID]=tblTargetStatus[[#This Row],[TargetID]])*
(tblCost[PlayerPaid]=FALSE),
""
)
)</f>
        <v/>
      </c>
      <c r="Z3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5" t="str" cm="1">
        <f t="array" ref="AA39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96" spans="1:27">
      <c r="A396" t="s">
        <v>3305</v>
      </c>
      <c r="B396" t="str">
        <f>_xlfn.XLOOKUP(tblTargetStatus[[#This Row],[TargetID]],tblTargets[TargetID],tblTargets[DisplayName],"")</f>
        <v>Character Level@30</v>
      </c>
      <c r="C396" t="str">
        <f>IF(tblTargetStatus[[#This Row],[PlayerCompleted]],"COMPLETED",IF(tblTargetStatus[[#This Row],[MissingDependencies]]=0,"READY","BLOCKED"))</f>
        <v>READY</v>
      </c>
      <c r="D3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6" t="str">
        <f>_xlfn.XLOOKUP(tblTargetStatus[[#This Row],[TargetID]],tblTargets[TargetID],tblTargets[TargetType],"")</f>
        <v>STATE</v>
      </c>
      <c r="F396" t="str">
        <f>_xlfn.XLOOKUP(tblTargetStatus[[#This Row],[TargetID]],tblTargets[TargetID],tblTargets[StateType])</f>
        <v>CHARACTER</v>
      </c>
      <c r="G396">
        <f>_xlfn.LET(
_xlpm.id,tblTargetStatus[[#This Row],[TargetID]],
_xlpm.depCount,COUNTIF(tblDependencies[TargetID],_xlpm.id),
_xlpm.objCount,COUNTIF(tblQuestObjectives[QuestTargetID],_xlpm.id),
_xlpm.depCount+_xlpm.objCount
)</f>
        <v>0</v>
      </c>
      <c r="H396">
        <f>tblTargetStatus[[#This Row],[DependencyCount]]</f>
        <v>0</v>
      </c>
      <c r="I396" cm="1">
        <f t="array" ref="I3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6">
        <f>tblTargetStatus[[#This Row],[CompletedDependencyCount]]</f>
        <v>0</v>
      </c>
      <c r="K396" t="b">
        <f>tblTargetStatus[[#This Row],[CompletedDependencies]]=tblTargetStatus[[#This Row],[TotalDependencies]]</f>
        <v>1</v>
      </c>
      <c r="L396">
        <f>tblTargetStatus[[#This Row],[TotalDependencies]]-tblTargetStatus[[#This Row],[CompletedDependencies]]</f>
        <v>0</v>
      </c>
      <c r="M396" t="str" cm="1">
        <f t="array" ref="M3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6" t="str">
        <f>IF(tblTargetStatus[[#This Row],[FirstMissingDependencyID]]="","",_xlfn.XLOOKUP(tblTargetStatus[[#This Row],[FirstMissingDependencyID]],tblTargets[TargetID],tblTargets[DisplayName],tblTargetStatus[[#This Row],[FirstMissingDependencyID]]))</f>
        <v/>
      </c>
      <c r="O396" t="str" cm="1">
        <f t="array" ref="O3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6" t="str">
        <f>IF(tblTargetStatus[[#This Row],[FirstMissingDependencyID]]="","",_xlfn.XLOOKUP(tblTargetStatus[[#This Row],[FirstMissingDependencyID]],tblTargetStatus[TargetID],tblTargetStatus[Status],""))</f>
        <v/>
      </c>
      <c r="Q396" t="str">
        <f>IF(
 tblTargetStatus[[#This Row],[Status]]&lt;&gt;"BLOCKED",
 tblTargetStatus[[#This Row],[Status]],
 IF(
  AND(
   tblTargetStatus[[#This Row],[MissingDependencies]]=1,
   tblTargetStatus[[#This Row],[FirstMissingStatus]]="READY"
  ),
  "ONE AWAY",
  "BLOCKED"
 )
)</f>
        <v>READY</v>
      </c>
      <c r="R396">
        <f>IF(
 OR(
  tblTargetStatus[[#This Row],[StateType]]="CHARACTER",
  RIGHT(tblTargetStatus[[#This Row],[TargetID]],6)=".maxed"
 ),
 0,
 _xlfn.LET(
  _xlpm.sort,
   _xlfn.XLOOKUP(
    tblTargetStatus[[#This Row],[TargetID]],
    tblChecklist[TargetID],
    tblChecklist[PlayerSort],
    0
   ),
  IF(_xlpm.sort=0,500,_xlpm.sort)
 )
)</f>
        <v>0</v>
      </c>
      <c r="S396" t="str" cm="1">
        <f t="array" ref="S39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Bridge Lv 1, Caravan Lv 1, Dungeon Lv 3</v>
      </c>
      <c r="T396" t="str">
        <f>_xlfn.XLOOKUP(tblTargetStatus[[#This Row],[TargetID]],tblTargets[TargetID],tblTargets[CompletionMethod],"")</f>
        <v>PLAYER</v>
      </c>
      <c r="U396" t="b">
        <f>COUNTIF(
    tblCost[TargetID],
    tblTargetStatus[[#This Row],[TargetID]]
)&gt;0</f>
        <v>0</v>
      </c>
      <c r="V396" s="81" t="str">
        <f>IF(tblTargetStatus[[#This Row],[HasCost]]=FALSE,
"N/A",
_xlfn.XLOOKUP(
tblTargetStatus[[#This Row],[TargetID]],
tblCost[TargetID],
tblCost[FundingPercent],
""
)
)</f>
        <v>N/A</v>
      </c>
      <c r="W396" t="str">
        <f>IF(
COUNTIF(tblCost[TargetID],tblTargetStatus[[#This Row],[TargetID]])=0,
"",
_xlfn.XLOOKUP(
tblTargetStatus[[#This Row],[TargetID]],
tblCost[TargetID],
tblCost[RemainingRequirements],
""
)
)</f>
        <v/>
      </c>
      <c r="X396" s="79" t="str">
        <f>IF(tblTargetStatus[[#This Row],[HasCost]]=FALSE,"N/A",_xlfn.XLOOKUP(
tblTargetStatus[[#This Row],[TargetID]],
tblCost[TargetID],
tblCost[TargetFunded],
TRUE
))</f>
        <v>N/A</v>
      </c>
      <c r="Y396" t="str" cm="1">
        <f t="array" ref="Y396">_xlfn.TEXTJOIN(
", ",
TRUE,
_xlfn._xlws.FILTER(
tblCost[ResourceID]&amp;": "&amp;tblCost[QuantityRequired],
(tblCost[TargetID]=tblTargetStatus[[#This Row],[TargetID]])*
(tblCost[PlayerPaid]=FALSE),
""
)
)</f>
        <v/>
      </c>
      <c r="Z3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6" t="str" cm="1">
        <f t="array" ref="AA39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97" spans="1:27">
      <c r="A397" t="s">
        <v>3334</v>
      </c>
      <c r="B397" t="str">
        <f>_xlfn.XLOOKUP(tblTargetStatus[[#This Row],[TargetID]],tblTargets[TargetID],tblTargets[DisplayName],"")</f>
        <v>Character Level@31</v>
      </c>
      <c r="C397" t="str">
        <f>IF(tblTargetStatus[[#This Row],[PlayerCompleted]],"COMPLETED",IF(tblTargetStatus[[#This Row],[MissingDependencies]]=0,"READY","BLOCKED"))</f>
        <v>READY</v>
      </c>
      <c r="D3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7" t="str">
        <f>_xlfn.XLOOKUP(tblTargetStatus[[#This Row],[TargetID]],tblTargets[TargetID],tblTargets[TargetType],"")</f>
        <v>STATE</v>
      </c>
      <c r="F397" t="str">
        <f>_xlfn.XLOOKUP(tblTargetStatus[[#This Row],[TargetID]],tblTargets[TargetID],tblTargets[StateType])</f>
        <v>CHARACTER</v>
      </c>
      <c r="G397">
        <f>_xlfn.LET(
_xlpm.id,tblTargetStatus[[#This Row],[TargetID]],
_xlpm.depCount,COUNTIF(tblDependencies[TargetID],_xlpm.id),
_xlpm.objCount,COUNTIF(tblQuestObjectives[QuestTargetID],_xlpm.id),
_xlpm.depCount+_xlpm.objCount
)</f>
        <v>0</v>
      </c>
      <c r="H397">
        <f>tblTargetStatus[[#This Row],[DependencyCount]]</f>
        <v>0</v>
      </c>
      <c r="I397" cm="1">
        <f t="array" ref="I3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7">
        <f>tblTargetStatus[[#This Row],[CompletedDependencyCount]]</f>
        <v>0</v>
      </c>
      <c r="K397" t="b">
        <f>tblTargetStatus[[#This Row],[CompletedDependencies]]=tblTargetStatus[[#This Row],[TotalDependencies]]</f>
        <v>1</v>
      </c>
      <c r="L397">
        <f>tblTargetStatus[[#This Row],[TotalDependencies]]-tblTargetStatus[[#This Row],[CompletedDependencies]]</f>
        <v>0</v>
      </c>
      <c r="M397" t="str" cm="1">
        <f t="array" ref="M3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7" t="str">
        <f>IF(tblTargetStatus[[#This Row],[FirstMissingDependencyID]]="","",_xlfn.XLOOKUP(tblTargetStatus[[#This Row],[FirstMissingDependencyID]],tblTargets[TargetID],tblTargets[DisplayName],tblTargetStatus[[#This Row],[FirstMissingDependencyID]]))</f>
        <v/>
      </c>
      <c r="O397" t="str" cm="1">
        <f t="array" ref="O3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7" t="str">
        <f>IF(tblTargetStatus[[#This Row],[FirstMissingDependencyID]]="","",_xlfn.XLOOKUP(tblTargetStatus[[#This Row],[FirstMissingDependencyID]],tblTargetStatus[TargetID],tblTargetStatus[Status],""))</f>
        <v/>
      </c>
      <c r="Q397" t="str">
        <f>IF(
 tblTargetStatus[[#This Row],[Status]]&lt;&gt;"BLOCKED",
 tblTargetStatus[[#This Row],[Status]],
 IF(
  AND(
   tblTargetStatus[[#This Row],[MissingDependencies]]=1,
   tblTargetStatus[[#This Row],[FirstMissingStatus]]="READY"
  ),
  "ONE AWAY",
  "BLOCKED"
 )
)</f>
        <v>READY</v>
      </c>
      <c r="R397">
        <f>IF(
 OR(
  tblTargetStatus[[#This Row],[StateType]]="CHARACTER",
  RIGHT(tblTargetStatus[[#This Row],[TargetID]],6)=".maxed"
 ),
 0,
 _xlfn.LET(
  _xlpm.sort,
   _xlfn.XLOOKUP(
    tblTargetStatus[[#This Row],[TargetID]],
    tblChecklist[TargetID],
    tblChecklist[PlayerSort],
    0
   ),
  IF(_xlpm.sort=0,500,_xlpm.sort)
 )
)</f>
        <v>0</v>
      </c>
      <c r="S397" t="str" cm="1">
        <f t="array" ref="S39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Outpost Lv 1</v>
      </c>
      <c r="T397" t="str">
        <f>_xlfn.XLOOKUP(tblTargetStatus[[#This Row],[TargetID]],tblTargets[TargetID],tblTargets[CompletionMethod],"")</f>
        <v>PLAYER</v>
      </c>
      <c r="U397" t="b">
        <f>COUNTIF(
    tblCost[TargetID],
    tblTargetStatus[[#This Row],[TargetID]]
)&gt;0</f>
        <v>0</v>
      </c>
      <c r="V397" s="81" t="str">
        <f>IF(tblTargetStatus[[#This Row],[HasCost]]=FALSE,
"N/A",
_xlfn.XLOOKUP(
tblTargetStatus[[#This Row],[TargetID]],
tblCost[TargetID],
tblCost[FundingPercent],
""
)
)</f>
        <v>N/A</v>
      </c>
      <c r="W397" t="str">
        <f>IF(
COUNTIF(tblCost[TargetID],tblTargetStatus[[#This Row],[TargetID]])=0,
"",
_xlfn.XLOOKUP(
tblTargetStatus[[#This Row],[TargetID]],
tblCost[TargetID],
tblCost[RemainingRequirements],
""
)
)</f>
        <v/>
      </c>
      <c r="X397" s="79" t="str">
        <f>IF(tblTargetStatus[[#This Row],[HasCost]]=FALSE,"N/A",_xlfn.XLOOKUP(
tblTargetStatus[[#This Row],[TargetID]],
tblCost[TargetID],
tblCost[TargetFunded],
TRUE
))</f>
        <v>N/A</v>
      </c>
      <c r="Y397" t="str" cm="1">
        <f t="array" ref="Y397">_xlfn.TEXTJOIN(
", ",
TRUE,
_xlfn._xlws.FILTER(
tblCost[ResourceID]&amp;": "&amp;tblCost[QuantityRequired],
(tblCost[TargetID]=tblTargetStatus[[#This Row],[TargetID]])*
(tblCost[PlayerPaid]=FALSE),
""
)
)</f>
        <v/>
      </c>
      <c r="Z3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7" t="str" cm="1">
        <f t="array" ref="AA39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98" spans="1:27">
      <c r="A398" t="s">
        <v>3303</v>
      </c>
      <c r="B398" t="str">
        <f>_xlfn.XLOOKUP(tblTargetStatus[[#This Row],[TargetID]],tblTargets[TargetID],tblTargets[DisplayName],"")</f>
        <v>Character Level@32</v>
      </c>
      <c r="C398" t="str">
        <f>IF(tblTargetStatus[[#This Row],[PlayerCompleted]],"COMPLETED",IF(tblTargetStatus[[#This Row],[MissingDependencies]]=0,"READY","BLOCKED"))</f>
        <v>READY</v>
      </c>
      <c r="D3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8" t="str">
        <f>_xlfn.XLOOKUP(tblTargetStatus[[#This Row],[TargetID]],tblTargets[TargetID],tblTargets[TargetType],"")</f>
        <v>STATE</v>
      </c>
      <c r="F398" t="str">
        <f>_xlfn.XLOOKUP(tblTargetStatus[[#This Row],[TargetID]],tblTargets[TargetID],tblTargets[StateType])</f>
        <v>CHARACTER</v>
      </c>
      <c r="G398">
        <f>_xlfn.LET(
_xlpm.id,tblTargetStatus[[#This Row],[TargetID]],
_xlpm.depCount,COUNTIF(tblDependencies[TargetID],_xlpm.id),
_xlpm.objCount,COUNTIF(tblQuestObjectives[QuestTargetID],_xlpm.id),
_xlpm.depCount+_xlpm.objCount
)</f>
        <v>0</v>
      </c>
      <c r="H398">
        <f>tblTargetStatus[[#This Row],[DependencyCount]]</f>
        <v>0</v>
      </c>
      <c r="I398" cm="1">
        <f t="array" ref="I3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8">
        <f>tblTargetStatus[[#This Row],[CompletedDependencyCount]]</f>
        <v>0</v>
      </c>
      <c r="K398" t="b">
        <f>tblTargetStatus[[#This Row],[CompletedDependencies]]=tblTargetStatus[[#This Row],[TotalDependencies]]</f>
        <v>1</v>
      </c>
      <c r="L398">
        <f>tblTargetStatus[[#This Row],[TotalDependencies]]-tblTargetStatus[[#This Row],[CompletedDependencies]]</f>
        <v>0</v>
      </c>
      <c r="M398" t="str" cm="1">
        <f t="array" ref="M3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8" t="str">
        <f>IF(tblTargetStatus[[#This Row],[FirstMissingDependencyID]]="","",_xlfn.XLOOKUP(tblTargetStatus[[#This Row],[FirstMissingDependencyID]],tblTargets[TargetID],tblTargets[DisplayName],tblTargetStatus[[#This Row],[FirstMissingDependencyID]]))</f>
        <v/>
      </c>
      <c r="O398" t="str" cm="1">
        <f t="array" ref="O3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8" t="str">
        <f>IF(tblTargetStatus[[#This Row],[FirstMissingDependencyID]]="","",_xlfn.XLOOKUP(tblTargetStatus[[#This Row],[FirstMissingDependencyID]],tblTargetStatus[TargetID],tblTargetStatus[Status],""))</f>
        <v/>
      </c>
      <c r="Q398" t="str">
        <f>IF(
 tblTargetStatus[[#This Row],[Status]]&lt;&gt;"BLOCKED",
 tblTargetStatus[[#This Row],[Status]],
 IF(
  AND(
   tblTargetStatus[[#This Row],[MissingDependencies]]=1,
   tblTargetStatus[[#This Row],[FirstMissingStatus]]="READY"
  ),
  "ONE AWAY",
  "BLOCKED"
 )
)</f>
        <v>READY</v>
      </c>
      <c r="R398">
        <f>IF(
 OR(
  tblTargetStatus[[#This Row],[StateType]]="CHARACTER",
  RIGHT(tblTargetStatus[[#This Row],[TargetID]],6)=".maxed"
 ),
 0,
 _xlfn.LET(
  _xlpm.sort,
   _xlfn.XLOOKUP(
    tblTargetStatus[[#This Row],[TargetID]],
    tblChecklist[TargetID],
    tblChecklist[PlayerSort],
    0
   ),
  IF(_xlpm.sort=0,500,_xlpm.sort)
 )
)</f>
        <v>0</v>
      </c>
      <c r="S398" t="str" cm="1">
        <f t="array" ref="S39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6, Tailor Lv 1</v>
      </c>
      <c r="T398" t="str">
        <f>_xlfn.XLOOKUP(tblTargetStatus[[#This Row],[TargetID]],tblTargets[TargetID],tblTargets[CompletionMethod],"")</f>
        <v>PLAYER</v>
      </c>
      <c r="U398" t="b">
        <f>COUNTIF(
    tblCost[TargetID],
    tblTargetStatus[[#This Row],[TargetID]]
)&gt;0</f>
        <v>0</v>
      </c>
      <c r="V398" s="81" t="str">
        <f>IF(tblTargetStatus[[#This Row],[HasCost]]=FALSE,
"N/A",
_xlfn.XLOOKUP(
tblTargetStatus[[#This Row],[TargetID]],
tblCost[TargetID],
tblCost[FundingPercent],
""
)
)</f>
        <v>N/A</v>
      </c>
      <c r="W398" t="str">
        <f>IF(
COUNTIF(tblCost[TargetID],tblTargetStatus[[#This Row],[TargetID]])=0,
"",
_xlfn.XLOOKUP(
tblTargetStatus[[#This Row],[TargetID]],
tblCost[TargetID],
tblCost[RemainingRequirements],
""
)
)</f>
        <v/>
      </c>
      <c r="X398" s="79" t="str">
        <f>IF(tblTargetStatus[[#This Row],[HasCost]]=FALSE,"N/A",_xlfn.XLOOKUP(
tblTargetStatus[[#This Row],[TargetID]],
tblCost[TargetID],
tblCost[TargetFunded],
TRUE
))</f>
        <v>N/A</v>
      </c>
      <c r="Y398" t="str" cm="1">
        <f t="array" ref="Y398">_xlfn.TEXTJOIN(
", ",
TRUE,
_xlfn._xlws.FILTER(
tblCost[ResourceID]&amp;": "&amp;tblCost[QuantityRequired],
(tblCost[TargetID]=tblTargetStatus[[#This Row],[TargetID]])*
(tblCost[PlayerPaid]=FALSE),
""
)
)</f>
        <v/>
      </c>
      <c r="Z3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8" t="str" cm="1">
        <f t="array" ref="AA39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399" spans="1:27">
      <c r="A399" t="s">
        <v>3335</v>
      </c>
      <c r="B399" t="str">
        <f>_xlfn.XLOOKUP(tblTargetStatus[[#This Row],[TargetID]],tblTargets[TargetID],tblTargets[DisplayName],"")</f>
        <v>Character Level@4</v>
      </c>
      <c r="C399" t="str">
        <f>IF(tblTargetStatus[[#This Row],[PlayerCompleted]],"COMPLETED",IF(tblTargetStatus[[#This Row],[MissingDependencies]]=0,"READY","BLOCKED"))</f>
        <v>READY</v>
      </c>
      <c r="D3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9" t="str">
        <f>_xlfn.XLOOKUP(tblTargetStatus[[#This Row],[TargetID]],tblTargets[TargetID],tblTargets[TargetType],"")</f>
        <v>STATE</v>
      </c>
      <c r="F399" t="str">
        <f>_xlfn.XLOOKUP(tblTargetStatus[[#This Row],[TargetID]],tblTargets[TargetID],tblTargets[StateType])</f>
        <v>CHARACTER</v>
      </c>
      <c r="G399">
        <f>_xlfn.LET(
_xlpm.id,tblTargetStatus[[#This Row],[TargetID]],
_xlpm.depCount,COUNTIF(tblDependencies[TargetID],_xlpm.id),
_xlpm.objCount,COUNTIF(tblQuestObjectives[QuestTargetID],_xlpm.id),
_xlpm.depCount+_xlpm.objCount
)</f>
        <v>0</v>
      </c>
      <c r="H399">
        <f>tblTargetStatus[[#This Row],[DependencyCount]]</f>
        <v>0</v>
      </c>
      <c r="I399" cm="1">
        <f t="array" ref="I3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9">
        <f>tblTargetStatus[[#This Row],[CompletedDependencyCount]]</f>
        <v>0</v>
      </c>
      <c r="K399" t="b">
        <f>tblTargetStatus[[#This Row],[CompletedDependencies]]=tblTargetStatus[[#This Row],[TotalDependencies]]</f>
        <v>1</v>
      </c>
      <c r="L399">
        <f>tblTargetStatus[[#This Row],[TotalDependencies]]-tblTargetStatus[[#This Row],[CompletedDependencies]]</f>
        <v>0</v>
      </c>
      <c r="M399" t="str" cm="1">
        <f t="array" ref="M3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9" t="str">
        <f>IF(tblTargetStatus[[#This Row],[FirstMissingDependencyID]]="","",_xlfn.XLOOKUP(tblTargetStatus[[#This Row],[FirstMissingDependencyID]],tblTargets[TargetID],tblTargets[DisplayName],tblTargetStatus[[#This Row],[FirstMissingDependencyID]]))</f>
        <v/>
      </c>
      <c r="O399" t="str" cm="1">
        <f t="array" ref="O3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9" t="str">
        <f>IF(tblTargetStatus[[#This Row],[FirstMissingDependencyID]]="","",_xlfn.XLOOKUP(tblTargetStatus[[#This Row],[FirstMissingDependencyID]],tblTargetStatus[TargetID],tblTargetStatus[Status],""))</f>
        <v/>
      </c>
      <c r="Q399" t="str">
        <f>IF(
 tblTargetStatus[[#This Row],[Status]]&lt;&gt;"BLOCKED",
 tblTargetStatus[[#This Row],[Status]],
 IF(
  AND(
   tblTargetStatus[[#This Row],[MissingDependencies]]=1,
   tblTargetStatus[[#This Row],[FirstMissingStatus]]="READY"
  ),
  "ONE AWAY",
  "BLOCKED"
 )
)</f>
        <v>READY</v>
      </c>
      <c r="R399">
        <f>IF(
 OR(
  tblTargetStatus[[#This Row],[StateType]]="CHARACTER",
  RIGHT(tblTargetStatus[[#This Row],[TargetID]],6)=".maxed"
 ),
 0,
 _xlfn.LET(
  _xlpm.sort,
   _xlfn.XLOOKUP(
    tblTargetStatus[[#This Row],[TargetID]],
    tblChecklist[TargetID],
    tblChecklist[PlayerSort],
    0
   ),
  IF(_xlpm.sort=0,500,_xlpm.sort)
 )
)</f>
        <v>0</v>
      </c>
      <c r="S399" t="str" cm="1">
        <f t="array" ref="S39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Pagoda Lv 1</v>
      </c>
      <c r="T399" t="str">
        <f>_xlfn.XLOOKUP(tblTargetStatus[[#This Row],[TargetID]],tblTargets[TargetID],tblTargets[CompletionMethod],"")</f>
        <v>PLAYER</v>
      </c>
      <c r="U399" t="b">
        <f>COUNTIF(
    tblCost[TargetID],
    tblTargetStatus[[#This Row],[TargetID]]
)&gt;0</f>
        <v>0</v>
      </c>
      <c r="V399" s="81" t="str">
        <f>IF(tblTargetStatus[[#This Row],[HasCost]]=FALSE,
"N/A",
_xlfn.XLOOKUP(
tblTargetStatus[[#This Row],[TargetID]],
tblCost[TargetID],
tblCost[FundingPercent],
""
)
)</f>
        <v>N/A</v>
      </c>
      <c r="W399" t="str">
        <f>IF(
COUNTIF(tblCost[TargetID],tblTargetStatus[[#This Row],[TargetID]])=0,
"",
_xlfn.XLOOKUP(
tblTargetStatus[[#This Row],[TargetID]],
tblCost[TargetID],
tblCost[RemainingRequirements],
""
)
)</f>
        <v/>
      </c>
      <c r="X399" s="79" t="str">
        <f>IF(tblTargetStatus[[#This Row],[HasCost]]=FALSE,"N/A",_xlfn.XLOOKUP(
tblTargetStatus[[#This Row],[TargetID]],
tblCost[TargetID],
tblCost[TargetFunded],
TRUE
))</f>
        <v>N/A</v>
      </c>
      <c r="Y399" t="str" cm="1">
        <f t="array" ref="Y399">_xlfn.TEXTJOIN(
", ",
TRUE,
_xlfn._xlws.FILTER(
tblCost[ResourceID]&amp;": "&amp;tblCost[QuantityRequired],
(tblCost[TargetID]=tblTargetStatus[[#This Row],[TargetID]])*
(tblCost[PlayerPaid]=FALSE),
""
)
)</f>
        <v/>
      </c>
      <c r="Z3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9" t="str" cm="1">
        <f t="array" ref="AA39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0" spans="1:27">
      <c r="A400" t="s">
        <v>3296</v>
      </c>
      <c r="B400" t="str">
        <f>_xlfn.XLOOKUP(tblTargetStatus[[#This Row],[TargetID]],tblTargets[TargetID],tblTargets[DisplayName],"")</f>
        <v>Character Level@40</v>
      </c>
      <c r="C400" t="str">
        <f>IF(tblTargetStatus[[#This Row],[PlayerCompleted]],"COMPLETED",IF(tblTargetStatus[[#This Row],[MissingDependencies]]=0,"READY","BLOCKED"))</f>
        <v>READY</v>
      </c>
      <c r="D4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0" t="str">
        <f>_xlfn.XLOOKUP(tblTargetStatus[[#This Row],[TargetID]],tblTargets[TargetID],tblTargets[TargetType],"")</f>
        <v>STATE</v>
      </c>
      <c r="F400" t="str">
        <f>_xlfn.XLOOKUP(tblTargetStatus[[#This Row],[TargetID]],tblTargets[TargetID],tblTargets[StateType])</f>
        <v>CHARACTER</v>
      </c>
      <c r="G400">
        <f>_xlfn.LET(
_xlpm.id,tblTargetStatus[[#This Row],[TargetID]],
_xlpm.depCount,COUNTIF(tblDependencies[TargetID],_xlpm.id),
_xlpm.objCount,COUNTIF(tblQuestObjectives[QuestTargetID],_xlpm.id),
_xlpm.depCount+_xlpm.objCount
)</f>
        <v>0</v>
      </c>
      <c r="H400">
        <f>tblTargetStatus[[#This Row],[DependencyCount]]</f>
        <v>0</v>
      </c>
      <c r="I400" cm="1">
        <f t="array" ref="I4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0">
        <f>tblTargetStatus[[#This Row],[CompletedDependencyCount]]</f>
        <v>0</v>
      </c>
      <c r="K400" t="b">
        <f>tblTargetStatus[[#This Row],[CompletedDependencies]]=tblTargetStatus[[#This Row],[TotalDependencies]]</f>
        <v>1</v>
      </c>
      <c r="L400">
        <f>tblTargetStatus[[#This Row],[TotalDependencies]]-tblTargetStatus[[#This Row],[CompletedDependencies]]</f>
        <v>0</v>
      </c>
      <c r="M400" t="str" cm="1">
        <f t="array" ref="M4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0" t="str">
        <f>IF(tblTargetStatus[[#This Row],[FirstMissingDependencyID]]="","",_xlfn.XLOOKUP(tblTargetStatus[[#This Row],[FirstMissingDependencyID]],tblTargets[TargetID],tblTargets[DisplayName],tblTargetStatus[[#This Row],[FirstMissingDependencyID]]))</f>
        <v/>
      </c>
      <c r="O400" t="str" cm="1">
        <f t="array" ref="O4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0" t="str">
        <f>IF(tblTargetStatus[[#This Row],[FirstMissingDependencyID]]="","",_xlfn.XLOOKUP(tblTargetStatus[[#This Row],[FirstMissingDependencyID]],tblTargetStatus[TargetID],tblTargetStatus[Status],""))</f>
        <v/>
      </c>
      <c r="Q400" t="str">
        <f>IF(
 tblTargetStatus[[#This Row],[Status]]&lt;&gt;"BLOCKED",
 tblTargetStatus[[#This Row],[Status]],
 IF(
  AND(
   tblTargetStatus[[#This Row],[MissingDependencies]]=1,
   tblTargetStatus[[#This Row],[FirstMissingStatus]]="READY"
  ),
  "ONE AWAY",
  "BLOCKED"
 )
)</f>
        <v>READY</v>
      </c>
      <c r="R400">
        <f>IF(
 OR(
  tblTargetStatus[[#This Row],[StateType]]="CHARACTER",
  RIGHT(tblTargetStatus[[#This Row],[TargetID]],6)=".maxed"
 ),
 0,
 _xlfn.LET(
  _xlpm.sort,
   _xlfn.XLOOKUP(
    tblTargetStatus[[#This Row],[TargetID]],
    tblChecklist[TargetID],
    tblChecklist[PlayerSort],
    0
   ),
  IF(_xlpm.sort=0,500,_xlpm.sort)
 )
)</f>
        <v>0</v>
      </c>
      <c r="S400" t="str" cm="1">
        <f t="array" ref="S40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Airship Lv 1, Airship Lv 2, Dungeon Lv 4</v>
      </c>
      <c r="T400" t="str">
        <f>_xlfn.XLOOKUP(tblTargetStatus[[#This Row],[TargetID]],tblTargets[TargetID],tblTargets[CompletionMethod],"")</f>
        <v>PLAYER</v>
      </c>
      <c r="U400" t="b">
        <f>COUNTIF(
    tblCost[TargetID],
    tblTargetStatus[[#This Row],[TargetID]]
)&gt;0</f>
        <v>0</v>
      </c>
      <c r="V400" s="81" t="str">
        <f>IF(tblTargetStatus[[#This Row],[HasCost]]=FALSE,
"N/A",
_xlfn.XLOOKUP(
tblTargetStatus[[#This Row],[TargetID]],
tblCost[TargetID],
tblCost[FundingPercent],
""
)
)</f>
        <v>N/A</v>
      </c>
      <c r="W400" t="str">
        <f>IF(
COUNTIF(tblCost[TargetID],tblTargetStatus[[#This Row],[TargetID]])=0,
"",
_xlfn.XLOOKUP(
tblTargetStatus[[#This Row],[TargetID]],
tblCost[TargetID],
tblCost[RemainingRequirements],
""
)
)</f>
        <v/>
      </c>
      <c r="X400" s="79" t="str">
        <f>IF(tblTargetStatus[[#This Row],[HasCost]]=FALSE,"N/A",_xlfn.XLOOKUP(
tblTargetStatus[[#This Row],[TargetID]],
tblCost[TargetID],
tblCost[TargetFunded],
TRUE
))</f>
        <v>N/A</v>
      </c>
      <c r="Y400" t="str" cm="1">
        <f t="array" ref="Y400">_xlfn.TEXTJOIN(
", ",
TRUE,
_xlfn._xlws.FILTER(
tblCost[ResourceID]&amp;": "&amp;tblCost[QuantityRequired],
(tblCost[TargetID]=tblTargetStatus[[#This Row],[TargetID]])*
(tblCost[PlayerPaid]=FALSE),
""
)
)</f>
        <v/>
      </c>
      <c r="Z4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0" t="str" cm="1">
        <f t="array" ref="AA40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1" spans="1:27">
      <c r="A401" t="s">
        <v>3350</v>
      </c>
      <c r="B401" t="str">
        <f>_xlfn.XLOOKUP(tblTargetStatus[[#This Row],[TargetID]],tblTargets[TargetID],tblTargets[DisplayName],"")</f>
        <v>Character Level@5</v>
      </c>
      <c r="C401" t="str">
        <f>IF(tblTargetStatus[[#This Row],[PlayerCompleted]],"COMPLETED",IF(tblTargetStatus[[#This Row],[MissingDependencies]]=0,"READY","BLOCKED"))</f>
        <v>READY</v>
      </c>
      <c r="D4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1" t="str">
        <f>_xlfn.XLOOKUP(tblTargetStatus[[#This Row],[TargetID]],tblTargets[TargetID],tblTargets[TargetType],"")</f>
        <v>STATE</v>
      </c>
      <c r="F401" t="str">
        <f>_xlfn.XLOOKUP(tblTargetStatus[[#This Row],[TargetID]],tblTargets[TargetID],tblTargets[StateType])</f>
        <v>CHARACTER</v>
      </c>
      <c r="G401">
        <f>_xlfn.LET(
_xlpm.id,tblTargetStatus[[#This Row],[TargetID]],
_xlpm.depCount,COUNTIF(tblDependencies[TargetID],_xlpm.id),
_xlpm.objCount,COUNTIF(tblQuestObjectives[QuestTargetID],_xlpm.id),
_xlpm.depCount+_xlpm.objCount
)</f>
        <v>0</v>
      </c>
      <c r="H401">
        <f>tblTargetStatus[[#This Row],[DependencyCount]]</f>
        <v>0</v>
      </c>
      <c r="I401" cm="1">
        <f t="array" ref="I4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1">
        <f>tblTargetStatus[[#This Row],[CompletedDependencyCount]]</f>
        <v>0</v>
      </c>
      <c r="K401" t="b">
        <f>tblTargetStatus[[#This Row],[CompletedDependencies]]=tblTargetStatus[[#This Row],[TotalDependencies]]</f>
        <v>1</v>
      </c>
      <c r="L401">
        <f>tblTargetStatus[[#This Row],[TotalDependencies]]-tblTargetStatus[[#This Row],[CompletedDependencies]]</f>
        <v>0</v>
      </c>
      <c r="M401" t="str" cm="1">
        <f t="array" ref="M4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1" t="str">
        <f>IF(tblTargetStatus[[#This Row],[FirstMissingDependencyID]]="","",_xlfn.XLOOKUP(tblTargetStatus[[#This Row],[FirstMissingDependencyID]],tblTargets[TargetID],tblTargets[DisplayName],tblTargetStatus[[#This Row],[FirstMissingDependencyID]]))</f>
        <v/>
      </c>
      <c r="O401" t="str" cm="1">
        <f t="array" ref="O4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1" t="str">
        <f>IF(tblTargetStatus[[#This Row],[FirstMissingDependencyID]]="","",_xlfn.XLOOKUP(tblTargetStatus[[#This Row],[FirstMissingDependencyID]],tblTargetStatus[TargetID],tblTargetStatus[Status],""))</f>
        <v/>
      </c>
      <c r="Q401" t="str">
        <f>IF(
 tblTargetStatus[[#This Row],[Status]]&lt;&gt;"BLOCKED",
 tblTargetStatus[[#This Row],[Status]],
 IF(
  AND(
   tblTargetStatus[[#This Row],[MissingDependencies]]=1,
   tblTargetStatus[[#This Row],[FirstMissingStatus]]="READY"
  ),
  "ONE AWAY",
  "BLOCKED"
 )
)</f>
        <v>READY</v>
      </c>
      <c r="R401">
        <f>IF(
 OR(
  tblTargetStatus[[#This Row],[StateType]]="CHARACTER",
  RIGHT(tblTargetStatus[[#This Row],[TargetID]],6)=".maxed"
 ),
 0,
 _xlfn.LET(
  _xlpm.sort,
   _xlfn.XLOOKUP(
    tblTargetStatus[[#This Row],[TargetID]],
    tblChecklist[TargetID],
    tblChecklist[PlayerSort],
    0
   ),
  IF(_xlpm.sort=0,500,_xlpm.sort)
 )
)</f>
        <v>0</v>
      </c>
      <c r="S401" t="str" cm="1">
        <f t="array" ref="S40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Warehouse Lv 1</v>
      </c>
      <c r="T401" t="str">
        <f>_xlfn.XLOOKUP(tblTargetStatus[[#This Row],[TargetID]],tblTargets[TargetID],tblTargets[CompletionMethod],"")</f>
        <v>PLAYER</v>
      </c>
      <c r="U401" t="b">
        <f>COUNTIF(
    tblCost[TargetID],
    tblTargetStatus[[#This Row],[TargetID]]
)&gt;0</f>
        <v>0</v>
      </c>
      <c r="V401" s="81" t="str">
        <f>IF(tblTargetStatus[[#This Row],[HasCost]]=FALSE,
"N/A",
_xlfn.XLOOKUP(
tblTargetStatus[[#This Row],[TargetID]],
tblCost[TargetID],
tblCost[FundingPercent],
""
)
)</f>
        <v>N/A</v>
      </c>
      <c r="W401" t="str">
        <f>IF(
COUNTIF(tblCost[TargetID],tblTargetStatus[[#This Row],[TargetID]])=0,
"",
_xlfn.XLOOKUP(
tblTargetStatus[[#This Row],[TargetID]],
tblCost[TargetID],
tblCost[RemainingRequirements],
""
)
)</f>
        <v/>
      </c>
      <c r="X401" s="79" t="str">
        <f>IF(tblTargetStatus[[#This Row],[HasCost]]=FALSE,"N/A",_xlfn.XLOOKUP(
tblTargetStatus[[#This Row],[TargetID]],
tblCost[TargetID],
tblCost[TargetFunded],
TRUE
))</f>
        <v>N/A</v>
      </c>
      <c r="Y401" t="str" cm="1">
        <f t="array" ref="Y401">_xlfn.TEXTJOIN(
", ",
TRUE,
_xlfn._xlws.FILTER(
tblCost[ResourceID]&amp;": "&amp;tblCost[QuantityRequired],
(tblCost[TargetID]=tblTargetStatus[[#This Row],[TargetID]])*
(tblCost[PlayerPaid]=FALSE),
""
)
)</f>
        <v/>
      </c>
      <c r="Z4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1" t="str" cm="1">
        <f t="array" ref="AA40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2" spans="1:27">
      <c r="A402" t="s">
        <v>3313</v>
      </c>
      <c r="B402" t="str">
        <f>_xlfn.XLOOKUP(tblTargetStatus[[#This Row],[TargetID]],tblTargets[TargetID],tblTargets[DisplayName],"")</f>
        <v>Character Level@50</v>
      </c>
      <c r="C402" t="str">
        <f>IF(tblTargetStatus[[#This Row],[PlayerCompleted]],"COMPLETED",IF(tblTargetStatus[[#This Row],[MissingDependencies]]=0,"READY","BLOCKED"))</f>
        <v>READY</v>
      </c>
      <c r="D4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2" t="str">
        <f>_xlfn.XLOOKUP(tblTargetStatus[[#This Row],[TargetID]],tblTargets[TargetID],tblTargets[TargetType],"")</f>
        <v>STATE</v>
      </c>
      <c r="F402" t="str">
        <f>_xlfn.XLOOKUP(tblTargetStatus[[#This Row],[TargetID]],tblTargets[TargetID],tblTargets[StateType])</f>
        <v>CHARACTER</v>
      </c>
      <c r="G402">
        <f>_xlfn.LET(
_xlpm.id,tblTargetStatus[[#This Row],[TargetID]],
_xlpm.depCount,COUNTIF(tblDependencies[TargetID],_xlpm.id),
_xlpm.objCount,COUNTIF(tblQuestObjectives[QuestTargetID],_xlpm.id),
_xlpm.depCount+_xlpm.objCount
)</f>
        <v>0</v>
      </c>
      <c r="H402">
        <f>tblTargetStatus[[#This Row],[DependencyCount]]</f>
        <v>0</v>
      </c>
      <c r="I402" cm="1">
        <f t="array" ref="I4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2">
        <f>tblTargetStatus[[#This Row],[CompletedDependencyCount]]</f>
        <v>0</v>
      </c>
      <c r="K402" t="b">
        <f>tblTargetStatus[[#This Row],[CompletedDependencies]]=tblTargetStatus[[#This Row],[TotalDependencies]]</f>
        <v>1</v>
      </c>
      <c r="L402">
        <f>tblTargetStatus[[#This Row],[TotalDependencies]]-tblTargetStatus[[#This Row],[CompletedDependencies]]</f>
        <v>0</v>
      </c>
      <c r="M402" t="str" cm="1">
        <f t="array" ref="M4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2" t="str">
        <f>IF(tblTargetStatus[[#This Row],[FirstMissingDependencyID]]="","",_xlfn.XLOOKUP(tblTargetStatus[[#This Row],[FirstMissingDependencyID]],tblTargets[TargetID],tblTargets[DisplayName],tblTargetStatus[[#This Row],[FirstMissingDependencyID]]))</f>
        <v/>
      </c>
      <c r="O402" t="str" cm="1">
        <f t="array" ref="O4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2" t="str">
        <f>IF(tblTargetStatus[[#This Row],[FirstMissingDependencyID]]="","",_xlfn.XLOOKUP(tblTargetStatus[[#This Row],[FirstMissingDependencyID]],tblTargetStatus[TargetID],tblTargetStatus[Status],""))</f>
        <v/>
      </c>
      <c r="Q402" t="str">
        <f>IF(
 tblTargetStatus[[#This Row],[Status]]&lt;&gt;"BLOCKED",
 tblTargetStatus[[#This Row],[Status]],
 IF(
  AND(
   tblTargetStatus[[#This Row],[MissingDependencies]]=1,
   tblTargetStatus[[#This Row],[FirstMissingStatus]]="READY"
  ),
  "ONE AWAY",
  "BLOCKED"
 )
)</f>
        <v>READY</v>
      </c>
      <c r="R402">
        <f>IF(
 OR(
  tblTargetStatus[[#This Row],[StateType]]="CHARACTER",
  RIGHT(tblTargetStatus[[#This Row],[TargetID]],6)=".maxed"
 ),
 0,
 _xlfn.LET(
  _xlpm.sort,
   _xlfn.XLOOKUP(
    tblTargetStatus[[#This Row],[TargetID]],
    tblChecklist[TargetID],
    tblChecklist[PlayerSort],
    0
   ),
  IF(_xlpm.sort=0,500,_xlpm.sort)
 )
)</f>
        <v>0</v>
      </c>
      <c r="S402" t="str" cm="1">
        <f t="array" ref="S40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Dungeon Lv 5, Station Lv 1, Train Lv 1</v>
      </c>
      <c r="T402" t="str">
        <f>_xlfn.XLOOKUP(tblTargetStatus[[#This Row],[TargetID]],tblTargets[TargetID],tblTargets[CompletionMethod],"")</f>
        <v>PLAYER</v>
      </c>
      <c r="U402" t="b">
        <f>COUNTIF(
    tblCost[TargetID],
    tblTargetStatus[[#This Row],[TargetID]]
)&gt;0</f>
        <v>0</v>
      </c>
      <c r="V402" s="81" t="str">
        <f>IF(tblTargetStatus[[#This Row],[HasCost]]=FALSE,
"N/A",
_xlfn.XLOOKUP(
tblTargetStatus[[#This Row],[TargetID]],
tblCost[TargetID],
tblCost[FundingPercent],
""
)
)</f>
        <v>N/A</v>
      </c>
      <c r="W402" t="str">
        <f>IF(
COUNTIF(tblCost[TargetID],tblTargetStatus[[#This Row],[TargetID]])=0,
"",
_xlfn.XLOOKUP(
tblTargetStatus[[#This Row],[TargetID]],
tblCost[TargetID],
tblCost[RemainingRequirements],
""
)
)</f>
        <v/>
      </c>
      <c r="X402" s="79" t="str">
        <f>IF(tblTargetStatus[[#This Row],[HasCost]]=FALSE,"N/A",_xlfn.XLOOKUP(
tblTargetStatus[[#This Row],[TargetID]],
tblCost[TargetID],
tblCost[TargetFunded],
TRUE
))</f>
        <v>N/A</v>
      </c>
      <c r="Y402" t="str" cm="1">
        <f t="array" ref="Y402">_xlfn.TEXTJOIN(
", ",
TRUE,
_xlfn._xlws.FILTER(
tblCost[ResourceID]&amp;": "&amp;tblCost[QuantityRequired],
(tblCost[TargetID]=tblTargetStatus[[#This Row],[TargetID]])*
(tblCost[PlayerPaid]=FALSE),
""
)
)</f>
        <v/>
      </c>
      <c r="Z4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2" t="str" cm="1">
        <f t="array" ref="AA40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3" spans="1:27">
      <c r="A403" t="s">
        <v>3315</v>
      </c>
      <c r="B403" t="str">
        <f>_xlfn.XLOOKUP(tblTargetStatus[[#This Row],[TargetID]],tblTargets[TargetID],tblTargets[DisplayName],"")</f>
        <v>Character Level@55</v>
      </c>
      <c r="C403" t="str">
        <f>IF(tblTargetStatus[[#This Row],[PlayerCompleted]],"COMPLETED",IF(tblTargetStatus[[#This Row],[MissingDependencies]]=0,"READY","BLOCKED"))</f>
        <v>READY</v>
      </c>
      <c r="D4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3" t="str">
        <f>_xlfn.XLOOKUP(tblTargetStatus[[#This Row],[TargetID]],tblTargets[TargetID],tblTargets[TargetType],"")</f>
        <v>STATE</v>
      </c>
      <c r="F403" t="str">
        <f>_xlfn.XLOOKUP(tblTargetStatus[[#This Row],[TargetID]],tblTargets[TargetID],tblTargets[StateType])</f>
        <v>CHARACTER</v>
      </c>
      <c r="G403">
        <f>_xlfn.LET(
_xlpm.id,tblTargetStatus[[#This Row],[TargetID]],
_xlpm.depCount,COUNTIF(tblDependencies[TargetID],_xlpm.id),
_xlpm.objCount,COUNTIF(tblQuestObjectives[QuestTargetID],_xlpm.id),
_xlpm.depCount+_xlpm.objCount
)</f>
        <v>0</v>
      </c>
      <c r="H403">
        <f>tblTargetStatus[[#This Row],[DependencyCount]]</f>
        <v>0</v>
      </c>
      <c r="I403" cm="1">
        <f t="array" ref="I4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3">
        <f>tblTargetStatus[[#This Row],[CompletedDependencyCount]]</f>
        <v>0</v>
      </c>
      <c r="K403" t="b">
        <f>tblTargetStatus[[#This Row],[CompletedDependencies]]=tblTargetStatus[[#This Row],[TotalDependencies]]</f>
        <v>1</v>
      </c>
      <c r="L403">
        <f>tblTargetStatus[[#This Row],[TotalDependencies]]-tblTargetStatus[[#This Row],[CompletedDependencies]]</f>
        <v>0</v>
      </c>
      <c r="M403" t="str" cm="1">
        <f t="array" ref="M4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3" t="str">
        <f>IF(tblTargetStatus[[#This Row],[FirstMissingDependencyID]]="","",_xlfn.XLOOKUP(tblTargetStatus[[#This Row],[FirstMissingDependencyID]],tblTargets[TargetID],tblTargets[DisplayName],tblTargetStatus[[#This Row],[FirstMissingDependencyID]]))</f>
        <v/>
      </c>
      <c r="O403" t="str" cm="1">
        <f t="array" ref="O4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3" t="str">
        <f>IF(tblTargetStatus[[#This Row],[FirstMissingDependencyID]]="","",_xlfn.XLOOKUP(tblTargetStatus[[#This Row],[FirstMissingDependencyID]],tblTargetStatus[TargetID],tblTargetStatus[Status],""))</f>
        <v/>
      </c>
      <c r="Q403" t="str">
        <f>IF(
 tblTargetStatus[[#This Row],[Status]]&lt;&gt;"BLOCKED",
 tblTargetStatus[[#This Row],[Status]],
 IF(
  AND(
   tblTargetStatus[[#This Row],[MissingDependencies]]=1,
   tblTargetStatus[[#This Row],[FirstMissingStatus]]="READY"
  ),
  "ONE AWAY",
  "BLOCKED"
 )
)</f>
        <v>READY</v>
      </c>
      <c r="R403">
        <f>IF(
 OR(
  tblTargetStatus[[#This Row],[StateType]]="CHARACTER",
  RIGHT(tblTargetStatus[[#This Row],[TargetID]],6)=".maxed"
 ),
 0,
 _xlfn.LET(
  _xlpm.sort,
   _xlfn.XLOOKUP(
    tblTargetStatus[[#This Row],[TargetID]],
    tblChecklist[TargetID],
    tblChecklist[PlayerSort],
    0
   ),
  IF(_xlpm.sort=0,500,_xlpm.sort)
 )
)</f>
        <v>0</v>
      </c>
      <c r="S403" t="str" cm="1">
        <f t="array" ref="S40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Fermentory Lv 1</v>
      </c>
      <c r="T403" t="str">
        <f>_xlfn.XLOOKUP(tblTargetStatus[[#This Row],[TargetID]],tblTargets[TargetID],tblTargets[CompletionMethod],"")</f>
        <v>PLAYER</v>
      </c>
      <c r="U403" t="b">
        <f>COUNTIF(
    tblCost[TargetID],
    tblTargetStatus[[#This Row],[TargetID]]
)&gt;0</f>
        <v>0</v>
      </c>
      <c r="V403" s="81" t="str">
        <f>IF(tblTargetStatus[[#This Row],[HasCost]]=FALSE,
"N/A",
_xlfn.XLOOKUP(
tblTargetStatus[[#This Row],[TargetID]],
tblCost[TargetID],
tblCost[FundingPercent],
""
)
)</f>
        <v>N/A</v>
      </c>
      <c r="W403" t="str">
        <f>IF(
COUNTIF(tblCost[TargetID],tblTargetStatus[[#This Row],[TargetID]])=0,
"",
_xlfn.XLOOKUP(
tblTargetStatus[[#This Row],[TargetID]],
tblCost[TargetID],
tblCost[RemainingRequirements],
""
)
)</f>
        <v/>
      </c>
      <c r="X403" s="79" t="str">
        <f>IF(tblTargetStatus[[#This Row],[HasCost]]=FALSE,"N/A",_xlfn.XLOOKUP(
tblTargetStatus[[#This Row],[TargetID]],
tblCost[TargetID],
tblCost[TargetFunded],
TRUE
))</f>
        <v>N/A</v>
      </c>
      <c r="Y403" t="str" cm="1">
        <f t="array" ref="Y403">_xlfn.TEXTJOIN(
", ",
TRUE,
_xlfn._xlws.FILTER(
tblCost[ResourceID]&amp;": "&amp;tblCost[QuantityRequired],
(tblCost[TargetID]=tblTargetStatus[[#This Row],[TargetID]])*
(tblCost[PlayerPaid]=FALSE),
""
)
)</f>
        <v/>
      </c>
      <c r="Z4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3" t="str" cm="1">
        <f t="array" ref="AA40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4" spans="1:27">
      <c r="A404" t="s">
        <v>3297</v>
      </c>
      <c r="B404" t="str">
        <f>_xlfn.XLOOKUP(tblTargetStatus[[#This Row],[TargetID]],tblTargets[TargetID],tblTargets[DisplayName],"")</f>
        <v>Character Level@6</v>
      </c>
      <c r="C404" t="str">
        <f>IF(tblTargetStatus[[#This Row],[PlayerCompleted]],"COMPLETED",IF(tblTargetStatus[[#This Row],[MissingDependencies]]=0,"READY","BLOCKED"))</f>
        <v>READY</v>
      </c>
      <c r="D4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4" t="str">
        <f>_xlfn.XLOOKUP(tblTargetStatus[[#This Row],[TargetID]],tblTargets[TargetID],tblTargets[TargetType],"")</f>
        <v>STATE</v>
      </c>
      <c r="F404" t="str">
        <f>_xlfn.XLOOKUP(tblTargetStatus[[#This Row],[TargetID]],tblTargets[TargetID],tblTargets[StateType])</f>
        <v>CHARACTER</v>
      </c>
      <c r="G404">
        <f>_xlfn.LET(
_xlpm.id,tblTargetStatus[[#This Row],[TargetID]],
_xlpm.depCount,COUNTIF(tblDependencies[TargetID],_xlpm.id),
_xlpm.objCount,COUNTIF(tblQuestObjectives[QuestTargetID],_xlpm.id),
_xlpm.depCount+_xlpm.objCount
)</f>
        <v>0</v>
      </c>
      <c r="H404">
        <f>tblTargetStatus[[#This Row],[DependencyCount]]</f>
        <v>0</v>
      </c>
      <c r="I404" cm="1">
        <f t="array" ref="I4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4">
        <f>tblTargetStatus[[#This Row],[CompletedDependencyCount]]</f>
        <v>0</v>
      </c>
      <c r="K404" t="b">
        <f>tblTargetStatus[[#This Row],[CompletedDependencies]]=tblTargetStatus[[#This Row],[TotalDependencies]]</f>
        <v>1</v>
      </c>
      <c r="L404">
        <f>tblTargetStatus[[#This Row],[TotalDependencies]]-tblTargetStatus[[#This Row],[CompletedDependencies]]</f>
        <v>0</v>
      </c>
      <c r="M404" t="str" cm="1">
        <f t="array" ref="M4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4" t="str">
        <f>IF(tblTargetStatus[[#This Row],[FirstMissingDependencyID]]="","",_xlfn.XLOOKUP(tblTargetStatus[[#This Row],[FirstMissingDependencyID]],tblTargets[TargetID],tblTargets[DisplayName],tblTargetStatus[[#This Row],[FirstMissingDependencyID]]))</f>
        <v/>
      </c>
      <c r="O404" t="str" cm="1">
        <f t="array" ref="O4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4" t="str">
        <f>IF(tblTargetStatus[[#This Row],[FirstMissingDependencyID]]="","",_xlfn.XLOOKUP(tblTargetStatus[[#This Row],[FirstMissingDependencyID]],tblTargetStatus[TargetID],tblTargetStatus[Status],""))</f>
        <v/>
      </c>
      <c r="Q404" t="str">
        <f>IF(
 tblTargetStatus[[#This Row],[Status]]&lt;&gt;"BLOCKED",
 tblTargetStatus[[#This Row],[Status]],
 IF(
  AND(
   tblTargetStatus[[#This Row],[MissingDependencies]]=1,
   tblTargetStatus[[#This Row],[FirstMissingStatus]]="READY"
  ),
  "ONE AWAY",
  "BLOCKED"
 )
)</f>
        <v>READY</v>
      </c>
      <c r="R404">
        <f>IF(
 OR(
  tblTargetStatus[[#This Row],[StateType]]="CHARACTER",
  RIGHT(tblTargetStatus[[#This Row],[TargetID]],6)=".maxed"
 ),
 0,
 _xlfn.LET(
  _xlpm.sort,
   _xlfn.XLOOKUP(
    tblTargetStatus[[#This Row],[TargetID]],
    tblChecklist[TargetID],
    tblChecklist[PlayerSort],
    0
   ),
  IF(_xlpm.sort=0,500,_xlpm.sort)
 )
)</f>
        <v>0</v>
      </c>
      <c r="S404" t="str" cm="1">
        <f t="array" ref="S40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Lv 1</v>
      </c>
      <c r="T404" t="str">
        <f>_xlfn.XLOOKUP(tblTargetStatus[[#This Row],[TargetID]],tblTargets[TargetID],tblTargets[CompletionMethod],"")</f>
        <v>PLAYER</v>
      </c>
      <c r="U404" t="b">
        <f>COUNTIF(
    tblCost[TargetID],
    tblTargetStatus[[#This Row],[TargetID]]
)&gt;0</f>
        <v>0</v>
      </c>
      <c r="V404" s="81" t="str">
        <f>IF(tblTargetStatus[[#This Row],[HasCost]]=FALSE,
"N/A",
_xlfn.XLOOKUP(
tblTargetStatus[[#This Row],[TargetID]],
tblCost[TargetID],
tblCost[FundingPercent],
""
)
)</f>
        <v>N/A</v>
      </c>
      <c r="W404" t="str">
        <f>IF(
COUNTIF(tblCost[TargetID],tblTargetStatus[[#This Row],[TargetID]])=0,
"",
_xlfn.XLOOKUP(
tblTargetStatus[[#This Row],[TargetID]],
tblCost[TargetID],
tblCost[RemainingRequirements],
""
)
)</f>
        <v/>
      </c>
      <c r="X404" s="79" t="str">
        <f>IF(tblTargetStatus[[#This Row],[HasCost]]=FALSE,"N/A",_xlfn.XLOOKUP(
tblTargetStatus[[#This Row],[TargetID]],
tblCost[TargetID],
tblCost[TargetFunded],
TRUE
))</f>
        <v>N/A</v>
      </c>
      <c r="Y404" t="str" cm="1">
        <f t="array" ref="Y404">_xlfn.TEXTJOIN(
", ",
TRUE,
_xlfn._xlws.FILTER(
tblCost[ResourceID]&amp;": "&amp;tblCost[QuantityRequired],
(tblCost[TargetID]=tblTargetStatus[[#This Row],[TargetID]])*
(tblCost[PlayerPaid]=FALSE),
""
)
)</f>
        <v/>
      </c>
      <c r="Z4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4" t="str" cm="1">
        <f t="array" ref="AA40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5" spans="1:27">
      <c r="A405" t="s">
        <v>3316</v>
      </c>
      <c r="B405" t="str">
        <f>_xlfn.XLOOKUP(tblTargetStatus[[#This Row],[TargetID]],tblTargets[TargetID],tblTargets[DisplayName],"")</f>
        <v>Character Level@7</v>
      </c>
      <c r="C405" t="str">
        <f>IF(tblTargetStatus[[#This Row],[PlayerCompleted]],"COMPLETED",IF(tblTargetStatus[[#This Row],[MissingDependencies]]=0,"READY","BLOCKED"))</f>
        <v>READY</v>
      </c>
      <c r="D4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5" t="str">
        <f>_xlfn.XLOOKUP(tblTargetStatus[[#This Row],[TargetID]],tblTargets[TargetID],tblTargets[TargetType],"")</f>
        <v>STATE</v>
      </c>
      <c r="F405" t="str">
        <f>_xlfn.XLOOKUP(tblTargetStatus[[#This Row],[TargetID]],tblTargets[TargetID],tblTargets[StateType])</f>
        <v>CHARACTER</v>
      </c>
      <c r="G405">
        <f>_xlfn.LET(
_xlpm.id,tblTargetStatus[[#This Row],[TargetID]],
_xlpm.depCount,COUNTIF(tblDependencies[TargetID],_xlpm.id),
_xlpm.objCount,COUNTIF(tblQuestObjectives[QuestTargetID],_xlpm.id),
_xlpm.depCount+_xlpm.objCount
)</f>
        <v>0</v>
      </c>
      <c r="H405">
        <f>tblTargetStatus[[#This Row],[DependencyCount]]</f>
        <v>0</v>
      </c>
      <c r="I405" cm="1">
        <f t="array" ref="I4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5">
        <f>tblTargetStatus[[#This Row],[CompletedDependencyCount]]</f>
        <v>0</v>
      </c>
      <c r="K405" t="b">
        <f>tblTargetStatus[[#This Row],[CompletedDependencies]]=tblTargetStatus[[#This Row],[TotalDependencies]]</f>
        <v>1</v>
      </c>
      <c r="L405">
        <f>tblTargetStatus[[#This Row],[TotalDependencies]]-tblTargetStatus[[#This Row],[CompletedDependencies]]</f>
        <v>0</v>
      </c>
      <c r="M405" t="str" cm="1">
        <f t="array" ref="M4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5" t="str">
        <f>IF(tblTargetStatus[[#This Row],[FirstMissingDependencyID]]="","",_xlfn.XLOOKUP(tblTargetStatus[[#This Row],[FirstMissingDependencyID]],tblTargets[TargetID],tblTargets[DisplayName],tblTargetStatus[[#This Row],[FirstMissingDependencyID]]))</f>
        <v/>
      </c>
      <c r="O405" t="str" cm="1">
        <f t="array" ref="O4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5" t="str">
        <f>IF(tblTargetStatus[[#This Row],[FirstMissingDependencyID]]="","",_xlfn.XLOOKUP(tblTargetStatus[[#This Row],[FirstMissingDependencyID]],tblTargetStatus[TargetID],tblTargetStatus[Status],""))</f>
        <v/>
      </c>
      <c r="Q405" t="str">
        <f>IF(
 tblTargetStatus[[#This Row],[Status]]&lt;&gt;"BLOCKED",
 tblTargetStatus[[#This Row],[Status]],
 IF(
  AND(
   tblTargetStatus[[#This Row],[MissingDependencies]]=1,
   tblTargetStatus[[#This Row],[FirstMissingStatus]]="READY"
  ),
  "ONE AWAY",
  "BLOCKED"
 )
)</f>
        <v>READY</v>
      </c>
      <c r="R405">
        <f>IF(
 OR(
  tblTargetStatus[[#This Row],[StateType]]="CHARACTER",
  RIGHT(tblTargetStatus[[#This Row],[TargetID]],6)=".maxed"
 ),
 0,
 _xlfn.LET(
  _xlpm.sort,
   _xlfn.XLOOKUP(
    tblTargetStatus[[#This Row],[TargetID]],
    tblChecklist[TargetID],
    tblChecklist[PlayerSort],
    0
   ),
  IF(_xlpm.sort=0,500,_xlpm.sort)
 )
)</f>
        <v>0</v>
      </c>
      <c r="S405" t="str" cm="1">
        <f t="array" ref="S40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Field Lv 1, Pagoda Lv 2</v>
      </c>
      <c r="T405" t="str">
        <f>_xlfn.XLOOKUP(tblTargetStatus[[#This Row],[TargetID]],tblTargets[TargetID],tblTargets[CompletionMethod],"")</f>
        <v>PLAYER</v>
      </c>
      <c r="U405" t="b">
        <f>COUNTIF(
    tblCost[TargetID],
    tblTargetStatus[[#This Row],[TargetID]]
)&gt;0</f>
        <v>0</v>
      </c>
      <c r="V405" s="81" t="str">
        <f>IF(tblTargetStatus[[#This Row],[HasCost]]=FALSE,
"N/A",
_xlfn.XLOOKUP(
tblTargetStatus[[#This Row],[TargetID]],
tblCost[TargetID],
tblCost[FundingPercent],
""
)
)</f>
        <v>N/A</v>
      </c>
      <c r="W405" t="str">
        <f>IF(
COUNTIF(tblCost[TargetID],tblTargetStatus[[#This Row],[TargetID]])=0,
"",
_xlfn.XLOOKUP(
tblTargetStatus[[#This Row],[TargetID]],
tblCost[TargetID],
tblCost[RemainingRequirements],
""
)
)</f>
        <v/>
      </c>
      <c r="X405" s="79" t="str">
        <f>IF(tblTargetStatus[[#This Row],[HasCost]]=FALSE,"N/A",_xlfn.XLOOKUP(
tblTargetStatus[[#This Row],[TargetID]],
tblCost[TargetID],
tblCost[TargetFunded],
TRUE
))</f>
        <v>N/A</v>
      </c>
      <c r="Y405" t="str" cm="1">
        <f t="array" ref="Y405">_xlfn.TEXTJOIN(
", ",
TRUE,
_xlfn._xlws.FILTER(
tblCost[ResourceID]&amp;": "&amp;tblCost[QuantityRequired],
(tblCost[TargetID]=tblTargetStatus[[#This Row],[TargetID]])*
(tblCost[PlayerPaid]=FALSE),
""
)
)</f>
        <v/>
      </c>
      <c r="Z4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5" t="str" cm="1">
        <f t="array" ref="AA40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6" spans="1:27">
      <c r="A406" t="s">
        <v>3317</v>
      </c>
      <c r="B406" t="str">
        <f>_xlfn.XLOOKUP(tblTargetStatus[[#This Row],[TargetID]],tblTargets[TargetID],tblTargets[DisplayName],"")</f>
        <v>Character Level@8</v>
      </c>
      <c r="C406" t="str">
        <f>IF(tblTargetStatus[[#This Row],[PlayerCompleted]],"COMPLETED",IF(tblTargetStatus[[#This Row],[MissingDependencies]]=0,"READY","BLOCKED"))</f>
        <v>READY</v>
      </c>
      <c r="D4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6" t="str">
        <f>_xlfn.XLOOKUP(tblTargetStatus[[#This Row],[TargetID]],tblTargets[TargetID],tblTargets[TargetType],"")</f>
        <v>STATE</v>
      </c>
      <c r="F406" t="str">
        <f>_xlfn.XLOOKUP(tblTargetStatus[[#This Row],[TargetID]],tblTargets[TargetID],tblTargets[StateType])</f>
        <v>CHARACTER</v>
      </c>
      <c r="G406">
        <f>_xlfn.LET(
_xlpm.id,tblTargetStatus[[#This Row],[TargetID]],
_xlpm.depCount,COUNTIF(tblDependencies[TargetID],_xlpm.id),
_xlpm.objCount,COUNTIF(tblQuestObjectives[QuestTargetID],_xlpm.id),
_xlpm.depCount+_xlpm.objCount
)</f>
        <v>0</v>
      </c>
      <c r="H406">
        <f>tblTargetStatus[[#This Row],[DependencyCount]]</f>
        <v>0</v>
      </c>
      <c r="I406" cm="1">
        <f t="array" ref="I4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6">
        <f>tblTargetStatus[[#This Row],[CompletedDependencyCount]]</f>
        <v>0</v>
      </c>
      <c r="K406" t="b">
        <f>tblTargetStatus[[#This Row],[CompletedDependencies]]=tblTargetStatus[[#This Row],[TotalDependencies]]</f>
        <v>1</v>
      </c>
      <c r="L406">
        <f>tblTargetStatus[[#This Row],[TotalDependencies]]-tblTargetStatus[[#This Row],[CompletedDependencies]]</f>
        <v>0</v>
      </c>
      <c r="M406" t="str" cm="1">
        <f t="array" ref="M4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6" t="str">
        <f>IF(tblTargetStatus[[#This Row],[FirstMissingDependencyID]]="","",_xlfn.XLOOKUP(tblTargetStatus[[#This Row],[FirstMissingDependencyID]],tblTargets[TargetID],tblTargets[DisplayName],tblTargetStatus[[#This Row],[FirstMissingDependencyID]]))</f>
        <v/>
      </c>
      <c r="O406" t="str" cm="1">
        <f t="array" ref="O4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6" t="str">
        <f>IF(tblTargetStatus[[#This Row],[FirstMissingDependencyID]]="","",_xlfn.XLOOKUP(tblTargetStatus[[#This Row],[FirstMissingDependencyID]],tblTargetStatus[TargetID],tblTargetStatus[Status],""))</f>
        <v/>
      </c>
      <c r="Q406" t="str">
        <f>IF(
 tblTargetStatus[[#This Row],[Status]]&lt;&gt;"BLOCKED",
 tblTargetStatus[[#This Row],[Status]],
 IF(
  AND(
   tblTargetStatus[[#This Row],[MissingDependencies]]=1,
   tblTargetStatus[[#This Row],[FirstMissingStatus]]="READY"
  ),
  "ONE AWAY",
  "BLOCKED"
 )
)</f>
        <v>READY</v>
      </c>
      <c r="R406">
        <f>IF(
 OR(
  tblTargetStatus[[#This Row],[StateType]]="CHARACTER",
  RIGHT(tblTargetStatus[[#This Row],[TargetID]],6)=".maxed"
 ),
 0,
 _xlfn.LET(
  _xlpm.sort,
   _xlfn.XLOOKUP(
    tblTargetStatus[[#This Row],[TargetID]],
    tblChecklist[TargetID],
    tblChecklist[PlayerSort],
    0
   ),
  IF(_xlpm.sort=0,500,_xlpm.sort)
 )
)</f>
        <v>0</v>
      </c>
      <c r="S406" t="str" cm="1">
        <f t="array" ref="S40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Food Stall Lv 1, Furnace Lv 1</v>
      </c>
      <c r="T406" t="str">
        <f>_xlfn.XLOOKUP(tblTargetStatus[[#This Row],[TargetID]],tblTargets[TargetID],tblTargets[CompletionMethod],"")</f>
        <v>PLAYER</v>
      </c>
      <c r="U406" t="b">
        <f>COUNTIF(
    tblCost[TargetID],
    tblTargetStatus[[#This Row],[TargetID]]
)&gt;0</f>
        <v>0</v>
      </c>
      <c r="V406" s="81" t="str">
        <f>IF(tblTargetStatus[[#This Row],[HasCost]]=FALSE,
"N/A",
_xlfn.XLOOKUP(
tblTargetStatus[[#This Row],[TargetID]],
tblCost[TargetID],
tblCost[FundingPercent],
""
)
)</f>
        <v>N/A</v>
      </c>
      <c r="W406" t="str">
        <f>IF(
COUNTIF(tblCost[TargetID],tblTargetStatus[[#This Row],[TargetID]])=0,
"",
_xlfn.XLOOKUP(
tblTargetStatus[[#This Row],[TargetID]],
tblCost[TargetID],
tblCost[RemainingRequirements],
""
)
)</f>
        <v/>
      </c>
      <c r="X406" s="79" t="str">
        <f>IF(tblTargetStatus[[#This Row],[HasCost]]=FALSE,"N/A",_xlfn.XLOOKUP(
tblTargetStatus[[#This Row],[TargetID]],
tblCost[TargetID],
tblCost[TargetFunded],
TRUE
))</f>
        <v>N/A</v>
      </c>
      <c r="Y406" t="str" cm="1">
        <f t="array" ref="Y406">_xlfn.TEXTJOIN(
", ",
TRUE,
_xlfn._xlws.FILTER(
tblCost[ResourceID]&amp;": "&amp;tblCost[QuantityRequired],
(tblCost[TargetID]=tblTargetStatus[[#This Row],[TargetID]])*
(tblCost[PlayerPaid]=FALSE),
""
)
)</f>
        <v/>
      </c>
      <c r="Z4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6" t="str" cm="1">
        <f t="array" ref="AA40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7" spans="1:27">
      <c r="A407" t="s">
        <v>3328</v>
      </c>
      <c r="B407" t="str">
        <f>_xlfn.XLOOKUP(tblTargetStatus[[#This Row],[TargetID]],tblTargets[TargetID],tblTargets[DisplayName],"")</f>
        <v>Character Level@80</v>
      </c>
      <c r="C407" t="str">
        <f>IF(tblTargetStatus[[#This Row],[PlayerCompleted]],"COMPLETED",IF(tblTargetStatus[[#This Row],[MissingDependencies]]=0,"READY","BLOCKED"))</f>
        <v>READY</v>
      </c>
      <c r="D4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7" t="str">
        <f>_xlfn.XLOOKUP(tblTargetStatus[[#This Row],[TargetID]],tblTargets[TargetID],tblTargets[TargetType],"")</f>
        <v>STATE</v>
      </c>
      <c r="F407" t="str">
        <f>_xlfn.XLOOKUP(tblTargetStatus[[#This Row],[TargetID]],tblTargets[TargetID],tblTargets[StateType])</f>
        <v>CHARACTER</v>
      </c>
      <c r="G407">
        <f>_xlfn.LET(
_xlpm.id,tblTargetStatus[[#This Row],[TargetID]],
_xlpm.depCount,COUNTIF(tblDependencies[TargetID],_xlpm.id),
_xlpm.objCount,COUNTIF(tblQuestObjectives[QuestTargetID],_xlpm.id),
_xlpm.depCount+_xlpm.objCount
)</f>
        <v>0</v>
      </c>
      <c r="H407">
        <f>tblTargetStatus[[#This Row],[DependencyCount]]</f>
        <v>0</v>
      </c>
      <c r="I407" cm="1">
        <f t="array" ref="I4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7">
        <f>tblTargetStatus[[#This Row],[CompletedDependencyCount]]</f>
        <v>0</v>
      </c>
      <c r="K407" t="b">
        <f>tblTargetStatus[[#This Row],[CompletedDependencies]]=tblTargetStatus[[#This Row],[TotalDependencies]]</f>
        <v>1</v>
      </c>
      <c r="L407">
        <f>tblTargetStatus[[#This Row],[TotalDependencies]]-tblTargetStatus[[#This Row],[CompletedDependencies]]</f>
        <v>0</v>
      </c>
      <c r="M407" t="str" cm="1">
        <f t="array" ref="M4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7" t="str">
        <f>IF(tblTargetStatus[[#This Row],[FirstMissingDependencyID]]="","",_xlfn.XLOOKUP(tblTargetStatus[[#This Row],[FirstMissingDependencyID]],tblTargets[TargetID],tblTargets[DisplayName],tblTargetStatus[[#This Row],[FirstMissingDependencyID]]))</f>
        <v/>
      </c>
      <c r="O407" t="str" cm="1">
        <f t="array" ref="O4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7" t="str">
        <f>IF(tblTargetStatus[[#This Row],[FirstMissingDependencyID]]="","",_xlfn.XLOOKUP(tblTargetStatus[[#This Row],[FirstMissingDependencyID]],tblTargetStatus[TargetID],tblTargetStatus[Status],""))</f>
        <v/>
      </c>
      <c r="Q407" t="str">
        <f>IF(
 tblTargetStatus[[#This Row],[Status]]&lt;&gt;"BLOCKED",
 tblTargetStatus[[#This Row],[Status]],
 IF(
  AND(
   tblTargetStatus[[#This Row],[MissingDependencies]]=1,
   tblTargetStatus[[#This Row],[FirstMissingStatus]]="READY"
  ),
  "ONE AWAY",
  "BLOCKED"
 )
)</f>
        <v>READY</v>
      </c>
      <c r="R407">
        <f>IF(
 OR(
  tblTargetStatus[[#This Row],[StateType]]="CHARACTER",
  RIGHT(tblTargetStatus[[#This Row],[TargetID]],6)=".maxed"
 ),
 0,
 _xlfn.LET(
  _xlpm.sort,
   _xlfn.XLOOKUP(
    tblTargetStatus[[#This Row],[TargetID]],
    tblChecklist[TargetID],
    tblChecklist[PlayerSort],
    0
   ),
  IF(_xlpm.sort=0,500,_xlpm.sort)
 )
)</f>
        <v>0</v>
      </c>
      <c r="S407" t="str" cm="1">
        <f t="array" ref="S40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Lv 1</v>
      </c>
      <c r="T407" t="str">
        <f>_xlfn.XLOOKUP(tblTargetStatus[[#This Row],[TargetID]],tblTargets[TargetID],tblTargets[CompletionMethod],"")</f>
        <v>PLAYER</v>
      </c>
      <c r="U407" t="b">
        <f>COUNTIF(
    tblCost[TargetID],
    tblTargetStatus[[#This Row],[TargetID]]
)&gt;0</f>
        <v>0</v>
      </c>
      <c r="V407" s="81" t="str">
        <f>IF(tblTargetStatus[[#This Row],[HasCost]]=FALSE,
"N/A",
_xlfn.XLOOKUP(
tblTargetStatus[[#This Row],[TargetID]],
tblCost[TargetID],
tblCost[FundingPercent],
""
)
)</f>
        <v>N/A</v>
      </c>
      <c r="W407" t="str">
        <f>IF(
COUNTIF(tblCost[TargetID],tblTargetStatus[[#This Row],[TargetID]])=0,
"",
_xlfn.XLOOKUP(
tblTargetStatus[[#This Row],[TargetID]],
tblCost[TargetID],
tblCost[RemainingRequirements],
""
)
)</f>
        <v/>
      </c>
      <c r="X407" s="79" t="str">
        <f>IF(tblTargetStatus[[#This Row],[HasCost]]=FALSE,"N/A",_xlfn.XLOOKUP(
tblTargetStatus[[#This Row],[TargetID]],
tblCost[TargetID],
tblCost[TargetFunded],
TRUE
))</f>
        <v>N/A</v>
      </c>
      <c r="Y407" t="str" cm="1">
        <f t="array" ref="Y407">_xlfn.TEXTJOIN(
", ",
TRUE,
_xlfn._xlws.FILTER(
tblCost[ResourceID]&amp;": "&amp;tblCost[QuantityRequired],
(tblCost[TargetID]=tblTargetStatus[[#This Row],[TargetID]])*
(tblCost[PlayerPaid]=FALSE),
""
)
)</f>
        <v/>
      </c>
      <c r="Z4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7" t="str" cm="1">
        <f t="array" ref="AA40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8" spans="1:27">
      <c r="A408" t="s">
        <v>3346</v>
      </c>
      <c r="B408" t="str">
        <f>_xlfn.XLOOKUP(tblTargetStatus[[#This Row],[TargetID]],tblTargets[TargetID],tblTargets[DisplayName],"")</f>
        <v>Character Level@9</v>
      </c>
      <c r="C408" t="str">
        <f>IF(tblTargetStatus[[#This Row],[PlayerCompleted]],"COMPLETED",IF(tblTargetStatus[[#This Row],[MissingDependencies]]=0,"READY","BLOCKED"))</f>
        <v>READY</v>
      </c>
      <c r="D4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8" t="str">
        <f>_xlfn.XLOOKUP(tblTargetStatus[[#This Row],[TargetID]],tblTargets[TargetID],tblTargets[TargetType],"")</f>
        <v>STATE</v>
      </c>
      <c r="F408" t="str">
        <f>_xlfn.XLOOKUP(tblTargetStatus[[#This Row],[TargetID]],tblTargets[TargetID],tblTargets[StateType])</f>
        <v>CHARACTER</v>
      </c>
      <c r="G408">
        <f>_xlfn.LET(
_xlpm.id,tblTargetStatus[[#This Row],[TargetID]],
_xlpm.depCount,COUNTIF(tblDependencies[TargetID],_xlpm.id),
_xlpm.objCount,COUNTIF(tblQuestObjectives[QuestTargetID],_xlpm.id),
_xlpm.depCount+_xlpm.objCount
)</f>
        <v>0</v>
      </c>
      <c r="H408">
        <f>tblTargetStatus[[#This Row],[DependencyCount]]</f>
        <v>0</v>
      </c>
      <c r="I408" cm="1">
        <f t="array" ref="I4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8">
        <f>tblTargetStatus[[#This Row],[CompletedDependencyCount]]</f>
        <v>0</v>
      </c>
      <c r="K408" t="b">
        <f>tblTargetStatus[[#This Row],[CompletedDependencies]]=tblTargetStatus[[#This Row],[TotalDependencies]]</f>
        <v>1</v>
      </c>
      <c r="L408">
        <f>tblTargetStatus[[#This Row],[TotalDependencies]]-tblTargetStatus[[#This Row],[CompletedDependencies]]</f>
        <v>0</v>
      </c>
      <c r="M408" t="str" cm="1">
        <f t="array" ref="M4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8" t="str">
        <f>IF(tblTargetStatus[[#This Row],[FirstMissingDependencyID]]="","",_xlfn.XLOOKUP(tblTargetStatus[[#This Row],[FirstMissingDependencyID]],tblTargets[TargetID],tblTargets[DisplayName],tblTargetStatus[[#This Row],[FirstMissingDependencyID]]))</f>
        <v/>
      </c>
      <c r="O408" t="str" cm="1">
        <f t="array" ref="O4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8" t="str">
        <f>IF(tblTargetStatus[[#This Row],[FirstMissingDependencyID]]="","",_xlfn.XLOOKUP(tblTargetStatus[[#This Row],[FirstMissingDependencyID]],tblTargetStatus[TargetID],tblTargetStatus[Status],""))</f>
        <v/>
      </c>
      <c r="Q408" t="str">
        <f>IF(
 tblTargetStatus[[#This Row],[Status]]&lt;&gt;"BLOCKED",
 tblTargetStatus[[#This Row],[Status]],
 IF(
  AND(
   tblTargetStatus[[#This Row],[MissingDependencies]]=1,
   tblTargetStatus[[#This Row],[FirstMissingStatus]]="READY"
  ),
  "ONE AWAY",
  "BLOCKED"
 )
)</f>
        <v>READY</v>
      </c>
      <c r="R408">
        <f>IF(
 OR(
  tblTargetStatus[[#This Row],[StateType]]="CHARACTER",
  RIGHT(tblTargetStatus[[#This Row],[TargetID]],6)=".maxed"
 ),
 0,
 _xlfn.LET(
  _xlpm.sort,
   _xlfn.XLOOKUP(
    tblTargetStatus[[#This Row],[TargetID]],
    tblChecklist[TargetID],
    tblChecklist[PlayerSort],
    0
   ),
  IF(_xlpm.sort=0,500,_xlpm.sort)
 )
)</f>
        <v>0</v>
      </c>
      <c r="S408" t="str" cm="1">
        <f t="array" ref="S40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Smithy Lv 1, Windmill Lv 1</v>
      </c>
      <c r="T408" t="str">
        <f>_xlfn.XLOOKUP(tblTargetStatus[[#This Row],[TargetID]],tblTargets[TargetID],tblTargets[CompletionMethod],"")</f>
        <v>PLAYER</v>
      </c>
      <c r="U408" t="b">
        <f>COUNTIF(
    tblCost[TargetID],
    tblTargetStatus[[#This Row],[TargetID]]
)&gt;0</f>
        <v>0</v>
      </c>
      <c r="V408" s="81" t="str">
        <f>IF(tblTargetStatus[[#This Row],[HasCost]]=FALSE,
"N/A",
_xlfn.XLOOKUP(
tblTargetStatus[[#This Row],[TargetID]],
tblCost[TargetID],
tblCost[FundingPercent],
""
)
)</f>
        <v>N/A</v>
      </c>
      <c r="W408" t="str">
        <f>IF(
COUNTIF(tblCost[TargetID],tblTargetStatus[[#This Row],[TargetID]])=0,
"",
_xlfn.XLOOKUP(
tblTargetStatus[[#This Row],[TargetID]],
tblCost[TargetID],
tblCost[RemainingRequirements],
""
)
)</f>
        <v/>
      </c>
      <c r="X408" s="79" t="str">
        <f>IF(tblTargetStatus[[#This Row],[HasCost]]=FALSE,"N/A",_xlfn.XLOOKUP(
tblTargetStatus[[#This Row],[TargetID]],
tblCost[TargetID],
tblCost[TargetFunded],
TRUE
))</f>
        <v>N/A</v>
      </c>
      <c r="Y408" t="str" cm="1">
        <f t="array" ref="Y408">_xlfn.TEXTJOIN(
", ",
TRUE,
_xlfn._xlws.FILTER(
tblCost[ResourceID]&amp;": "&amp;tblCost[QuantityRequired],
(tblCost[TargetID]=tblTargetStatus[[#This Row],[TargetID]])*
(tblCost[PlayerPaid]=FALSE),
""
)
)</f>
        <v/>
      </c>
      <c r="Z4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8" t="str" cm="1">
        <f t="array" ref="AA40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09" spans="1:27">
      <c r="A409" t="s">
        <v>3512</v>
      </c>
      <c r="B409" t="str">
        <f>_xlfn.XLOOKUP(tblTargetStatus[[#This Row],[TargetID]],tblTargets[TargetID],tblTargets[DisplayName],"")</f>
        <v>Complete Dungeon 5C</v>
      </c>
      <c r="C409" t="str">
        <f>IF(tblTargetStatus[[#This Row],[PlayerCompleted]],"COMPLETED",IF(tblTargetStatus[[#This Row],[MissingDependencies]]=0,"READY","BLOCKED"))</f>
        <v>BLOCKED</v>
      </c>
      <c r="D4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9" t="str">
        <f>_xlfn.XLOOKUP(tblTargetStatus[[#This Row],[TargetID]],tblTargets[TargetID],tblTargets[TargetType],"")</f>
        <v>STATE</v>
      </c>
      <c r="F409" t="str">
        <f>_xlfn.XLOOKUP(tblTargetStatus[[#This Row],[TargetID]],tblTargets[TargetID],tblTargets[StateType])</f>
        <v>COMPLETE</v>
      </c>
      <c r="G409">
        <f>_xlfn.LET(
_xlpm.id,tblTargetStatus[[#This Row],[TargetID]],
_xlpm.depCount,COUNTIF(tblDependencies[TargetID],_xlpm.id),
_xlpm.objCount,COUNTIF(tblQuestObjectives[QuestTargetID],_xlpm.id),
_xlpm.depCount+_xlpm.objCount
)</f>
        <v>2</v>
      </c>
      <c r="H409">
        <f>tblTargetStatus[[#This Row],[DependencyCount]]</f>
        <v>2</v>
      </c>
      <c r="I409" cm="1">
        <f t="array" ref="I4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9">
        <f>tblTargetStatus[[#This Row],[CompletedDependencyCount]]</f>
        <v>0</v>
      </c>
      <c r="K409" t="b">
        <f>tblTargetStatus[[#This Row],[CompletedDependencies]]=tblTargetStatus[[#This Row],[TotalDependencies]]</f>
        <v>0</v>
      </c>
      <c r="L409">
        <f>tblTargetStatus[[#This Row],[TotalDependencies]]-tblTargetStatus[[#This Row],[CompletedDependencies]]</f>
        <v>2</v>
      </c>
      <c r="M409" t="str" cm="1">
        <f t="array" ref="M4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quest.dragon_teeth.finished</v>
      </c>
      <c r="N409" t="str">
        <f>IF(tblTargetStatus[[#This Row],[FirstMissingDependencyID]]="","",_xlfn.XLOOKUP(tblTargetStatus[[#This Row],[FirstMissingDependencyID]],tblTargets[TargetID],tblTargets[DisplayName],tblTargetStatus[[#This Row],[FirstMissingDependencyID]]))</f>
        <v>Dragon teeth Finished</v>
      </c>
      <c r="O409" t="str" cm="1">
        <f t="array" ref="O4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9" t="str">
        <f>IF(tblTargetStatus[[#This Row],[FirstMissingDependencyID]]="","",_xlfn.XLOOKUP(tblTargetStatus[[#This Row],[FirstMissingDependencyID]],tblTargetStatus[TargetID],tblTargetStatus[Status],""))</f>
        <v>BLOCKED</v>
      </c>
      <c r="Q409" t="str">
        <f>IF(
 tblTargetStatus[[#This Row],[Status]]&lt;&gt;"BLOCKED",
 tblTargetStatus[[#This Row],[Status]],
 IF(
  AND(
   tblTargetStatus[[#This Row],[MissingDependencies]]=1,
   tblTargetStatus[[#This Row],[FirstMissingStatus]]="READY"
  ),
  "ONE AWAY",
  "BLOCKED"
 )
)</f>
        <v>BLOCKED</v>
      </c>
      <c r="R409">
        <f>IF(
 OR(
  tblTargetStatus[[#This Row],[StateType]]="CHARACTER",
  RIGHT(tblTargetStatus[[#This Row],[TargetID]],6)=".maxed"
 ),
 0,
 _xlfn.LET(
  _xlpm.sort,
   _xlfn.XLOOKUP(
    tblTargetStatus[[#This Row],[TargetID]],
    tblChecklist[TargetID],
    tblChecklist[PlayerSort],
    0
   ),
  IF(_xlpm.sort=0,500,_xlpm.sort)
 )
)</f>
        <v>500</v>
      </c>
      <c r="S409" t="str" cm="1">
        <f t="array" ref="S40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Undead Revenge Accepted, Visit Dungeon@5A , Undead Revenge Finished</v>
      </c>
      <c r="T409" t="str">
        <f>_xlfn.XLOOKUP(tblTargetStatus[[#This Row],[TargetID]],tblTargets[TargetID],tblTargets[CompletionMethod],"")</f>
        <v>PLAYER</v>
      </c>
      <c r="U409" t="b">
        <f>COUNTIF(
    tblCost[TargetID],
    tblTargetStatus[[#This Row],[TargetID]]
)&gt;0</f>
        <v>0</v>
      </c>
      <c r="V409" s="81" t="str">
        <f>IF(tblTargetStatus[[#This Row],[HasCost]]=FALSE,
"N/A",
_xlfn.XLOOKUP(
tblTargetStatus[[#This Row],[TargetID]],
tblCost[TargetID],
tblCost[FundingPercent],
""
)
)</f>
        <v>N/A</v>
      </c>
      <c r="W409" t="str">
        <f>IF(
COUNTIF(tblCost[TargetID],tblTargetStatus[[#This Row],[TargetID]])=0,
"",
_xlfn.XLOOKUP(
tblTargetStatus[[#This Row],[TargetID]],
tblCost[TargetID],
tblCost[RemainingRequirements],
""
)
)</f>
        <v/>
      </c>
      <c r="X409" s="79" t="str">
        <f>IF(tblTargetStatus[[#This Row],[HasCost]]=FALSE,"N/A",_xlfn.XLOOKUP(
tblTargetStatus[[#This Row],[TargetID]],
tblCost[TargetID],
tblCost[TargetFunded],
TRUE
))</f>
        <v>N/A</v>
      </c>
      <c r="Y409" t="str" cm="1">
        <f t="array" ref="Y409">_xlfn.TEXTJOIN(
", ",
TRUE,
_xlfn._xlws.FILTER(
tblCost[ResourceID]&amp;": "&amp;tblCost[QuantityRequired],
(tblCost[TargetID]=tblTargetStatus[[#This Row],[TargetID]])*
(tblCost[PlayerPaid]=FALSE),
""
)
)</f>
        <v/>
      </c>
      <c r="Z4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9" t="str" cm="1">
        <f t="array" ref="AA40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Undead Revenge</v>
      </c>
    </row>
    <row r="410" spans="1:27">
      <c r="A410" t="s">
        <v>5685</v>
      </c>
      <c r="B410" t="str">
        <f>_xlfn.XLOOKUP(tblTargetStatus[[#This Row],[TargetID]],tblTargets[TargetID],tblTargets[DisplayName],"")</f>
        <v>Complete Dungeon 6C</v>
      </c>
      <c r="C410" t="str">
        <f>IF(tblTargetStatus[[#This Row],[PlayerCompleted]],"COMPLETED",IF(tblTargetStatus[[#This Row],[MissingDependencies]]=0,"READY","BLOCKED"))</f>
        <v>BLOCKED</v>
      </c>
      <c r="D4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0" t="str">
        <f>_xlfn.XLOOKUP(tblTargetStatus[[#This Row],[TargetID]],tblTargets[TargetID],tblTargets[TargetType],"")</f>
        <v>STATE</v>
      </c>
      <c r="F410" t="str">
        <f>_xlfn.XLOOKUP(tblTargetStatus[[#This Row],[TargetID]],tblTargets[TargetID],tblTargets[StateType])</f>
        <v>COMPLETE</v>
      </c>
      <c r="G410">
        <f>_xlfn.LET(
_xlpm.id,tblTargetStatus[[#This Row],[TargetID]],
_xlpm.depCount,COUNTIF(tblDependencies[TargetID],_xlpm.id),
_xlpm.objCount,COUNTIF(tblQuestObjectives[QuestTargetID],_xlpm.id),
_xlpm.depCount+_xlpm.objCount
)</f>
        <v>2</v>
      </c>
      <c r="H410">
        <f>tblTargetStatus[[#This Row],[DependencyCount]]</f>
        <v>2</v>
      </c>
      <c r="I410" cm="1">
        <f t="array" ref="I4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0">
        <f>tblTargetStatus[[#This Row],[CompletedDependencyCount]]</f>
        <v>0</v>
      </c>
      <c r="K410" t="b">
        <f>tblTargetStatus[[#This Row],[CompletedDependencies]]=tblTargetStatus[[#This Row],[TotalDependencies]]</f>
        <v>0</v>
      </c>
      <c r="L410">
        <f>tblTargetStatus[[#This Row],[TotalDependencies]]-tblTargetStatus[[#This Row],[CompletedDependencies]]</f>
        <v>2</v>
      </c>
      <c r="M410" t="str" cm="1">
        <f t="array" ref="M4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quest.the_ordinary_days_of_an_adventurer_chapter_7.accepted</v>
      </c>
      <c r="N410" t="str">
        <f>IF(tblTargetStatus[[#This Row],[FirstMissingDependencyID]]="","",_xlfn.XLOOKUP(tblTargetStatus[[#This Row],[FirstMissingDependencyID]],tblTargets[TargetID],tblTargets[DisplayName],tblTargetStatus[[#This Row],[FirstMissingDependencyID]]))</f>
        <v>The Ordinary Days of an Adventurer Chapter 7 Accepted</v>
      </c>
      <c r="O410" s="2" t="str" cm="1">
        <f t="array" ref="O4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0" t="str">
        <f>IF(tblTargetStatus[[#This Row],[FirstMissingDependencyID]]="","",_xlfn.XLOOKUP(tblTargetStatus[[#This Row],[FirstMissingDependencyID]],tblTargetStatus[TargetID],tblTargetStatus[Status],""))</f>
        <v>BLOCKED</v>
      </c>
      <c r="Q410" t="str">
        <f>IF(
 tblTargetStatus[[#This Row],[Status]]&lt;&gt;"BLOCKED",
 tblTargetStatus[[#This Row],[Status]],
 IF(
  AND(
   tblTargetStatus[[#This Row],[MissingDependencies]]=1,
   tblTargetStatus[[#This Row],[FirstMissingStatus]]="READY"
  ),
  "ONE AWAY",
  "BLOCKED"
 )
)</f>
        <v>BLOCKED</v>
      </c>
      <c r="R410">
        <f>IF(
 OR(
  tblTargetStatus[[#This Row],[StateType]]="CHARACTER",
  RIGHT(tblTargetStatus[[#This Row],[TargetID]],6)=".maxed"
 ),
 0,
 _xlfn.LET(
  _xlpm.sort,
   _xlfn.XLOOKUP(
    tblTargetStatus[[#This Row],[TargetID]],
    tblChecklist[TargetID],
    tblChecklist[PlayerSort],
    0
   ),
  IF(_xlpm.sort=0,500,_xlpm.sort)
 )
)</f>
        <v>500</v>
      </c>
      <c r="S410" t="str" cm="1">
        <f t="array" ref="S41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7 Finished</v>
      </c>
      <c r="T410" t="str">
        <f>_xlfn.XLOOKUP(tblTargetStatus[[#This Row],[TargetID]],tblTargets[TargetID],tblTargets[CompletionMethod],"")</f>
        <v>PLAYER</v>
      </c>
      <c r="U410" t="b">
        <f>COUNTIF(
    tblCost[TargetID],
    tblTargetStatus[[#This Row],[TargetID]]
)&gt;0</f>
        <v>0</v>
      </c>
      <c r="V410" s="81" t="str">
        <f>IF(tblTargetStatus[[#This Row],[HasCost]]=FALSE,
"N/A",
_xlfn.XLOOKUP(
tblTargetStatus[[#This Row],[TargetID]],
tblCost[TargetID],
tblCost[FundingPercent],
""
)
)</f>
        <v>N/A</v>
      </c>
      <c r="W410" t="str">
        <f>IF(
COUNTIF(tblCost[TargetID],tblTargetStatus[[#This Row],[TargetID]])=0,
"",
_xlfn.XLOOKUP(
tblTargetStatus[[#This Row],[TargetID]],
tblCost[TargetID],
tblCost[RemainingRequirements],
""
)
)</f>
        <v/>
      </c>
      <c r="X410" s="79" t="str">
        <f>IF(tblTargetStatus[[#This Row],[HasCost]]=FALSE,"N/A",_xlfn.XLOOKUP(
tblTargetStatus[[#This Row],[TargetID]],
tblCost[TargetID],
tblCost[TargetFunded],
TRUE
))</f>
        <v>N/A</v>
      </c>
      <c r="Y410" t="str" cm="1">
        <f t="array" ref="Y410">_xlfn.TEXTJOIN(
", ",
TRUE,
_xlfn._xlws.FILTER(
tblCost[ResourceID]&amp;": "&amp;tblCost[QuantityRequired],
(tblCost[TargetID]=tblTargetStatus[[#This Row],[TargetID]])*
(tblCost[PlayerPaid]=FALSE),
""
)
)</f>
        <v/>
      </c>
      <c r="Z4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0" t="str" cm="1">
        <f t="array" ref="AA41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11" spans="1:27">
      <c r="A411" t="s">
        <v>5774</v>
      </c>
      <c r="B411" t="str">
        <f>_xlfn.XLOOKUP(tblTargetStatus[[#This Row],[TargetID]],tblTargets[TargetID],tblTargets[DisplayName],"")</f>
        <v>Complete F1 for the first time</v>
      </c>
      <c r="C411" t="str">
        <f>IF(tblTargetStatus[[#This Row],[PlayerCompleted]],"COMPLETED",IF(tblTargetStatus[[#This Row],[MissingDependencies]]=0,"READY","BLOCKED"))</f>
        <v>BLOCKED</v>
      </c>
      <c r="D4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1" t="str">
        <f>_xlfn.XLOOKUP(tblTargetStatus[[#This Row],[TargetID]],tblTargets[TargetID],tblTargets[TargetType],"")</f>
        <v>STATE</v>
      </c>
      <c r="F411" t="str">
        <f>_xlfn.XLOOKUP(tblTargetStatus[[#This Row],[TargetID]],tblTargets[TargetID],tblTargets[StateType])</f>
        <v>COMPLETE</v>
      </c>
      <c r="G411">
        <f>_xlfn.LET(
_xlpm.id,tblTargetStatus[[#This Row],[TargetID]],
_xlpm.depCount,COUNTIF(tblDependencies[TargetID],_xlpm.id),
_xlpm.objCount,COUNTIF(tblQuestObjectives[QuestTargetID],_xlpm.id),
_xlpm.depCount+_xlpm.objCount
)</f>
        <v>1</v>
      </c>
      <c r="H411">
        <f>tblTargetStatus[[#This Row],[DependencyCount]]</f>
        <v>1</v>
      </c>
      <c r="I411" cm="1">
        <f t="array" ref="I4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1">
        <f>tblTargetStatus[[#This Row],[CompletedDependencyCount]]</f>
        <v>0</v>
      </c>
      <c r="K411" t="b">
        <f>tblTargetStatus[[#This Row],[CompletedDependencies]]=tblTargetStatus[[#This Row],[TotalDependencies]]</f>
        <v>0</v>
      </c>
      <c r="L411">
        <f>tblTargetStatus[[#This Row],[TotalDependencies]]-tblTargetStatus[[#This Row],[CompletedDependencies]]</f>
        <v>1</v>
      </c>
      <c r="M411" t="str" cm="1">
        <f t="array" ref="M4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quest.once_upon_a_forest_chapter_2.accepted</v>
      </c>
      <c r="N411" t="str">
        <f>IF(tblTargetStatus[[#This Row],[FirstMissingDependencyID]]="","",_xlfn.XLOOKUP(tblTargetStatus[[#This Row],[FirstMissingDependencyID]],tblTargets[TargetID],tblTargets[DisplayName],tblTargetStatus[[#This Row],[FirstMissingDependencyID]]))</f>
        <v>Once Upon a Forest Chapter 2 Accepted</v>
      </c>
      <c r="O411" s="2" t="str" cm="1">
        <f t="array" ref="O4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1" t="str">
        <f>IF(tblTargetStatus[[#This Row],[FirstMissingDependencyID]]="","",_xlfn.XLOOKUP(tblTargetStatus[[#This Row],[FirstMissingDependencyID]],tblTargetStatus[TargetID],tblTargetStatus[Status],""))</f>
        <v>BLOCKED</v>
      </c>
      <c r="Q411" t="str">
        <f>IF(
 tblTargetStatus[[#This Row],[Status]]&lt;&gt;"BLOCKED",
 tblTargetStatus[[#This Row],[Status]],
 IF(
  AND(
   tblTargetStatus[[#This Row],[MissingDependencies]]=1,
   tblTargetStatus[[#This Row],[FirstMissingStatus]]="READY"
  ),
  "ONE AWAY",
  "BLOCKED"
 )
)</f>
        <v>BLOCKED</v>
      </c>
      <c r="R411">
        <f>IF(
 OR(
  tblTargetStatus[[#This Row],[StateType]]="CHARACTER",
  RIGHT(tblTargetStatus[[#This Row],[TargetID]],6)=".maxed"
 ),
 0,
 _xlfn.LET(
  _xlpm.sort,
   _xlfn.XLOOKUP(
    tblTargetStatus[[#This Row],[TargetID]],
    tblChecklist[TargetID],
    tblChecklist[PlayerSort],
    0
   ),
  IF(_xlpm.sort=0,500,_xlpm.sort)
 )
)</f>
        <v>500</v>
      </c>
      <c r="S411" t="str" cm="1">
        <f t="array" ref="S41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2 Finished</v>
      </c>
      <c r="T411" t="str">
        <f>_xlfn.XLOOKUP(tblTargetStatus[[#This Row],[TargetID]],tblTargets[TargetID],tblTargets[CompletionMethod],"")</f>
        <v>PLAYER</v>
      </c>
      <c r="U411" t="b">
        <f>COUNTIF(
    tblCost[TargetID],
    tblTargetStatus[[#This Row],[TargetID]]
)&gt;0</f>
        <v>0</v>
      </c>
      <c r="V411" s="81" t="str">
        <f>IF(tblTargetStatus[[#This Row],[HasCost]]=FALSE,
"N/A",
_xlfn.XLOOKUP(
tblTargetStatus[[#This Row],[TargetID]],
tblCost[TargetID],
tblCost[FundingPercent],
""
)
)</f>
        <v>N/A</v>
      </c>
      <c r="W411" t="str">
        <f>IF(
COUNTIF(tblCost[TargetID],tblTargetStatus[[#This Row],[TargetID]])=0,
"",
_xlfn.XLOOKUP(
tblTargetStatus[[#This Row],[TargetID]],
tblCost[TargetID],
tblCost[RemainingRequirements],
""
)
)</f>
        <v/>
      </c>
      <c r="X411" s="79" t="str">
        <f>IF(tblTargetStatus[[#This Row],[HasCost]]=FALSE,"N/A",_xlfn.XLOOKUP(
tblTargetStatus[[#This Row],[TargetID]],
tblCost[TargetID],
tblCost[TargetFunded],
TRUE
))</f>
        <v>N/A</v>
      </c>
      <c r="Y411" t="str" cm="1">
        <f t="array" ref="Y411">_xlfn.TEXTJOIN(
", ",
TRUE,
_xlfn._xlws.FILTER(
tblCost[ResourceID]&amp;": "&amp;tblCost[QuantityRequired],
(tblCost[TargetID]=tblTargetStatus[[#This Row],[TargetID]])*
(tblCost[PlayerPaid]=FALSE),
""
)
)</f>
        <v/>
      </c>
      <c r="Z4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1" t="str" cm="1">
        <f t="array" ref="AA41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12" spans="1:27">
      <c r="A412" t="s">
        <v>5775</v>
      </c>
      <c r="B412" t="str">
        <f>_xlfn.XLOOKUP(tblTargetStatus[[#This Row],[TargetID]],tblTargets[TargetID],tblTargets[DisplayName],"")</f>
        <v>Escort Mr and Mrs Diligance through F1</v>
      </c>
      <c r="C412" t="str">
        <f>IF(tblTargetStatus[[#This Row],[PlayerCompleted]],"COMPLETED",IF(tblTargetStatus[[#This Row],[MissingDependencies]]=0,"READY","BLOCKED"))</f>
        <v>BLOCKED</v>
      </c>
      <c r="D4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2" t="str">
        <f>_xlfn.XLOOKUP(tblTargetStatus[[#This Row],[TargetID]],tblTargets[TargetID],tblTargets[TargetType],"")</f>
        <v>STATE</v>
      </c>
      <c r="F412" t="str">
        <f>_xlfn.XLOOKUP(tblTargetStatus[[#This Row],[TargetID]],tblTargets[TargetID],tblTargets[StateType])</f>
        <v>COMPLETE</v>
      </c>
      <c r="G412">
        <f>_xlfn.LET(
_xlpm.id,tblTargetStatus[[#This Row],[TargetID]],
_xlpm.depCount,COUNTIF(tblDependencies[TargetID],_xlpm.id),
_xlpm.objCount,COUNTIF(tblQuestObjectives[QuestTargetID],_xlpm.id),
_xlpm.depCount+_xlpm.objCount
)</f>
        <v>2</v>
      </c>
      <c r="H412">
        <f>tblTargetStatus[[#This Row],[DependencyCount]]</f>
        <v>2</v>
      </c>
      <c r="I412" cm="1">
        <f t="array" ref="I4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2">
        <f>tblTargetStatus[[#This Row],[CompletedDependencyCount]]</f>
        <v>0</v>
      </c>
      <c r="K412" t="b">
        <f>tblTargetStatus[[#This Row],[CompletedDependencies]]=tblTargetStatus[[#This Row],[TotalDependencies]]</f>
        <v>0</v>
      </c>
      <c r="L412">
        <f>tblTargetStatus[[#This Row],[TotalDependencies]]-tblTargetStatus[[#This Row],[CompletedDependencies]]</f>
        <v>2</v>
      </c>
      <c r="M412" t="str" cm="1">
        <f t="array" ref="M4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412" t="str">
        <f>IF(tblTargetStatus[[#This Row],[FirstMissingDependencyID]]="","",_xlfn.XLOOKUP(tblTargetStatus[[#This Row],[FirstMissingDependencyID]],tblTargets[TargetID],tblTargets[DisplayName],tblTargetStatus[[#This Row],[FirstMissingDependencyID]]))</f>
        <v>Once Upon a Forest Chapter 12 Accepted</v>
      </c>
      <c r="O412" s="2" t="str" cm="1">
        <f t="array" ref="O4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2" t="str">
        <f>IF(tblTargetStatus[[#This Row],[FirstMissingDependencyID]]="","",_xlfn.XLOOKUP(tblTargetStatus[[#This Row],[FirstMissingDependencyID]],tblTargetStatus[TargetID],tblTargetStatus[Status],""))</f>
        <v>BLOCKED</v>
      </c>
      <c r="Q412" t="str">
        <f>IF(
 tblTargetStatus[[#This Row],[Status]]&lt;&gt;"BLOCKED",
 tblTargetStatus[[#This Row],[Status]],
 IF(
  AND(
   tblTargetStatus[[#This Row],[MissingDependencies]]=1,
   tblTargetStatus[[#This Row],[FirstMissingStatus]]="READY"
  ),
  "ONE AWAY",
  "BLOCKED"
 )
)</f>
        <v>BLOCKED</v>
      </c>
      <c r="R412">
        <f>IF(
 OR(
  tblTargetStatus[[#This Row],[StateType]]="CHARACTER",
  RIGHT(tblTargetStatus[[#This Row],[TargetID]],6)=".maxed"
 ),
 0,
 _xlfn.LET(
  _xlpm.sort,
   _xlfn.XLOOKUP(
    tblTargetStatus[[#This Row],[TargetID]],
    tblChecklist[TargetID],
    tblChecklist[PlayerSort],
    0
   ),
  IF(_xlpm.sort=0,500,_xlpm.sort)
 )
)</f>
        <v>500</v>
      </c>
      <c r="S412" t="str" cm="1">
        <f t="array" ref="S41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12 Finished</v>
      </c>
      <c r="T412" t="str">
        <f>_xlfn.XLOOKUP(tblTargetStatus[[#This Row],[TargetID]],tblTargets[TargetID],tblTargets[CompletionMethod],"")</f>
        <v>PLAYER</v>
      </c>
      <c r="U412" t="b">
        <f>COUNTIF(
    tblCost[TargetID],
    tblTargetStatus[[#This Row],[TargetID]]
)&gt;0</f>
        <v>0</v>
      </c>
      <c r="V412" s="81" t="str">
        <f>IF(tblTargetStatus[[#This Row],[HasCost]]=FALSE,
"N/A",
_xlfn.XLOOKUP(
tblTargetStatus[[#This Row],[TargetID]],
tblCost[TargetID],
tblCost[FundingPercent],
""
)
)</f>
        <v>N/A</v>
      </c>
      <c r="W412" t="str">
        <f>IF(
COUNTIF(tblCost[TargetID],tblTargetStatus[[#This Row],[TargetID]])=0,
"",
_xlfn.XLOOKUP(
tblTargetStatus[[#This Row],[TargetID]],
tblCost[TargetID],
tblCost[RemainingRequirements],
""
)
)</f>
        <v/>
      </c>
      <c r="X412" s="79" t="str">
        <f>IF(tblTargetStatus[[#This Row],[HasCost]]=FALSE,"N/A",_xlfn.XLOOKUP(
tblTargetStatus[[#This Row],[TargetID]],
tblCost[TargetID],
tblCost[TargetFunded],
TRUE
))</f>
        <v>N/A</v>
      </c>
      <c r="Y412" t="str" cm="1">
        <f t="array" ref="Y412">_xlfn.TEXTJOIN(
", ",
TRUE,
_xlfn._xlws.FILTER(
tblCost[ResourceID]&amp;": "&amp;tblCost[QuantityRequired],
(tblCost[TargetID]=tblTargetStatus[[#This Row],[TargetID]])*
(tblCost[PlayerPaid]=FALSE),
""
)
)</f>
        <v/>
      </c>
      <c r="Z4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2" t="str" cm="1">
        <f t="array" ref="AA41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13" spans="1:27">
      <c r="A413" t="s">
        <v>5776</v>
      </c>
      <c r="B413" t="str">
        <f>_xlfn.XLOOKUP(tblTargetStatus[[#This Row],[TargetID]],tblTargets[TargetID],tblTargets[DisplayName],"")</f>
        <v>Escort Mr and Mrs Diligance through F2</v>
      </c>
      <c r="C413" t="str">
        <f>IF(tblTargetStatus[[#This Row],[PlayerCompleted]],"COMPLETED",IF(tblTargetStatus[[#This Row],[MissingDependencies]]=0,"READY","BLOCKED"))</f>
        <v>BLOCKED</v>
      </c>
      <c r="D4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3" t="str">
        <f>_xlfn.XLOOKUP(tblTargetStatus[[#This Row],[TargetID]],tblTargets[TargetID],tblTargets[TargetType],"")</f>
        <v>STATE</v>
      </c>
      <c r="F413" t="str">
        <f>_xlfn.XLOOKUP(tblTargetStatus[[#This Row],[TargetID]],tblTargets[TargetID],tblTargets[StateType])</f>
        <v>COMPLETE</v>
      </c>
      <c r="G413">
        <f>_xlfn.LET(
_xlpm.id,tblTargetStatus[[#This Row],[TargetID]],
_xlpm.depCount,COUNTIF(tblDependencies[TargetID],_xlpm.id),
_xlpm.objCount,COUNTIF(tblQuestObjectives[QuestTargetID],_xlpm.id),
_xlpm.depCount+_xlpm.objCount
)</f>
        <v>2</v>
      </c>
      <c r="H413">
        <f>tblTargetStatus[[#This Row],[DependencyCount]]</f>
        <v>2</v>
      </c>
      <c r="I413" cm="1">
        <f t="array" ref="I4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3">
        <f>tblTargetStatus[[#This Row],[CompletedDependencyCount]]</f>
        <v>0</v>
      </c>
      <c r="K413" t="b">
        <f>tblTargetStatus[[#This Row],[CompletedDependencies]]=tblTargetStatus[[#This Row],[TotalDependencies]]</f>
        <v>0</v>
      </c>
      <c r="L413">
        <f>tblTargetStatus[[#This Row],[TotalDependencies]]-tblTargetStatus[[#This Row],[CompletedDependencies]]</f>
        <v>2</v>
      </c>
      <c r="M413" t="str" cm="1">
        <f t="array" ref="M4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413" t="str">
        <f>IF(tblTargetStatus[[#This Row],[FirstMissingDependencyID]]="","",_xlfn.XLOOKUP(tblTargetStatus[[#This Row],[FirstMissingDependencyID]],tblTargets[TargetID],tblTargets[DisplayName],tblTargetStatus[[#This Row],[FirstMissingDependencyID]]))</f>
        <v>Once Upon a Forest Chapter 12 Accepted</v>
      </c>
      <c r="O413" s="2" t="str" cm="1">
        <f t="array" ref="O4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3" t="str">
        <f>IF(tblTargetStatus[[#This Row],[FirstMissingDependencyID]]="","",_xlfn.XLOOKUP(tblTargetStatus[[#This Row],[FirstMissingDependencyID]],tblTargetStatus[TargetID],tblTargetStatus[Status],""))</f>
        <v>BLOCKED</v>
      </c>
      <c r="Q413" t="str">
        <f>IF(
 tblTargetStatus[[#This Row],[Status]]&lt;&gt;"BLOCKED",
 tblTargetStatus[[#This Row],[Status]],
 IF(
  AND(
   tblTargetStatus[[#This Row],[MissingDependencies]]=1,
   tblTargetStatus[[#This Row],[FirstMissingStatus]]="READY"
  ),
  "ONE AWAY",
  "BLOCKED"
 )
)</f>
        <v>BLOCKED</v>
      </c>
      <c r="R413">
        <f>IF(
 OR(
  tblTargetStatus[[#This Row],[StateType]]="CHARACTER",
  RIGHT(tblTargetStatus[[#This Row],[TargetID]],6)=".maxed"
 ),
 0,
 _xlfn.LET(
  _xlpm.sort,
   _xlfn.XLOOKUP(
    tblTargetStatus[[#This Row],[TargetID]],
    tblChecklist[TargetID],
    tblChecklist[PlayerSort],
    0
   ),
  IF(_xlpm.sort=0,500,_xlpm.sort)
 )
)</f>
        <v>500</v>
      </c>
      <c r="S413" t="str" cm="1">
        <f t="array" ref="S41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12 Finished</v>
      </c>
      <c r="T413" t="str">
        <f>_xlfn.XLOOKUP(tblTargetStatus[[#This Row],[TargetID]],tblTargets[TargetID],tblTargets[CompletionMethod],"")</f>
        <v>PLAYER</v>
      </c>
      <c r="U413" t="b">
        <f>COUNTIF(
    tblCost[TargetID],
    tblTargetStatus[[#This Row],[TargetID]]
)&gt;0</f>
        <v>0</v>
      </c>
      <c r="V413" s="81" t="str">
        <f>IF(tblTargetStatus[[#This Row],[HasCost]]=FALSE,
"N/A",
_xlfn.XLOOKUP(
tblTargetStatus[[#This Row],[TargetID]],
tblCost[TargetID],
tblCost[FundingPercent],
""
)
)</f>
        <v>N/A</v>
      </c>
      <c r="W413" t="str">
        <f>IF(
COUNTIF(tblCost[TargetID],tblTargetStatus[[#This Row],[TargetID]])=0,
"",
_xlfn.XLOOKUP(
tblTargetStatus[[#This Row],[TargetID]],
tblCost[TargetID],
tblCost[RemainingRequirements],
""
)
)</f>
        <v/>
      </c>
      <c r="X413" s="79" t="str">
        <f>IF(tblTargetStatus[[#This Row],[HasCost]]=FALSE,"N/A",_xlfn.XLOOKUP(
tblTargetStatus[[#This Row],[TargetID]],
tblCost[TargetID],
tblCost[TargetFunded],
TRUE
))</f>
        <v>N/A</v>
      </c>
      <c r="Y413" t="str" cm="1">
        <f t="array" ref="Y413">_xlfn.TEXTJOIN(
", ",
TRUE,
_xlfn._xlws.FILTER(
tblCost[ResourceID]&amp;": "&amp;tblCost[QuantityRequired],
(tblCost[TargetID]=tblTargetStatus[[#This Row],[TargetID]])*
(tblCost[PlayerPaid]=FALSE),
""
)
)</f>
        <v/>
      </c>
      <c r="Z4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3" t="str" cm="1">
        <f t="array" ref="AA41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14" spans="1:27">
      <c r="A414" t="s">
        <v>5777</v>
      </c>
      <c r="B414" t="str">
        <f>_xlfn.XLOOKUP(tblTargetStatus[[#This Row],[TargetID]],tblTargets[TargetID],tblTargets[DisplayName],"")</f>
        <v>Escort Mr and Mrs Diligance through F3</v>
      </c>
      <c r="C414" t="str">
        <f>IF(tblTargetStatus[[#This Row],[PlayerCompleted]],"COMPLETED",IF(tblTargetStatus[[#This Row],[MissingDependencies]]=0,"READY","BLOCKED"))</f>
        <v>BLOCKED</v>
      </c>
      <c r="D4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4" t="str">
        <f>_xlfn.XLOOKUP(tblTargetStatus[[#This Row],[TargetID]],tblTargets[TargetID],tblTargets[TargetType],"")</f>
        <v>STATE</v>
      </c>
      <c r="F414" t="str">
        <f>_xlfn.XLOOKUP(tblTargetStatus[[#This Row],[TargetID]],tblTargets[TargetID],tblTargets[StateType])</f>
        <v>COMPLETE</v>
      </c>
      <c r="G414">
        <f>_xlfn.LET(
_xlpm.id,tblTargetStatus[[#This Row],[TargetID]],
_xlpm.depCount,COUNTIF(tblDependencies[TargetID],_xlpm.id),
_xlpm.objCount,COUNTIF(tblQuestObjectives[QuestTargetID],_xlpm.id),
_xlpm.depCount+_xlpm.objCount
)</f>
        <v>2</v>
      </c>
      <c r="H414">
        <f>tblTargetStatus[[#This Row],[DependencyCount]]</f>
        <v>2</v>
      </c>
      <c r="I414" cm="1">
        <f t="array" ref="I4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4">
        <f>tblTargetStatus[[#This Row],[CompletedDependencyCount]]</f>
        <v>0</v>
      </c>
      <c r="K414" t="b">
        <f>tblTargetStatus[[#This Row],[CompletedDependencies]]=tblTargetStatus[[#This Row],[TotalDependencies]]</f>
        <v>0</v>
      </c>
      <c r="L414">
        <f>tblTargetStatus[[#This Row],[TotalDependencies]]-tblTargetStatus[[#This Row],[CompletedDependencies]]</f>
        <v>2</v>
      </c>
      <c r="M414" t="str" cm="1">
        <f t="array" ref="M4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414" t="str">
        <f>IF(tblTargetStatus[[#This Row],[FirstMissingDependencyID]]="","",_xlfn.XLOOKUP(tblTargetStatus[[#This Row],[FirstMissingDependencyID]],tblTargets[TargetID],tblTargets[DisplayName],tblTargetStatus[[#This Row],[FirstMissingDependencyID]]))</f>
        <v>Once Upon a Forest Chapter 12 Accepted</v>
      </c>
      <c r="O414" s="2" t="str" cm="1">
        <f t="array" ref="O4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4" t="str">
        <f>IF(tblTargetStatus[[#This Row],[FirstMissingDependencyID]]="","",_xlfn.XLOOKUP(tblTargetStatus[[#This Row],[FirstMissingDependencyID]],tblTargetStatus[TargetID],tblTargetStatus[Status],""))</f>
        <v>BLOCKED</v>
      </c>
      <c r="Q414" t="str">
        <f>IF(
 tblTargetStatus[[#This Row],[Status]]&lt;&gt;"BLOCKED",
 tblTargetStatus[[#This Row],[Status]],
 IF(
  AND(
   tblTargetStatus[[#This Row],[MissingDependencies]]=1,
   tblTargetStatus[[#This Row],[FirstMissingStatus]]="READY"
  ),
  "ONE AWAY",
  "BLOCKED"
 )
)</f>
        <v>BLOCKED</v>
      </c>
      <c r="R414">
        <f>IF(
 OR(
  tblTargetStatus[[#This Row],[StateType]]="CHARACTER",
  RIGHT(tblTargetStatus[[#This Row],[TargetID]],6)=".maxed"
 ),
 0,
 _xlfn.LET(
  _xlpm.sort,
   _xlfn.XLOOKUP(
    tblTargetStatus[[#This Row],[TargetID]],
    tblChecklist[TargetID],
    tblChecklist[PlayerSort],
    0
   ),
  IF(_xlpm.sort=0,500,_xlpm.sort)
 )
)</f>
        <v>500</v>
      </c>
      <c r="S414" t="str" cm="1">
        <f t="array" ref="S41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12 Finished</v>
      </c>
      <c r="T414" t="str">
        <f>_xlfn.XLOOKUP(tblTargetStatus[[#This Row],[TargetID]],tblTargets[TargetID],tblTargets[CompletionMethod],"")</f>
        <v>PLAYER</v>
      </c>
      <c r="U414" t="b">
        <f>COUNTIF(
    tblCost[TargetID],
    tblTargetStatus[[#This Row],[TargetID]]
)&gt;0</f>
        <v>0</v>
      </c>
      <c r="V414" s="81" t="str">
        <f>IF(tblTargetStatus[[#This Row],[HasCost]]=FALSE,
"N/A",
_xlfn.XLOOKUP(
tblTargetStatus[[#This Row],[TargetID]],
tblCost[TargetID],
tblCost[FundingPercent],
""
)
)</f>
        <v>N/A</v>
      </c>
      <c r="W414" t="str">
        <f>IF(
COUNTIF(tblCost[TargetID],tblTargetStatus[[#This Row],[TargetID]])=0,
"",
_xlfn.XLOOKUP(
tblTargetStatus[[#This Row],[TargetID]],
tblCost[TargetID],
tblCost[RemainingRequirements],
""
)
)</f>
        <v/>
      </c>
      <c r="X414" s="79" t="str">
        <f>IF(tblTargetStatus[[#This Row],[HasCost]]=FALSE,"N/A",_xlfn.XLOOKUP(
tblTargetStatus[[#This Row],[TargetID]],
tblCost[TargetID],
tblCost[TargetFunded],
TRUE
))</f>
        <v>N/A</v>
      </c>
      <c r="Y414" t="str" cm="1">
        <f t="array" ref="Y414">_xlfn.TEXTJOIN(
", ",
TRUE,
_xlfn._xlws.FILTER(
tblCost[ResourceID]&amp;": "&amp;tblCost[QuantityRequired],
(tblCost[TargetID]=tblTargetStatus[[#This Row],[TargetID]])*
(tblCost[PlayerPaid]=FALSE),
""
)
)</f>
        <v/>
      </c>
      <c r="Z4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4" t="str" cm="1">
        <f t="array" ref="AA41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15" spans="1:27">
      <c r="A415" t="s">
        <v>5778</v>
      </c>
      <c r="B415" t="str">
        <f>_xlfn.XLOOKUP(tblTargetStatus[[#This Row],[TargetID]],tblTargets[TargetID],tblTargets[DisplayName],"")</f>
        <v>Escort Mr and Mrs Diligance through F4</v>
      </c>
      <c r="C415" t="str">
        <f>IF(tblTargetStatus[[#This Row],[PlayerCompleted]],"COMPLETED",IF(tblTargetStatus[[#This Row],[MissingDependencies]]=0,"READY","BLOCKED"))</f>
        <v>BLOCKED</v>
      </c>
      <c r="D4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5" t="str">
        <f>_xlfn.XLOOKUP(tblTargetStatus[[#This Row],[TargetID]],tblTargets[TargetID],tblTargets[TargetType],"")</f>
        <v>STATE</v>
      </c>
      <c r="F415" t="str">
        <f>_xlfn.XLOOKUP(tblTargetStatus[[#This Row],[TargetID]],tblTargets[TargetID],tblTargets[StateType])</f>
        <v>COMPLETE</v>
      </c>
      <c r="G415">
        <f>_xlfn.LET(
_xlpm.id,tblTargetStatus[[#This Row],[TargetID]],
_xlpm.depCount,COUNTIF(tblDependencies[TargetID],_xlpm.id),
_xlpm.objCount,COUNTIF(tblQuestObjectives[QuestTargetID],_xlpm.id),
_xlpm.depCount+_xlpm.objCount
)</f>
        <v>2</v>
      </c>
      <c r="H415">
        <f>tblTargetStatus[[#This Row],[DependencyCount]]</f>
        <v>2</v>
      </c>
      <c r="I415" cm="1">
        <f t="array" ref="I4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5">
        <f>tblTargetStatus[[#This Row],[CompletedDependencyCount]]</f>
        <v>0</v>
      </c>
      <c r="K415" t="b">
        <f>tblTargetStatus[[#This Row],[CompletedDependencies]]=tblTargetStatus[[#This Row],[TotalDependencies]]</f>
        <v>0</v>
      </c>
      <c r="L415">
        <f>tblTargetStatus[[#This Row],[TotalDependencies]]-tblTargetStatus[[#This Row],[CompletedDependencies]]</f>
        <v>2</v>
      </c>
      <c r="M415" t="str" cm="1">
        <f t="array" ref="M4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415" t="str">
        <f>IF(tblTargetStatus[[#This Row],[FirstMissingDependencyID]]="","",_xlfn.XLOOKUP(tblTargetStatus[[#This Row],[FirstMissingDependencyID]],tblTargets[TargetID],tblTargets[DisplayName],tblTargetStatus[[#This Row],[FirstMissingDependencyID]]))</f>
        <v>Once Upon a Forest Chapter 12 Accepted</v>
      </c>
      <c r="O415" s="2" t="str" cm="1">
        <f t="array" ref="O4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5" t="str">
        <f>IF(tblTargetStatus[[#This Row],[FirstMissingDependencyID]]="","",_xlfn.XLOOKUP(tblTargetStatus[[#This Row],[FirstMissingDependencyID]],tblTargetStatus[TargetID],tblTargetStatus[Status],""))</f>
        <v>BLOCKED</v>
      </c>
      <c r="Q415" t="str">
        <f>IF(
 tblTargetStatus[[#This Row],[Status]]&lt;&gt;"BLOCKED",
 tblTargetStatus[[#This Row],[Status]],
 IF(
  AND(
   tblTargetStatus[[#This Row],[MissingDependencies]]=1,
   tblTargetStatus[[#This Row],[FirstMissingStatus]]="READY"
  ),
  "ONE AWAY",
  "BLOCKED"
 )
)</f>
        <v>BLOCKED</v>
      </c>
      <c r="R415">
        <f>IF(
 OR(
  tblTargetStatus[[#This Row],[StateType]]="CHARACTER",
  RIGHT(tblTargetStatus[[#This Row],[TargetID]],6)=".maxed"
 ),
 0,
 _xlfn.LET(
  _xlpm.sort,
   _xlfn.XLOOKUP(
    tblTargetStatus[[#This Row],[TargetID]],
    tblChecklist[TargetID],
    tblChecklist[PlayerSort],
    0
   ),
  IF(_xlpm.sort=0,500,_xlpm.sort)
 )
)</f>
        <v>500</v>
      </c>
      <c r="S415" t="str" cm="1">
        <f t="array" ref="S41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12 Finished</v>
      </c>
      <c r="T415" t="str">
        <f>_xlfn.XLOOKUP(tblTargetStatus[[#This Row],[TargetID]],tblTargets[TargetID],tblTargets[CompletionMethod],"")</f>
        <v>PLAYER</v>
      </c>
      <c r="U415" t="b">
        <f>COUNTIF(
    tblCost[TargetID],
    tblTargetStatus[[#This Row],[TargetID]]
)&gt;0</f>
        <v>0</v>
      </c>
      <c r="V415" s="81" t="str">
        <f>IF(tblTargetStatus[[#This Row],[HasCost]]=FALSE,
"N/A",
_xlfn.XLOOKUP(
tblTargetStatus[[#This Row],[TargetID]],
tblCost[TargetID],
tblCost[FundingPercent],
""
)
)</f>
        <v>N/A</v>
      </c>
      <c r="W415" t="str">
        <f>IF(
COUNTIF(tblCost[TargetID],tblTargetStatus[[#This Row],[TargetID]])=0,
"",
_xlfn.XLOOKUP(
tblTargetStatus[[#This Row],[TargetID]],
tblCost[TargetID],
tblCost[RemainingRequirements],
""
)
)</f>
        <v/>
      </c>
      <c r="X415" s="79" t="str">
        <f>IF(tblTargetStatus[[#This Row],[HasCost]]=FALSE,"N/A",_xlfn.XLOOKUP(
tblTargetStatus[[#This Row],[TargetID]],
tblCost[TargetID],
tblCost[TargetFunded],
TRUE
))</f>
        <v>N/A</v>
      </c>
      <c r="Y415" t="str" cm="1">
        <f t="array" ref="Y415">_xlfn.TEXTJOIN(
", ",
TRUE,
_xlfn._xlws.FILTER(
tblCost[ResourceID]&amp;": "&amp;tblCost[QuantityRequired],
(tblCost[TargetID]=tblTargetStatus[[#This Row],[TargetID]])*
(tblCost[PlayerPaid]=FALSE),
""
)
)</f>
        <v/>
      </c>
      <c r="Z4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5" t="str" cm="1">
        <f t="array" ref="AA41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16" spans="1:27">
      <c r="A416" t="s">
        <v>5798</v>
      </c>
      <c r="B416" t="str">
        <f>_xlfn.XLOOKUP(tblTargetStatus[[#This Row],[TargetID]],tblTargets[TargetID],tblTargets[DisplayName],"")</f>
        <v>Complete Lvl1 Any Project</v>
      </c>
      <c r="C416" t="str">
        <f>IF(tblTargetStatus[[#This Row],[PlayerCompleted]],"COMPLETED",IF(tblTargetStatus[[#This Row],[MissingDependencies]]=0,"READY","BLOCKED"))</f>
        <v>BLOCKED</v>
      </c>
      <c r="D4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6" t="str">
        <f>_xlfn.XLOOKUP(tblTargetStatus[[#This Row],[TargetID]],tblTargets[TargetID],tblTargets[TargetType],"")</f>
        <v>STATE</v>
      </c>
      <c r="F416" t="str">
        <f>_xlfn.XLOOKUP(tblTargetStatus[[#This Row],[TargetID]],tblTargets[TargetID],tblTargets[StateType])</f>
        <v>COMPLETE</v>
      </c>
      <c r="G416">
        <f>_xlfn.LET(
_xlpm.id,tblTargetStatus[[#This Row],[TargetID]],
_xlpm.depCount,COUNTIF(tblDependencies[TargetID],_xlpm.id),
_xlpm.objCount,COUNTIF(tblQuestObjectives[QuestTargetID],_xlpm.id),
_xlpm.depCount+_xlpm.objCount
)</f>
        <v>1</v>
      </c>
      <c r="H416">
        <f>tblTargetStatus[[#This Row],[DependencyCount]]</f>
        <v>1</v>
      </c>
      <c r="I416" cm="1">
        <f t="array" ref="I4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6">
        <f>tblTargetStatus[[#This Row],[CompletedDependencyCount]]</f>
        <v>0</v>
      </c>
      <c r="K416" t="b">
        <f>tblTargetStatus[[#This Row],[CompletedDependencies]]=tblTargetStatus[[#This Row],[TotalDependencies]]</f>
        <v>0</v>
      </c>
      <c r="L416">
        <f>tblTargetStatus[[#This Row],[TotalDependencies]]-tblTargetStatus[[#This Row],[CompletedDependencies]]</f>
        <v>1</v>
      </c>
      <c r="M416" t="str" cm="1">
        <f t="array" ref="M4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quest.once_upon_a_forest_chapter_9.finished</v>
      </c>
      <c r="N416" t="str">
        <f>IF(tblTargetStatus[[#This Row],[FirstMissingDependencyID]]="","",_xlfn.XLOOKUP(tblTargetStatus[[#This Row],[FirstMissingDependencyID]],tblTargets[TargetID],tblTargets[DisplayName],tblTargetStatus[[#This Row],[FirstMissingDependencyID]]))</f>
        <v>Once Upon a Forest Chapter 9 Finished</v>
      </c>
      <c r="O416" t="str" cm="1">
        <f t="array" ref="O4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6" t="str">
        <f>IF(tblTargetStatus[[#This Row],[FirstMissingDependencyID]]="","",_xlfn.XLOOKUP(tblTargetStatus[[#This Row],[FirstMissingDependencyID]],tblTargetStatus[TargetID],tblTargetStatus[Status],""))</f>
        <v>BLOCKED</v>
      </c>
      <c r="Q416" t="str">
        <f>IF(
 tblTargetStatus[[#This Row],[Status]]&lt;&gt;"BLOCKED",
 tblTargetStatus[[#This Row],[Status]],
 IF(
  AND(
   tblTargetStatus[[#This Row],[MissingDependencies]]=1,
   tblTargetStatus[[#This Row],[FirstMissingStatus]]="READY"
  ),
  "ONE AWAY",
  "BLOCKED"
 )
)</f>
        <v>BLOCKED</v>
      </c>
      <c r="R416">
        <f>IF(
 OR(
  tblTargetStatus[[#This Row],[StateType]]="CHARACTER",
  RIGHT(tblTargetStatus[[#This Row],[TargetID]],6)=".maxed"
 ),
 0,
 _xlfn.LET(
  _xlpm.sort,
   _xlfn.XLOOKUP(
    tblTargetStatus[[#This Row],[TargetID]],
    tblChecklist[TargetID],
    tblChecklist[PlayerSort],
    0
   ),
  IF(_xlpm.sort=0,500,_xlpm.sort)
 )
)</f>
        <v>500</v>
      </c>
      <c r="S416" t="str" cm="1">
        <f t="array" ref="S41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Accepted, Meet mechanical adventurer in Dungeon 3A</v>
      </c>
      <c r="T416" t="str">
        <f>_xlfn.XLOOKUP(tblTargetStatus[[#This Row],[TargetID]],tblTargets[TargetID],tblTargets[CompletionMethod],"")</f>
        <v>PLAYER</v>
      </c>
      <c r="U416" t="b">
        <f>COUNTIF(
    tblCost[TargetID],
    tblTargetStatus[[#This Row],[TargetID]]
)&gt;0</f>
        <v>0</v>
      </c>
      <c r="V416" s="81" t="str">
        <f>IF(tblTargetStatus[[#This Row],[HasCost]]=FALSE,
"N/A",
_xlfn.XLOOKUP(
tblTargetStatus[[#This Row],[TargetID]],
tblCost[TargetID],
tblCost[FundingPercent],
""
)
)</f>
        <v>N/A</v>
      </c>
      <c r="W416" t="str">
        <f>IF(
COUNTIF(tblCost[TargetID],tblTargetStatus[[#This Row],[TargetID]])=0,
"",
_xlfn.XLOOKUP(
tblTargetStatus[[#This Row],[TargetID]],
tblCost[TargetID],
tblCost[RemainingRequirements],
""
)
)</f>
        <v/>
      </c>
      <c r="X416" s="79" t="str">
        <f>IF(tblTargetStatus[[#This Row],[HasCost]]=FALSE,"N/A",_xlfn.XLOOKUP(
tblTargetStatus[[#This Row],[TargetID]],
tblCost[TargetID],
tblCost[TargetFunded],
TRUE
))</f>
        <v>N/A</v>
      </c>
      <c r="Y416" t="str" cm="1">
        <f t="array" ref="Y416">_xlfn.TEXTJOIN(
", ",
TRUE,
_xlfn._xlws.FILTER(
tblCost[ResourceID]&amp;": "&amp;tblCost[QuantityRequired],
(tblCost[TargetID]=tblTargetStatus[[#This Row],[TargetID]])*
(tblCost[PlayerPaid]=FALSE),
""
)
)</f>
        <v/>
      </c>
      <c r="Z4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6" t="str" cm="1">
        <f t="array" ref="AA41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1</v>
      </c>
    </row>
    <row r="417" spans="1:27">
      <c r="A417" t="s">
        <v>5805</v>
      </c>
      <c r="B417" t="str">
        <f>_xlfn.XLOOKUP(tblTargetStatus[[#This Row],[TargetID]],tblTargets[TargetID],tblTargets[DisplayName],"")</f>
        <v>Deliver Ambrosia to Dark Lady in F3</v>
      </c>
      <c r="C417" t="str">
        <f>IF(tblTargetStatus[[#This Row],[PlayerCompleted]],"COMPLETED",IF(tblTargetStatus[[#This Row],[MissingDependencies]]=0,"READY","BLOCKED"))</f>
        <v>BLOCKED</v>
      </c>
      <c r="D4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7" t="str">
        <f>_xlfn.XLOOKUP(tblTargetStatus[[#This Row],[TargetID]],tblTargets[TargetID],tblTargets[TargetType],"")</f>
        <v>STATE</v>
      </c>
      <c r="F417" t="str">
        <f>_xlfn.XLOOKUP(tblTargetStatus[[#This Row],[TargetID]],tblTargets[TargetID],tblTargets[StateType])</f>
        <v>DELIVER</v>
      </c>
      <c r="G417">
        <f>_xlfn.LET(
_xlpm.id,tblTargetStatus[[#This Row],[TargetID]],
_xlpm.depCount,COUNTIF(tblDependencies[TargetID],_xlpm.id),
_xlpm.objCount,COUNTIF(tblQuestObjectives[QuestTargetID],_xlpm.id),
_xlpm.depCount+_xlpm.objCount
)</f>
        <v>1</v>
      </c>
      <c r="H417">
        <f>tblTargetStatus[[#This Row],[DependencyCount]]</f>
        <v>1</v>
      </c>
      <c r="I417" cm="1">
        <f t="array" ref="I4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7">
        <f>tblTargetStatus[[#This Row],[CompletedDependencyCount]]</f>
        <v>0</v>
      </c>
      <c r="K417" t="b">
        <f>tblTargetStatus[[#This Row],[CompletedDependencies]]=tblTargetStatus[[#This Row],[TotalDependencies]]</f>
        <v>0</v>
      </c>
      <c r="L417">
        <f>tblTargetStatus[[#This Row],[TotalDependencies]]-tblTargetStatus[[#This Row],[CompletedDependencies]]</f>
        <v>1</v>
      </c>
      <c r="M417" t="str" cm="1">
        <f t="array" ref="M4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quest.once_upon_a_forest_chapter_7.accepted</v>
      </c>
      <c r="N417" t="str">
        <f>IF(tblTargetStatus[[#This Row],[FirstMissingDependencyID]]="","",_xlfn.XLOOKUP(tblTargetStatus[[#This Row],[FirstMissingDependencyID]],tblTargets[TargetID],tblTargets[DisplayName],tblTargetStatus[[#This Row],[FirstMissingDependencyID]]))</f>
        <v>Once Upon a Forest Chapter 7 Accepted</v>
      </c>
      <c r="O417" s="2" t="str" cm="1">
        <f t="array" ref="O4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7" t="str">
        <f>IF(tblTargetStatus[[#This Row],[FirstMissingDependencyID]]="","",_xlfn.XLOOKUP(tblTargetStatus[[#This Row],[FirstMissingDependencyID]],tblTargetStatus[TargetID],tblTargetStatus[Status],""))</f>
        <v>BLOCKED</v>
      </c>
      <c r="Q417" t="str">
        <f>IF(
 tblTargetStatus[[#This Row],[Status]]&lt;&gt;"BLOCKED",
 tblTargetStatus[[#This Row],[Status]],
 IF(
  AND(
   tblTargetStatus[[#This Row],[MissingDependencies]]=1,
   tblTargetStatus[[#This Row],[FirstMissingStatus]]="READY"
  ),
  "ONE AWAY",
  "BLOCKED"
 )
)</f>
        <v>BLOCKED</v>
      </c>
      <c r="R417">
        <f>IF(
 OR(
  tblTargetStatus[[#This Row],[StateType]]="CHARACTER",
  RIGHT(tblTargetStatus[[#This Row],[TargetID]],6)=".maxed"
 ),
 0,
 _xlfn.LET(
  _xlpm.sort,
   _xlfn.XLOOKUP(
    tblTargetStatus[[#This Row],[TargetID]],
    tblChecklist[TargetID],
    tblChecklist[PlayerSort],
    0
   ),
  IF(_xlpm.sort=0,500,_xlpm.sort)
 )
)</f>
        <v>500</v>
      </c>
      <c r="S417" t="str" cm="1">
        <f t="array" ref="S41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7 Finished</v>
      </c>
      <c r="T417" t="str">
        <f>_xlfn.XLOOKUP(tblTargetStatus[[#This Row],[TargetID]],tblTargets[TargetID],tblTargets[CompletionMethod],"")</f>
        <v>PLAYER</v>
      </c>
      <c r="U417" t="b">
        <f>COUNTIF(
    tblCost[TargetID],
    tblTargetStatus[[#This Row],[TargetID]]
)&gt;0</f>
        <v>0</v>
      </c>
      <c r="V417" s="81" t="str">
        <f>IF(tblTargetStatus[[#This Row],[HasCost]]=FALSE,
"N/A",
_xlfn.XLOOKUP(
tblTargetStatus[[#This Row],[TargetID]],
tblCost[TargetID],
tblCost[FundingPercent],
""
)
)</f>
        <v>N/A</v>
      </c>
      <c r="W417" t="str">
        <f>IF(
COUNTIF(tblCost[TargetID],tblTargetStatus[[#This Row],[TargetID]])=0,
"",
_xlfn.XLOOKUP(
tblTargetStatus[[#This Row],[TargetID]],
tblCost[TargetID],
tblCost[RemainingRequirements],
""
)
)</f>
        <v/>
      </c>
      <c r="X417" s="79" t="str">
        <f>IF(tblTargetStatus[[#This Row],[HasCost]]=FALSE,"N/A",_xlfn.XLOOKUP(
tblTargetStatus[[#This Row],[TargetID]],
tblCost[TargetID],
tblCost[TargetFunded],
TRUE
))</f>
        <v>N/A</v>
      </c>
      <c r="Y417" t="str" cm="1">
        <f t="array" ref="Y417">_xlfn.TEXTJOIN(
", ",
TRUE,
_xlfn._xlws.FILTER(
tblCost[ResourceID]&amp;": "&amp;tblCost[QuantityRequired],
(tblCost[TargetID]=tblTargetStatus[[#This Row],[TargetID]])*
(tblCost[PlayerPaid]=FALSE),
""
)
)</f>
        <v/>
      </c>
      <c r="Z4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7" t="str" cm="1">
        <f t="array" ref="AA41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18" spans="1:27">
      <c r="A418" t="s">
        <v>5771</v>
      </c>
      <c r="B418" t="str">
        <f>_xlfn.XLOOKUP(tblTargetStatus[[#This Row],[TargetID]],tblTargets[TargetID],tblTargets[DisplayName],"")</f>
        <v>Deliver Balm To Hunter @F2</v>
      </c>
      <c r="C418" t="str">
        <f>IF(tblTargetStatus[[#This Row],[PlayerCompleted]],"COMPLETED",IF(tblTargetStatus[[#This Row],[MissingDependencies]]=0,"READY","BLOCKED"))</f>
        <v>BLOCKED</v>
      </c>
      <c r="D4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8" t="str">
        <f>_xlfn.XLOOKUP(tblTargetStatus[[#This Row],[TargetID]],tblTargets[TargetID],tblTargets[TargetType],"")</f>
        <v>STATE</v>
      </c>
      <c r="F418" t="str">
        <f>_xlfn.XLOOKUP(tblTargetStatus[[#This Row],[TargetID]],tblTargets[TargetID],tblTargets[StateType])</f>
        <v>DELIVER</v>
      </c>
      <c r="G418">
        <f>_xlfn.LET(
_xlpm.id,tblTargetStatus[[#This Row],[TargetID]],
_xlpm.depCount,COUNTIF(tblDependencies[TargetID],_xlpm.id),
_xlpm.objCount,COUNTIF(tblQuestObjectives[QuestTargetID],_xlpm.id),
_xlpm.depCount+_xlpm.objCount
)</f>
        <v>1</v>
      </c>
      <c r="H418">
        <f>tblTargetStatus[[#This Row],[DependencyCount]]</f>
        <v>1</v>
      </c>
      <c r="I418" cm="1">
        <f t="array" ref="I4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8">
        <f>tblTargetStatus[[#This Row],[CompletedDependencyCount]]</f>
        <v>0</v>
      </c>
      <c r="K418" t="b">
        <f>tblTargetStatus[[#This Row],[CompletedDependencies]]=tblTargetStatus[[#This Row],[TotalDependencies]]</f>
        <v>0</v>
      </c>
      <c r="L418">
        <f>tblTargetStatus[[#This Row],[TotalDependencies]]-tblTargetStatus[[#This Row],[CompletedDependencies]]</f>
        <v>1</v>
      </c>
      <c r="M418" t="str" cm="1">
        <f t="array" ref="M4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quest.once_upon_a_forest_chapter_10.accepted</v>
      </c>
      <c r="N418" t="str">
        <f>IF(tblTargetStatus[[#This Row],[FirstMissingDependencyID]]="","",_xlfn.XLOOKUP(tblTargetStatus[[#This Row],[FirstMissingDependencyID]],tblTargets[TargetID],tblTargets[DisplayName],tblTargetStatus[[#This Row],[FirstMissingDependencyID]]))</f>
        <v>Once Upon a Forest Chapter 10 Accepted</v>
      </c>
      <c r="O418" t="str" cm="1">
        <f t="array" ref="O4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8" t="str">
        <f>IF(tblTargetStatus[[#This Row],[FirstMissingDependencyID]]="","",_xlfn.XLOOKUP(tblTargetStatus[[#This Row],[FirstMissingDependencyID]],tblTargetStatus[TargetID],tblTargetStatus[Status],""))</f>
        <v>BLOCKED</v>
      </c>
      <c r="Q418" t="str">
        <f>IF(
 tblTargetStatus[[#This Row],[Status]]&lt;&gt;"BLOCKED",
 tblTargetStatus[[#This Row],[Status]],
 IF(
  AND(
   tblTargetStatus[[#This Row],[MissingDependencies]]=1,
   tblTargetStatus[[#This Row],[FirstMissingStatus]]="READY"
  ),
  "ONE AWAY",
  "BLOCKED"
 )
)</f>
        <v>BLOCKED</v>
      </c>
      <c r="R418">
        <f>IF(
 OR(
  tblTargetStatus[[#This Row],[StateType]]="CHARACTER",
  RIGHT(tblTargetStatus[[#This Row],[TargetID]],6)=".maxed"
 ),
 0,
 _xlfn.LET(
  _xlpm.sort,
   _xlfn.XLOOKUP(
    tblTargetStatus[[#This Row],[TargetID]],
    tblChecklist[TargetID],
    tblChecklist[PlayerSort],
    0
   ),
  IF(_xlpm.sort=0,500,_xlpm.sort)
 )
)</f>
        <v>500</v>
      </c>
      <c r="S418" t="str" cm="1">
        <f t="array" ref="S41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10 Finished</v>
      </c>
      <c r="T418" t="str">
        <f>_xlfn.XLOOKUP(tblTargetStatus[[#This Row],[TargetID]],tblTargets[TargetID],tblTargets[CompletionMethod],"")</f>
        <v>PLAYER</v>
      </c>
      <c r="U418" t="b">
        <f>COUNTIF(
    tblCost[TargetID],
    tblTargetStatus[[#This Row],[TargetID]]
)&gt;0</f>
        <v>0</v>
      </c>
      <c r="V418" s="81" t="str">
        <f>IF(tblTargetStatus[[#This Row],[HasCost]]=FALSE,
"N/A",
_xlfn.XLOOKUP(
tblTargetStatus[[#This Row],[TargetID]],
tblCost[TargetID],
tblCost[FundingPercent],
""
)
)</f>
        <v>N/A</v>
      </c>
      <c r="W418" t="str">
        <f>IF(
COUNTIF(tblCost[TargetID],tblTargetStatus[[#This Row],[TargetID]])=0,
"",
_xlfn.XLOOKUP(
tblTargetStatus[[#This Row],[TargetID]],
tblCost[TargetID],
tblCost[RemainingRequirements],
""
)
)</f>
        <v/>
      </c>
      <c r="X418" s="79" t="str">
        <f>IF(tblTargetStatus[[#This Row],[HasCost]]=FALSE,"N/A",_xlfn.XLOOKUP(
tblTargetStatus[[#This Row],[TargetID]],
tblCost[TargetID],
tblCost[TargetFunded],
TRUE
))</f>
        <v>N/A</v>
      </c>
      <c r="Y418" t="str" cm="1">
        <f t="array" ref="Y418">_xlfn.TEXTJOIN(
", ",
TRUE,
_xlfn._xlws.FILTER(
tblCost[ResourceID]&amp;": "&amp;tblCost[QuantityRequired],
(tblCost[TargetID]=tblTargetStatus[[#This Row],[TargetID]])*
(tblCost[PlayerPaid]=FALSE),
""
)
)</f>
        <v/>
      </c>
      <c r="Z4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8" t="str" cm="1">
        <f t="array" ref="AA41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19" spans="1:27">
      <c r="A419" t="s">
        <v>5923</v>
      </c>
      <c r="B419" t="str">
        <f>_xlfn.XLOOKUP(tblTargetStatus[[#This Row],[TargetID]],tblTargets[TargetID],tblTargets[DisplayName],"")</f>
        <v>Deliver Bedroll to  4B </v>
      </c>
      <c r="C419" t="str">
        <f>IF(tblTargetStatus[[#This Row],[PlayerCompleted]],"COMPLETED",IF(tblTargetStatus[[#This Row],[MissingDependencies]]=0,"READY","BLOCKED"))</f>
        <v>BLOCKED</v>
      </c>
      <c r="D4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9" t="str">
        <f>_xlfn.XLOOKUP(tblTargetStatus[[#This Row],[TargetID]],tblTargets[TargetID],tblTargets[TargetType],"")</f>
        <v>STATE</v>
      </c>
      <c r="F419" t="str">
        <f>_xlfn.XLOOKUP(tblTargetStatus[[#This Row],[TargetID]],tblTargets[TargetID],tblTargets[StateType])</f>
        <v>DELIVER</v>
      </c>
      <c r="G419">
        <f>_xlfn.LET(
_xlpm.id,tblTargetStatus[[#This Row],[TargetID]],
_xlpm.depCount,COUNTIF(tblDependencies[TargetID],_xlpm.id),
_xlpm.objCount,COUNTIF(tblQuestObjectives[QuestTargetID],_xlpm.id),
_xlpm.depCount+_xlpm.objCount
)</f>
        <v>1</v>
      </c>
      <c r="H419">
        <f>tblTargetStatus[[#This Row],[DependencyCount]]</f>
        <v>1</v>
      </c>
      <c r="I419" cm="1">
        <f t="array" ref="I4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9">
        <f>tblTargetStatus[[#This Row],[CompletedDependencyCount]]</f>
        <v>0</v>
      </c>
      <c r="K419" t="b">
        <f>tblTargetStatus[[#This Row],[CompletedDependencies]]=tblTargetStatus[[#This Row],[TotalDependencies]]</f>
        <v>0</v>
      </c>
      <c r="L419">
        <f>tblTargetStatus[[#This Row],[TotalDependencies]]-tblTargetStatus[[#This Row],[CompletedDependencies]]</f>
        <v>1</v>
      </c>
      <c r="M419" t="str" cm="1">
        <f t="array" ref="M4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19" t="str">
        <f>IF(tblTargetStatus[[#This Row],[FirstMissingDependencyID]]="","",_xlfn.XLOOKUP(tblTargetStatus[[#This Row],[FirstMissingDependencyID]],tblTargets[TargetID],tblTargets[DisplayName],tblTargetStatus[[#This Row],[FirstMissingDependencyID]]))</f>
        <v>Ahead of Time Chapter 1 Accepted</v>
      </c>
      <c r="O419" s="2" t="str" cm="1">
        <f t="array" ref="O4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9" t="str">
        <f>IF(tblTargetStatus[[#This Row],[FirstMissingDependencyID]]="","",_xlfn.XLOOKUP(tblTargetStatus[[#This Row],[FirstMissingDependencyID]],tblTargetStatus[TargetID],tblTargetStatus[Status],""))</f>
        <v>BLOCKED</v>
      </c>
      <c r="Q419" t="str">
        <f>IF(
 tblTargetStatus[[#This Row],[Status]]&lt;&gt;"BLOCKED",
 tblTargetStatus[[#This Row],[Status]],
 IF(
  AND(
   tblTargetStatus[[#This Row],[MissingDependencies]]=1,
   tblTargetStatus[[#This Row],[FirstMissingStatus]]="READY"
  ),
  "ONE AWAY",
  "BLOCKED"
 )
)</f>
        <v>BLOCKED</v>
      </c>
      <c r="R419">
        <f>IF(
 OR(
  tblTargetStatus[[#This Row],[StateType]]="CHARACTER",
  RIGHT(tblTargetStatus[[#This Row],[TargetID]],6)=".maxed"
 ),
 0,
 _xlfn.LET(
  _xlpm.sort,
   _xlfn.XLOOKUP(
    tblTargetStatus[[#This Row],[TargetID]],
    tblChecklist[TargetID],
    tblChecklist[PlayerSort],
    0
   ),
  IF(_xlpm.sort=0,500,_xlpm.sort)
 )
)</f>
        <v>500</v>
      </c>
      <c r="S419" t="str" cm="1">
        <f t="array" ref="S41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Finished</v>
      </c>
      <c r="T419" t="str">
        <f>_xlfn.XLOOKUP(tblTargetStatus[[#This Row],[TargetID]],tblTargets[TargetID],tblTargets[CompletionMethod],"")</f>
        <v>PLAYER</v>
      </c>
      <c r="U419" t="b">
        <f>COUNTIF(
    tblCost[TargetID],
    tblTargetStatus[[#This Row],[TargetID]]
)&gt;0</f>
        <v>0</v>
      </c>
      <c r="V419" s="81" t="str">
        <f>IF(tblTargetStatus[[#This Row],[HasCost]]=FALSE,
"N/A",
_xlfn.XLOOKUP(
tblTargetStatus[[#This Row],[TargetID]],
tblCost[TargetID],
tblCost[FundingPercent],
""
)
)</f>
        <v>N/A</v>
      </c>
      <c r="W419" t="str">
        <f>IF(
COUNTIF(tblCost[TargetID],tblTargetStatus[[#This Row],[TargetID]])=0,
"",
_xlfn.XLOOKUP(
tblTargetStatus[[#This Row],[TargetID]],
tblCost[TargetID],
tblCost[RemainingRequirements],
""
)
)</f>
        <v/>
      </c>
      <c r="X419" s="79" t="str">
        <f>IF(tblTargetStatus[[#This Row],[HasCost]]=FALSE,"N/A",_xlfn.XLOOKUP(
tblTargetStatus[[#This Row],[TargetID]],
tblCost[TargetID],
tblCost[TargetFunded],
TRUE
))</f>
        <v>N/A</v>
      </c>
      <c r="Y419" t="str" cm="1">
        <f t="array" ref="Y419">_xlfn.TEXTJOIN(
", ",
TRUE,
_xlfn._xlws.FILTER(
tblCost[ResourceID]&amp;": "&amp;tblCost[QuantityRequired],
(tblCost[TargetID]=tblTargetStatus[[#This Row],[TargetID]])*
(tblCost[PlayerPaid]=FALSE),
""
)
)</f>
        <v/>
      </c>
      <c r="Z4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9" t="str" cm="1">
        <f t="array" ref="AA41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0" spans="1:27">
      <c r="A420" t="s">
        <v>5680</v>
      </c>
      <c r="B420" t="str">
        <f>_xlfn.XLOOKUP(tblTargetStatus[[#This Row],[TargetID]],tblTargets[TargetID],tblTargets[DisplayName],"")</f>
        <v>Deliver Cheese to Rat in 6B</v>
      </c>
      <c r="C420" t="str">
        <f>IF(tblTargetStatus[[#This Row],[PlayerCompleted]],"COMPLETED",IF(tblTargetStatus[[#This Row],[MissingDependencies]]=0,"READY","BLOCKED"))</f>
        <v>BLOCKED</v>
      </c>
      <c r="D4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0" t="str">
        <f>_xlfn.XLOOKUP(tblTargetStatus[[#This Row],[TargetID]],tblTargets[TargetID],tblTargets[TargetType],"")</f>
        <v>STATE</v>
      </c>
      <c r="F420" t="str">
        <f>_xlfn.XLOOKUP(tblTargetStatus[[#This Row],[TargetID]],tblTargets[TargetID],tblTargets[StateType])</f>
        <v>DELIVER</v>
      </c>
      <c r="G420">
        <f>_xlfn.LET(
_xlpm.id,tblTargetStatus[[#This Row],[TargetID]],
_xlpm.depCount,COUNTIF(tblDependencies[TargetID],_xlpm.id),
_xlpm.objCount,COUNTIF(tblQuestObjectives[QuestTargetID],_xlpm.id),
_xlpm.depCount+_xlpm.objCount
)</f>
        <v>1</v>
      </c>
      <c r="H420">
        <f>tblTargetStatus[[#This Row],[DependencyCount]]</f>
        <v>1</v>
      </c>
      <c r="I420" cm="1">
        <f t="array" ref="I4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0">
        <f>tblTargetStatus[[#This Row],[CompletedDependencyCount]]</f>
        <v>0</v>
      </c>
      <c r="K420" t="b">
        <f>tblTargetStatus[[#This Row],[CompletedDependencies]]=tblTargetStatus[[#This Row],[TotalDependencies]]</f>
        <v>0</v>
      </c>
      <c r="L420">
        <f>tblTargetStatus[[#This Row],[TotalDependencies]]-tblTargetStatus[[#This Row],[CompletedDependencies]]</f>
        <v>1</v>
      </c>
      <c r="M420" t="str" cm="1">
        <f t="array" ref="M4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quest.the_ordinary_days_of_an_adventurer_chapter_6.accepted</v>
      </c>
      <c r="N420" t="str">
        <f>IF(tblTargetStatus[[#This Row],[FirstMissingDependencyID]]="","",_xlfn.XLOOKUP(tblTargetStatus[[#This Row],[FirstMissingDependencyID]],tblTargets[TargetID],tblTargets[DisplayName],tblTargetStatus[[#This Row],[FirstMissingDependencyID]]))</f>
        <v>The Ordinary Days of an Adventurer Chapter 6 Accepted</v>
      </c>
      <c r="O420" s="2" t="str" cm="1">
        <f t="array" ref="O4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0" t="str">
        <f>IF(tblTargetStatus[[#This Row],[FirstMissingDependencyID]]="","",_xlfn.XLOOKUP(tblTargetStatus[[#This Row],[FirstMissingDependencyID]],tblTargetStatus[TargetID],tblTargetStatus[Status],""))</f>
        <v>BLOCKED</v>
      </c>
      <c r="Q420" t="str">
        <f>IF(
 tblTargetStatus[[#This Row],[Status]]&lt;&gt;"BLOCKED",
 tblTargetStatus[[#This Row],[Status]],
 IF(
  AND(
   tblTargetStatus[[#This Row],[MissingDependencies]]=1,
   tblTargetStatus[[#This Row],[FirstMissingStatus]]="READY"
  ),
  "ONE AWAY",
  "BLOCKED"
 )
)</f>
        <v>BLOCKED</v>
      </c>
      <c r="R420">
        <f>IF(
 OR(
  tblTargetStatus[[#This Row],[StateType]]="CHARACTER",
  RIGHT(tblTargetStatus[[#This Row],[TargetID]],6)=".maxed"
 ),
 0,
 _xlfn.LET(
  _xlpm.sort,
   _xlfn.XLOOKUP(
    tblTargetStatus[[#This Row],[TargetID]],
    tblChecklist[TargetID],
    tblChecklist[PlayerSort],
    0
   ),
  IF(_xlpm.sort=0,500,_xlpm.sort)
 )
)</f>
        <v>500</v>
      </c>
      <c r="S420" t="str" cm="1">
        <f t="array" ref="S42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6 Finished</v>
      </c>
      <c r="T420" t="str">
        <f>_xlfn.XLOOKUP(tblTargetStatus[[#This Row],[TargetID]],tblTargets[TargetID],tblTargets[CompletionMethod],"")</f>
        <v>PLAYER</v>
      </c>
      <c r="U420" t="b">
        <f>COUNTIF(
    tblCost[TargetID],
    tblTargetStatus[[#This Row],[TargetID]]
)&gt;0</f>
        <v>0</v>
      </c>
      <c r="V420" s="81" t="str">
        <f>IF(tblTargetStatus[[#This Row],[HasCost]]=FALSE,
"N/A",
_xlfn.XLOOKUP(
tblTargetStatus[[#This Row],[TargetID]],
tblCost[TargetID],
tblCost[FundingPercent],
""
)
)</f>
        <v>N/A</v>
      </c>
      <c r="W420" t="str">
        <f>IF(
COUNTIF(tblCost[TargetID],tblTargetStatus[[#This Row],[TargetID]])=0,
"",
_xlfn.XLOOKUP(
tblTargetStatus[[#This Row],[TargetID]],
tblCost[TargetID],
tblCost[RemainingRequirements],
""
)
)</f>
        <v/>
      </c>
      <c r="X420" s="79" t="str">
        <f>IF(tblTargetStatus[[#This Row],[HasCost]]=FALSE,"N/A",_xlfn.XLOOKUP(
tblTargetStatus[[#This Row],[TargetID]],
tblCost[TargetID],
tblCost[TargetFunded],
TRUE
))</f>
        <v>N/A</v>
      </c>
      <c r="Y420" t="str" cm="1">
        <f t="array" ref="Y420">_xlfn.TEXTJOIN(
", ",
TRUE,
_xlfn._xlws.FILTER(
tblCost[ResourceID]&amp;": "&amp;tblCost[QuantityRequired],
(tblCost[TargetID]=tblTargetStatus[[#This Row],[TargetID]])*
(tblCost[PlayerPaid]=FALSE),
""
)
)</f>
        <v/>
      </c>
      <c r="Z4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0" t="str" cm="1">
        <f t="array" ref="AA42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1" spans="1:27">
      <c r="A421" t="s">
        <v>5800</v>
      </c>
      <c r="B421" t="str">
        <f>_xlfn.XLOOKUP(tblTargetStatus[[#This Row],[TargetID]],tblTargets[TargetID],tblTargets[DisplayName],"")</f>
        <v>Deliver Horn to  2C </v>
      </c>
      <c r="C421" t="str">
        <f>IF(tblTargetStatus[[#This Row],[PlayerCompleted]],"COMPLETED",IF(tblTargetStatus[[#This Row],[MissingDependencies]]=0,"READY","BLOCKED"))</f>
        <v>BLOCKED</v>
      </c>
      <c r="D4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1" t="str">
        <f>_xlfn.XLOOKUP(tblTargetStatus[[#This Row],[TargetID]],tblTargets[TargetID],tblTargets[TargetType],"")</f>
        <v>STATE</v>
      </c>
      <c r="F421" t="str">
        <f>_xlfn.XLOOKUP(tblTargetStatus[[#This Row],[TargetID]],tblTargets[TargetID],tblTargets[StateType])</f>
        <v>DELIVER</v>
      </c>
      <c r="G421">
        <f>_xlfn.LET(
_xlpm.id,tblTargetStatus[[#This Row],[TargetID]],
_xlpm.depCount,COUNTIF(tblDependencies[TargetID],_xlpm.id),
_xlpm.objCount,COUNTIF(tblQuestObjectives[QuestTargetID],_xlpm.id),
_xlpm.depCount+_xlpm.objCount
)</f>
        <v>1</v>
      </c>
      <c r="H421">
        <f>tblTargetStatus[[#This Row],[DependencyCount]]</f>
        <v>1</v>
      </c>
      <c r="I421" cm="1">
        <f t="array" ref="I4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1">
        <f>tblTargetStatus[[#This Row],[CompletedDependencyCount]]</f>
        <v>0</v>
      </c>
      <c r="K421" t="b">
        <f>tblTargetStatus[[#This Row],[CompletedDependencies]]=tblTargetStatus[[#This Row],[TotalDependencies]]</f>
        <v>0</v>
      </c>
      <c r="L421">
        <f>tblTargetStatus[[#This Row],[TotalDependencies]]-tblTargetStatus[[#This Row],[CompletedDependencies]]</f>
        <v>1</v>
      </c>
      <c r="M421" t="str" cm="1">
        <f t="array" ref="M4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1" t="str">
        <f>IF(tblTargetStatus[[#This Row],[FirstMissingDependencyID]]="","",_xlfn.XLOOKUP(tblTargetStatus[[#This Row],[FirstMissingDependencyID]],tblTargets[TargetID],tblTargets[DisplayName],tblTargetStatus[[#This Row],[FirstMissingDependencyID]]))</f>
        <v>Ahead of Time Chapter 1 Accepted</v>
      </c>
      <c r="O421" s="2" t="str" cm="1">
        <f t="array" ref="O4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1" t="str">
        <f>IF(tblTargetStatus[[#This Row],[FirstMissingDependencyID]]="","",_xlfn.XLOOKUP(tblTargetStatus[[#This Row],[FirstMissingDependencyID]],tblTargetStatus[TargetID],tblTargetStatus[Status],""))</f>
        <v>BLOCKED</v>
      </c>
      <c r="Q421" t="str">
        <f>IF(
 tblTargetStatus[[#This Row],[Status]]&lt;&gt;"BLOCKED",
 tblTargetStatus[[#This Row],[Status]],
 IF(
  AND(
   tblTargetStatus[[#This Row],[MissingDependencies]]=1,
   tblTargetStatus[[#This Row],[FirstMissingStatus]]="READY"
  ),
  "ONE AWAY",
  "BLOCKED"
 )
)</f>
        <v>BLOCKED</v>
      </c>
      <c r="R421">
        <f>IF(
 OR(
  tblTargetStatus[[#This Row],[StateType]]="CHARACTER",
  RIGHT(tblTargetStatus[[#This Row],[TargetID]],6)=".maxed"
 ),
 0,
 _xlfn.LET(
  _xlpm.sort,
   _xlfn.XLOOKUP(
    tblTargetStatus[[#This Row],[TargetID]],
    tblChecklist[TargetID],
    tblChecklist[PlayerSort],
    0
   ),
  IF(_xlpm.sort=0,500,_xlpm.sort)
 )
)</f>
        <v>500</v>
      </c>
      <c r="S421" t="str" cm="1">
        <f t="array" ref="S42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Finished</v>
      </c>
      <c r="T421" t="str">
        <f>_xlfn.XLOOKUP(tblTargetStatus[[#This Row],[TargetID]],tblTargets[TargetID],tblTargets[CompletionMethod],"")</f>
        <v>PLAYER</v>
      </c>
      <c r="U421" t="b">
        <f>COUNTIF(
    tblCost[TargetID],
    tblTargetStatus[[#This Row],[TargetID]]
)&gt;0</f>
        <v>0</v>
      </c>
      <c r="V421" s="81" t="str">
        <f>IF(tblTargetStatus[[#This Row],[HasCost]]=FALSE,
"N/A",
_xlfn.XLOOKUP(
tblTargetStatus[[#This Row],[TargetID]],
tblCost[TargetID],
tblCost[FundingPercent],
""
)
)</f>
        <v>N/A</v>
      </c>
      <c r="W421" t="str">
        <f>IF(
COUNTIF(tblCost[TargetID],tblTargetStatus[[#This Row],[TargetID]])=0,
"",
_xlfn.XLOOKUP(
tblTargetStatus[[#This Row],[TargetID]],
tblCost[TargetID],
tblCost[RemainingRequirements],
""
)
)</f>
        <v/>
      </c>
      <c r="X421" s="79" t="str">
        <f>IF(tblTargetStatus[[#This Row],[HasCost]]=FALSE,"N/A",_xlfn.XLOOKUP(
tblTargetStatus[[#This Row],[TargetID]],
tblCost[TargetID],
tblCost[TargetFunded],
TRUE
))</f>
        <v>N/A</v>
      </c>
      <c r="Y421" t="str" cm="1">
        <f t="array" ref="Y421">_xlfn.TEXTJOIN(
", ",
TRUE,
_xlfn._xlws.FILTER(
tblCost[ResourceID]&amp;": "&amp;tblCost[QuantityRequired],
(tblCost[TargetID]=tblTargetStatus[[#This Row],[TargetID]])*
(tblCost[PlayerPaid]=FALSE),
""
)
)</f>
        <v/>
      </c>
      <c r="Z4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1" t="str" cm="1">
        <f t="array" ref="AA42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2" spans="1:27">
      <c r="A422" t="s">
        <v>5768</v>
      </c>
      <c r="B422" t="str">
        <f>_xlfn.XLOOKUP(tblTargetStatus[[#This Row],[TargetID]],tblTargets[TargetID],tblTargets[DisplayName],"")</f>
        <v>Deliver Inarizushi to 4B</v>
      </c>
      <c r="C422" t="str">
        <f>IF(tblTargetStatus[[#This Row],[PlayerCompleted]],"COMPLETED",IF(tblTargetStatus[[#This Row],[MissingDependencies]]=0,"READY","BLOCKED"))</f>
        <v>BLOCKED</v>
      </c>
      <c r="D4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2" t="str">
        <f>_xlfn.XLOOKUP(tblTargetStatus[[#This Row],[TargetID]],tblTargets[TargetID],tblTargets[TargetType],"")</f>
        <v>STATE</v>
      </c>
      <c r="F422" t="str">
        <f>_xlfn.XLOOKUP(tblTargetStatus[[#This Row],[TargetID]],tblTargets[TargetID],tblTargets[StateType])</f>
        <v>DELIVER</v>
      </c>
      <c r="G422">
        <f>_xlfn.LET(
_xlpm.id,tblTargetStatus[[#This Row],[TargetID]],
_xlpm.depCount,COUNTIF(tblDependencies[TargetID],_xlpm.id),
_xlpm.objCount,COUNTIF(tblQuestObjectives[QuestTargetID],_xlpm.id),
_xlpm.depCount+_xlpm.objCount
)</f>
        <v>1</v>
      </c>
      <c r="H422">
        <f>tblTargetStatus[[#This Row],[DependencyCount]]</f>
        <v>1</v>
      </c>
      <c r="I422" cm="1">
        <f t="array" ref="I4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2">
        <f>tblTargetStatus[[#This Row],[CompletedDependencyCount]]</f>
        <v>0</v>
      </c>
      <c r="K422" t="b">
        <f>tblTargetStatus[[#This Row],[CompletedDependencies]]=tblTargetStatus[[#This Row],[TotalDependencies]]</f>
        <v>0</v>
      </c>
      <c r="L422">
        <f>tblTargetStatus[[#This Row],[TotalDependencies]]-tblTargetStatus[[#This Row],[CompletedDependencies]]</f>
        <v>1</v>
      </c>
      <c r="M422" t="str" cm="1">
        <f t="array" ref="M4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quest.magic_beans.accepted</v>
      </c>
      <c r="N422" t="str">
        <f>IF(tblTargetStatus[[#This Row],[FirstMissingDependencyID]]="","",_xlfn.XLOOKUP(tblTargetStatus[[#This Row],[FirstMissingDependencyID]],tblTargets[TargetID],tblTargets[DisplayName],tblTargetStatus[[#This Row],[FirstMissingDependencyID]]))</f>
        <v>Magic Beans Accepted</v>
      </c>
      <c r="O422" s="2" t="str" cm="1">
        <f t="array" ref="O4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2" t="str">
        <f>IF(tblTargetStatus[[#This Row],[FirstMissingDependencyID]]="","",_xlfn.XLOOKUP(tblTargetStatus[[#This Row],[FirstMissingDependencyID]],tblTargetStatus[TargetID],tblTargetStatus[Status],""))</f>
        <v>BLOCKED</v>
      </c>
      <c r="Q422" t="str">
        <f>IF(
 tblTargetStatus[[#This Row],[Status]]&lt;&gt;"BLOCKED",
 tblTargetStatus[[#This Row],[Status]],
 IF(
  AND(
   tblTargetStatus[[#This Row],[MissingDependencies]]=1,
   tblTargetStatus[[#This Row],[FirstMissingStatus]]="READY"
  ),
  "ONE AWAY",
  "BLOCKED"
 )
)</f>
        <v>BLOCKED</v>
      </c>
      <c r="R422">
        <f>IF(
 OR(
  tblTargetStatus[[#This Row],[StateType]]="CHARACTER",
  RIGHT(tblTargetStatus[[#This Row],[TargetID]],6)=".maxed"
 ),
 0,
 _xlfn.LET(
  _xlpm.sort,
   _xlfn.XLOOKUP(
    tblTargetStatus[[#This Row],[TargetID]],
    tblChecklist[TargetID],
    tblChecklist[PlayerSort],
    0
   ),
  IF(_xlpm.sort=0,500,_xlpm.sort)
 )
)</f>
        <v>500</v>
      </c>
      <c r="S422" t="str" cm="1">
        <f t="array" ref="S42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Magic Beans Finished</v>
      </c>
      <c r="T422" t="str">
        <f>_xlfn.XLOOKUP(tblTargetStatus[[#This Row],[TargetID]],tblTargets[TargetID],tblTargets[CompletionMethod],"")</f>
        <v>PLAYER</v>
      </c>
      <c r="U422" t="b">
        <f>COUNTIF(
    tblCost[TargetID],
    tblTargetStatus[[#This Row],[TargetID]]
)&gt;0</f>
        <v>0</v>
      </c>
      <c r="V422" s="81" t="str">
        <f>IF(tblTargetStatus[[#This Row],[HasCost]]=FALSE,
"N/A",
_xlfn.XLOOKUP(
tblTargetStatus[[#This Row],[TargetID]],
tblCost[TargetID],
tblCost[FundingPercent],
""
)
)</f>
        <v>N/A</v>
      </c>
      <c r="W422" t="str">
        <f>IF(
COUNTIF(tblCost[TargetID],tblTargetStatus[[#This Row],[TargetID]])=0,
"",
_xlfn.XLOOKUP(
tblTargetStatus[[#This Row],[TargetID]],
tblCost[TargetID],
tblCost[RemainingRequirements],
""
)
)</f>
        <v/>
      </c>
      <c r="X422" s="79" t="str">
        <f>IF(tblTargetStatus[[#This Row],[HasCost]]=FALSE,"N/A",_xlfn.XLOOKUP(
tblTargetStatus[[#This Row],[TargetID]],
tblCost[TargetID],
tblCost[TargetFunded],
TRUE
))</f>
        <v>N/A</v>
      </c>
      <c r="Y422" t="str" cm="1">
        <f t="array" ref="Y422">_xlfn.TEXTJOIN(
", ",
TRUE,
_xlfn._xlws.FILTER(
tblCost[ResourceID]&amp;": "&amp;tblCost[QuantityRequired],
(tblCost[TargetID]=tblTargetStatus[[#This Row],[TargetID]])*
(tblCost[PlayerPaid]=FALSE),
""
)
)</f>
        <v/>
      </c>
      <c r="Z4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2" t="str" cm="1">
        <f t="array" ref="AA42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3" spans="1:27">
      <c r="A423" t="s">
        <v>5801</v>
      </c>
      <c r="B423" t="str">
        <f>_xlfn.XLOOKUP(tblTargetStatus[[#This Row],[TargetID]],tblTargets[TargetID],tblTargets[DisplayName],"")</f>
        <v>Deliver Pizza Diavola to  5B </v>
      </c>
      <c r="C423" t="str">
        <f>IF(tblTargetStatus[[#This Row],[PlayerCompleted]],"COMPLETED",IF(tblTargetStatus[[#This Row],[MissingDependencies]]=0,"READY","BLOCKED"))</f>
        <v>BLOCKED</v>
      </c>
      <c r="D4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3" t="str">
        <f>_xlfn.XLOOKUP(tblTargetStatus[[#This Row],[TargetID]],tblTargets[TargetID],tblTargets[TargetType],"")</f>
        <v>STATE</v>
      </c>
      <c r="F423" t="str">
        <f>_xlfn.XLOOKUP(tblTargetStatus[[#This Row],[TargetID]],tblTargets[TargetID],tblTargets[StateType])</f>
        <v>DELIVER</v>
      </c>
      <c r="G423">
        <f>_xlfn.LET(
_xlpm.id,tblTargetStatus[[#This Row],[TargetID]],
_xlpm.depCount,COUNTIF(tblDependencies[TargetID],_xlpm.id),
_xlpm.objCount,COUNTIF(tblQuestObjectives[QuestTargetID],_xlpm.id),
_xlpm.depCount+_xlpm.objCount
)</f>
        <v>1</v>
      </c>
      <c r="H423">
        <f>tblTargetStatus[[#This Row],[DependencyCount]]</f>
        <v>1</v>
      </c>
      <c r="I423" cm="1">
        <f t="array" ref="I4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3">
        <f>tblTargetStatus[[#This Row],[CompletedDependencyCount]]</f>
        <v>0</v>
      </c>
      <c r="K423" t="b">
        <f>tblTargetStatus[[#This Row],[CompletedDependencies]]=tblTargetStatus[[#This Row],[TotalDependencies]]</f>
        <v>0</v>
      </c>
      <c r="L423">
        <f>tblTargetStatus[[#This Row],[TotalDependencies]]-tblTargetStatus[[#This Row],[CompletedDependencies]]</f>
        <v>1</v>
      </c>
      <c r="M423" t="str" cm="1">
        <f t="array" ref="M4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3" t="str">
        <f>IF(tblTargetStatus[[#This Row],[FirstMissingDependencyID]]="","",_xlfn.XLOOKUP(tblTargetStatus[[#This Row],[FirstMissingDependencyID]],tblTargets[TargetID],tblTargets[DisplayName],tblTargetStatus[[#This Row],[FirstMissingDependencyID]]))</f>
        <v>Ahead of Time Chapter 1 Accepted</v>
      </c>
      <c r="O423" s="2" t="str" cm="1">
        <f t="array" ref="O4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3" t="str">
        <f>IF(tblTargetStatus[[#This Row],[FirstMissingDependencyID]]="","",_xlfn.XLOOKUP(tblTargetStatus[[#This Row],[FirstMissingDependencyID]],tblTargetStatus[TargetID],tblTargetStatus[Status],""))</f>
        <v>BLOCKED</v>
      </c>
      <c r="Q423" t="str">
        <f>IF(
 tblTargetStatus[[#This Row],[Status]]&lt;&gt;"BLOCKED",
 tblTargetStatus[[#This Row],[Status]],
 IF(
  AND(
   tblTargetStatus[[#This Row],[MissingDependencies]]=1,
   tblTargetStatus[[#This Row],[FirstMissingStatus]]="READY"
  ),
  "ONE AWAY",
  "BLOCKED"
 )
)</f>
        <v>BLOCKED</v>
      </c>
      <c r="R423">
        <f>IF(
 OR(
  tblTargetStatus[[#This Row],[StateType]]="CHARACTER",
  RIGHT(tblTargetStatus[[#This Row],[TargetID]],6)=".maxed"
 ),
 0,
 _xlfn.LET(
  _xlpm.sort,
   _xlfn.XLOOKUP(
    tblTargetStatus[[#This Row],[TargetID]],
    tblChecklist[TargetID],
    tblChecklist[PlayerSort],
    0
   ),
  IF(_xlpm.sort=0,500,_xlpm.sort)
 )
)</f>
        <v>500</v>
      </c>
      <c r="S423" t="str" cm="1">
        <f t="array" ref="S42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Finished</v>
      </c>
      <c r="T423" t="str">
        <f>_xlfn.XLOOKUP(tblTargetStatus[[#This Row],[TargetID]],tblTargets[TargetID],tblTargets[CompletionMethod],"")</f>
        <v>PLAYER</v>
      </c>
      <c r="U423" t="b">
        <f>COUNTIF(
    tblCost[TargetID],
    tblTargetStatus[[#This Row],[TargetID]]
)&gt;0</f>
        <v>0</v>
      </c>
      <c r="V423" s="81" t="str">
        <f>IF(tblTargetStatus[[#This Row],[HasCost]]=FALSE,
"N/A",
_xlfn.XLOOKUP(
tblTargetStatus[[#This Row],[TargetID]],
tblCost[TargetID],
tblCost[FundingPercent],
""
)
)</f>
        <v>N/A</v>
      </c>
      <c r="W423" t="str">
        <f>IF(
COUNTIF(tblCost[TargetID],tblTargetStatus[[#This Row],[TargetID]])=0,
"",
_xlfn.XLOOKUP(
tblTargetStatus[[#This Row],[TargetID]],
tblCost[TargetID],
tblCost[RemainingRequirements],
""
)
)</f>
        <v/>
      </c>
      <c r="X423" s="79" t="str">
        <f>IF(tblTargetStatus[[#This Row],[HasCost]]=FALSE,"N/A",_xlfn.XLOOKUP(
tblTargetStatus[[#This Row],[TargetID]],
tblCost[TargetID],
tblCost[TargetFunded],
TRUE
))</f>
        <v>N/A</v>
      </c>
      <c r="Y423" t="str" cm="1">
        <f t="array" ref="Y423">_xlfn.TEXTJOIN(
", ",
TRUE,
_xlfn._xlws.FILTER(
tblCost[ResourceID]&amp;": "&amp;tblCost[QuantityRequired],
(tblCost[TargetID]=tblTargetStatus[[#This Row],[TargetID]])*
(tblCost[PlayerPaid]=FALSE),
""
)
)</f>
        <v/>
      </c>
      <c r="Z4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3" t="str" cm="1">
        <f t="array" ref="AA42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4" spans="1:27">
      <c r="A424" t="s">
        <v>5802</v>
      </c>
      <c r="B424" t="str">
        <f>_xlfn.XLOOKUP(tblTargetStatus[[#This Row],[TargetID]],tblTargets[TargetID],tblTargets[DisplayName],"")</f>
        <v>Deliver Pizza Diavola to  5C </v>
      </c>
      <c r="C424" t="str">
        <f>IF(tblTargetStatus[[#This Row],[PlayerCompleted]],"COMPLETED",IF(tblTargetStatus[[#This Row],[MissingDependencies]]=0,"READY","BLOCKED"))</f>
        <v>BLOCKED</v>
      </c>
      <c r="D4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4" t="str">
        <f>_xlfn.XLOOKUP(tblTargetStatus[[#This Row],[TargetID]],tblTargets[TargetID],tblTargets[TargetType],"")</f>
        <v>STATE</v>
      </c>
      <c r="F424" t="str">
        <f>_xlfn.XLOOKUP(tblTargetStatus[[#This Row],[TargetID]],tblTargets[TargetID],tblTargets[StateType])</f>
        <v>DELIVER</v>
      </c>
      <c r="G424">
        <f>_xlfn.LET(
_xlpm.id,tblTargetStatus[[#This Row],[TargetID]],
_xlpm.depCount,COUNTIF(tblDependencies[TargetID],_xlpm.id),
_xlpm.objCount,COUNTIF(tblQuestObjectives[QuestTargetID],_xlpm.id),
_xlpm.depCount+_xlpm.objCount
)</f>
        <v>1</v>
      </c>
      <c r="H424">
        <f>tblTargetStatus[[#This Row],[DependencyCount]]</f>
        <v>1</v>
      </c>
      <c r="I424" cm="1">
        <f t="array" ref="I4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4">
        <f>tblTargetStatus[[#This Row],[CompletedDependencyCount]]</f>
        <v>0</v>
      </c>
      <c r="K424" t="b">
        <f>tblTargetStatus[[#This Row],[CompletedDependencies]]=tblTargetStatus[[#This Row],[TotalDependencies]]</f>
        <v>0</v>
      </c>
      <c r="L424">
        <f>tblTargetStatus[[#This Row],[TotalDependencies]]-tblTargetStatus[[#This Row],[CompletedDependencies]]</f>
        <v>1</v>
      </c>
      <c r="M424" t="str" cm="1">
        <f t="array" ref="M4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4" t="str">
        <f>IF(tblTargetStatus[[#This Row],[FirstMissingDependencyID]]="","",_xlfn.XLOOKUP(tblTargetStatus[[#This Row],[FirstMissingDependencyID]],tblTargets[TargetID],tblTargets[DisplayName],tblTargetStatus[[#This Row],[FirstMissingDependencyID]]))</f>
        <v>Ahead of Time Chapter 1 Accepted</v>
      </c>
      <c r="O424" s="2" t="str" cm="1">
        <f t="array" ref="O4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4" t="str">
        <f>IF(tblTargetStatus[[#This Row],[FirstMissingDependencyID]]="","",_xlfn.XLOOKUP(tblTargetStatus[[#This Row],[FirstMissingDependencyID]],tblTargetStatus[TargetID],tblTargetStatus[Status],""))</f>
        <v>BLOCKED</v>
      </c>
      <c r="Q424" t="str">
        <f>IF(
 tblTargetStatus[[#This Row],[Status]]&lt;&gt;"BLOCKED",
 tblTargetStatus[[#This Row],[Status]],
 IF(
  AND(
   tblTargetStatus[[#This Row],[MissingDependencies]]=1,
   tblTargetStatus[[#This Row],[FirstMissingStatus]]="READY"
  ),
  "ONE AWAY",
  "BLOCKED"
 )
)</f>
        <v>BLOCKED</v>
      </c>
      <c r="R424">
        <f>IF(
 OR(
  tblTargetStatus[[#This Row],[StateType]]="CHARACTER",
  RIGHT(tblTargetStatus[[#This Row],[TargetID]],6)=".maxed"
 ),
 0,
 _xlfn.LET(
  _xlpm.sort,
   _xlfn.XLOOKUP(
    tblTargetStatus[[#This Row],[TargetID]],
    tblChecklist[TargetID],
    tblChecklist[PlayerSort],
    0
   ),
  IF(_xlpm.sort=0,500,_xlpm.sort)
 )
)</f>
        <v>500</v>
      </c>
      <c r="S424" t="str" cm="1">
        <f t="array" ref="S42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Finished</v>
      </c>
      <c r="T424" t="str">
        <f>_xlfn.XLOOKUP(tblTargetStatus[[#This Row],[TargetID]],tblTargets[TargetID],tblTargets[CompletionMethod],"")</f>
        <v>PLAYER</v>
      </c>
      <c r="U424" t="b">
        <f>COUNTIF(
    tblCost[TargetID],
    tblTargetStatus[[#This Row],[TargetID]]
)&gt;0</f>
        <v>0</v>
      </c>
      <c r="V424" s="81" t="str">
        <f>IF(tblTargetStatus[[#This Row],[HasCost]]=FALSE,
"N/A",
_xlfn.XLOOKUP(
tblTargetStatus[[#This Row],[TargetID]],
tblCost[TargetID],
tblCost[FundingPercent],
""
)
)</f>
        <v>N/A</v>
      </c>
      <c r="W424" t="str">
        <f>IF(
COUNTIF(tblCost[TargetID],tblTargetStatus[[#This Row],[TargetID]])=0,
"",
_xlfn.XLOOKUP(
tblTargetStatus[[#This Row],[TargetID]],
tblCost[TargetID],
tblCost[RemainingRequirements],
""
)
)</f>
        <v/>
      </c>
      <c r="X424" s="79" t="str">
        <f>IF(tblTargetStatus[[#This Row],[HasCost]]=FALSE,"N/A",_xlfn.XLOOKUP(
tblTargetStatus[[#This Row],[TargetID]],
tblCost[TargetID],
tblCost[TargetFunded],
TRUE
))</f>
        <v>N/A</v>
      </c>
      <c r="Y424" t="str" cm="1">
        <f t="array" ref="Y424">_xlfn.TEXTJOIN(
", ",
TRUE,
_xlfn._xlws.FILTER(
tblCost[ResourceID]&amp;": "&amp;tblCost[QuantityRequired],
(tblCost[TargetID]=tblTargetStatus[[#This Row],[TargetID]])*
(tblCost[PlayerPaid]=FALSE),
""
)
)</f>
        <v/>
      </c>
      <c r="Z4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4" t="str" cm="1">
        <f t="array" ref="AA42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5" spans="1:27">
      <c r="A425" t="s">
        <v>5803</v>
      </c>
      <c r="B425" t="str">
        <f>_xlfn.XLOOKUP(tblTargetStatus[[#This Row],[TargetID]],tblTargets[TargetID],tblTargets[DisplayName],"")</f>
        <v>Deliver Porcini pasta to  3C </v>
      </c>
      <c r="C425" t="str">
        <f>IF(tblTargetStatus[[#This Row],[PlayerCompleted]],"COMPLETED",IF(tblTargetStatus[[#This Row],[MissingDependencies]]=0,"READY","BLOCKED"))</f>
        <v>BLOCKED</v>
      </c>
      <c r="D4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5" t="str">
        <f>_xlfn.XLOOKUP(tblTargetStatus[[#This Row],[TargetID]],tblTargets[TargetID],tblTargets[TargetType],"")</f>
        <v>STATE</v>
      </c>
      <c r="F425" t="str">
        <f>_xlfn.XLOOKUP(tblTargetStatus[[#This Row],[TargetID]],tblTargets[TargetID],tblTargets[StateType])</f>
        <v>DELIVER</v>
      </c>
      <c r="G425">
        <f>_xlfn.LET(
_xlpm.id,tblTargetStatus[[#This Row],[TargetID]],
_xlpm.depCount,COUNTIF(tblDependencies[TargetID],_xlpm.id),
_xlpm.objCount,COUNTIF(tblQuestObjectives[QuestTargetID],_xlpm.id),
_xlpm.depCount+_xlpm.objCount
)</f>
        <v>1</v>
      </c>
      <c r="H425">
        <f>tblTargetStatus[[#This Row],[DependencyCount]]</f>
        <v>1</v>
      </c>
      <c r="I425" cm="1">
        <f t="array" ref="I4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5">
        <f>tblTargetStatus[[#This Row],[CompletedDependencyCount]]</f>
        <v>0</v>
      </c>
      <c r="K425" t="b">
        <f>tblTargetStatus[[#This Row],[CompletedDependencies]]=tblTargetStatus[[#This Row],[TotalDependencies]]</f>
        <v>0</v>
      </c>
      <c r="L425">
        <f>tblTargetStatus[[#This Row],[TotalDependencies]]-tblTargetStatus[[#This Row],[CompletedDependencies]]</f>
        <v>1</v>
      </c>
      <c r="M425" t="str" cm="1">
        <f t="array" ref="M4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5" t="str">
        <f>IF(tblTargetStatus[[#This Row],[FirstMissingDependencyID]]="","",_xlfn.XLOOKUP(tblTargetStatus[[#This Row],[FirstMissingDependencyID]],tblTargets[TargetID],tblTargets[DisplayName],tblTargetStatus[[#This Row],[FirstMissingDependencyID]]))</f>
        <v>Ahead of Time Chapter 1 Accepted</v>
      </c>
      <c r="O425" s="2" t="str" cm="1">
        <f t="array" ref="O4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5" t="str">
        <f>IF(tblTargetStatus[[#This Row],[FirstMissingDependencyID]]="","",_xlfn.XLOOKUP(tblTargetStatus[[#This Row],[FirstMissingDependencyID]],tblTargetStatus[TargetID],tblTargetStatus[Status],""))</f>
        <v>BLOCKED</v>
      </c>
      <c r="Q425" t="str">
        <f>IF(
 tblTargetStatus[[#This Row],[Status]]&lt;&gt;"BLOCKED",
 tblTargetStatus[[#This Row],[Status]],
 IF(
  AND(
   tblTargetStatus[[#This Row],[MissingDependencies]]=1,
   tblTargetStatus[[#This Row],[FirstMissingStatus]]="READY"
  ),
  "ONE AWAY",
  "BLOCKED"
 )
)</f>
        <v>BLOCKED</v>
      </c>
      <c r="R425">
        <f>IF(
 OR(
  tblTargetStatus[[#This Row],[StateType]]="CHARACTER",
  RIGHT(tblTargetStatus[[#This Row],[TargetID]],6)=".maxed"
 ),
 0,
 _xlfn.LET(
  _xlpm.sort,
   _xlfn.XLOOKUP(
    tblTargetStatus[[#This Row],[TargetID]],
    tblChecklist[TargetID],
    tblChecklist[PlayerSort],
    0
   ),
  IF(_xlpm.sort=0,500,_xlpm.sort)
 )
)</f>
        <v>500</v>
      </c>
      <c r="S425" t="str" cm="1">
        <f t="array" ref="S42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Finished</v>
      </c>
      <c r="T425" t="str">
        <f>_xlfn.XLOOKUP(tblTargetStatus[[#This Row],[TargetID]],tblTargets[TargetID],tblTargets[CompletionMethod],"")</f>
        <v>PLAYER</v>
      </c>
      <c r="U425" t="b">
        <f>COUNTIF(
    tblCost[TargetID],
    tblTargetStatus[[#This Row],[TargetID]]
)&gt;0</f>
        <v>0</v>
      </c>
      <c r="V425" s="81" t="str">
        <f>IF(tblTargetStatus[[#This Row],[HasCost]]=FALSE,
"N/A",
_xlfn.XLOOKUP(
tblTargetStatus[[#This Row],[TargetID]],
tblCost[TargetID],
tblCost[FundingPercent],
""
)
)</f>
        <v>N/A</v>
      </c>
      <c r="W425" t="str">
        <f>IF(
COUNTIF(tblCost[TargetID],tblTargetStatus[[#This Row],[TargetID]])=0,
"",
_xlfn.XLOOKUP(
tblTargetStatus[[#This Row],[TargetID]],
tblCost[TargetID],
tblCost[RemainingRequirements],
""
)
)</f>
        <v/>
      </c>
      <c r="X425" s="79" t="str">
        <f>IF(tblTargetStatus[[#This Row],[HasCost]]=FALSE,"N/A",_xlfn.XLOOKUP(
tblTargetStatus[[#This Row],[TargetID]],
tblCost[TargetID],
tblCost[TargetFunded],
TRUE
))</f>
        <v>N/A</v>
      </c>
      <c r="Y425" t="str" cm="1">
        <f t="array" ref="Y425">_xlfn.TEXTJOIN(
", ",
TRUE,
_xlfn._xlws.FILTER(
tblCost[ResourceID]&amp;": "&amp;tblCost[QuantityRequired],
(tblCost[TargetID]=tblTargetStatus[[#This Row],[TargetID]])*
(tblCost[PlayerPaid]=FALSE),
""
)
)</f>
        <v/>
      </c>
      <c r="Z4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5" t="str" cm="1">
        <f t="array" ref="AA42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6" spans="1:27">
      <c r="A426" t="s">
        <v>5804</v>
      </c>
      <c r="B426" t="str">
        <f>_xlfn.XLOOKUP(tblTargetStatus[[#This Row],[TargetID]],tblTargets[TargetID],tblTargets[DisplayName],"")</f>
        <v>Deliver Potion Ambrosia to  3B </v>
      </c>
      <c r="C426" t="str">
        <f>IF(tblTargetStatus[[#This Row],[PlayerCompleted]],"COMPLETED",IF(tblTargetStatus[[#This Row],[MissingDependencies]]=0,"READY","BLOCKED"))</f>
        <v>BLOCKED</v>
      </c>
      <c r="D4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6" t="str">
        <f>_xlfn.XLOOKUP(tblTargetStatus[[#This Row],[TargetID]],tblTargets[TargetID],tblTargets[TargetType],"")</f>
        <v>STATE</v>
      </c>
      <c r="F426" t="str">
        <f>_xlfn.XLOOKUP(tblTargetStatus[[#This Row],[TargetID]],tblTargets[TargetID],tblTargets[StateType])</f>
        <v>DELIVER</v>
      </c>
      <c r="G426">
        <f>_xlfn.LET(
_xlpm.id,tblTargetStatus[[#This Row],[TargetID]],
_xlpm.depCount,COUNTIF(tblDependencies[TargetID],_xlpm.id),
_xlpm.objCount,COUNTIF(tblQuestObjectives[QuestTargetID],_xlpm.id),
_xlpm.depCount+_xlpm.objCount
)</f>
        <v>1</v>
      </c>
      <c r="H426">
        <f>tblTargetStatus[[#This Row],[DependencyCount]]</f>
        <v>1</v>
      </c>
      <c r="I426" cm="1">
        <f t="array" ref="I4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6">
        <f>tblTargetStatus[[#This Row],[CompletedDependencyCount]]</f>
        <v>0</v>
      </c>
      <c r="K426" t="b">
        <f>tblTargetStatus[[#This Row],[CompletedDependencies]]=tblTargetStatus[[#This Row],[TotalDependencies]]</f>
        <v>0</v>
      </c>
      <c r="L426">
        <f>tblTargetStatus[[#This Row],[TotalDependencies]]-tblTargetStatus[[#This Row],[CompletedDependencies]]</f>
        <v>1</v>
      </c>
      <c r="M426" t="str" cm="1">
        <f t="array" ref="M4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6" t="str">
        <f>IF(tblTargetStatus[[#This Row],[FirstMissingDependencyID]]="","",_xlfn.XLOOKUP(tblTargetStatus[[#This Row],[FirstMissingDependencyID]],tblTargets[TargetID],tblTargets[DisplayName],tblTargetStatus[[#This Row],[FirstMissingDependencyID]]))</f>
        <v>Ahead of Time Chapter 1 Accepted</v>
      </c>
      <c r="O426" s="2" t="str" cm="1">
        <f t="array" ref="O4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6" t="str">
        <f>IF(tblTargetStatus[[#This Row],[FirstMissingDependencyID]]="","",_xlfn.XLOOKUP(tblTargetStatus[[#This Row],[FirstMissingDependencyID]],tblTargetStatus[TargetID],tblTargetStatus[Status],""))</f>
        <v>BLOCKED</v>
      </c>
      <c r="Q426" t="str">
        <f>IF(
 tblTargetStatus[[#This Row],[Status]]&lt;&gt;"BLOCKED",
 tblTargetStatus[[#This Row],[Status]],
 IF(
  AND(
   tblTargetStatus[[#This Row],[MissingDependencies]]=1,
   tblTargetStatus[[#This Row],[FirstMissingStatus]]="READY"
  ),
  "ONE AWAY",
  "BLOCKED"
 )
)</f>
        <v>BLOCKED</v>
      </c>
      <c r="R426">
        <f>IF(
 OR(
  tblTargetStatus[[#This Row],[StateType]]="CHARACTER",
  RIGHT(tblTargetStatus[[#This Row],[TargetID]],6)=".maxed"
 ),
 0,
 _xlfn.LET(
  _xlpm.sort,
   _xlfn.XLOOKUP(
    tblTargetStatus[[#This Row],[TargetID]],
    tblChecklist[TargetID],
    tblChecklist[PlayerSort],
    0
   ),
  IF(_xlpm.sort=0,500,_xlpm.sort)
 )
)</f>
        <v>500</v>
      </c>
      <c r="S426" t="str" cm="1">
        <f t="array" ref="S42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Finished</v>
      </c>
      <c r="T426" t="str">
        <f>_xlfn.XLOOKUP(tblTargetStatus[[#This Row],[TargetID]],tblTargets[TargetID],tblTargets[CompletionMethod],"")</f>
        <v>PLAYER</v>
      </c>
      <c r="U426" t="b">
        <f>COUNTIF(
    tblCost[TargetID],
    tblTargetStatus[[#This Row],[TargetID]]
)&gt;0</f>
        <v>0</v>
      </c>
      <c r="V426" s="81" t="str">
        <f>IF(tblTargetStatus[[#This Row],[HasCost]]=FALSE,
"N/A",
_xlfn.XLOOKUP(
tblTargetStatus[[#This Row],[TargetID]],
tblCost[TargetID],
tblCost[FundingPercent],
""
)
)</f>
        <v>N/A</v>
      </c>
      <c r="W426" t="str">
        <f>IF(
COUNTIF(tblCost[TargetID],tblTargetStatus[[#This Row],[TargetID]])=0,
"",
_xlfn.XLOOKUP(
tblTargetStatus[[#This Row],[TargetID]],
tblCost[TargetID],
tblCost[RemainingRequirements],
""
)
)</f>
        <v/>
      </c>
      <c r="X426" s="79" t="str">
        <f>IF(tblTargetStatus[[#This Row],[HasCost]]=FALSE,"N/A",_xlfn.XLOOKUP(
tblTargetStatus[[#This Row],[TargetID]],
tblCost[TargetID],
tblCost[TargetFunded],
TRUE
))</f>
        <v>N/A</v>
      </c>
      <c r="Y426" t="str" cm="1">
        <f t="array" ref="Y426">_xlfn.TEXTJOIN(
", ",
TRUE,
_xlfn._xlws.FILTER(
tblCost[ResourceID]&amp;": "&amp;tblCost[QuantityRequired],
(tblCost[TargetID]=tblTargetStatus[[#This Row],[TargetID]])*
(tblCost[PlayerPaid]=FALSE),
""
)
)</f>
        <v/>
      </c>
      <c r="Z4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6" t="str" cm="1">
        <f t="array" ref="AA42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7" spans="1:27">
      <c r="A427" t="s">
        <v>5782</v>
      </c>
      <c r="B427" t="str">
        <f>_xlfn.XLOOKUP(tblTargetStatus[[#This Row],[TargetID]],tblTargets[TargetID],tblTargets[DisplayName],"")</f>
        <v>Deliver Potion Berserker rage to  1C </v>
      </c>
      <c r="C427" t="str">
        <f>IF(tblTargetStatus[[#This Row],[PlayerCompleted]],"COMPLETED",IF(tblTargetStatus[[#This Row],[MissingDependencies]]=0,"READY","BLOCKED"))</f>
        <v>BLOCKED</v>
      </c>
      <c r="D4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7" t="str">
        <f>_xlfn.XLOOKUP(tblTargetStatus[[#This Row],[TargetID]],tblTargets[TargetID],tblTargets[TargetType],"")</f>
        <v>STATE</v>
      </c>
      <c r="F427" t="str">
        <f>_xlfn.XLOOKUP(tblTargetStatus[[#This Row],[TargetID]],tblTargets[TargetID],tblTargets[StateType])</f>
        <v>DELIVER</v>
      </c>
      <c r="G427">
        <f>_xlfn.LET(
_xlpm.id,tblTargetStatus[[#This Row],[TargetID]],
_xlpm.depCount,COUNTIF(tblDependencies[TargetID],_xlpm.id),
_xlpm.objCount,COUNTIF(tblQuestObjectives[QuestTargetID],_xlpm.id),
_xlpm.depCount+_xlpm.objCount
)</f>
        <v>1</v>
      </c>
      <c r="H427">
        <f>tblTargetStatus[[#This Row],[DependencyCount]]</f>
        <v>1</v>
      </c>
      <c r="I427" cm="1">
        <f t="array" ref="I4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7">
        <f>tblTargetStatus[[#This Row],[CompletedDependencyCount]]</f>
        <v>0</v>
      </c>
      <c r="K427" t="b">
        <f>tblTargetStatus[[#This Row],[CompletedDependencies]]=tblTargetStatus[[#This Row],[TotalDependencies]]</f>
        <v>0</v>
      </c>
      <c r="L427">
        <f>tblTargetStatus[[#This Row],[TotalDependencies]]-tblTargetStatus[[#This Row],[CompletedDependencies]]</f>
        <v>1</v>
      </c>
      <c r="M427" t="str" cm="1">
        <f t="array" ref="M4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7" t="str">
        <f>IF(tblTargetStatus[[#This Row],[FirstMissingDependencyID]]="","",_xlfn.XLOOKUP(tblTargetStatus[[#This Row],[FirstMissingDependencyID]],tblTargets[TargetID],tblTargets[DisplayName],tblTargetStatus[[#This Row],[FirstMissingDependencyID]]))</f>
        <v>Ahead of Time Chapter 1 Accepted</v>
      </c>
      <c r="O427" s="2" t="str" cm="1">
        <f t="array" ref="O4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7" t="str">
        <f>IF(tblTargetStatus[[#This Row],[FirstMissingDependencyID]]="","",_xlfn.XLOOKUP(tblTargetStatus[[#This Row],[FirstMissingDependencyID]],tblTargetStatus[TargetID],tblTargetStatus[Status],""))</f>
        <v>BLOCKED</v>
      </c>
      <c r="Q427" t="str">
        <f>IF(
 tblTargetStatus[[#This Row],[Status]]&lt;&gt;"BLOCKED",
 tblTargetStatus[[#This Row],[Status]],
 IF(
  AND(
   tblTargetStatus[[#This Row],[MissingDependencies]]=1,
   tblTargetStatus[[#This Row],[FirstMissingStatus]]="READY"
  ),
  "ONE AWAY",
  "BLOCKED"
 )
)</f>
        <v>BLOCKED</v>
      </c>
      <c r="R427">
        <f>IF(
 OR(
  tblTargetStatus[[#This Row],[StateType]]="CHARACTER",
  RIGHT(tblTargetStatus[[#This Row],[TargetID]],6)=".maxed"
 ),
 0,
 _xlfn.LET(
  _xlpm.sort,
   _xlfn.XLOOKUP(
    tblTargetStatus[[#This Row],[TargetID]],
    tblChecklist[TargetID],
    tblChecklist[PlayerSort],
    0
   ),
  IF(_xlpm.sort=0,500,_xlpm.sort)
 )
)</f>
        <v>500</v>
      </c>
      <c r="S427" t="str" cm="1">
        <f t="array" ref="S42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Finished</v>
      </c>
      <c r="T427" t="str">
        <f>_xlfn.XLOOKUP(tblTargetStatus[[#This Row],[TargetID]],tblTargets[TargetID],tblTargets[CompletionMethod],"")</f>
        <v>PLAYER</v>
      </c>
      <c r="U427" t="b">
        <f>COUNTIF(
    tblCost[TargetID],
    tblTargetStatus[[#This Row],[TargetID]]
)&gt;0</f>
        <v>0</v>
      </c>
      <c r="V427" s="81" t="str">
        <f>IF(tblTargetStatus[[#This Row],[HasCost]]=FALSE,
"N/A",
_xlfn.XLOOKUP(
tblTargetStatus[[#This Row],[TargetID]],
tblCost[TargetID],
tblCost[FundingPercent],
""
)
)</f>
        <v>N/A</v>
      </c>
      <c r="W427" t="str">
        <f>IF(
COUNTIF(tblCost[TargetID],tblTargetStatus[[#This Row],[TargetID]])=0,
"",
_xlfn.XLOOKUP(
tblTargetStatus[[#This Row],[TargetID]],
tblCost[TargetID],
tblCost[RemainingRequirements],
""
)
)</f>
        <v/>
      </c>
      <c r="X427" s="79" t="str">
        <f>IF(tblTargetStatus[[#This Row],[HasCost]]=FALSE,"N/A",_xlfn.XLOOKUP(
tblTargetStatus[[#This Row],[TargetID]],
tblCost[TargetID],
tblCost[TargetFunded],
TRUE
))</f>
        <v>N/A</v>
      </c>
      <c r="Y427" t="str" cm="1">
        <f t="array" ref="Y427">_xlfn.TEXTJOIN(
", ",
TRUE,
_xlfn._xlws.FILTER(
tblCost[ResourceID]&amp;": "&amp;tblCost[QuantityRequired],
(tblCost[TargetID]=tblTargetStatus[[#This Row],[TargetID]])*
(tblCost[PlayerPaid]=FALSE),
""
)
)</f>
        <v/>
      </c>
      <c r="Z4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7" t="str" cm="1">
        <f t="array" ref="AA42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8" spans="1:27">
      <c r="A428" t="s">
        <v>5921</v>
      </c>
      <c r="B428" t="str">
        <f>_xlfn.XLOOKUP(tblTargetStatus[[#This Row],[TargetID]],tblTargets[TargetID],tblTargets[DisplayName],"")</f>
        <v>Deliver Potion of Mental Power to F2</v>
      </c>
      <c r="C428" t="str">
        <f>IF(tblTargetStatus[[#This Row],[PlayerCompleted]],"COMPLETED",IF(tblTargetStatus[[#This Row],[MissingDependencies]]=0,"READY","BLOCKED"))</f>
        <v>BLOCKED</v>
      </c>
      <c r="D4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8" t="str">
        <f>_xlfn.XLOOKUP(tblTargetStatus[[#This Row],[TargetID]],tblTargets[TargetID],tblTargets[TargetType],"")</f>
        <v>STATE</v>
      </c>
      <c r="F428" t="str">
        <f>_xlfn.XLOOKUP(tblTargetStatus[[#This Row],[TargetID]],tblTargets[TargetID],tblTargets[StateType])</f>
        <v>DELIVER</v>
      </c>
      <c r="G428">
        <f>_xlfn.LET(
_xlpm.id,tblTargetStatus[[#This Row],[TargetID]],
_xlpm.depCount,COUNTIF(tblDependencies[TargetID],_xlpm.id),
_xlpm.objCount,COUNTIF(tblQuestObjectives[QuestTargetID],_xlpm.id),
_xlpm.depCount+_xlpm.objCount
)</f>
        <v>1</v>
      </c>
      <c r="H428">
        <f>tblTargetStatus[[#This Row],[DependencyCount]]</f>
        <v>1</v>
      </c>
      <c r="I428" cm="1">
        <f t="array" ref="I4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8">
        <f>tblTargetStatus[[#This Row],[CompletedDependencyCount]]</f>
        <v>0</v>
      </c>
      <c r="K428" t="b">
        <f>tblTargetStatus[[#This Row],[CompletedDependencies]]=tblTargetStatus[[#This Row],[TotalDependencies]]</f>
        <v>0</v>
      </c>
      <c r="L428">
        <f>tblTargetStatus[[#This Row],[TotalDependencies]]-tblTargetStatus[[#This Row],[CompletedDependencies]]</f>
        <v>1</v>
      </c>
      <c r="M428" t="str" cm="1">
        <f t="array" ref="M4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quest.once_upon_a_forest_chapter_6.accepted</v>
      </c>
      <c r="N428" t="str">
        <f>IF(tblTargetStatus[[#This Row],[FirstMissingDependencyID]]="","",_xlfn.XLOOKUP(tblTargetStatus[[#This Row],[FirstMissingDependencyID]],tblTargets[TargetID],tblTargets[DisplayName],tblTargetStatus[[#This Row],[FirstMissingDependencyID]]))</f>
        <v>Once Upon a Forest Chapter 6 Accepted</v>
      </c>
      <c r="O428" s="2" t="str" cm="1">
        <f t="array" ref="O4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8" t="str">
        <f>IF(tblTargetStatus[[#This Row],[FirstMissingDependencyID]]="","",_xlfn.XLOOKUP(tblTargetStatus[[#This Row],[FirstMissingDependencyID]],tblTargetStatus[TargetID],tblTargetStatus[Status],""))</f>
        <v>BLOCKED</v>
      </c>
      <c r="Q428" t="str">
        <f>IF(
 tblTargetStatus[[#This Row],[Status]]&lt;&gt;"BLOCKED",
 tblTargetStatus[[#This Row],[Status]],
 IF(
  AND(
   tblTargetStatus[[#This Row],[MissingDependencies]]=1,
   tblTargetStatus[[#This Row],[FirstMissingStatus]]="READY"
  ),
  "ONE AWAY",
  "BLOCKED"
 )
)</f>
        <v>BLOCKED</v>
      </c>
      <c r="R428">
        <f>IF(
 OR(
  tblTargetStatus[[#This Row],[StateType]]="CHARACTER",
  RIGHT(tblTargetStatus[[#This Row],[TargetID]],6)=".maxed"
 ),
 0,
 _xlfn.LET(
  _xlpm.sort,
   _xlfn.XLOOKUP(
    tblTargetStatus[[#This Row],[TargetID]],
    tblChecklist[TargetID],
    tblChecklist[PlayerSort],
    0
   ),
  IF(_xlpm.sort=0,500,_xlpm.sort)
 )
)</f>
        <v>500</v>
      </c>
      <c r="S428" t="str" cm="1">
        <f t="array" ref="S42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6 Finished</v>
      </c>
      <c r="T428" t="str">
        <f>_xlfn.XLOOKUP(tblTargetStatus[[#This Row],[TargetID]],tblTargets[TargetID],tblTargets[CompletionMethod],"")</f>
        <v>PLAYER</v>
      </c>
      <c r="U428" t="b">
        <f>COUNTIF(
    tblCost[TargetID],
    tblTargetStatus[[#This Row],[TargetID]]
)&gt;0</f>
        <v>0</v>
      </c>
      <c r="V428" s="81" t="str">
        <f>IF(tblTargetStatus[[#This Row],[HasCost]]=FALSE,
"N/A",
_xlfn.XLOOKUP(
tblTargetStatus[[#This Row],[TargetID]],
tblCost[TargetID],
tblCost[FundingPercent],
""
)
)</f>
        <v>N/A</v>
      </c>
      <c r="W428" t="str">
        <f>IF(
COUNTIF(tblCost[TargetID],tblTargetStatus[[#This Row],[TargetID]])=0,
"",
_xlfn.XLOOKUP(
tblTargetStatus[[#This Row],[TargetID]],
tblCost[TargetID],
tblCost[RemainingRequirements],
""
)
)</f>
        <v/>
      </c>
      <c r="X428" s="79" t="str">
        <f>IF(tblTargetStatus[[#This Row],[HasCost]]=FALSE,"N/A",_xlfn.XLOOKUP(
tblTargetStatus[[#This Row],[TargetID]],
tblCost[TargetID],
tblCost[TargetFunded],
TRUE
))</f>
        <v>N/A</v>
      </c>
      <c r="Y428" t="str" cm="1">
        <f t="array" ref="Y428">_xlfn.TEXTJOIN(
", ",
TRUE,
_xlfn._xlws.FILTER(
tblCost[ResourceID]&amp;": "&amp;tblCost[QuantityRequired],
(tblCost[TargetID]=tblTargetStatus[[#This Row],[TargetID]])*
(tblCost[PlayerPaid]=FALSE),
""
)
)</f>
        <v/>
      </c>
      <c r="Z4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8" t="str" cm="1">
        <f t="array" ref="AA42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29" spans="1:27">
      <c r="A429" t="s">
        <v>6097</v>
      </c>
      <c r="B429" t="str">
        <f>_xlfn.XLOOKUP(tblTargetStatus[[#This Row],[TargetID]],tblTargets[TargetID],tblTargets[DisplayName],"")</f>
        <v>Return the ring</v>
      </c>
      <c r="C429" t="str">
        <f>IF(tblTargetStatus[[#This Row],[PlayerCompleted]],"COMPLETED",IF(tblTargetStatus[[#This Row],[MissingDependencies]]=0,"READY","BLOCKED"))</f>
        <v>BLOCKED</v>
      </c>
      <c r="D4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9" t="str">
        <f>_xlfn.XLOOKUP(tblTargetStatus[[#This Row],[TargetID]],tblTargets[TargetID],tblTargets[TargetType],"")</f>
        <v>STATE</v>
      </c>
      <c r="F429" t="str">
        <f>_xlfn.XLOOKUP(tblTargetStatus[[#This Row],[TargetID]],tblTargets[TargetID],tblTargets[StateType])</f>
        <v>DELIVER</v>
      </c>
      <c r="G429">
        <f>_xlfn.LET(
_xlpm.id,tblTargetStatus[[#This Row],[TargetID]],
_xlpm.depCount,COUNTIF(tblDependencies[TargetID],_xlpm.id),
_xlpm.objCount,COUNTIF(tblQuestObjectives[QuestTargetID],_xlpm.id),
_xlpm.depCount+_xlpm.objCount
)</f>
        <v>1</v>
      </c>
      <c r="H429">
        <f>tblTargetStatus[[#This Row],[DependencyCount]]</f>
        <v>1</v>
      </c>
      <c r="I429" cm="1">
        <f t="array" ref="I4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9">
        <f>tblTargetStatus[[#This Row],[CompletedDependencyCount]]</f>
        <v>0</v>
      </c>
      <c r="K429" t="b">
        <f>tblTargetStatus[[#This Row],[CompletedDependencies]]=tblTargetStatus[[#This Row],[TotalDependencies]]</f>
        <v>0</v>
      </c>
      <c r="L429">
        <f>tblTargetStatus[[#This Row],[TotalDependencies]]-tblTargetStatus[[#This Row],[CompletedDependencies]]</f>
        <v>1</v>
      </c>
      <c r="M429" t="str" cm="1">
        <f t="array" ref="M4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quest.the_ring_of_the_dark_lady.accepted</v>
      </c>
      <c r="N429" t="str">
        <f>IF(tblTargetStatus[[#This Row],[FirstMissingDependencyID]]="","",_xlfn.XLOOKUP(tblTargetStatus[[#This Row],[FirstMissingDependencyID]],tblTargets[TargetID],tblTargets[DisplayName],tblTargetStatus[[#This Row],[FirstMissingDependencyID]]))</f>
        <v>The Ring of the Dark Lady Accepted</v>
      </c>
      <c r="O429" s="2" t="str" cm="1">
        <f t="array" ref="O4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9" t="str">
        <f>IF(tblTargetStatus[[#This Row],[FirstMissingDependencyID]]="","",_xlfn.XLOOKUP(tblTargetStatus[[#This Row],[FirstMissingDependencyID]],tblTargetStatus[TargetID],tblTargetStatus[Status],""))</f>
        <v>BLOCKED</v>
      </c>
      <c r="Q429" t="str">
        <f>IF(
 tblTargetStatus[[#This Row],[Status]]&lt;&gt;"BLOCKED",
 tblTargetStatus[[#This Row],[Status]],
 IF(
  AND(
   tblTargetStatus[[#This Row],[MissingDependencies]]=1,
   tblTargetStatus[[#This Row],[FirstMissingStatus]]="READY"
  ),
  "ONE AWAY",
  "BLOCKED"
 )
)</f>
        <v>BLOCKED</v>
      </c>
      <c r="R429">
        <f>IF(
 OR(
  tblTargetStatus[[#This Row],[StateType]]="CHARACTER",
  RIGHT(tblTargetStatus[[#This Row],[TargetID]],6)=".maxed"
 ),
 0,
 _xlfn.LET(
  _xlpm.sort,
   _xlfn.XLOOKUP(
    tblTargetStatus[[#This Row],[TargetID]],
    tblChecklist[TargetID],
    tblChecklist[PlayerSort],
    0
   ),
  IF(_xlpm.sort=0,500,_xlpm.sort)
 )
)</f>
        <v>500</v>
      </c>
      <c r="S429" t="str" cm="1">
        <f t="array" ref="S42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Ring of the Dark Lady Finished</v>
      </c>
      <c r="T429" t="str">
        <f>_xlfn.XLOOKUP(tblTargetStatus[[#This Row],[TargetID]],tblTargets[TargetID],tblTargets[CompletionMethod],"")</f>
        <v>PLAYER</v>
      </c>
      <c r="U429" t="b">
        <f>COUNTIF(
    tblCost[TargetID],
    tblTargetStatus[[#This Row],[TargetID]]
)&gt;0</f>
        <v>0</v>
      </c>
      <c r="V429" s="81" t="str">
        <f>IF(tblTargetStatus[[#This Row],[HasCost]]=FALSE,
"N/A",
_xlfn.XLOOKUP(
tblTargetStatus[[#This Row],[TargetID]],
tblCost[TargetID],
tblCost[FundingPercent],
""
)
)</f>
        <v>N/A</v>
      </c>
      <c r="W429" t="str">
        <f>IF(
COUNTIF(tblCost[TargetID],tblTargetStatus[[#This Row],[TargetID]])=0,
"",
_xlfn.XLOOKUP(
tblTargetStatus[[#This Row],[TargetID]],
tblCost[TargetID],
tblCost[RemainingRequirements],
""
)
)</f>
        <v/>
      </c>
      <c r="X429" s="79" t="str">
        <f>IF(tblTargetStatus[[#This Row],[HasCost]]=FALSE,"N/A",_xlfn.XLOOKUP(
tblTargetStatus[[#This Row],[TargetID]],
tblCost[TargetID],
tblCost[TargetFunded],
TRUE
))</f>
        <v>N/A</v>
      </c>
      <c r="Y429" t="str" cm="1">
        <f t="array" ref="Y429">_xlfn.TEXTJOIN(
", ",
TRUE,
_xlfn._xlws.FILTER(
tblCost[ResourceID]&amp;": "&amp;tblCost[QuantityRequired],
(tblCost[TargetID]=tblTargetStatus[[#This Row],[TargetID]])*
(tblCost[PlayerPaid]=FALSE),
""
)
)</f>
        <v/>
      </c>
      <c r="Z4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9" t="str" cm="1">
        <f t="array" ref="AA42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0" spans="1:27">
      <c r="A430" t="s">
        <v>5769</v>
      </c>
      <c r="B430" t="str">
        <f>_xlfn.XLOOKUP(tblTargetStatus[[#This Row],[TargetID]],tblTargets[TargetID],tblTargets[DisplayName],"")</f>
        <v>Deliver Teriyaki Salmon to 4C</v>
      </c>
      <c r="C430" t="str">
        <f>IF(tblTargetStatus[[#This Row],[PlayerCompleted]],"COMPLETED",IF(tblTargetStatus[[#This Row],[MissingDependencies]]=0,"READY","BLOCKED"))</f>
        <v>BLOCKED</v>
      </c>
      <c r="D4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0" t="str">
        <f>_xlfn.XLOOKUP(tblTargetStatus[[#This Row],[TargetID]],tblTargets[TargetID],tblTargets[TargetType],"")</f>
        <v>STATE</v>
      </c>
      <c r="F430" t="str">
        <f>_xlfn.XLOOKUP(tblTargetStatus[[#This Row],[TargetID]],tblTargets[TargetID],tblTargets[StateType])</f>
        <v>DELIVER</v>
      </c>
      <c r="G430">
        <f>_xlfn.LET(
_xlpm.id,tblTargetStatus[[#This Row],[TargetID]],
_xlpm.depCount,COUNTIF(tblDependencies[TargetID],_xlpm.id),
_xlpm.objCount,COUNTIF(tblQuestObjectives[QuestTargetID],_xlpm.id),
_xlpm.depCount+_xlpm.objCount
)</f>
        <v>1</v>
      </c>
      <c r="H430">
        <f>tblTargetStatus[[#This Row],[DependencyCount]]</f>
        <v>1</v>
      </c>
      <c r="I430" cm="1">
        <f t="array" ref="I4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0">
        <f>tblTargetStatus[[#This Row],[CompletedDependencyCount]]</f>
        <v>0</v>
      </c>
      <c r="K430" t="b">
        <f>tblTargetStatus[[#This Row],[CompletedDependencies]]=tblTargetStatus[[#This Row],[TotalDependencies]]</f>
        <v>0</v>
      </c>
      <c r="L430">
        <f>tblTargetStatus[[#This Row],[TotalDependencies]]-tblTargetStatus[[#This Row],[CompletedDependencies]]</f>
        <v>1</v>
      </c>
      <c r="M430" t="str" cm="1">
        <f t="array" ref="M4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quest.magic_beans.accepted</v>
      </c>
      <c r="N430" t="str">
        <f>IF(tblTargetStatus[[#This Row],[FirstMissingDependencyID]]="","",_xlfn.XLOOKUP(tblTargetStatus[[#This Row],[FirstMissingDependencyID]],tblTargets[TargetID],tblTargets[DisplayName],tblTargetStatus[[#This Row],[FirstMissingDependencyID]]))</f>
        <v>Magic Beans Accepted</v>
      </c>
      <c r="O430" s="2" t="str" cm="1">
        <f t="array" ref="O4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0" t="str">
        <f>IF(tblTargetStatus[[#This Row],[FirstMissingDependencyID]]="","",_xlfn.XLOOKUP(tblTargetStatus[[#This Row],[FirstMissingDependencyID]],tblTargetStatus[TargetID],tblTargetStatus[Status],""))</f>
        <v>BLOCKED</v>
      </c>
      <c r="Q430" t="str">
        <f>IF(
 tblTargetStatus[[#This Row],[Status]]&lt;&gt;"BLOCKED",
 tblTargetStatus[[#This Row],[Status]],
 IF(
  AND(
   tblTargetStatus[[#This Row],[MissingDependencies]]=1,
   tblTargetStatus[[#This Row],[FirstMissingStatus]]="READY"
  ),
  "ONE AWAY",
  "BLOCKED"
 )
)</f>
        <v>BLOCKED</v>
      </c>
      <c r="R430">
        <f>IF(
 OR(
  tblTargetStatus[[#This Row],[StateType]]="CHARACTER",
  RIGHT(tblTargetStatus[[#This Row],[TargetID]],6)=".maxed"
 ),
 0,
 _xlfn.LET(
  _xlpm.sort,
   _xlfn.XLOOKUP(
    tblTargetStatus[[#This Row],[TargetID]],
    tblChecklist[TargetID],
    tblChecklist[PlayerSort],
    0
   ),
  IF(_xlpm.sort=0,500,_xlpm.sort)
 )
)</f>
        <v>500</v>
      </c>
      <c r="S430" t="str" cm="1">
        <f t="array" ref="S43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Magic Beans Finished</v>
      </c>
      <c r="T430" t="str">
        <f>_xlfn.XLOOKUP(tblTargetStatus[[#This Row],[TargetID]],tblTargets[TargetID],tblTargets[CompletionMethod],"")</f>
        <v>PLAYER</v>
      </c>
      <c r="U430" t="b">
        <f>COUNTIF(
    tblCost[TargetID],
    tblTargetStatus[[#This Row],[TargetID]]
)&gt;0</f>
        <v>0</v>
      </c>
      <c r="V430" s="81" t="str">
        <f>IF(tblTargetStatus[[#This Row],[HasCost]]=FALSE,
"N/A",
_xlfn.XLOOKUP(
tblTargetStatus[[#This Row],[TargetID]],
tblCost[TargetID],
tblCost[FundingPercent],
""
)
)</f>
        <v>N/A</v>
      </c>
      <c r="W430" t="str">
        <f>IF(
COUNTIF(tblCost[TargetID],tblTargetStatus[[#This Row],[TargetID]])=0,
"",
_xlfn.XLOOKUP(
tblTargetStatus[[#This Row],[TargetID]],
tblCost[TargetID],
tblCost[RemainingRequirements],
""
)
)</f>
        <v/>
      </c>
      <c r="X430" s="79" t="str">
        <f>IF(tblTargetStatus[[#This Row],[HasCost]]=FALSE,"N/A",_xlfn.XLOOKUP(
tblTargetStatus[[#This Row],[TargetID]],
tblCost[TargetID],
tblCost[TargetFunded],
TRUE
))</f>
        <v>N/A</v>
      </c>
      <c r="Y430" t="str" cm="1">
        <f t="array" ref="Y430">_xlfn.TEXTJOIN(
", ",
TRUE,
_xlfn._xlws.FILTER(
tblCost[ResourceID]&amp;": "&amp;tblCost[QuantityRequired],
(tblCost[TargetID]=tblTargetStatus[[#This Row],[TargetID]])*
(tblCost[PlayerPaid]=FALSE),
""
)
)</f>
        <v/>
      </c>
      <c r="Z4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0" t="str" cm="1">
        <f t="array" ref="AA43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1" spans="1:27">
      <c r="A431" t="s">
        <v>5770</v>
      </c>
      <c r="B431" t="str">
        <f>_xlfn.XLOOKUP(tblTargetStatus[[#This Row],[TargetID]],tblTargets[TargetID],tblTargets[DisplayName],"")</f>
        <v>Deliver Tofu to 4A</v>
      </c>
      <c r="C431" t="str">
        <f>IF(tblTargetStatus[[#This Row],[PlayerCompleted]],"COMPLETED",IF(tblTargetStatus[[#This Row],[MissingDependencies]]=0,"READY","BLOCKED"))</f>
        <v>BLOCKED</v>
      </c>
      <c r="D4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1" t="str">
        <f>_xlfn.XLOOKUP(tblTargetStatus[[#This Row],[TargetID]],tblTargets[TargetID],tblTargets[TargetType],"")</f>
        <v>STATE</v>
      </c>
      <c r="F431" t="str">
        <f>_xlfn.XLOOKUP(tblTargetStatus[[#This Row],[TargetID]],tblTargets[TargetID],tblTargets[StateType])</f>
        <v>DELIVER</v>
      </c>
      <c r="G431">
        <f>_xlfn.LET(
_xlpm.id,tblTargetStatus[[#This Row],[TargetID]],
_xlpm.depCount,COUNTIF(tblDependencies[TargetID],_xlpm.id),
_xlpm.objCount,COUNTIF(tblQuestObjectives[QuestTargetID],_xlpm.id),
_xlpm.depCount+_xlpm.objCount
)</f>
        <v>1</v>
      </c>
      <c r="H431">
        <f>tblTargetStatus[[#This Row],[DependencyCount]]</f>
        <v>1</v>
      </c>
      <c r="I431" cm="1">
        <f t="array" ref="I4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1">
        <f>tblTargetStatus[[#This Row],[CompletedDependencyCount]]</f>
        <v>0</v>
      </c>
      <c r="K431" t="b">
        <f>tblTargetStatus[[#This Row],[CompletedDependencies]]=tblTargetStatus[[#This Row],[TotalDependencies]]</f>
        <v>0</v>
      </c>
      <c r="L431">
        <f>tblTargetStatus[[#This Row],[TotalDependencies]]-tblTargetStatus[[#This Row],[CompletedDependencies]]</f>
        <v>1</v>
      </c>
      <c r="M431" t="str" cm="1">
        <f t="array" ref="M4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quest.magic_beans.accepted</v>
      </c>
      <c r="N431" t="str">
        <f>IF(tblTargetStatus[[#This Row],[FirstMissingDependencyID]]="","",_xlfn.XLOOKUP(tblTargetStatus[[#This Row],[FirstMissingDependencyID]],tblTargets[TargetID],tblTargets[DisplayName],tblTargetStatus[[#This Row],[FirstMissingDependencyID]]))</f>
        <v>Magic Beans Accepted</v>
      </c>
      <c r="O431" s="2" t="str" cm="1">
        <f t="array" ref="O4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1" t="str">
        <f>IF(tblTargetStatus[[#This Row],[FirstMissingDependencyID]]="","",_xlfn.XLOOKUP(tblTargetStatus[[#This Row],[FirstMissingDependencyID]],tblTargetStatus[TargetID],tblTargetStatus[Status],""))</f>
        <v>BLOCKED</v>
      </c>
      <c r="Q431" t="str">
        <f>IF(
 tblTargetStatus[[#This Row],[Status]]&lt;&gt;"BLOCKED",
 tblTargetStatus[[#This Row],[Status]],
 IF(
  AND(
   tblTargetStatus[[#This Row],[MissingDependencies]]=1,
   tblTargetStatus[[#This Row],[FirstMissingStatus]]="READY"
  ),
  "ONE AWAY",
  "BLOCKED"
 )
)</f>
        <v>BLOCKED</v>
      </c>
      <c r="R431">
        <f>IF(
 OR(
  tblTargetStatus[[#This Row],[StateType]]="CHARACTER",
  RIGHT(tblTargetStatus[[#This Row],[TargetID]],6)=".maxed"
 ),
 0,
 _xlfn.LET(
  _xlpm.sort,
   _xlfn.XLOOKUP(
    tblTargetStatus[[#This Row],[TargetID]],
    tblChecklist[TargetID],
    tblChecklist[PlayerSort],
    0
   ),
  IF(_xlpm.sort=0,500,_xlpm.sort)
 )
)</f>
        <v>500</v>
      </c>
      <c r="S431" t="str" cm="1">
        <f t="array" ref="S43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Magic Beans Finished</v>
      </c>
      <c r="T431" t="str">
        <f>_xlfn.XLOOKUP(tblTargetStatus[[#This Row],[TargetID]],tblTargets[TargetID],tblTargets[CompletionMethod],"")</f>
        <v>PLAYER</v>
      </c>
      <c r="U431" t="b">
        <f>COUNTIF(
    tblCost[TargetID],
    tblTargetStatus[[#This Row],[TargetID]]
)&gt;0</f>
        <v>0</v>
      </c>
      <c r="V431" s="81" t="str">
        <f>IF(tblTargetStatus[[#This Row],[HasCost]]=FALSE,
"N/A",
_xlfn.XLOOKUP(
tblTargetStatus[[#This Row],[TargetID]],
tblCost[TargetID],
tblCost[FundingPercent],
""
)
)</f>
        <v>N/A</v>
      </c>
      <c r="W431" t="str">
        <f>IF(
COUNTIF(tblCost[TargetID],tblTargetStatus[[#This Row],[TargetID]])=0,
"",
_xlfn.XLOOKUP(
tblTargetStatus[[#This Row],[TargetID]],
tblCost[TargetID],
tblCost[RemainingRequirements],
""
)
)</f>
        <v/>
      </c>
      <c r="X431" s="79" t="str">
        <f>IF(tblTargetStatus[[#This Row],[HasCost]]=FALSE,"N/A",_xlfn.XLOOKUP(
tblTargetStatus[[#This Row],[TargetID]],
tblCost[TargetID],
tblCost[TargetFunded],
TRUE
))</f>
        <v>N/A</v>
      </c>
      <c r="Y431" t="str" cm="1">
        <f t="array" ref="Y431">_xlfn.TEXTJOIN(
", ",
TRUE,
_xlfn._xlws.FILTER(
tblCost[ResourceID]&amp;": "&amp;tblCost[QuantityRequired],
(tblCost[TargetID]=tblTargetStatus[[#This Row],[TargetID]])*
(tblCost[PlayerPaid]=FALSE),
""
)
)</f>
        <v/>
      </c>
      <c r="Z4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1" t="str" cm="1">
        <f t="array" ref="AA43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2" spans="1:27">
      <c r="A432" t="s">
        <v>5757</v>
      </c>
      <c r="B432" t="str">
        <f>_xlfn.XLOOKUP(tblTargetStatus[[#This Row],[TargetID]],tblTargets[TargetID],tblTargets[DisplayName],"")</f>
        <v>Deliver Yuba to  4C </v>
      </c>
      <c r="C432" t="str">
        <f>IF(tblTargetStatus[[#This Row],[PlayerCompleted]],"COMPLETED",IF(tblTargetStatus[[#This Row],[MissingDependencies]]=0,"READY","BLOCKED"))</f>
        <v>BLOCKED</v>
      </c>
      <c r="D4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2" t="str">
        <f>_xlfn.XLOOKUP(tblTargetStatus[[#This Row],[TargetID]],tblTargets[TargetID],tblTargets[TargetType],"")</f>
        <v>STATE</v>
      </c>
      <c r="F432" t="str">
        <f>_xlfn.XLOOKUP(tblTargetStatus[[#This Row],[TargetID]],tblTargets[TargetID],tblTargets[StateType])</f>
        <v>DELIVER</v>
      </c>
      <c r="G432">
        <f>_xlfn.LET(
_xlpm.id,tblTargetStatus[[#This Row],[TargetID]],
_xlpm.depCount,COUNTIF(tblDependencies[TargetID],_xlpm.id),
_xlpm.objCount,COUNTIF(tblQuestObjectives[QuestTargetID],_xlpm.id),
_xlpm.depCount+_xlpm.objCount
)</f>
        <v>1</v>
      </c>
      <c r="H432">
        <f>tblTargetStatus[[#This Row],[DependencyCount]]</f>
        <v>1</v>
      </c>
      <c r="I432" cm="1">
        <f t="array" ref="I4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2">
        <f>tblTargetStatus[[#This Row],[CompletedDependencyCount]]</f>
        <v>0</v>
      </c>
      <c r="K432" t="b">
        <f>tblTargetStatus[[#This Row],[CompletedDependencies]]=tblTargetStatus[[#This Row],[TotalDependencies]]</f>
        <v>0</v>
      </c>
      <c r="L432">
        <f>tblTargetStatus[[#This Row],[TotalDependencies]]-tblTargetStatus[[#This Row],[CompletedDependencies]]</f>
        <v>1</v>
      </c>
      <c r="M432" t="str" cm="1">
        <f t="array" ref="M4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32" t="str">
        <f>IF(tblTargetStatus[[#This Row],[FirstMissingDependencyID]]="","",_xlfn.XLOOKUP(tblTargetStatus[[#This Row],[FirstMissingDependencyID]],tblTargets[TargetID],tblTargets[DisplayName],tblTargetStatus[[#This Row],[FirstMissingDependencyID]]))</f>
        <v>Ahead of Time Chapter 1 Accepted</v>
      </c>
      <c r="O432" s="2" t="str" cm="1">
        <f t="array" ref="O4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2" t="str">
        <f>IF(tblTargetStatus[[#This Row],[FirstMissingDependencyID]]="","",_xlfn.XLOOKUP(tblTargetStatus[[#This Row],[FirstMissingDependencyID]],tblTargetStatus[TargetID],tblTargetStatus[Status],""))</f>
        <v>BLOCKED</v>
      </c>
      <c r="Q432" t="str">
        <f>IF(
 tblTargetStatus[[#This Row],[Status]]&lt;&gt;"BLOCKED",
 tblTargetStatus[[#This Row],[Status]],
 IF(
  AND(
   tblTargetStatus[[#This Row],[MissingDependencies]]=1,
   tblTargetStatus[[#This Row],[FirstMissingStatus]]="READY"
  ),
  "ONE AWAY",
  "BLOCKED"
 )
)</f>
        <v>BLOCKED</v>
      </c>
      <c r="R432">
        <f>IF(
 OR(
  tblTargetStatus[[#This Row],[StateType]]="CHARACTER",
  RIGHT(tblTargetStatus[[#This Row],[TargetID]],6)=".maxed"
 ),
 0,
 _xlfn.LET(
  _xlpm.sort,
   _xlfn.XLOOKUP(
    tblTargetStatus[[#This Row],[TargetID]],
    tblChecklist[TargetID],
    tblChecklist[PlayerSort],
    0
   ),
  IF(_xlpm.sort=0,500,_xlpm.sort)
 )
)</f>
        <v>500</v>
      </c>
      <c r="S432" t="str" cm="1">
        <f t="array" ref="S43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Finished</v>
      </c>
      <c r="T432" t="str">
        <f>_xlfn.XLOOKUP(tblTargetStatus[[#This Row],[TargetID]],tblTargets[TargetID],tblTargets[CompletionMethod],"")</f>
        <v>PLAYER</v>
      </c>
      <c r="U432" t="b">
        <f>COUNTIF(
    tblCost[TargetID],
    tblTargetStatus[[#This Row],[TargetID]]
)&gt;0</f>
        <v>0</v>
      </c>
      <c r="V432" s="81" t="str">
        <f>IF(tblTargetStatus[[#This Row],[HasCost]]=FALSE,
"N/A",
_xlfn.XLOOKUP(
tblTargetStatus[[#This Row],[TargetID]],
tblCost[TargetID],
tblCost[FundingPercent],
""
)
)</f>
        <v>N/A</v>
      </c>
      <c r="W432" t="str">
        <f>IF(
COUNTIF(tblCost[TargetID],tblTargetStatus[[#This Row],[TargetID]])=0,
"",
_xlfn.XLOOKUP(
tblTargetStatus[[#This Row],[TargetID]],
tblCost[TargetID],
tblCost[RemainingRequirements],
""
)
)</f>
        <v/>
      </c>
      <c r="X432" s="79" t="str">
        <f>IF(tblTargetStatus[[#This Row],[HasCost]]=FALSE,"N/A",_xlfn.XLOOKUP(
tblTargetStatus[[#This Row],[TargetID]],
tblCost[TargetID],
tblCost[TargetFunded],
TRUE
))</f>
        <v>N/A</v>
      </c>
      <c r="Y432" t="str" cm="1">
        <f t="array" ref="Y432">_xlfn.TEXTJOIN(
", ",
TRUE,
_xlfn._xlws.FILTER(
tblCost[ResourceID]&amp;": "&amp;tblCost[QuantityRequired],
(tblCost[TargetID]=tblTargetStatus[[#This Row],[TargetID]])*
(tblCost[PlayerPaid]=FALSE),
""
)
)</f>
        <v/>
      </c>
      <c r="Z4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2" t="str" cm="1">
        <f t="array" ref="AA43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3" spans="1:27">
      <c r="A433" t="s">
        <v>6100</v>
      </c>
      <c r="B433" t="str">
        <f>_xlfn.XLOOKUP(tblTargetStatus[[#This Row],[TargetID]],tblTargets[TargetID],tblTargets[DisplayName],"")</f>
        <v>Discover the gate in 3C to F2</v>
      </c>
      <c r="C433" t="str">
        <f>IF(tblTargetStatus[[#This Row],[PlayerCompleted]],"COMPLETED",IF(tblTargetStatus[[#This Row],[MissingDependencies]]=0,"READY","BLOCKED"))</f>
        <v>BLOCKED</v>
      </c>
      <c r="D4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3" t="str">
        <f>_xlfn.XLOOKUP(tblTargetStatus[[#This Row],[TargetID]],tblTargets[TargetID],tblTargets[TargetType],"")</f>
        <v>STATE</v>
      </c>
      <c r="F433" t="str">
        <f>_xlfn.XLOOKUP(tblTargetStatus[[#This Row],[TargetID]],tblTargets[TargetID],tblTargets[StateType])</f>
        <v>FIND</v>
      </c>
      <c r="G433">
        <f>_xlfn.LET(
_xlpm.id,tblTargetStatus[[#This Row],[TargetID]],
_xlpm.depCount,COUNTIF(tblDependencies[TargetID],_xlpm.id),
_xlpm.objCount,COUNTIF(tblQuestObjectives[QuestTargetID],_xlpm.id),
_xlpm.depCount+_xlpm.objCount
)</f>
        <v>1</v>
      </c>
      <c r="H433">
        <f>tblTargetStatus[[#This Row],[DependencyCount]]</f>
        <v>1</v>
      </c>
      <c r="I433" cm="1">
        <f t="array" ref="I4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3">
        <f>tblTargetStatus[[#This Row],[CompletedDependencyCount]]</f>
        <v>0</v>
      </c>
      <c r="K433" t="b">
        <f>tblTargetStatus[[#This Row],[CompletedDependencies]]=tblTargetStatus[[#This Row],[TotalDependencies]]</f>
        <v>0</v>
      </c>
      <c r="L433">
        <f>tblTargetStatus[[#This Row],[TotalDependencies]]-tblTargetStatus[[#This Row],[CompletedDependencies]]</f>
        <v>1</v>
      </c>
      <c r="M433" t="str" cm="1">
        <f t="array" ref="M4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quest.once_upon_a_forest_chapter_4.accepted</v>
      </c>
      <c r="N433" t="str">
        <f>IF(tblTargetStatus[[#This Row],[FirstMissingDependencyID]]="","",_xlfn.XLOOKUP(tblTargetStatus[[#This Row],[FirstMissingDependencyID]],tblTargets[TargetID],tblTargets[DisplayName],tblTargetStatus[[#This Row],[FirstMissingDependencyID]]))</f>
        <v>Once Upon a Forest Chapter 4 Accepted</v>
      </c>
      <c r="O433" s="2" t="str" cm="1">
        <f t="array" ref="O4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3" t="str">
        <f>IF(tblTargetStatus[[#This Row],[FirstMissingDependencyID]]="","",_xlfn.XLOOKUP(tblTargetStatus[[#This Row],[FirstMissingDependencyID]],tblTargetStatus[TargetID],tblTargetStatus[Status],""))</f>
        <v>BLOCKED</v>
      </c>
      <c r="Q433" t="str">
        <f>IF(
 tblTargetStatus[[#This Row],[Status]]&lt;&gt;"BLOCKED",
 tblTargetStatus[[#This Row],[Status]],
 IF(
  AND(
   tblTargetStatus[[#This Row],[MissingDependencies]]=1,
   tblTargetStatus[[#This Row],[FirstMissingStatus]]="READY"
  ),
  "ONE AWAY",
  "BLOCKED"
 )
)</f>
        <v>BLOCKED</v>
      </c>
      <c r="R433">
        <f>IF(
 OR(
  tblTargetStatus[[#This Row],[StateType]]="CHARACTER",
  RIGHT(tblTargetStatus[[#This Row],[TargetID]],6)=".maxed"
 ),
 0,
 _xlfn.LET(
  _xlpm.sort,
   _xlfn.XLOOKUP(
    tblTargetStatus[[#This Row],[TargetID]],
    tblChecklist[TargetID],
    tblChecklist[PlayerSort],
    0
   ),
  IF(_xlpm.sort=0,500,_xlpm.sort)
 )
)</f>
        <v>500</v>
      </c>
      <c r="S433" t="str" cm="1">
        <f t="array" ref="S43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4 Finished</v>
      </c>
      <c r="T433" t="str">
        <f>_xlfn.XLOOKUP(tblTargetStatus[[#This Row],[TargetID]],tblTargets[TargetID],tblTargets[CompletionMethod],"")</f>
        <v>PLAYER</v>
      </c>
      <c r="U433" t="b">
        <f>COUNTIF(
    tblCost[TargetID],
    tblTargetStatus[[#This Row],[TargetID]]
)&gt;0</f>
        <v>0</v>
      </c>
      <c r="V433" s="81" t="str">
        <f>IF(tblTargetStatus[[#This Row],[HasCost]]=FALSE,
"N/A",
_xlfn.XLOOKUP(
tblTargetStatus[[#This Row],[TargetID]],
tblCost[TargetID],
tblCost[FundingPercent],
""
)
)</f>
        <v>N/A</v>
      </c>
      <c r="W433" t="str">
        <f>IF(
COUNTIF(tblCost[TargetID],tblTargetStatus[[#This Row],[TargetID]])=0,
"",
_xlfn.XLOOKUP(
tblTargetStatus[[#This Row],[TargetID]],
tblCost[TargetID],
tblCost[RemainingRequirements],
""
)
)</f>
        <v/>
      </c>
      <c r="X433" s="79" t="str">
        <f>IF(tblTargetStatus[[#This Row],[HasCost]]=FALSE,"N/A",_xlfn.XLOOKUP(
tblTargetStatus[[#This Row],[TargetID]],
tblCost[TargetID],
tblCost[TargetFunded],
TRUE
))</f>
        <v>N/A</v>
      </c>
      <c r="Y433" t="str" cm="1">
        <f t="array" ref="Y433">_xlfn.TEXTJOIN(
", ",
TRUE,
_xlfn._xlws.FILTER(
tblCost[ResourceID]&amp;": "&amp;tblCost[QuantityRequired],
(tblCost[TargetID]=tblTargetStatus[[#This Row],[TargetID]])*
(tblCost[PlayerPaid]=FALSE),
""
)
)</f>
        <v/>
      </c>
      <c r="Z4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3" t="str" cm="1">
        <f t="array" ref="AA43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4" spans="1:27">
      <c r="A434" t="s">
        <v>6101</v>
      </c>
      <c r="B434" t="str">
        <f>_xlfn.XLOOKUP(tblTargetStatus[[#This Row],[TargetID]],tblTargets[TargetID],tblTargets[DisplayName],"")</f>
        <v>Discover the gate in 4C to F3</v>
      </c>
      <c r="C434" t="str">
        <f>IF(tblTargetStatus[[#This Row],[PlayerCompleted]],"COMPLETED",IF(tblTargetStatus[[#This Row],[MissingDependencies]]=0,"READY","BLOCKED"))</f>
        <v>BLOCKED</v>
      </c>
      <c r="D4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4" t="str">
        <f>_xlfn.XLOOKUP(tblTargetStatus[[#This Row],[TargetID]],tblTargets[TargetID],tblTargets[TargetType],"")</f>
        <v>STATE</v>
      </c>
      <c r="F434" t="str">
        <f>_xlfn.XLOOKUP(tblTargetStatus[[#This Row],[TargetID]],tblTargets[TargetID],tblTargets[StateType])</f>
        <v>FIND</v>
      </c>
      <c r="G434">
        <f>_xlfn.LET(
_xlpm.id,tblTargetStatus[[#This Row],[TargetID]],
_xlpm.depCount,COUNTIF(tblDependencies[TargetID],_xlpm.id),
_xlpm.objCount,COUNTIF(tblQuestObjectives[QuestTargetID],_xlpm.id),
_xlpm.depCount+_xlpm.objCount
)</f>
        <v>1</v>
      </c>
      <c r="H434">
        <f>tblTargetStatus[[#This Row],[DependencyCount]]</f>
        <v>1</v>
      </c>
      <c r="I434" cm="1">
        <f t="array" ref="I4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4">
        <f>tblTargetStatus[[#This Row],[CompletedDependencyCount]]</f>
        <v>0</v>
      </c>
      <c r="K434" t="b">
        <f>tblTargetStatus[[#This Row],[CompletedDependencies]]=tblTargetStatus[[#This Row],[TotalDependencies]]</f>
        <v>0</v>
      </c>
      <c r="L434">
        <f>tblTargetStatus[[#This Row],[TotalDependencies]]-tblTargetStatus[[#This Row],[CompletedDependencies]]</f>
        <v>1</v>
      </c>
      <c r="M434" t="str" cm="1">
        <f t="array" ref="M4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quest.once_upon_a_forest_chapter_4.accepted</v>
      </c>
      <c r="N434" t="str">
        <f>IF(tblTargetStatus[[#This Row],[FirstMissingDependencyID]]="","",_xlfn.XLOOKUP(tblTargetStatus[[#This Row],[FirstMissingDependencyID]],tblTargets[TargetID],tblTargets[DisplayName],tblTargetStatus[[#This Row],[FirstMissingDependencyID]]))</f>
        <v>Once Upon a Forest Chapter 4 Accepted</v>
      </c>
      <c r="O434" s="2" t="str" cm="1">
        <f t="array" ref="O4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4" t="str">
        <f>IF(tblTargetStatus[[#This Row],[FirstMissingDependencyID]]="","",_xlfn.XLOOKUP(tblTargetStatus[[#This Row],[FirstMissingDependencyID]],tblTargetStatus[TargetID],tblTargetStatus[Status],""))</f>
        <v>BLOCKED</v>
      </c>
      <c r="Q434" t="str">
        <f>IF(
 tblTargetStatus[[#This Row],[Status]]&lt;&gt;"BLOCKED",
 tblTargetStatus[[#This Row],[Status]],
 IF(
  AND(
   tblTargetStatus[[#This Row],[MissingDependencies]]=1,
   tblTargetStatus[[#This Row],[FirstMissingStatus]]="READY"
  ),
  "ONE AWAY",
  "BLOCKED"
 )
)</f>
        <v>BLOCKED</v>
      </c>
      <c r="R434">
        <f>IF(
 OR(
  tblTargetStatus[[#This Row],[StateType]]="CHARACTER",
  RIGHT(tblTargetStatus[[#This Row],[TargetID]],6)=".maxed"
 ),
 0,
 _xlfn.LET(
  _xlpm.sort,
   _xlfn.XLOOKUP(
    tblTargetStatus[[#This Row],[TargetID]],
    tblChecklist[TargetID],
    tblChecklist[PlayerSort],
    0
   ),
  IF(_xlpm.sort=0,500,_xlpm.sort)
 )
)</f>
        <v>500</v>
      </c>
      <c r="S434" t="str" cm="1">
        <f t="array" ref="S43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4 Finished</v>
      </c>
      <c r="T434" t="str">
        <f>_xlfn.XLOOKUP(tblTargetStatus[[#This Row],[TargetID]],tblTargets[TargetID],tblTargets[CompletionMethod],"")</f>
        <v>PLAYER</v>
      </c>
      <c r="U434" t="b">
        <f>COUNTIF(
    tblCost[TargetID],
    tblTargetStatus[[#This Row],[TargetID]]
)&gt;0</f>
        <v>0</v>
      </c>
      <c r="V434" s="81" t="str">
        <f>IF(tblTargetStatus[[#This Row],[HasCost]]=FALSE,
"N/A",
_xlfn.XLOOKUP(
tblTargetStatus[[#This Row],[TargetID]],
tblCost[TargetID],
tblCost[FundingPercent],
""
)
)</f>
        <v>N/A</v>
      </c>
      <c r="W434" t="str">
        <f>IF(
COUNTIF(tblCost[TargetID],tblTargetStatus[[#This Row],[TargetID]])=0,
"",
_xlfn.XLOOKUP(
tblTargetStatus[[#This Row],[TargetID]],
tblCost[TargetID],
tblCost[RemainingRequirements],
""
)
)</f>
        <v/>
      </c>
      <c r="X434" s="79" t="str">
        <f>IF(tblTargetStatus[[#This Row],[HasCost]]=FALSE,"N/A",_xlfn.XLOOKUP(
tblTargetStatus[[#This Row],[TargetID]],
tblCost[TargetID],
tblCost[TargetFunded],
TRUE
))</f>
        <v>N/A</v>
      </c>
      <c r="Y434" t="str" cm="1">
        <f t="array" ref="Y434">_xlfn.TEXTJOIN(
", ",
TRUE,
_xlfn._xlws.FILTER(
tblCost[ResourceID]&amp;": "&amp;tblCost[QuantityRequired],
(tblCost[TargetID]=tblTargetStatus[[#This Row],[TargetID]])*
(tblCost[PlayerPaid]=FALSE),
""
)
)</f>
        <v/>
      </c>
      <c r="Z4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4" t="str" cm="1">
        <f t="array" ref="AA43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5" spans="1:27">
      <c r="A435" t="s">
        <v>6102</v>
      </c>
      <c r="B435" t="str">
        <f>_xlfn.XLOOKUP(tblTargetStatus[[#This Row],[TargetID]],tblTargets[TargetID],tblTargets[DisplayName],"")</f>
        <v>Discover the gate in 5C to F4</v>
      </c>
      <c r="C435" t="str">
        <f>IF(tblTargetStatus[[#This Row],[PlayerCompleted]],"COMPLETED",IF(tblTargetStatus[[#This Row],[MissingDependencies]]=0,"READY","BLOCKED"))</f>
        <v>BLOCKED</v>
      </c>
      <c r="D4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5" t="str">
        <f>_xlfn.XLOOKUP(tblTargetStatus[[#This Row],[TargetID]],tblTargets[TargetID],tblTargets[TargetType],"")</f>
        <v>STATE</v>
      </c>
      <c r="F435" t="str">
        <f>_xlfn.XLOOKUP(tblTargetStatus[[#This Row],[TargetID]],tblTargets[TargetID],tblTargets[StateType])</f>
        <v>FIND</v>
      </c>
      <c r="G435">
        <f>_xlfn.LET(
_xlpm.id,tblTargetStatus[[#This Row],[TargetID]],
_xlpm.depCount,COUNTIF(tblDependencies[TargetID],_xlpm.id),
_xlpm.objCount,COUNTIF(tblQuestObjectives[QuestTargetID],_xlpm.id),
_xlpm.depCount+_xlpm.objCount
)</f>
        <v>1</v>
      </c>
      <c r="H435">
        <f>tblTargetStatus[[#This Row],[DependencyCount]]</f>
        <v>1</v>
      </c>
      <c r="I435" cm="1">
        <f t="array" ref="I4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5">
        <f>tblTargetStatus[[#This Row],[CompletedDependencyCount]]</f>
        <v>0</v>
      </c>
      <c r="K435" t="b">
        <f>tblTargetStatus[[#This Row],[CompletedDependencies]]=tblTargetStatus[[#This Row],[TotalDependencies]]</f>
        <v>0</v>
      </c>
      <c r="L435">
        <f>tblTargetStatus[[#This Row],[TotalDependencies]]-tblTargetStatus[[#This Row],[CompletedDependencies]]</f>
        <v>1</v>
      </c>
      <c r="M435" t="str" cm="1">
        <f t="array" ref="M4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quest.once_upon_a_forest_chapter_4.accepted</v>
      </c>
      <c r="N435" t="str">
        <f>IF(tblTargetStatus[[#This Row],[FirstMissingDependencyID]]="","",_xlfn.XLOOKUP(tblTargetStatus[[#This Row],[FirstMissingDependencyID]],tblTargets[TargetID],tblTargets[DisplayName],tblTargetStatus[[#This Row],[FirstMissingDependencyID]]))</f>
        <v>Once Upon a Forest Chapter 4 Accepted</v>
      </c>
      <c r="O435" s="2" t="str" cm="1">
        <f t="array" ref="O4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5" t="str">
        <f>IF(tblTargetStatus[[#This Row],[FirstMissingDependencyID]]="","",_xlfn.XLOOKUP(tblTargetStatus[[#This Row],[FirstMissingDependencyID]],tblTargetStatus[TargetID],tblTargetStatus[Status],""))</f>
        <v>BLOCKED</v>
      </c>
      <c r="Q435" t="str">
        <f>IF(
 tblTargetStatus[[#This Row],[Status]]&lt;&gt;"BLOCKED",
 tblTargetStatus[[#This Row],[Status]],
 IF(
  AND(
   tblTargetStatus[[#This Row],[MissingDependencies]]=1,
   tblTargetStatus[[#This Row],[FirstMissingStatus]]="READY"
  ),
  "ONE AWAY",
  "BLOCKED"
 )
)</f>
        <v>BLOCKED</v>
      </c>
      <c r="R435">
        <f>IF(
 OR(
  tblTargetStatus[[#This Row],[StateType]]="CHARACTER",
  RIGHT(tblTargetStatus[[#This Row],[TargetID]],6)=".maxed"
 ),
 0,
 _xlfn.LET(
  _xlpm.sort,
   _xlfn.XLOOKUP(
    tblTargetStatus[[#This Row],[TargetID]],
    tblChecklist[TargetID],
    tblChecklist[PlayerSort],
    0
   ),
  IF(_xlpm.sort=0,500,_xlpm.sort)
 )
)</f>
        <v>500</v>
      </c>
      <c r="S435" t="str" cm="1">
        <f t="array" ref="S43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4 Finished</v>
      </c>
      <c r="T435" t="str">
        <f>_xlfn.XLOOKUP(tblTargetStatus[[#This Row],[TargetID]],tblTargets[TargetID],tblTargets[CompletionMethod],"")</f>
        <v>PLAYER</v>
      </c>
      <c r="U435" t="b">
        <f>COUNTIF(
    tblCost[TargetID],
    tblTargetStatus[[#This Row],[TargetID]]
)&gt;0</f>
        <v>0</v>
      </c>
      <c r="V435" s="81" t="str">
        <f>IF(tblTargetStatus[[#This Row],[HasCost]]=FALSE,
"N/A",
_xlfn.XLOOKUP(
tblTargetStatus[[#This Row],[TargetID]],
tblCost[TargetID],
tblCost[FundingPercent],
""
)
)</f>
        <v>N/A</v>
      </c>
      <c r="W435" t="str">
        <f>IF(
COUNTIF(tblCost[TargetID],tblTargetStatus[[#This Row],[TargetID]])=0,
"",
_xlfn.XLOOKUP(
tblTargetStatus[[#This Row],[TargetID]],
tblCost[TargetID],
tblCost[RemainingRequirements],
""
)
)</f>
        <v/>
      </c>
      <c r="X435" s="79" t="str">
        <f>IF(tblTargetStatus[[#This Row],[HasCost]]=FALSE,"N/A",_xlfn.XLOOKUP(
tblTargetStatus[[#This Row],[TargetID]],
tblCost[TargetID],
tblCost[TargetFunded],
TRUE
))</f>
        <v>N/A</v>
      </c>
      <c r="Y435" t="str" cm="1">
        <f t="array" ref="Y435">_xlfn.TEXTJOIN(
", ",
TRUE,
_xlfn._xlws.FILTER(
tblCost[ResourceID]&amp;": "&amp;tblCost[QuantityRequired],
(tblCost[TargetID]=tblTargetStatus[[#This Row],[TargetID]])*
(tblCost[PlayerPaid]=FALSE),
""
)
)</f>
        <v/>
      </c>
      <c r="Z4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5" t="str" cm="1">
        <f t="array" ref="AA43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6" spans="1:27">
      <c r="A436" t="s">
        <v>5772</v>
      </c>
      <c r="B436" t="str">
        <f>_xlfn.XLOOKUP(tblTargetStatus[[#This Row],[TargetID]],tblTargets[TargetID],tblTargets[DisplayName],"")</f>
        <v>Find Goat in 6B</v>
      </c>
      <c r="C436" t="str">
        <f>IF(tblTargetStatus[[#This Row],[PlayerCompleted]],"COMPLETED",IF(tblTargetStatus[[#This Row],[MissingDependencies]]=0,"READY","BLOCKED"))</f>
        <v>BLOCKED</v>
      </c>
      <c r="D4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6" t="str">
        <f>_xlfn.XLOOKUP(tblTargetStatus[[#This Row],[TargetID]],tblTargets[TargetID],tblTargets[TargetType],"")</f>
        <v>STATE</v>
      </c>
      <c r="F436" t="str">
        <f>_xlfn.XLOOKUP(tblTargetStatus[[#This Row],[TargetID]],tblTargets[TargetID],tblTargets[StateType])</f>
        <v>FIND</v>
      </c>
      <c r="G436">
        <f>_xlfn.LET(
_xlpm.id,tblTargetStatus[[#This Row],[TargetID]],
_xlpm.depCount,COUNTIF(tblDependencies[TargetID],_xlpm.id),
_xlpm.objCount,COUNTIF(tblQuestObjectives[QuestTargetID],_xlpm.id),
_xlpm.depCount+_xlpm.objCount
)</f>
        <v>1</v>
      </c>
      <c r="H436">
        <f>tblTargetStatus[[#This Row],[DependencyCount]]</f>
        <v>1</v>
      </c>
      <c r="I436" cm="1">
        <f t="array" ref="I4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6">
        <f>tblTargetStatus[[#This Row],[CompletedDependencyCount]]</f>
        <v>0</v>
      </c>
      <c r="K436" t="b">
        <f>tblTargetStatus[[#This Row],[CompletedDependencies]]=tblTargetStatus[[#This Row],[TotalDependencies]]</f>
        <v>0</v>
      </c>
      <c r="L436">
        <f>tblTargetStatus[[#This Row],[TotalDependencies]]-tblTargetStatus[[#This Row],[CompletedDependencies]]</f>
        <v>1</v>
      </c>
      <c r="M436" t="str" cm="1">
        <f t="array" ref="M4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quest.the_ordinary_days_of_an_adventurer_chapter_1.accepted</v>
      </c>
      <c r="N436" t="str">
        <f>IF(tblTargetStatus[[#This Row],[FirstMissingDependencyID]]="","",_xlfn.XLOOKUP(tblTargetStatus[[#This Row],[FirstMissingDependencyID]],tblTargets[TargetID],tblTargets[DisplayName],tblTargetStatus[[#This Row],[FirstMissingDependencyID]]))</f>
        <v>The Ordinary Days of an Adventurer Chapter 1 Accepted</v>
      </c>
      <c r="O436" s="2" t="str" cm="1">
        <f t="array" ref="O4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6" t="str">
        <f>IF(tblTargetStatus[[#This Row],[FirstMissingDependencyID]]="","",_xlfn.XLOOKUP(tblTargetStatus[[#This Row],[FirstMissingDependencyID]],tblTargetStatus[TargetID],tblTargetStatus[Status],""))</f>
        <v>BLOCKED</v>
      </c>
      <c r="Q436" t="str">
        <f>IF(
 tblTargetStatus[[#This Row],[Status]]&lt;&gt;"BLOCKED",
 tblTargetStatus[[#This Row],[Status]],
 IF(
  AND(
   tblTargetStatus[[#This Row],[MissingDependencies]]=1,
   tblTargetStatus[[#This Row],[FirstMissingStatus]]="READY"
  ),
  "ONE AWAY",
  "BLOCKED"
 )
)</f>
        <v>BLOCKED</v>
      </c>
      <c r="R436">
        <f>IF(
 OR(
  tblTargetStatus[[#This Row],[StateType]]="CHARACTER",
  RIGHT(tblTargetStatus[[#This Row],[TargetID]],6)=".maxed"
 ),
 0,
 _xlfn.LET(
  _xlpm.sort,
   _xlfn.XLOOKUP(
    tblTargetStatus[[#This Row],[TargetID]],
    tblChecklist[TargetID],
    tblChecklist[PlayerSort],
    0
   ),
  IF(_xlpm.sort=0,500,_xlpm.sort)
 )
)</f>
        <v>500</v>
      </c>
      <c r="S436" t="str" cm="1">
        <f t="array" ref="S43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1 Finished</v>
      </c>
      <c r="T436" t="str">
        <f>_xlfn.XLOOKUP(tblTargetStatus[[#This Row],[TargetID]],tblTargets[TargetID],tblTargets[CompletionMethod],"")</f>
        <v>PLAYER</v>
      </c>
      <c r="U436" t="b">
        <f>COUNTIF(
    tblCost[TargetID],
    tblTargetStatus[[#This Row],[TargetID]]
)&gt;0</f>
        <v>0</v>
      </c>
      <c r="V436" s="81" t="str">
        <f>IF(tblTargetStatus[[#This Row],[HasCost]]=FALSE,
"N/A",
_xlfn.XLOOKUP(
tblTargetStatus[[#This Row],[TargetID]],
tblCost[TargetID],
tblCost[FundingPercent],
""
)
)</f>
        <v>N/A</v>
      </c>
      <c r="W436" t="str">
        <f>IF(
COUNTIF(tblCost[TargetID],tblTargetStatus[[#This Row],[TargetID]])=0,
"",
_xlfn.XLOOKUP(
tblTargetStatus[[#This Row],[TargetID]],
tblCost[TargetID],
tblCost[RemainingRequirements],
""
)
)</f>
        <v/>
      </c>
      <c r="X436" s="79" t="str">
        <f>IF(tblTargetStatus[[#This Row],[HasCost]]=FALSE,"N/A",_xlfn.XLOOKUP(
tblTargetStatus[[#This Row],[TargetID]],
tblCost[TargetID],
tblCost[TargetFunded],
TRUE
))</f>
        <v>N/A</v>
      </c>
      <c r="Y436" t="str" cm="1">
        <f t="array" ref="Y436">_xlfn.TEXTJOIN(
", ",
TRUE,
_xlfn._xlws.FILTER(
tblCost[ResourceID]&amp;": "&amp;tblCost[QuantityRequired],
(tblCost[TargetID]=tblTargetStatus[[#This Row],[TargetID]])*
(tblCost[PlayerPaid]=FALSE),
""
)
)</f>
        <v/>
      </c>
      <c r="Z4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6" t="str" cm="1">
        <f t="array" ref="AA43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7" spans="1:27">
      <c r="A437" t="s">
        <v>5690</v>
      </c>
      <c r="B437" t="str">
        <f>_xlfn.XLOOKUP(tblTargetStatus[[#This Row],[TargetID]],tblTargets[TargetID],tblTargets[DisplayName],"")</f>
        <v>Find Jade Gate in 2C</v>
      </c>
      <c r="C437" t="str">
        <f>IF(tblTargetStatus[[#This Row],[PlayerCompleted]],"COMPLETED",IF(tblTargetStatus[[#This Row],[MissingDependencies]]=0,"READY","BLOCKED"))</f>
        <v>BLOCKED</v>
      </c>
      <c r="D4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7" t="str">
        <f>_xlfn.XLOOKUP(tblTargetStatus[[#This Row],[TargetID]],tblTargets[TargetID],tblTargets[TargetType],"")</f>
        <v>STATE</v>
      </c>
      <c r="F437" t="str">
        <f>_xlfn.XLOOKUP(tblTargetStatus[[#This Row],[TargetID]],tblTargets[TargetID],tblTargets[StateType])</f>
        <v>FIND</v>
      </c>
      <c r="G437">
        <f>_xlfn.LET(
_xlpm.id,tblTargetStatus[[#This Row],[TargetID]],
_xlpm.depCount,COUNTIF(tblDependencies[TargetID],_xlpm.id),
_xlpm.objCount,COUNTIF(tblQuestObjectives[QuestTargetID],_xlpm.id),
_xlpm.depCount+_xlpm.objCount
)</f>
        <v>1</v>
      </c>
      <c r="H437">
        <f>tblTargetStatus[[#This Row],[DependencyCount]]</f>
        <v>1</v>
      </c>
      <c r="I437" cm="1">
        <f t="array" ref="I4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7">
        <f>tblTargetStatus[[#This Row],[CompletedDependencyCount]]</f>
        <v>0</v>
      </c>
      <c r="K437" t="b">
        <f>tblTargetStatus[[#This Row],[CompletedDependencies]]=tblTargetStatus[[#This Row],[TotalDependencies]]</f>
        <v>0</v>
      </c>
      <c r="L437">
        <f>tblTargetStatus[[#This Row],[TotalDependencies]]-tblTargetStatus[[#This Row],[CompletedDependencies]]</f>
        <v>1</v>
      </c>
      <c r="M437" t="str" cm="1">
        <f t="array" ref="M4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quest.once_upon_a_forest_chapter_1.accepted</v>
      </c>
      <c r="N437" t="str">
        <f>IF(tblTargetStatus[[#This Row],[FirstMissingDependencyID]]="","",_xlfn.XLOOKUP(tblTargetStatus[[#This Row],[FirstMissingDependencyID]],tblTargets[TargetID],tblTargets[DisplayName],tblTargetStatus[[#This Row],[FirstMissingDependencyID]]))</f>
        <v>Once Upon a Forest Chapter 1 Accepted</v>
      </c>
      <c r="O437" s="2" t="str" cm="1">
        <f t="array" ref="O4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7" t="str">
        <f>IF(tblTargetStatus[[#This Row],[FirstMissingDependencyID]]="","",_xlfn.XLOOKUP(tblTargetStatus[[#This Row],[FirstMissingDependencyID]],tblTargetStatus[TargetID],tblTargetStatus[Status],""))</f>
        <v>BLOCKED</v>
      </c>
      <c r="Q437" t="str">
        <f>IF(
 tblTargetStatus[[#This Row],[Status]]&lt;&gt;"BLOCKED",
 tblTargetStatus[[#This Row],[Status]],
 IF(
  AND(
   tblTargetStatus[[#This Row],[MissingDependencies]]=1,
   tblTargetStatus[[#This Row],[FirstMissingStatus]]="READY"
  ),
  "ONE AWAY",
  "BLOCKED"
 )
)</f>
        <v>BLOCKED</v>
      </c>
      <c r="R437">
        <f>IF(
 OR(
  tblTargetStatus[[#This Row],[StateType]]="CHARACTER",
  RIGHT(tblTargetStatus[[#This Row],[TargetID]],6)=".maxed"
 ),
 0,
 _xlfn.LET(
  _xlpm.sort,
   _xlfn.XLOOKUP(
    tblTargetStatus[[#This Row],[TargetID]],
    tblChecklist[TargetID],
    tblChecklist[PlayerSort],
    0
   ),
  IF(_xlpm.sort=0,500,_xlpm.sort)
 )
)</f>
        <v>500</v>
      </c>
      <c r="S437" t="str" cm="1">
        <f t="array" ref="S43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Obtain Strawberry@F1 , Once Upon a Forest Chapter 1 Finished</v>
      </c>
      <c r="T437" t="str">
        <f>_xlfn.XLOOKUP(tblTargetStatus[[#This Row],[TargetID]],tblTargets[TargetID],tblTargets[CompletionMethod],"")</f>
        <v>PLAYER</v>
      </c>
      <c r="U437" t="b">
        <f>COUNTIF(
    tblCost[TargetID],
    tblTargetStatus[[#This Row],[TargetID]]
)&gt;0</f>
        <v>0</v>
      </c>
      <c r="V437" s="81" t="str">
        <f>IF(tblTargetStatus[[#This Row],[HasCost]]=FALSE,
"N/A",
_xlfn.XLOOKUP(
tblTargetStatus[[#This Row],[TargetID]],
tblCost[TargetID],
tblCost[FundingPercent],
""
)
)</f>
        <v>N/A</v>
      </c>
      <c r="W437" t="str">
        <f>IF(
COUNTIF(tblCost[TargetID],tblTargetStatus[[#This Row],[TargetID]])=0,
"",
_xlfn.XLOOKUP(
tblTargetStatus[[#This Row],[TargetID]],
tblCost[TargetID],
tblCost[RemainingRequirements],
""
)
)</f>
        <v/>
      </c>
      <c r="X437" s="79" t="str">
        <f>IF(tblTargetStatus[[#This Row],[HasCost]]=FALSE,"N/A",_xlfn.XLOOKUP(
tblTargetStatus[[#This Row],[TargetID]],
tblCost[TargetID],
tblCost[TargetFunded],
TRUE
))</f>
        <v>N/A</v>
      </c>
      <c r="Y437" t="str" cm="1">
        <f t="array" ref="Y437">_xlfn.TEXTJOIN(
", ",
TRUE,
_xlfn._xlws.FILTER(
tblCost[ResourceID]&amp;": "&amp;tblCost[QuantityRequired],
(tblCost[TargetID]=tblTargetStatus[[#This Row],[TargetID]])*
(tblCost[PlayerPaid]=FALSE),
""
)
)</f>
        <v/>
      </c>
      <c r="Z4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7" t="str" cm="1">
        <f t="array" ref="AA43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8" spans="1:27">
      <c r="A438" t="s">
        <v>5758</v>
      </c>
      <c r="B438" t="str">
        <f>_xlfn.XLOOKUP(tblTargetStatus[[#This Row],[TargetID]],tblTargets[TargetID],tblTargets[DisplayName],"")</f>
        <v>Meet Alchemist in 6D</v>
      </c>
      <c r="C438" t="str">
        <f>IF(tblTargetStatus[[#This Row],[PlayerCompleted]],"COMPLETED",IF(tblTargetStatus[[#This Row],[MissingDependencies]]=0,"READY","BLOCKED"))</f>
        <v>BLOCKED</v>
      </c>
      <c r="D4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8" t="str">
        <f>_xlfn.XLOOKUP(tblTargetStatus[[#This Row],[TargetID]],tblTargets[TargetID],tblTargets[TargetType],"")</f>
        <v>STATE</v>
      </c>
      <c r="F438" t="str">
        <f>_xlfn.XLOOKUP(tblTargetStatus[[#This Row],[TargetID]],tblTargets[TargetID],tblTargets[StateType])</f>
        <v>MEET</v>
      </c>
      <c r="G438">
        <f>_xlfn.LET(
_xlpm.id,tblTargetStatus[[#This Row],[TargetID]],
_xlpm.depCount,COUNTIF(tblDependencies[TargetID],_xlpm.id),
_xlpm.objCount,COUNTIF(tblQuestObjectives[QuestTargetID],_xlpm.id),
_xlpm.depCount+_xlpm.objCount
)</f>
        <v>1</v>
      </c>
      <c r="H438">
        <f>tblTargetStatus[[#This Row],[DependencyCount]]</f>
        <v>1</v>
      </c>
      <c r="I438" cm="1">
        <f t="array" ref="I4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8">
        <f>tblTargetStatus[[#This Row],[CompletedDependencyCount]]</f>
        <v>0</v>
      </c>
      <c r="K438" t="b">
        <f>tblTargetStatus[[#This Row],[CompletedDependencies]]=tblTargetStatus[[#This Row],[TotalDependencies]]</f>
        <v>0</v>
      </c>
      <c r="L438">
        <f>tblTargetStatus[[#This Row],[TotalDependencies]]-tblTargetStatus[[#This Row],[CompletedDependencies]]</f>
        <v>1</v>
      </c>
      <c r="M438" t="str" cm="1">
        <f t="array" ref="M4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quest.ahead_of_time_chapter_3.accepted</v>
      </c>
      <c r="N438" t="str">
        <f>IF(tblTargetStatus[[#This Row],[FirstMissingDependencyID]]="","",_xlfn.XLOOKUP(tblTargetStatus[[#This Row],[FirstMissingDependencyID]],tblTargets[TargetID],tblTargets[DisplayName],tblTargetStatus[[#This Row],[FirstMissingDependencyID]]))</f>
        <v>Ahead of Time Chapter 3 Accepted</v>
      </c>
      <c r="O438" s="2" t="str" cm="1">
        <f t="array" ref="O4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8" t="str">
        <f>IF(tblTargetStatus[[#This Row],[FirstMissingDependencyID]]="","",_xlfn.XLOOKUP(tblTargetStatus[[#This Row],[FirstMissingDependencyID]],tblTargetStatus[TargetID],tblTargetStatus[Status],""))</f>
        <v>BLOCKED</v>
      </c>
      <c r="Q438" t="str">
        <f>IF(
 tblTargetStatus[[#This Row],[Status]]&lt;&gt;"BLOCKED",
 tblTargetStatus[[#This Row],[Status]],
 IF(
  AND(
   tblTargetStatus[[#This Row],[MissingDependencies]]=1,
   tblTargetStatus[[#This Row],[FirstMissingStatus]]="READY"
  ),
  "ONE AWAY",
  "BLOCKED"
 )
)</f>
        <v>BLOCKED</v>
      </c>
      <c r="R438">
        <f>IF(
 OR(
  tblTargetStatus[[#This Row],[StateType]]="CHARACTER",
  RIGHT(tblTargetStatus[[#This Row],[TargetID]],6)=".maxed"
 ),
 0,
 _xlfn.LET(
  _xlpm.sort,
   _xlfn.XLOOKUP(
    tblTargetStatus[[#This Row],[TargetID]],
    tblChecklist[TargetID],
    tblChecklist[PlayerSort],
    0
   ),
  IF(_xlpm.sort=0,500,_xlpm.sort)
 )
)</f>
        <v>500</v>
      </c>
      <c r="S438" t="str" cm="1">
        <f t="array" ref="S43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3 Finished</v>
      </c>
      <c r="T438" t="str">
        <f>_xlfn.XLOOKUP(tblTargetStatus[[#This Row],[TargetID]],tblTargets[TargetID],tblTargets[CompletionMethod],"")</f>
        <v>PLAYER</v>
      </c>
      <c r="U438" t="b">
        <f>COUNTIF(
    tblCost[TargetID],
    tblTargetStatus[[#This Row],[TargetID]]
)&gt;0</f>
        <v>0</v>
      </c>
      <c r="V438" s="81" t="str">
        <f>IF(tblTargetStatus[[#This Row],[HasCost]]=FALSE,
"N/A",
_xlfn.XLOOKUP(
tblTargetStatus[[#This Row],[TargetID]],
tblCost[TargetID],
tblCost[FundingPercent],
""
)
)</f>
        <v>N/A</v>
      </c>
      <c r="W438" t="str">
        <f>IF(
COUNTIF(tblCost[TargetID],tblTargetStatus[[#This Row],[TargetID]])=0,
"",
_xlfn.XLOOKUP(
tblTargetStatus[[#This Row],[TargetID]],
tblCost[TargetID],
tblCost[RemainingRequirements],
""
)
)</f>
        <v/>
      </c>
      <c r="X438" s="79" t="str">
        <f>IF(tblTargetStatus[[#This Row],[HasCost]]=FALSE,"N/A",_xlfn.XLOOKUP(
tblTargetStatus[[#This Row],[TargetID]],
tblCost[TargetID],
tblCost[TargetFunded],
TRUE
))</f>
        <v>N/A</v>
      </c>
      <c r="Y438" t="str" cm="1">
        <f t="array" ref="Y438">_xlfn.TEXTJOIN(
", ",
TRUE,
_xlfn._xlws.FILTER(
tblCost[ResourceID]&amp;": "&amp;tblCost[QuantityRequired],
(tblCost[TargetID]=tblTargetStatus[[#This Row],[TargetID]])*
(tblCost[PlayerPaid]=FALSE),
""
)
)</f>
        <v/>
      </c>
      <c r="Z4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8" t="str" cm="1">
        <f t="array" ref="AA43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39" spans="1:27">
      <c r="A439" t="s">
        <v>3504</v>
      </c>
      <c r="B439" t="str">
        <f>_xlfn.XLOOKUP(tblTargetStatus[[#This Row],[TargetID]],tblTargets[TargetID],tblTargets[DisplayName],"")</f>
        <v>Meet Dark Lady@4A</v>
      </c>
      <c r="C439" t="str">
        <f>IF(tblTargetStatus[[#This Row],[PlayerCompleted]],"COMPLETED",IF(tblTargetStatus[[#This Row],[MissingDependencies]]=0,"READY","BLOCKED"))</f>
        <v>BLOCKED</v>
      </c>
      <c r="D4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9" t="str">
        <f>_xlfn.XLOOKUP(tblTargetStatus[[#This Row],[TargetID]],tblTargets[TargetID],tblTargets[TargetType],"")</f>
        <v>STATE</v>
      </c>
      <c r="F439" t="str">
        <f>_xlfn.XLOOKUP(tblTargetStatus[[#This Row],[TargetID]],tblTargets[TargetID],tblTargets[StateType])</f>
        <v>MEET</v>
      </c>
      <c r="G439">
        <f>_xlfn.LET(
_xlpm.id,tblTargetStatus[[#This Row],[TargetID]],
_xlpm.depCount,COUNTIF(tblDependencies[TargetID],_xlpm.id),
_xlpm.objCount,COUNTIF(tblQuestObjectives[QuestTargetID],_xlpm.id),
_xlpm.depCount+_xlpm.objCount
)</f>
        <v>1</v>
      </c>
      <c r="H439">
        <f>tblTargetStatus[[#This Row],[DependencyCount]]</f>
        <v>1</v>
      </c>
      <c r="I439" cm="1">
        <f t="array" ref="I4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9">
        <f>tblTargetStatus[[#This Row],[CompletedDependencyCount]]</f>
        <v>0</v>
      </c>
      <c r="K439" t="b">
        <f>tblTargetStatus[[#This Row],[CompletedDependencies]]=tblTargetStatus[[#This Row],[TotalDependencies]]</f>
        <v>0</v>
      </c>
      <c r="L439">
        <f>tblTargetStatus[[#This Row],[TotalDependencies]]-tblTargetStatus[[#This Row],[CompletedDependencies]]</f>
        <v>1</v>
      </c>
      <c r="M439" t="str" cm="1">
        <f t="array" ref="M4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quest.dragon_teeth.finished</v>
      </c>
      <c r="N439" t="str">
        <f>IF(tblTargetStatus[[#This Row],[FirstMissingDependencyID]]="","",_xlfn.XLOOKUP(tblTargetStatus[[#This Row],[FirstMissingDependencyID]],tblTargets[TargetID],tblTargets[DisplayName],tblTargetStatus[[#This Row],[FirstMissingDependencyID]]))</f>
        <v>Dragon teeth Finished</v>
      </c>
      <c r="O439" t="str" cm="1">
        <f t="array" ref="O4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9" t="str">
        <f>IF(tblTargetStatus[[#This Row],[FirstMissingDependencyID]]="","",_xlfn.XLOOKUP(tblTargetStatus[[#This Row],[FirstMissingDependencyID]],tblTargetStatus[TargetID],tblTargetStatus[Status],""))</f>
        <v>BLOCKED</v>
      </c>
      <c r="Q439" t="str">
        <f>IF(
 tblTargetStatus[[#This Row],[Status]]&lt;&gt;"BLOCKED",
 tblTargetStatus[[#This Row],[Status]],
 IF(
  AND(
   tblTargetStatus[[#This Row],[MissingDependencies]]=1,
   tblTargetStatus[[#This Row],[FirstMissingStatus]]="READY"
  ),
  "ONE AWAY",
  "BLOCKED"
 )
)</f>
        <v>BLOCKED</v>
      </c>
      <c r="R439">
        <f>IF(
 OR(
  tblTargetStatus[[#This Row],[StateType]]="CHARACTER",
  RIGHT(tblTargetStatus[[#This Row],[TargetID]],6)=".maxed"
 ),
 0,
 _xlfn.LET(
  _xlpm.sort,
   _xlfn.XLOOKUP(
    tblTargetStatus[[#This Row],[TargetID]],
    tblChecklist[TargetID],
    tblChecklist[PlayerSort],
    0
   ),
  IF(_xlpm.sort=0,500,_xlpm.sort)
 )
)</f>
        <v>500</v>
      </c>
      <c r="S439" t="str" cm="1">
        <f t="array" ref="S43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Ring of the Dark Lady Accepted</v>
      </c>
      <c r="T439" t="str">
        <f>_xlfn.XLOOKUP(tblTargetStatus[[#This Row],[TargetID]],tblTargets[TargetID],tblTargets[CompletionMethod],"")</f>
        <v>PLAYER</v>
      </c>
      <c r="U439" t="b">
        <f>COUNTIF(
    tblCost[TargetID],
    tblTargetStatus[[#This Row],[TargetID]]
)&gt;0</f>
        <v>0</v>
      </c>
      <c r="V439" s="81" t="str">
        <f>IF(tblTargetStatus[[#This Row],[HasCost]]=FALSE,
"N/A",
_xlfn.XLOOKUP(
tblTargetStatus[[#This Row],[TargetID]],
tblCost[TargetID],
tblCost[FundingPercent],
""
)
)</f>
        <v>N/A</v>
      </c>
      <c r="W439" t="str">
        <f>IF(
COUNTIF(tblCost[TargetID],tblTargetStatus[[#This Row],[TargetID]])=0,
"",
_xlfn.XLOOKUP(
tblTargetStatus[[#This Row],[TargetID]],
tblCost[TargetID],
tblCost[RemainingRequirements],
""
)
)</f>
        <v/>
      </c>
      <c r="X439" s="79" t="str">
        <f>IF(tblTargetStatus[[#This Row],[HasCost]]=FALSE,"N/A",_xlfn.XLOOKUP(
tblTargetStatus[[#This Row],[TargetID]],
tblCost[TargetID],
tblCost[TargetFunded],
TRUE
))</f>
        <v>N/A</v>
      </c>
      <c r="Y439" t="str" cm="1">
        <f t="array" ref="Y439">_xlfn.TEXTJOIN(
", ",
TRUE,
_xlfn._xlws.FILTER(
tblCost[ResourceID]&amp;": "&amp;tblCost[QuantityRequired],
(tblCost[TargetID]=tblTargetStatus[[#This Row],[TargetID]])*
(tblCost[PlayerPaid]=FALSE),
""
)
)</f>
        <v/>
      </c>
      <c r="Z4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9" t="str" cm="1">
        <f t="array" ref="AA43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Ring of the Dark Lady</v>
      </c>
    </row>
    <row r="440" spans="1:27">
      <c r="A440" t="s">
        <v>3494</v>
      </c>
      <c r="B440" t="str">
        <f>_xlfn.XLOOKUP(tblTargetStatus[[#This Row],[TargetID]],tblTargets[TargetID],tblTargets[DisplayName],"")</f>
        <v>Meet Dark Lady@6A</v>
      </c>
      <c r="C440" t="str">
        <f>IF(tblTargetStatus[[#This Row],[PlayerCompleted]],"COMPLETED",IF(tblTargetStatus[[#This Row],[MissingDependencies]]=0,"READY","BLOCKED"))</f>
        <v>BLOCKED</v>
      </c>
      <c r="D4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0" t="str">
        <f>_xlfn.XLOOKUP(tblTargetStatus[[#This Row],[TargetID]],tblTargets[TargetID],tblTargets[TargetType],"")</f>
        <v>STATE</v>
      </c>
      <c r="F440" t="str">
        <f>_xlfn.XLOOKUP(tblTargetStatus[[#This Row],[TargetID]],tblTargets[TargetID],tblTargets[StateType])</f>
        <v>MEET</v>
      </c>
      <c r="G440">
        <f>_xlfn.LET(
_xlpm.id,tblTargetStatus[[#This Row],[TargetID]],
_xlpm.depCount,COUNTIF(tblDependencies[TargetID],_xlpm.id),
_xlpm.objCount,COUNTIF(tblQuestObjectives[QuestTargetID],_xlpm.id),
_xlpm.depCount+_xlpm.objCount
)</f>
        <v>1</v>
      </c>
      <c r="H440">
        <f>tblTargetStatus[[#This Row],[DependencyCount]]</f>
        <v>1</v>
      </c>
      <c r="I440" cm="1">
        <f t="array" ref="I4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0">
        <f>tblTargetStatus[[#This Row],[CompletedDependencyCount]]</f>
        <v>0</v>
      </c>
      <c r="K440" t="b">
        <f>tblTargetStatus[[#This Row],[CompletedDependencies]]=tblTargetStatus[[#This Row],[TotalDependencies]]</f>
        <v>0</v>
      </c>
      <c r="L440">
        <f>tblTargetStatus[[#This Row],[TotalDependencies]]-tblTargetStatus[[#This Row],[CompletedDependencies]]</f>
        <v>1</v>
      </c>
      <c r="M440" t="str" cm="1">
        <f t="array" ref="M4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quest.the_ordinary_days_of_an_adventurer_chapter_2.finished</v>
      </c>
      <c r="N440" t="str">
        <f>IF(tblTargetStatus[[#This Row],[FirstMissingDependencyID]]="","",_xlfn.XLOOKUP(tblTargetStatus[[#This Row],[FirstMissingDependencyID]],tblTargets[TargetID],tblTargets[DisplayName],tblTargetStatus[[#This Row],[FirstMissingDependencyID]]))</f>
        <v>The Ordinary Days of an Adventurer Chapter 2 Finished</v>
      </c>
      <c r="O440" t="str" cm="1">
        <f t="array" ref="O4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0" t="str">
        <f>IF(tblTargetStatus[[#This Row],[FirstMissingDependencyID]]="","",_xlfn.XLOOKUP(tblTargetStatus[[#This Row],[FirstMissingDependencyID]],tblTargetStatus[TargetID],tblTargetStatus[Status],""))</f>
        <v>BLOCKED</v>
      </c>
      <c r="Q440" t="str">
        <f>IF(
 tblTargetStatus[[#This Row],[Status]]&lt;&gt;"BLOCKED",
 tblTargetStatus[[#This Row],[Status]],
 IF(
  AND(
   tblTargetStatus[[#This Row],[MissingDependencies]]=1,
   tblTargetStatus[[#This Row],[FirstMissingStatus]]="READY"
  ),
  "ONE AWAY",
  "BLOCKED"
 )
)</f>
        <v>BLOCKED</v>
      </c>
      <c r="R440">
        <f>IF(
 OR(
  tblTargetStatus[[#This Row],[StateType]]="CHARACTER",
  RIGHT(tblTargetStatus[[#This Row],[TargetID]],6)=".maxed"
 ),
 0,
 _xlfn.LET(
  _xlpm.sort,
   _xlfn.XLOOKUP(
    tblTargetStatus[[#This Row],[TargetID]],
    tblChecklist[TargetID],
    tblChecklist[PlayerSort],
    0
   ),
  IF(_xlpm.sort=0,500,_xlpm.sort)
 )
)</f>
        <v>500</v>
      </c>
      <c r="S440" t="str" cm="1">
        <f t="array" ref="S44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3 Accepted</v>
      </c>
      <c r="T440" t="str">
        <f>_xlfn.XLOOKUP(tblTargetStatus[[#This Row],[TargetID]],tblTargets[TargetID],tblTargets[CompletionMethod],"")</f>
        <v>PLAYER</v>
      </c>
      <c r="U440" t="b">
        <f>COUNTIF(
    tblCost[TargetID],
    tblTargetStatus[[#This Row],[TargetID]]
)&gt;0</f>
        <v>0</v>
      </c>
      <c r="V440" s="81" t="str">
        <f>IF(tblTargetStatus[[#This Row],[HasCost]]=FALSE,
"N/A",
_xlfn.XLOOKUP(
tblTargetStatus[[#This Row],[TargetID]],
tblCost[TargetID],
tblCost[FundingPercent],
""
)
)</f>
        <v>N/A</v>
      </c>
      <c r="W440" t="str">
        <f>IF(
COUNTIF(tblCost[TargetID],tblTargetStatus[[#This Row],[TargetID]])=0,
"",
_xlfn.XLOOKUP(
tblTargetStatus[[#This Row],[TargetID]],
tblCost[TargetID],
tblCost[RemainingRequirements],
""
)
)</f>
        <v/>
      </c>
      <c r="X440" s="79" t="str">
        <f>IF(tblTargetStatus[[#This Row],[HasCost]]=FALSE,"N/A",_xlfn.XLOOKUP(
tblTargetStatus[[#This Row],[TargetID]],
tblCost[TargetID],
tblCost[TargetFunded],
TRUE
))</f>
        <v>N/A</v>
      </c>
      <c r="Y440" t="str" cm="1">
        <f t="array" ref="Y440">_xlfn.TEXTJOIN(
", ",
TRUE,
_xlfn._xlws.FILTER(
tblCost[ResourceID]&amp;": "&amp;tblCost[QuantityRequired],
(tblCost[TargetID]=tblTargetStatus[[#This Row],[TargetID]])*
(tblCost[PlayerPaid]=FALSE),
""
)
)</f>
        <v/>
      </c>
      <c r="Z4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0" t="str" cm="1">
        <f t="array" ref="AA44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3</v>
      </c>
    </row>
    <row r="441" spans="1:27">
      <c r="A441" t="s">
        <v>3497</v>
      </c>
      <c r="B441" t="str">
        <f>_xlfn.XLOOKUP(tblTargetStatus[[#This Row],[TargetID]],tblTargets[TargetID],tblTargets[DisplayName],"")</f>
        <v>Meet Dark Lady@6B</v>
      </c>
      <c r="C441" t="str">
        <f>IF(tblTargetStatus[[#This Row],[PlayerCompleted]],"COMPLETED",IF(tblTargetStatus[[#This Row],[MissingDependencies]]=0,"READY","BLOCKED"))</f>
        <v>BLOCKED</v>
      </c>
      <c r="D4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1" t="str">
        <f>_xlfn.XLOOKUP(tblTargetStatus[[#This Row],[TargetID]],tblTargets[TargetID],tblTargets[TargetType],"")</f>
        <v>STATE</v>
      </c>
      <c r="F441" t="str">
        <f>_xlfn.XLOOKUP(tblTargetStatus[[#This Row],[TargetID]],tblTargets[TargetID],tblTargets[StateType])</f>
        <v>MEET</v>
      </c>
      <c r="G441">
        <f>_xlfn.LET(
_xlpm.id,tblTargetStatus[[#This Row],[TargetID]],
_xlpm.depCount,COUNTIF(tblDependencies[TargetID],_xlpm.id),
_xlpm.objCount,COUNTIF(tblQuestObjectives[QuestTargetID],_xlpm.id),
_xlpm.depCount+_xlpm.objCount
)</f>
        <v>1</v>
      </c>
      <c r="H441">
        <f>tblTargetStatus[[#This Row],[DependencyCount]]</f>
        <v>1</v>
      </c>
      <c r="I441" cm="1">
        <f t="array" ref="I4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1">
        <f>tblTargetStatus[[#This Row],[CompletedDependencyCount]]</f>
        <v>0</v>
      </c>
      <c r="K441" t="b">
        <f>tblTargetStatus[[#This Row],[CompletedDependencies]]=tblTargetStatus[[#This Row],[TotalDependencies]]</f>
        <v>0</v>
      </c>
      <c r="L441">
        <f>tblTargetStatus[[#This Row],[TotalDependencies]]-tblTargetStatus[[#This Row],[CompletedDependencies]]</f>
        <v>1</v>
      </c>
      <c r="M441" t="str" cm="1">
        <f t="array" ref="M4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quest.the_ordinary_days_of_an_adventurer_chapter_3.finished</v>
      </c>
      <c r="N441" t="str">
        <f>IF(tblTargetStatus[[#This Row],[FirstMissingDependencyID]]="","",_xlfn.XLOOKUP(tblTargetStatus[[#This Row],[FirstMissingDependencyID]],tblTargets[TargetID],tblTargets[DisplayName],tblTargetStatus[[#This Row],[FirstMissingDependencyID]]))</f>
        <v>The Ordinary Days of an Adventurer Chapter 3 Finished</v>
      </c>
      <c r="O441" t="str" cm="1">
        <f t="array" ref="O4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1" t="str">
        <f>IF(tblTargetStatus[[#This Row],[FirstMissingDependencyID]]="","",_xlfn.XLOOKUP(tblTargetStatus[[#This Row],[FirstMissingDependencyID]],tblTargetStatus[TargetID],tblTargetStatus[Status],""))</f>
        <v>BLOCKED</v>
      </c>
      <c r="Q441" t="str">
        <f>IF(
 tblTargetStatus[[#This Row],[Status]]&lt;&gt;"BLOCKED",
 tblTargetStatus[[#This Row],[Status]],
 IF(
  AND(
   tblTargetStatus[[#This Row],[MissingDependencies]]=1,
   tblTargetStatus[[#This Row],[FirstMissingStatus]]="READY"
  ),
  "ONE AWAY",
  "BLOCKED"
 )
)</f>
        <v>BLOCKED</v>
      </c>
      <c r="R441">
        <f>IF(
 OR(
  tblTargetStatus[[#This Row],[StateType]]="CHARACTER",
  RIGHT(tblTargetStatus[[#This Row],[TargetID]],6)=".maxed"
 ),
 0,
 _xlfn.LET(
  _xlpm.sort,
   _xlfn.XLOOKUP(
    tblTargetStatus[[#This Row],[TargetID]],
    tblChecklist[TargetID],
    tblChecklist[PlayerSort],
    0
   ),
  IF(_xlpm.sort=0,500,_xlpm.sort)
 )
)</f>
        <v>500</v>
      </c>
      <c r="S441" t="str" cm="1">
        <f t="array" ref="S44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4 Accepted</v>
      </c>
      <c r="T441" t="str">
        <f>_xlfn.XLOOKUP(tblTargetStatus[[#This Row],[TargetID]],tblTargets[TargetID],tblTargets[CompletionMethod],"")</f>
        <v>PLAYER</v>
      </c>
      <c r="U441" t="b">
        <f>COUNTIF(
    tblCost[TargetID],
    tblTargetStatus[[#This Row],[TargetID]]
)&gt;0</f>
        <v>0</v>
      </c>
      <c r="V441" s="81" t="str">
        <f>IF(tblTargetStatus[[#This Row],[HasCost]]=FALSE,
"N/A",
_xlfn.XLOOKUP(
tblTargetStatus[[#This Row],[TargetID]],
tblCost[TargetID],
tblCost[FundingPercent],
""
)
)</f>
        <v>N/A</v>
      </c>
      <c r="W441" t="str">
        <f>IF(
COUNTIF(tblCost[TargetID],tblTargetStatus[[#This Row],[TargetID]])=0,
"",
_xlfn.XLOOKUP(
tblTargetStatus[[#This Row],[TargetID]],
tblCost[TargetID],
tblCost[RemainingRequirements],
""
)
)</f>
        <v/>
      </c>
      <c r="X441" s="79" t="str">
        <f>IF(tblTargetStatus[[#This Row],[HasCost]]=FALSE,"N/A",_xlfn.XLOOKUP(
tblTargetStatus[[#This Row],[TargetID]],
tblCost[TargetID],
tblCost[TargetFunded],
TRUE
))</f>
        <v>N/A</v>
      </c>
      <c r="Y441" t="str" cm="1">
        <f t="array" ref="Y441">_xlfn.TEXTJOIN(
", ",
TRUE,
_xlfn._xlws.FILTER(
tblCost[ResourceID]&amp;": "&amp;tblCost[QuantityRequired],
(tblCost[TargetID]=tblTargetStatus[[#This Row],[TargetID]])*
(tblCost[PlayerPaid]=FALSE),
""
)
)</f>
        <v/>
      </c>
      <c r="Z4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1" t="str" cm="1">
        <f t="array" ref="AA44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4</v>
      </c>
    </row>
    <row r="442" spans="1:27">
      <c r="A442" t="s">
        <v>3460</v>
      </c>
      <c r="B442" t="str">
        <f>_xlfn.XLOOKUP(tblTargetStatus[[#This Row],[TargetID]],tblTargets[TargetID],tblTargets[DisplayName],"")</f>
        <v>Meet Dark Lady@F2</v>
      </c>
      <c r="C442" t="str">
        <f>IF(tblTargetStatus[[#This Row],[PlayerCompleted]],"COMPLETED",IF(tblTargetStatus[[#This Row],[MissingDependencies]]=0,"READY","BLOCKED"))</f>
        <v>BLOCKED</v>
      </c>
      <c r="D4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2" t="str">
        <f>_xlfn.XLOOKUP(tblTargetStatus[[#This Row],[TargetID]],tblTargets[TargetID],tblTargets[TargetType],"")</f>
        <v>STATE</v>
      </c>
      <c r="F442" t="str">
        <f>_xlfn.XLOOKUP(tblTargetStatus[[#This Row],[TargetID]],tblTargets[TargetID],tblTargets[StateType])</f>
        <v>MEET</v>
      </c>
      <c r="G442">
        <f>_xlfn.LET(
_xlpm.id,tblTargetStatus[[#This Row],[TargetID]],
_xlpm.depCount,COUNTIF(tblDependencies[TargetID],_xlpm.id),
_xlpm.objCount,COUNTIF(tblQuestObjectives[QuestTargetID],_xlpm.id),
_xlpm.depCount+_xlpm.objCount
)</f>
        <v>1</v>
      </c>
      <c r="H442">
        <f>tblTargetStatus[[#This Row],[DependencyCount]]</f>
        <v>1</v>
      </c>
      <c r="I442" cm="1">
        <f t="array" ref="I4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2">
        <f>tblTargetStatus[[#This Row],[CompletedDependencyCount]]</f>
        <v>0</v>
      </c>
      <c r="K442" t="b">
        <f>tblTargetStatus[[#This Row],[CompletedDependencies]]=tblTargetStatus[[#This Row],[TotalDependencies]]</f>
        <v>0</v>
      </c>
      <c r="L442">
        <f>tblTargetStatus[[#This Row],[TotalDependencies]]-tblTargetStatus[[#This Row],[CompletedDependencies]]</f>
        <v>1</v>
      </c>
      <c r="M442" t="str" cm="1">
        <f t="array" ref="M4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quest.once_upon_a_forest_chapter_6.finished</v>
      </c>
      <c r="N442" t="str">
        <f>IF(tblTargetStatus[[#This Row],[FirstMissingDependencyID]]="","",_xlfn.XLOOKUP(tblTargetStatus[[#This Row],[FirstMissingDependencyID]],tblTargets[TargetID],tblTargets[DisplayName],tblTargetStatus[[#This Row],[FirstMissingDependencyID]]))</f>
        <v>Once Upon a Forest Chapter 6 Finished</v>
      </c>
      <c r="O442" t="str" cm="1">
        <f t="array" ref="O4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2" t="str">
        <f>IF(tblTargetStatus[[#This Row],[FirstMissingDependencyID]]="","",_xlfn.XLOOKUP(tblTargetStatus[[#This Row],[FirstMissingDependencyID]],tblTargetStatus[TargetID],tblTargetStatus[Status],""))</f>
        <v>BLOCKED</v>
      </c>
      <c r="Q442" t="str">
        <f>IF(
 tblTargetStatus[[#This Row],[Status]]&lt;&gt;"BLOCKED",
 tblTargetStatus[[#This Row],[Status]],
 IF(
  AND(
   tblTargetStatus[[#This Row],[MissingDependencies]]=1,
   tblTargetStatus[[#This Row],[FirstMissingStatus]]="READY"
  ),
  "ONE AWAY",
  "BLOCKED"
 )
)</f>
        <v>BLOCKED</v>
      </c>
      <c r="R442">
        <f>IF(
 OR(
  tblTargetStatus[[#This Row],[StateType]]="CHARACTER",
  RIGHT(tblTargetStatus[[#This Row],[TargetID]],6)=".maxed"
 ),
 0,
 _xlfn.LET(
  _xlpm.sort,
   _xlfn.XLOOKUP(
    tblTargetStatus[[#This Row],[TargetID]],
    tblChecklist[TargetID],
    tblChecklist[PlayerSort],
    0
   ),
  IF(_xlpm.sort=0,500,_xlpm.sort)
 )
)</f>
        <v>500</v>
      </c>
      <c r="S442" t="str" cm="1">
        <f t="array" ref="S44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7 Accepted</v>
      </c>
      <c r="T442" t="str">
        <f>_xlfn.XLOOKUP(tblTargetStatus[[#This Row],[TargetID]],tblTargets[TargetID],tblTargets[CompletionMethod],"")</f>
        <v>PLAYER</v>
      </c>
      <c r="U442" t="b">
        <f>COUNTIF(
    tblCost[TargetID],
    tblTargetStatus[[#This Row],[TargetID]]
)&gt;0</f>
        <v>0</v>
      </c>
      <c r="V442" s="81" t="str">
        <f>IF(tblTargetStatus[[#This Row],[HasCost]]=FALSE,
"N/A",
_xlfn.XLOOKUP(
tblTargetStatus[[#This Row],[TargetID]],
tblCost[TargetID],
tblCost[FundingPercent],
""
)
)</f>
        <v>N/A</v>
      </c>
      <c r="W442" t="str">
        <f>IF(
COUNTIF(tblCost[TargetID],tblTargetStatus[[#This Row],[TargetID]])=0,
"",
_xlfn.XLOOKUP(
tblTargetStatus[[#This Row],[TargetID]],
tblCost[TargetID],
tblCost[RemainingRequirements],
""
)
)</f>
        <v/>
      </c>
      <c r="X442" s="79" t="str">
        <f>IF(tblTargetStatus[[#This Row],[HasCost]]=FALSE,"N/A",_xlfn.XLOOKUP(
tblTargetStatus[[#This Row],[TargetID]],
tblCost[TargetID],
tblCost[TargetFunded],
TRUE
))</f>
        <v>N/A</v>
      </c>
      <c r="Y442" t="str" cm="1">
        <f t="array" ref="Y442">_xlfn.TEXTJOIN(
", ",
TRUE,
_xlfn._xlws.FILTER(
tblCost[ResourceID]&amp;": "&amp;tblCost[QuantityRequired],
(tblCost[TargetID]=tblTargetStatus[[#This Row],[TargetID]])*
(tblCost[PlayerPaid]=FALSE),
""
)
)</f>
        <v/>
      </c>
      <c r="Z4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2" t="str" cm="1">
        <f t="array" ref="AA44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7</v>
      </c>
    </row>
    <row r="443" spans="1:27">
      <c r="A443" t="s">
        <v>5759</v>
      </c>
      <c r="B443" t="str">
        <f>_xlfn.XLOOKUP(tblTargetStatus[[#This Row],[TargetID]],tblTargets[TargetID],tblTargets[DisplayName],"")</f>
        <v>Meet Dark Lady in 6D</v>
      </c>
      <c r="C443" t="str">
        <f>IF(tblTargetStatus[[#This Row],[PlayerCompleted]],"COMPLETED",IF(tblTargetStatus[[#This Row],[MissingDependencies]]=0,"READY","BLOCKED"))</f>
        <v>BLOCKED</v>
      </c>
      <c r="D4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3" t="str">
        <f>_xlfn.XLOOKUP(tblTargetStatus[[#This Row],[TargetID]],tblTargets[TargetID],tblTargets[TargetType],"")</f>
        <v>STATE</v>
      </c>
      <c r="F443" t="str">
        <f>_xlfn.XLOOKUP(tblTargetStatus[[#This Row],[TargetID]],tblTargets[TargetID],tblTargets[StateType])</f>
        <v>MEET</v>
      </c>
      <c r="G443">
        <f>_xlfn.LET(
_xlpm.id,tblTargetStatus[[#This Row],[TargetID]],
_xlpm.depCount,COUNTIF(tblDependencies[TargetID],_xlpm.id),
_xlpm.objCount,COUNTIF(tblQuestObjectives[QuestTargetID],_xlpm.id),
_xlpm.depCount+_xlpm.objCount
)</f>
        <v>1</v>
      </c>
      <c r="H443">
        <f>tblTargetStatus[[#This Row],[DependencyCount]]</f>
        <v>1</v>
      </c>
      <c r="I443" cm="1">
        <f t="array" ref="I4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3">
        <f>tblTargetStatus[[#This Row],[CompletedDependencyCount]]</f>
        <v>0</v>
      </c>
      <c r="K443" t="b">
        <f>tblTargetStatus[[#This Row],[CompletedDependencies]]=tblTargetStatus[[#This Row],[TotalDependencies]]</f>
        <v>0</v>
      </c>
      <c r="L443">
        <f>tblTargetStatus[[#This Row],[TotalDependencies]]-tblTargetStatus[[#This Row],[CompletedDependencies]]</f>
        <v>1</v>
      </c>
      <c r="M443" t="str" cm="1">
        <f t="array" ref="M4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quest.ahead_of_time_chapter_3.accepted</v>
      </c>
      <c r="N443" t="str">
        <f>IF(tblTargetStatus[[#This Row],[FirstMissingDependencyID]]="","",_xlfn.XLOOKUP(tblTargetStatus[[#This Row],[FirstMissingDependencyID]],tblTargets[TargetID],tblTargets[DisplayName],tblTargetStatus[[#This Row],[FirstMissingDependencyID]]))</f>
        <v>Ahead of Time Chapter 3 Accepted</v>
      </c>
      <c r="O443" s="2" t="str" cm="1">
        <f t="array" ref="O4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3" t="str">
        <f>IF(tblTargetStatus[[#This Row],[FirstMissingDependencyID]]="","",_xlfn.XLOOKUP(tblTargetStatus[[#This Row],[FirstMissingDependencyID]],tblTargetStatus[TargetID],tblTargetStatus[Status],""))</f>
        <v>BLOCKED</v>
      </c>
      <c r="Q443" t="str">
        <f>IF(
 tblTargetStatus[[#This Row],[Status]]&lt;&gt;"BLOCKED",
 tblTargetStatus[[#This Row],[Status]],
 IF(
  AND(
   tblTargetStatus[[#This Row],[MissingDependencies]]=1,
   tblTargetStatus[[#This Row],[FirstMissingStatus]]="READY"
  ),
  "ONE AWAY",
  "BLOCKED"
 )
)</f>
        <v>BLOCKED</v>
      </c>
      <c r="R443">
        <f>IF(
 OR(
  tblTargetStatus[[#This Row],[StateType]]="CHARACTER",
  RIGHT(tblTargetStatus[[#This Row],[TargetID]],6)=".maxed"
 ),
 0,
 _xlfn.LET(
  _xlpm.sort,
   _xlfn.XLOOKUP(
    tblTargetStatus[[#This Row],[TargetID]],
    tblChecklist[TargetID],
    tblChecklist[PlayerSort],
    0
   ),
  IF(_xlpm.sort=0,500,_xlpm.sort)
 )
)</f>
        <v>500</v>
      </c>
      <c r="S443" t="str" cm="1">
        <f t="array" ref="S44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3 Finished</v>
      </c>
      <c r="T443" t="str">
        <f>_xlfn.XLOOKUP(tblTargetStatus[[#This Row],[TargetID]],tblTargets[TargetID],tblTargets[CompletionMethod],"")</f>
        <v>PLAYER</v>
      </c>
      <c r="U443" t="b">
        <f>COUNTIF(
    tblCost[TargetID],
    tblTargetStatus[[#This Row],[TargetID]]
)&gt;0</f>
        <v>0</v>
      </c>
      <c r="V443" s="81" t="str">
        <f>IF(tblTargetStatus[[#This Row],[HasCost]]=FALSE,
"N/A",
_xlfn.XLOOKUP(
tblTargetStatus[[#This Row],[TargetID]],
tblCost[TargetID],
tblCost[FundingPercent],
""
)
)</f>
        <v>N/A</v>
      </c>
      <c r="W443" t="str">
        <f>IF(
COUNTIF(tblCost[TargetID],tblTargetStatus[[#This Row],[TargetID]])=0,
"",
_xlfn.XLOOKUP(
tblTargetStatus[[#This Row],[TargetID]],
tblCost[TargetID],
tblCost[RemainingRequirements],
""
)
)</f>
        <v/>
      </c>
      <c r="X443" s="79" t="str">
        <f>IF(tblTargetStatus[[#This Row],[HasCost]]=FALSE,"N/A",_xlfn.XLOOKUP(
tblTargetStatus[[#This Row],[TargetID]],
tblCost[TargetID],
tblCost[TargetFunded],
TRUE
))</f>
        <v>N/A</v>
      </c>
      <c r="Y443" t="str" cm="1">
        <f t="array" ref="Y443">_xlfn.TEXTJOIN(
", ",
TRUE,
_xlfn._xlws.FILTER(
tblCost[ResourceID]&amp;": "&amp;tblCost[QuantityRequired],
(tblCost[TargetID]=tblTargetStatus[[#This Row],[TargetID]])*
(tblCost[PlayerPaid]=FALSE),
""
)
)</f>
        <v/>
      </c>
      <c r="Z4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3" t="str" cm="1">
        <f t="array" ref="AA44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44" spans="1:27">
      <c r="A444" t="s">
        <v>3438</v>
      </c>
      <c r="B444" t="str">
        <f>_xlfn.XLOOKUP(tblTargetStatus[[#This Row],[TargetID]],tblTargets[TargetID],tblTargets[DisplayName],"")</f>
        <v>Meet Fat Demon@4A</v>
      </c>
      <c r="C444" t="str">
        <f>IF(tblTargetStatus[[#This Row],[PlayerCompleted]],"COMPLETED",IF(tblTargetStatus[[#This Row],[MissingDependencies]]=0,"READY","BLOCKED"))</f>
        <v>BLOCKED</v>
      </c>
      <c r="D4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4" t="str">
        <f>_xlfn.XLOOKUP(tblTargetStatus[[#This Row],[TargetID]],tblTargets[TargetID],tblTargets[TargetType],"")</f>
        <v>STATE</v>
      </c>
      <c r="F444" t="str">
        <f>_xlfn.XLOOKUP(tblTargetStatus[[#This Row],[TargetID]],tblTargets[TargetID],tblTargets[StateType])</f>
        <v>MEET</v>
      </c>
      <c r="G444">
        <f>_xlfn.LET(
_xlpm.id,tblTargetStatus[[#This Row],[TargetID]],
_xlpm.depCount,COUNTIF(tblDependencies[TargetID],_xlpm.id),
_xlpm.objCount,COUNTIF(tblQuestObjectives[QuestTargetID],_xlpm.id),
_xlpm.depCount+_xlpm.objCount
)</f>
        <v>1</v>
      </c>
      <c r="H444">
        <f>tblTargetStatus[[#This Row],[DependencyCount]]</f>
        <v>1</v>
      </c>
      <c r="I444" cm="1">
        <f t="array" ref="I4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4">
        <f>tblTargetStatus[[#This Row],[CompletedDependencyCount]]</f>
        <v>0</v>
      </c>
      <c r="K444" t="b">
        <f>tblTargetStatus[[#This Row],[CompletedDependencies]]=tblTargetStatus[[#This Row],[TotalDependencies]]</f>
        <v>0</v>
      </c>
      <c r="L444">
        <f>tblTargetStatus[[#This Row],[TotalDependencies]]-tblTargetStatus[[#This Row],[CompletedDependencies]]</f>
        <v>1</v>
      </c>
      <c r="M444" t="str" cm="1">
        <f t="array" ref="M4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building.dungeon@4</v>
      </c>
      <c r="N444" t="str">
        <f>IF(tblTargetStatus[[#This Row],[FirstMissingDependencyID]]="","",_xlfn.XLOOKUP(tblTargetStatus[[#This Row],[FirstMissingDependencyID]],tblTargets[TargetID],tblTargets[DisplayName],tblTargetStatus[[#This Row],[FirstMissingDependencyID]]))</f>
        <v>Dungeon Lv 4</v>
      </c>
      <c r="O444" t="str" cm="1">
        <f t="array" ref="O4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4" t="str">
        <f>IF(tblTargetStatus[[#This Row],[FirstMissingDependencyID]]="","",_xlfn.XLOOKUP(tblTargetStatus[[#This Row],[FirstMissingDependencyID]],tblTargetStatus[TargetID],tblTargetStatus[Status],""))</f>
        <v>BLOCKED</v>
      </c>
      <c r="Q444" t="str">
        <f>IF(
 tblTargetStatus[[#This Row],[Status]]&lt;&gt;"BLOCKED",
 tblTargetStatus[[#This Row],[Status]],
 IF(
  AND(
   tblTargetStatus[[#This Row],[MissingDependencies]]=1,
   tblTargetStatus[[#This Row],[FirstMissingStatus]]="READY"
  ),
  "ONE AWAY",
  "BLOCKED"
 )
)</f>
        <v>BLOCKED</v>
      </c>
      <c r="R444">
        <f>IF(
 OR(
  tblTargetStatus[[#This Row],[StateType]]="CHARACTER",
  RIGHT(tblTargetStatus[[#This Row],[TargetID]],6)=".maxed"
 ),
 0,
 _xlfn.LET(
  _xlpm.sort,
   _xlfn.XLOOKUP(
    tblTargetStatus[[#This Row],[TargetID]],
    tblChecklist[TargetID],
    tblChecklist[PlayerSort],
    0
   ),
  IF(_xlpm.sort=0,500,_xlpm.sort)
 )
)</f>
        <v>500</v>
      </c>
      <c r="S444" t="str" cm="1">
        <f t="array" ref="S44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Culinary Battle Accepted</v>
      </c>
      <c r="T444" t="str">
        <f>_xlfn.XLOOKUP(tblTargetStatus[[#This Row],[TargetID]],tblTargets[TargetID],tblTargets[CompletionMethod],"")</f>
        <v>PLAYER</v>
      </c>
      <c r="U444" t="b">
        <f>COUNTIF(
    tblCost[TargetID],
    tblTargetStatus[[#This Row],[TargetID]]
)&gt;0</f>
        <v>0</v>
      </c>
      <c r="V444" s="81" t="str">
        <f>IF(tblTargetStatus[[#This Row],[HasCost]]=FALSE,
"N/A",
_xlfn.XLOOKUP(
tblTargetStatus[[#This Row],[TargetID]],
tblCost[TargetID],
tblCost[FundingPercent],
""
)
)</f>
        <v>N/A</v>
      </c>
      <c r="W444" t="str">
        <f>IF(
COUNTIF(tblCost[TargetID],tblTargetStatus[[#This Row],[TargetID]])=0,
"",
_xlfn.XLOOKUP(
tblTargetStatus[[#This Row],[TargetID]],
tblCost[TargetID],
tblCost[RemainingRequirements],
""
)
)</f>
        <v/>
      </c>
      <c r="X444" s="79" t="str">
        <f>IF(tblTargetStatus[[#This Row],[HasCost]]=FALSE,"N/A",_xlfn.XLOOKUP(
tblTargetStatus[[#This Row],[TargetID]],
tblCost[TargetID],
tblCost[TargetFunded],
TRUE
))</f>
        <v>N/A</v>
      </c>
      <c r="Y444" t="str" cm="1">
        <f t="array" ref="Y444">_xlfn.TEXTJOIN(
", ",
TRUE,
_xlfn._xlws.FILTER(
tblCost[ResourceID]&amp;": "&amp;tblCost[QuantityRequired],
(tblCost[TargetID]=tblTargetStatus[[#This Row],[TargetID]])*
(tblCost[PlayerPaid]=FALSE),
""
)
)</f>
        <v/>
      </c>
      <c r="Z4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4" t="str" cm="1">
        <f t="array" ref="AA44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Culinary Battle</v>
      </c>
    </row>
    <row r="445" spans="1:27">
      <c r="A445" t="s">
        <v>3474</v>
      </c>
      <c r="B445" t="str">
        <f>_xlfn.XLOOKUP(tblTargetStatus[[#This Row],[TargetID]],tblTargets[TargetID],tblTargets[DisplayName],"")</f>
        <v>Meet Foodie Demon@F2</v>
      </c>
      <c r="C445" t="str">
        <f>IF(tblTargetStatus[[#This Row],[PlayerCompleted]],"COMPLETED",IF(tblTargetStatus[[#This Row],[MissingDependencies]]=0,"READY","BLOCKED"))</f>
        <v>BLOCKED</v>
      </c>
      <c r="D4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5" t="str">
        <f>_xlfn.XLOOKUP(tblTargetStatus[[#This Row],[TargetID]],tblTargets[TargetID],tblTargets[TargetType],"")</f>
        <v>STATE</v>
      </c>
      <c r="F445" t="str">
        <f>_xlfn.XLOOKUP(tblTargetStatus[[#This Row],[TargetID]],tblTargets[TargetID],tblTargets[StateType])</f>
        <v>MEET</v>
      </c>
      <c r="G445">
        <f>_xlfn.LET(
_xlpm.id,tblTargetStatus[[#This Row],[TargetID]],
_xlpm.depCount,COUNTIF(tblDependencies[TargetID],_xlpm.id),
_xlpm.objCount,COUNTIF(tblQuestObjectives[QuestTargetID],_xlpm.id),
_xlpm.depCount+_xlpm.objCount
)</f>
        <v>1</v>
      </c>
      <c r="H445">
        <f>tblTargetStatus[[#This Row],[DependencyCount]]</f>
        <v>1</v>
      </c>
      <c r="I445" cm="1">
        <f t="array" ref="I4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5">
        <f>tblTargetStatus[[#This Row],[CompletedDependencyCount]]</f>
        <v>0</v>
      </c>
      <c r="K445" t="b">
        <f>tblTargetStatus[[#This Row],[CompletedDependencies]]=tblTargetStatus[[#This Row],[TotalDependencies]]</f>
        <v>0</v>
      </c>
      <c r="L445">
        <f>tblTargetStatus[[#This Row],[TotalDependencies]]-tblTargetStatus[[#This Row],[CompletedDependencies]]</f>
        <v>1</v>
      </c>
      <c r="M445" t="str" cm="1">
        <f t="array" ref="M4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445" t="str">
        <f>IF(tblTargetStatus[[#This Row],[FirstMissingDependencyID]]="","",_xlfn.XLOOKUP(tblTargetStatus[[#This Row],[FirstMissingDependencyID]],tblTargets[TargetID],tblTargets[DisplayName],tblTargetStatus[[#This Row],[FirstMissingDependencyID]]))</f>
        <v>Once Upon a Forest Chapter 12 Accepted</v>
      </c>
      <c r="O445" t="str" cm="1">
        <f t="array" ref="O4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5" t="str">
        <f>IF(tblTargetStatus[[#This Row],[FirstMissingDependencyID]]="","",_xlfn.XLOOKUP(tblTargetStatus[[#This Row],[FirstMissingDependencyID]],tblTargetStatus[TargetID],tblTargetStatus[Status],""))</f>
        <v>BLOCKED</v>
      </c>
      <c r="Q445" t="str">
        <f>IF(
 tblTargetStatus[[#This Row],[Status]]&lt;&gt;"BLOCKED",
 tblTargetStatus[[#This Row],[Status]],
 IF(
  AND(
   tblTargetStatus[[#This Row],[MissingDependencies]]=1,
   tblTargetStatus[[#This Row],[FirstMissingStatus]]="READY"
  ),
  "ONE AWAY",
  "BLOCKED"
 )
)</f>
        <v>BLOCKED</v>
      </c>
      <c r="R445">
        <f>IF(
 OR(
  tblTargetStatus[[#This Row],[StateType]]="CHARACTER",
  RIGHT(tblTargetStatus[[#This Row],[TargetID]],6)=".maxed"
 ),
 0,
 _xlfn.LET(
  _xlpm.sort,
   _xlfn.XLOOKUP(
    tblTargetStatus[[#This Row],[TargetID]],
    tblChecklist[TargetID],
    tblChecklist[PlayerSort],
    0
   ),
  IF(_xlpm.sort=0,500,_xlpm.sort)
 )
)</f>
        <v>500</v>
      </c>
      <c r="S445" t="str" cm="1">
        <f t="array" ref="S44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13 Accepted, Once Upon a Forest Chapter 12 Finished</v>
      </c>
      <c r="T445" t="str">
        <f>_xlfn.XLOOKUP(tblTargetStatus[[#This Row],[TargetID]],tblTargets[TargetID],tblTargets[CompletionMethod],"")</f>
        <v>PLAYER</v>
      </c>
      <c r="U445" t="b">
        <f>COUNTIF(
    tblCost[TargetID],
    tblTargetStatus[[#This Row],[TargetID]]
)&gt;0</f>
        <v>0</v>
      </c>
      <c r="V445" s="81" t="str">
        <f>IF(tblTargetStatus[[#This Row],[HasCost]]=FALSE,
"N/A",
_xlfn.XLOOKUP(
tblTargetStatus[[#This Row],[TargetID]],
tblCost[TargetID],
tblCost[FundingPercent],
""
)
)</f>
        <v>N/A</v>
      </c>
      <c r="W445" t="str">
        <f>IF(
COUNTIF(tblCost[TargetID],tblTargetStatus[[#This Row],[TargetID]])=0,
"",
_xlfn.XLOOKUP(
tblTargetStatus[[#This Row],[TargetID]],
tblCost[TargetID],
tblCost[RemainingRequirements],
""
)
)</f>
        <v/>
      </c>
      <c r="X445" s="79" t="str">
        <f>IF(tblTargetStatus[[#This Row],[HasCost]]=FALSE,"N/A",_xlfn.XLOOKUP(
tblTargetStatus[[#This Row],[TargetID]],
tblCost[TargetID],
tblCost[TargetFunded],
TRUE
))</f>
        <v>N/A</v>
      </c>
      <c r="Y445" t="str" cm="1">
        <f t="array" ref="Y445">_xlfn.TEXTJOIN(
", ",
TRUE,
_xlfn._xlws.FILTER(
tblCost[ResourceID]&amp;": "&amp;tblCost[QuantityRequired],
(tblCost[TargetID]=tblTargetStatus[[#This Row],[TargetID]])*
(tblCost[PlayerPaid]=FALSE),
""
)
)</f>
        <v/>
      </c>
      <c r="Z4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5" t="str" cm="1">
        <f t="array" ref="AA44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13</v>
      </c>
    </row>
    <row r="446" spans="1:27">
      <c r="A446" t="s">
        <v>6039</v>
      </c>
      <c r="B446" t="str">
        <f>_xlfn.XLOOKUP(tblTargetStatus[[#This Row],[TargetID]],tblTargets[TargetID],tblTargets[DisplayName],"")</f>
        <v>Meet Forest Fairy@F2</v>
      </c>
      <c r="C446" t="str">
        <f>IF(tblTargetStatus[[#This Row],[PlayerCompleted]],"COMPLETED",IF(tblTargetStatus[[#This Row],[MissingDependencies]]=0,"READY","BLOCKED"))</f>
        <v>BLOCKED</v>
      </c>
      <c r="D4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6" t="str">
        <f>_xlfn.XLOOKUP(tblTargetStatus[[#This Row],[TargetID]],tblTargets[TargetID],tblTargets[TargetType],"")</f>
        <v>STATE</v>
      </c>
      <c r="F446" t="str">
        <f>_xlfn.XLOOKUP(tblTargetStatus[[#This Row],[TargetID]],tblTargets[TargetID],tblTargets[StateType])</f>
        <v>MEET</v>
      </c>
      <c r="G446">
        <f>_xlfn.LET(
_xlpm.id,tblTargetStatus[[#This Row],[TargetID]],
_xlpm.depCount,COUNTIF(tblDependencies[TargetID],_xlpm.id),
_xlpm.objCount,COUNTIF(tblQuestObjectives[QuestTargetID],_xlpm.id),
_xlpm.depCount+_xlpm.objCount
)</f>
        <v>1</v>
      </c>
      <c r="H446">
        <f>tblTargetStatus[[#This Row],[DependencyCount]]</f>
        <v>1</v>
      </c>
      <c r="I446" cm="1">
        <f t="array" ref="I4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6">
        <f>tblTargetStatus[[#This Row],[CompletedDependencyCount]]</f>
        <v>0</v>
      </c>
      <c r="K446" t="b">
        <f>tblTargetStatus[[#This Row],[CompletedDependencies]]=tblTargetStatus[[#This Row],[TotalDependencies]]</f>
        <v>0</v>
      </c>
      <c r="L446">
        <f>tblTargetStatus[[#This Row],[TotalDependencies]]-tblTargetStatus[[#This Row],[CompletedDependencies]]</f>
        <v>1</v>
      </c>
      <c r="M446" t="str" cm="1">
        <f t="array" ref="M4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quest.once_upon_a_forest_chapter_5.accepted</v>
      </c>
      <c r="N446" t="str">
        <f>IF(tblTargetStatus[[#This Row],[FirstMissingDependencyID]]="","",_xlfn.XLOOKUP(tblTargetStatus[[#This Row],[FirstMissingDependencyID]],tblTargets[TargetID],tblTargets[DisplayName],tblTargetStatus[[#This Row],[FirstMissingDependencyID]]))</f>
        <v>Once Upon a Forest Chapter 5 Accepted</v>
      </c>
      <c r="O446" t="str" cm="1">
        <f t="array" ref="O4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6" t="str">
        <f>IF(tblTargetStatus[[#This Row],[FirstMissingDependencyID]]="","",_xlfn.XLOOKUP(tblTargetStatus[[#This Row],[FirstMissingDependencyID]],tblTargetStatus[TargetID],tblTargetStatus[Status],""))</f>
        <v>BLOCKED</v>
      </c>
      <c r="Q446" t="str">
        <f>IF(
 tblTargetStatus[[#This Row],[Status]]&lt;&gt;"BLOCKED",
 tblTargetStatus[[#This Row],[Status]],
 IF(
  AND(
   tblTargetStatus[[#This Row],[MissingDependencies]]=1,
   tblTargetStatus[[#This Row],[FirstMissingStatus]]="READY"
  ),
  "ONE AWAY",
  "BLOCKED"
 )
)</f>
        <v>BLOCKED</v>
      </c>
      <c r="R446">
        <f>IF(
 OR(
  tblTargetStatus[[#This Row],[StateType]]="CHARACTER",
  RIGHT(tblTargetStatus[[#This Row],[TargetID]],6)=".maxed"
 ),
 0,
 _xlfn.LET(
  _xlpm.sort,
   _xlfn.XLOOKUP(
    tblTargetStatus[[#This Row],[TargetID]],
    tblChecklist[TargetID],
    tblChecklist[PlayerSort],
    0
   ),
  IF(_xlpm.sort=0,500,_xlpm.sort)
 )
)</f>
        <v>500</v>
      </c>
      <c r="S446" t="str" cm="1">
        <f t="array" ref="S44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6 Accepted</v>
      </c>
      <c r="T446" t="str">
        <f>_xlfn.XLOOKUP(tblTargetStatus[[#This Row],[TargetID]],tblTargets[TargetID],tblTargets[CompletionMethod],"")</f>
        <v>PLAYER</v>
      </c>
      <c r="U446" t="b">
        <f>COUNTIF(
    tblCost[TargetID],
    tblTargetStatus[[#This Row],[TargetID]]
)&gt;0</f>
        <v>0</v>
      </c>
      <c r="V446" s="81" t="str">
        <f>IF(tblTargetStatus[[#This Row],[HasCost]]=FALSE,
"N/A",
_xlfn.XLOOKUP(
tblTargetStatus[[#This Row],[TargetID]],
tblCost[TargetID],
tblCost[FundingPercent],
""
)
)</f>
        <v>N/A</v>
      </c>
      <c r="W446" t="str">
        <f>IF(
COUNTIF(tblCost[TargetID],tblTargetStatus[[#This Row],[TargetID]])=0,
"",
_xlfn.XLOOKUP(
tblTargetStatus[[#This Row],[TargetID]],
tblCost[TargetID],
tblCost[RemainingRequirements],
""
)
)</f>
        <v/>
      </c>
      <c r="X446" s="79" t="str">
        <f>IF(tblTargetStatus[[#This Row],[HasCost]]=FALSE,"N/A",_xlfn.XLOOKUP(
tblTargetStatus[[#This Row],[TargetID]],
tblCost[TargetID],
tblCost[TargetFunded],
TRUE
))</f>
        <v>N/A</v>
      </c>
      <c r="Y446" t="str" cm="1">
        <f t="array" ref="Y446">_xlfn.TEXTJOIN(
", ",
TRUE,
_xlfn._xlws.FILTER(
tblCost[ResourceID]&amp;": "&amp;tblCost[QuantityRequired],
(tblCost[TargetID]=tblTargetStatus[[#This Row],[TargetID]])*
(tblCost[PlayerPaid]=FALSE),
""
)
)</f>
        <v/>
      </c>
      <c r="Z4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6" t="str" cm="1">
        <f t="array" ref="AA44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6</v>
      </c>
    </row>
    <row r="447" spans="1:27">
      <c r="A447" t="s">
        <v>6105</v>
      </c>
      <c r="B447" t="str">
        <f>_xlfn.XLOOKUP(tblTargetStatus[[#This Row],[TargetID]],tblTargets[TargetID],tblTargets[DisplayName],"")</f>
        <v>Visit Dungeon@F1</v>
      </c>
      <c r="C447" t="str">
        <f>IF(tblTargetStatus[[#This Row],[PlayerCompleted]],"COMPLETED",IF(tblTargetStatus[[#This Row],[MissingDependencies]]=0,"READY","BLOCKED"))</f>
        <v>BLOCKED</v>
      </c>
      <c r="D4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7" t="str">
        <f>_xlfn.XLOOKUP(tblTargetStatus[[#This Row],[TargetID]],tblTargets[TargetID],tblTargets[TargetType],"")</f>
        <v>STATE</v>
      </c>
      <c r="F447" t="str">
        <f>_xlfn.XLOOKUP(tblTargetStatus[[#This Row],[TargetID]],tblTargets[TargetID],tblTargets[StateType])</f>
        <v>MEET</v>
      </c>
      <c r="G447">
        <f>_xlfn.LET(
_xlpm.id,tblTargetStatus[[#This Row],[TargetID]],
_xlpm.depCount,COUNTIF(tblDependencies[TargetID],_xlpm.id),
_xlpm.objCount,COUNTIF(tblQuestObjectives[QuestTargetID],_xlpm.id),
_xlpm.depCount+_xlpm.objCount
)</f>
        <v>1</v>
      </c>
      <c r="H447">
        <f>tblTargetStatus[[#This Row],[DependencyCount]]</f>
        <v>1</v>
      </c>
      <c r="I447" cm="1">
        <f t="array" ref="I4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7">
        <f>tblTargetStatus[[#This Row],[CompletedDependencyCount]]</f>
        <v>0</v>
      </c>
      <c r="K447" t="b">
        <f>tblTargetStatus[[#This Row],[CompletedDependencies]]=tblTargetStatus[[#This Row],[TotalDependencies]]</f>
        <v>0</v>
      </c>
      <c r="L447">
        <f>tblTargetStatus[[#This Row],[TotalDependencies]]-tblTargetStatus[[#This Row],[CompletedDependencies]]</f>
        <v>1</v>
      </c>
      <c r="M447" t="str" cm="1">
        <f t="array" ref="M4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quest.once_upon_a_forest_chapter_9.accepted</v>
      </c>
      <c r="N447" t="str">
        <f>IF(tblTargetStatus[[#This Row],[FirstMissingDependencyID]]="","",_xlfn.XLOOKUP(tblTargetStatus[[#This Row],[FirstMissingDependencyID]],tblTargets[TargetID],tblTargets[DisplayName],tblTargetStatus[[#This Row],[FirstMissingDependencyID]]))</f>
        <v>Once Upon a Forest Chapter 9 Accepted</v>
      </c>
      <c r="O447" t="str" cm="1">
        <f t="array" ref="O4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7" t="str">
        <f>IF(tblTargetStatus[[#This Row],[FirstMissingDependencyID]]="","",_xlfn.XLOOKUP(tblTargetStatus[[#This Row],[FirstMissingDependencyID]],tblTargetStatus[TargetID],tblTargetStatus[Status],""))</f>
        <v>BLOCKED</v>
      </c>
      <c r="Q447" t="str">
        <f>IF(
 tblTargetStatus[[#This Row],[Status]]&lt;&gt;"BLOCKED",
 tblTargetStatus[[#This Row],[Status]],
 IF(
  AND(
   tblTargetStatus[[#This Row],[MissingDependencies]]=1,
   tblTargetStatus[[#This Row],[FirstMissingStatus]]="READY"
  ),
  "ONE AWAY",
  "BLOCKED"
 )
)</f>
        <v>BLOCKED</v>
      </c>
      <c r="R447">
        <f>IF(
 OR(
  tblTargetStatus[[#This Row],[StateType]]="CHARACTER",
  RIGHT(tblTargetStatus[[#This Row],[TargetID]],6)=".maxed"
 ),
 0,
 _xlfn.LET(
  _xlpm.sort,
   _xlfn.XLOOKUP(
    tblTargetStatus[[#This Row],[TargetID]],
    tblChecklist[TargetID],
    tblChecklist[PlayerSort],
    0
   ),
  IF(_xlpm.sort=0,500,_xlpm.sort)
 )
)</f>
        <v>500</v>
      </c>
      <c r="S447" t="str" cm="1">
        <f t="array" ref="S44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10 Accepted</v>
      </c>
      <c r="T447" t="str">
        <f>_xlfn.XLOOKUP(tblTargetStatus[[#This Row],[TargetID]],tblTargets[TargetID],tblTargets[CompletionMethod],"")</f>
        <v>PLAYER</v>
      </c>
      <c r="U447" t="b">
        <f>COUNTIF(
    tblCost[TargetID],
    tblTargetStatus[[#This Row],[TargetID]]
)&gt;0</f>
        <v>0</v>
      </c>
      <c r="V447" s="81" t="str">
        <f>IF(tblTargetStatus[[#This Row],[HasCost]]=FALSE,
"N/A",
_xlfn.XLOOKUP(
tblTargetStatus[[#This Row],[TargetID]],
tblCost[TargetID],
tblCost[FundingPercent],
""
)
)</f>
        <v>N/A</v>
      </c>
      <c r="W447" t="str">
        <f>IF(
COUNTIF(tblCost[TargetID],tblTargetStatus[[#This Row],[TargetID]])=0,
"",
_xlfn.XLOOKUP(
tblTargetStatus[[#This Row],[TargetID]],
tblCost[TargetID],
tblCost[RemainingRequirements],
""
)
)</f>
        <v/>
      </c>
      <c r="X447" s="79" t="str">
        <f>IF(tblTargetStatus[[#This Row],[HasCost]]=FALSE,"N/A",_xlfn.XLOOKUP(
tblTargetStatus[[#This Row],[TargetID]],
tblCost[TargetID],
tblCost[TargetFunded],
TRUE
))</f>
        <v>N/A</v>
      </c>
      <c r="Y447" t="str" cm="1">
        <f t="array" ref="Y447">_xlfn.TEXTJOIN(
", ",
TRUE,
_xlfn._xlws.FILTER(
tblCost[ResourceID]&amp;": "&amp;tblCost[QuantityRequired],
(tblCost[TargetID]=tblTargetStatus[[#This Row],[TargetID]])*
(tblCost[PlayerPaid]=FALSE),
""
)
)</f>
        <v/>
      </c>
      <c r="Z4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7" t="str" cm="1">
        <f t="array" ref="AA44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10</v>
      </c>
    </row>
    <row r="448" spans="1:27">
      <c r="A448" t="s">
        <v>3453</v>
      </c>
      <c r="B448" t="str">
        <f>_xlfn.XLOOKUP(tblTargetStatus[[#This Row],[TargetID]],tblTargets[TargetID],tblTargets[DisplayName],"")</f>
        <v>Meet Inventor@5B</v>
      </c>
      <c r="C448" t="str">
        <f>IF(tblTargetStatus[[#This Row],[PlayerCompleted]],"COMPLETED",IF(tblTargetStatus[[#This Row],[MissingDependencies]]=0,"READY","BLOCKED"))</f>
        <v>BLOCKED</v>
      </c>
      <c r="D4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8" t="str">
        <f>_xlfn.XLOOKUP(tblTargetStatus[[#This Row],[TargetID]],tblTargets[TargetID],tblTargets[TargetType],"")</f>
        <v>STATE</v>
      </c>
      <c r="F448" t="str">
        <f>_xlfn.XLOOKUP(tblTargetStatus[[#This Row],[TargetID]],tblTargets[TargetID],tblTargets[StateType])</f>
        <v>MEET</v>
      </c>
      <c r="G448">
        <f>_xlfn.LET(
_xlpm.id,tblTargetStatus[[#This Row],[TargetID]],
_xlpm.depCount,COUNTIF(tblDependencies[TargetID],_xlpm.id),
_xlpm.objCount,COUNTIF(tblQuestObjectives[QuestTargetID],_xlpm.id),
_xlpm.depCount+_xlpm.objCount
)</f>
        <v>1</v>
      </c>
      <c r="H448">
        <f>tblTargetStatus[[#This Row],[DependencyCount]]</f>
        <v>1</v>
      </c>
      <c r="I448" cm="1">
        <f t="array" ref="I4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8">
        <f>tblTargetStatus[[#This Row],[CompletedDependencyCount]]</f>
        <v>0</v>
      </c>
      <c r="K448" t="b">
        <f>tblTargetStatus[[#This Row],[CompletedDependencies]]=tblTargetStatus[[#This Row],[TotalDependencies]]</f>
        <v>0</v>
      </c>
      <c r="L448">
        <f>tblTargetStatus[[#This Row],[TotalDependencies]]-tblTargetStatus[[#This Row],[CompletedDependencies]]</f>
        <v>1</v>
      </c>
      <c r="M448" t="str" cm="1">
        <f t="array" ref="M4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quest.once_upon_a_forest_chapter_8.finished</v>
      </c>
      <c r="N448" t="str">
        <f>IF(tblTargetStatus[[#This Row],[FirstMissingDependencyID]]="","",_xlfn.XLOOKUP(tblTargetStatus[[#This Row],[FirstMissingDependencyID]],tblTargets[TargetID],tblTargets[DisplayName],tblTargetStatus[[#This Row],[FirstMissingDependencyID]]))</f>
        <v>Once Upon a Forest Chapter 8 Finished</v>
      </c>
      <c r="O448" t="str" cm="1">
        <f t="array" ref="O4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8" t="str">
        <f>IF(tblTargetStatus[[#This Row],[FirstMissingDependencyID]]="","",_xlfn.XLOOKUP(tblTargetStatus[[#This Row],[FirstMissingDependencyID]],tblTargetStatus[TargetID],tblTargetStatus[Status],""))</f>
        <v>BLOCKED</v>
      </c>
      <c r="Q448" t="str">
        <f>IF(
 tblTargetStatus[[#This Row],[Status]]&lt;&gt;"BLOCKED",
 tblTargetStatus[[#This Row],[Status]],
 IF(
  AND(
   tblTargetStatus[[#This Row],[MissingDependencies]]=1,
   tblTargetStatus[[#This Row],[FirstMissingStatus]]="READY"
  ),
  "ONE AWAY",
  "BLOCKED"
 )
)</f>
        <v>BLOCKED</v>
      </c>
      <c r="R448">
        <f>IF(
 OR(
  tblTargetStatus[[#This Row],[StateType]]="CHARACTER",
  RIGHT(tblTargetStatus[[#This Row],[TargetID]],6)=".maxed"
 ),
 0,
 _xlfn.LET(
  _xlpm.sort,
   _xlfn.XLOOKUP(
    tblTargetStatus[[#This Row],[TargetID]],
    tblChecklist[TargetID],
    tblChecklist[PlayerSort],
    0
   ),
  IF(_xlpm.sort=0,500,_xlpm.sort)
 )
)</f>
        <v>500</v>
      </c>
      <c r="S448" t="str" cm="1">
        <f t="array" ref="S44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9 Accepted</v>
      </c>
      <c r="T448" t="str">
        <f>_xlfn.XLOOKUP(tblTargetStatus[[#This Row],[TargetID]],tblTargets[TargetID],tblTargets[CompletionMethod],"")</f>
        <v>PLAYER</v>
      </c>
      <c r="U448" t="b">
        <f>COUNTIF(
    tblCost[TargetID],
    tblTargetStatus[[#This Row],[TargetID]]
)&gt;0</f>
        <v>0</v>
      </c>
      <c r="V448" s="81" t="str">
        <f>IF(tblTargetStatus[[#This Row],[HasCost]]=FALSE,
"N/A",
_xlfn.XLOOKUP(
tblTargetStatus[[#This Row],[TargetID]],
tblCost[TargetID],
tblCost[FundingPercent],
""
)
)</f>
        <v>N/A</v>
      </c>
      <c r="W448" t="str">
        <f>IF(
COUNTIF(tblCost[TargetID],tblTargetStatus[[#This Row],[TargetID]])=0,
"",
_xlfn.XLOOKUP(
tblTargetStatus[[#This Row],[TargetID]],
tblCost[TargetID],
tblCost[RemainingRequirements],
""
)
)</f>
        <v/>
      </c>
      <c r="X448" s="79" t="str">
        <f>IF(tblTargetStatus[[#This Row],[HasCost]]=FALSE,"N/A",_xlfn.XLOOKUP(
tblTargetStatus[[#This Row],[TargetID]],
tblCost[TargetID],
tblCost[TargetFunded],
TRUE
))</f>
        <v>N/A</v>
      </c>
      <c r="Y448" t="str" cm="1">
        <f t="array" ref="Y448">_xlfn.TEXTJOIN(
", ",
TRUE,
_xlfn._xlws.FILTER(
tblCost[ResourceID]&amp;": "&amp;tblCost[QuantityRequired],
(tblCost[TargetID]=tblTargetStatus[[#This Row],[TargetID]])*
(tblCost[PlayerPaid]=FALSE),
""
)
)</f>
        <v/>
      </c>
      <c r="Z4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8" t="str" cm="1">
        <f t="array" ref="AA44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9</v>
      </c>
    </row>
    <row r="449" spans="1:27">
      <c r="A449" t="s">
        <v>3448</v>
      </c>
      <c r="B449" t="str">
        <f>_xlfn.XLOOKUP(tblTargetStatus[[#This Row],[TargetID]],tblTargets[TargetID],tblTargets[DisplayName],"")</f>
        <v>Meet Mech Adventurer@2B</v>
      </c>
      <c r="C449" t="str">
        <f>IF(tblTargetStatus[[#This Row],[PlayerCompleted]],"COMPLETED",IF(tblTargetStatus[[#This Row],[MissingDependencies]]=0,"READY","BLOCKED"))</f>
        <v>BLOCKED</v>
      </c>
      <c r="D4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9" t="str">
        <f>_xlfn.XLOOKUP(tblTargetStatus[[#This Row],[TargetID]],tblTargets[TargetID],tblTargets[TargetType],"")</f>
        <v>STATE</v>
      </c>
      <c r="F449" t="str">
        <f>_xlfn.XLOOKUP(tblTargetStatus[[#This Row],[TargetID]],tblTargets[TargetID],tblTargets[StateType])</f>
        <v>MEET</v>
      </c>
      <c r="G449">
        <f>_xlfn.LET(
_xlpm.id,tblTargetStatus[[#This Row],[TargetID]],
_xlpm.depCount,COUNTIF(tblDependencies[TargetID],_xlpm.id),
_xlpm.objCount,COUNTIF(tblQuestObjectives[QuestTargetID],_xlpm.id),
_xlpm.depCount+_xlpm.objCount
)</f>
        <v>1</v>
      </c>
      <c r="H449">
        <f>tblTargetStatus[[#This Row],[DependencyCount]]</f>
        <v>1</v>
      </c>
      <c r="I449" cm="1">
        <f t="array" ref="I4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9">
        <f>tblTargetStatus[[#This Row],[CompletedDependencyCount]]</f>
        <v>0</v>
      </c>
      <c r="K449" t="b">
        <f>tblTargetStatus[[#This Row],[CompletedDependencies]]=tblTargetStatus[[#This Row],[TotalDependencies]]</f>
        <v>0</v>
      </c>
      <c r="L449">
        <f>tblTargetStatus[[#This Row],[TotalDependencies]]-tblTargetStatus[[#This Row],[CompletedDependencies]]</f>
        <v>1</v>
      </c>
      <c r="M449" t="str" cm="1">
        <f t="array" ref="M4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building.dungeon@2</v>
      </c>
      <c r="N449" t="str">
        <f>IF(tblTargetStatus[[#This Row],[FirstMissingDependencyID]]="","",_xlfn.XLOOKUP(tblTargetStatus[[#This Row],[FirstMissingDependencyID]],tblTargets[TargetID],tblTargets[DisplayName],tblTargetStatus[[#This Row],[FirstMissingDependencyID]]))</f>
        <v>Dungeon Lv 2</v>
      </c>
      <c r="O449" t="str" cm="1">
        <f t="array" ref="O4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9" t="str">
        <f>IF(tblTargetStatus[[#This Row],[FirstMissingDependencyID]]="","",_xlfn.XLOOKUP(tblTargetStatus[[#This Row],[FirstMissingDependencyID]],tblTargetStatus[TargetID],tblTargetStatus[Status],""))</f>
        <v>BLOCKED</v>
      </c>
      <c r="Q449" t="str">
        <f>IF(
 tblTargetStatus[[#This Row],[Status]]&lt;&gt;"BLOCKED",
 tblTargetStatus[[#This Row],[Status]],
 IF(
  AND(
   tblTargetStatus[[#This Row],[MissingDependencies]]=1,
   tblTargetStatus[[#This Row],[FirstMissingStatus]]="READY"
  ),
  "ONE AWAY",
  "BLOCKED"
 )
)</f>
        <v>BLOCKED</v>
      </c>
      <c r="R449">
        <f>IF(
 OR(
  tblTargetStatus[[#This Row],[StateType]]="CHARACTER",
  RIGHT(tblTargetStatus[[#This Row],[TargetID]],6)=".maxed"
 ),
 0,
 _xlfn.LET(
  _xlpm.sort,
   _xlfn.XLOOKUP(
    tblTargetStatus[[#This Row],[TargetID]],
    tblChecklist[TargetID],
    tblChecklist[PlayerSort],
    0
   ),
  IF(_xlpm.sort=0,500,_xlpm.sort)
 )
)</f>
        <v>500</v>
      </c>
      <c r="S449" t="str" cm="1">
        <f t="array" ref="S44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 Accepted</v>
      </c>
      <c r="T449" t="str">
        <f>_xlfn.XLOOKUP(tblTargetStatus[[#This Row],[TargetID]],tblTargets[TargetID],tblTargets[CompletionMethod],"")</f>
        <v>PLAYER</v>
      </c>
      <c r="U449" t="b">
        <f>COUNTIF(
    tblCost[TargetID],
    tblTargetStatus[[#This Row],[TargetID]]
)&gt;0</f>
        <v>0</v>
      </c>
      <c r="V449" s="81" t="str">
        <f>IF(tblTargetStatus[[#This Row],[HasCost]]=FALSE,
"N/A",
_xlfn.XLOOKUP(
tblTargetStatus[[#This Row],[TargetID]],
tblCost[TargetID],
tblCost[FundingPercent],
""
)
)</f>
        <v>N/A</v>
      </c>
      <c r="W449" t="str">
        <f>IF(
COUNTIF(tblCost[TargetID],tblTargetStatus[[#This Row],[TargetID]])=0,
"",
_xlfn.XLOOKUP(
tblTargetStatus[[#This Row],[TargetID]],
tblCost[TargetID],
tblCost[RemainingRequirements],
""
)
)</f>
        <v/>
      </c>
      <c r="X449" s="79" t="str">
        <f>IF(tblTargetStatus[[#This Row],[HasCost]]=FALSE,"N/A",_xlfn.XLOOKUP(
tblTargetStatus[[#This Row],[TargetID]],
tblCost[TargetID],
tblCost[TargetFunded],
TRUE
))</f>
        <v>N/A</v>
      </c>
      <c r="Y449" t="str" cm="1">
        <f t="array" ref="Y449">_xlfn.TEXTJOIN(
", ",
TRUE,
_xlfn._xlws.FILTER(
tblCost[ResourceID]&amp;": "&amp;tblCost[QuantityRequired],
(tblCost[TargetID]=tblTargetStatus[[#This Row],[TargetID]])*
(tblCost[PlayerPaid]=FALSE),
""
)
)</f>
        <v/>
      </c>
      <c r="Z4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9" t="str" cm="1">
        <f t="array" ref="AA44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v>
      </c>
    </row>
    <row r="450" spans="1:27">
      <c r="A450" t="s">
        <v>5755</v>
      </c>
      <c r="B450" t="str">
        <f>_xlfn.XLOOKUP(tblTargetStatus[[#This Row],[TargetID]],tblTargets[TargetID],tblTargets[DisplayName],"")</f>
        <v>Meet mechanical adventurer in Dungeon 3A</v>
      </c>
      <c r="C450" t="str">
        <f>IF(tblTargetStatus[[#This Row],[PlayerCompleted]],"COMPLETED",IF(tblTargetStatus[[#This Row],[MissingDependencies]]=0,"READY","BLOCKED"))</f>
        <v>BLOCKED</v>
      </c>
      <c r="D4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0" t="str">
        <f>_xlfn.XLOOKUP(tblTargetStatus[[#This Row],[TargetID]],tblTargets[TargetID],tblTargets[TargetType],"")</f>
        <v>STATE</v>
      </c>
      <c r="F450" t="str">
        <f>_xlfn.XLOOKUP(tblTargetStatus[[#This Row],[TargetID]],tblTargets[TargetID],tblTargets[StateType])</f>
        <v>MEET</v>
      </c>
      <c r="G450">
        <f>_xlfn.LET(
_xlpm.id,tblTargetStatus[[#This Row],[TargetID]],
_xlpm.depCount,COUNTIF(tblDependencies[TargetID],_xlpm.id),
_xlpm.objCount,COUNTIF(tblQuestObjectives[QuestTargetID],_xlpm.id),
_xlpm.depCount+_xlpm.objCount
)</f>
        <v>4</v>
      </c>
      <c r="H450">
        <f>tblTargetStatus[[#This Row],[DependencyCount]]</f>
        <v>4</v>
      </c>
      <c r="I450" cm="1">
        <f t="array" ref="I4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0">
        <f>tblTargetStatus[[#This Row],[CompletedDependencyCount]]</f>
        <v>0</v>
      </c>
      <c r="K450" t="b">
        <f>tblTargetStatus[[#This Row],[CompletedDependencies]]=tblTargetStatus[[#This Row],[TotalDependencies]]</f>
        <v>0</v>
      </c>
      <c r="L450">
        <f>tblTargetStatus[[#This Row],[TotalDependencies]]-tblTargetStatus[[#This Row],[CompletedDependencies]]</f>
        <v>4</v>
      </c>
      <c r="M450" t="str" cm="1">
        <f t="array" ref="M4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quest.magic_beans.finished</v>
      </c>
      <c r="N450" t="str">
        <f>IF(tblTargetStatus[[#This Row],[FirstMissingDependencyID]]="","",_xlfn.XLOOKUP(tblTargetStatus[[#This Row],[FirstMissingDependencyID]],tblTargets[TargetID],tblTargets[DisplayName],tblTargetStatus[[#This Row],[FirstMissingDependencyID]]))</f>
        <v>Magic Beans Finished</v>
      </c>
      <c r="O450" s="2" t="str" cm="1">
        <f t="array" ref="O4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0" t="str">
        <f>IF(tblTargetStatus[[#This Row],[FirstMissingDependencyID]]="","",_xlfn.XLOOKUP(tblTargetStatus[[#This Row],[FirstMissingDependencyID]],tblTargetStatus[TargetID],tblTargetStatus[Status],""))</f>
        <v>BLOCKED</v>
      </c>
      <c r="Q450" t="str">
        <f>IF(
 tblTargetStatus[[#This Row],[Status]]&lt;&gt;"BLOCKED",
 tblTargetStatus[[#This Row],[Status]],
 IF(
  AND(
   tblTargetStatus[[#This Row],[MissingDependencies]]=1,
   tblTargetStatus[[#This Row],[FirstMissingStatus]]="READY"
  ),
  "ONE AWAY",
  "BLOCKED"
 )
)</f>
        <v>BLOCKED</v>
      </c>
      <c r="R450">
        <f>IF(
 OR(
  tblTargetStatus[[#This Row],[StateType]]="CHARACTER",
  RIGHT(tblTargetStatus[[#This Row],[TargetID]],6)=".maxed"
 ),
 0,
 _xlfn.LET(
  _xlpm.sort,
   _xlfn.XLOOKUP(
    tblTargetStatus[[#This Row],[TargetID]],
    tblChecklist[TargetID],
    tblChecklist[PlayerSort],
    0
   ),
  IF(_xlpm.sort=0,500,_xlpm.sort)
 )
)</f>
        <v>500</v>
      </c>
      <c r="S450" t="str" cm="1">
        <f t="array" ref="S45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1 Accepted</v>
      </c>
      <c r="T450" t="str">
        <f>_xlfn.XLOOKUP(tblTargetStatus[[#This Row],[TargetID]],tblTargets[TargetID],tblTargets[CompletionMethod],"")</f>
        <v>PLAYER</v>
      </c>
      <c r="U450" t="b">
        <f>COUNTIF(
    tblCost[TargetID],
    tblTargetStatus[[#This Row],[TargetID]]
)&gt;0</f>
        <v>0</v>
      </c>
      <c r="V450" s="81" t="str">
        <f>IF(tblTargetStatus[[#This Row],[HasCost]]=FALSE,
"N/A",
_xlfn.XLOOKUP(
tblTargetStatus[[#This Row],[TargetID]],
tblCost[TargetID],
tblCost[FundingPercent],
""
)
)</f>
        <v>N/A</v>
      </c>
      <c r="W450" t="str">
        <f>IF(
COUNTIF(tblCost[TargetID],tblTargetStatus[[#This Row],[TargetID]])=0,
"",
_xlfn.XLOOKUP(
tblTargetStatus[[#This Row],[TargetID]],
tblCost[TargetID],
tblCost[RemainingRequirements],
""
)
)</f>
        <v/>
      </c>
      <c r="X450" s="79" t="str">
        <f>IF(tblTargetStatus[[#This Row],[HasCost]]=FALSE,"N/A",_xlfn.XLOOKUP(
tblTargetStatus[[#This Row],[TargetID]],
tblCost[TargetID],
tblCost[TargetFunded],
TRUE
))</f>
        <v>N/A</v>
      </c>
      <c r="Y450" t="str" cm="1">
        <f t="array" ref="Y450">_xlfn.TEXTJOIN(
", ",
TRUE,
_xlfn._xlws.FILTER(
tblCost[ResourceID]&amp;": "&amp;tblCost[QuantityRequired],
(tblCost[TargetID]=tblTargetStatus[[#This Row],[TargetID]])*
(tblCost[PlayerPaid]=FALSE),
""
)
)</f>
        <v/>
      </c>
      <c r="Z4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0" t="str" cm="1">
        <f t="array" ref="AA45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1</v>
      </c>
    </row>
    <row r="451" spans="1:27">
      <c r="A451" t="s">
        <v>5692</v>
      </c>
      <c r="B451" t="str">
        <f>_xlfn.XLOOKUP(tblTargetStatus[[#This Row],[TargetID]],tblTargets[TargetID],tblTargets[DisplayName],"")</f>
        <v>Meet mechanical adventurer in Dungeon F1</v>
      </c>
      <c r="C451" t="str">
        <f>IF(tblTargetStatus[[#This Row],[PlayerCompleted]],"COMPLETED",IF(tblTargetStatus[[#This Row],[MissingDependencies]]=0,"READY","BLOCKED"))</f>
        <v>BLOCKED</v>
      </c>
      <c r="D4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1" t="str">
        <f>_xlfn.XLOOKUP(tblTargetStatus[[#This Row],[TargetID]],tblTargets[TargetID],tblTargets[TargetType],"")</f>
        <v>STATE</v>
      </c>
      <c r="F451" t="str">
        <f>_xlfn.XLOOKUP(tblTargetStatus[[#This Row],[TargetID]],tblTargets[TargetID],tblTargets[StateType])</f>
        <v>MEET</v>
      </c>
      <c r="G451">
        <f>_xlfn.LET(
_xlpm.id,tblTargetStatus[[#This Row],[TargetID]],
_xlpm.depCount,COUNTIF(tblDependencies[TargetID],_xlpm.id),
_xlpm.objCount,COUNTIF(tblQuestObjectives[QuestTargetID],_xlpm.id),
_xlpm.depCount+_xlpm.objCount
)</f>
        <v>1</v>
      </c>
      <c r="H451">
        <f>tblTargetStatus[[#This Row],[DependencyCount]]</f>
        <v>1</v>
      </c>
      <c r="I451" cm="1">
        <f t="array" ref="I4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1">
        <f>tblTargetStatus[[#This Row],[CompletedDependencyCount]]</f>
        <v>0</v>
      </c>
      <c r="K451" t="b">
        <f>tblTargetStatus[[#This Row],[CompletedDependencies]]=tblTargetStatus[[#This Row],[TotalDependencies]]</f>
        <v>0</v>
      </c>
      <c r="L451">
        <f>tblTargetStatus[[#This Row],[TotalDependencies]]-tblTargetStatus[[#This Row],[CompletedDependencies]]</f>
        <v>1</v>
      </c>
      <c r="M451" t="str" cm="1">
        <f t="array" ref="M4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quest.once_upon_a_forest_chapter_2.finished</v>
      </c>
      <c r="N451" t="str">
        <f>IF(tblTargetStatus[[#This Row],[FirstMissingDependencyID]]="","",_xlfn.XLOOKUP(tblTargetStatus[[#This Row],[FirstMissingDependencyID]],tblTargets[TargetID],tblTargets[DisplayName],tblTargetStatus[[#This Row],[FirstMissingDependencyID]]))</f>
        <v>Once Upon a Forest Chapter 2 Finished</v>
      </c>
      <c r="O451" s="2" t="str" cm="1">
        <f t="array" ref="O4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1" t="str">
        <f>IF(tblTargetStatus[[#This Row],[FirstMissingDependencyID]]="","",_xlfn.XLOOKUP(tblTargetStatus[[#This Row],[FirstMissingDependencyID]],tblTargetStatus[TargetID],tblTargetStatus[Status],""))</f>
        <v>BLOCKED</v>
      </c>
      <c r="Q451" t="str">
        <f>IF(
 tblTargetStatus[[#This Row],[Status]]&lt;&gt;"BLOCKED",
 tblTargetStatus[[#This Row],[Status]],
 IF(
  AND(
   tblTargetStatus[[#This Row],[MissingDependencies]]=1,
   tblTargetStatus[[#This Row],[FirstMissingStatus]]="READY"
  ),
  "ONE AWAY",
  "BLOCKED"
 )
)</f>
        <v>BLOCKED</v>
      </c>
      <c r="R451">
        <f>IF(
 OR(
  tblTargetStatus[[#This Row],[StateType]]="CHARACTER",
  RIGHT(tblTargetStatus[[#This Row],[TargetID]],6)=".maxed"
 ),
 0,
 _xlfn.LET(
  _xlpm.sort,
   _xlfn.XLOOKUP(
    tblTargetStatus[[#This Row],[TargetID]],
    tblChecklist[TargetID],
    tblChecklist[PlayerSort],
    0
   ),
  IF(_xlpm.sort=0,500,_xlpm.sort)
 )
)</f>
        <v>500</v>
      </c>
      <c r="S451" t="str" cm="1">
        <f t="array" ref="S45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3 Accepted</v>
      </c>
      <c r="T451" t="str">
        <f>_xlfn.XLOOKUP(tblTargetStatus[[#This Row],[TargetID]],tblTargets[TargetID],tblTargets[CompletionMethod],"")</f>
        <v>PLAYER</v>
      </c>
      <c r="U451" t="b">
        <f>COUNTIF(
    tblCost[TargetID],
    tblTargetStatus[[#This Row],[TargetID]]
)&gt;0</f>
        <v>0</v>
      </c>
      <c r="V451" s="81" t="str">
        <f>IF(tblTargetStatus[[#This Row],[HasCost]]=FALSE,
"N/A",
_xlfn.XLOOKUP(
tblTargetStatus[[#This Row],[TargetID]],
tblCost[TargetID],
tblCost[FundingPercent],
""
)
)</f>
        <v>N/A</v>
      </c>
      <c r="W451" t="str">
        <f>IF(
COUNTIF(tblCost[TargetID],tblTargetStatus[[#This Row],[TargetID]])=0,
"",
_xlfn.XLOOKUP(
tblTargetStatus[[#This Row],[TargetID]],
tblCost[TargetID],
tblCost[RemainingRequirements],
""
)
)</f>
        <v/>
      </c>
      <c r="X451" s="79" t="str">
        <f>IF(tblTargetStatus[[#This Row],[HasCost]]=FALSE,"N/A",_xlfn.XLOOKUP(
tblTargetStatus[[#This Row],[TargetID]],
tblCost[TargetID],
tblCost[TargetFunded],
TRUE
))</f>
        <v>N/A</v>
      </c>
      <c r="Y451" t="str" cm="1">
        <f t="array" ref="Y451">_xlfn.TEXTJOIN(
", ",
TRUE,
_xlfn._xlws.FILTER(
tblCost[ResourceID]&amp;": "&amp;tblCost[QuantityRequired],
(tblCost[TargetID]=tblTargetStatus[[#This Row],[TargetID]])*
(tblCost[PlayerPaid]=FALSE),
""
)
)</f>
        <v/>
      </c>
      <c r="Z4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1" t="str" cm="1">
        <f t="array" ref="AA45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3</v>
      </c>
    </row>
    <row r="452" spans="1:27">
      <c r="A452" t="s">
        <v>3489</v>
      </c>
      <c r="B452" t="str">
        <f>_xlfn.XLOOKUP(tblTargetStatus[[#This Row],[TargetID]],tblTargets[TargetID],tblTargets[DisplayName],"")</f>
        <v>Meet Methusalem@F3</v>
      </c>
      <c r="C452" t="str">
        <f>IF(tblTargetStatus[[#This Row],[PlayerCompleted]],"COMPLETED",IF(tblTargetStatus[[#This Row],[MissingDependencies]]=0,"READY","BLOCKED"))</f>
        <v>BLOCKED</v>
      </c>
      <c r="D4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2" t="str">
        <f>_xlfn.XLOOKUP(tblTargetStatus[[#This Row],[TargetID]],tblTargets[TargetID],tblTargets[TargetType],"")</f>
        <v>STATE</v>
      </c>
      <c r="F452" t="str">
        <f>_xlfn.XLOOKUP(tblTargetStatus[[#This Row],[TargetID]],tblTargets[TargetID],tblTargets[StateType])</f>
        <v>MEET</v>
      </c>
      <c r="G452">
        <f>_xlfn.LET(
_xlpm.id,tblTargetStatus[[#This Row],[TargetID]],
_xlpm.depCount,COUNTIF(tblDependencies[TargetID],_xlpm.id),
_xlpm.objCount,COUNTIF(tblQuestObjectives[QuestTargetID],_xlpm.id),
_xlpm.depCount+_xlpm.objCount
)</f>
        <v>1</v>
      </c>
      <c r="H452">
        <f>tblTargetStatus[[#This Row],[DependencyCount]]</f>
        <v>1</v>
      </c>
      <c r="I452" cm="1">
        <f t="array" ref="I4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2">
        <f>tblTargetStatus[[#This Row],[CompletedDependencyCount]]</f>
        <v>0</v>
      </c>
      <c r="K452" t="b">
        <f>tblTargetStatus[[#This Row],[CompletedDependencies]]=tblTargetStatus[[#This Row],[TotalDependencies]]</f>
        <v>0</v>
      </c>
      <c r="L452">
        <f>tblTargetStatus[[#This Row],[TotalDependencies]]-tblTargetStatus[[#This Row],[CompletedDependencies]]</f>
        <v>1</v>
      </c>
      <c r="M452" t="str" cm="1">
        <f t="array" ref="M4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quest.once_upon_a_forest_chapter_12.finished</v>
      </c>
      <c r="N452" t="str">
        <f>IF(tblTargetStatus[[#This Row],[FirstMissingDependencyID]]="","",_xlfn.XLOOKUP(tblTargetStatus[[#This Row],[FirstMissingDependencyID]],tblTargets[TargetID],tblTargets[DisplayName],tblTargetStatus[[#This Row],[FirstMissingDependencyID]]))</f>
        <v>Once Upon a Forest Chapter 12 Finished</v>
      </c>
      <c r="O452" t="str" cm="1">
        <f t="array" ref="O4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2" t="str">
        <f>IF(tblTargetStatus[[#This Row],[FirstMissingDependencyID]]="","",_xlfn.XLOOKUP(tblTargetStatus[[#This Row],[FirstMissingDependencyID]],tblTargetStatus[TargetID],tblTargetStatus[Status],""))</f>
        <v>BLOCKED</v>
      </c>
      <c r="Q452" t="str">
        <f>IF(
 tblTargetStatus[[#This Row],[Status]]&lt;&gt;"BLOCKED",
 tblTargetStatus[[#This Row],[Status]],
 IF(
  AND(
   tblTargetStatus[[#This Row],[MissingDependencies]]=1,
   tblTargetStatus[[#This Row],[FirstMissingStatus]]="READY"
  ),
  "ONE AWAY",
  "BLOCKED"
 )
)</f>
        <v>BLOCKED</v>
      </c>
      <c r="R452">
        <f>IF(
 OR(
  tblTargetStatus[[#This Row],[StateType]]="CHARACTER",
  RIGHT(tblTargetStatus[[#This Row],[TargetID]],6)=".maxed"
 ),
 0,
 _xlfn.LET(
  _xlpm.sort,
   _xlfn.XLOOKUP(
    tblTargetStatus[[#This Row],[TargetID]],
    tblChecklist[TargetID],
    tblChecklist[PlayerSort],
    0
   ),
  IF(_xlpm.sort=0,500,_xlpm.sort)
 )
)</f>
        <v>500</v>
      </c>
      <c r="S452" t="str" cm="1">
        <f t="array" ref="S45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1 Accepted</v>
      </c>
      <c r="T452" t="str">
        <f>_xlfn.XLOOKUP(tblTargetStatus[[#This Row],[TargetID]],tblTargets[TargetID],tblTargets[CompletionMethod],"")</f>
        <v>PLAYER</v>
      </c>
      <c r="U452" t="b">
        <f>COUNTIF(
    tblCost[TargetID],
    tblTargetStatus[[#This Row],[TargetID]]
)&gt;0</f>
        <v>0</v>
      </c>
      <c r="V452" s="81" t="str">
        <f>IF(tblTargetStatus[[#This Row],[HasCost]]=FALSE,
"N/A",
_xlfn.XLOOKUP(
tblTargetStatus[[#This Row],[TargetID]],
tblCost[TargetID],
tblCost[FundingPercent],
""
)
)</f>
        <v>N/A</v>
      </c>
      <c r="W452" t="str">
        <f>IF(
COUNTIF(tblCost[TargetID],tblTargetStatus[[#This Row],[TargetID]])=0,
"",
_xlfn.XLOOKUP(
tblTargetStatus[[#This Row],[TargetID]],
tblCost[TargetID],
tblCost[RemainingRequirements],
""
)
)</f>
        <v/>
      </c>
      <c r="X452" s="79" t="str">
        <f>IF(tblTargetStatus[[#This Row],[HasCost]]=FALSE,"N/A",_xlfn.XLOOKUP(
tblTargetStatus[[#This Row],[TargetID]],
tblCost[TargetID],
tblCost[TargetFunded],
TRUE
))</f>
        <v>N/A</v>
      </c>
      <c r="Y452" t="str" cm="1">
        <f t="array" ref="Y452">_xlfn.TEXTJOIN(
", ",
TRUE,
_xlfn._xlws.FILTER(
tblCost[ResourceID]&amp;": "&amp;tblCost[QuantityRequired],
(tblCost[TargetID]=tblTargetStatus[[#This Row],[TargetID]])*
(tblCost[PlayerPaid]=FALSE),
""
)
)</f>
        <v/>
      </c>
      <c r="Z4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2" t="str" cm="1">
        <f t="array" ref="AA45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1</v>
      </c>
    </row>
    <row r="453" spans="1:27">
      <c r="A453" t="s">
        <v>3471</v>
      </c>
      <c r="B453" t="str">
        <f>_xlfn.XLOOKUP(tblTargetStatus[[#This Row],[TargetID]],tblTargets[TargetID],tblTargets[DisplayName],"")</f>
        <v>Meet Mr Diligence@F1</v>
      </c>
      <c r="C453" t="str">
        <f>IF(tblTargetStatus[[#This Row],[PlayerCompleted]],"COMPLETED",IF(tblTargetStatus[[#This Row],[MissingDependencies]]=0,"READY","BLOCKED"))</f>
        <v>BLOCKED</v>
      </c>
      <c r="D4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3" t="str">
        <f>_xlfn.XLOOKUP(tblTargetStatus[[#This Row],[TargetID]],tblTargets[TargetID],tblTargets[TargetType],"")</f>
        <v>STATE</v>
      </c>
      <c r="F453" t="str">
        <f>_xlfn.XLOOKUP(tblTargetStatus[[#This Row],[TargetID]],tblTargets[TargetID],tblTargets[StateType])</f>
        <v>MEET</v>
      </c>
      <c r="G453">
        <f>_xlfn.LET(
_xlpm.id,tblTargetStatus[[#This Row],[TargetID]],
_xlpm.depCount,COUNTIF(tblDependencies[TargetID],_xlpm.id),
_xlpm.objCount,COUNTIF(tblQuestObjectives[QuestTargetID],_xlpm.id),
_xlpm.depCount+_xlpm.objCount
)</f>
        <v>2</v>
      </c>
      <c r="H453">
        <f>tblTargetStatus[[#This Row],[DependencyCount]]</f>
        <v>2</v>
      </c>
      <c r="I453" cm="1">
        <f t="array" ref="I4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3">
        <f>tblTargetStatus[[#This Row],[CompletedDependencyCount]]</f>
        <v>0</v>
      </c>
      <c r="K453" t="b">
        <f>tblTargetStatus[[#This Row],[CompletedDependencies]]=tblTargetStatus[[#This Row],[TotalDependencies]]</f>
        <v>0</v>
      </c>
      <c r="L453">
        <f>tblTargetStatus[[#This Row],[TotalDependencies]]-tblTargetStatus[[#This Row],[CompletedDependencies]]</f>
        <v>2</v>
      </c>
      <c r="M453" t="str" cm="1">
        <f t="array" ref="M4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quest.once_upon_a_forest_chapter_11.accepted</v>
      </c>
      <c r="N453" t="str">
        <f>IF(tblTargetStatus[[#This Row],[FirstMissingDependencyID]]="","",_xlfn.XLOOKUP(tblTargetStatus[[#This Row],[FirstMissingDependencyID]],tblTargets[TargetID],tblTargets[DisplayName],tblTargetStatus[[#This Row],[FirstMissingDependencyID]]))</f>
        <v>Once Upon a Forest Chapter 11 Accepted</v>
      </c>
      <c r="O453" t="str" cm="1">
        <f t="array" ref="O4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3" t="str">
        <f>IF(tblTargetStatus[[#This Row],[FirstMissingDependencyID]]="","",_xlfn.XLOOKUP(tblTargetStatus[[#This Row],[FirstMissingDependencyID]],tblTargetStatus[TargetID],tblTargetStatus[Status],""))</f>
        <v>BLOCKED</v>
      </c>
      <c r="Q453" t="str">
        <f>IF(
 tblTargetStatus[[#This Row],[Status]]&lt;&gt;"BLOCKED",
 tblTargetStatus[[#This Row],[Status]],
 IF(
  AND(
   tblTargetStatus[[#This Row],[MissingDependencies]]=1,
   tblTargetStatus[[#This Row],[FirstMissingStatus]]="READY"
  ),
  "ONE AWAY",
  "BLOCKED"
 )
)</f>
        <v>BLOCKED</v>
      </c>
      <c r="R453">
        <f>IF(
 OR(
  tblTargetStatus[[#This Row],[StateType]]="CHARACTER",
  RIGHT(tblTargetStatus[[#This Row],[TargetID]],6)=".maxed"
 ),
 0,
 _xlfn.LET(
  _xlpm.sort,
   _xlfn.XLOOKUP(
    tblTargetStatus[[#This Row],[TargetID]],
    tblChecklist[TargetID],
    tblChecklist[PlayerSort],
    0
   ),
  IF(_xlpm.sort=0,500,_xlpm.sort)
 )
)</f>
        <v>500</v>
      </c>
      <c r="S453" t="str" cm="1">
        <f t="array" ref="S45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12 Accepted</v>
      </c>
      <c r="T453" t="str">
        <f>_xlfn.XLOOKUP(tblTargetStatus[[#This Row],[TargetID]],tblTargets[TargetID],tblTargets[CompletionMethod],"")</f>
        <v>PLAYER</v>
      </c>
      <c r="U453" t="b">
        <f>COUNTIF(
    tblCost[TargetID],
    tblTargetStatus[[#This Row],[TargetID]]
)&gt;0</f>
        <v>0</v>
      </c>
      <c r="V453" s="81" t="str">
        <f>IF(tblTargetStatus[[#This Row],[HasCost]]=FALSE,
"N/A",
_xlfn.XLOOKUP(
tblTargetStatus[[#This Row],[TargetID]],
tblCost[TargetID],
tblCost[FundingPercent],
""
)
)</f>
        <v>N/A</v>
      </c>
      <c r="W453" t="str">
        <f>IF(
COUNTIF(tblCost[TargetID],tblTargetStatus[[#This Row],[TargetID]])=0,
"",
_xlfn.XLOOKUP(
tblTargetStatus[[#This Row],[TargetID]],
tblCost[TargetID],
tblCost[RemainingRequirements],
""
)
)</f>
        <v/>
      </c>
      <c r="X453" s="79" t="str">
        <f>IF(tblTargetStatus[[#This Row],[HasCost]]=FALSE,"N/A",_xlfn.XLOOKUP(
tblTargetStatus[[#This Row],[TargetID]],
tblCost[TargetID],
tblCost[TargetFunded],
TRUE
))</f>
        <v>N/A</v>
      </c>
      <c r="Y453" t="str" cm="1">
        <f t="array" ref="Y453">_xlfn.TEXTJOIN(
", ",
TRUE,
_xlfn._xlws.FILTER(
tblCost[ResourceID]&amp;": "&amp;tblCost[QuantityRequired],
(tblCost[TargetID]=tblTargetStatus[[#This Row],[TargetID]])*
(tblCost[PlayerPaid]=FALSE),
""
)
)</f>
        <v/>
      </c>
      <c r="Z4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3" t="str" cm="1">
        <f t="array" ref="AA45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12</v>
      </c>
    </row>
    <row r="454" spans="1:27">
      <c r="A454" t="s">
        <v>3456</v>
      </c>
      <c r="B454" t="str">
        <f>_xlfn.XLOOKUP(tblTargetStatus[[#This Row],[TargetID]],tblTargets[TargetID],tblTargets[DisplayName],"")</f>
        <v>Meet Mrs Diligance@F2</v>
      </c>
      <c r="C454" t="str">
        <f>IF(tblTargetStatus[[#This Row],[PlayerCompleted]],"COMPLETED",IF(tblTargetStatus[[#This Row],[MissingDependencies]]=0,"READY","BLOCKED"))</f>
        <v>BLOCKED</v>
      </c>
      <c r="D4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4" t="str">
        <f>_xlfn.XLOOKUP(tblTargetStatus[[#This Row],[TargetID]],tblTargets[TargetID],tblTargets[TargetType],"")</f>
        <v>STATE</v>
      </c>
      <c r="F454" t="str">
        <f>_xlfn.XLOOKUP(tblTargetStatus[[#This Row],[TargetID]],tblTargets[TargetID],tblTargets[StateType])</f>
        <v>MEET</v>
      </c>
      <c r="G454">
        <f>_xlfn.LET(
_xlpm.id,tblTargetStatus[[#This Row],[TargetID]],
_xlpm.depCount,COUNTIF(tblDependencies[TargetID],_xlpm.id),
_xlpm.objCount,COUNTIF(tblQuestObjectives[QuestTargetID],_xlpm.id),
_xlpm.depCount+_xlpm.objCount
)</f>
        <v>1</v>
      </c>
      <c r="H454">
        <f>tblTargetStatus[[#This Row],[DependencyCount]]</f>
        <v>1</v>
      </c>
      <c r="I454" cm="1">
        <f t="array" ref="I4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4">
        <f>tblTargetStatus[[#This Row],[CompletedDependencyCount]]</f>
        <v>0</v>
      </c>
      <c r="K454" t="b">
        <f>tblTargetStatus[[#This Row],[CompletedDependencies]]=tblTargetStatus[[#This Row],[TotalDependencies]]</f>
        <v>0</v>
      </c>
      <c r="L454">
        <f>tblTargetStatus[[#This Row],[TotalDependencies]]-tblTargetStatus[[#This Row],[CompletedDependencies]]</f>
        <v>1</v>
      </c>
      <c r="M454" t="str" cm="1">
        <f t="array" ref="M4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quest.once_upon_a_forest_chapter_4.finished</v>
      </c>
      <c r="N454" t="str">
        <f>IF(tblTargetStatus[[#This Row],[FirstMissingDependencyID]]="","",_xlfn.XLOOKUP(tblTargetStatus[[#This Row],[FirstMissingDependencyID]],tblTargets[TargetID],tblTargets[DisplayName],tblTargetStatus[[#This Row],[FirstMissingDependencyID]]))</f>
        <v>Once Upon a Forest Chapter 4 Finished</v>
      </c>
      <c r="O454" t="str" cm="1">
        <f t="array" ref="O4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4" t="str">
        <f>IF(tblTargetStatus[[#This Row],[FirstMissingDependencyID]]="","",_xlfn.XLOOKUP(tblTargetStatus[[#This Row],[FirstMissingDependencyID]],tblTargetStatus[TargetID],tblTargetStatus[Status],""))</f>
        <v>BLOCKED</v>
      </c>
      <c r="Q454" t="str">
        <f>IF(
 tblTargetStatus[[#This Row],[Status]]&lt;&gt;"BLOCKED",
 tblTargetStatus[[#This Row],[Status]],
 IF(
  AND(
   tblTargetStatus[[#This Row],[MissingDependencies]]=1,
   tblTargetStatus[[#This Row],[FirstMissingStatus]]="READY"
  ),
  "ONE AWAY",
  "BLOCKED"
 )
)</f>
        <v>BLOCKED</v>
      </c>
      <c r="R454">
        <f>IF(
 OR(
  tblTargetStatus[[#This Row],[StateType]]="CHARACTER",
  RIGHT(tblTargetStatus[[#This Row],[TargetID]],6)=".maxed"
 ),
 0,
 _xlfn.LET(
  _xlpm.sort,
   _xlfn.XLOOKUP(
    tblTargetStatus[[#This Row],[TargetID]],
    tblChecklist[TargetID],
    tblChecklist[PlayerSort],
    0
   ),
  IF(_xlpm.sort=0,500,_xlpm.sort)
 )
)</f>
        <v>500</v>
      </c>
      <c r="S454" t="str" cm="1">
        <f t="array" ref="S45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5 Accepted</v>
      </c>
      <c r="T454" t="str">
        <f>_xlfn.XLOOKUP(tblTargetStatus[[#This Row],[TargetID]],tblTargets[TargetID],tblTargets[CompletionMethod],"")</f>
        <v>PLAYER</v>
      </c>
      <c r="U454" t="b">
        <f>COUNTIF(
    tblCost[TargetID],
    tblTargetStatus[[#This Row],[TargetID]]
)&gt;0</f>
        <v>0</v>
      </c>
      <c r="V454" s="81" t="str">
        <f>IF(tblTargetStatus[[#This Row],[HasCost]]=FALSE,
"N/A",
_xlfn.XLOOKUP(
tblTargetStatus[[#This Row],[TargetID]],
tblCost[TargetID],
tblCost[FundingPercent],
""
)
)</f>
        <v>N/A</v>
      </c>
      <c r="W454" t="str">
        <f>IF(
COUNTIF(tblCost[TargetID],tblTargetStatus[[#This Row],[TargetID]])=0,
"",
_xlfn.XLOOKUP(
tblTargetStatus[[#This Row],[TargetID]],
tblCost[TargetID],
tblCost[RemainingRequirements],
""
)
)</f>
        <v/>
      </c>
      <c r="X454" s="79" t="str">
        <f>IF(tblTargetStatus[[#This Row],[HasCost]]=FALSE,"N/A",_xlfn.XLOOKUP(
tblTargetStatus[[#This Row],[TargetID]],
tblCost[TargetID],
tblCost[TargetFunded],
TRUE
))</f>
        <v>N/A</v>
      </c>
      <c r="Y454" t="str" cm="1">
        <f t="array" ref="Y454">_xlfn.TEXTJOIN(
", ",
TRUE,
_xlfn._xlws.FILTER(
tblCost[ResourceID]&amp;": "&amp;tblCost[QuantityRequired],
(tblCost[TargetID]=tblTargetStatus[[#This Row],[TargetID]])*
(tblCost[PlayerPaid]=FALSE),
""
)
)</f>
        <v/>
      </c>
      <c r="Z4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4" t="str" cm="1">
        <f t="array" ref="AA45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5</v>
      </c>
    </row>
    <row r="455" spans="1:27">
      <c r="A455" t="s">
        <v>3440</v>
      </c>
      <c r="B455" t="str">
        <f>_xlfn.XLOOKUP(tblTargetStatus[[#This Row],[TargetID]],tblTargets[TargetID],tblTargets[DisplayName],"")</f>
        <v>Meet Old Man@4C</v>
      </c>
      <c r="C455" t="str">
        <f>IF(tblTargetStatus[[#This Row],[PlayerCompleted]],"COMPLETED",IF(tblTargetStatus[[#This Row],[MissingDependencies]]=0,"READY","BLOCKED"))</f>
        <v>BLOCKED</v>
      </c>
      <c r="D4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5" t="str">
        <f>_xlfn.XLOOKUP(tblTargetStatus[[#This Row],[TargetID]],tblTargets[TargetID],tblTargets[TargetType],"")</f>
        <v>STATE</v>
      </c>
      <c r="F455" t="str">
        <f>_xlfn.XLOOKUP(tblTargetStatus[[#This Row],[TargetID]],tblTargets[TargetID],tblTargets[StateType])</f>
        <v>MEET</v>
      </c>
      <c r="G455">
        <f>_xlfn.LET(
_xlpm.id,tblTargetStatus[[#This Row],[TargetID]],
_xlpm.depCount,COUNTIF(tblDependencies[TargetID],_xlpm.id),
_xlpm.objCount,COUNTIF(tblQuestObjectives[QuestTargetID],_xlpm.id),
_xlpm.depCount+_xlpm.objCount
)</f>
        <v>1</v>
      </c>
      <c r="H455">
        <f>tblTargetStatus[[#This Row],[DependencyCount]]</f>
        <v>1</v>
      </c>
      <c r="I455" cm="1">
        <f t="array" ref="I4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5">
        <f>tblTargetStatus[[#This Row],[CompletedDependencyCount]]</f>
        <v>0</v>
      </c>
      <c r="K455" t="b">
        <f>tblTargetStatus[[#This Row],[CompletedDependencies]]=tblTargetStatus[[#This Row],[TotalDependencies]]</f>
        <v>0</v>
      </c>
      <c r="L455">
        <f>tblTargetStatus[[#This Row],[TotalDependencies]]-tblTargetStatus[[#This Row],[CompletedDependencies]]</f>
        <v>1</v>
      </c>
      <c r="M455" t="str" cm="1">
        <f t="array" ref="M4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building.dungeon@4</v>
      </c>
      <c r="N455" t="str">
        <f>IF(tblTargetStatus[[#This Row],[FirstMissingDependencyID]]="","",_xlfn.XLOOKUP(tblTargetStatus[[#This Row],[FirstMissingDependencyID]],tblTargets[TargetID],tblTargets[DisplayName],tblTargetStatus[[#This Row],[FirstMissingDependencyID]]))</f>
        <v>Dungeon Lv 4</v>
      </c>
      <c r="O455" t="str" cm="1">
        <f t="array" ref="O4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5" t="str">
        <f>IF(tblTargetStatus[[#This Row],[FirstMissingDependencyID]]="","",_xlfn.XLOOKUP(tblTargetStatus[[#This Row],[FirstMissingDependencyID]],tblTargetStatus[TargetID],tblTargetStatus[Status],""))</f>
        <v>BLOCKED</v>
      </c>
      <c r="Q455" t="str">
        <f>IF(
 tblTargetStatus[[#This Row],[Status]]&lt;&gt;"BLOCKED",
 tblTargetStatus[[#This Row],[Status]],
 IF(
  AND(
   tblTargetStatus[[#This Row],[MissingDependencies]]=1,
   tblTargetStatus[[#This Row],[FirstMissingStatus]]="READY"
  ),
  "ONE AWAY",
  "BLOCKED"
 )
)</f>
        <v>BLOCKED</v>
      </c>
      <c r="R455">
        <f>IF(
 OR(
  tblTargetStatus[[#This Row],[StateType]]="CHARACTER",
  RIGHT(tblTargetStatus[[#This Row],[TargetID]],6)=".maxed"
 ),
 0,
 _xlfn.LET(
  _xlpm.sort,
   _xlfn.XLOOKUP(
    tblTargetStatus[[#This Row],[TargetID]],
    tblChecklist[TargetID],
    tblChecklist[PlayerSort],
    0
   ),
  IF(_xlpm.sort=0,500,_xlpm.sort)
 )
)</f>
        <v>500</v>
      </c>
      <c r="S455" t="str" cm="1">
        <f t="array" ref="S45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Dragon teeth Accepted</v>
      </c>
      <c r="T455" t="str">
        <f>_xlfn.XLOOKUP(tblTargetStatus[[#This Row],[TargetID]],tblTargets[TargetID],tblTargets[CompletionMethod],"")</f>
        <v>PLAYER</v>
      </c>
      <c r="U455" t="b">
        <f>COUNTIF(
    tblCost[TargetID],
    tblTargetStatus[[#This Row],[TargetID]]
)&gt;0</f>
        <v>0</v>
      </c>
      <c r="V455" s="81" t="str">
        <f>IF(tblTargetStatus[[#This Row],[HasCost]]=FALSE,
"N/A",
_xlfn.XLOOKUP(
tblTargetStatus[[#This Row],[TargetID]],
tblCost[TargetID],
tblCost[FundingPercent],
""
)
)</f>
        <v>N/A</v>
      </c>
      <c r="W455" t="str">
        <f>IF(
COUNTIF(tblCost[TargetID],tblTargetStatus[[#This Row],[TargetID]])=0,
"",
_xlfn.XLOOKUP(
tblTargetStatus[[#This Row],[TargetID]],
tblCost[TargetID],
tblCost[RemainingRequirements],
""
)
)</f>
        <v/>
      </c>
      <c r="X455" s="79" t="str">
        <f>IF(tblTargetStatus[[#This Row],[HasCost]]=FALSE,"N/A",_xlfn.XLOOKUP(
tblTargetStatus[[#This Row],[TargetID]],
tblCost[TargetID],
tblCost[TargetFunded],
TRUE
))</f>
        <v>N/A</v>
      </c>
      <c r="Y455" t="str" cm="1">
        <f t="array" ref="Y455">_xlfn.TEXTJOIN(
", ",
TRUE,
_xlfn._xlws.FILTER(
tblCost[ResourceID]&amp;": "&amp;tblCost[QuantityRequired],
(tblCost[TargetID]=tblTargetStatus[[#This Row],[TargetID]])*
(tblCost[PlayerPaid]=FALSE),
""
)
)</f>
        <v/>
      </c>
      <c r="Z4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5" t="str" cm="1">
        <f t="array" ref="AA45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Dragon teeth</v>
      </c>
    </row>
    <row r="456" spans="1:27">
      <c r="A456" t="s">
        <v>3468</v>
      </c>
      <c r="B456" t="str">
        <f>_xlfn.XLOOKUP(tblTargetStatus[[#This Row],[TargetID]],tblTargets[TargetID],tblTargets[DisplayName],"")</f>
        <v>Meet Pilot@F3</v>
      </c>
      <c r="C456" t="str">
        <f>IF(tblTargetStatus[[#This Row],[PlayerCompleted]],"COMPLETED",IF(tblTargetStatus[[#This Row],[MissingDependencies]]=0,"READY","BLOCKED"))</f>
        <v>BLOCKED</v>
      </c>
      <c r="D4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6" t="str">
        <f>_xlfn.XLOOKUP(tblTargetStatus[[#This Row],[TargetID]],tblTargets[TargetID],tblTargets[TargetType],"")</f>
        <v>STATE</v>
      </c>
      <c r="F456" t="str">
        <f>_xlfn.XLOOKUP(tblTargetStatus[[#This Row],[TargetID]],tblTargets[TargetID],tblTargets[StateType])</f>
        <v>MEET</v>
      </c>
      <c r="G456">
        <f>_xlfn.LET(
_xlpm.id,tblTargetStatus[[#This Row],[TargetID]],
_xlpm.depCount,COUNTIF(tblDependencies[TargetID],_xlpm.id),
_xlpm.objCount,COUNTIF(tblQuestObjectives[QuestTargetID],_xlpm.id),
_xlpm.depCount+_xlpm.objCount
)</f>
        <v>1</v>
      </c>
      <c r="H456">
        <f>tblTargetStatus[[#This Row],[DependencyCount]]</f>
        <v>1</v>
      </c>
      <c r="I456" cm="1">
        <f t="array" ref="I4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6">
        <f>tblTargetStatus[[#This Row],[CompletedDependencyCount]]</f>
        <v>0</v>
      </c>
      <c r="K456" t="b">
        <f>tblTargetStatus[[#This Row],[CompletedDependencies]]=tblTargetStatus[[#This Row],[TotalDependencies]]</f>
        <v>0</v>
      </c>
      <c r="L456">
        <f>tblTargetStatus[[#This Row],[TotalDependencies]]-tblTargetStatus[[#This Row],[CompletedDependencies]]</f>
        <v>1</v>
      </c>
      <c r="M456" t="str" cm="1">
        <f t="array" ref="M4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quest.once_upon_a_forest_chapter_10.accepted</v>
      </c>
      <c r="N456" t="str">
        <f>IF(tblTargetStatus[[#This Row],[FirstMissingDependencyID]]="","",_xlfn.XLOOKUP(tblTargetStatus[[#This Row],[FirstMissingDependencyID]],tblTargets[TargetID],tblTargets[DisplayName],tblTargetStatus[[#This Row],[FirstMissingDependencyID]]))</f>
        <v>Once Upon a Forest Chapter 10 Accepted</v>
      </c>
      <c r="O456" t="str" cm="1">
        <f t="array" ref="O4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6" t="str">
        <f>IF(tblTargetStatus[[#This Row],[FirstMissingDependencyID]]="","",_xlfn.XLOOKUP(tblTargetStatus[[#This Row],[FirstMissingDependencyID]],tblTargetStatus[TargetID],tblTargetStatus[Status],""))</f>
        <v>BLOCKED</v>
      </c>
      <c r="Q456" t="str">
        <f>IF(
 tblTargetStatus[[#This Row],[Status]]&lt;&gt;"BLOCKED",
 tblTargetStatus[[#This Row],[Status]],
 IF(
  AND(
   tblTargetStatus[[#This Row],[MissingDependencies]]=1,
   tblTargetStatus[[#This Row],[FirstMissingStatus]]="READY"
  ),
  "ONE AWAY",
  "BLOCKED"
 )
)</f>
        <v>BLOCKED</v>
      </c>
      <c r="R456">
        <f>IF(
 OR(
  tblTargetStatus[[#This Row],[StateType]]="CHARACTER",
  RIGHT(tblTargetStatus[[#This Row],[TargetID]],6)=".maxed"
 ),
 0,
 _xlfn.LET(
  _xlpm.sort,
   _xlfn.XLOOKUP(
    tblTargetStatus[[#This Row],[TargetID]],
    tblChecklist[TargetID],
    tblChecklist[PlayerSort],
    0
   ),
  IF(_xlpm.sort=0,500,_xlpm.sort)
 )
)</f>
        <v>500</v>
      </c>
      <c r="S456" t="str" cm="1">
        <f t="array" ref="S45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11 Accepted</v>
      </c>
      <c r="T456" t="str">
        <f>_xlfn.XLOOKUP(tblTargetStatus[[#This Row],[TargetID]],tblTargets[TargetID],tblTargets[CompletionMethod],"")</f>
        <v>PLAYER</v>
      </c>
      <c r="U456" t="b">
        <f>COUNTIF(
    tblCost[TargetID],
    tblTargetStatus[[#This Row],[TargetID]]
)&gt;0</f>
        <v>0</v>
      </c>
      <c r="V456" s="81" t="str">
        <f>IF(tblTargetStatus[[#This Row],[HasCost]]=FALSE,
"N/A",
_xlfn.XLOOKUP(
tblTargetStatus[[#This Row],[TargetID]],
tblCost[TargetID],
tblCost[FundingPercent],
""
)
)</f>
        <v>N/A</v>
      </c>
      <c r="W456" t="str">
        <f>IF(
COUNTIF(tblCost[TargetID],tblTargetStatus[[#This Row],[TargetID]])=0,
"",
_xlfn.XLOOKUP(
tblTargetStatus[[#This Row],[TargetID]],
tblCost[TargetID],
tblCost[RemainingRequirements],
""
)
)</f>
        <v/>
      </c>
      <c r="X456" s="79" t="str">
        <f>IF(tblTargetStatus[[#This Row],[HasCost]]=FALSE,"N/A",_xlfn.XLOOKUP(
tblTargetStatus[[#This Row],[TargetID]],
tblCost[TargetID],
tblCost[TargetFunded],
TRUE
))</f>
        <v>N/A</v>
      </c>
      <c r="Y456" t="str" cm="1">
        <f t="array" ref="Y456">_xlfn.TEXTJOIN(
", ",
TRUE,
_xlfn._xlws.FILTER(
tblCost[ResourceID]&amp;": "&amp;tblCost[QuantityRequired],
(tblCost[TargetID]=tblTargetStatus[[#This Row],[TargetID]])*
(tblCost[PlayerPaid]=FALSE),
""
)
)</f>
        <v/>
      </c>
      <c r="Z4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6" t="str" cm="1">
        <f t="array" ref="AA45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11</v>
      </c>
    </row>
    <row r="457" spans="1:27">
      <c r="A457" t="s">
        <v>3508</v>
      </c>
      <c r="B457" t="str">
        <f>_xlfn.XLOOKUP(tblTargetStatus[[#This Row],[TargetID]],tblTargets[TargetID],tblTargets[DisplayName],"")</f>
        <v>Meet Pirate Skeleton@3A</v>
      </c>
      <c r="C457" t="str">
        <f>IF(tblTargetStatus[[#This Row],[PlayerCompleted]],"COMPLETED",IF(tblTargetStatus[[#This Row],[MissingDependencies]]=0,"READY","BLOCKED"))</f>
        <v>BLOCKED</v>
      </c>
      <c r="D4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7" t="str">
        <f>_xlfn.XLOOKUP(tblTargetStatus[[#This Row],[TargetID]],tblTargets[TargetID],tblTargets[TargetType],"")</f>
        <v>STATE</v>
      </c>
      <c r="F457" t="str">
        <f>_xlfn.XLOOKUP(tblTargetStatus[[#This Row],[TargetID]],tblTargets[TargetID],tblTargets[StateType])</f>
        <v>MEET</v>
      </c>
      <c r="G457">
        <f>_xlfn.LET(
_xlpm.id,tblTargetStatus[[#This Row],[TargetID]],
_xlpm.depCount,COUNTIF(tblDependencies[TargetID],_xlpm.id),
_xlpm.objCount,COUNTIF(tblQuestObjectives[QuestTargetID],_xlpm.id),
_xlpm.depCount+_xlpm.objCount
)</f>
        <v>2</v>
      </c>
      <c r="H457">
        <f>tblTargetStatus[[#This Row],[DependencyCount]]</f>
        <v>2</v>
      </c>
      <c r="I457" cm="1">
        <f t="array" ref="I4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7">
        <f>tblTargetStatus[[#This Row],[CompletedDependencyCount]]</f>
        <v>0</v>
      </c>
      <c r="K457" t="b">
        <f>tblTargetStatus[[#This Row],[CompletedDependencies]]=tblTargetStatus[[#This Row],[TotalDependencies]]</f>
        <v>0</v>
      </c>
      <c r="L457">
        <f>tblTargetStatus[[#This Row],[TotalDependencies]]-tblTargetStatus[[#This Row],[CompletedDependencies]]</f>
        <v>2</v>
      </c>
      <c r="M457" t="str" cm="1">
        <f t="array" ref="M4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quest.shoguns_katana_chapter_4.finished</v>
      </c>
      <c r="N457" t="str">
        <f>IF(tblTargetStatus[[#This Row],[FirstMissingDependencyID]]="","",_xlfn.XLOOKUP(tblTargetStatus[[#This Row],[FirstMissingDependencyID]],tblTargets[TargetID],tblTargets[DisplayName],tblTargetStatus[[#This Row],[FirstMissingDependencyID]]))</f>
        <v>Shogun's Katana Chapter 4 Finished</v>
      </c>
      <c r="O457" t="str" cm="1">
        <f t="array" ref="O4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7" t="str">
        <f>IF(tblTargetStatus[[#This Row],[FirstMissingDependencyID]]="","",_xlfn.XLOOKUP(tblTargetStatus[[#This Row],[FirstMissingDependencyID]],tblTargetStatus[TargetID],tblTargetStatus[Status],""))</f>
        <v>BLOCKED</v>
      </c>
      <c r="Q457" t="str">
        <f>IF(
 tblTargetStatus[[#This Row],[Status]]&lt;&gt;"BLOCKED",
 tblTargetStatus[[#This Row],[Status]],
 IF(
  AND(
   tblTargetStatus[[#This Row],[MissingDependencies]]=1,
   tblTargetStatus[[#This Row],[FirstMissingStatus]]="READY"
  ),
  "ONE AWAY",
  "BLOCKED"
 )
)</f>
        <v>BLOCKED</v>
      </c>
      <c r="R457">
        <f>IF(
 OR(
  tblTargetStatus[[#This Row],[StateType]]="CHARACTER",
  RIGHT(tblTargetStatus[[#This Row],[TargetID]],6)=".maxed"
 ),
 0,
 _xlfn.LET(
  _xlpm.sort,
   _xlfn.XLOOKUP(
    tblTargetStatus[[#This Row],[TargetID]],
    tblChecklist[TargetID],
    tblChecklist[PlayerSort],
    0
   ),
  IF(_xlpm.sort=0,500,_xlpm.sort)
 )
)</f>
        <v>500</v>
      </c>
      <c r="S457" t="str" cm="1">
        <f t="array" ref="S45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Treasure Island Accepted</v>
      </c>
      <c r="T457" t="str">
        <f>_xlfn.XLOOKUP(tblTargetStatus[[#This Row],[TargetID]],tblTargets[TargetID],tblTargets[CompletionMethod],"")</f>
        <v>PLAYER</v>
      </c>
      <c r="U457" t="b">
        <f>COUNTIF(
    tblCost[TargetID],
    tblTargetStatus[[#This Row],[TargetID]]
)&gt;0</f>
        <v>0</v>
      </c>
      <c r="V457" s="81" t="str">
        <f>IF(tblTargetStatus[[#This Row],[HasCost]]=FALSE,
"N/A",
_xlfn.XLOOKUP(
tblTargetStatus[[#This Row],[TargetID]],
tblCost[TargetID],
tblCost[FundingPercent],
""
)
)</f>
        <v>N/A</v>
      </c>
      <c r="W457" t="str">
        <f>IF(
COUNTIF(tblCost[TargetID],tblTargetStatus[[#This Row],[TargetID]])=0,
"",
_xlfn.XLOOKUP(
tblTargetStatus[[#This Row],[TargetID]],
tblCost[TargetID],
tblCost[RemainingRequirements],
""
)
)</f>
        <v/>
      </c>
      <c r="X457" s="79" t="str">
        <f>IF(tblTargetStatus[[#This Row],[HasCost]]=FALSE,"N/A",_xlfn.XLOOKUP(
tblTargetStatus[[#This Row],[TargetID]],
tblCost[TargetID],
tblCost[TargetFunded],
TRUE
))</f>
        <v>N/A</v>
      </c>
      <c r="Y457" t="str" cm="1">
        <f t="array" ref="Y457">_xlfn.TEXTJOIN(
", ",
TRUE,
_xlfn._xlws.FILTER(
tblCost[ResourceID]&amp;": "&amp;tblCost[QuantityRequired],
(tblCost[TargetID]=tblTargetStatus[[#This Row],[TargetID]])*
(tblCost[PlayerPaid]=FALSE),
""
)
)</f>
        <v/>
      </c>
      <c r="Z4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7" t="str" cm="1">
        <f t="array" ref="AA45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Treasure Island</v>
      </c>
    </row>
    <row r="458" spans="1:27">
      <c r="A458" t="s">
        <v>6040</v>
      </c>
      <c r="B458" t="str">
        <f>_xlfn.XLOOKUP(tblTargetStatus[[#This Row],[TargetID]],tblTargets[TargetID],tblTargets[DisplayName],"")</f>
        <v>Meet Raven @F1 on first entrance</v>
      </c>
      <c r="C458" t="str">
        <f>IF(tblTargetStatus[[#This Row],[PlayerCompleted]],"COMPLETED",IF(tblTargetStatus[[#This Row],[MissingDependencies]]=0,"READY","BLOCKED"))</f>
        <v>BLOCKED</v>
      </c>
      <c r="D4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8" t="str">
        <f>_xlfn.XLOOKUP(tblTargetStatus[[#This Row],[TargetID]],tblTargets[TargetID],tblTargets[TargetType],"")</f>
        <v>STATE</v>
      </c>
      <c r="F458" t="str">
        <f>_xlfn.XLOOKUP(tblTargetStatus[[#This Row],[TargetID]],tblTargets[TargetID],tblTargets[StateType])</f>
        <v>MEET</v>
      </c>
      <c r="G458">
        <f>_xlfn.LET(
_xlpm.id,tblTargetStatus[[#This Row],[TargetID]],
_xlpm.depCount,COUNTIF(tblDependencies[TargetID],_xlpm.id),
_xlpm.objCount,COUNTIF(tblQuestObjectives[QuestTargetID],_xlpm.id),
_xlpm.depCount+_xlpm.objCount
)</f>
        <v>1</v>
      </c>
      <c r="H458">
        <f>tblTargetStatus[[#This Row],[DependencyCount]]</f>
        <v>1</v>
      </c>
      <c r="I458" cm="1">
        <f t="array" ref="I4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8">
        <f>tblTargetStatus[[#This Row],[CompletedDependencyCount]]</f>
        <v>0</v>
      </c>
      <c r="K458" t="b">
        <f>tblTargetStatus[[#This Row],[CompletedDependencies]]=tblTargetStatus[[#This Row],[TotalDependencies]]</f>
        <v>0</v>
      </c>
      <c r="L458">
        <f>tblTargetStatus[[#This Row],[TotalDependencies]]-tblTargetStatus[[#This Row],[CompletedDependencies]]</f>
        <v>1</v>
      </c>
      <c r="M458" t="str" cm="1">
        <f t="array" ref="M4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quest.once_upon_a_forest_chapter_1.finished</v>
      </c>
      <c r="N458" t="str">
        <f>IF(tblTargetStatus[[#This Row],[FirstMissingDependencyID]]="","",_xlfn.XLOOKUP(tblTargetStatus[[#This Row],[FirstMissingDependencyID]],tblTargets[TargetID],tblTargets[DisplayName],tblTargetStatus[[#This Row],[FirstMissingDependencyID]]))</f>
        <v>Once Upon a Forest Chapter 1 Finished</v>
      </c>
      <c r="O458" t="str" cm="1">
        <f t="array" ref="O4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8" t="str">
        <f>IF(tblTargetStatus[[#This Row],[FirstMissingDependencyID]]="","",_xlfn.XLOOKUP(tblTargetStatus[[#This Row],[FirstMissingDependencyID]],tblTargetStatus[TargetID],tblTargetStatus[Status],""))</f>
        <v>BLOCKED</v>
      </c>
      <c r="Q458" t="str">
        <f>IF(
 tblTargetStatus[[#This Row],[Status]]&lt;&gt;"BLOCKED",
 tblTargetStatus[[#This Row],[Status]],
 IF(
  AND(
   tblTargetStatus[[#This Row],[MissingDependencies]]=1,
   tblTargetStatus[[#This Row],[FirstMissingStatus]]="READY"
  ),
  "ONE AWAY",
  "BLOCKED"
 )
)</f>
        <v>BLOCKED</v>
      </c>
      <c r="R458">
        <f>IF(
 OR(
  tblTargetStatus[[#This Row],[StateType]]="CHARACTER",
  RIGHT(tblTargetStatus[[#This Row],[TargetID]],6)=".maxed"
 ),
 0,
 _xlfn.LET(
  _xlpm.sort,
   _xlfn.XLOOKUP(
    tblTargetStatus[[#This Row],[TargetID]],
    tblChecklist[TargetID],
    tblChecklist[PlayerSort],
    0
   ),
  IF(_xlpm.sort=0,500,_xlpm.sort)
 )
)</f>
        <v>500</v>
      </c>
      <c r="S458" t="str" cm="1">
        <f t="array" ref="S45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2 Accepted</v>
      </c>
      <c r="T458" t="str">
        <f>_xlfn.XLOOKUP(tblTargetStatus[[#This Row],[TargetID]],tblTargets[TargetID],tblTargets[CompletionMethod],"")</f>
        <v>PLAYER</v>
      </c>
      <c r="U458" t="b">
        <f>COUNTIF(
    tblCost[TargetID],
    tblTargetStatus[[#This Row],[TargetID]]
)&gt;0</f>
        <v>0</v>
      </c>
      <c r="V458" s="81" t="str">
        <f>IF(tblTargetStatus[[#This Row],[HasCost]]=FALSE,
"N/A",
_xlfn.XLOOKUP(
tblTargetStatus[[#This Row],[TargetID]],
tblCost[TargetID],
tblCost[FundingPercent],
""
)
)</f>
        <v>N/A</v>
      </c>
      <c r="W458" t="str">
        <f>IF(
COUNTIF(tblCost[TargetID],tblTargetStatus[[#This Row],[TargetID]])=0,
"",
_xlfn.XLOOKUP(
tblTargetStatus[[#This Row],[TargetID]],
tblCost[TargetID],
tblCost[RemainingRequirements],
""
)
)</f>
        <v/>
      </c>
      <c r="X458" s="79" t="str">
        <f>IF(tblTargetStatus[[#This Row],[HasCost]]=FALSE,"N/A",_xlfn.XLOOKUP(
tblTargetStatus[[#This Row],[TargetID]],
tblCost[TargetID],
tblCost[TargetFunded],
TRUE
))</f>
        <v>N/A</v>
      </c>
      <c r="Y458" t="str" cm="1">
        <f t="array" ref="Y458">_xlfn.TEXTJOIN(
", ",
TRUE,
_xlfn._xlws.FILTER(
tblCost[ResourceID]&amp;": "&amp;tblCost[QuantityRequired],
(tblCost[TargetID]=tblTargetStatus[[#This Row],[TargetID]])*
(tblCost[PlayerPaid]=FALSE),
""
)
)</f>
        <v/>
      </c>
      <c r="Z4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8" t="str" cm="1">
        <f t="array" ref="AA45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2</v>
      </c>
    </row>
    <row r="459" spans="1:27">
      <c r="A459" t="s">
        <v>6103</v>
      </c>
      <c r="B459" t="str">
        <f>_xlfn.XLOOKUP(tblTargetStatus[[#This Row],[TargetID]],tblTargets[TargetID],tblTargets[DisplayName],"")</f>
        <v>Repeat Visit Dungeon@ F1</v>
      </c>
      <c r="C459" t="str">
        <f>IF(tblTargetStatus[[#This Row],[PlayerCompleted]],"COMPLETED",IF(tblTargetStatus[[#This Row],[MissingDependencies]]=0,"READY","BLOCKED"))</f>
        <v>BLOCKED</v>
      </c>
      <c r="D4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9" t="str">
        <f>_xlfn.XLOOKUP(tblTargetStatus[[#This Row],[TargetID]],tblTargets[TargetID],tblTargets[TargetType],"")</f>
        <v>STATE</v>
      </c>
      <c r="F459" t="str">
        <f>_xlfn.XLOOKUP(tblTargetStatus[[#This Row],[TargetID]],tblTargets[TargetID],tblTargets[StateType])</f>
        <v>MEET</v>
      </c>
      <c r="G459">
        <f>_xlfn.LET(
_xlpm.id,tblTargetStatus[[#This Row],[TargetID]],
_xlpm.depCount,COUNTIF(tblDependencies[TargetID],_xlpm.id),
_xlpm.objCount,COUNTIF(tblQuestObjectives[QuestTargetID],_xlpm.id),
_xlpm.depCount+_xlpm.objCount
)</f>
        <v>1</v>
      </c>
      <c r="H459">
        <f>tblTargetStatus[[#This Row],[DependencyCount]]</f>
        <v>1</v>
      </c>
      <c r="I459" cm="1">
        <f t="array" ref="I4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9">
        <f>tblTargetStatus[[#This Row],[CompletedDependencyCount]]</f>
        <v>0</v>
      </c>
      <c r="K459" t="b">
        <f>tblTargetStatus[[#This Row],[CompletedDependencies]]=tblTargetStatus[[#This Row],[TotalDependencies]]</f>
        <v>0</v>
      </c>
      <c r="L459">
        <f>tblTargetStatus[[#This Row],[TotalDependencies]]-tblTargetStatus[[#This Row],[CompletedDependencies]]</f>
        <v>1</v>
      </c>
      <c r="M459" t="str" cm="1">
        <f t="array" ref="M4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quest.once_upon_a_forest_chapter_3.finished</v>
      </c>
      <c r="N459" t="str">
        <f>IF(tblTargetStatus[[#This Row],[FirstMissingDependencyID]]="","",_xlfn.XLOOKUP(tblTargetStatus[[#This Row],[FirstMissingDependencyID]],tblTargets[TargetID],tblTargets[DisplayName],tblTargetStatus[[#This Row],[FirstMissingDependencyID]]))</f>
        <v>Once Upon a Forest Chapter 3 Finished</v>
      </c>
      <c r="O459" t="str" cm="1">
        <f t="array" ref="O4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9" t="str">
        <f>IF(tblTargetStatus[[#This Row],[FirstMissingDependencyID]]="","",_xlfn.XLOOKUP(tblTargetStatus[[#This Row],[FirstMissingDependencyID]],tblTargetStatus[TargetID],tblTargetStatus[Status],""))</f>
        <v>BLOCKED</v>
      </c>
      <c r="Q459" t="str">
        <f>IF(
 tblTargetStatus[[#This Row],[Status]]&lt;&gt;"BLOCKED",
 tblTargetStatus[[#This Row],[Status]],
 IF(
  AND(
   tblTargetStatus[[#This Row],[MissingDependencies]]=1,
   tblTargetStatus[[#This Row],[FirstMissingStatus]]="READY"
  ),
  "ONE AWAY",
  "BLOCKED"
 )
)</f>
        <v>BLOCKED</v>
      </c>
      <c r="R459">
        <f>IF(
 OR(
  tblTargetStatus[[#This Row],[StateType]]="CHARACTER",
  RIGHT(tblTargetStatus[[#This Row],[TargetID]],6)=".maxed"
 ),
 0,
 _xlfn.LET(
  _xlpm.sort,
   _xlfn.XLOOKUP(
    tblTargetStatus[[#This Row],[TargetID]],
    tblChecklist[TargetID],
    tblChecklist[PlayerSort],
    0
   ),
  IF(_xlpm.sort=0,500,_xlpm.sort)
 )
)</f>
        <v>500</v>
      </c>
      <c r="S459" t="str" cm="1">
        <f t="array" ref="S45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4 Accepted</v>
      </c>
      <c r="T459" t="str">
        <f>_xlfn.XLOOKUP(tblTargetStatus[[#This Row],[TargetID]],tblTargets[TargetID],tblTargets[CompletionMethod],"")</f>
        <v>PLAYER</v>
      </c>
      <c r="U459" t="b">
        <f>COUNTIF(
    tblCost[TargetID],
    tblTargetStatus[[#This Row],[TargetID]]
)&gt;0</f>
        <v>0</v>
      </c>
      <c r="V459" s="81" t="str">
        <f>IF(tblTargetStatus[[#This Row],[HasCost]]=FALSE,
"N/A",
_xlfn.XLOOKUP(
tblTargetStatus[[#This Row],[TargetID]],
tblCost[TargetID],
tblCost[FundingPercent],
""
)
)</f>
        <v>N/A</v>
      </c>
      <c r="W459" t="str">
        <f>IF(
COUNTIF(tblCost[TargetID],tblTargetStatus[[#This Row],[TargetID]])=0,
"",
_xlfn.XLOOKUP(
tblTargetStatus[[#This Row],[TargetID]],
tblCost[TargetID],
tblCost[RemainingRequirements],
""
)
)</f>
        <v/>
      </c>
      <c r="X459" s="79" t="str">
        <f>IF(tblTargetStatus[[#This Row],[HasCost]]=FALSE,"N/A",_xlfn.XLOOKUP(
tblTargetStatus[[#This Row],[TargetID]],
tblCost[TargetID],
tblCost[TargetFunded],
TRUE
))</f>
        <v>N/A</v>
      </c>
      <c r="Y459" t="str" cm="1">
        <f t="array" ref="Y459">_xlfn.TEXTJOIN(
", ",
TRUE,
_xlfn._xlws.FILTER(
tblCost[ResourceID]&amp;": "&amp;tblCost[QuantityRequired],
(tblCost[TargetID]=tblTargetStatus[[#This Row],[TargetID]])*
(tblCost[PlayerPaid]=FALSE),
""
)
)</f>
        <v/>
      </c>
      <c r="Z4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9" t="str" cm="1">
        <f t="array" ref="AA45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4</v>
      </c>
    </row>
    <row r="460" spans="1:27">
      <c r="A460" t="s">
        <v>6104</v>
      </c>
      <c r="B460" t="str">
        <f>_xlfn.XLOOKUP(tblTargetStatus[[#This Row],[TargetID]],tblTargets[TargetID],tblTargets[DisplayName],"")</f>
        <v>Meet Raven@F1</v>
      </c>
      <c r="C460" t="str">
        <f>IF(tblTargetStatus[[#This Row],[PlayerCompleted]],"COMPLETED",IF(tblTargetStatus[[#This Row],[MissingDependencies]]=0,"READY","BLOCKED"))</f>
        <v>BLOCKED</v>
      </c>
      <c r="D4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0" t="str">
        <f>_xlfn.XLOOKUP(tblTargetStatus[[#This Row],[TargetID]],tblTargets[TargetID],tblTargets[TargetType],"")</f>
        <v>STATE</v>
      </c>
      <c r="F460" t="str">
        <f>_xlfn.XLOOKUP(tblTargetStatus[[#This Row],[TargetID]],tblTargets[TargetID],tblTargets[StateType])</f>
        <v>MEET</v>
      </c>
      <c r="G460">
        <f>_xlfn.LET(
_xlpm.id,tblTargetStatus[[#This Row],[TargetID]],
_xlpm.depCount,COUNTIF(tblDependencies[TargetID],_xlpm.id),
_xlpm.objCount,COUNTIF(tblQuestObjectives[QuestTargetID],_xlpm.id),
_xlpm.depCount+_xlpm.objCount
)</f>
        <v>2</v>
      </c>
      <c r="H460">
        <f>tblTargetStatus[[#This Row],[DependencyCount]]</f>
        <v>2</v>
      </c>
      <c r="I460" cm="1">
        <f t="array" ref="I4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0">
        <f>tblTargetStatus[[#This Row],[CompletedDependencyCount]]</f>
        <v>0</v>
      </c>
      <c r="K460" t="b">
        <f>tblTargetStatus[[#This Row],[CompletedDependencies]]=tblTargetStatus[[#This Row],[TotalDependencies]]</f>
        <v>0</v>
      </c>
      <c r="L460">
        <f>tblTargetStatus[[#This Row],[TotalDependencies]]-tblTargetStatus[[#This Row],[CompletedDependencies]]</f>
        <v>2</v>
      </c>
      <c r="M460" t="str" cm="1">
        <f t="array" ref="M4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quest.once_upon_a_forest_chapter_14.finished</v>
      </c>
      <c r="N460" t="str">
        <f>IF(tblTargetStatus[[#This Row],[FirstMissingDependencyID]]="","",_xlfn.XLOOKUP(tblTargetStatus[[#This Row],[FirstMissingDependencyID]],tblTargets[TargetID],tblTargets[DisplayName],tblTargetStatus[[#This Row],[FirstMissingDependencyID]]))</f>
        <v>Once Upon a Forest Chapter 14 Finished</v>
      </c>
      <c r="O460" t="str" cm="1">
        <f t="array" ref="O4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0" t="str">
        <f>IF(tblTargetStatus[[#This Row],[FirstMissingDependencyID]]="","",_xlfn.XLOOKUP(tblTargetStatus[[#This Row],[FirstMissingDependencyID]],tblTargetStatus[TargetID],tblTargetStatus[Status],""))</f>
        <v>BLOCKED</v>
      </c>
      <c r="Q460" t="str">
        <f>IF(
 tblTargetStatus[[#This Row],[Status]]&lt;&gt;"BLOCKED",
 tblTargetStatus[[#This Row],[Status]],
 IF(
  AND(
   tblTargetStatus[[#This Row],[MissingDependencies]]=1,
   tblTargetStatus[[#This Row],[FirstMissingStatus]]="READY"
  ),
  "ONE AWAY",
  "BLOCKED"
 )
)</f>
        <v>BLOCKED</v>
      </c>
      <c r="R460">
        <f>IF(
 OR(
  tblTargetStatus[[#This Row],[StateType]]="CHARACTER",
  RIGHT(tblTargetStatus[[#This Row],[TargetID]],6)=".maxed"
 ),
 0,
 _xlfn.LET(
  _xlpm.sort,
   _xlfn.XLOOKUP(
    tblTargetStatus[[#This Row],[TargetID]],
    tblChecklist[TargetID],
    tblChecklist[PlayerSort],
    0
   ),
  IF(_xlpm.sort=0,500,_xlpm.sort)
 )
)</f>
        <v>500</v>
      </c>
      <c r="S460" t="str" cm="1">
        <f t="array" ref="S46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15 Accepted</v>
      </c>
      <c r="T460" t="str">
        <f>_xlfn.XLOOKUP(tblTargetStatus[[#This Row],[TargetID]],tblTargets[TargetID],tblTargets[CompletionMethod],"")</f>
        <v>PLAYER</v>
      </c>
      <c r="U460" t="b">
        <f>COUNTIF(
    tblCost[TargetID],
    tblTargetStatus[[#This Row],[TargetID]]
)&gt;0</f>
        <v>0</v>
      </c>
      <c r="V460" s="81" t="str">
        <f>IF(tblTargetStatus[[#This Row],[HasCost]]=FALSE,
"N/A",
_xlfn.XLOOKUP(
tblTargetStatus[[#This Row],[TargetID]],
tblCost[TargetID],
tblCost[FundingPercent],
""
)
)</f>
        <v>N/A</v>
      </c>
      <c r="W460" t="str">
        <f>IF(
COUNTIF(tblCost[TargetID],tblTargetStatus[[#This Row],[TargetID]])=0,
"",
_xlfn.XLOOKUP(
tblTargetStatus[[#This Row],[TargetID]],
tblCost[TargetID],
tblCost[RemainingRequirements],
""
)
)</f>
        <v/>
      </c>
      <c r="X460" s="79" t="str">
        <f>IF(tblTargetStatus[[#This Row],[HasCost]]=FALSE,"N/A",_xlfn.XLOOKUP(
tblTargetStatus[[#This Row],[TargetID]],
tblCost[TargetID],
tblCost[TargetFunded],
TRUE
))</f>
        <v>N/A</v>
      </c>
      <c r="Y460" t="str" cm="1">
        <f t="array" ref="Y460">_xlfn.TEXTJOIN(
", ",
TRUE,
_xlfn._xlws.FILTER(
tblCost[ResourceID]&amp;": "&amp;tblCost[QuantityRequired],
(tblCost[TargetID]=tblTargetStatus[[#This Row],[TargetID]])*
(tblCost[PlayerPaid]=FALSE),
""
)
)</f>
        <v/>
      </c>
      <c r="Z4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0" t="str" cm="1">
        <f t="array" ref="AA46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15</v>
      </c>
    </row>
    <row r="461" spans="1:27">
      <c r="A461" t="s">
        <v>5920</v>
      </c>
      <c r="B461" t="str">
        <f>_xlfn.XLOOKUP(tblTargetStatus[[#This Row],[TargetID]],tblTargets[TargetID],tblTargets[DisplayName],"")</f>
        <v>Meet the raven in F2</v>
      </c>
      <c r="C461" t="str">
        <f>IF(tblTargetStatus[[#This Row],[PlayerCompleted]],"COMPLETED",IF(tblTargetStatus[[#This Row],[MissingDependencies]]=0,"READY","BLOCKED"))</f>
        <v>BLOCKED</v>
      </c>
      <c r="D4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1" t="str">
        <f>_xlfn.XLOOKUP(tblTargetStatus[[#This Row],[TargetID]],tblTargets[TargetID],tblTargets[TargetType],"")</f>
        <v>STATE</v>
      </c>
      <c r="F461" t="str">
        <f>_xlfn.XLOOKUP(tblTargetStatus[[#This Row],[TargetID]],tblTargets[TargetID],tblTargets[StateType])</f>
        <v>MEET</v>
      </c>
      <c r="G461">
        <f>_xlfn.LET(
_xlpm.id,tblTargetStatus[[#This Row],[TargetID]],
_xlpm.depCount,COUNTIF(tblDependencies[TargetID],_xlpm.id),
_xlpm.objCount,COUNTIF(tblQuestObjectives[QuestTargetID],_xlpm.id),
_xlpm.depCount+_xlpm.objCount
)</f>
        <v>1</v>
      </c>
      <c r="H461">
        <f>tblTargetStatus[[#This Row],[DependencyCount]]</f>
        <v>1</v>
      </c>
      <c r="I461" cm="1">
        <f t="array" ref="I4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1">
        <f>tblTargetStatus[[#This Row],[CompletedDependencyCount]]</f>
        <v>0</v>
      </c>
      <c r="K461" t="b">
        <f>tblTargetStatus[[#This Row],[CompletedDependencies]]=tblTargetStatus[[#This Row],[TotalDependencies]]</f>
        <v>0</v>
      </c>
      <c r="L461">
        <f>tblTargetStatus[[#This Row],[TotalDependencies]]-tblTargetStatus[[#This Row],[CompletedDependencies]]</f>
        <v>1</v>
      </c>
      <c r="M461" t="str" cm="1">
        <f t="array" ref="M4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quest.once_upon_a_forest_chapter_15.accepted</v>
      </c>
      <c r="N461" t="str">
        <f>IF(tblTargetStatus[[#This Row],[FirstMissingDependencyID]]="","",_xlfn.XLOOKUP(tblTargetStatus[[#This Row],[FirstMissingDependencyID]],tblTargets[TargetID],tblTargets[DisplayName],tblTargetStatus[[#This Row],[FirstMissingDependencyID]]))</f>
        <v>Once Upon a Forest Chapter 15 Accepted</v>
      </c>
      <c r="O461" s="2" t="str" cm="1">
        <f t="array" ref="O4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1" t="str">
        <f>IF(tblTargetStatus[[#This Row],[FirstMissingDependencyID]]="","",_xlfn.XLOOKUP(tblTargetStatus[[#This Row],[FirstMissingDependencyID]],tblTargetStatus[TargetID],tblTargetStatus[Status],""))</f>
        <v>BLOCKED</v>
      </c>
      <c r="Q461" t="str">
        <f>IF(
 tblTargetStatus[[#This Row],[Status]]&lt;&gt;"BLOCKED",
 tblTargetStatus[[#This Row],[Status]],
 IF(
  AND(
   tblTargetStatus[[#This Row],[MissingDependencies]]=1,
   tblTargetStatus[[#This Row],[FirstMissingStatus]]="READY"
  ),
  "ONE AWAY",
  "BLOCKED"
 )
)</f>
        <v>BLOCKED</v>
      </c>
      <c r="R461">
        <f>IF(
 OR(
  tblTargetStatus[[#This Row],[StateType]]="CHARACTER",
  RIGHT(tblTargetStatus[[#This Row],[TargetID]],6)=".maxed"
 ),
 0,
 _xlfn.LET(
  _xlpm.sort,
   _xlfn.XLOOKUP(
    tblTargetStatus[[#This Row],[TargetID]],
    tblChecklist[TargetID],
    tblChecklist[PlayerSort],
    0
   ),
  IF(_xlpm.sort=0,500,_xlpm.sort)
 )
)</f>
        <v>500</v>
      </c>
      <c r="S461" t="str" cm="1">
        <f t="array" ref="S46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15 Finished</v>
      </c>
      <c r="T461" t="str">
        <f>_xlfn.XLOOKUP(tblTargetStatus[[#This Row],[TargetID]],tblTargets[TargetID],tblTargets[CompletionMethod],"")</f>
        <v>PLAYER</v>
      </c>
      <c r="U461" t="b">
        <f>COUNTIF(
    tblCost[TargetID],
    tblTargetStatus[[#This Row],[TargetID]]
)&gt;0</f>
        <v>0</v>
      </c>
      <c r="V461" s="81" t="str">
        <f>IF(tblTargetStatus[[#This Row],[HasCost]]=FALSE,
"N/A",
_xlfn.XLOOKUP(
tblTargetStatus[[#This Row],[TargetID]],
tblCost[TargetID],
tblCost[FundingPercent],
""
)
)</f>
        <v>N/A</v>
      </c>
      <c r="W461" t="str">
        <f>IF(
COUNTIF(tblCost[TargetID],tblTargetStatus[[#This Row],[TargetID]])=0,
"",
_xlfn.XLOOKUP(
tblTargetStatus[[#This Row],[TargetID]],
tblCost[TargetID],
tblCost[RemainingRequirements],
""
)
)</f>
        <v/>
      </c>
      <c r="X461" s="79" t="str">
        <f>IF(tblTargetStatus[[#This Row],[HasCost]]=FALSE,"N/A",_xlfn.XLOOKUP(
tblTargetStatus[[#This Row],[TargetID]],
tblCost[TargetID],
tblCost[TargetFunded],
TRUE
))</f>
        <v>N/A</v>
      </c>
      <c r="Y461" t="str" cm="1">
        <f t="array" ref="Y461">_xlfn.TEXTJOIN(
", ",
TRUE,
_xlfn._xlws.FILTER(
tblCost[ResourceID]&amp;": "&amp;tblCost[QuantityRequired],
(tblCost[TargetID]=tblTargetStatus[[#This Row],[TargetID]])*
(tblCost[PlayerPaid]=FALSE),
""
)
)</f>
        <v/>
      </c>
      <c r="Z4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1" t="str" cm="1">
        <f t="array" ref="AA46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62" spans="1:27">
      <c r="A462" t="s">
        <v>3463</v>
      </c>
      <c r="B462" t="str">
        <f>_xlfn.XLOOKUP(tblTargetStatus[[#This Row],[TargetID]],tblTargets[TargetID],tblTargets[DisplayName],"")</f>
        <v>Meet Raven@F3</v>
      </c>
      <c r="C462" t="str">
        <f>IF(tblTargetStatus[[#This Row],[PlayerCompleted]],"COMPLETED",IF(tblTargetStatus[[#This Row],[MissingDependencies]]=0,"READY","BLOCKED"))</f>
        <v>BLOCKED</v>
      </c>
      <c r="D4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2" t="str">
        <f>_xlfn.XLOOKUP(tblTargetStatus[[#This Row],[TargetID]],tblTargets[TargetID],tblTargets[TargetType],"")</f>
        <v>STATE</v>
      </c>
      <c r="F462" t="str">
        <f>_xlfn.XLOOKUP(tblTargetStatus[[#This Row],[TargetID]],tblTargets[TargetID],tblTargets[StateType])</f>
        <v>MEET</v>
      </c>
      <c r="G462">
        <f>_xlfn.LET(
_xlpm.id,tblTargetStatus[[#This Row],[TargetID]],
_xlpm.depCount,COUNTIF(tblDependencies[TargetID],_xlpm.id),
_xlpm.objCount,COUNTIF(tblQuestObjectives[QuestTargetID],_xlpm.id),
_xlpm.depCount+_xlpm.objCount
)</f>
        <v>1</v>
      </c>
      <c r="H462">
        <f>tblTargetStatus[[#This Row],[DependencyCount]]</f>
        <v>1</v>
      </c>
      <c r="I462" cm="1">
        <f t="array" ref="I4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2">
        <f>tblTargetStatus[[#This Row],[CompletedDependencyCount]]</f>
        <v>0</v>
      </c>
      <c r="K462" t="b">
        <f>tblTargetStatus[[#This Row],[CompletedDependencies]]=tblTargetStatus[[#This Row],[TotalDependencies]]</f>
        <v>0</v>
      </c>
      <c r="L462">
        <f>tblTargetStatus[[#This Row],[TotalDependencies]]-tblTargetStatus[[#This Row],[CompletedDependencies]]</f>
        <v>1</v>
      </c>
      <c r="M462" t="str" cm="1">
        <f t="array" ref="M4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quest.once_upon_a_forest_chapter_7.finished</v>
      </c>
      <c r="N462" t="str">
        <f>IF(tblTargetStatus[[#This Row],[FirstMissingDependencyID]]="","",_xlfn.XLOOKUP(tblTargetStatus[[#This Row],[FirstMissingDependencyID]],tblTargets[TargetID],tblTargets[DisplayName],tblTargetStatus[[#This Row],[FirstMissingDependencyID]]))</f>
        <v>Once Upon a Forest Chapter 7 Finished</v>
      </c>
      <c r="O462" t="str" cm="1">
        <f t="array" ref="O4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2" t="str">
        <f>IF(tblTargetStatus[[#This Row],[FirstMissingDependencyID]]="","",_xlfn.XLOOKUP(tblTargetStatus[[#This Row],[FirstMissingDependencyID]],tblTargetStatus[TargetID],tblTargetStatus[Status],""))</f>
        <v>BLOCKED</v>
      </c>
      <c r="Q462" t="str">
        <f>IF(
 tblTargetStatus[[#This Row],[Status]]&lt;&gt;"BLOCKED",
 tblTargetStatus[[#This Row],[Status]],
 IF(
  AND(
   tblTargetStatus[[#This Row],[MissingDependencies]]=1,
   tblTargetStatus[[#This Row],[FirstMissingStatus]]="READY"
  ),
  "ONE AWAY",
  "BLOCKED"
 )
)</f>
        <v>BLOCKED</v>
      </c>
      <c r="R462">
        <f>IF(
 OR(
  tblTargetStatus[[#This Row],[StateType]]="CHARACTER",
  RIGHT(tblTargetStatus[[#This Row],[TargetID]],6)=".maxed"
 ),
 0,
 _xlfn.LET(
  _xlpm.sort,
   _xlfn.XLOOKUP(
    tblTargetStatus[[#This Row],[TargetID]],
    tblChecklist[TargetID],
    tblChecklist[PlayerSort],
    0
   ),
  IF(_xlpm.sort=0,500,_xlpm.sort)
 )
)</f>
        <v>500</v>
      </c>
      <c r="S462" t="str" cm="1">
        <f t="array" ref="S46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8 Accepted</v>
      </c>
      <c r="T462" t="str">
        <f>_xlfn.XLOOKUP(tblTargetStatus[[#This Row],[TargetID]],tblTargets[TargetID],tblTargets[CompletionMethod],"")</f>
        <v>PLAYER</v>
      </c>
      <c r="U462" t="b">
        <f>COUNTIF(
    tblCost[TargetID],
    tblTargetStatus[[#This Row],[TargetID]]
)&gt;0</f>
        <v>0</v>
      </c>
      <c r="V462" s="81" t="str">
        <f>IF(tblTargetStatus[[#This Row],[HasCost]]=FALSE,
"N/A",
_xlfn.XLOOKUP(
tblTargetStatus[[#This Row],[TargetID]],
tblCost[TargetID],
tblCost[FundingPercent],
""
)
)</f>
        <v>N/A</v>
      </c>
      <c r="W462" t="str">
        <f>IF(
COUNTIF(tblCost[TargetID],tblTargetStatus[[#This Row],[TargetID]])=0,
"",
_xlfn.XLOOKUP(
tblTargetStatus[[#This Row],[TargetID]],
tblCost[TargetID],
tblCost[RemainingRequirements],
""
)
)</f>
        <v/>
      </c>
      <c r="X462" s="79" t="str">
        <f>IF(tblTargetStatus[[#This Row],[HasCost]]=FALSE,"N/A",_xlfn.XLOOKUP(
tblTargetStatus[[#This Row],[TargetID]],
tblCost[TargetID],
tblCost[TargetFunded],
TRUE
))</f>
        <v>N/A</v>
      </c>
      <c r="Y462" t="str" cm="1">
        <f t="array" ref="Y462">_xlfn.TEXTJOIN(
", ",
TRUE,
_xlfn._xlws.FILTER(
tblCost[ResourceID]&amp;": "&amp;tblCost[QuantityRequired],
(tblCost[TargetID]=tblTargetStatus[[#This Row],[TargetID]])*
(tblCost[PlayerPaid]=FALSE),
""
)
)</f>
        <v/>
      </c>
      <c r="Z4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2" t="str" cm="1">
        <f t="array" ref="AA46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Once Upon a Forest Chapter 8</v>
      </c>
    </row>
    <row r="463" spans="1:27">
      <c r="A463" t="s">
        <v>3491</v>
      </c>
      <c r="B463" t="str">
        <f>_xlfn.XLOOKUP(tblTargetStatus[[#This Row],[TargetID]],tblTargets[TargetID],tblTargets[DisplayName],"")</f>
        <v>Meet Samurai Panda@6A</v>
      </c>
      <c r="C463" t="str">
        <f>IF(tblTargetStatus[[#This Row],[PlayerCompleted]],"COMPLETED",IF(tblTargetStatus[[#This Row],[MissingDependencies]]=0,"READY","BLOCKED"))</f>
        <v>BLOCKED</v>
      </c>
      <c r="D4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3" t="str">
        <f>_xlfn.XLOOKUP(tblTargetStatus[[#This Row],[TargetID]],tblTargets[TargetID],tblTargets[TargetType],"")</f>
        <v>STATE</v>
      </c>
      <c r="F463" t="str">
        <f>_xlfn.XLOOKUP(tblTargetStatus[[#This Row],[TargetID]],tblTargets[TargetID],tblTargets[StateType])</f>
        <v>MEET</v>
      </c>
      <c r="G463">
        <f>_xlfn.LET(
_xlpm.id,tblTargetStatus[[#This Row],[TargetID]],
_xlpm.depCount,COUNTIF(tblDependencies[TargetID],_xlpm.id),
_xlpm.objCount,COUNTIF(tblQuestObjectives[QuestTargetID],_xlpm.id),
_xlpm.depCount+_xlpm.objCount
)</f>
        <v>1</v>
      </c>
      <c r="H463">
        <f>tblTargetStatus[[#This Row],[DependencyCount]]</f>
        <v>1</v>
      </c>
      <c r="I463" cm="1">
        <f t="array" ref="I4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3">
        <f>tblTargetStatus[[#This Row],[CompletedDependencyCount]]</f>
        <v>0</v>
      </c>
      <c r="K463" t="b">
        <f>tblTargetStatus[[#This Row],[CompletedDependencies]]=tblTargetStatus[[#This Row],[TotalDependencies]]</f>
        <v>0</v>
      </c>
      <c r="L463">
        <f>tblTargetStatus[[#This Row],[TotalDependencies]]-tblTargetStatus[[#This Row],[CompletedDependencies]]</f>
        <v>1</v>
      </c>
      <c r="M463" t="str" cm="1">
        <f t="array" ref="M4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quest.once_upon_a_forest_chapter_12.finished</v>
      </c>
      <c r="N463" t="str">
        <f>IF(tblTargetStatus[[#This Row],[FirstMissingDependencyID]]="","",_xlfn.XLOOKUP(tblTargetStatus[[#This Row],[FirstMissingDependencyID]],tblTargets[TargetID],tblTargets[DisplayName],tblTargetStatus[[#This Row],[FirstMissingDependencyID]]))</f>
        <v>Once Upon a Forest Chapter 12 Finished</v>
      </c>
      <c r="O463" t="str" cm="1">
        <f t="array" ref="O4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3" t="str">
        <f>IF(tblTargetStatus[[#This Row],[FirstMissingDependencyID]]="","",_xlfn.XLOOKUP(tblTargetStatus[[#This Row],[FirstMissingDependencyID]],tblTargetStatus[TargetID],tblTargetStatus[Status],""))</f>
        <v>BLOCKED</v>
      </c>
      <c r="Q463" t="str">
        <f>IF(
 tblTargetStatus[[#This Row],[Status]]&lt;&gt;"BLOCKED",
 tblTargetStatus[[#This Row],[Status]],
 IF(
  AND(
   tblTargetStatus[[#This Row],[MissingDependencies]]=1,
   tblTargetStatus[[#This Row],[FirstMissingStatus]]="READY"
  ),
  "ONE AWAY",
  "BLOCKED"
 )
)</f>
        <v>BLOCKED</v>
      </c>
      <c r="R463">
        <f>IF(
 OR(
  tblTargetStatus[[#This Row],[StateType]]="CHARACTER",
  RIGHT(tblTargetStatus[[#This Row],[TargetID]],6)=".maxed"
 ),
 0,
 _xlfn.LET(
  _xlpm.sort,
   _xlfn.XLOOKUP(
    tblTargetStatus[[#This Row],[TargetID]],
    tblChecklist[TargetID],
    tblChecklist[PlayerSort],
    0
   ),
  IF(_xlpm.sort=0,500,_xlpm.sort)
 )
)</f>
        <v>500</v>
      </c>
      <c r="S463" t="str" cm="1">
        <f t="array" ref="S46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2 Accepted</v>
      </c>
      <c r="T463" t="str">
        <f>_xlfn.XLOOKUP(tblTargetStatus[[#This Row],[TargetID]],tblTargets[TargetID],tblTargets[CompletionMethod],"")</f>
        <v>PLAYER</v>
      </c>
      <c r="U463" t="b">
        <f>COUNTIF(
    tblCost[TargetID],
    tblTargetStatus[[#This Row],[TargetID]]
)&gt;0</f>
        <v>0</v>
      </c>
      <c r="V463" s="81" t="str">
        <f>IF(tblTargetStatus[[#This Row],[HasCost]]=FALSE,
"N/A",
_xlfn.XLOOKUP(
tblTargetStatus[[#This Row],[TargetID]],
tblCost[TargetID],
tblCost[FundingPercent],
""
)
)</f>
        <v>N/A</v>
      </c>
      <c r="W463" t="str">
        <f>IF(
COUNTIF(tblCost[TargetID],tblTargetStatus[[#This Row],[TargetID]])=0,
"",
_xlfn.XLOOKUP(
tblTargetStatus[[#This Row],[TargetID]],
tblCost[TargetID],
tblCost[RemainingRequirements],
""
)
)</f>
        <v/>
      </c>
      <c r="X463" s="79" t="str">
        <f>IF(tblTargetStatus[[#This Row],[HasCost]]=FALSE,"N/A",_xlfn.XLOOKUP(
tblTargetStatus[[#This Row],[TargetID]],
tblCost[TargetID],
tblCost[TargetFunded],
TRUE
))</f>
        <v>N/A</v>
      </c>
      <c r="Y463" t="str" cm="1">
        <f t="array" ref="Y463">_xlfn.TEXTJOIN(
", ",
TRUE,
_xlfn._xlws.FILTER(
tblCost[ResourceID]&amp;": "&amp;tblCost[QuantityRequired],
(tblCost[TargetID]=tblTargetStatus[[#This Row],[TargetID]])*
(tblCost[PlayerPaid]=FALSE),
""
)
)</f>
        <v/>
      </c>
      <c r="Z4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3" t="str" cm="1">
        <f t="array" ref="AA46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2</v>
      </c>
    </row>
    <row r="464" spans="1:27">
      <c r="A464" t="s">
        <v>5756</v>
      </c>
      <c r="B464" t="str">
        <f>_xlfn.XLOOKUP(tblTargetStatus[[#This Row],[TargetID]],tblTargets[TargetID],tblTargets[DisplayName],"")</f>
        <v>Meet Traveling Merchant @1B</v>
      </c>
      <c r="C464" t="str">
        <f>IF(tblTargetStatus[[#This Row],[PlayerCompleted]],"COMPLETED",IF(tblTargetStatus[[#This Row],[MissingDependencies]]=0,"READY","BLOCKED"))</f>
        <v>BLOCKED</v>
      </c>
      <c r="D4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4" t="str">
        <f>_xlfn.XLOOKUP(tblTargetStatus[[#This Row],[TargetID]],tblTargets[TargetID],tblTargets[TargetType],"")</f>
        <v>STATE</v>
      </c>
      <c r="F464" t="str">
        <f>_xlfn.XLOOKUP(tblTargetStatus[[#This Row],[TargetID]],tblTargets[TargetID],tblTargets[StateType])</f>
        <v>MEET</v>
      </c>
      <c r="G464">
        <f>_xlfn.LET(
_xlpm.id,tblTargetStatus[[#This Row],[TargetID]],
_xlpm.depCount,COUNTIF(tblDependencies[TargetID],_xlpm.id),
_xlpm.objCount,COUNTIF(tblQuestObjectives[QuestTargetID],_xlpm.id),
_xlpm.depCount+_xlpm.objCount
)</f>
        <v>1</v>
      </c>
      <c r="H464">
        <f>tblTargetStatus[[#This Row],[DependencyCount]]</f>
        <v>1</v>
      </c>
      <c r="I464" cm="1">
        <f t="array" ref="I4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4">
        <f>tblTargetStatus[[#This Row],[CompletedDependencyCount]]</f>
        <v>0</v>
      </c>
      <c r="K464" t="b">
        <f>tblTargetStatus[[#This Row],[CompletedDependencies]]=tblTargetStatus[[#This Row],[TotalDependencies]]</f>
        <v>0</v>
      </c>
      <c r="L464">
        <f>tblTargetStatus[[#This Row],[TotalDependencies]]-tblTargetStatus[[#This Row],[CompletedDependencies]]</f>
        <v>1</v>
      </c>
      <c r="M464" t="str" cm="1">
        <f t="array" ref="M4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building.dungeon@1</v>
      </c>
      <c r="N464" t="str">
        <f>IF(tblTargetStatus[[#This Row],[FirstMissingDependencyID]]="","",_xlfn.XLOOKUP(tblTargetStatus[[#This Row],[FirstMissingDependencyID]],tblTargets[TargetID],tblTargets[DisplayName],tblTargetStatus[[#This Row],[FirstMissingDependencyID]]))</f>
        <v>Dungeon Lv 1</v>
      </c>
      <c r="O464" t="str" cm="1">
        <f t="array" ref="O4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4" t="str">
        <f>IF(tblTargetStatus[[#This Row],[FirstMissingDependencyID]]="","",_xlfn.XLOOKUP(tblTargetStatus[[#This Row],[FirstMissingDependencyID]],tblTargetStatus[TargetID],tblTargetStatus[Status],""))</f>
        <v>BLOCKED</v>
      </c>
      <c r="Q464" t="str">
        <f>IF(
 tblTargetStatus[[#This Row],[Status]]&lt;&gt;"BLOCKED",
 tblTargetStatus[[#This Row],[Status]],
 IF(
  AND(
   tblTargetStatus[[#This Row],[MissingDependencies]]=1,
   tblTargetStatus[[#This Row],[FirstMissingStatus]]="READY"
  ),
  "ONE AWAY",
  "BLOCKED"
 )
)</f>
        <v>BLOCKED</v>
      </c>
      <c r="R464">
        <f>IF(
 OR(
  tblTargetStatus[[#This Row],[StateType]]="CHARACTER",
  RIGHT(tblTargetStatus[[#This Row],[TargetID]],6)=".maxed"
 ),
 0,
 _xlfn.LET(
  _xlpm.sort,
   _xlfn.XLOOKUP(
    tblTargetStatus[[#This Row],[TargetID]],
    tblChecklist[TargetID],
    tblChecklist[PlayerSort],
    0
   ),
  IF(_xlpm.sort=0,500,_xlpm.sort)
 )
)</f>
        <v>500</v>
      </c>
      <c r="S464" t="str" cm="1">
        <f t="array" ref="S46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Green Potion Accepted</v>
      </c>
      <c r="T464" t="str">
        <f>_xlfn.XLOOKUP(tblTargetStatus[[#This Row],[TargetID]],tblTargets[TargetID],tblTargets[CompletionMethod],"")</f>
        <v>PLAYER</v>
      </c>
      <c r="U464" t="b">
        <f>COUNTIF(
    tblCost[TargetID],
    tblTargetStatus[[#This Row],[TargetID]]
)&gt;0</f>
        <v>0</v>
      </c>
      <c r="V464" s="81" t="str">
        <f>IF(tblTargetStatus[[#This Row],[HasCost]]=FALSE,
"N/A",
_xlfn.XLOOKUP(
tblTargetStatus[[#This Row],[TargetID]],
tblCost[TargetID],
tblCost[FundingPercent],
""
)
)</f>
        <v>N/A</v>
      </c>
      <c r="W464" t="str">
        <f>IF(
COUNTIF(tblCost[TargetID],tblTargetStatus[[#This Row],[TargetID]])=0,
"",
_xlfn.XLOOKUP(
tblTargetStatus[[#This Row],[TargetID]],
tblCost[TargetID],
tblCost[RemainingRequirements],
""
)
)</f>
        <v/>
      </c>
      <c r="X464" s="79" t="str">
        <f>IF(tblTargetStatus[[#This Row],[HasCost]]=FALSE,"N/A",_xlfn.XLOOKUP(
tblTargetStatus[[#This Row],[TargetID]],
tblCost[TargetID],
tblCost[TargetFunded],
TRUE
))</f>
        <v>N/A</v>
      </c>
      <c r="Y464" t="str" cm="1">
        <f t="array" ref="Y464">_xlfn.TEXTJOIN(
", ",
TRUE,
_xlfn._xlws.FILTER(
tblCost[ResourceID]&amp;": "&amp;tblCost[QuantityRequired],
(tblCost[TargetID]=tblTargetStatus[[#This Row],[TargetID]])*
(tblCost[PlayerPaid]=FALSE),
""
)
)</f>
        <v/>
      </c>
      <c r="Z4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4" t="str" cm="1">
        <f t="array" ref="AA46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Green Potion</v>
      </c>
    </row>
    <row r="465" spans="1:27">
      <c r="A465" t="s">
        <v>5691</v>
      </c>
      <c r="B465" t="str">
        <f>_xlfn.XLOOKUP(tblTargetStatus[[#This Row],[TargetID]],tblTargets[TargetID],tblTargets[DisplayName],"")</f>
        <v>Obtain 8 MALU</v>
      </c>
      <c r="C465" t="str">
        <f>IF(tblTargetStatus[[#This Row],[PlayerCompleted]],"COMPLETED",IF(tblTargetStatus[[#This Row],[MissingDependencies]]=0,"READY","BLOCKED"))</f>
        <v>BLOCKED</v>
      </c>
      <c r="D4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5" t="str">
        <f>_xlfn.XLOOKUP(tblTargetStatus[[#This Row],[TargetID]],tblTargets[TargetID],tblTargets[TargetType],"")</f>
        <v>STATE</v>
      </c>
      <c r="F465" t="str">
        <f>_xlfn.XLOOKUP(tblTargetStatus[[#This Row],[TargetID]],tblTargets[TargetID],tblTargets[StateType])</f>
        <v>OBTAIN</v>
      </c>
      <c r="G465">
        <f>_xlfn.LET(
_xlpm.id,tblTargetStatus[[#This Row],[TargetID]],
_xlpm.depCount,COUNTIF(tblDependencies[TargetID],_xlpm.id),
_xlpm.objCount,COUNTIF(tblQuestObjectives[QuestTargetID],_xlpm.id),
_xlpm.depCount+_xlpm.objCount
)</f>
        <v>1</v>
      </c>
      <c r="H465">
        <f>tblTargetStatus[[#This Row],[DependencyCount]]</f>
        <v>1</v>
      </c>
      <c r="I465" cm="1">
        <f t="array" ref="I4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5">
        <f>tblTargetStatus[[#This Row],[CompletedDependencyCount]]</f>
        <v>0</v>
      </c>
      <c r="K465" t="b">
        <f>tblTargetStatus[[#This Row],[CompletedDependencies]]=tblTargetStatus[[#This Row],[TotalDependencies]]</f>
        <v>0</v>
      </c>
      <c r="L465">
        <f>tblTargetStatus[[#This Row],[TotalDependencies]]-tblTargetStatus[[#This Row],[CompletedDependencies]]</f>
        <v>1</v>
      </c>
      <c r="M465" t="str" cm="1">
        <f t="array" ref="M4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quest.once_upon_a_forest_chapter_3.accepted</v>
      </c>
      <c r="N465" t="str">
        <f>IF(tblTargetStatus[[#This Row],[FirstMissingDependencyID]]="","",_xlfn.XLOOKUP(tblTargetStatus[[#This Row],[FirstMissingDependencyID]],tblTargets[TargetID],tblTargets[DisplayName],tblTargetStatus[[#This Row],[FirstMissingDependencyID]]))</f>
        <v>Once Upon a Forest Chapter 3 Accepted</v>
      </c>
      <c r="O465" s="2" t="str" cm="1">
        <f t="array" ref="O4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5" t="str">
        <f>IF(tblTargetStatus[[#This Row],[FirstMissingDependencyID]]="","",_xlfn.XLOOKUP(tblTargetStatus[[#This Row],[FirstMissingDependencyID]],tblTargetStatus[TargetID],tblTargetStatus[Status],""))</f>
        <v>BLOCKED</v>
      </c>
      <c r="Q465" t="str">
        <f>IF(
 tblTargetStatus[[#This Row],[Status]]&lt;&gt;"BLOCKED",
 tblTargetStatus[[#This Row],[Status]],
 IF(
  AND(
   tblTargetStatus[[#This Row],[MissingDependencies]]=1,
   tblTargetStatus[[#This Row],[FirstMissingStatus]]="READY"
  ),
  "ONE AWAY",
  "BLOCKED"
 )
)</f>
        <v>BLOCKED</v>
      </c>
      <c r="R465">
        <f>IF(
 OR(
  tblTargetStatus[[#This Row],[StateType]]="CHARACTER",
  RIGHT(tblTargetStatus[[#This Row],[TargetID]],6)=".maxed"
 ),
 0,
 _xlfn.LET(
  _xlpm.sort,
   _xlfn.XLOOKUP(
    tblTargetStatus[[#This Row],[TargetID]],
    tblChecklist[TargetID],
    tblChecklist[PlayerSort],
    0
   ),
  IF(_xlpm.sort=0,500,_xlpm.sort)
 )
)</f>
        <v>500</v>
      </c>
      <c r="S465" t="str" cm="1">
        <f t="array" ref="S46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3 Finished</v>
      </c>
      <c r="T465" t="str">
        <f>_xlfn.XLOOKUP(tblTargetStatus[[#This Row],[TargetID]],tblTargets[TargetID],tblTargets[CompletionMethod],"")</f>
        <v>PLAYER</v>
      </c>
      <c r="U465" t="b">
        <f>COUNTIF(
    tblCost[TargetID],
    tblTargetStatus[[#This Row],[TargetID]]
)&gt;0</f>
        <v>0</v>
      </c>
      <c r="V465" s="81" t="str">
        <f>IF(tblTargetStatus[[#This Row],[HasCost]]=FALSE,
"N/A",
_xlfn.XLOOKUP(
tblTargetStatus[[#This Row],[TargetID]],
tblCost[TargetID],
tblCost[FundingPercent],
""
)
)</f>
        <v>N/A</v>
      </c>
      <c r="W465" t="str">
        <f>IF(
COUNTIF(tblCost[TargetID],tblTargetStatus[[#This Row],[TargetID]])=0,
"",
_xlfn.XLOOKUP(
tblTargetStatus[[#This Row],[TargetID]],
tblCost[TargetID],
tblCost[RemainingRequirements],
""
)
)</f>
        <v/>
      </c>
      <c r="X465" s="79" t="str">
        <f>IF(tblTargetStatus[[#This Row],[HasCost]]=FALSE,"N/A",_xlfn.XLOOKUP(
tblTargetStatus[[#This Row],[TargetID]],
tblCost[TargetID],
tblCost[TargetFunded],
TRUE
))</f>
        <v>N/A</v>
      </c>
      <c r="Y465" t="str" cm="1">
        <f t="array" ref="Y465">_xlfn.TEXTJOIN(
", ",
TRUE,
_xlfn._xlws.FILTER(
tblCost[ResourceID]&amp;": "&amp;tblCost[QuantityRequired],
(tblCost[TargetID]=tblTargetStatus[[#This Row],[TargetID]])*
(tblCost[PlayerPaid]=FALSE),
""
)
)</f>
        <v/>
      </c>
      <c r="Z4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5" t="str" cm="1">
        <f t="array" ref="AA46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66" spans="1:27">
      <c r="A466" t="s">
        <v>5712</v>
      </c>
      <c r="B466" t="str">
        <f>_xlfn.XLOOKUP(tblTargetStatus[[#This Row],[TargetID]],tblTargets[TargetID],tblTargets[DisplayName],"")</f>
        <v>Obtain all emerald shards</v>
      </c>
      <c r="C466" t="str">
        <f>IF(tblTargetStatus[[#This Row],[PlayerCompleted]],"COMPLETED",IF(tblTargetStatus[[#This Row],[MissingDependencies]]=0,"READY","BLOCKED"))</f>
        <v>BLOCKED</v>
      </c>
      <c r="D4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6" t="str">
        <f>_xlfn.XLOOKUP(tblTargetStatus[[#This Row],[TargetID]],tblTargets[TargetID],tblTargets[TargetType],"")</f>
        <v>STATE</v>
      </c>
      <c r="F466" t="str">
        <f>_xlfn.XLOOKUP(tblTargetStatus[[#This Row],[TargetID]],tblTargets[TargetID],tblTargets[StateType])</f>
        <v>OBTAIN</v>
      </c>
      <c r="G466">
        <f>_xlfn.LET(
_xlpm.id,tblTargetStatus[[#This Row],[TargetID]],
_xlpm.depCount,COUNTIF(tblDependencies[TargetID],_xlpm.id),
_xlpm.objCount,COUNTIF(tblQuestObjectives[QuestTargetID],_xlpm.id),
_xlpm.depCount+_xlpm.objCount
)</f>
        <v>1</v>
      </c>
      <c r="H466">
        <f>tblTargetStatus[[#This Row],[DependencyCount]]</f>
        <v>1</v>
      </c>
      <c r="I466" cm="1">
        <f t="array" ref="I4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6">
        <f>tblTargetStatus[[#This Row],[CompletedDependencyCount]]</f>
        <v>0</v>
      </c>
      <c r="K466" t="b">
        <f>tblTargetStatus[[#This Row],[CompletedDependencies]]=tblTargetStatus[[#This Row],[TotalDependencies]]</f>
        <v>0</v>
      </c>
      <c r="L466">
        <f>tblTargetStatus[[#This Row],[TotalDependencies]]-tblTargetStatus[[#This Row],[CompletedDependencies]]</f>
        <v>1</v>
      </c>
      <c r="M466" t="str" cm="1">
        <f t="array" ref="M4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quest.quest_for_knowledge_chapter_3.accepted</v>
      </c>
      <c r="N466" t="str">
        <f>IF(tblTargetStatus[[#This Row],[FirstMissingDependencyID]]="","",_xlfn.XLOOKUP(tblTargetStatus[[#This Row],[FirstMissingDependencyID]],tblTargets[TargetID],tblTargets[DisplayName],tblTargetStatus[[#This Row],[FirstMissingDependencyID]]))</f>
        <v>Quest for Knowledge Chapter 3 Accepted</v>
      </c>
      <c r="O466" s="2" t="str" cm="1">
        <f t="array" ref="O4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6" t="str">
        <f>IF(tblTargetStatus[[#This Row],[FirstMissingDependencyID]]="","",_xlfn.XLOOKUP(tblTargetStatus[[#This Row],[FirstMissingDependencyID]],tblTargetStatus[TargetID],tblTargetStatus[Status],""))</f>
        <v>BLOCKED</v>
      </c>
      <c r="Q466" t="str">
        <f>IF(
 tblTargetStatus[[#This Row],[Status]]&lt;&gt;"BLOCKED",
 tblTargetStatus[[#This Row],[Status]],
 IF(
  AND(
   tblTargetStatus[[#This Row],[MissingDependencies]]=1,
   tblTargetStatus[[#This Row],[FirstMissingStatus]]="READY"
  ),
  "ONE AWAY",
  "BLOCKED"
 )
)</f>
        <v>BLOCKED</v>
      </c>
      <c r="R466">
        <f>IF(
 OR(
  tblTargetStatus[[#This Row],[StateType]]="CHARACTER",
  RIGHT(tblTargetStatus[[#This Row],[TargetID]],6)=".maxed"
 ),
 0,
 _xlfn.LET(
  _xlpm.sort,
   _xlfn.XLOOKUP(
    tblTargetStatus[[#This Row],[TargetID]],
    tblChecklist[TargetID],
    tblChecklist[PlayerSort],
    0
   ),
  IF(_xlpm.sort=0,500,_xlpm.sort)
 )
)</f>
        <v>500</v>
      </c>
      <c r="S466" t="str" cm="1">
        <f t="array" ref="S46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3 Finished</v>
      </c>
      <c r="T466" t="str">
        <f>_xlfn.XLOOKUP(tblTargetStatus[[#This Row],[TargetID]],tblTargets[TargetID],tblTargets[CompletionMethod],"")</f>
        <v>PLAYER</v>
      </c>
      <c r="U466" t="b">
        <f>COUNTIF(
    tblCost[TargetID],
    tblTargetStatus[[#This Row],[TargetID]]
)&gt;0</f>
        <v>0</v>
      </c>
      <c r="V466" s="81" t="str">
        <f>IF(tblTargetStatus[[#This Row],[HasCost]]=FALSE,
"N/A",
_xlfn.XLOOKUP(
tblTargetStatus[[#This Row],[TargetID]],
tblCost[TargetID],
tblCost[FundingPercent],
""
)
)</f>
        <v>N/A</v>
      </c>
      <c r="W466" t="str">
        <f>IF(
COUNTIF(tblCost[TargetID],tblTargetStatus[[#This Row],[TargetID]])=0,
"",
_xlfn.XLOOKUP(
tblTargetStatus[[#This Row],[TargetID]],
tblCost[TargetID],
tblCost[RemainingRequirements],
""
)
)</f>
        <v/>
      </c>
      <c r="X466" s="79" t="str">
        <f>IF(tblTargetStatus[[#This Row],[HasCost]]=FALSE,"N/A",_xlfn.XLOOKUP(
tblTargetStatus[[#This Row],[TargetID]],
tblCost[TargetID],
tblCost[TargetFunded],
TRUE
))</f>
        <v>N/A</v>
      </c>
      <c r="Y466" t="str" cm="1">
        <f t="array" ref="Y466">_xlfn.TEXTJOIN(
", ",
TRUE,
_xlfn._xlws.FILTER(
tblCost[ResourceID]&amp;": "&amp;tblCost[QuantityRequired],
(tblCost[TargetID]=tblTargetStatus[[#This Row],[TargetID]])*
(tblCost[PlayerPaid]=FALSE),
""
)
)</f>
        <v/>
      </c>
      <c r="Z4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6" t="str" cm="1">
        <f t="array" ref="AA46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67" spans="1:27">
      <c r="A467" t="s">
        <v>3479</v>
      </c>
      <c r="B467" t="str">
        <f>_xlfn.XLOOKUP(tblTargetStatus[[#This Row],[TargetID]],tblTargets[TargetID],tblTargets[DisplayName],"")</f>
        <v>Obtain Any Artifact</v>
      </c>
      <c r="C467" t="str">
        <f>IF(tblTargetStatus[[#This Row],[PlayerCompleted]],"COMPLETED",IF(tblTargetStatus[[#This Row],[MissingDependencies]]=0,"READY","BLOCKED"))</f>
        <v>BLOCKED</v>
      </c>
      <c r="D4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7" t="str">
        <f>_xlfn.XLOOKUP(tblTargetStatus[[#This Row],[TargetID]],tblTargets[TargetID],tblTargets[TargetType],"")</f>
        <v>STATE</v>
      </c>
      <c r="F467" t="str">
        <f>_xlfn.XLOOKUP(tblTargetStatus[[#This Row],[TargetID]],tblTargets[TargetID],tblTargets[StateType])</f>
        <v>OBTAIN</v>
      </c>
      <c r="G467">
        <f>_xlfn.LET(
_xlpm.id,tblTargetStatus[[#This Row],[TargetID]],
_xlpm.depCount,COUNTIF(tblDependencies[TargetID],_xlpm.id),
_xlpm.objCount,COUNTIF(tblQuestObjectives[QuestTargetID],_xlpm.id),
_xlpm.depCount+_xlpm.objCount
)</f>
        <v>1</v>
      </c>
      <c r="H467">
        <f>tblTargetStatus[[#This Row],[DependencyCount]]</f>
        <v>1</v>
      </c>
      <c r="I467" cm="1">
        <f t="array" ref="I4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7">
        <f>tblTargetStatus[[#This Row],[CompletedDependencyCount]]</f>
        <v>0</v>
      </c>
      <c r="K467" t="b">
        <f>tblTargetStatus[[#This Row],[CompletedDependencies]]=tblTargetStatus[[#This Row],[TotalDependencies]]</f>
        <v>0</v>
      </c>
      <c r="L467">
        <f>tblTargetStatus[[#This Row],[TotalDependencies]]-tblTargetStatus[[#This Row],[CompletedDependencies]]</f>
        <v>1</v>
      </c>
      <c r="M467" t="str" cm="1">
        <f t="array" ref="M4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building.ship@1</v>
      </c>
      <c r="N467" t="str">
        <f>IF(tblTargetStatus[[#This Row],[FirstMissingDependencyID]]="","",_xlfn.XLOOKUP(tblTargetStatus[[#This Row],[FirstMissingDependencyID]],tblTargets[TargetID],tblTargets[DisplayName],tblTargetStatus[[#This Row],[FirstMissingDependencyID]]))</f>
        <v>Ship Lv 1</v>
      </c>
      <c r="O467" t="str" cm="1">
        <f t="array" ref="O4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7" t="str">
        <f>IF(tblTargetStatus[[#This Row],[FirstMissingDependencyID]]="","",_xlfn.XLOOKUP(tblTargetStatus[[#This Row],[FirstMissingDependencyID]],tblTargetStatus[TargetID],tblTargetStatus[Status],""))</f>
        <v>BLOCKED</v>
      </c>
      <c r="Q467" t="str">
        <f>IF(
 tblTargetStatus[[#This Row],[Status]]&lt;&gt;"BLOCKED",
 tblTargetStatus[[#This Row],[Status]],
 IF(
  AND(
   tblTargetStatus[[#This Row],[MissingDependencies]]=1,
   tblTargetStatus[[#This Row],[FirstMissingStatus]]="READY"
  ),
  "ONE AWAY",
  "BLOCKED"
 )
)</f>
        <v>BLOCKED</v>
      </c>
      <c r="R467">
        <f>IF(
 OR(
  tblTargetStatus[[#This Row],[StateType]]="CHARACTER",
  RIGHT(tblTargetStatus[[#This Row],[TargetID]],6)=".maxed"
 ),
 0,
 _xlfn.LET(
  _xlpm.sort,
   _xlfn.XLOOKUP(
    tblTargetStatus[[#This Row],[TargetID]],
    tblChecklist[TargetID],
    tblChecklist[PlayerSort],
    0
   ),
  IF(_xlpm.sort=0,500,_xlpm.sort)
 )
)</f>
        <v>500</v>
      </c>
      <c r="S467" t="str" cm="1">
        <f t="array" ref="S46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1 Accepted</v>
      </c>
      <c r="T467" t="str">
        <f>_xlfn.XLOOKUP(tblTargetStatus[[#This Row],[TargetID]],tblTargets[TargetID],tblTargets[CompletionMethod],"")</f>
        <v>PLAYER</v>
      </c>
      <c r="U467" t="b">
        <f>COUNTIF(
    tblCost[TargetID],
    tblTargetStatus[[#This Row],[TargetID]]
)&gt;0</f>
        <v>0</v>
      </c>
      <c r="V467" s="81" t="str">
        <f>IF(tblTargetStatus[[#This Row],[HasCost]]=FALSE,
"N/A",
_xlfn.XLOOKUP(
tblTargetStatus[[#This Row],[TargetID]],
tblCost[TargetID],
tblCost[FundingPercent],
""
)
)</f>
        <v>N/A</v>
      </c>
      <c r="W467" t="str">
        <f>IF(
COUNTIF(tblCost[TargetID],tblTargetStatus[[#This Row],[TargetID]])=0,
"",
_xlfn.XLOOKUP(
tblTargetStatus[[#This Row],[TargetID]],
tblCost[TargetID],
tblCost[RemainingRequirements],
""
)
)</f>
        <v/>
      </c>
      <c r="X467" s="79" t="str">
        <f>IF(tblTargetStatus[[#This Row],[HasCost]]=FALSE,"N/A",_xlfn.XLOOKUP(
tblTargetStatus[[#This Row],[TargetID]],
tblCost[TargetID],
tblCost[TargetFunded],
TRUE
))</f>
        <v>N/A</v>
      </c>
      <c r="Y467" t="str" cm="1">
        <f t="array" ref="Y467">_xlfn.TEXTJOIN(
", ",
TRUE,
_xlfn._xlws.FILTER(
tblCost[ResourceID]&amp;": "&amp;tblCost[QuantityRequired],
(tblCost[TargetID]=tblTargetStatus[[#This Row],[TargetID]])*
(tblCost[PlayerPaid]=FALSE),
""
)
)</f>
        <v/>
      </c>
      <c r="Z4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7" t="str" cm="1">
        <f t="array" ref="AA46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Shogun's Katana Chapter 1</v>
      </c>
    </row>
    <row r="468" spans="1:27">
      <c r="A468" t="s">
        <v>5780</v>
      </c>
      <c r="B468" t="str">
        <f>_xlfn.XLOOKUP(tblTargetStatus[[#This Row],[TargetID]],tblTargets[TargetID],tblTargets[DisplayName],"")</f>
        <v>Craft Armor 4</v>
      </c>
      <c r="C468" t="str">
        <f>IF(tblTargetStatus[[#This Row],[PlayerCompleted]],"COMPLETED",IF(tblTargetStatus[[#This Row],[MissingDependencies]]=0,"READY","BLOCKED"))</f>
        <v>BLOCKED</v>
      </c>
      <c r="D4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8" t="str">
        <f>_xlfn.XLOOKUP(tblTargetStatus[[#This Row],[TargetID]],tblTargets[TargetID],tblTargets[TargetType],"")</f>
        <v>STATE</v>
      </c>
      <c r="F468" t="str">
        <f>_xlfn.XLOOKUP(tblTargetStatus[[#This Row],[TargetID]],tblTargets[TargetID],tblTargets[StateType])</f>
        <v>OBTAIN</v>
      </c>
      <c r="G468">
        <f>_xlfn.LET(
_xlpm.id,tblTargetStatus[[#This Row],[TargetID]],
_xlpm.depCount,COUNTIF(tblDependencies[TargetID],_xlpm.id),
_xlpm.objCount,COUNTIF(tblQuestObjectives[QuestTargetID],_xlpm.id),
_xlpm.depCount+_xlpm.objCount
)</f>
        <v>1</v>
      </c>
      <c r="H468">
        <f>tblTargetStatus[[#This Row],[DependencyCount]]</f>
        <v>1</v>
      </c>
      <c r="I468" cm="1">
        <f t="array" ref="I4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8">
        <f>tblTargetStatus[[#This Row],[CompletedDependencyCount]]</f>
        <v>0</v>
      </c>
      <c r="K468" t="b">
        <f>tblTargetStatus[[#This Row],[CompletedDependencies]]=tblTargetStatus[[#This Row],[TotalDependencies]]</f>
        <v>0</v>
      </c>
      <c r="L468">
        <f>tblTargetStatus[[#This Row],[TotalDependencies]]-tblTargetStatus[[#This Row],[CompletedDependencies]]</f>
        <v>1</v>
      </c>
      <c r="M468" t="str" cm="1">
        <f t="array" ref="M4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tech.tailor.armor_for_a_hero_lvl_4</v>
      </c>
      <c r="N468" t="str">
        <f>IF(tblTargetStatus[[#This Row],[FirstMissingDependencyID]]="","",_xlfn.XLOOKUP(tblTargetStatus[[#This Row],[FirstMissingDependencyID]],tblTargets[TargetID],tblTargets[DisplayName],tblTargetStatus[[#This Row],[FirstMissingDependencyID]]))</f>
        <v>Tailor - Armor For A Hero Lvl 4</v>
      </c>
      <c r="O468" s="2" t="str" cm="1">
        <f t="array" ref="O4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8" t="str">
        <f>IF(tblTargetStatus[[#This Row],[FirstMissingDependencyID]]="","",_xlfn.XLOOKUP(tblTargetStatus[[#This Row],[FirstMissingDependencyID]],tblTargetStatus[TargetID],tblTargetStatus[Status],""))</f>
        <v>BLOCKED</v>
      </c>
      <c r="Q468" t="str">
        <f>IF(
 tblTargetStatus[[#This Row],[Status]]&lt;&gt;"BLOCKED",
 tblTargetStatus[[#This Row],[Status]],
 IF(
  AND(
   tblTargetStatus[[#This Row],[MissingDependencies]]=1,
   tblTargetStatus[[#This Row],[FirstMissingStatus]]="READY"
  ),
  "ONE AWAY",
  "BLOCKED"
 )
)</f>
        <v>BLOCKED</v>
      </c>
      <c r="R468">
        <f>IF(
 OR(
  tblTargetStatus[[#This Row],[StateType]]="CHARACTER",
  RIGHT(tblTargetStatus[[#This Row],[TargetID]],6)=".maxed"
 ),
 0,
 _xlfn.LET(
  _xlpm.sort,
   _xlfn.XLOOKUP(
    tblTargetStatus[[#This Row],[TargetID]],
    tblChecklist[TargetID],
    tblChecklist[PlayerSort],
    0
   ),
  IF(_xlpm.sort=0,500,_xlpm.sort)
 )
)</f>
        <v>500</v>
      </c>
      <c r="S468" t="str" cm="1">
        <f t="array" ref="S46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9 Finished</v>
      </c>
      <c r="T468" t="str">
        <f>_xlfn.XLOOKUP(tblTargetStatus[[#This Row],[TargetID]],tblTargets[TargetID],tblTargets[CompletionMethod],"")</f>
        <v>PLAYER</v>
      </c>
      <c r="U468" t="b">
        <f>COUNTIF(
    tblCost[TargetID],
    tblTargetStatus[[#This Row],[TargetID]]
)&gt;0</f>
        <v>0</v>
      </c>
      <c r="V468" s="81" t="str">
        <f>IF(tblTargetStatus[[#This Row],[HasCost]]=FALSE,
"N/A",
_xlfn.XLOOKUP(
tblTargetStatus[[#This Row],[TargetID]],
tblCost[TargetID],
tblCost[FundingPercent],
""
)
)</f>
        <v>N/A</v>
      </c>
      <c r="W468" t="str">
        <f>IF(
COUNTIF(tblCost[TargetID],tblTargetStatus[[#This Row],[TargetID]])=0,
"",
_xlfn.XLOOKUP(
tblTargetStatus[[#This Row],[TargetID]],
tblCost[TargetID],
tblCost[RemainingRequirements],
""
)
)</f>
        <v/>
      </c>
      <c r="X468" s="79" t="str">
        <f>IF(tblTargetStatus[[#This Row],[HasCost]]=FALSE,"N/A",_xlfn.XLOOKUP(
tblTargetStatus[[#This Row],[TargetID]],
tblCost[TargetID],
tblCost[TargetFunded],
TRUE
))</f>
        <v>N/A</v>
      </c>
      <c r="Y468" t="str" cm="1">
        <f t="array" ref="Y468">_xlfn.TEXTJOIN(
", ",
TRUE,
_xlfn._xlws.FILTER(
tblCost[ResourceID]&amp;": "&amp;tblCost[QuantityRequired],
(tblCost[TargetID]=tblTargetStatus[[#This Row],[TargetID]])*
(tblCost[PlayerPaid]=FALSE),
""
)
)</f>
        <v/>
      </c>
      <c r="Z4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8" t="str" cm="1">
        <f t="array" ref="AA46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69" spans="1:27">
      <c r="A469" t="s">
        <v>5679</v>
      </c>
      <c r="B469" t="str">
        <f>_xlfn.XLOOKUP(tblTargetStatus[[#This Row],[TargetID]],tblTargets[TargetID],tblTargets[DisplayName],"")</f>
        <v>Craft Armor 4+</v>
      </c>
      <c r="C469" t="str">
        <f>IF(tblTargetStatus[[#This Row],[PlayerCompleted]],"COMPLETED",IF(tblTargetStatus[[#This Row],[MissingDependencies]]=0,"READY","BLOCKED"))</f>
        <v>BLOCKED</v>
      </c>
      <c r="D4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9" t="str">
        <f>_xlfn.XLOOKUP(tblTargetStatus[[#This Row],[TargetID]],tblTargets[TargetID],tblTargets[TargetType],"")</f>
        <v>STATE</v>
      </c>
      <c r="F469" t="str">
        <f>_xlfn.XLOOKUP(tblTargetStatus[[#This Row],[TargetID]],tblTargets[TargetID],tblTargets[StateType])</f>
        <v>OBTAIN</v>
      </c>
      <c r="G469">
        <f>_xlfn.LET(
_xlpm.id,tblTargetStatus[[#This Row],[TargetID]],
_xlpm.depCount,COUNTIF(tblDependencies[TargetID],_xlpm.id),
_xlpm.objCount,COUNTIF(tblQuestObjectives[QuestTargetID],_xlpm.id),
_xlpm.depCount+_xlpm.objCount
)</f>
        <v>1</v>
      </c>
      <c r="H469">
        <f>tblTargetStatus[[#This Row],[DependencyCount]]</f>
        <v>1</v>
      </c>
      <c r="I469" cm="1">
        <f t="array" ref="I4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9">
        <f>tblTargetStatus[[#This Row],[CompletedDependencyCount]]</f>
        <v>0</v>
      </c>
      <c r="K469" t="b">
        <f>tblTargetStatus[[#This Row],[CompletedDependencies]]=tblTargetStatus[[#This Row],[TotalDependencies]]</f>
        <v>0</v>
      </c>
      <c r="L469">
        <f>tblTargetStatus[[#This Row],[TotalDependencies]]-tblTargetStatus[[#This Row],[CompletedDependencies]]</f>
        <v>1</v>
      </c>
      <c r="M469" t="str" cm="1">
        <f t="array" ref="M4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tech.tailor.armor_for_a_hero_lvl_4+</v>
      </c>
      <c r="N469" t="str">
        <f>IF(tblTargetStatus[[#This Row],[FirstMissingDependencyID]]="","",_xlfn.XLOOKUP(tblTargetStatus[[#This Row],[FirstMissingDependencyID]],tblTargets[TargetID],tblTargets[DisplayName],tblTargetStatus[[#This Row],[FirstMissingDependencyID]]))</f>
        <v>Tailor - Armor For A Hero Lvl 4+</v>
      </c>
      <c r="O469" s="2" t="str" cm="1">
        <f t="array" ref="O4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9" t="str">
        <f>IF(tblTargetStatus[[#This Row],[FirstMissingDependencyID]]="","",_xlfn.XLOOKUP(tblTargetStatus[[#This Row],[FirstMissingDependencyID]],tblTargetStatus[TargetID],tblTargetStatus[Status],""))</f>
        <v>BLOCKED</v>
      </c>
      <c r="Q469" t="str">
        <f>IF(
 tblTargetStatus[[#This Row],[Status]]&lt;&gt;"BLOCKED",
 tblTargetStatus[[#This Row],[Status]],
 IF(
  AND(
   tblTargetStatus[[#This Row],[MissingDependencies]]=1,
   tblTargetStatus[[#This Row],[FirstMissingStatus]]="READY"
  ),
  "ONE AWAY",
  "BLOCKED"
 )
)</f>
        <v>BLOCKED</v>
      </c>
      <c r="R469">
        <f>IF(
 OR(
  tblTargetStatus[[#This Row],[StateType]]="CHARACTER",
  RIGHT(tblTargetStatus[[#This Row],[TargetID]],6)=".maxed"
 ),
 0,
 _xlfn.LET(
  _xlpm.sort,
   _xlfn.XLOOKUP(
    tblTargetStatus[[#This Row],[TargetID]],
    tblChecklist[TargetID],
    tblChecklist[PlayerSort],
    0
   ),
  IF(_xlpm.sort=0,500,_xlpm.sort)
 )
)</f>
        <v>500</v>
      </c>
      <c r="S469" t="str" cm="1">
        <f t="array" ref="S46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4 Finished</v>
      </c>
      <c r="T469" t="str">
        <f>_xlfn.XLOOKUP(tblTargetStatus[[#This Row],[TargetID]],tblTargets[TargetID],tblTargets[CompletionMethod],"")</f>
        <v>PLAYER</v>
      </c>
      <c r="U469" t="b">
        <f>COUNTIF(
    tblCost[TargetID],
    tblTargetStatus[[#This Row],[TargetID]]
)&gt;0</f>
        <v>0</v>
      </c>
      <c r="V469" s="81" t="str">
        <f>IF(tblTargetStatus[[#This Row],[HasCost]]=FALSE,
"N/A",
_xlfn.XLOOKUP(
tblTargetStatus[[#This Row],[TargetID]],
tblCost[TargetID],
tblCost[FundingPercent],
""
)
)</f>
        <v>N/A</v>
      </c>
      <c r="W469" t="str">
        <f>IF(
COUNTIF(tblCost[TargetID],tblTargetStatus[[#This Row],[TargetID]])=0,
"",
_xlfn.XLOOKUP(
tblTargetStatus[[#This Row],[TargetID]],
tblCost[TargetID],
tblCost[RemainingRequirements],
""
)
)</f>
        <v/>
      </c>
      <c r="X469" s="79" t="str">
        <f>IF(tblTargetStatus[[#This Row],[HasCost]]=FALSE,"N/A",_xlfn.XLOOKUP(
tblTargetStatus[[#This Row],[TargetID]],
tblCost[TargetID],
tblCost[TargetFunded],
TRUE
))</f>
        <v>N/A</v>
      </c>
      <c r="Y469" t="str" cm="1">
        <f t="array" ref="Y469">_xlfn.TEXTJOIN(
", ",
TRUE,
_xlfn._xlws.FILTER(
tblCost[ResourceID]&amp;": "&amp;tblCost[QuantityRequired],
(tblCost[TargetID]=tblTargetStatus[[#This Row],[TargetID]])*
(tblCost[PlayerPaid]=FALSE),
""
)
)</f>
        <v/>
      </c>
      <c r="Z4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9" t="str" cm="1">
        <f t="array" ref="AA46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70" spans="1:27">
      <c r="A470" t="s">
        <v>5641</v>
      </c>
      <c r="B470" t="str">
        <f>_xlfn.XLOOKUP(tblTargetStatus[[#This Row],[TargetID]],tblTargets[TargetID],tblTargets[DisplayName],"")</f>
        <v>Obtain Blueprint</v>
      </c>
      <c r="C470" t="str">
        <f>IF(tblTargetStatus[[#This Row],[PlayerCompleted]],"COMPLETED",IF(tblTargetStatus[[#This Row],[MissingDependencies]]=0,"READY","BLOCKED"))</f>
        <v>BLOCKED</v>
      </c>
      <c r="D4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0" t="str">
        <f>_xlfn.XLOOKUP(tblTargetStatus[[#This Row],[TargetID]],tblTargets[TargetID],tblTargets[TargetType],"")</f>
        <v>STATE</v>
      </c>
      <c r="F470" t="str">
        <f>_xlfn.XLOOKUP(tblTargetStatus[[#This Row],[TargetID]],tblTargets[TargetID],tblTargets[StateType])</f>
        <v>OBTAIN</v>
      </c>
      <c r="G470">
        <f>_xlfn.LET(
_xlpm.id,tblTargetStatus[[#This Row],[TargetID]],
_xlpm.depCount,COUNTIF(tblDependencies[TargetID],_xlpm.id),
_xlpm.objCount,COUNTIF(tblQuestObjectives[QuestTargetID],_xlpm.id),
_xlpm.depCount+_xlpm.objCount
)</f>
        <v>1</v>
      </c>
      <c r="H470">
        <f>tblTargetStatus[[#This Row],[DependencyCount]]</f>
        <v>1</v>
      </c>
      <c r="I470" cm="1">
        <f t="array" ref="I4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0">
        <f>tblTargetStatus[[#This Row],[CompletedDependencyCount]]</f>
        <v>0</v>
      </c>
      <c r="K470" t="b">
        <f>tblTargetStatus[[#This Row],[CompletedDependencies]]=tblTargetStatus[[#This Row],[TotalDependencies]]</f>
        <v>0</v>
      </c>
      <c r="L470">
        <f>tblTargetStatus[[#This Row],[TotalDependencies]]-tblTargetStatus[[#This Row],[CompletedDependencies]]</f>
        <v>1</v>
      </c>
      <c r="M470" t="str" cm="1">
        <f t="array" ref="M4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470" t="str">
        <f>IF(tblTargetStatus[[#This Row],[FirstMissingDependencyID]]="","",_xlfn.XLOOKUP(tblTargetStatus[[#This Row],[FirstMissingDependencyID]],tblTargets[TargetID],tblTargets[DisplayName],tblTargetStatus[[#This Row],[FirstMissingDependencyID]]))</f>
        <v>Journey Through Japan By Train Accepted</v>
      </c>
      <c r="O470" s="2" t="str" cm="1">
        <f t="array" ref="O4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0" t="str">
        <f>IF(tblTargetStatus[[#This Row],[FirstMissingDependencyID]]="","",_xlfn.XLOOKUP(tblTargetStatus[[#This Row],[FirstMissingDependencyID]],tblTargetStatus[TargetID],tblTargetStatus[Status],""))</f>
        <v>BLOCKED</v>
      </c>
      <c r="Q470" t="str">
        <f>IF(
 tblTargetStatus[[#This Row],[Status]]&lt;&gt;"BLOCKED",
 tblTargetStatus[[#This Row],[Status]],
 IF(
  AND(
   tblTargetStatus[[#This Row],[MissingDependencies]]=1,
   tblTargetStatus[[#This Row],[FirstMissingStatus]]="READY"
  ),
  "ONE AWAY",
  "BLOCKED"
 )
)</f>
        <v>BLOCKED</v>
      </c>
      <c r="R470">
        <f>IF(
 OR(
  tblTargetStatus[[#This Row],[StateType]]="CHARACTER",
  RIGHT(tblTargetStatus[[#This Row],[TargetID]],6)=".maxed"
 ),
 0,
 _xlfn.LET(
  _xlpm.sort,
   _xlfn.XLOOKUP(
    tblTargetStatus[[#This Row],[TargetID]],
    tblChecklist[TargetID],
    tblChecklist[PlayerSort],
    0
   ),
  IF(_xlpm.sort=0,500,_xlpm.sort)
 )
)</f>
        <v>500</v>
      </c>
      <c r="S470" t="str" cm="1">
        <f t="array" ref="S47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Journey Through Japan By Train Finished</v>
      </c>
      <c r="T470" t="str">
        <f>_xlfn.XLOOKUP(tblTargetStatus[[#This Row],[TargetID]],tblTargets[TargetID],tblTargets[CompletionMethod],"")</f>
        <v>PLAYER</v>
      </c>
      <c r="U470" t="b">
        <f>COUNTIF(
    tblCost[TargetID],
    tblTargetStatus[[#This Row],[TargetID]]
)&gt;0</f>
        <v>0</v>
      </c>
      <c r="V470" s="81" t="str">
        <f>IF(tblTargetStatus[[#This Row],[HasCost]]=FALSE,
"N/A",
_xlfn.XLOOKUP(
tblTargetStatus[[#This Row],[TargetID]],
tblCost[TargetID],
tblCost[FundingPercent],
""
)
)</f>
        <v>N/A</v>
      </c>
      <c r="W470" t="str">
        <f>IF(
COUNTIF(tblCost[TargetID],tblTargetStatus[[#This Row],[TargetID]])=0,
"",
_xlfn.XLOOKUP(
tblTargetStatus[[#This Row],[TargetID]],
tblCost[TargetID],
tblCost[RemainingRequirements],
""
)
)</f>
        <v/>
      </c>
      <c r="X470" s="79" t="str">
        <f>IF(tblTargetStatus[[#This Row],[HasCost]]=FALSE,"N/A",_xlfn.XLOOKUP(
tblTargetStatus[[#This Row],[TargetID]],
tblCost[TargetID],
tblCost[TargetFunded],
TRUE
))</f>
        <v>N/A</v>
      </c>
      <c r="Y470" t="str" cm="1">
        <f t="array" ref="Y470">_xlfn.TEXTJOIN(
", ",
TRUE,
_xlfn._xlws.FILTER(
tblCost[ResourceID]&amp;": "&amp;tblCost[QuantityRequired],
(tblCost[TargetID]=tblTargetStatus[[#This Row],[TargetID]])*
(tblCost[PlayerPaid]=FALSE),
""
)
)</f>
        <v/>
      </c>
      <c r="Z4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0" t="str" cm="1">
        <f t="array" ref="AA47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71" spans="1:27">
      <c r="A471" t="s">
        <v>5700</v>
      </c>
      <c r="B471" t="str">
        <f>_xlfn.XLOOKUP(tblTargetStatus[[#This Row],[TargetID]],tblTargets[TargetID],tblTargets[DisplayName],"")</f>
        <v>Obtain Hide</v>
      </c>
      <c r="C471" t="str">
        <f>IF(tblTargetStatus[[#This Row],[PlayerCompleted]],"COMPLETED",IF(tblTargetStatus[[#This Row],[MissingDependencies]]=0,"READY","BLOCKED"))</f>
        <v>BLOCKED</v>
      </c>
      <c r="D4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1" t="str">
        <f>_xlfn.XLOOKUP(tblTargetStatus[[#This Row],[TargetID]],tblTargets[TargetID],tblTargets[TargetType],"")</f>
        <v>STATE</v>
      </c>
      <c r="F471" t="str">
        <f>_xlfn.XLOOKUP(tblTargetStatus[[#This Row],[TargetID]],tblTargets[TargetID],tblTargets[StateType])</f>
        <v>OBTAIN</v>
      </c>
      <c r="G471">
        <f>_xlfn.LET(
_xlpm.id,tblTargetStatus[[#This Row],[TargetID]],
_xlpm.depCount,COUNTIF(tblDependencies[TargetID],_xlpm.id),
_xlpm.objCount,COUNTIF(tblQuestObjectives[QuestTargetID],_xlpm.id),
_xlpm.depCount+_xlpm.objCount
)</f>
        <v>1</v>
      </c>
      <c r="H471">
        <f>tblTargetStatus[[#This Row],[DependencyCount]]</f>
        <v>1</v>
      </c>
      <c r="I471" cm="1">
        <f t="array" ref="I4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1">
        <f>tblTargetStatus[[#This Row],[CompletedDependencyCount]]</f>
        <v>0</v>
      </c>
      <c r="K471" t="b">
        <f>tblTargetStatus[[#This Row],[CompletedDependencies]]=tblTargetStatus[[#This Row],[TotalDependencies]]</f>
        <v>0</v>
      </c>
      <c r="L471">
        <f>tblTargetStatus[[#This Row],[TotalDependencies]]-tblTargetStatus[[#This Row],[CompletedDependencies]]</f>
        <v>1</v>
      </c>
      <c r="M471" t="str" cm="1">
        <f t="array" ref="M4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quest.once_upon_a_forest_chapter_9.accepted</v>
      </c>
      <c r="N471" t="str">
        <f>IF(tblTargetStatus[[#This Row],[FirstMissingDependencyID]]="","",_xlfn.XLOOKUP(tblTargetStatus[[#This Row],[FirstMissingDependencyID]],tblTargets[TargetID],tblTargets[DisplayName],tblTargetStatus[[#This Row],[FirstMissingDependencyID]]))</f>
        <v>Once Upon a Forest Chapter 9 Accepted</v>
      </c>
      <c r="O471" s="2" t="str" cm="1">
        <f t="array" ref="O4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1" t="str">
        <f>IF(tblTargetStatus[[#This Row],[FirstMissingDependencyID]]="","",_xlfn.XLOOKUP(tblTargetStatus[[#This Row],[FirstMissingDependencyID]],tblTargetStatus[TargetID],tblTargetStatus[Status],""))</f>
        <v>BLOCKED</v>
      </c>
      <c r="Q471" t="str">
        <f>IF(
 tblTargetStatus[[#This Row],[Status]]&lt;&gt;"BLOCKED",
 tblTargetStatus[[#This Row],[Status]],
 IF(
  AND(
   tblTargetStatus[[#This Row],[MissingDependencies]]=1,
   tblTargetStatus[[#This Row],[FirstMissingStatus]]="READY"
  ),
  "ONE AWAY",
  "BLOCKED"
 )
)</f>
        <v>BLOCKED</v>
      </c>
      <c r="R471">
        <f>IF(
 OR(
  tblTargetStatus[[#This Row],[StateType]]="CHARACTER",
  RIGHT(tblTargetStatus[[#This Row],[TargetID]],6)=".maxed"
 ),
 0,
 _xlfn.LET(
  _xlpm.sort,
   _xlfn.XLOOKUP(
    tblTargetStatus[[#This Row],[TargetID]],
    tblChecklist[TargetID],
    tblChecklist[PlayerSort],
    0
   ),
  IF(_xlpm.sort=0,500,_xlpm.sort)
 )
)</f>
        <v>500</v>
      </c>
      <c r="S471" t="str" cm="1">
        <f t="array" ref="S47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9 Finished</v>
      </c>
      <c r="T471" t="str">
        <f>_xlfn.XLOOKUP(tblTargetStatus[[#This Row],[TargetID]],tblTargets[TargetID],tblTargets[CompletionMethod],"")</f>
        <v>PLAYER</v>
      </c>
      <c r="U471" t="b">
        <f>COUNTIF(
    tblCost[TargetID],
    tblTargetStatus[[#This Row],[TargetID]]
)&gt;0</f>
        <v>0</v>
      </c>
      <c r="V471" s="81" t="str">
        <f>IF(tblTargetStatus[[#This Row],[HasCost]]=FALSE,
"N/A",
_xlfn.XLOOKUP(
tblTargetStatus[[#This Row],[TargetID]],
tblCost[TargetID],
tblCost[FundingPercent],
""
)
)</f>
        <v>N/A</v>
      </c>
      <c r="W471" t="str">
        <f>IF(
COUNTIF(tblCost[TargetID],tblTargetStatus[[#This Row],[TargetID]])=0,
"",
_xlfn.XLOOKUP(
tblTargetStatus[[#This Row],[TargetID]],
tblCost[TargetID],
tblCost[RemainingRequirements],
""
)
)</f>
        <v/>
      </c>
      <c r="X471" s="79" t="str">
        <f>IF(tblTargetStatus[[#This Row],[HasCost]]=FALSE,"N/A",_xlfn.XLOOKUP(
tblTargetStatus[[#This Row],[TargetID]],
tblCost[TargetID],
tblCost[TargetFunded],
TRUE
))</f>
        <v>N/A</v>
      </c>
      <c r="Y471" t="str" cm="1">
        <f t="array" ref="Y471">_xlfn.TEXTJOIN(
", ",
TRUE,
_xlfn._xlws.FILTER(
tblCost[ResourceID]&amp;": "&amp;tblCost[QuantityRequired],
(tblCost[TargetID]=tblTargetStatus[[#This Row],[TargetID]])*
(tblCost[PlayerPaid]=FALSE),
""
)
)</f>
        <v/>
      </c>
      <c r="Z4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1" t="str" cm="1">
        <f t="array" ref="AA47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72" spans="1:27">
      <c r="A472" t="s">
        <v>5720</v>
      </c>
      <c r="B472" t="str">
        <f>_xlfn.XLOOKUP(tblTargetStatus[[#This Row],[TargetID]],tblTargets[TargetID],tblTargets[DisplayName],"")</f>
        <v>Obtain level 2 artifact</v>
      </c>
      <c r="C472" t="str">
        <f>IF(tblTargetStatus[[#This Row],[PlayerCompleted]],"COMPLETED",IF(tblTargetStatus[[#This Row],[MissingDependencies]]=0,"READY","BLOCKED"))</f>
        <v>BLOCKED</v>
      </c>
      <c r="D4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2" t="str">
        <f>_xlfn.XLOOKUP(tblTargetStatus[[#This Row],[TargetID]],tblTargets[TargetID],tblTargets[TargetType],"")</f>
        <v>STATE</v>
      </c>
      <c r="F472" t="str">
        <f>_xlfn.XLOOKUP(tblTargetStatus[[#This Row],[TargetID]],tblTargets[TargetID],tblTargets[StateType])</f>
        <v>OBTAIN</v>
      </c>
      <c r="G472">
        <f>_xlfn.LET(
_xlpm.id,tblTargetStatus[[#This Row],[TargetID]],
_xlpm.depCount,COUNTIF(tblDependencies[TargetID],_xlpm.id),
_xlpm.objCount,COUNTIF(tblQuestObjectives[QuestTargetID],_xlpm.id),
_xlpm.depCount+_xlpm.objCount
)</f>
        <v>1</v>
      </c>
      <c r="H472">
        <f>tblTargetStatus[[#This Row],[DependencyCount]]</f>
        <v>1</v>
      </c>
      <c r="I472" cm="1">
        <f t="array" ref="I4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2">
        <f>tblTargetStatus[[#This Row],[CompletedDependencyCount]]</f>
        <v>0</v>
      </c>
      <c r="K472" t="b">
        <f>tblTargetStatus[[#This Row],[CompletedDependencies]]=tblTargetStatus[[#This Row],[TotalDependencies]]</f>
        <v>0</v>
      </c>
      <c r="L472">
        <f>tblTargetStatus[[#This Row],[TotalDependencies]]-tblTargetStatus[[#This Row],[CompletedDependencies]]</f>
        <v>1</v>
      </c>
      <c r="M472" t="str" cm="1">
        <f t="array" ref="M4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quest.shoguns_katana_chapter_1.accepted</v>
      </c>
      <c r="N472" t="str">
        <f>IF(tblTargetStatus[[#This Row],[FirstMissingDependencyID]]="","",_xlfn.XLOOKUP(tblTargetStatus[[#This Row],[FirstMissingDependencyID]],tblTargets[TargetID],tblTargets[DisplayName],tblTargetStatus[[#This Row],[FirstMissingDependencyID]]))</f>
        <v>Shogun's Katana Chapter 1 Accepted</v>
      </c>
      <c r="O472" s="2" t="str" cm="1">
        <f t="array" ref="O4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2" t="str">
        <f>IF(tblTargetStatus[[#This Row],[FirstMissingDependencyID]]="","",_xlfn.XLOOKUP(tblTargetStatus[[#This Row],[FirstMissingDependencyID]],tblTargetStatus[TargetID],tblTargetStatus[Status],""))</f>
        <v>BLOCKED</v>
      </c>
      <c r="Q472" t="str">
        <f>IF(
 tblTargetStatus[[#This Row],[Status]]&lt;&gt;"BLOCKED",
 tblTargetStatus[[#This Row],[Status]],
 IF(
  AND(
   tblTargetStatus[[#This Row],[MissingDependencies]]=1,
   tblTargetStatus[[#This Row],[FirstMissingStatus]]="READY"
  ),
  "ONE AWAY",
  "BLOCKED"
 )
)</f>
        <v>BLOCKED</v>
      </c>
      <c r="R472">
        <f>IF(
 OR(
  tblTargetStatus[[#This Row],[StateType]]="CHARACTER",
  RIGHT(tblTargetStatus[[#This Row],[TargetID]],6)=".maxed"
 ),
 0,
 _xlfn.LET(
  _xlpm.sort,
   _xlfn.XLOOKUP(
    tblTargetStatus[[#This Row],[TargetID]],
    tblChecklist[TargetID],
    tblChecklist[PlayerSort],
    0
   ),
  IF(_xlpm.sort=0,500,_xlpm.sort)
 )
)</f>
        <v>500</v>
      </c>
      <c r="S472" t="str" cm="1">
        <f t="array" ref="S47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1 Finished</v>
      </c>
      <c r="T472" t="str">
        <f>_xlfn.XLOOKUP(tblTargetStatus[[#This Row],[TargetID]],tblTargets[TargetID],tblTargets[CompletionMethod],"")</f>
        <v>PLAYER</v>
      </c>
      <c r="U472" t="b">
        <f>COUNTIF(
    tblCost[TargetID],
    tblTargetStatus[[#This Row],[TargetID]]
)&gt;0</f>
        <v>0</v>
      </c>
      <c r="V472" s="81" t="str">
        <f>IF(tblTargetStatus[[#This Row],[HasCost]]=FALSE,
"N/A",
_xlfn.XLOOKUP(
tblTargetStatus[[#This Row],[TargetID]],
tblCost[TargetID],
tblCost[FundingPercent],
""
)
)</f>
        <v>N/A</v>
      </c>
      <c r="W472" t="str">
        <f>IF(
COUNTIF(tblCost[TargetID],tblTargetStatus[[#This Row],[TargetID]])=0,
"",
_xlfn.XLOOKUP(
tblTargetStatus[[#This Row],[TargetID]],
tblCost[TargetID],
tblCost[RemainingRequirements],
""
)
)</f>
        <v/>
      </c>
      <c r="X472" s="79" t="str">
        <f>IF(tblTargetStatus[[#This Row],[HasCost]]=FALSE,"N/A",_xlfn.XLOOKUP(
tblTargetStatus[[#This Row],[TargetID]],
tblCost[TargetID],
tblCost[TargetFunded],
TRUE
))</f>
        <v>N/A</v>
      </c>
      <c r="Y472" t="str" cm="1">
        <f t="array" ref="Y472">_xlfn.TEXTJOIN(
", ",
TRUE,
_xlfn._xlws.FILTER(
tblCost[ResourceID]&amp;": "&amp;tblCost[QuantityRequired],
(tblCost[TargetID]=tblTargetStatus[[#This Row],[TargetID]])*
(tblCost[PlayerPaid]=FALSE),
""
)
)</f>
        <v/>
      </c>
      <c r="Z4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2" t="str" cm="1">
        <f t="array" ref="AA47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73" spans="1:27">
      <c r="A473" t="s">
        <v>5719</v>
      </c>
      <c r="B473" t="str">
        <f>_xlfn.XLOOKUP(tblTargetStatus[[#This Row],[TargetID]],tblTargets[TargetID],tblTargets[DisplayName],"")</f>
        <v>Craft level 2 map</v>
      </c>
      <c r="C473" t="str">
        <f>IF(tblTargetStatus[[#This Row],[PlayerCompleted]],"COMPLETED",IF(tblTargetStatus[[#This Row],[MissingDependencies]]=0,"READY","BLOCKED"))</f>
        <v>BLOCKED</v>
      </c>
      <c r="D4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3" t="str">
        <f>_xlfn.XLOOKUP(tblTargetStatus[[#This Row],[TargetID]],tblTargets[TargetID],tblTargets[TargetType],"")</f>
        <v>STATE</v>
      </c>
      <c r="F473" t="str">
        <f>_xlfn.XLOOKUP(tblTargetStatus[[#This Row],[TargetID]],tblTargets[TargetID],tblTargets[StateType])</f>
        <v>OBTAIN</v>
      </c>
      <c r="G473">
        <f>_xlfn.LET(
_xlpm.id,tblTargetStatus[[#This Row],[TargetID]],
_xlpm.depCount,COUNTIF(tblDependencies[TargetID],_xlpm.id),
_xlpm.objCount,COUNTIF(tblQuestObjectives[QuestTargetID],_xlpm.id),
_xlpm.depCount+_xlpm.objCount
)</f>
        <v>1</v>
      </c>
      <c r="H473">
        <f>tblTargetStatus[[#This Row],[DependencyCount]]</f>
        <v>1</v>
      </c>
      <c r="I473" cm="1">
        <f t="array" ref="I4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3">
        <f>tblTargetStatus[[#This Row],[CompletedDependencyCount]]</f>
        <v>0</v>
      </c>
      <c r="K473" t="b">
        <f>tblTargetStatus[[#This Row],[CompletedDependencies]]=tblTargetStatus[[#This Row],[TotalDependencies]]</f>
        <v>0</v>
      </c>
      <c r="L473">
        <f>tblTargetStatus[[#This Row],[TotalDependencies]]-tblTargetStatus[[#This Row],[CompletedDependencies]]</f>
        <v>1</v>
      </c>
      <c r="M473" t="str" cm="1">
        <f t="array" ref="M4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quest.shoguns_katana_chapter_1.accepted</v>
      </c>
      <c r="N473" t="str">
        <f>IF(tblTargetStatus[[#This Row],[FirstMissingDependencyID]]="","",_xlfn.XLOOKUP(tblTargetStatus[[#This Row],[FirstMissingDependencyID]],tblTargets[TargetID],tblTargets[DisplayName],tblTargetStatus[[#This Row],[FirstMissingDependencyID]]))</f>
        <v>Shogun's Katana Chapter 1 Accepted</v>
      </c>
      <c r="O473" s="2" t="str" cm="1">
        <f t="array" ref="O4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3" t="str">
        <f>IF(tblTargetStatus[[#This Row],[FirstMissingDependencyID]]="","",_xlfn.XLOOKUP(tblTargetStatus[[#This Row],[FirstMissingDependencyID]],tblTargetStatus[TargetID],tblTargetStatus[Status],""))</f>
        <v>BLOCKED</v>
      </c>
      <c r="Q473" t="str">
        <f>IF(
 tblTargetStatus[[#This Row],[Status]]&lt;&gt;"BLOCKED",
 tblTargetStatus[[#This Row],[Status]],
 IF(
  AND(
   tblTargetStatus[[#This Row],[MissingDependencies]]=1,
   tblTargetStatus[[#This Row],[FirstMissingStatus]]="READY"
  ),
  "ONE AWAY",
  "BLOCKED"
 )
)</f>
        <v>BLOCKED</v>
      </c>
      <c r="R473">
        <f>IF(
 OR(
  tblTargetStatus[[#This Row],[StateType]]="CHARACTER",
  RIGHT(tblTargetStatus[[#This Row],[TargetID]],6)=".maxed"
 ),
 0,
 _xlfn.LET(
  _xlpm.sort,
   _xlfn.XLOOKUP(
    tblTargetStatus[[#This Row],[TargetID]],
    tblChecklist[TargetID],
    tblChecklist[PlayerSort],
    0
   ),
  IF(_xlpm.sort=0,500,_xlpm.sort)
 )
)</f>
        <v>500</v>
      </c>
      <c r="S473" t="str" cm="1">
        <f t="array" ref="S47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1 Finished</v>
      </c>
      <c r="T473" t="str">
        <f>_xlfn.XLOOKUP(tblTargetStatus[[#This Row],[TargetID]],tblTargets[TargetID],tblTargets[CompletionMethod],"")</f>
        <v>PLAYER</v>
      </c>
      <c r="U473" t="b">
        <f>COUNTIF(
    tblCost[TargetID],
    tblTargetStatus[[#This Row],[TargetID]]
)&gt;0</f>
        <v>0</v>
      </c>
      <c r="V473" s="81" t="str">
        <f>IF(tblTargetStatus[[#This Row],[HasCost]]=FALSE,
"N/A",
_xlfn.XLOOKUP(
tblTargetStatus[[#This Row],[TargetID]],
tblCost[TargetID],
tblCost[FundingPercent],
""
)
)</f>
        <v>N/A</v>
      </c>
      <c r="W473" t="str">
        <f>IF(
COUNTIF(tblCost[TargetID],tblTargetStatus[[#This Row],[TargetID]])=0,
"",
_xlfn.XLOOKUP(
tblTargetStatus[[#This Row],[TargetID]],
tblCost[TargetID],
tblCost[RemainingRequirements],
""
)
)</f>
        <v/>
      </c>
      <c r="X473" s="79" t="str">
        <f>IF(tblTargetStatus[[#This Row],[HasCost]]=FALSE,"N/A",_xlfn.XLOOKUP(
tblTargetStatus[[#This Row],[TargetID]],
tblCost[TargetID],
tblCost[TargetFunded],
TRUE
))</f>
        <v>N/A</v>
      </c>
      <c r="Y473" t="str" cm="1">
        <f t="array" ref="Y473">_xlfn.TEXTJOIN(
", ",
TRUE,
_xlfn._xlws.FILTER(
tblCost[ResourceID]&amp;": "&amp;tblCost[QuantityRequired],
(tblCost[TargetID]=tblTargetStatus[[#This Row],[TargetID]])*
(tblCost[PlayerPaid]=FALSE),
""
)
)</f>
        <v/>
      </c>
      <c r="Z4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3" t="str" cm="1">
        <f t="array" ref="AA47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74" spans="1:27">
      <c r="A474" t="s">
        <v>5721</v>
      </c>
      <c r="B474" t="str">
        <f>_xlfn.XLOOKUP(tblTargetStatus[[#This Row],[TargetID]],tblTargets[TargetID],tblTargets[DisplayName],"")</f>
        <v>Obtain level 3 artifact</v>
      </c>
      <c r="C474" t="str">
        <f>IF(tblTargetStatus[[#This Row],[PlayerCompleted]],"COMPLETED",IF(tblTargetStatus[[#This Row],[MissingDependencies]]=0,"READY","BLOCKED"))</f>
        <v>BLOCKED</v>
      </c>
      <c r="D4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4" t="str">
        <f>_xlfn.XLOOKUP(tblTargetStatus[[#This Row],[TargetID]],tblTargets[TargetID],tblTargets[TargetType],"")</f>
        <v>STATE</v>
      </c>
      <c r="F474" t="str">
        <f>_xlfn.XLOOKUP(tblTargetStatus[[#This Row],[TargetID]],tblTargets[TargetID],tblTargets[StateType])</f>
        <v>OBTAIN</v>
      </c>
      <c r="G474">
        <f>_xlfn.LET(
_xlpm.id,tblTargetStatus[[#This Row],[TargetID]],
_xlpm.depCount,COUNTIF(tblDependencies[TargetID],_xlpm.id),
_xlpm.objCount,COUNTIF(tblQuestObjectives[QuestTargetID],_xlpm.id),
_xlpm.depCount+_xlpm.objCount
)</f>
        <v>1</v>
      </c>
      <c r="H474">
        <f>tblTargetStatus[[#This Row],[DependencyCount]]</f>
        <v>1</v>
      </c>
      <c r="I474" cm="1">
        <f t="array" ref="I4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4">
        <f>tblTargetStatus[[#This Row],[CompletedDependencyCount]]</f>
        <v>0</v>
      </c>
      <c r="K474" t="b">
        <f>tblTargetStatus[[#This Row],[CompletedDependencies]]=tblTargetStatus[[#This Row],[TotalDependencies]]</f>
        <v>0</v>
      </c>
      <c r="L474">
        <f>tblTargetStatus[[#This Row],[TotalDependencies]]-tblTargetStatus[[#This Row],[CompletedDependencies]]</f>
        <v>1</v>
      </c>
      <c r="M474" t="str" cm="1">
        <f t="array" ref="M4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quest.shoguns_katana_chapter_2.accepted</v>
      </c>
      <c r="N474" t="str">
        <f>IF(tblTargetStatus[[#This Row],[FirstMissingDependencyID]]="","",_xlfn.XLOOKUP(tblTargetStatus[[#This Row],[FirstMissingDependencyID]],tblTargets[TargetID],tblTargets[DisplayName],tblTargetStatus[[#This Row],[FirstMissingDependencyID]]))</f>
        <v>Shogun's Katana Chapter 2 Accepted</v>
      </c>
      <c r="O474" s="2" t="str" cm="1">
        <f t="array" ref="O4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4" t="str">
        <f>IF(tblTargetStatus[[#This Row],[FirstMissingDependencyID]]="","",_xlfn.XLOOKUP(tblTargetStatus[[#This Row],[FirstMissingDependencyID]],tblTargetStatus[TargetID],tblTargetStatus[Status],""))</f>
        <v>BLOCKED</v>
      </c>
      <c r="Q474" t="str">
        <f>IF(
 tblTargetStatus[[#This Row],[Status]]&lt;&gt;"BLOCKED",
 tblTargetStatus[[#This Row],[Status]],
 IF(
  AND(
   tblTargetStatus[[#This Row],[MissingDependencies]]=1,
   tblTargetStatus[[#This Row],[FirstMissingStatus]]="READY"
  ),
  "ONE AWAY",
  "BLOCKED"
 )
)</f>
        <v>BLOCKED</v>
      </c>
      <c r="R474">
        <f>IF(
 OR(
  tblTargetStatus[[#This Row],[StateType]]="CHARACTER",
  RIGHT(tblTargetStatus[[#This Row],[TargetID]],6)=".maxed"
 ),
 0,
 _xlfn.LET(
  _xlpm.sort,
   _xlfn.XLOOKUP(
    tblTargetStatus[[#This Row],[TargetID]],
    tblChecklist[TargetID],
    tblChecklist[PlayerSort],
    0
   ),
  IF(_xlpm.sort=0,500,_xlpm.sort)
 )
)</f>
        <v>500</v>
      </c>
      <c r="S474" t="str" cm="1">
        <f t="array" ref="S47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2 Finished</v>
      </c>
      <c r="T474" t="str">
        <f>_xlfn.XLOOKUP(tblTargetStatus[[#This Row],[TargetID]],tblTargets[TargetID],tblTargets[CompletionMethod],"")</f>
        <v>PLAYER</v>
      </c>
      <c r="U474" t="b">
        <f>COUNTIF(
    tblCost[TargetID],
    tblTargetStatus[[#This Row],[TargetID]]
)&gt;0</f>
        <v>0</v>
      </c>
      <c r="V474" s="81" t="str">
        <f>IF(tblTargetStatus[[#This Row],[HasCost]]=FALSE,
"N/A",
_xlfn.XLOOKUP(
tblTargetStatus[[#This Row],[TargetID]],
tblCost[TargetID],
tblCost[FundingPercent],
""
)
)</f>
        <v>N/A</v>
      </c>
      <c r="W474" t="str">
        <f>IF(
COUNTIF(tblCost[TargetID],tblTargetStatus[[#This Row],[TargetID]])=0,
"",
_xlfn.XLOOKUP(
tblTargetStatus[[#This Row],[TargetID]],
tblCost[TargetID],
tblCost[RemainingRequirements],
""
)
)</f>
        <v/>
      </c>
      <c r="X474" s="79" t="str">
        <f>IF(tblTargetStatus[[#This Row],[HasCost]]=FALSE,"N/A",_xlfn.XLOOKUP(
tblTargetStatus[[#This Row],[TargetID]],
tblCost[TargetID],
tblCost[TargetFunded],
TRUE
))</f>
        <v>N/A</v>
      </c>
      <c r="Y474" t="str" cm="1">
        <f t="array" ref="Y474">_xlfn.TEXTJOIN(
", ",
TRUE,
_xlfn._xlws.FILTER(
tblCost[ResourceID]&amp;": "&amp;tblCost[QuantityRequired],
(tblCost[TargetID]=tblTargetStatus[[#This Row],[TargetID]])*
(tblCost[PlayerPaid]=FALSE),
""
)
)</f>
        <v/>
      </c>
      <c r="Z4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4" t="str" cm="1">
        <f t="array" ref="AA47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75" spans="1:27">
      <c r="A475" t="s">
        <v>6038</v>
      </c>
      <c r="B475" t="str">
        <f>_xlfn.XLOOKUP(tblTargetStatus[[#This Row],[TargetID]],tblTargets[TargetID],tblTargets[DisplayName],"")</f>
        <v>Map Catacombs</v>
      </c>
      <c r="C475" t="str">
        <f>IF(tblTargetStatus[[#This Row],[PlayerCompleted]],"COMPLETED",IF(tblTargetStatus[[#This Row],[MissingDependencies]]=0,"READY","BLOCKED"))</f>
        <v>BLOCKED</v>
      </c>
      <c r="D4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5" t="str">
        <f>_xlfn.XLOOKUP(tblTargetStatus[[#This Row],[TargetID]],tblTargets[TargetID],tblTargets[TargetType],"")</f>
        <v>STATE</v>
      </c>
      <c r="F475" t="str">
        <f>_xlfn.XLOOKUP(tblTargetStatus[[#This Row],[TargetID]],tblTargets[TargetID],tblTargets[StateType])</f>
        <v>OBTAIN</v>
      </c>
      <c r="G475">
        <f>_xlfn.LET(
_xlpm.id,tblTargetStatus[[#This Row],[TargetID]],
_xlpm.depCount,COUNTIF(tblDependencies[TargetID],_xlpm.id),
_xlpm.objCount,COUNTIF(tblQuestObjectives[QuestTargetID],_xlpm.id),
_xlpm.depCount+_xlpm.objCount
)</f>
        <v>1</v>
      </c>
      <c r="H475">
        <f>tblTargetStatus[[#This Row],[DependencyCount]]</f>
        <v>1</v>
      </c>
      <c r="I475" cm="1">
        <f t="array" ref="I4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5">
        <f>tblTargetStatus[[#This Row],[CompletedDependencyCount]]</f>
        <v>0</v>
      </c>
      <c r="K475" t="b">
        <f>tblTargetStatus[[#This Row],[CompletedDependencies]]=tblTargetStatus[[#This Row],[TotalDependencies]]</f>
        <v>0</v>
      </c>
      <c r="L475">
        <f>tblTargetStatus[[#This Row],[TotalDependencies]]-tblTargetStatus[[#This Row],[CompletedDependencies]]</f>
        <v>1</v>
      </c>
      <c r="M475" t="str" cm="1">
        <f t="array" ref="M4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quest.quest_for_knowledge_chapter_3.finished</v>
      </c>
      <c r="N475" t="str">
        <f>IF(tblTargetStatus[[#This Row],[FirstMissingDependencyID]]="","",_xlfn.XLOOKUP(tblTargetStatus[[#This Row],[FirstMissingDependencyID]],tblTargets[TargetID],tblTargets[DisplayName],tblTargetStatus[[#This Row],[FirstMissingDependencyID]]))</f>
        <v>Quest for Knowledge Chapter 3 Finished</v>
      </c>
      <c r="O475" t="str" cm="1">
        <f t="array" ref="O4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5" t="str">
        <f>IF(tblTargetStatus[[#This Row],[FirstMissingDependencyID]]="","",_xlfn.XLOOKUP(tblTargetStatus[[#This Row],[FirstMissingDependencyID]],tblTargetStatus[TargetID],tblTargetStatus[Status],""))</f>
        <v>BLOCKED</v>
      </c>
      <c r="Q475" t="str">
        <f>IF(
 tblTargetStatus[[#This Row],[Status]]&lt;&gt;"BLOCKED",
 tblTargetStatus[[#This Row],[Status]],
 IF(
  AND(
   tblTargetStatus[[#This Row],[MissingDependencies]]=1,
   tblTargetStatus[[#This Row],[FirstMissingStatus]]="READY"
  ),
  "ONE AWAY",
  "BLOCKED"
 )
)</f>
        <v>BLOCKED</v>
      </c>
      <c r="R475">
        <f>IF(
 OR(
  tblTargetStatus[[#This Row],[StateType]]="CHARACTER",
  RIGHT(tblTargetStatus[[#This Row],[TargetID]],6)=".maxed"
 ),
 0,
 _xlfn.LET(
  _xlpm.sort,
   _xlfn.XLOOKUP(
    tblTargetStatus[[#This Row],[TargetID]],
    tblChecklist[TargetID],
    tblChecklist[PlayerSort],
    0
   ),
  IF(_xlpm.sort=0,500,_xlpm.sort)
 )
)</f>
        <v>500</v>
      </c>
      <c r="S475" t="str" cm="1">
        <f t="array" ref="S47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4 Accepted</v>
      </c>
      <c r="T475" t="str">
        <f>_xlfn.XLOOKUP(tblTargetStatus[[#This Row],[TargetID]],tblTargets[TargetID],tblTargets[CompletionMethod],"")</f>
        <v>PLAYER</v>
      </c>
      <c r="U475" t="b">
        <f>COUNTIF(
    tblCost[TargetID],
    tblTargetStatus[[#This Row],[TargetID]]
)&gt;0</f>
        <v>0</v>
      </c>
      <c r="V475" s="81" t="str">
        <f>IF(tblTargetStatus[[#This Row],[HasCost]]=FALSE,
"N/A",
_xlfn.XLOOKUP(
tblTargetStatus[[#This Row],[TargetID]],
tblCost[TargetID],
tblCost[FundingPercent],
""
)
)</f>
        <v>N/A</v>
      </c>
      <c r="W475" t="str">
        <f>IF(
COUNTIF(tblCost[TargetID],tblTargetStatus[[#This Row],[TargetID]])=0,
"",
_xlfn.XLOOKUP(
tblTargetStatus[[#This Row],[TargetID]],
tblCost[TargetID],
tblCost[RemainingRequirements],
""
)
)</f>
        <v/>
      </c>
      <c r="X475" s="79" t="str">
        <f>IF(tblTargetStatus[[#This Row],[HasCost]]=FALSE,"N/A",_xlfn.XLOOKUP(
tblTargetStatus[[#This Row],[TargetID]],
tblCost[TargetID],
tblCost[TargetFunded],
TRUE
))</f>
        <v>N/A</v>
      </c>
      <c r="Y475" t="str" cm="1">
        <f t="array" ref="Y475">_xlfn.TEXTJOIN(
", ",
TRUE,
_xlfn._xlws.FILTER(
tblCost[ResourceID]&amp;": "&amp;tblCost[QuantityRequired],
(tblCost[TargetID]=tblTargetStatus[[#This Row],[TargetID]])*
(tblCost[PlayerPaid]=FALSE),
""
)
)</f>
        <v/>
      </c>
      <c r="Z4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5" t="str" cm="1">
        <f t="array" ref="AA47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Quest for Knowledge Chapter 4</v>
      </c>
    </row>
    <row r="476" spans="1:27">
      <c r="A476" t="s">
        <v>5727</v>
      </c>
      <c r="B476" t="str">
        <f>_xlfn.XLOOKUP(tblTargetStatus[[#This Row],[TargetID]],tblTargets[TargetID],tblTargets[DisplayName],"")</f>
        <v>Craft level 4 map</v>
      </c>
      <c r="C476" t="str">
        <f>IF(tblTargetStatus[[#This Row],[PlayerCompleted]],"COMPLETED",IF(tblTargetStatus[[#This Row],[MissingDependencies]]=0,"READY","BLOCKED"))</f>
        <v>BLOCKED</v>
      </c>
      <c r="D4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6" t="str">
        <f>_xlfn.XLOOKUP(tblTargetStatus[[#This Row],[TargetID]],tblTargets[TargetID],tblTargets[TargetType],"")</f>
        <v>STATE</v>
      </c>
      <c r="F476" t="str">
        <f>_xlfn.XLOOKUP(tblTargetStatus[[#This Row],[TargetID]],tblTargets[TargetID],tblTargets[StateType])</f>
        <v>OBTAIN</v>
      </c>
      <c r="G476">
        <f>_xlfn.LET(
_xlpm.id,tblTargetStatus[[#This Row],[TargetID]],
_xlpm.depCount,COUNTIF(tblDependencies[TargetID],_xlpm.id),
_xlpm.objCount,COUNTIF(tblQuestObjectives[QuestTargetID],_xlpm.id),
_xlpm.depCount+_xlpm.objCount
)</f>
        <v>1</v>
      </c>
      <c r="H476">
        <f>tblTargetStatus[[#This Row],[DependencyCount]]</f>
        <v>1</v>
      </c>
      <c r="I476" cm="1">
        <f t="array" ref="I4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6">
        <f>tblTargetStatus[[#This Row],[CompletedDependencyCount]]</f>
        <v>0</v>
      </c>
      <c r="K476" t="b">
        <f>tblTargetStatus[[#This Row],[CompletedDependencies]]=tblTargetStatus[[#This Row],[TotalDependencies]]</f>
        <v>0</v>
      </c>
      <c r="L476">
        <f>tblTargetStatus[[#This Row],[TotalDependencies]]-tblTargetStatus[[#This Row],[CompletedDependencies]]</f>
        <v>1</v>
      </c>
      <c r="M476" t="str" cm="1">
        <f t="array" ref="M4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quest.shoguns_katana_chapter_6.accepted</v>
      </c>
      <c r="N476" t="str">
        <f>IF(tblTargetStatus[[#This Row],[FirstMissingDependencyID]]="","",_xlfn.XLOOKUP(tblTargetStatus[[#This Row],[FirstMissingDependencyID]],tblTargets[TargetID],tblTargets[DisplayName],tblTargetStatus[[#This Row],[FirstMissingDependencyID]]))</f>
        <v>Shogun's Katana Chapter 6 Accepted</v>
      </c>
      <c r="O476" s="2" t="str" cm="1">
        <f t="array" ref="O4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6" t="str">
        <f>IF(tblTargetStatus[[#This Row],[FirstMissingDependencyID]]="","",_xlfn.XLOOKUP(tblTargetStatus[[#This Row],[FirstMissingDependencyID]],tblTargetStatus[TargetID],tblTargetStatus[Status],""))</f>
        <v>BLOCKED</v>
      </c>
      <c r="Q476" t="str">
        <f>IF(
 tblTargetStatus[[#This Row],[Status]]&lt;&gt;"BLOCKED",
 tblTargetStatus[[#This Row],[Status]],
 IF(
  AND(
   tblTargetStatus[[#This Row],[MissingDependencies]]=1,
   tblTargetStatus[[#This Row],[FirstMissingStatus]]="READY"
  ),
  "ONE AWAY",
  "BLOCKED"
 )
)</f>
        <v>BLOCKED</v>
      </c>
      <c r="R476">
        <f>IF(
 OR(
  tblTargetStatus[[#This Row],[StateType]]="CHARACTER",
  RIGHT(tblTargetStatus[[#This Row],[TargetID]],6)=".maxed"
 ),
 0,
 _xlfn.LET(
  _xlpm.sort,
   _xlfn.XLOOKUP(
    tblTargetStatus[[#This Row],[TargetID]],
    tblChecklist[TargetID],
    tblChecklist[PlayerSort],
    0
   ),
  IF(_xlpm.sort=0,500,_xlpm.sort)
 )
)</f>
        <v>500</v>
      </c>
      <c r="S476" t="str" cm="1">
        <f t="array" ref="S47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Obtain Shogun's Mortar, Shogun's Katana Chapter 6 Finished</v>
      </c>
      <c r="T476" t="str">
        <f>_xlfn.XLOOKUP(tblTargetStatus[[#This Row],[TargetID]],tblTargets[TargetID],tblTargets[CompletionMethod],"")</f>
        <v>PLAYER</v>
      </c>
      <c r="U476" t="b">
        <f>COUNTIF(
    tblCost[TargetID],
    tblTargetStatus[[#This Row],[TargetID]]
)&gt;0</f>
        <v>0</v>
      </c>
      <c r="V476" s="81" t="str">
        <f>IF(tblTargetStatus[[#This Row],[HasCost]]=FALSE,
"N/A",
_xlfn.XLOOKUP(
tblTargetStatus[[#This Row],[TargetID]],
tblCost[TargetID],
tblCost[FundingPercent],
""
)
)</f>
        <v>N/A</v>
      </c>
      <c r="W476" t="str">
        <f>IF(
COUNTIF(tblCost[TargetID],tblTargetStatus[[#This Row],[TargetID]])=0,
"",
_xlfn.XLOOKUP(
tblTargetStatus[[#This Row],[TargetID]],
tblCost[TargetID],
tblCost[RemainingRequirements],
""
)
)</f>
        <v/>
      </c>
      <c r="X476" s="79" t="str">
        <f>IF(tblTargetStatus[[#This Row],[HasCost]]=FALSE,"N/A",_xlfn.XLOOKUP(
tblTargetStatus[[#This Row],[TargetID]],
tblCost[TargetID],
tblCost[TargetFunded],
TRUE
))</f>
        <v>N/A</v>
      </c>
      <c r="Y476" t="str" cm="1">
        <f t="array" ref="Y476">_xlfn.TEXTJOIN(
", ",
TRUE,
_xlfn._xlws.FILTER(
tblCost[ResourceID]&amp;": "&amp;tblCost[QuantityRequired],
(tblCost[TargetID]=tblTargetStatus[[#This Row],[TargetID]])*
(tblCost[PlayerPaid]=FALSE),
""
)
)</f>
        <v/>
      </c>
      <c r="Z4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6" t="str" cm="1">
        <f t="array" ref="AA47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77" spans="1:27">
      <c r="A477" t="s">
        <v>5729</v>
      </c>
      <c r="B477" t="str">
        <f>_xlfn.XLOOKUP(tblTargetStatus[[#This Row],[TargetID]],tblTargets[TargetID],tblTargets[DisplayName],"")</f>
        <v>Craft level 4 map again</v>
      </c>
      <c r="C477" t="str">
        <f>IF(tblTargetStatus[[#This Row],[PlayerCompleted]],"COMPLETED",IF(tblTargetStatus[[#This Row],[MissingDependencies]]=0,"READY","BLOCKED"))</f>
        <v>BLOCKED</v>
      </c>
      <c r="D4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7" t="str">
        <f>_xlfn.XLOOKUP(tblTargetStatus[[#This Row],[TargetID]],tblTargets[TargetID],tblTargets[TargetType],"")</f>
        <v>STATE</v>
      </c>
      <c r="F477" t="str">
        <f>_xlfn.XLOOKUP(tblTargetStatus[[#This Row],[TargetID]],tblTargets[TargetID],tblTargets[StateType])</f>
        <v>OBTAIN</v>
      </c>
      <c r="G477">
        <f>_xlfn.LET(
_xlpm.id,tblTargetStatus[[#This Row],[TargetID]],
_xlpm.depCount,COUNTIF(tblDependencies[TargetID],_xlpm.id),
_xlpm.objCount,COUNTIF(tblQuestObjectives[QuestTargetID],_xlpm.id),
_xlpm.depCount+_xlpm.objCount
)</f>
        <v>1</v>
      </c>
      <c r="H477">
        <f>tblTargetStatus[[#This Row],[DependencyCount]]</f>
        <v>1</v>
      </c>
      <c r="I477" cm="1">
        <f t="array" ref="I4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7">
        <f>tblTargetStatus[[#This Row],[CompletedDependencyCount]]</f>
        <v>0</v>
      </c>
      <c r="K477" t="b">
        <f>tblTargetStatus[[#This Row],[CompletedDependencies]]=tblTargetStatus[[#This Row],[TotalDependencies]]</f>
        <v>0</v>
      </c>
      <c r="L477">
        <f>tblTargetStatus[[#This Row],[TotalDependencies]]-tblTargetStatus[[#This Row],[CompletedDependencies]]</f>
        <v>1</v>
      </c>
      <c r="M477" t="str" cm="1">
        <f t="array" ref="M4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quest.shoguns_katana_chapter_7.accepted</v>
      </c>
      <c r="N477" t="str">
        <f>IF(tblTargetStatus[[#This Row],[FirstMissingDependencyID]]="","",_xlfn.XLOOKUP(tblTargetStatus[[#This Row],[FirstMissingDependencyID]],tblTargets[TargetID],tblTargets[DisplayName],tblTargetStatus[[#This Row],[FirstMissingDependencyID]]))</f>
        <v>Shogun's Katana Chapter 7 Accepted</v>
      </c>
      <c r="O477" s="2" t="str" cm="1">
        <f t="array" ref="O4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7" t="str">
        <f>IF(tblTargetStatus[[#This Row],[FirstMissingDependencyID]]="","",_xlfn.XLOOKUP(tblTargetStatus[[#This Row],[FirstMissingDependencyID]],tblTargetStatus[TargetID],tblTargetStatus[Status],""))</f>
        <v>BLOCKED</v>
      </c>
      <c r="Q477" t="str">
        <f>IF(
 tblTargetStatus[[#This Row],[Status]]&lt;&gt;"BLOCKED",
 tblTargetStatus[[#This Row],[Status]],
 IF(
  AND(
   tblTargetStatus[[#This Row],[MissingDependencies]]=1,
   tblTargetStatus[[#This Row],[FirstMissingStatus]]="READY"
  ),
  "ONE AWAY",
  "BLOCKED"
 )
)</f>
        <v>BLOCKED</v>
      </c>
      <c r="R477">
        <f>IF(
 OR(
  tblTargetStatus[[#This Row],[StateType]]="CHARACTER",
  RIGHT(tblTargetStatus[[#This Row],[TargetID]],6)=".maxed"
 ),
 0,
 _xlfn.LET(
  _xlpm.sort,
   _xlfn.XLOOKUP(
    tblTargetStatus[[#This Row],[TargetID]],
    tblChecklist[TargetID],
    tblChecklist[PlayerSort],
    0
   ),
  IF(_xlpm.sort=0,500,_xlpm.sort)
 )
)</f>
        <v>500</v>
      </c>
      <c r="S477" t="str" cm="1">
        <f t="array" ref="S47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7 Finished</v>
      </c>
      <c r="T477" t="str">
        <f>_xlfn.XLOOKUP(tblTargetStatus[[#This Row],[TargetID]],tblTargets[TargetID],tblTargets[CompletionMethod],"")</f>
        <v>PLAYER</v>
      </c>
      <c r="U477" t="b">
        <f>COUNTIF(
    tblCost[TargetID],
    tblTargetStatus[[#This Row],[TargetID]]
)&gt;0</f>
        <v>0</v>
      </c>
      <c r="V477" s="81" t="str">
        <f>IF(tblTargetStatus[[#This Row],[HasCost]]=FALSE,
"N/A",
_xlfn.XLOOKUP(
tblTargetStatus[[#This Row],[TargetID]],
tblCost[TargetID],
tblCost[FundingPercent],
""
)
)</f>
        <v>N/A</v>
      </c>
      <c r="W477" t="str">
        <f>IF(
COUNTIF(tblCost[TargetID],tblTargetStatus[[#This Row],[TargetID]])=0,
"",
_xlfn.XLOOKUP(
tblTargetStatus[[#This Row],[TargetID]],
tblCost[TargetID],
tblCost[RemainingRequirements],
""
)
)</f>
        <v/>
      </c>
      <c r="X477" s="79" t="str">
        <f>IF(tblTargetStatus[[#This Row],[HasCost]]=FALSE,"N/A",_xlfn.XLOOKUP(
tblTargetStatus[[#This Row],[TargetID]],
tblCost[TargetID],
tblCost[TargetFunded],
TRUE
))</f>
        <v>N/A</v>
      </c>
      <c r="Y477" t="str" cm="1">
        <f t="array" ref="Y477">_xlfn.TEXTJOIN(
", ",
TRUE,
_xlfn._xlws.FILTER(
tblCost[ResourceID]&amp;": "&amp;tblCost[QuantityRequired],
(tblCost[TargetID]=tblTargetStatus[[#This Row],[TargetID]])*
(tblCost[PlayerPaid]=FALSE),
""
)
)</f>
        <v/>
      </c>
      <c r="Z4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7" t="str" cm="1">
        <f t="array" ref="AA47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78" spans="1:27">
      <c r="A478" t="s">
        <v>5714</v>
      </c>
      <c r="B478" t="str">
        <f>_xlfn.XLOOKUP(tblTargetStatus[[#This Row],[TargetID]],tblTargets[TargetID],tblTargets[DisplayName],"")</f>
        <v>Craft mechanism</v>
      </c>
      <c r="C478" t="str">
        <f>IF(tblTargetStatus[[#This Row],[PlayerCompleted]],"COMPLETED",IF(tblTargetStatus[[#This Row],[MissingDependencies]]=0,"READY","BLOCKED"))</f>
        <v>BLOCKED</v>
      </c>
      <c r="D4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8" t="str">
        <f>_xlfn.XLOOKUP(tblTargetStatus[[#This Row],[TargetID]],tblTargets[TargetID],tblTargets[TargetType],"")</f>
        <v>STATE</v>
      </c>
      <c r="F478" t="str">
        <f>_xlfn.XLOOKUP(tblTargetStatus[[#This Row],[TargetID]],tblTargets[TargetID],tblTargets[StateType])</f>
        <v>OBTAIN</v>
      </c>
      <c r="G478">
        <f>_xlfn.LET(
_xlpm.id,tblTargetStatus[[#This Row],[TargetID]],
_xlpm.depCount,COUNTIF(tblDependencies[TargetID],_xlpm.id),
_xlpm.objCount,COUNTIF(tblQuestObjectives[QuestTargetID],_xlpm.id),
_xlpm.depCount+_xlpm.objCount
)</f>
        <v>1</v>
      </c>
      <c r="H478">
        <f>tblTargetStatus[[#This Row],[DependencyCount]]</f>
        <v>1</v>
      </c>
      <c r="I478" cm="1">
        <f t="array" ref="I4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8">
        <f>tblTargetStatus[[#This Row],[CompletedDependencyCount]]</f>
        <v>0</v>
      </c>
      <c r="K478" t="b">
        <f>tblTargetStatus[[#This Row],[CompletedDependencies]]=tblTargetStatus[[#This Row],[TotalDependencies]]</f>
        <v>0</v>
      </c>
      <c r="L478">
        <f>tblTargetStatus[[#This Row],[TotalDependencies]]-tblTargetStatus[[#This Row],[CompletedDependencies]]</f>
        <v>1</v>
      </c>
      <c r="M478" t="str" cm="1">
        <f t="array" ref="M4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quest.quest_for_knowledge_chapter_5.accepted</v>
      </c>
      <c r="N478" t="str">
        <f>IF(tblTargetStatus[[#This Row],[FirstMissingDependencyID]]="","",_xlfn.XLOOKUP(tblTargetStatus[[#This Row],[FirstMissingDependencyID]],tblTargets[TargetID],tblTargets[DisplayName],tblTargetStatus[[#This Row],[FirstMissingDependencyID]]))</f>
        <v>Quest for Knowledge Chapter 5 Accepted</v>
      </c>
      <c r="O478" s="2" t="str" cm="1">
        <f t="array" ref="O4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8" t="str">
        <f>IF(tblTargetStatus[[#This Row],[FirstMissingDependencyID]]="","",_xlfn.XLOOKUP(tblTargetStatus[[#This Row],[FirstMissingDependencyID]],tblTargetStatus[TargetID],tblTargetStatus[Status],""))</f>
        <v>BLOCKED</v>
      </c>
      <c r="Q478" t="str">
        <f>IF(
 tblTargetStatus[[#This Row],[Status]]&lt;&gt;"BLOCKED",
 tblTargetStatus[[#This Row],[Status]],
 IF(
  AND(
   tblTargetStatus[[#This Row],[MissingDependencies]]=1,
   tblTargetStatus[[#This Row],[FirstMissingStatus]]="READY"
  ),
  "ONE AWAY",
  "BLOCKED"
 )
)</f>
        <v>BLOCKED</v>
      </c>
      <c r="R478">
        <f>IF(
 OR(
  tblTargetStatus[[#This Row],[StateType]]="CHARACTER",
  RIGHT(tblTargetStatus[[#This Row],[TargetID]],6)=".maxed"
 ),
 0,
 _xlfn.LET(
  _xlpm.sort,
   _xlfn.XLOOKUP(
    tblTargetStatus[[#This Row],[TargetID]],
    tblChecklist[TargetID],
    tblChecklist[PlayerSort],
    0
   ),
  IF(_xlpm.sort=0,500,_xlpm.sort)
 )
)</f>
        <v>500</v>
      </c>
      <c r="S478" t="str" cm="1">
        <f t="array" ref="S47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5 Finished</v>
      </c>
      <c r="T478" t="str">
        <f>_xlfn.XLOOKUP(tblTargetStatus[[#This Row],[TargetID]],tblTargets[TargetID],tblTargets[CompletionMethod],"")</f>
        <v>PLAYER</v>
      </c>
      <c r="U478" t="b">
        <f>COUNTIF(
    tblCost[TargetID],
    tblTargetStatus[[#This Row],[TargetID]]
)&gt;0</f>
        <v>0</v>
      </c>
      <c r="V478" s="81" t="str">
        <f>IF(tblTargetStatus[[#This Row],[HasCost]]=FALSE,
"N/A",
_xlfn.XLOOKUP(
tblTargetStatus[[#This Row],[TargetID]],
tblCost[TargetID],
tblCost[FundingPercent],
""
)
)</f>
        <v>N/A</v>
      </c>
      <c r="W478" t="str">
        <f>IF(
COUNTIF(tblCost[TargetID],tblTargetStatus[[#This Row],[TargetID]])=0,
"",
_xlfn.XLOOKUP(
tblTargetStatus[[#This Row],[TargetID]],
tblCost[TargetID],
tblCost[RemainingRequirements],
""
)
)</f>
        <v/>
      </c>
      <c r="X478" s="79" t="str">
        <f>IF(tblTargetStatus[[#This Row],[HasCost]]=FALSE,"N/A",_xlfn.XLOOKUP(
tblTargetStatus[[#This Row],[TargetID]],
tblCost[TargetID],
tblCost[TargetFunded],
TRUE
))</f>
        <v>N/A</v>
      </c>
      <c r="Y478" t="str" cm="1">
        <f t="array" ref="Y478">_xlfn.TEXTJOIN(
", ",
TRUE,
_xlfn._xlws.FILTER(
tblCost[ResourceID]&amp;": "&amp;tblCost[QuantityRequired],
(tblCost[TargetID]=tblTargetStatus[[#This Row],[TargetID]])*
(tblCost[PlayerPaid]=FALSE),
""
)
)</f>
        <v/>
      </c>
      <c r="Z4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8" t="str" cm="1">
        <f t="array" ref="AA47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79" spans="1:27">
      <c r="A479" t="s">
        <v>5697</v>
      </c>
      <c r="B479" t="str">
        <f>_xlfn.XLOOKUP(tblTargetStatus[[#This Row],[TargetID]],tblTargets[TargetID],tblTargets[DisplayName],"")</f>
        <v>Craft Potion of Mental Power</v>
      </c>
      <c r="C479" t="str">
        <f>IF(tblTargetStatus[[#This Row],[PlayerCompleted]],"COMPLETED",IF(tblTargetStatus[[#This Row],[MissingDependencies]]=0,"READY","BLOCKED"))</f>
        <v>BLOCKED</v>
      </c>
      <c r="D4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9" t="str">
        <f>_xlfn.XLOOKUP(tblTargetStatus[[#This Row],[TargetID]],tblTargets[TargetID],tblTargets[TargetType],"")</f>
        <v>STATE</v>
      </c>
      <c r="F479" t="str">
        <f>_xlfn.XLOOKUP(tblTargetStatus[[#This Row],[TargetID]],tblTargets[TargetID],tblTargets[StateType])</f>
        <v>OBTAIN</v>
      </c>
      <c r="G479">
        <f>_xlfn.LET(
_xlpm.id,tblTargetStatus[[#This Row],[TargetID]],
_xlpm.depCount,COUNTIF(tblDependencies[TargetID],_xlpm.id),
_xlpm.objCount,COUNTIF(tblQuestObjectives[QuestTargetID],_xlpm.id),
_xlpm.depCount+_xlpm.objCount
)</f>
        <v>2</v>
      </c>
      <c r="H479">
        <f>tblTargetStatus[[#This Row],[DependencyCount]]</f>
        <v>2</v>
      </c>
      <c r="I479" cm="1">
        <f t="array" ref="I4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9">
        <f>tblTargetStatus[[#This Row],[CompletedDependencyCount]]</f>
        <v>0</v>
      </c>
      <c r="K479" t="b">
        <f>tblTargetStatus[[#This Row],[CompletedDependencies]]=tblTargetStatus[[#This Row],[TotalDependencies]]</f>
        <v>0</v>
      </c>
      <c r="L479">
        <f>tblTargetStatus[[#This Row],[TotalDependencies]]-tblTargetStatus[[#This Row],[CompletedDependencies]]</f>
        <v>2</v>
      </c>
      <c r="M479" t="str" cm="1">
        <f t="array" ref="M4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quest.once_upon_a_forest_chapter_6.accepted</v>
      </c>
      <c r="N479" t="str">
        <f>IF(tblTargetStatus[[#This Row],[FirstMissingDependencyID]]="","",_xlfn.XLOOKUP(tblTargetStatus[[#This Row],[FirstMissingDependencyID]],tblTargets[TargetID],tblTargets[DisplayName],tblTargetStatus[[#This Row],[FirstMissingDependencyID]]))</f>
        <v>Once Upon a Forest Chapter 6 Accepted</v>
      </c>
      <c r="O479" s="2" t="str" cm="1">
        <f t="array" ref="O4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9" t="str">
        <f>IF(tblTargetStatus[[#This Row],[FirstMissingDependencyID]]="","",_xlfn.XLOOKUP(tblTargetStatus[[#This Row],[FirstMissingDependencyID]],tblTargetStatus[TargetID],tblTargetStatus[Status],""))</f>
        <v>BLOCKED</v>
      </c>
      <c r="Q479" t="str">
        <f>IF(
 tblTargetStatus[[#This Row],[Status]]&lt;&gt;"BLOCKED",
 tblTargetStatus[[#This Row],[Status]],
 IF(
  AND(
   tblTargetStatus[[#This Row],[MissingDependencies]]=1,
   tblTargetStatus[[#This Row],[FirstMissingStatus]]="READY"
  ),
  "ONE AWAY",
  "BLOCKED"
 )
)</f>
        <v>BLOCKED</v>
      </c>
      <c r="R479">
        <f>IF(
 OR(
  tblTargetStatus[[#This Row],[StateType]]="CHARACTER",
  RIGHT(tblTargetStatus[[#This Row],[TargetID]],6)=".maxed"
 ),
 0,
 _xlfn.LET(
  _xlpm.sort,
   _xlfn.XLOOKUP(
    tblTargetStatus[[#This Row],[TargetID]],
    tblChecklist[TargetID],
    tblChecklist[PlayerSort],
    0
   ),
  IF(_xlpm.sort=0,500,_xlpm.sort)
 )
)</f>
        <v>500</v>
      </c>
      <c r="S479" t="str" cm="1">
        <f t="array" ref="S47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6 Finished</v>
      </c>
      <c r="T479" t="str">
        <f>_xlfn.XLOOKUP(tblTargetStatus[[#This Row],[TargetID]],tblTargets[TargetID],tblTargets[CompletionMethod],"")</f>
        <v>PLAYER</v>
      </c>
      <c r="U479" t="b">
        <f>COUNTIF(
    tblCost[TargetID],
    tblTargetStatus[[#This Row],[TargetID]]
)&gt;0</f>
        <v>0</v>
      </c>
      <c r="V479" s="81" t="str">
        <f>IF(tblTargetStatus[[#This Row],[HasCost]]=FALSE,
"N/A",
_xlfn.XLOOKUP(
tblTargetStatus[[#This Row],[TargetID]],
tblCost[TargetID],
tblCost[FundingPercent],
""
)
)</f>
        <v>N/A</v>
      </c>
      <c r="W479" t="str">
        <f>IF(
COUNTIF(tblCost[TargetID],tblTargetStatus[[#This Row],[TargetID]])=0,
"",
_xlfn.XLOOKUP(
tblTargetStatus[[#This Row],[TargetID]],
tblCost[TargetID],
tblCost[RemainingRequirements],
""
)
)</f>
        <v/>
      </c>
      <c r="X479" s="79" t="str">
        <f>IF(tblTargetStatus[[#This Row],[HasCost]]=FALSE,"N/A",_xlfn.XLOOKUP(
tblTargetStatus[[#This Row],[TargetID]],
tblCost[TargetID],
tblCost[TargetFunded],
TRUE
))</f>
        <v>N/A</v>
      </c>
      <c r="Y479" t="str" cm="1">
        <f t="array" ref="Y479">_xlfn.TEXTJOIN(
", ",
TRUE,
_xlfn._xlws.FILTER(
tblCost[ResourceID]&amp;": "&amp;tblCost[QuantityRequired],
(tblCost[TargetID]=tblTargetStatus[[#This Row],[TargetID]])*
(tblCost[PlayerPaid]=FALSE),
""
)
)</f>
        <v/>
      </c>
      <c r="Z4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9" t="str" cm="1">
        <f t="array" ref="AA47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0" spans="1:27">
      <c r="A480" t="s">
        <v>5722</v>
      </c>
      <c r="B480" t="str">
        <f>_xlfn.XLOOKUP(tblTargetStatus[[#This Row],[TargetID]],tblTargets[TargetID],tblTargets[DisplayName],"")</f>
        <v>Obtain Reagent from 3A</v>
      </c>
      <c r="C480" t="str">
        <f>IF(tblTargetStatus[[#This Row],[PlayerCompleted]],"COMPLETED",IF(tblTargetStatus[[#This Row],[MissingDependencies]]=0,"READY","BLOCKED"))</f>
        <v>BLOCKED</v>
      </c>
      <c r="D4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0" t="str">
        <f>_xlfn.XLOOKUP(tblTargetStatus[[#This Row],[TargetID]],tblTargets[TargetID],tblTargets[TargetType],"")</f>
        <v>STATE</v>
      </c>
      <c r="F480" t="str">
        <f>_xlfn.XLOOKUP(tblTargetStatus[[#This Row],[TargetID]],tblTargets[TargetID],tblTargets[StateType])</f>
        <v>OBTAIN</v>
      </c>
      <c r="G480">
        <f>_xlfn.LET(
_xlpm.id,tblTargetStatus[[#This Row],[TargetID]],
_xlpm.depCount,COUNTIF(tblDependencies[TargetID],_xlpm.id),
_xlpm.objCount,COUNTIF(tblQuestObjectives[QuestTargetID],_xlpm.id),
_xlpm.depCount+_xlpm.objCount
)</f>
        <v>1</v>
      </c>
      <c r="H480">
        <f>tblTargetStatus[[#This Row],[DependencyCount]]</f>
        <v>1</v>
      </c>
      <c r="I480" cm="1">
        <f t="array" ref="I4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0">
        <f>tblTargetStatus[[#This Row],[CompletedDependencyCount]]</f>
        <v>0</v>
      </c>
      <c r="K480" t="b">
        <f>tblTargetStatus[[#This Row],[CompletedDependencies]]=tblTargetStatus[[#This Row],[TotalDependencies]]</f>
        <v>0</v>
      </c>
      <c r="L480">
        <f>tblTargetStatus[[#This Row],[TotalDependencies]]-tblTargetStatus[[#This Row],[CompletedDependencies]]</f>
        <v>1</v>
      </c>
      <c r="M480" t="str" cm="1">
        <f t="array" ref="M4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quest.green_potion.accepted</v>
      </c>
      <c r="N480" t="str">
        <f>IF(tblTargetStatus[[#This Row],[FirstMissingDependencyID]]="","",_xlfn.XLOOKUP(tblTargetStatus[[#This Row],[FirstMissingDependencyID]],tblTargets[TargetID],tblTargets[DisplayName],tblTargetStatus[[#This Row],[FirstMissingDependencyID]]))</f>
        <v>Green Potion Accepted</v>
      </c>
      <c r="O480" s="2" t="str" cm="1">
        <f t="array" ref="O4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0" t="str">
        <f>IF(tblTargetStatus[[#This Row],[FirstMissingDependencyID]]="","",_xlfn.XLOOKUP(tblTargetStatus[[#This Row],[FirstMissingDependencyID]],tblTargetStatus[TargetID],tblTargetStatus[Status],""))</f>
        <v>BLOCKED</v>
      </c>
      <c r="Q480" t="str">
        <f>IF(
 tblTargetStatus[[#This Row],[Status]]&lt;&gt;"BLOCKED",
 tblTargetStatus[[#This Row],[Status]],
 IF(
  AND(
   tblTargetStatus[[#This Row],[MissingDependencies]]=1,
   tblTargetStatus[[#This Row],[FirstMissingStatus]]="READY"
  ),
  "ONE AWAY",
  "BLOCKED"
 )
)</f>
        <v>BLOCKED</v>
      </c>
      <c r="R480">
        <f>IF(
 OR(
  tblTargetStatus[[#This Row],[StateType]]="CHARACTER",
  RIGHT(tblTargetStatus[[#This Row],[TargetID]],6)=".maxed"
 ),
 0,
 _xlfn.LET(
  _xlpm.sort,
   _xlfn.XLOOKUP(
    tblTargetStatus[[#This Row],[TargetID]],
    tblChecklist[TargetID],
    tblChecklist[PlayerSort],
    0
   ),
  IF(_xlpm.sort=0,500,_xlpm.sort)
 )
)</f>
        <v>500</v>
      </c>
      <c r="S480" t="str" cm="1">
        <f t="array" ref="S48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Green Potion Finished</v>
      </c>
      <c r="T480" t="str">
        <f>_xlfn.XLOOKUP(tblTargetStatus[[#This Row],[TargetID]],tblTargets[TargetID],tblTargets[CompletionMethod],"")</f>
        <v>PLAYER</v>
      </c>
      <c r="U480" t="b">
        <f>COUNTIF(
    tblCost[TargetID],
    tblTargetStatus[[#This Row],[TargetID]]
)&gt;0</f>
        <v>0</v>
      </c>
      <c r="V480" s="81" t="str">
        <f>IF(tblTargetStatus[[#This Row],[HasCost]]=FALSE,
"N/A",
_xlfn.XLOOKUP(
tblTargetStatus[[#This Row],[TargetID]],
tblCost[TargetID],
tblCost[FundingPercent],
""
)
)</f>
        <v>N/A</v>
      </c>
      <c r="W480" t="str">
        <f>IF(
COUNTIF(tblCost[TargetID],tblTargetStatus[[#This Row],[TargetID]])=0,
"",
_xlfn.XLOOKUP(
tblTargetStatus[[#This Row],[TargetID]],
tblCost[TargetID],
tblCost[RemainingRequirements],
""
)
)</f>
        <v/>
      </c>
      <c r="X480" s="79" t="str">
        <f>IF(tblTargetStatus[[#This Row],[HasCost]]=FALSE,"N/A",_xlfn.XLOOKUP(
tblTargetStatus[[#This Row],[TargetID]],
tblCost[TargetID],
tblCost[TargetFunded],
TRUE
))</f>
        <v>N/A</v>
      </c>
      <c r="Y480" t="str" cm="1">
        <f t="array" ref="Y480">_xlfn.TEXTJOIN(
", ",
TRUE,
_xlfn._xlws.FILTER(
tblCost[ResourceID]&amp;": "&amp;tblCost[QuantityRequired],
(tblCost[TargetID]=tblTargetStatus[[#This Row],[TargetID]])*
(tblCost[PlayerPaid]=FALSE),
""
)
)</f>
        <v/>
      </c>
      <c r="Z4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0" t="str" cm="1">
        <f t="array" ref="AA48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1" spans="1:27">
      <c r="A481" t="s">
        <v>5671</v>
      </c>
      <c r="B481" t="str">
        <f>_xlfn.XLOOKUP(tblTargetStatus[[#This Row],[TargetID]],tblTargets[TargetID],tblTargets[DisplayName],"")</f>
        <v>Obtain the Red Diamond in 6A</v>
      </c>
      <c r="C481" t="str">
        <f>IF(tblTargetStatus[[#This Row],[PlayerCompleted]],"COMPLETED",IF(tblTargetStatus[[#This Row],[MissingDependencies]]=0,"READY","BLOCKED"))</f>
        <v>BLOCKED</v>
      </c>
      <c r="D4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1" t="str">
        <f>_xlfn.XLOOKUP(tblTargetStatus[[#This Row],[TargetID]],tblTargets[TargetID],tblTargets[TargetType],"")</f>
        <v>STATE</v>
      </c>
      <c r="F481" t="str">
        <f>_xlfn.XLOOKUP(tblTargetStatus[[#This Row],[TargetID]],tblTargets[TargetID],tblTargets[StateType])</f>
        <v>OBTAIN</v>
      </c>
      <c r="G481">
        <f>_xlfn.LET(
_xlpm.id,tblTargetStatus[[#This Row],[TargetID]],
_xlpm.depCount,COUNTIF(tblDependencies[TargetID],_xlpm.id),
_xlpm.objCount,COUNTIF(tblQuestObjectives[QuestTargetID],_xlpm.id),
_xlpm.depCount+_xlpm.objCount
)</f>
        <v>1</v>
      </c>
      <c r="H481">
        <f>tblTargetStatus[[#This Row],[DependencyCount]]</f>
        <v>1</v>
      </c>
      <c r="I481" cm="1">
        <f t="array" ref="I4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1">
        <f>tblTargetStatus[[#This Row],[CompletedDependencyCount]]</f>
        <v>0</v>
      </c>
      <c r="K481" t="b">
        <f>tblTargetStatus[[#This Row],[CompletedDependencies]]=tblTargetStatus[[#This Row],[TotalDependencies]]</f>
        <v>0</v>
      </c>
      <c r="L481">
        <f>tblTargetStatus[[#This Row],[TotalDependencies]]-tblTargetStatus[[#This Row],[CompletedDependencies]]</f>
        <v>1</v>
      </c>
      <c r="M481" t="str" cm="1">
        <f t="array" ref="M4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quest.the_ordinary_days_of_an_adventurer_chapter_3.accepted</v>
      </c>
      <c r="N481" t="str">
        <f>IF(tblTargetStatus[[#This Row],[FirstMissingDependencyID]]="","",_xlfn.XLOOKUP(tblTargetStatus[[#This Row],[FirstMissingDependencyID]],tblTargets[TargetID],tblTargets[DisplayName],tblTargetStatus[[#This Row],[FirstMissingDependencyID]]))</f>
        <v>The Ordinary Days of an Adventurer Chapter 3 Accepted</v>
      </c>
      <c r="O481" s="2" t="str" cm="1">
        <f t="array" ref="O4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1" t="str">
        <f>IF(tblTargetStatus[[#This Row],[FirstMissingDependencyID]]="","",_xlfn.XLOOKUP(tblTargetStatus[[#This Row],[FirstMissingDependencyID]],tblTargetStatus[TargetID],tblTargetStatus[Status],""))</f>
        <v>BLOCKED</v>
      </c>
      <c r="Q481" t="str">
        <f>IF(
 tblTargetStatus[[#This Row],[Status]]&lt;&gt;"BLOCKED",
 tblTargetStatus[[#This Row],[Status]],
 IF(
  AND(
   tblTargetStatus[[#This Row],[MissingDependencies]]=1,
   tblTargetStatus[[#This Row],[FirstMissingStatus]]="READY"
  ),
  "ONE AWAY",
  "BLOCKED"
 )
)</f>
        <v>BLOCKED</v>
      </c>
      <c r="R481">
        <f>IF(
 OR(
  tblTargetStatus[[#This Row],[StateType]]="CHARACTER",
  RIGHT(tblTargetStatus[[#This Row],[TargetID]],6)=".maxed"
 ),
 0,
 _xlfn.LET(
  _xlpm.sort,
   _xlfn.XLOOKUP(
    tblTargetStatus[[#This Row],[TargetID]],
    tblChecklist[TargetID],
    tblChecklist[PlayerSort],
    0
   ),
  IF(_xlpm.sort=0,500,_xlpm.sort)
 )
)</f>
        <v>500</v>
      </c>
      <c r="S481" t="str" cm="1">
        <f t="array" ref="S48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3 Finished</v>
      </c>
      <c r="T481" t="str">
        <f>_xlfn.XLOOKUP(tblTargetStatus[[#This Row],[TargetID]],tblTargets[TargetID],tblTargets[CompletionMethod],"")</f>
        <v>PLAYER</v>
      </c>
      <c r="U481" t="b">
        <f>COUNTIF(
    tblCost[TargetID],
    tblTargetStatus[[#This Row],[TargetID]]
)&gt;0</f>
        <v>0</v>
      </c>
      <c r="V481" s="81" t="str">
        <f>IF(tblTargetStatus[[#This Row],[HasCost]]=FALSE,
"N/A",
_xlfn.XLOOKUP(
tblTargetStatus[[#This Row],[TargetID]],
tblCost[TargetID],
tblCost[FundingPercent],
""
)
)</f>
        <v>N/A</v>
      </c>
      <c r="W481" t="str">
        <f>IF(
COUNTIF(tblCost[TargetID],tblTargetStatus[[#This Row],[TargetID]])=0,
"",
_xlfn.XLOOKUP(
tblTargetStatus[[#This Row],[TargetID]],
tblCost[TargetID],
tblCost[RemainingRequirements],
""
)
)</f>
        <v/>
      </c>
      <c r="X481" s="79" t="str">
        <f>IF(tblTargetStatus[[#This Row],[HasCost]]=FALSE,"N/A",_xlfn.XLOOKUP(
tblTargetStatus[[#This Row],[TargetID]],
tblCost[TargetID],
tblCost[TargetFunded],
TRUE
))</f>
        <v>N/A</v>
      </c>
      <c r="Y481" t="str" cm="1">
        <f t="array" ref="Y481">_xlfn.TEXTJOIN(
", ",
TRUE,
_xlfn._xlws.FILTER(
tblCost[ResourceID]&amp;": "&amp;tblCost[QuantityRequired],
(tblCost[TargetID]=tblTargetStatus[[#This Row],[TargetID]])*
(tblCost[PlayerPaid]=FALSE),
""
)
)</f>
        <v/>
      </c>
      <c r="Z4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1" t="str" cm="1">
        <f t="array" ref="AA48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2" spans="1:27">
      <c r="A482" t="s">
        <v>5672</v>
      </c>
      <c r="B482" t="str">
        <f>_xlfn.XLOOKUP(tblTargetStatus[[#This Row],[TargetID]],tblTargets[TargetID],tblTargets[DisplayName],"")</f>
        <v>Obtain the Red Diamond in 6B</v>
      </c>
      <c r="C482" t="str">
        <f>IF(tblTargetStatus[[#This Row],[PlayerCompleted]],"COMPLETED",IF(tblTargetStatus[[#This Row],[MissingDependencies]]=0,"READY","BLOCKED"))</f>
        <v>BLOCKED</v>
      </c>
      <c r="D4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2" t="str">
        <f>_xlfn.XLOOKUP(tblTargetStatus[[#This Row],[TargetID]],tblTargets[TargetID],tblTargets[TargetType],"")</f>
        <v>STATE</v>
      </c>
      <c r="F482" t="str">
        <f>_xlfn.XLOOKUP(tblTargetStatus[[#This Row],[TargetID]],tblTargets[TargetID],tblTargets[StateType])</f>
        <v>OBTAIN</v>
      </c>
      <c r="G482">
        <f>_xlfn.LET(
_xlpm.id,tblTargetStatus[[#This Row],[TargetID]],
_xlpm.depCount,COUNTIF(tblDependencies[TargetID],_xlpm.id),
_xlpm.objCount,COUNTIF(tblQuestObjectives[QuestTargetID],_xlpm.id),
_xlpm.depCount+_xlpm.objCount
)</f>
        <v>1</v>
      </c>
      <c r="H482">
        <f>tblTargetStatus[[#This Row],[DependencyCount]]</f>
        <v>1</v>
      </c>
      <c r="I482" cm="1">
        <f t="array" ref="I4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2">
        <f>tblTargetStatus[[#This Row],[CompletedDependencyCount]]</f>
        <v>0</v>
      </c>
      <c r="K482" t="b">
        <f>tblTargetStatus[[#This Row],[CompletedDependencies]]=tblTargetStatus[[#This Row],[TotalDependencies]]</f>
        <v>0</v>
      </c>
      <c r="L482">
        <f>tblTargetStatus[[#This Row],[TotalDependencies]]-tblTargetStatus[[#This Row],[CompletedDependencies]]</f>
        <v>1</v>
      </c>
      <c r="M482" t="str" cm="1">
        <f t="array" ref="M4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quest.the_ordinary_days_of_an_adventurer_chapter_3.accepted</v>
      </c>
      <c r="N482" t="str">
        <f>IF(tblTargetStatus[[#This Row],[FirstMissingDependencyID]]="","",_xlfn.XLOOKUP(tblTargetStatus[[#This Row],[FirstMissingDependencyID]],tblTargets[TargetID],tblTargets[DisplayName],tblTargetStatus[[#This Row],[FirstMissingDependencyID]]))</f>
        <v>The Ordinary Days of an Adventurer Chapter 3 Accepted</v>
      </c>
      <c r="O482" s="2" t="str" cm="1">
        <f t="array" ref="O4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2" t="str">
        <f>IF(tblTargetStatus[[#This Row],[FirstMissingDependencyID]]="","",_xlfn.XLOOKUP(tblTargetStatus[[#This Row],[FirstMissingDependencyID]],tblTargetStatus[TargetID],tblTargetStatus[Status],""))</f>
        <v>BLOCKED</v>
      </c>
      <c r="Q482" t="str">
        <f>IF(
 tblTargetStatus[[#This Row],[Status]]&lt;&gt;"BLOCKED",
 tblTargetStatus[[#This Row],[Status]],
 IF(
  AND(
   tblTargetStatus[[#This Row],[MissingDependencies]]=1,
   tblTargetStatus[[#This Row],[FirstMissingStatus]]="READY"
  ),
  "ONE AWAY",
  "BLOCKED"
 )
)</f>
        <v>BLOCKED</v>
      </c>
      <c r="R482">
        <f>IF(
 OR(
  tblTargetStatus[[#This Row],[StateType]]="CHARACTER",
  RIGHT(tblTargetStatus[[#This Row],[TargetID]],6)=".maxed"
 ),
 0,
 _xlfn.LET(
  _xlpm.sort,
   _xlfn.XLOOKUP(
    tblTargetStatus[[#This Row],[TargetID]],
    tblChecklist[TargetID],
    tblChecklist[PlayerSort],
    0
   ),
  IF(_xlpm.sort=0,500,_xlpm.sort)
 )
)</f>
        <v>500</v>
      </c>
      <c r="S482" t="str" cm="1">
        <f t="array" ref="S48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3 Finished</v>
      </c>
      <c r="T482" t="str">
        <f>_xlfn.XLOOKUP(tblTargetStatus[[#This Row],[TargetID]],tblTargets[TargetID],tblTargets[CompletionMethod],"")</f>
        <v>PLAYER</v>
      </c>
      <c r="U482" t="b">
        <f>COUNTIF(
    tblCost[TargetID],
    tblTargetStatus[[#This Row],[TargetID]]
)&gt;0</f>
        <v>0</v>
      </c>
      <c r="V482" s="81" t="str">
        <f>IF(tblTargetStatus[[#This Row],[HasCost]]=FALSE,
"N/A",
_xlfn.XLOOKUP(
tblTargetStatus[[#This Row],[TargetID]],
tblCost[TargetID],
tblCost[FundingPercent],
""
)
)</f>
        <v>N/A</v>
      </c>
      <c r="W482" t="str">
        <f>IF(
COUNTIF(tblCost[TargetID],tblTargetStatus[[#This Row],[TargetID]])=0,
"",
_xlfn.XLOOKUP(
tblTargetStatus[[#This Row],[TargetID]],
tblCost[TargetID],
tblCost[RemainingRequirements],
""
)
)</f>
        <v/>
      </c>
      <c r="X482" s="79" t="str">
        <f>IF(tblTargetStatus[[#This Row],[HasCost]]=FALSE,"N/A",_xlfn.XLOOKUP(
tblTargetStatus[[#This Row],[TargetID]],
tblCost[TargetID],
tblCost[TargetFunded],
TRUE
))</f>
        <v>N/A</v>
      </c>
      <c r="Y482" t="str" cm="1">
        <f t="array" ref="Y482">_xlfn.TEXTJOIN(
", ",
TRUE,
_xlfn._xlws.FILTER(
tblCost[ResourceID]&amp;": "&amp;tblCost[QuantityRequired],
(tblCost[TargetID]=tblTargetStatus[[#This Row],[TargetID]])*
(tblCost[PlayerPaid]=FALSE),
""
)
)</f>
        <v/>
      </c>
      <c r="Z4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2" t="str" cm="1">
        <f t="array" ref="AA48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3" spans="1:27">
      <c r="A483" t="s">
        <v>5673</v>
      </c>
      <c r="B483" t="str">
        <f>_xlfn.XLOOKUP(tblTargetStatus[[#This Row],[TargetID]],tblTargets[TargetID],tblTargets[DisplayName],"")</f>
        <v>Obtain the Red Diamond in 6C</v>
      </c>
      <c r="C483" t="str">
        <f>IF(tblTargetStatus[[#This Row],[PlayerCompleted]],"COMPLETED",IF(tblTargetStatus[[#This Row],[MissingDependencies]]=0,"READY","BLOCKED"))</f>
        <v>BLOCKED</v>
      </c>
      <c r="D4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3" t="str">
        <f>_xlfn.XLOOKUP(tblTargetStatus[[#This Row],[TargetID]],tblTargets[TargetID],tblTargets[TargetType],"")</f>
        <v>STATE</v>
      </c>
      <c r="F483" t="str">
        <f>_xlfn.XLOOKUP(tblTargetStatus[[#This Row],[TargetID]],tblTargets[TargetID],tblTargets[StateType])</f>
        <v>OBTAIN</v>
      </c>
      <c r="G483">
        <f>_xlfn.LET(
_xlpm.id,tblTargetStatus[[#This Row],[TargetID]],
_xlpm.depCount,COUNTIF(tblDependencies[TargetID],_xlpm.id),
_xlpm.objCount,COUNTIF(tblQuestObjectives[QuestTargetID],_xlpm.id),
_xlpm.depCount+_xlpm.objCount
)</f>
        <v>1</v>
      </c>
      <c r="H483">
        <f>tblTargetStatus[[#This Row],[DependencyCount]]</f>
        <v>1</v>
      </c>
      <c r="I483" cm="1">
        <f t="array" ref="I4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3">
        <f>tblTargetStatus[[#This Row],[CompletedDependencyCount]]</f>
        <v>0</v>
      </c>
      <c r="K483" t="b">
        <f>tblTargetStatus[[#This Row],[CompletedDependencies]]=tblTargetStatus[[#This Row],[TotalDependencies]]</f>
        <v>0</v>
      </c>
      <c r="L483">
        <f>tblTargetStatus[[#This Row],[TotalDependencies]]-tblTargetStatus[[#This Row],[CompletedDependencies]]</f>
        <v>1</v>
      </c>
      <c r="M483" t="str" cm="1">
        <f t="array" ref="M4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quest.the_ordinary_days_of_an_adventurer_chapter_3.accepted</v>
      </c>
      <c r="N483" t="str">
        <f>IF(tblTargetStatus[[#This Row],[FirstMissingDependencyID]]="","",_xlfn.XLOOKUP(tblTargetStatus[[#This Row],[FirstMissingDependencyID]],tblTargets[TargetID],tblTargets[DisplayName],tblTargetStatus[[#This Row],[FirstMissingDependencyID]]))</f>
        <v>The Ordinary Days of an Adventurer Chapter 3 Accepted</v>
      </c>
      <c r="O483" s="2" t="str" cm="1">
        <f t="array" ref="O4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3" t="str">
        <f>IF(tblTargetStatus[[#This Row],[FirstMissingDependencyID]]="","",_xlfn.XLOOKUP(tblTargetStatus[[#This Row],[FirstMissingDependencyID]],tblTargetStatus[TargetID],tblTargetStatus[Status],""))</f>
        <v>BLOCKED</v>
      </c>
      <c r="Q483" t="str">
        <f>IF(
 tblTargetStatus[[#This Row],[Status]]&lt;&gt;"BLOCKED",
 tblTargetStatus[[#This Row],[Status]],
 IF(
  AND(
   tblTargetStatus[[#This Row],[MissingDependencies]]=1,
   tblTargetStatus[[#This Row],[FirstMissingStatus]]="READY"
  ),
  "ONE AWAY",
  "BLOCKED"
 )
)</f>
        <v>BLOCKED</v>
      </c>
      <c r="R483">
        <f>IF(
 OR(
  tblTargetStatus[[#This Row],[StateType]]="CHARACTER",
  RIGHT(tblTargetStatus[[#This Row],[TargetID]],6)=".maxed"
 ),
 0,
 _xlfn.LET(
  _xlpm.sort,
   _xlfn.XLOOKUP(
    tblTargetStatus[[#This Row],[TargetID]],
    tblChecklist[TargetID],
    tblChecklist[PlayerSort],
    0
   ),
  IF(_xlpm.sort=0,500,_xlpm.sort)
 )
)</f>
        <v>500</v>
      </c>
      <c r="S483" t="str" cm="1">
        <f t="array" ref="S48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3 Finished</v>
      </c>
      <c r="T483" t="str">
        <f>_xlfn.XLOOKUP(tblTargetStatus[[#This Row],[TargetID]],tblTargets[TargetID],tblTargets[CompletionMethod],"")</f>
        <v>PLAYER</v>
      </c>
      <c r="U483" t="b">
        <f>COUNTIF(
    tblCost[TargetID],
    tblTargetStatus[[#This Row],[TargetID]]
)&gt;0</f>
        <v>0</v>
      </c>
      <c r="V483" s="81" t="str">
        <f>IF(tblTargetStatus[[#This Row],[HasCost]]=FALSE,
"N/A",
_xlfn.XLOOKUP(
tblTargetStatus[[#This Row],[TargetID]],
tblCost[TargetID],
tblCost[FundingPercent],
""
)
)</f>
        <v>N/A</v>
      </c>
      <c r="W483" t="str">
        <f>IF(
COUNTIF(tblCost[TargetID],tblTargetStatus[[#This Row],[TargetID]])=0,
"",
_xlfn.XLOOKUP(
tblTargetStatus[[#This Row],[TargetID]],
tblCost[TargetID],
tblCost[RemainingRequirements],
""
)
)</f>
        <v/>
      </c>
      <c r="X483" s="79" t="str">
        <f>IF(tblTargetStatus[[#This Row],[HasCost]]=FALSE,"N/A",_xlfn.XLOOKUP(
tblTargetStatus[[#This Row],[TargetID]],
tblCost[TargetID],
tblCost[TargetFunded],
TRUE
))</f>
        <v>N/A</v>
      </c>
      <c r="Y483" t="str" cm="1">
        <f t="array" ref="Y483">_xlfn.TEXTJOIN(
", ",
TRUE,
_xlfn._xlws.FILTER(
tblCost[ResourceID]&amp;": "&amp;tblCost[QuantityRequired],
(tblCost[TargetID]=tblTargetStatus[[#This Row],[TargetID]])*
(tblCost[PlayerPaid]=FALSE),
""
)
)</f>
        <v/>
      </c>
      <c r="Z4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3" t="str" cm="1">
        <f t="array" ref="AA48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4" spans="1:27">
      <c r="A484" t="s">
        <v>5678</v>
      </c>
      <c r="B484" t="str">
        <f>_xlfn.XLOOKUP(tblTargetStatus[[#This Row],[TargetID]],tblTargets[TargetID],tblTargets[DisplayName],"")</f>
        <v>Craft Shield 4+</v>
      </c>
      <c r="C484" t="str">
        <f>IF(tblTargetStatus[[#This Row],[PlayerCompleted]],"COMPLETED",IF(tblTargetStatus[[#This Row],[MissingDependencies]]=0,"READY","BLOCKED"))</f>
        <v>BLOCKED</v>
      </c>
      <c r="D4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4" t="str">
        <f>_xlfn.XLOOKUP(tblTargetStatus[[#This Row],[TargetID]],tblTargets[TargetID],tblTargets[TargetType],"")</f>
        <v>STATE</v>
      </c>
      <c r="F484" t="str">
        <f>_xlfn.XLOOKUP(tblTargetStatus[[#This Row],[TargetID]],tblTargets[TargetID],tblTargets[StateType])</f>
        <v>OBTAIN</v>
      </c>
      <c r="G484">
        <f>_xlfn.LET(
_xlpm.id,tblTargetStatus[[#This Row],[TargetID]],
_xlpm.depCount,COUNTIF(tblDependencies[TargetID],_xlpm.id),
_xlpm.objCount,COUNTIF(tblQuestObjectives[QuestTargetID],_xlpm.id),
_xlpm.depCount+_xlpm.objCount
)</f>
        <v>1</v>
      </c>
      <c r="H484">
        <f>tblTargetStatus[[#This Row],[DependencyCount]]</f>
        <v>1</v>
      </c>
      <c r="I484" cm="1">
        <f t="array" ref="I4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4">
        <f>tblTargetStatus[[#This Row],[CompletedDependencyCount]]</f>
        <v>0</v>
      </c>
      <c r="K484" t="b">
        <f>tblTargetStatus[[#This Row],[CompletedDependencies]]=tblTargetStatus[[#This Row],[TotalDependencies]]</f>
        <v>0</v>
      </c>
      <c r="L484">
        <f>tblTargetStatus[[#This Row],[TotalDependencies]]-tblTargetStatus[[#This Row],[CompletedDependencies]]</f>
        <v>1</v>
      </c>
      <c r="M484" t="str" cm="1">
        <f t="array" ref="M4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tech.workshop.shield_for_a_hero_lvl_4+</v>
      </c>
      <c r="N484" t="str">
        <f>IF(tblTargetStatus[[#This Row],[FirstMissingDependencyID]]="","",_xlfn.XLOOKUP(tblTargetStatus[[#This Row],[FirstMissingDependencyID]],tblTargets[TargetID],tblTargets[DisplayName],tblTargetStatus[[#This Row],[FirstMissingDependencyID]]))</f>
        <v>Workshop - Shield For A Hero Lvl 4+</v>
      </c>
      <c r="O484" s="2" t="str" cm="1">
        <f t="array" ref="O4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4" t="str">
        <f>IF(tblTargetStatus[[#This Row],[FirstMissingDependencyID]]="","",_xlfn.XLOOKUP(tblTargetStatus[[#This Row],[FirstMissingDependencyID]],tblTargetStatus[TargetID],tblTargetStatus[Status],""))</f>
        <v>BLOCKED</v>
      </c>
      <c r="Q484" t="str">
        <f>IF(
 tblTargetStatus[[#This Row],[Status]]&lt;&gt;"BLOCKED",
 tblTargetStatus[[#This Row],[Status]],
 IF(
  AND(
   tblTargetStatus[[#This Row],[MissingDependencies]]=1,
   tblTargetStatus[[#This Row],[FirstMissingStatus]]="READY"
  ),
  "ONE AWAY",
  "BLOCKED"
 )
)</f>
        <v>BLOCKED</v>
      </c>
      <c r="R484">
        <f>IF(
 OR(
  tblTargetStatus[[#This Row],[StateType]]="CHARACTER",
  RIGHT(tblTargetStatus[[#This Row],[TargetID]],6)=".maxed"
 ),
 0,
 _xlfn.LET(
  _xlpm.sort,
   _xlfn.XLOOKUP(
    tblTargetStatus[[#This Row],[TargetID]],
    tblChecklist[TargetID],
    tblChecklist[PlayerSort],
    0
   ),
  IF(_xlpm.sort=0,500,_xlpm.sort)
 )
)</f>
        <v>500</v>
      </c>
      <c r="S484" t="str" cm="1">
        <f t="array" ref="S48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4 Finished</v>
      </c>
      <c r="T484" t="str">
        <f>_xlfn.XLOOKUP(tblTargetStatus[[#This Row],[TargetID]],tblTargets[TargetID],tblTargets[CompletionMethod],"")</f>
        <v>PLAYER</v>
      </c>
      <c r="U484" t="b">
        <f>COUNTIF(
    tblCost[TargetID],
    tblTargetStatus[[#This Row],[TargetID]]
)&gt;0</f>
        <v>0</v>
      </c>
      <c r="V484" s="81" t="str">
        <f>IF(tblTargetStatus[[#This Row],[HasCost]]=FALSE,
"N/A",
_xlfn.XLOOKUP(
tblTargetStatus[[#This Row],[TargetID]],
tblCost[TargetID],
tblCost[FundingPercent],
""
)
)</f>
        <v>N/A</v>
      </c>
      <c r="W484" t="str">
        <f>IF(
COUNTIF(tblCost[TargetID],tblTargetStatus[[#This Row],[TargetID]])=0,
"",
_xlfn.XLOOKUP(
tblTargetStatus[[#This Row],[TargetID]],
tblCost[TargetID],
tblCost[RemainingRequirements],
""
)
)</f>
        <v/>
      </c>
      <c r="X484" s="79" t="str">
        <f>IF(tblTargetStatus[[#This Row],[HasCost]]=FALSE,"N/A",_xlfn.XLOOKUP(
tblTargetStatus[[#This Row],[TargetID]],
tblCost[TargetID],
tblCost[TargetFunded],
TRUE
))</f>
        <v>N/A</v>
      </c>
      <c r="Y484" t="str" cm="1">
        <f t="array" ref="Y484">_xlfn.TEXTJOIN(
", ",
TRUE,
_xlfn._xlws.FILTER(
tblCost[ResourceID]&amp;": "&amp;tblCost[QuantityRequired],
(tblCost[TargetID]=tblTargetStatus[[#This Row],[TargetID]])*
(tblCost[PlayerPaid]=FALSE),
""
)
)</f>
        <v/>
      </c>
      <c r="Z4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4" t="str" cm="1">
        <f t="array" ref="AA48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5" spans="1:27">
      <c r="A485" t="s">
        <v>5723</v>
      </c>
      <c r="B485" t="str">
        <f>_xlfn.XLOOKUP(tblTargetStatus[[#This Row],[TargetID]],tblTargets[TargetID],tblTargets[DisplayName],"")</f>
        <v>Obtain Ship in a bottle</v>
      </c>
      <c r="C485" t="str">
        <f>IF(tblTargetStatus[[#This Row],[PlayerCompleted]],"COMPLETED",IF(tblTargetStatus[[#This Row],[MissingDependencies]]=0,"READY","BLOCKED"))</f>
        <v>BLOCKED</v>
      </c>
      <c r="D4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5" t="str">
        <f>_xlfn.XLOOKUP(tblTargetStatus[[#This Row],[TargetID]],tblTargets[TargetID],tblTargets[TargetType],"")</f>
        <v>STATE</v>
      </c>
      <c r="F485" t="str">
        <f>_xlfn.XLOOKUP(tblTargetStatus[[#This Row],[TargetID]],tblTargets[TargetID],tblTargets[StateType])</f>
        <v>OBTAIN</v>
      </c>
      <c r="G485">
        <f>_xlfn.LET(
_xlpm.id,tblTargetStatus[[#This Row],[TargetID]],
_xlpm.depCount,COUNTIF(tblDependencies[TargetID],_xlpm.id),
_xlpm.objCount,COUNTIF(tblQuestObjectives[QuestTargetID],_xlpm.id),
_xlpm.depCount+_xlpm.objCount
)</f>
        <v>1</v>
      </c>
      <c r="H485">
        <f>tblTargetStatus[[#This Row],[DependencyCount]]</f>
        <v>1</v>
      </c>
      <c r="I485" cm="1">
        <f t="array" ref="I4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5">
        <f>tblTargetStatus[[#This Row],[CompletedDependencyCount]]</f>
        <v>0</v>
      </c>
      <c r="K485" t="b">
        <f>tblTargetStatus[[#This Row],[CompletedDependencies]]=tblTargetStatus[[#This Row],[TotalDependencies]]</f>
        <v>0</v>
      </c>
      <c r="L485">
        <f>tblTargetStatus[[#This Row],[TotalDependencies]]-tblTargetStatus[[#This Row],[CompletedDependencies]]</f>
        <v>1</v>
      </c>
      <c r="M485" t="str" cm="1">
        <f t="array" ref="M4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quest.shoguns_katana_chapter_4.accepted</v>
      </c>
      <c r="N485" t="str">
        <f>IF(tblTargetStatus[[#This Row],[FirstMissingDependencyID]]="","",_xlfn.XLOOKUP(tblTargetStatus[[#This Row],[FirstMissingDependencyID]],tblTargets[TargetID],tblTargets[DisplayName],tblTargetStatus[[#This Row],[FirstMissingDependencyID]]))</f>
        <v>Shogun's Katana Chapter 4 Accepted</v>
      </c>
      <c r="O485" s="2" t="str" cm="1">
        <f t="array" ref="O4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5" t="str">
        <f>IF(tblTargetStatus[[#This Row],[FirstMissingDependencyID]]="","",_xlfn.XLOOKUP(tblTargetStatus[[#This Row],[FirstMissingDependencyID]],tblTargetStatus[TargetID],tblTargetStatus[Status],""))</f>
        <v>BLOCKED</v>
      </c>
      <c r="Q485" t="str">
        <f>IF(
 tblTargetStatus[[#This Row],[Status]]&lt;&gt;"BLOCKED",
 tblTargetStatus[[#This Row],[Status]],
 IF(
  AND(
   tblTargetStatus[[#This Row],[MissingDependencies]]=1,
   tblTargetStatus[[#This Row],[FirstMissingStatus]]="READY"
  ),
  "ONE AWAY",
  "BLOCKED"
 )
)</f>
        <v>BLOCKED</v>
      </c>
      <c r="R485">
        <f>IF(
 OR(
  tblTargetStatus[[#This Row],[StateType]]="CHARACTER",
  RIGHT(tblTargetStatus[[#This Row],[TargetID]],6)=".maxed"
 ),
 0,
 _xlfn.LET(
  _xlpm.sort,
   _xlfn.XLOOKUP(
    tblTargetStatus[[#This Row],[TargetID]],
    tblChecklist[TargetID],
    tblChecklist[PlayerSort],
    0
   ),
  IF(_xlpm.sort=0,500,_xlpm.sort)
 )
)</f>
        <v>500</v>
      </c>
      <c r="S485" t="str" cm="1">
        <f t="array" ref="S48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4 Finished</v>
      </c>
      <c r="T485" t="str">
        <f>_xlfn.XLOOKUP(tblTargetStatus[[#This Row],[TargetID]],tblTargets[TargetID],tblTargets[CompletionMethod],"")</f>
        <v>PLAYER</v>
      </c>
      <c r="U485" t="b">
        <f>COUNTIF(
    tblCost[TargetID],
    tblTargetStatus[[#This Row],[TargetID]]
)&gt;0</f>
        <v>0</v>
      </c>
      <c r="V485" s="81" t="str">
        <f>IF(tblTargetStatus[[#This Row],[HasCost]]=FALSE,
"N/A",
_xlfn.XLOOKUP(
tblTargetStatus[[#This Row],[TargetID]],
tblCost[TargetID],
tblCost[FundingPercent],
""
)
)</f>
        <v>N/A</v>
      </c>
      <c r="W485" t="str">
        <f>IF(
COUNTIF(tblCost[TargetID],tblTargetStatus[[#This Row],[TargetID]])=0,
"",
_xlfn.XLOOKUP(
tblTargetStatus[[#This Row],[TargetID]],
tblCost[TargetID],
tblCost[RemainingRequirements],
""
)
)</f>
        <v/>
      </c>
      <c r="X485" s="79" t="str">
        <f>IF(tblTargetStatus[[#This Row],[HasCost]]=FALSE,"N/A",_xlfn.XLOOKUP(
tblTargetStatus[[#This Row],[TargetID]],
tblCost[TargetID],
tblCost[TargetFunded],
TRUE
))</f>
        <v>N/A</v>
      </c>
      <c r="Y485" t="str" cm="1">
        <f t="array" ref="Y485">_xlfn.TEXTJOIN(
", ",
TRUE,
_xlfn._xlws.FILTER(
tblCost[ResourceID]&amp;": "&amp;tblCost[QuantityRequired],
(tblCost[TargetID]=tblTargetStatus[[#This Row],[TargetID]])*
(tblCost[PlayerPaid]=FALSE),
""
)
)</f>
        <v/>
      </c>
      <c r="Z4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5" t="str" cm="1">
        <f t="array" ref="AA48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6" spans="1:27">
      <c r="A486" t="s">
        <v>5731</v>
      </c>
      <c r="B486" t="str">
        <f>_xlfn.XLOOKUP(tblTargetStatus[[#This Row],[TargetID]],tblTargets[TargetID],tblTargets[DisplayName],"")</f>
        <v>Obtain Shogun's Katana</v>
      </c>
      <c r="C486" t="str">
        <f>IF(tblTargetStatus[[#This Row],[PlayerCompleted]],"COMPLETED",IF(tblTargetStatus[[#This Row],[MissingDependencies]]=0,"READY","BLOCKED"))</f>
        <v>BLOCKED</v>
      </c>
      <c r="D4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6" t="str">
        <f>_xlfn.XLOOKUP(tblTargetStatus[[#This Row],[TargetID]],tblTargets[TargetID],tblTargets[TargetType],"")</f>
        <v>STATE</v>
      </c>
      <c r="F486" t="str">
        <f>_xlfn.XLOOKUP(tblTargetStatus[[#This Row],[TargetID]],tblTargets[TargetID],tblTargets[StateType])</f>
        <v>OBTAIN</v>
      </c>
      <c r="G486">
        <f>_xlfn.LET(
_xlpm.id,tblTargetStatus[[#This Row],[TargetID]],
_xlpm.depCount,COUNTIF(tblDependencies[TargetID],_xlpm.id),
_xlpm.objCount,COUNTIF(tblQuestObjectives[QuestTargetID],_xlpm.id),
_xlpm.depCount+_xlpm.objCount
)</f>
        <v>1</v>
      </c>
      <c r="H486">
        <f>tblTargetStatus[[#This Row],[DependencyCount]]</f>
        <v>1</v>
      </c>
      <c r="I486" cm="1">
        <f t="array" ref="I4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6">
        <f>tblTargetStatus[[#This Row],[CompletedDependencyCount]]</f>
        <v>0</v>
      </c>
      <c r="K486" t="b">
        <f>tblTargetStatus[[#This Row],[CompletedDependencies]]=tblTargetStatus[[#This Row],[TotalDependencies]]</f>
        <v>0</v>
      </c>
      <c r="L486">
        <f>tblTargetStatus[[#This Row],[TotalDependencies]]-tblTargetStatus[[#This Row],[CompletedDependencies]]</f>
        <v>1</v>
      </c>
      <c r="M486" t="str" cm="1">
        <f t="array" ref="M4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quest.shoguns_katana_chapter_7.finished</v>
      </c>
      <c r="N486" t="str">
        <f>IF(tblTargetStatus[[#This Row],[FirstMissingDependencyID]]="","",_xlfn.XLOOKUP(tblTargetStatus[[#This Row],[FirstMissingDependencyID]],tblTargets[TargetID],tblTargets[DisplayName],tblTargetStatus[[#This Row],[FirstMissingDependencyID]]))</f>
        <v>Shogun's Katana Chapter 7 Finished</v>
      </c>
      <c r="O486" s="2" t="str" cm="1">
        <f t="array" ref="O4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6" t="str">
        <f>IF(tblTargetStatus[[#This Row],[FirstMissingDependencyID]]="","",_xlfn.XLOOKUP(tblTargetStatus[[#This Row],[FirstMissingDependencyID]],tblTargetStatus[TargetID],tblTargetStatus[Status],""))</f>
        <v>BLOCKED</v>
      </c>
      <c r="Q486" t="str">
        <f>IF(
 tblTargetStatus[[#This Row],[Status]]&lt;&gt;"BLOCKED",
 tblTargetStatus[[#This Row],[Status]],
 IF(
  AND(
   tblTargetStatus[[#This Row],[MissingDependencies]]=1,
   tblTargetStatus[[#This Row],[FirstMissingStatus]]="READY"
  ),
  "ONE AWAY",
  "BLOCKED"
 )
)</f>
        <v>BLOCKED</v>
      </c>
      <c r="R486">
        <f>IF(
 OR(
  tblTargetStatus[[#This Row],[StateType]]="CHARACTER",
  RIGHT(tblTargetStatus[[#This Row],[TargetID]],6)=".maxed"
 ),
 0,
 _xlfn.LET(
  _xlpm.sort,
   _xlfn.XLOOKUP(
    tblTargetStatus[[#This Row],[TargetID]],
    tblChecklist[TargetID],
    tblChecklist[PlayerSort],
    0
   ),
  IF(_xlpm.sort=0,500,_xlpm.sort)
 )
)</f>
        <v>500</v>
      </c>
      <c r="S486" t="str" cm="1">
        <f t="array" ref="S48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7 Finished</v>
      </c>
      <c r="T486" t="str">
        <f>_xlfn.XLOOKUP(tblTargetStatus[[#This Row],[TargetID]],tblTargets[TargetID],tblTargets[CompletionMethod],"")</f>
        <v>PLAYER</v>
      </c>
      <c r="U486" t="b">
        <f>COUNTIF(
    tblCost[TargetID],
    tblTargetStatus[[#This Row],[TargetID]]
)&gt;0</f>
        <v>0</v>
      </c>
      <c r="V486" s="81" t="str">
        <f>IF(tblTargetStatus[[#This Row],[HasCost]]=FALSE,
"N/A",
_xlfn.XLOOKUP(
tblTargetStatus[[#This Row],[TargetID]],
tblCost[TargetID],
tblCost[FundingPercent],
""
)
)</f>
        <v>N/A</v>
      </c>
      <c r="W486" t="str">
        <f>IF(
COUNTIF(tblCost[TargetID],tblTargetStatus[[#This Row],[TargetID]])=0,
"",
_xlfn.XLOOKUP(
tblTargetStatus[[#This Row],[TargetID]],
tblCost[TargetID],
tblCost[RemainingRequirements],
""
)
)</f>
        <v/>
      </c>
      <c r="X486" s="79" t="str">
        <f>IF(tblTargetStatus[[#This Row],[HasCost]]=FALSE,"N/A",_xlfn.XLOOKUP(
tblTargetStatus[[#This Row],[TargetID]],
tblCost[TargetID],
tblCost[TargetFunded],
TRUE
))</f>
        <v>N/A</v>
      </c>
      <c r="Y486" t="str" cm="1">
        <f t="array" ref="Y486">_xlfn.TEXTJOIN(
", ",
TRUE,
_xlfn._xlws.FILTER(
tblCost[ResourceID]&amp;": "&amp;tblCost[QuantityRequired],
(tblCost[TargetID]=tblTargetStatus[[#This Row],[TargetID]])*
(tblCost[PlayerPaid]=FALSE),
""
)
)</f>
        <v/>
      </c>
      <c r="Z4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6" t="str" cm="1">
        <f t="array" ref="AA48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7" spans="1:27">
      <c r="A487" t="s">
        <v>5725</v>
      </c>
      <c r="B487" t="str">
        <f>_xlfn.XLOOKUP(tblTargetStatus[[#This Row],[TargetID]],tblTargets[TargetID],tblTargets[DisplayName],"")</f>
        <v>Purchase Smuggler's map for 10 spices</v>
      </c>
      <c r="C487" t="str">
        <f>IF(tblTargetStatus[[#This Row],[PlayerCompleted]],"COMPLETED",IF(tblTargetStatus[[#This Row],[MissingDependencies]]=0,"READY","BLOCKED"))</f>
        <v>BLOCKED</v>
      </c>
      <c r="D4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7" t="str">
        <f>_xlfn.XLOOKUP(tblTargetStatus[[#This Row],[TargetID]],tblTargets[TargetID],tblTargets[TargetType],"")</f>
        <v>STATE</v>
      </c>
      <c r="F487" t="str">
        <f>_xlfn.XLOOKUP(tblTargetStatus[[#This Row],[TargetID]],tblTargets[TargetID],tblTargets[StateType])</f>
        <v>OBTAIN</v>
      </c>
      <c r="G487">
        <f>_xlfn.LET(
_xlpm.id,tblTargetStatus[[#This Row],[TargetID]],
_xlpm.depCount,COUNTIF(tblDependencies[TargetID],_xlpm.id),
_xlpm.objCount,COUNTIF(tblQuestObjectives[QuestTargetID],_xlpm.id),
_xlpm.depCount+_xlpm.objCount
)</f>
        <v>1</v>
      </c>
      <c r="H487">
        <f>tblTargetStatus[[#This Row],[DependencyCount]]</f>
        <v>1</v>
      </c>
      <c r="I487" cm="1">
        <f t="array" ref="I4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7">
        <f>tblTargetStatus[[#This Row],[CompletedDependencyCount]]</f>
        <v>0</v>
      </c>
      <c r="K487" t="b">
        <f>tblTargetStatus[[#This Row],[CompletedDependencies]]=tblTargetStatus[[#This Row],[TotalDependencies]]</f>
        <v>0</v>
      </c>
      <c r="L487">
        <f>tblTargetStatus[[#This Row],[TotalDependencies]]-tblTargetStatus[[#This Row],[CompletedDependencies]]</f>
        <v>1</v>
      </c>
      <c r="M487" t="str" cm="1">
        <f t="array" ref="M4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quest.shoguns_katana_chapter_4.accepted</v>
      </c>
      <c r="N487" t="str">
        <f>IF(tblTargetStatus[[#This Row],[FirstMissingDependencyID]]="","",_xlfn.XLOOKUP(tblTargetStatus[[#This Row],[FirstMissingDependencyID]],tblTargets[TargetID],tblTargets[DisplayName],tblTargetStatus[[#This Row],[FirstMissingDependencyID]]))</f>
        <v>Shogun's Katana Chapter 4 Accepted</v>
      </c>
      <c r="O487" s="2" t="str" cm="1">
        <f t="array" ref="O4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7" t="str">
        <f>IF(tblTargetStatus[[#This Row],[FirstMissingDependencyID]]="","",_xlfn.XLOOKUP(tblTargetStatus[[#This Row],[FirstMissingDependencyID]],tblTargetStatus[TargetID],tblTargetStatus[Status],""))</f>
        <v>BLOCKED</v>
      </c>
      <c r="Q487" t="str">
        <f>IF(
 tblTargetStatus[[#This Row],[Status]]&lt;&gt;"BLOCKED",
 tblTargetStatus[[#This Row],[Status]],
 IF(
  AND(
   tblTargetStatus[[#This Row],[MissingDependencies]]=1,
   tblTargetStatus[[#This Row],[FirstMissingStatus]]="READY"
  ),
  "ONE AWAY",
  "BLOCKED"
 )
)</f>
        <v>BLOCKED</v>
      </c>
      <c r="R487">
        <f>IF(
 OR(
  tblTargetStatus[[#This Row],[StateType]]="CHARACTER",
  RIGHT(tblTargetStatus[[#This Row],[TargetID]],6)=".maxed"
 ),
 0,
 _xlfn.LET(
  _xlpm.sort,
   _xlfn.XLOOKUP(
    tblTargetStatus[[#This Row],[TargetID]],
    tblChecklist[TargetID],
    tblChecklist[PlayerSort],
    0
   ),
  IF(_xlpm.sort=0,500,_xlpm.sort)
 )
)</f>
        <v>500</v>
      </c>
      <c r="S487" t="str" cm="1">
        <f t="array" ref="S48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4 Finished</v>
      </c>
      <c r="T487" t="str">
        <f>_xlfn.XLOOKUP(tblTargetStatus[[#This Row],[TargetID]],tblTargets[TargetID],tblTargets[CompletionMethod],"")</f>
        <v>PLAYER</v>
      </c>
      <c r="U487" t="b">
        <f>COUNTIF(
    tblCost[TargetID],
    tblTargetStatus[[#This Row],[TargetID]]
)&gt;0</f>
        <v>0</v>
      </c>
      <c r="V487" s="81" t="str">
        <f>IF(tblTargetStatus[[#This Row],[HasCost]]=FALSE,
"N/A",
_xlfn.XLOOKUP(
tblTargetStatus[[#This Row],[TargetID]],
tblCost[TargetID],
tblCost[FundingPercent],
""
)
)</f>
        <v>N/A</v>
      </c>
      <c r="W487" t="str">
        <f>IF(
COUNTIF(tblCost[TargetID],tblTargetStatus[[#This Row],[TargetID]])=0,
"",
_xlfn.XLOOKUP(
tblTargetStatus[[#This Row],[TargetID]],
tblCost[TargetID],
tblCost[RemainingRequirements],
""
)
)</f>
        <v/>
      </c>
      <c r="X487" s="79" t="str">
        <f>IF(tblTargetStatus[[#This Row],[HasCost]]=FALSE,"N/A",_xlfn.XLOOKUP(
tblTargetStatus[[#This Row],[TargetID]],
tblCost[TargetID],
tblCost[TargetFunded],
TRUE
))</f>
        <v>N/A</v>
      </c>
      <c r="Y487" t="str" cm="1">
        <f t="array" ref="Y487">_xlfn.TEXTJOIN(
", ",
TRUE,
_xlfn._xlws.FILTER(
tblCost[ResourceID]&amp;": "&amp;tblCost[QuantityRequired],
(tblCost[TargetID]=tblTargetStatus[[#This Row],[TargetID]])*
(tblCost[PlayerPaid]=FALSE),
""
)
)</f>
        <v/>
      </c>
      <c r="Z4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7" t="str" cm="1">
        <f t="array" ref="AA48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8" spans="1:27">
      <c r="A488" t="s">
        <v>5724</v>
      </c>
      <c r="B488" t="str">
        <f>_xlfn.XLOOKUP(tblTargetStatus[[#This Row],[TargetID]],tblTargets[TargetID],tblTargets[DisplayName],"")</f>
        <v>Purchase Smuggler's map for 100 coffee beans</v>
      </c>
      <c r="C488" t="str">
        <f>IF(tblTargetStatus[[#This Row],[PlayerCompleted]],"COMPLETED",IF(tblTargetStatus[[#This Row],[MissingDependencies]]=0,"READY","BLOCKED"))</f>
        <v>BLOCKED</v>
      </c>
      <c r="D4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8" t="str">
        <f>_xlfn.XLOOKUP(tblTargetStatus[[#This Row],[TargetID]],tblTargets[TargetID],tblTargets[TargetType],"")</f>
        <v>STATE</v>
      </c>
      <c r="F488" t="str">
        <f>_xlfn.XLOOKUP(tblTargetStatus[[#This Row],[TargetID]],tblTargets[TargetID],tblTargets[StateType])</f>
        <v>OBTAIN</v>
      </c>
      <c r="G488">
        <f>_xlfn.LET(
_xlpm.id,tblTargetStatus[[#This Row],[TargetID]],
_xlpm.depCount,COUNTIF(tblDependencies[TargetID],_xlpm.id),
_xlpm.objCount,COUNTIF(tblQuestObjectives[QuestTargetID],_xlpm.id),
_xlpm.depCount+_xlpm.objCount
)</f>
        <v>1</v>
      </c>
      <c r="H488">
        <f>tblTargetStatus[[#This Row],[DependencyCount]]</f>
        <v>1</v>
      </c>
      <c r="I488" cm="1">
        <f t="array" ref="I4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8">
        <f>tblTargetStatus[[#This Row],[CompletedDependencyCount]]</f>
        <v>0</v>
      </c>
      <c r="K488" t="b">
        <f>tblTargetStatus[[#This Row],[CompletedDependencies]]=tblTargetStatus[[#This Row],[TotalDependencies]]</f>
        <v>0</v>
      </c>
      <c r="L488">
        <f>tblTargetStatus[[#This Row],[TotalDependencies]]-tblTargetStatus[[#This Row],[CompletedDependencies]]</f>
        <v>1</v>
      </c>
      <c r="M488" t="str" cm="1">
        <f t="array" ref="M4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quest.shoguns_katana_chapter_3.accepted</v>
      </c>
      <c r="N488" t="str">
        <f>IF(tblTargetStatus[[#This Row],[FirstMissingDependencyID]]="","",_xlfn.XLOOKUP(tblTargetStatus[[#This Row],[FirstMissingDependencyID]],tblTargets[TargetID],tblTargets[DisplayName],tblTargetStatus[[#This Row],[FirstMissingDependencyID]]))</f>
        <v>Shogun's Katana Chapter 3 Accepted</v>
      </c>
      <c r="O488" s="2" t="str" cm="1">
        <f t="array" ref="O4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8" t="str">
        <f>IF(tblTargetStatus[[#This Row],[FirstMissingDependencyID]]="","",_xlfn.XLOOKUP(tblTargetStatus[[#This Row],[FirstMissingDependencyID]],tblTargetStatus[TargetID],tblTargetStatus[Status],""))</f>
        <v>BLOCKED</v>
      </c>
      <c r="Q488" t="str">
        <f>IF(
 tblTargetStatus[[#This Row],[Status]]&lt;&gt;"BLOCKED",
 tblTargetStatus[[#This Row],[Status]],
 IF(
  AND(
   tblTargetStatus[[#This Row],[MissingDependencies]]=1,
   tblTargetStatus[[#This Row],[FirstMissingStatus]]="READY"
  ),
  "ONE AWAY",
  "BLOCKED"
 )
)</f>
        <v>BLOCKED</v>
      </c>
      <c r="R488">
        <f>IF(
 OR(
  tblTargetStatus[[#This Row],[StateType]]="CHARACTER",
  RIGHT(tblTargetStatus[[#This Row],[TargetID]],6)=".maxed"
 ),
 0,
 _xlfn.LET(
  _xlpm.sort,
   _xlfn.XLOOKUP(
    tblTargetStatus[[#This Row],[TargetID]],
    tblChecklist[TargetID],
    tblChecklist[PlayerSort],
    0
   ),
  IF(_xlpm.sort=0,500,_xlpm.sort)
 )
)</f>
        <v>500</v>
      </c>
      <c r="S488" t="str" cm="1">
        <f t="array" ref="S48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Obtain Pirate hat, Shogun's Katana Chapter 3 Finished</v>
      </c>
      <c r="T488" t="str">
        <f>_xlfn.XLOOKUP(tblTargetStatus[[#This Row],[TargetID]],tblTargets[TargetID],tblTargets[CompletionMethod],"")</f>
        <v>PLAYER</v>
      </c>
      <c r="U488" t="b">
        <f>COUNTIF(
    tblCost[TargetID],
    tblTargetStatus[[#This Row],[TargetID]]
)&gt;0</f>
        <v>0</v>
      </c>
      <c r="V488" s="81" t="str">
        <f>IF(tblTargetStatus[[#This Row],[HasCost]]=FALSE,
"N/A",
_xlfn.XLOOKUP(
tblTargetStatus[[#This Row],[TargetID]],
tblCost[TargetID],
tblCost[FundingPercent],
""
)
)</f>
        <v>N/A</v>
      </c>
      <c r="W488" t="str">
        <f>IF(
COUNTIF(tblCost[TargetID],tblTargetStatus[[#This Row],[TargetID]])=0,
"",
_xlfn.XLOOKUP(
tblTargetStatus[[#This Row],[TargetID]],
tblCost[TargetID],
tblCost[RemainingRequirements],
""
)
)</f>
        <v/>
      </c>
      <c r="X488" s="79" t="str">
        <f>IF(tblTargetStatus[[#This Row],[HasCost]]=FALSE,"N/A",_xlfn.XLOOKUP(
tblTargetStatus[[#This Row],[TargetID]],
tblCost[TargetID],
tblCost[TargetFunded],
TRUE
))</f>
        <v>N/A</v>
      </c>
      <c r="Y488" t="str" cm="1">
        <f t="array" ref="Y488">_xlfn.TEXTJOIN(
", ",
TRUE,
_xlfn._xlws.FILTER(
tblCost[ResourceID]&amp;": "&amp;tblCost[QuantityRequired],
(tblCost[TargetID]=tblTargetStatus[[#This Row],[TargetID]])*
(tblCost[PlayerPaid]=FALSE),
""
)
)</f>
        <v/>
      </c>
      <c r="Z4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8" t="str" cm="1">
        <f t="array" ref="AA48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89" spans="1:27">
      <c r="A489" t="s">
        <v>5726</v>
      </c>
      <c r="B489" t="str">
        <f>_xlfn.XLOOKUP(tblTargetStatus[[#This Row],[TargetID]],tblTargets[TargetID],tblTargets[DisplayName],"")</f>
        <v>Purchase Smuggler's map for 15 pearl</v>
      </c>
      <c r="C489" t="str">
        <f>IF(tblTargetStatus[[#This Row],[PlayerCompleted]],"COMPLETED",IF(tblTargetStatus[[#This Row],[MissingDependencies]]=0,"READY","BLOCKED"))</f>
        <v>BLOCKED</v>
      </c>
      <c r="D4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9" t="str">
        <f>_xlfn.XLOOKUP(tblTargetStatus[[#This Row],[TargetID]],tblTargets[TargetID],tblTargets[TargetType],"")</f>
        <v>STATE</v>
      </c>
      <c r="F489" t="str">
        <f>_xlfn.XLOOKUP(tblTargetStatus[[#This Row],[TargetID]],tblTargets[TargetID],tblTargets[StateType])</f>
        <v>OBTAIN</v>
      </c>
      <c r="G489">
        <f>_xlfn.LET(
_xlpm.id,tblTargetStatus[[#This Row],[TargetID]],
_xlpm.depCount,COUNTIF(tblDependencies[TargetID],_xlpm.id),
_xlpm.objCount,COUNTIF(tblQuestObjectives[QuestTargetID],_xlpm.id),
_xlpm.depCount+_xlpm.objCount
)</f>
        <v>1</v>
      </c>
      <c r="H489">
        <f>tblTargetStatus[[#This Row],[DependencyCount]]</f>
        <v>1</v>
      </c>
      <c r="I489" cm="1">
        <f t="array" ref="I4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9">
        <f>tblTargetStatus[[#This Row],[CompletedDependencyCount]]</f>
        <v>0</v>
      </c>
      <c r="K489" t="b">
        <f>tblTargetStatus[[#This Row],[CompletedDependencies]]=tblTargetStatus[[#This Row],[TotalDependencies]]</f>
        <v>0</v>
      </c>
      <c r="L489">
        <f>tblTargetStatus[[#This Row],[TotalDependencies]]-tblTargetStatus[[#This Row],[CompletedDependencies]]</f>
        <v>1</v>
      </c>
      <c r="M489" t="str" cm="1">
        <f t="array" ref="M4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quest.shoguns_katana_chapter_5.accepted</v>
      </c>
      <c r="N489" t="str">
        <f>IF(tblTargetStatus[[#This Row],[FirstMissingDependencyID]]="","",_xlfn.XLOOKUP(tblTargetStatus[[#This Row],[FirstMissingDependencyID]],tblTargets[TargetID],tblTargets[DisplayName],tblTargetStatus[[#This Row],[FirstMissingDependencyID]]))</f>
        <v>Shogun's Katana Chapter 5 Accepted</v>
      </c>
      <c r="O489" s="2" t="str" cm="1">
        <f t="array" ref="O4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9" t="str">
        <f>IF(tblTargetStatus[[#This Row],[FirstMissingDependencyID]]="","",_xlfn.XLOOKUP(tblTargetStatus[[#This Row],[FirstMissingDependencyID]],tblTargetStatus[TargetID],tblTargetStatus[Status],""))</f>
        <v>BLOCKED</v>
      </c>
      <c r="Q489" t="str">
        <f>IF(
 tblTargetStatus[[#This Row],[Status]]&lt;&gt;"BLOCKED",
 tblTargetStatus[[#This Row],[Status]],
 IF(
  AND(
   tblTargetStatus[[#This Row],[MissingDependencies]]=1,
   tblTargetStatus[[#This Row],[FirstMissingStatus]]="READY"
  ),
  "ONE AWAY",
  "BLOCKED"
 )
)</f>
        <v>BLOCKED</v>
      </c>
      <c r="R489">
        <f>IF(
 OR(
  tblTargetStatus[[#This Row],[StateType]]="CHARACTER",
  RIGHT(tblTargetStatus[[#This Row],[TargetID]],6)=".maxed"
 ),
 0,
 _xlfn.LET(
  _xlpm.sort,
   _xlfn.XLOOKUP(
    tblTargetStatus[[#This Row],[TargetID]],
    tblChecklist[TargetID],
    tblChecklist[PlayerSort],
    0
   ),
  IF(_xlpm.sort=0,500,_xlpm.sort)
 )
)</f>
        <v>500</v>
      </c>
      <c r="S489" t="str" cm="1">
        <f t="array" ref="S48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Obtain Black Pearl, Shogun's Katana Chapter 5 Finished</v>
      </c>
      <c r="T489" t="str">
        <f>_xlfn.XLOOKUP(tblTargetStatus[[#This Row],[TargetID]],tblTargets[TargetID],tblTargets[CompletionMethod],"")</f>
        <v>PLAYER</v>
      </c>
      <c r="U489" t="b">
        <f>COUNTIF(
    tblCost[TargetID],
    tblTargetStatus[[#This Row],[TargetID]]
)&gt;0</f>
        <v>0</v>
      </c>
      <c r="V489" s="81" t="str">
        <f>IF(tblTargetStatus[[#This Row],[HasCost]]=FALSE,
"N/A",
_xlfn.XLOOKUP(
tblTargetStatus[[#This Row],[TargetID]],
tblCost[TargetID],
tblCost[FundingPercent],
""
)
)</f>
        <v>N/A</v>
      </c>
      <c r="W489" t="str">
        <f>IF(
COUNTIF(tblCost[TargetID],tblTargetStatus[[#This Row],[TargetID]])=0,
"",
_xlfn.XLOOKUP(
tblTargetStatus[[#This Row],[TargetID]],
tblCost[TargetID],
tblCost[RemainingRequirements],
""
)
)</f>
        <v/>
      </c>
      <c r="X489" s="79" t="str">
        <f>IF(tblTargetStatus[[#This Row],[HasCost]]=FALSE,"N/A",_xlfn.XLOOKUP(
tblTargetStatus[[#This Row],[TargetID]],
tblCost[TargetID],
tblCost[TargetFunded],
TRUE
))</f>
        <v>N/A</v>
      </c>
      <c r="Y489" t="str" cm="1">
        <f t="array" ref="Y489">_xlfn.TEXTJOIN(
", ",
TRUE,
_xlfn._xlws.FILTER(
tblCost[ResourceID]&amp;": "&amp;tblCost[QuantityRequired],
(tblCost[TargetID]=tblTargetStatus[[#This Row],[TargetID]])*
(tblCost[PlayerPaid]=FALSE),
""
)
)</f>
        <v/>
      </c>
      <c r="Z4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9" t="str" cm="1">
        <f t="array" ref="AA48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0" spans="1:27">
      <c r="A490" t="s">
        <v>5630</v>
      </c>
      <c r="B490" t="str">
        <f>_xlfn.XLOOKUP(tblTargetStatus[[#This Row],[TargetID]],tblTargets[TargetID],tblTargets[DisplayName],"")</f>
        <v>Obtain Spices from Spice Island</v>
      </c>
      <c r="C490" t="str">
        <f>IF(tblTargetStatus[[#This Row],[PlayerCompleted]],"COMPLETED",IF(tblTargetStatus[[#This Row],[MissingDependencies]]=0,"READY","BLOCKED"))</f>
        <v>BLOCKED</v>
      </c>
      <c r="D4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0" t="str">
        <f>_xlfn.XLOOKUP(tblTargetStatus[[#This Row],[TargetID]],tblTargets[TargetID],tblTargets[TargetType],"")</f>
        <v>STATE</v>
      </c>
      <c r="F490" t="str">
        <f>_xlfn.XLOOKUP(tblTargetStatus[[#This Row],[TargetID]],tblTargets[TargetID],tblTargets[StateType])</f>
        <v>OBTAIN</v>
      </c>
      <c r="G490">
        <f>_xlfn.LET(
_xlpm.id,tblTargetStatus[[#This Row],[TargetID]],
_xlpm.depCount,COUNTIF(tblDependencies[TargetID],_xlpm.id),
_xlpm.objCount,COUNTIF(tblQuestObjectives[QuestTargetID],_xlpm.id),
_xlpm.depCount+_xlpm.objCount
)</f>
        <v>1</v>
      </c>
      <c r="H490">
        <f>tblTargetStatus[[#This Row],[DependencyCount]]</f>
        <v>1</v>
      </c>
      <c r="I490" cm="1">
        <f t="array" ref="I4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0">
        <f>tblTargetStatus[[#This Row],[CompletedDependencyCount]]</f>
        <v>0</v>
      </c>
      <c r="K490" t="b">
        <f>tblTargetStatus[[#This Row],[CompletedDependencies]]=tblTargetStatus[[#This Row],[TotalDependencies]]</f>
        <v>0</v>
      </c>
      <c r="L490">
        <f>tblTargetStatus[[#This Row],[TotalDependencies]]-tblTargetStatus[[#This Row],[CompletedDependencies]]</f>
        <v>1</v>
      </c>
      <c r="M490" t="str" cm="1">
        <f t="array" ref="M4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quest.spicy_odyssey.accepted</v>
      </c>
      <c r="N490" t="str">
        <f>IF(tblTargetStatus[[#This Row],[FirstMissingDependencyID]]="","",_xlfn.XLOOKUP(tblTargetStatus[[#This Row],[FirstMissingDependencyID]],tblTargets[TargetID],tblTargets[DisplayName],tblTargetStatus[[#This Row],[FirstMissingDependencyID]]))</f>
        <v>Spicy Odyssey Accepted</v>
      </c>
      <c r="O490" s="2" t="str" cm="1">
        <f t="array" ref="O4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0" t="str">
        <f>IF(tblTargetStatus[[#This Row],[FirstMissingDependencyID]]="","",_xlfn.XLOOKUP(tblTargetStatus[[#This Row],[FirstMissingDependencyID]],tblTargetStatus[TargetID],tblTargetStatus[Status],""))</f>
        <v>BLOCKED</v>
      </c>
      <c r="Q490" t="str">
        <f>IF(
 tblTargetStatus[[#This Row],[Status]]&lt;&gt;"BLOCKED",
 tblTargetStatus[[#This Row],[Status]],
 IF(
  AND(
   tblTargetStatus[[#This Row],[MissingDependencies]]=1,
   tblTargetStatus[[#This Row],[FirstMissingStatus]]="READY"
  ),
  "ONE AWAY",
  "BLOCKED"
 )
)</f>
        <v>BLOCKED</v>
      </c>
      <c r="R490">
        <f>IF(
 OR(
  tblTargetStatus[[#This Row],[StateType]]="CHARACTER",
  RIGHT(tblTargetStatus[[#This Row],[TargetID]],6)=".maxed"
 ),
 0,
 _xlfn.LET(
  _xlpm.sort,
   _xlfn.XLOOKUP(
    tblTargetStatus[[#This Row],[TargetID]],
    tblChecklist[TargetID],
    tblChecklist[PlayerSort],
    0
   ),
  IF(_xlpm.sort=0,500,_xlpm.sort)
 )
)</f>
        <v>500</v>
      </c>
      <c r="S490" t="str" cm="1">
        <f t="array" ref="S49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Spicy Odyssey Finished</v>
      </c>
      <c r="T490" t="str">
        <f>_xlfn.XLOOKUP(tblTargetStatus[[#This Row],[TargetID]],tblTargets[TargetID],tblTargets[CompletionMethod],"")</f>
        <v>PLAYER</v>
      </c>
      <c r="U490" t="b">
        <f>COUNTIF(
    tblCost[TargetID],
    tblTargetStatus[[#This Row],[TargetID]]
)&gt;0</f>
        <v>0</v>
      </c>
      <c r="V490" s="81" t="str">
        <f>IF(tblTargetStatus[[#This Row],[HasCost]]=FALSE,
"N/A",
_xlfn.XLOOKUP(
tblTargetStatus[[#This Row],[TargetID]],
tblCost[TargetID],
tblCost[FundingPercent],
""
)
)</f>
        <v>N/A</v>
      </c>
      <c r="W490" t="str">
        <f>IF(
COUNTIF(tblCost[TargetID],tblTargetStatus[[#This Row],[TargetID]])=0,
"",
_xlfn.XLOOKUP(
tblTargetStatus[[#This Row],[TargetID]],
tblCost[TargetID],
tblCost[RemainingRequirements],
""
)
)</f>
        <v/>
      </c>
      <c r="X490" s="79" t="str">
        <f>IF(tblTargetStatus[[#This Row],[HasCost]]=FALSE,"N/A",_xlfn.XLOOKUP(
tblTargetStatus[[#This Row],[TargetID]],
tblCost[TargetID],
tblCost[TargetFunded],
TRUE
))</f>
        <v>N/A</v>
      </c>
      <c r="Y490" t="str" cm="1">
        <f t="array" ref="Y490">_xlfn.TEXTJOIN(
", ",
TRUE,
_xlfn._xlws.FILTER(
tblCost[ResourceID]&amp;": "&amp;tblCost[QuantityRequired],
(tblCost[TargetID]=tblTargetStatus[[#This Row],[TargetID]])*
(tblCost[PlayerPaid]=FALSE),
""
)
)</f>
        <v/>
      </c>
      <c r="Z4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0" t="str" cm="1">
        <f t="array" ref="AA49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1" spans="1:27">
      <c r="A491" t="s">
        <v>5715</v>
      </c>
      <c r="B491" t="str">
        <f>_xlfn.XLOOKUP(tblTargetStatus[[#This Row],[TargetID]],tblTargets[TargetID],tblTargets[DisplayName],"")</f>
        <v>Craft steamobile</v>
      </c>
      <c r="C491" t="str">
        <f>IF(tblTargetStatus[[#This Row],[PlayerCompleted]],"COMPLETED",IF(tblTargetStatus[[#This Row],[MissingDependencies]]=0,"READY","BLOCKED"))</f>
        <v>BLOCKED</v>
      </c>
      <c r="D4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1" t="str">
        <f>_xlfn.XLOOKUP(tblTargetStatus[[#This Row],[TargetID]],tblTargets[TargetID],tblTargets[TargetType],"")</f>
        <v>STATE</v>
      </c>
      <c r="F491" t="str">
        <f>_xlfn.XLOOKUP(tblTargetStatus[[#This Row],[TargetID]],tblTargets[TargetID],tblTargets[StateType])</f>
        <v>OBTAIN</v>
      </c>
      <c r="G491">
        <f>_xlfn.LET(
_xlpm.id,tblTargetStatus[[#This Row],[TargetID]],
_xlpm.depCount,COUNTIF(tblDependencies[TargetID],_xlpm.id),
_xlpm.objCount,COUNTIF(tblQuestObjectives[QuestTargetID],_xlpm.id),
_xlpm.depCount+_xlpm.objCount
)</f>
        <v>1</v>
      </c>
      <c r="H491">
        <f>tblTargetStatus[[#This Row],[DependencyCount]]</f>
        <v>1</v>
      </c>
      <c r="I491" cm="1">
        <f t="array" ref="I4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1">
        <f>tblTargetStatus[[#This Row],[CompletedDependencyCount]]</f>
        <v>0</v>
      </c>
      <c r="K491" t="b">
        <f>tblTargetStatus[[#This Row],[CompletedDependencies]]=tblTargetStatus[[#This Row],[TotalDependencies]]</f>
        <v>0</v>
      </c>
      <c r="L491">
        <f>tblTargetStatus[[#This Row],[TotalDependencies]]-tblTargetStatus[[#This Row],[CompletedDependencies]]</f>
        <v>1</v>
      </c>
      <c r="M491" t="str" cm="1">
        <f t="array" ref="M4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quest.quest_for_knowledge_chapter_5.accepted</v>
      </c>
      <c r="N491" t="str">
        <f>IF(tblTargetStatus[[#This Row],[FirstMissingDependencyID]]="","",_xlfn.XLOOKUP(tblTargetStatus[[#This Row],[FirstMissingDependencyID]],tblTargets[TargetID],tblTargets[DisplayName],tblTargetStatus[[#This Row],[FirstMissingDependencyID]]))</f>
        <v>Quest for Knowledge Chapter 5 Accepted</v>
      </c>
      <c r="O491" s="2" t="str" cm="1">
        <f t="array" ref="O4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1" t="str">
        <f>IF(tblTargetStatus[[#This Row],[FirstMissingDependencyID]]="","",_xlfn.XLOOKUP(tblTargetStatus[[#This Row],[FirstMissingDependencyID]],tblTargetStatus[TargetID],tblTargetStatus[Status],""))</f>
        <v>BLOCKED</v>
      </c>
      <c r="Q491" t="str">
        <f>IF(
 tblTargetStatus[[#This Row],[Status]]&lt;&gt;"BLOCKED",
 tblTargetStatus[[#This Row],[Status]],
 IF(
  AND(
   tblTargetStatus[[#This Row],[MissingDependencies]]=1,
   tblTargetStatus[[#This Row],[FirstMissingStatus]]="READY"
  ),
  "ONE AWAY",
  "BLOCKED"
 )
)</f>
        <v>BLOCKED</v>
      </c>
      <c r="R491">
        <f>IF(
 OR(
  tblTargetStatus[[#This Row],[StateType]]="CHARACTER",
  RIGHT(tblTargetStatus[[#This Row],[TargetID]],6)=".maxed"
 ),
 0,
 _xlfn.LET(
  _xlpm.sort,
   _xlfn.XLOOKUP(
    tblTargetStatus[[#This Row],[TargetID]],
    tblChecklist[TargetID],
    tblChecklist[PlayerSort],
    0
   ),
  IF(_xlpm.sort=0,500,_xlpm.sort)
 )
)</f>
        <v>500</v>
      </c>
      <c r="S491" t="str" cm="1">
        <f t="array" ref="S49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5 Finished</v>
      </c>
      <c r="T491" t="str">
        <f>_xlfn.XLOOKUP(tblTargetStatus[[#This Row],[TargetID]],tblTargets[TargetID],tblTargets[CompletionMethod],"")</f>
        <v>PLAYER</v>
      </c>
      <c r="U491" t="b">
        <f>COUNTIF(
    tblCost[TargetID],
    tblTargetStatus[[#This Row],[TargetID]]
)&gt;0</f>
        <v>0</v>
      </c>
      <c r="V491" s="81" t="str">
        <f>IF(tblTargetStatus[[#This Row],[HasCost]]=FALSE,
"N/A",
_xlfn.XLOOKUP(
tblTargetStatus[[#This Row],[TargetID]],
tblCost[TargetID],
tblCost[FundingPercent],
""
)
)</f>
        <v>N/A</v>
      </c>
      <c r="W491" t="str">
        <f>IF(
COUNTIF(tblCost[TargetID],tblTargetStatus[[#This Row],[TargetID]])=0,
"",
_xlfn.XLOOKUP(
tblTargetStatus[[#This Row],[TargetID]],
tblCost[TargetID],
tblCost[RemainingRequirements],
""
)
)</f>
        <v/>
      </c>
      <c r="X491" s="79" t="str">
        <f>IF(tblTargetStatus[[#This Row],[HasCost]]=FALSE,"N/A",_xlfn.XLOOKUP(
tblTargetStatus[[#This Row],[TargetID]],
tblCost[TargetID],
tblCost[TargetFunded],
TRUE
))</f>
        <v>N/A</v>
      </c>
      <c r="Y491" t="str" cm="1">
        <f t="array" ref="Y491">_xlfn.TEXTJOIN(
", ",
TRUE,
_xlfn._xlws.FILTER(
tblCost[ResourceID]&amp;": "&amp;tblCost[QuantityRequired],
(tblCost[TargetID]=tblTargetStatus[[#This Row],[TargetID]])*
(tblCost[PlayerPaid]=FALSE),
""
)
)</f>
        <v/>
      </c>
      <c r="Z4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1" t="str" cm="1">
        <f t="array" ref="AA49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2" spans="1:27">
      <c r="A492" t="s">
        <v>5794</v>
      </c>
      <c r="B492" t="str">
        <f>_xlfn.XLOOKUP(tblTargetStatus[[#This Row],[TargetID]],tblTargets[TargetID],tblTargets[DisplayName],"")</f>
        <v xml:space="preserve">Obtain Strawberry@F1 </v>
      </c>
      <c r="C492" t="str">
        <f>IF(tblTargetStatus[[#This Row],[PlayerCompleted]],"COMPLETED",IF(tblTargetStatus[[#This Row],[MissingDependencies]]=0,"READY","BLOCKED"))</f>
        <v>BLOCKED</v>
      </c>
      <c r="D4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2" t="str">
        <f>_xlfn.XLOOKUP(tblTargetStatus[[#This Row],[TargetID]],tblTargets[TargetID],tblTargets[TargetType],"")</f>
        <v>STATE</v>
      </c>
      <c r="F492" t="str">
        <f>_xlfn.XLOOKUP(tblTargetStatus[[#This Row],[TargetID]],tblTargets[TargetID],tblTargets[StateType])</f>
        <v>OBTAIN</v>
      </c>
      <c r="G492">
        <f>_xlfn.LET(
_xlpm.id,tblTargetStatus[[#This Row],[TargetID]],
_xlpm.depCount,COUNTIF(tblDependencies[TargetID],_xlpm.id),
_xlpm.objCount,COUNTIF(tblQuestObjectives[QuestTargetID],_xlpm.id),
_xlpm.depCount+_xlpm.objCount
)</f>
        <v>1</v>
      </c>
      <c r="H492">
        <f>tblTargetStatus[[#This Row],[DependencyCount]]</f>
        <v>1</v>
      </c>
      <c r="I492" cm="1">
        <f t="array" ref="I4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2">
        <f>tblTargetStatus[[#This Row],[CompletedDependencyCount]]</f>
        <v>0</v>
      </c>
      <c r="K492" t="b">
        <f>tblTargetStatus[[#This Row],[CompletedDependencies]]=tblTargetStatus[[#This Row],[TotalDependencies]]</f>
        <v>0</v>
      </c>
      <c r="L492">
        <f>tblTargetStatus[[#This Row],[TotalDependencies]]-tblTargetStatus[[#This Row],[CompletedDependencies]]</f>
        <v>1</v>
      </c>
      <c r="M492" t="str" cm="1">
        <f t="array" ref="M4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state.find_jade_gate_2c</v>
      </c>
      <c r="N492" t="str">
        <f>IF(tblTargetStatus[[#This Row],[FirstMissingDependencyID]]="","",_xlfn.XLOOKUP(tblTargetStatus[[#This Row],[FirstMissingDependencyID]],tblTargets[TargetID],tblTargets[DisplayName],tblTargetStatus[[#This Row],[FirstMissingDependencyID]]))</f>
        <v>Find Jade Gate in 2C</v>
      </c>
      <c r="O492" t="str" cm="1">
        <f t="array" ref="O4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2" t="str">
        <f>IF(tblTargetStatus[[#This Row],[FirstMissingDependencyID]]="","",_xlfn.XLOOKUP(tblTargetStatus[[#This Row],[FirstMissingDependencyID]],tblTargetStatus[TargetID],tblTargetStatus[Status],""))</f>
        <v>BLOCKED</v>
      </c>
      <c r="Q492" t="str">
        <f>IF(
 tblTargetStatus[[#This Row],[Status]]&lt;&gt;"BLOCKED",
 tblTargetStatus[[#This Row],[Status]],
 IF(
  AND(
   tblTargetStatus[[#This Row],[MissingDependencies]]=1,
   tblTargetStatus[[#This Row],[FirstMissingStatus]]="READY"
  ),
  "ONE AWAY",
  "BLOCKED"
 )
)</f>
        <v>BLOCKED</v>
      </c>
      <c r="R492">
        <f>IF(
 OR(
  tblTargetStatus[[#This Row],[StateType]]="CHARACTER",
  RIGHT(tblTargetStatus[[#This Row],[TargetID]],6)=".maxed"
 ),
 0,
 _xlfn.LET(
  _xlpm.sort,
   _xlfn.XLOOKUP(
    tblTargetStatus[[#This Row],[TargetID]],
    tblChecklist[TargetID],
    tblChecklist[PlayerSort],
    0
   ),
  IF(_xlpm.sort=0,500,_xlpm.sort)
 )
)</f>
        <v>500</v>
      </c>
      <c r="S492" t="str" cm="1">
        <f t="array" ref="S49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Food Stall - Jam</v>
      </c>
      <c r="T492" t="str">
        <f>_xlfn.XLOOKUP(tblTargetStatus[[#This Row],[TargetID]],tblTargets[TargetID],tblTargets[CompletionMethod],"")</f>
        <v>PLAYER</v>
      </c>
      <c r="U492" t="b">
        <f>COUNTIF(
    tblCost[TargetID],
    tblTargetStatus[[#This Row],[TargetID]]
)&gt;0</f>
        <v>0</v>
      </c>
      <c r="V492" s="81" t="str">
        <f>IF(tblTargetStatus[[#This Row],[HasCost]]=FALSE,
"N/A",
_xlfn.XLOOKUP(
tblTargetStatus[[#This Row],[TargetID]],
tblCost[TargetID],
tblCost[FundingPercent],
""
)
)</f>
        <v>N/A</v>
      </c>
      <c r="W492" t="str">
        <f>IF(
COUNTIF(tblCost[TargetID],tblTargetStatus[[#This Row],[TargetID]])=0,
"",
_xlfn.XLOOKUP(
tblTargetStatus[[#This Row],[TargetID]],
tblCost[TargetID],
tblCost[RemainingRequirements],
""
)
)</f>
        <v/>
      </c>
      <c r="X492" s="79" t="str">
        <f>IF(tblTargetStatus[[#This Row],[HasCost]]=FALSE,"N/A",_xlfn.XLOOKUP(
tblTargetStatus[[#This Row],[TargetID]],
tblCost[TargetID],
tblCost[TargetFunded],
TRUE
))</f>
        <v>N/A</v>
      </c>
      <c r="Y492" t="str" cm="1">
        <f t="array" ref="Y492">_xlfn.TEXTJOIN(
", ",
TRUE,
_xlfn._xlws.FILTER(
tblCost[ResourceID]&amp;": "&amp;tblCost[QuantityRequired],
(tblCost[TargetID]=tblTargetStatus[[#This Row],[TargetID]])*
(tblCost[PlayerPaid]=FALSE),
""
)
)</f>
        <v/>
      </c>
      <c r="Z4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2" t="str" cm="1">
        <f t="array" ref="AA49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3" spans="1:27">
      <c r="A493" t="s">
        <v>5638</v>
      </c>
      <c r="B493" t="str">
        <f>_xlfn.XLOOKUP(tblTargetStatus[[#This Row],[TargetID]],tblTargets[TargetID],tblTargets[DisplayName],"")</f>
        <v>Craft Sword for a Hero Lvl 4</v>
      </c>
      <c r="C493" t="str">
        <f>IF(tblTargetStatus[[#This Row],[PlayerCompleted]],"COMPLETED",IF(tblTargetStatus[[#This Row],[MissingDependencies]]=0,"READY","BLOCKED"))</f>
        <v>BLOCKED</v>
      </c>
      <c r="D4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3" t="str">
        <f>_xlfn.XLOOKUP(tblTargetStatus[[#This Row],[TargetID]],tblTargets[TargetID],tblTargets[TargetType],"")</f>
        <v>STATE</v>
      </c>
      <c r="F493" t="str">
        <f>_xlfn.XLOOKUP(tblTargetStatus[[#This Row],[TargetID]],tblTargets[TargetID],tblTargets[StateType])</f>
        <v>OBTAIN</v>
      </c>
      <c r="G493">
        <f>_xlfn.LET(
_xlpm.id,tblTargetStatus[[#This Row],[TargetID]],
_xlpm.depCount,COUNTIF(tblDependencies[TargetID],_xlpm.id),
_xlpm.objCount,COUNTIF(tblQuestObjectives[QuestTargetID],_xlpm.id),
_xlpm.depCount+_xlpm.objCount
)</f>
        <v>1</v>
      </c>
      <c r="H493">
        <f>tblTargetStatus[[#This Row],[DependencyCount]]</f>
        <v>1</v>
      </c>
      <c r="I493" cm="1">
        <f t="array" ref="I4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3">
        <f>tblTargetStatus[[#This Row],[CompletedDependencyCount]]</f>
        <v>0</v>
      </c>
      <c r="K493" t="b">
        <f>tblTargetStatus[[#This Row],[CompletedDependencies]]=tblTargetStatus[[#This Row],[TotalDependencies]]</f>
        <v>0</v>
      </c>
      <c r="L493">
        <f>tblTargetStatus[[#This Row],[TotalDependencies]]-tblTargetStatus[[#This Row],[CompletedDependencies]]</f>
        <v>1</v>
      </c>
      <c r="M493" t="str" cm="1">
        <f t="array" ref="M4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tech.smithy.sword_for_a_hero_lvl_4</v>
      </c>
      <c r="N493" t="str">
        <f>IF(tblTargetStatus[[#This Row],[FirstMissingDependencyID]]="","",_xlfn.XLOOKUP(tblTargetStatus[[#This Row],[FirstMissingDependencyID]],tblTargets[TargetID],tblTargets[DisplayName],tblTargetStatus[[#This Row],[FirstMissingDependencyID]]))</f>
        <v>Smithy - Sword For A Hero Lvl 4</v>
      </c>
      <c r="O493" s="2" t="str" cm="1">
        <f t="array" ref="O4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3" t="str">
        <f>IF(tblTargetStatus[[#This Row],[FirstMissingDependencyID]]="","",_xlfn.XLOOKUP(tblTargetStatus[[#This Row],[FirstMissingDependencyID]],tblTargetStatus[TargetID],tblTargetStatus[Status],""))</f>
        <v>BLOCKED</v>
      </c>
      <c r="Q493" t="str">
        <f>IF(
 tblTargetStatus[[#This Row],[Status]]&lt;&gt;"BLOCKED",
 tblTargetStatus[[#This Row],[Status]],
 IF(
  AND(
   tblTargetStatus[[#This Row],[MissingDependencies]]=1,
   tblTargetStatus[[#This Row],[FirstMissingStatus]]="READY"
  ),
  "ONE AWAY",
  "BLOCKED"
 )
)</f>
        <v>BLOCKED</v>
      </c>
      <c r="R493">
        <f>IF(
 OR(
  tblTargetStatus[[#This Row],[StateType]]="CHARACTER",
  RIGHT(tblTargetStatus[[#This Row],[TargetID]],6)=".maxed"
 ),
 0,
 _xlfn.LET(
  _xlpm.sort,
   _xlfn.XLOOKUP(
    tblTargetStatus[[#This Row],[TargetID]],
    tblChecklist[TargetID],
    tblChecklist[PlayerSort],
    0
   ),
  IF(_xlpm.sort=0,500,_xlpm.sort)
 )
)</f>
        <v>500</v>
      </c>
      <c r="S493" t="str" cm="1">
        <f t="array" ref="S49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Dragon teeth Finished</v>
      </c>
      <c r="T493" t="str">
        <f>_xlfn.XLOOKUP(tblTargetStatus[[#This Row],[TargetID]],tblTargets[TargetID],tblTargets[CompletionMethod],"")</f>
        <v>PLAYER</v>
      </c>
      <c r="U493" t="b">
        <f>COUNTIF(
    tblCost[TargetID],
    tblTargetStatus[[#This Row],[TargetID]]
)&gt;0</f>
        <v>0</v>
      </c>
      <c r="V493" s="81" t="str">
        <f>IF(tblTargetStatus[[#This Row],[HasCost]]=FALSE,
"N/A",
_xlfn.XLOOKUP(
tblTargetStatus[[#This Row],[TargetID]],
tblCost[TargetID],
tblCost[FundingPercent],
""
)
)</f>
        <v>N/A</v>
      </c>
      <c r="W493" t="str">
        <f>IF(
COUNTIF(tblCost[TargetID],tblTargetStatus[[#This Row],[TargetID]])=0,
"",
_xlfn.XLOOKUP(
tblTargetStatus[[#This Row],[TargetID]],
tblCost[TargetID],
tblCost[RemainingRequirements],
""
)
)</f>
        <v/>
      </c>
      <c r="X493" s="79" t="str">
        <f>IF(tblTargetStatus[[#This Row],[HasCost]]=FALSE,"N/A",_xlfn.XLOOKUP(
tblTargetStatus[[#This Row],[TargetID]],
tblCost[TargetID],
tblCost[TargetFunded],
TRUE
))</f>
        <v>N/A</v>
      </c>
      <c r="Y493" t="str" cm="1">
        <f t="array" ref="Y493">_xlfn.TEXTJOIN(
", ",
TRUE,
_xlfn._xlws.FILTER(
tblCost[ResourceID]&amp;": "&amp;tblCost[QuantityRequired],
(tblCost[TargetID]=tblTargetStatus[[#This Row],[TargetID]])*
(tblCost[PlayerPaid]=FALSE),
""
)
)</f>
        <v/>
      </c>
      <c r="Z4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3" t="str" cm="1">
        <f t="array" ref="AA49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4" spans="1:27">
      <c r="A494" t="s">
        <v>5677</v>
      </c>
      <c r="B494" t="str">
        <f>_xlfn.XLOOKUP(tblTargetStatus[[#This Row],[TargetID]],tblTargets[TargetID],tblTargets[DisplayName],"")</f>
        <v>Craft sword 4+</v>
      </c>
      <c r="C494" t="str">
        <f>IF(tblTargetStatus[[#This Row],[PlayerCompleted]],"COMPLETED",IF(tblTargetStatus[[#This Row],[MissingDependencies]]=0,"READY","BLOCKED"))</f>
        <v>BLOCKED</v>
      </c>
      <c r="D4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4" t="str">
        <f>_xlfn.XLOOKUP(tblTargetStatus[[#This Row],[TargetID]],tblTargets[TargetID],tblTargets[TargetType],"")</f>
        <v>STATE</v>
      </c>
      <c r="F494" t="str">
        <f>_xlfn.XLOOKUP(tblTargetStatus[[#This Row],[TargetID]],tblTargets[TargetID],tblTargets[StateType])</f>
        <v>OBTAIN</v>
      </c>
      <c r="G494">
        <f>_xlfn.LET(
_xlpm.id,tblTargetStatus[[#This Row],[TargetID]],
_xlpm.depCount,COUNTIF(tblDependencies[TargetID],_xlpm.id),
_xlpm.objCount,COUNTIF(tblQuestObjectives[QuestTargetID],_xlpm.id),
_xlpm.depCount+_xlpm.objCount
)</f>
        <v>1</v>
      </c>
      <c r="H494">
        <f>tblTargetStatus[[#This Row],[DependencyCount]]</f>
        <v>1</v>
      </c>
      <c r="I494" cm="1">
        <f t="array" ref="I4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4">
        <f>tblTargetStatus[[#This Row],[CompletedDependencyCount]]</f>
        <v>0</v>
      </c>
      <c r="K494" t="b">
        <f>tblTargetStatus[[#This Row],[CompletedDependencies]]=tblTargetStatus[[#This Row],[TotalDependencies]]</f>
        <v>0</v>
      </c>
      <c r="L494">
        <f>tblTargetStatus[[#This Row],[TotalDependencies]]-tblTargetStatus[[#This Row],[CompletedDependencies]]</f>
        <v>1</v>
      </c>
      <c r="M494" t="str" cm="1">
        <f t="array" ref="M4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tech.smithy.sword_for_a_hero_lvl_4+</v>
      </c>
      <c r="N494" t="str">
        <f>IF(tblTargetStatus[[#This Row],[FirstMissingDependencyID]]="","",_xlfn.XLOOKUP(tblTargetStatus[[#This Row],[FirstMissingDependencyID]],tblTargets[TargetID],tblTargets[DisplayName],tblTargetStatus[[#This Row],[FirstMissingDependencyID]]))</f>
        <v>Smithy - Sword For A Hero Lvl 4+</v>
      </c>
      <c r="O494" s="2" t="str" cm="1">
        <f t="array" ref="O4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4" t="str">
        <f>IF(tblTargetStatus[[#This Row],[FirstMissingDependencyID]]="","",_xlfn.XLOOKUP(tblTargetStatus[[#This Row],[FirstMissingDependencyID]],tblTargetStatus[TargetID],tblTargetStatus[Status],""))</f>
        <v>BLOCKED</v>
      </c>
      <c r="Q494" t="str">
        <f>IF(
 tblTargetStatus[[#This Row],[Status]]&lt;&gt;"BLOCKED",
 tblTargetStatus[[#This Row],[Status]],
 IF(
  AND(
   tblTargetStatus[[#This Row],[MissingDependencies]]=1,
   tblTargetStatus[[#This Row],[FirstMissingStatus]]="READY"
  ),
  "ONE AWAY",
  "BLOCKED"
 )
)</f>
        <v>BLOCKED</v>
      </c>
      <c r="R494">
        <f>IF(
 OR(
  tblTargetStatus[[#This Row],[StateType]]="CHARACTER",
  RIGHT(tblTargetStatus[[#This Row],[TargetID]],6)=".maxed"
 ),
 0,
 _xlfn.LET(
  _xlpm.sort,
   _xlfn.XLOOKUP(
    tblTargetStatus[[#This Row],[TargetID]],
    tblChecklist[TargetID],
    tblChecklist[PlayerSort],
    0
   ),
  IF(_xlpm.sort=0,500,_xlpm.sort)
 )
)</f>
        <v>500</v>
      </c>
      <c r="S494" t="str" cm="1">
        <f t="array" ref="S49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4 Finished</v>
      </c>
      <c r="T494" t="str">
        <f>_xlfn.XLOOKUP(tblTargetStatus[[#This Row],[TargetID]],tblTargets[TargetID],tblTargets[CompletionMethod],"")</f>
        <v>PLAYER</v>
      </c>
      <c r="U494" t="b">
        <f>COUNTIF(
    tblCost[TargetID],
    tblTargetStatus[[#This Row],[TargetID]]
)&gt;0</f>
        <v>0</v>
      </c>
      <c r="V494" s="81" t="str">
        <f>IF(tblTargetStatus[[#This Row],[HasCost]]=FALSE,
"N/A",
_xlfn.XLOOKUP(
tblTargetStatus[[#This Row],[TargetID]],
tblCost[TargetID],
tblCost[FundingPercent],
""
)
)</f>
        <v>N/A</v>
      </c>
      <c r="W494" t="str">
        <f>IF(
COUNTIF(tblCost[TargetID],tblTargetStatus[[#This Row],[TargetID]])=0,
"",
_xlfn.XLOOKUP(
tblTargetStatus[[#This Row],[TargetID]],
tblCost[TargetID],
tblCost[RemainingRequirements],
""
)
)</f>
        <v/>
      </c>
      <c r="X494" s="79" t="str">
        <f>IF(tblTargetStatus[[#This Row],[HasCost]]=FALSE,"N/A",_xlfn.XLOOKUP(
tblTargetStatus[[#This Row],[TargetID]],
tblCost[TargetID],
tblCost[TargetFunded],
TRUE
))</f>
        <v>N/A</v>
      </c>
      <c r="Y494" t="str" cm="1">
        <f t="array" ref="Y494">_xlfn.TEXTJOIN(
", ",
TRUE,
_xlfn._xlws.FILTER(
tblCost[ResourceID]&amp;": "&amp;tblCost[QuantityRequired],
(tblCost[TargetID]=tblTargetStatus[[#This Row],[TargetID]])*
(tblCost[PlayerPaid]=FALSE),
""
)
)</f>
        <v/>
      </c>
      <c r="Z4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4" t="str" cm="1">
        <f t="array" ref="AA49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5" spans="1:27">
      <c r="A495" t="s">
        <v>5701</v>
      </c>
      <c r="B495" t="str">
        <f>_xlfn.XLOOKUP(tblTargetStatus[[#This Row],[TargetID]],tblTargets[TargetID],tblTargets[DisplayName],"")</f>
        <v>Obtain Titanium</v>
      </c>
      <c r="C495" t="str">
        <f>IF(tblTargetStatus[[#This Row],[PlayerCompleted]],"COMPLETED",IF(tblTargetStatus[[#This Row],[MissingDependencies]]=0,"READY","BLOCKED"))</f>
        <v>BLOCKED</v>
      </c>
      <c r="D4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5" t="str">
        <f>_xlfn.XLOOKUP(tblTargetStatus[[#This Row],[TargetID]],tblTargets[TargetID],tblTargets[TargetType],"")</f>
        <v>STATE</v>
      </c>
      <c r="F495" t="str">
        <f>_xlfn.XLOOKUP(tblTargetStatus[[#This Row],[TargetID]],tblTargets[TargetID],tblTargets[StateType])</f>
        <v>OBTAIN</v>
      </c>
      <c r="G495">
        <f>_xlfn.LET(
_xlpm.id,tblTargetStatus[[#This Row],[TargetID]],
_xlpm.depCount,COUNTIF(tblDependencies[TargetID],_xlpm.id),
_xlpm.objCount,COUNTIF(tblQuestObjectives[QuestTargetID],_xlpm.id),
_xlpm.depCount+_xlpm.objCount
)</f>
        <v>1</v>
      </c>
      <c r="H495">
        <f>tblTargetStatus[[#This Row],[DependencyCount]]</f>
        <v>1</v>
      </c>
      <c r="I495" cm="1">
        <f t="array" ref="I4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5">
        <f>tblTargetStatus[[#This Row],[CompletedDependencyCount]]</f>
        <v>0</v>
      </c>
      <c r="K495" t="b">
        <f>tblTargetStatus[[#This Row],[CompletedDependencies]]=tblTargetStatus[[#This Row],[TotalDependencies]]</f>
        <v>0</v>
      </c>
      <c r="L495">
        <f>tblTargetStatus[[#This Row],[TotalDependencies]]-tblTargetStatus[[#This Row],[CompletedDependencies]]</f>
        <v>1</v>
      </c>
      <c r="M495" t="str" cm="1">
        <f t="array" ref="M4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quest.once_upon_a_forest_chapter_9.accepted</v>
      </c>
      <c r="N495" t="str">
        <f>IF(tblTargetStatus[[#This Row],[FirstMissingDependencyID]]="","",_xlfn.XLOOKUP(tblTargetStatus[[#This Row],[FirstMissingDependencyID]],tblTargets[TargetID],tblTargets[DisplayName],tblTargetStatus[[#This Row],[FirstMissingDependencyID]]))</f>
        <v>Once Upon a Forest Chapter 9 Accepted</v>
      </c>
      <c r="O495" s="2" t="str" cm="1">
        <f t="array" ref="O4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5" t="str">
        <f>IF(tblTargetStatus[[#This Row],[FirstMissingDependencyID]]="","",_xlfn.XLOOKUP(tblTargetStatus[[#This Row],[FirstMissingDependencyID]],tblTargetStatus[TargetID],tblTargetStatus[Status],""))</f>
        <v>BLOCKED</v>
      </c>
      <c r="Q495" t="str">
        <f>IF(
 tblTargetStatus[[#This Row],[Status]]&lt;&gt;"BLOCKED",
 tblTargetStatus[[#This Row],[Status]],
 IF(
  AND(
   tblTargetStatus[[#This Row],[MissingDependencies]]=1,
   tblTargetStatus[[#This Row],[FirstMissingStatus]]="READY"
  ),
  "ONE AWAY",
  "BLOCKED"
 )
)</f>
        <v>BLOCKED</v>
      </c>
      <c r="R495">
        <f>IF(
 OR(
  tblTargetStatus[[#This Row],[StateType]]="CHARACTER",
  RIGHT(tblTargetStatus[[#This Row],[TargetID]],6)=".maxed"
 ),
 0,
 _xlfn.LET(
  _xlpm.sort,
   _xlfn.XLOOKUP(
    tblTargetStatus[[#This Row],[TargetID]],
    tblChecklist[TargetID],
    tblChecklist[PlayerSort],
    0
   ),
  IF(_xlpm.sort=0,500,_xlpm.sort)
 )
)</f>
        <v>500</v>
      </c>
      <c r="S495" t="str" cm="1">
        <f t="array" ref="S49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9 Finished</v>
      </c>
      <c r="T495" t="str">
        <f>_xlfn.XLOOKUP(tblTargetStatus[[#This Row],[TargetID]],tblTargets[TargetID],tblTargets[CompletionMethod],"")</f>
        <v>PLAYER</v>
      </c>
      <c r="U495" t="b">
        <f>COUNTIF(
    tblCost[TargetID],
    tblTargetStatus[[#This Row],[TargetID]]
)&gt;0</f>
        <v>0</v>
      </c>
      <c r="V495" s="81" t="str">
        <f>IF(tblTargetStatus[[#This Row],[HasCost]]=FALSE,
"N/A",
_xlfn.XLOOKUP(
tblTargetStatus[[#This Row],[TargetID]],
tblCost[TargetID],
tblCost[FundingPercent],
""
)
)</f>
        <v>N/A</v>
      </c>
      <c r="W495" t="str">
        <f>IF(
COUNTIF(tblCost[TargetID],tblTargetStatus[[#This Row],[TargetID]])=0,
"",
_xlfn.XLOOKUP(
tblTargetStatus[[#This Row],[TargetID]],
tblCost[TargetID],
tblCost[RemainingRequirements],
""
)
)</f>
        <v/>
      </c>
      <c r="X495" s="79" t="str">
        <f>IF(tblTargetStatus[[#This Row],[HasCost]]=FALSE,"N/A",_xlfn.XLOOKUP(
tblTargetStatus[[#This Row],[TargetID]],
tblCost[TargetID],
tblCost[TargetFunded],
TRUE
))</f>
        <v>N/A</v>
      </c>
      <c r="Y495" t="str" cm="1">
        <f t="array" ref="Y495">_xlfn.TEXTJOIN(
", ",
TRUE,
_xlfn._xlws.FILTER(
tblCost[ResourceID]&amp;": "&amp;tblCost[QuantityRequired],
(tblCost[TargetID]=tblTargetStatus[[#This Row],[TargetID]])*
(tblCost[PlayerPaid]=FALSE),
""
)
)</f>
        <v/>
      </c>
      <c r="Z4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5" t="str" cm="1">
        <f t="array" ref="AA49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6" spans="1:27">
      <c r="A496" t="s">
        <v>3510</v>
      </c>
      <c r="B496" t="str">
        <f>_xlfn.XLOOKUP(tblTargetStatus[[#This Row],[TargetID]],tblTargets[TargetID],tblTargets[DisplayName],"")</f>
        <v>Obtain Treasure</v>
      </c>
      <c r="C496" t="str">
        <f>IF(tblTargetStatus[[#This Row],[PlayerCompleted]],"COMPLETED",IF(tblTargetStatus[[#This Row],[MissingDependencies]]=0,"READY","BLOCKED"))</f>
        <v>BLOCKED</v>
      </c>
      <c r="D4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6" t="str">
        <f>_xlfn.XLOOKUP(tblTargetStatus[[#This Row],[TargetID]],tblTargets[TargetID],tblTargets[TargetType],"")</f>
        <v>STATE</v>
      </c>
      <c r="F496" t="str">
        <f>_xlfn.XLOOKUP(tblTargetStatus[[#This Row],[TargetID]],tblTargets[TargetID],tblTargets[StateType])</f>
        <v>OBTAIN</v>
      </c>
      <c r="G496">
        <f>_xlfn.LET(
_xlpm.id,tblTargetStatus[[#This Row],[TargetID]],
_xlpm.depCount,COUNTIF(tblDependencies[TargetID],_xlpm.id),
_xlpm.objCount,COUNTIF(tblQuestObjectives[QuestTargetID],_xlpm.id),
_xlpm.depCount+_xlpm.objCount
)</f>
        <v>1</v>
      </c>
      <c r="H496">
        <f>tblTargetStatus[[#This Row],[DependencyCount]]</f>
        <v>1</v>
      </c>
      <c r="I496" cm="1">
        <f t="array" ref="I4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6">
        <f>tblTargetStatus[[#This Row],[CompletedDependencyCount]]</f>
        <v>0</v>
      </c>
      <c r="K496" t="b">
        <f>tblTargetStatus[[#This Row],[CompletedDependencies]]=tblTargetStatus[[#This Row],[TotalDependencies]]</f>
        <v>0</v>
      </c>
      <c r="L496">
        <f>tblTargetStatus[[#This Row],[TotalDependencies]]-tblTargetStatus[[#This Row],[CompletedDependencies]]</f>
        <v>1</v>
      </c>
      <c r="M496" t="str" cm="1">
        <f t="array" ref="M4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quest.treasure_island.accepted</v>
      </c>
      <c r="N496" t="str">
        <f>IF(tblTargetStatus[[#This Row],[FirstMissingDependencyID]]="","",_xlfn.XLOOKUP(tblTargetStatus[[#This Row],[FirstMissingDependencyID]],tblTargets[TargetID],tblTargets[DisplayName],tblTargetStatus[[#This Row],[FirstMissingDependencyID]]))</f>
        <v>Treasure Island Accepted</v>
      </c>
      <c r="O496" t="str" cm="1">
        <f t="array" ref="O4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6" t="str">
        <f>IF(tblTargetStatus[[#This Row],[FirstMissingDependencyID]]="","",_xlfn.XLOOKUP(tblTargetStatus[[#This Row],[FirstMissingDependencyID]],tblTargetStatus[TargetID],tblTargetStatus[Status],""))</f>
        <v>BLOCKED</v>
      </c>
      <c r="Q496" t="str">
        <f>IF(
 tblTargetStatus[[#This Row],[Status]]&lt;&gt;"BLOCKED",
 tblTargetStatus[[#This Row],[Status]],
 IF(
  AND(
   tblTargetStatus[[#This Row],[MissingDependencies]]=1,
   tblTargetStatus[[#This Row],[FirstMissingStatus]]="READY"
  ),
  "ONE AWAY",
  "BLOCKED"
 )
)</f>
        <v>BLOCKED</v>
      </c>
      <c r="R496">
        <f>IF(
 OR(
  tblTargetStatus[[#This Row],[StateType]]="CHARACTER",
  RIGHT(tblTargetStatus[[#This Row],[TargetID]],6)=".maxed"
 ),
 0,
 _xlfn.LET(
  _xlpm.sort,
   _xlfn.XLOOKUP(
    tblTargetStatus[[#This Row],[TargetID]],
    tblChecklist[TargetID],
    tblChecklist[PlayerSort],
    0
   ),
  IF(_xlpm.sort=0,500,_xlpm.sort)
 )
)</f>
        <v>500</v>
      </c>
      <c r="S496" t="str" cm="1">
        <f t="array" ref="S49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Treasure Island Finished</v>
      </c>
      <c r="T496" t="str">
        <f>_xlfn.XLOOKUP(tblTargetStatus[[#This Row],[TargetID]],tblTargets[TargetID],tblTargets[CompletionMethod],"")</f>
        <v>PLAYER</v>
      </c>
      <c r="U496" t="b">
        <f>COUNTIF(
    tblCost[TargetID],
    tblTargetStatus[[#This Row],[TargetID]]
)&gt;0</f>
        <v>0</v>
      </c>
      <c r="V496" s="81" t="str">
        <f>IF(tblTargetStatus[[#This Row],[HasCost]]=FALSE,
"N/A",
_xlfn.XLOOKUP(
tblTargetStatus[[#This Row],[TargetID]],
tblCost[TargetID],
tblCost[FundingPercent],
""
)
)</f>
        <v>N/A</v>
      </c>
      <c r="W496" t="str">
        <f>IF(
COUNTIF(tblCost[TargetID],tblTargetStatus[[#This Row],[TargetID]])=0,
"",
_xlfn.XLOOKUP(
tblTargetStatus[[#This Row],[TargetID]],
tblCost[TargetID],
tblCost[RemainingRequirements],
""
)
)</f>
        <v/>
      </c>
      <c r="X496" s="79" t="str">
        <f>IF(tblTargetStatus[[#This Row],[HasCost]]=FALSE,"N/A",_xlfn.XLOOKUP(
tblTargetStatus[[#This Row],[TargetID]],
tblCost[TargetID],
tblCost[TargetFunded],
TRUE
))</f>
        <v>N/A</v>
      </c>
      <c r="Y496" t="str" cm="1">
        <f t="array" ref="Y496">_xlfn.TEXTJOIN(
", ",
TRUE,
_xlfn._xlws.FILTER(
tblCost[ResourceID]&amp;": "&amp;tblCost[QuantityRequired],
(tblCost[TargetID]=tblTargetStatus[[#This Row],[TargetID]])*
(tblCost[PlayerPaid]=FALSE),
""
)
)</f>
        <v/>
      </c>
      <c r="Z4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6" t="str" cm="1">
        <f t="array" ref="AA49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7" spans="1:27">
      <c r="A497" t="s">
        <v>5760</v>
      </c>
      <c r="B497" t="str">
        <f>_xlfn.XLOOKUP(tblTargetStatus[[#This Row],[TargetID]],tblTargets[TargetID],tblTargets[DisplayName],"")</f>
        <v>Visit Aomori</v>
      </c>
      <c r="C497" t="str">
        <f>IF(tblTargetStatus[[#This Row],[PlayerCompleted]],"COMPLETED",IF(tblTargetStatus[[#This Row],[MissingDependencies]]=0,"READY","BLOCKED"))</f>
        <v>BLOCKED</v>
      </c>
      <c r="D4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7" t="str">
        <f>_xlfn.XLOOKUP(tblTargetStatus[[#This Row],[TargetID]],tblTargets[TargetID],tblTargets[TargetType],"")</f>
        <v>STATE</v>
      </c>
      <c r="F497" t="str">
        <f>_xlfn.XLOOKUP(tblTargetStatus[[#This Row],[TargetID]],tblTargets[TargetID],tblTargets[StateType])</f>
        <v>VISIT</v>
      </c>
      <c r="G497">
        <f>_xlfn.LET(
_xlpm.id,tblTargetStatus[[#This Row],[TargetID]],
_xlpm.depCount,COUNTIF(tblDependencies[TargetID],_xlpm.id),
_xlpm.objCount,COUNTIF(tblQuestObjectives[QuestTargetID],_xlpm.id),
_xlpm.depCount+_xlpm.objCount
)</f>
        <v>2</v>
      </c>
      <c r="H497">
        <f>tblTargetStatus[[#This Row],[DependencyCount]]</f>
        <v>2</v>
      </c>
      <c r="I497" cm="1">
        <f t="array" ref="I4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7">
        <f>tblTargetStatus[[#This Row],[CompletedDependencyCount]]</f>
        <v>0</v>
      </c>
      <c r="K497" t="b">
        <f>tblTargetStatus[[#This Row],[CompletedDependencies]]=tblTargetStatus[[#This Row],[TotalDependencies]]</f>
        <v>0</v>
      </c>
      <c r="L497">
        <f>tblTargetStatus[[#This Row],[TotalDependencies]]-tblTargetStatus[[#This Row],[CompletedDependencies]]</f>
        <v>2</v>
      </c>
      <c r="M497" t="str" cm="1">
        <f t="array" ref="M4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497" t="str">
        <f>IF(tblTargetStatus[[#This Row],[FirstMissingDependencyID]]="","",_xlfn.XLOOKUP(tblTargetStatus[[#This Row],[FirstMissingDependencyID]],tblTargets[TargetID],tblTargets[DisplayName],tblTargetStatus[[#This Row],[FirstMissingDependencyID]]))</f>
        <v>Journey Through Japan By Train Accepted</v>
      </c>
      <c r="O497" s="2" t="str" cm="1">
        <f t="array" ref="O4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7" t="str">
        <f>IF(tblTargetStatus[[#This Row],[FirstMissingDependencyID]]="","",_xlfn.XLOOKUP(tblTargetStatus[[#This Row],[FirstMissingDependencyID]],tblTargetStatus[TargetID],tblTargetStatus[Status],""))</f>
        <v>BLOCKED</v>
      </c>
      <c r="Q497" t="str">
        <f>IF(
 tblTargetStatus[[#This Row],[Status]]&lt;&gt;"BLOCKED",
 tblTargetStatus[[#This Row],[Status]],
 IF(
  AND(
   tblTargetStatus[[#This Row],[MissingDependencies]]=1,
   tblTargetStatus[[#This Row],[FirstMissingStatus]]="READY"
  ),
  "ONE AWAY",
  "BLOCKED"
 )
)</f>
        <v>BLOCKED</v>
      </c>
      <c r="R497">
        <f>IF(
 OR(
  tblTargetStatus[[#This Row],[StateType]]="CHARACTER",
  RIGHT(tblTargetStatus[[#This Row],[TargetID]],6)=".maxed"
 ),
 0,
 _xlfn.LET(
  _xlpm.sort,
   _xlfn.XLOOKUP(
    tblTargetStatus[[#This Row],[TargetID]],
    tblChecklist[TargetID],
    tblChecklist[PlayerSort],
    0
   ),
  IF(_xlpm.sort=0,500,_xlpm.sort)
 )
)</f>
        <v>500</v>
      </c>
      <c r="S497" t="str" cm="1">
        <f t="array" ref="S49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Journey Through Japan By Train Finished</v>
      </c>
      <c r="T497" t="str">
        <f>_xlfn.XLOOKUP(tblTargetStatus[[#This Row],[TargetID]],tblTargets[TargetID],tblTargets[CompletionMethod],"")</f>
        <v>PLAYER</v>
      </c>
      <c r="U497" t="b">
        <f>COUNTIF(
    tblCost[TargetID],
    tblTargetStatus[[#This Row],[TargetID]]
)&gt;0</f>
        <v>0</v>
      </c>
      <c r="V497" s="81" t="str">
        <f>IF(tblTargetStatus[[#This Row],[HasCost]]=FALSE,
"N/A",
_xlfn.XLOOKUP(
tblTargetStatus[[#This Row],[TargetID]],
tblCost[TargetID],
tblCost[FundingPercent],
""
)
)</f>
        <v>N/A</v>
      </c>
      <c r="W497" t="str">
        <f>IF(
COUNTIF(tblCost[TargetID],tblTargetStatus[[#This Row],[TargetID]])=0,
"",
_xlfn.XLOOKUP(
tblTargetStatus[[#This Row],[TargetID]],
tblCost[TargetID],
tblCost[RemainingRequirements],
""
)
)</f>
        <v/>
      </c>
      <c r="X497" s="79" t="str">
        <f>IF(tblTargetStatus[[#This Row],[HasCost]]=FALSE,"N/A",_xlfn.XLOOKUP(
tblTargetStatus[[#This Row],[TargetID]],
tblCost[TargetID],
tblCost[TargetFunded],
TRUE
))</f>
        <v>N/A</v>
      </c>
      <c r="Y497" t="str" cm="1">
        <f t="array" ref="Y497">_xlfn.TEXTJOIN(
", ",
TRUE,
_xlfn._xlws.FILTER(
tblCost[ResourceID]&amp;": "&amp;tblCost[QuantityRequired],
(tblCost[TargetID]=tblTargetStatus[[#This Row],[TargetID]])*
(tblCost[PlayerPaid]=FALSE),
""
)
)</f>
        <v/>
      </c>
      <c r="Z4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7" t="str" cm="1">
        <f t="array" ref="AA49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8" spans="1:27">
      <c r="A498" t="s">
        <v>5741</v>
      </c>
      <c r="B498" t="str">
        <f>_xlfn.XLOOKUP(tblTargetStatus[[#This Row],[TargetID]],tblTargets[TargetID],tblTargets[DisplayName],"")</f>
        <v>Visit Athens</v>
      </c>
      <c r="C498" t="str">
        <f>IF(tblTargetStatus[[#This Row],[PlayerCompleted]],"COMPLETED",IF(tblTargetStatus[[#This Row],[MissingDependencies]]=0,"READY","BLOCKED"))</f>
        <v>BLOCKED</v>
      </c>
      <c r="D4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8" t="str">
        <f>_xlfn.XLOOKUP(tblTargetStatus[[#This Row],[TargetID]],tblTargets[TargetID],tblTargets[TargetType],"")</f>
        <v>STATE</v>
      </c>
      <c r="F498" t="str">
        <f>_xlfn.XLOOKUP(tblTargetStatus[[#This Row],[TargetID]],tblTargets[TargetID],tblTargets[StateType])</f>
        <v>VISIT</v>
      </c>
      <c r="G498">
        <f>_xlfn.LET(
_xlpm.id,tblTargetStatus[[#This Row],[TargetID]],
_xlpm.depCount,COUNTIF(tblDependencies[TargetID],_xlpm.id),
_xlpm.objCount,COUNTIF(tblQuestObjectives[QuestTargetID],_xlpm.id),
_xlpm.depCount+_xlpm.objCount
)</f>
        <v>1</v>
      </c>
      <c r="H498">
        <f>tblTargetStatus[[#This Row],[DependencyCount]]</f>
        <v>1</v>
      </c>
      <c r="I498" cm="1">
        <f t="array" ref="I4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8">
        <f>tblTargetStatus[[#This Row],[CompletedDependencyCount]]</f>
        <v>0</v>
      </c>
      <c r="K498" t="b">
        <f>tblTargetStatus[[#This Row],[CompletedDependencies]]=tblTargetStatus[[#This Row],[TotalDependencies]]</f>
        <v>0</v>
      </c>
      <c r="L498">
        <f>tblTargetStatus[[#This Row],[TotalDependencies]]-tblTargetStatus[[#This Row],[CompletedDependencies]]</f>
        <v>1</v>
      </c>
      <c r="M498" t="str" cm="1">
        <f t="array" ref="M4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498" t="str">
        <f>IF(tblTargetStatus[[#This Row],[FirstMissingDependencyID]]="","",_xlfn.XLOOKUP(tblTargetStatus[[#This Row],[FirstMissingDependencyID]],tblTargets[TargetID],tblTargets[DisplayName],tblTargetStatus[[#This Row],[FirstMissingDependencyID]]))</f>
        <v>Silk Road Accepted</v>
      </c>
      <c r="O498" s="2" t="str" cm="1">
        <f t="array" ref="O4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8" t="str">
        <f>IF(tblTargetStatus[[#This Row],[FirstMissingDependencyID]]="","",_xlfn.XLOOKUP(tblTargetStatus[[#This Row],[FirstMissingDependencyID]],tblTargetStatus[TargetID],tblTargetStatus[Status],""))</f>
        <v>BLOCKED</v>
      </c>
      <c r="Q498" t="str">
        <f>IF(
 tblTargetStatus[[#This Row],[Status]]&lt;&gt;"BLOCKED",
 tblTargetStatus[[#This Row],[Status]],
 IF(
  AND(
   tblTargetStatus[[#This Row],[MissingDependencies]]=1,
   tblTargetStatus[[#This Row],[FirstMissingStatus]]="READY"
  ),
  "ONE AWAY",
  "BLOCKED"
 )
)</f>
        <v>BLOCKED</v>
      </c>
      <c r="R498">
        <f>IF(
 OR(
  tblTargetStatus[[#This Row],[StateType]]="CHARACTER",
  RIGHT(tblTargetStatus[[#This Row],[TargetID]],6)=".maxed"
 ),
 0,
 _xlfn.LET(
  _xlpm.sort,
   _xlfn.XLOOKUP(
    tblTargetStatus[[#This Row],[TargetID]],
    tblChecklist[TargetID],
    tblChecklist[PlayerSort],
    0
   ),
  IF(_xlpm.sort=0,500,_xlpm.sort)
 )
)</f>
        <v>500</v>
      </c>
      <c r="S498" t="str" cm="1">
        <f t="array" ref="S49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Silk Road Finished</v>
      </c>
      <c r="T498" t="str">
        <f>_xlfn.XLOOKUP(tblTargetStatus[[#This Row],[TargetID]],tblTargets[TargetID],tblTargets[CompletionMethod],"")</f>
        <v>PLAYER</v>
      </c>
      <c r="U498" t="b">
        <f>COUNTIF(
    tblCost[TargetID],
    tblTargetStatus[[#This Row],[TargetID]]
)&gt;0</f>
        <v>0</v>
      </c>
      <c r="V498" s="81" t="str">
        <f>IF(tblTargetStatus[[#This Row],[HasCost]]=FALSE,
"N/A",
_xlfn.XLOOKUP(
tblTargetStatus[[#This Row],[TargetID]],
tblCost[TargetID],
tblCost[FundingPercent],
""
)
)</f>
        <v>N/A</v>
      </c>
      <c r="W498" t="str">
        <f>IF(
COUNTIF(tblCost[TargetID],tblTargetStatus[[#This Row],[TargetID]])=0,
"",
_xlfn.XLOOKUP(
tblTargetStatus[[#This Row],[TargetID]],
tblCost[TargetID],
tblCost[RemainingRequirements],
""
)
)</f>
        <v/>
      </c>
      <c r="X498" s="79" t="str">
        <f>IF(tblTargetStatus[[#This Row],[HasCost]]=FALSE,"N/A",_xlfn.XLOOKUP(
tblTargetStatus[[#This Row],[TargetID]],
tblCost[TargetID],
tblCost[TargetFunded],
TRUE
))</f>
        <v>N/A</v>
      </c>
      <c r="Y498" t="str" cm="1">
        <f t="array" ref="Y498">_xlfn.TEXTJOIN(
", ",
TRUE,
_xlfn._xlws.FILTER(
tblCost[ResourceID]&amp;": "&amp;tblCost[QuantityRequired],
(tblCost[TargetID]=tblTargetStatus[[#This Row],[TargetID]])*
(tblCost[PlayerPaid]=FALSE),
""
)
)</f>
        <v/>
      </c>
      <c r="Z4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8" t="str" cm="1">
        <f t="array" ref="AA49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499" spans="1:27">
      <c r="A499" t="s">
        <v>5742</v>
      </c>
      <c r="B499" t="str">
        <f>_xlfn.XLOOKUP(tblTargetStatus[[#This Row],[TargetID]],tblTargets[TargetID],tblTargets[DisplayName],"")</f>
        <v>Visit Baghdad</v>
      </c>
      <c r="C499" t="str">
        <f>IF(tblTargetStatus[[#This Row],[PlayerCompleted]],"COMPLETED",IF(tblTargetStatus[[#This Row],[MissingDependencies]]=0,"READY","BLOCKED"))</f>
        <v>BLOCKED</v>
      </c>
      <c r="D4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9" t="str">
        <f>_xlfn.XLOOKUP(tblTargetStatus[[#This Row],[TargetID]],tblTargets[TargetID],tblTargets[TargetType],"")</f>
        <v>STATE</v>
      </c>
      <c r="F499" t="str">
        <f>_xlfn.XLOOKUP(tblTargetStatus[[#This Row],[TargetID]],tblTargets[TargetID],tblTargets[StateType])</f>
        <v>VISIT</v>
      </c>
      <c r="G499">
        <f>_xlfn.LET(
_xlpm.id,tblTargetStatus[[#This Row],[TargetID]],
_xlpm.depCount,COUNTIF(tblDependencies[TargetID],_xlpm.id),
_xlpm.objCount,COUNTIF(tblQuestObjectives[QuestTargetID],_xlpm.id),
_xlpm.depCount+_xlpm.objCount
)</f>
        <v>1</v>
      </c>
      <c r="H499">
        <f>tblTargetStatus[[#This Row],[DependencyCount]]</f>
        <v>1</v>
      </c>
      <c r="I499" cm="1">
        <f t="array" ref="I4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9">
        <f>tblTargetStatus[[#This Row],[CompletedDependencyCount]]</f>
        <v>0</v>
      </c>
      <c r="K499" t="b">
        <f>tblTargetStatus[[#This Row],[CompletedDependencies]]=tblTargetStatus[[#This Row],[TotalDependencies]]</f>
        <v>0</v>
      </c>
      <c r="L499">
        <f>tblTargetStatus[[#This Row],[TotalDependencies]]-tblTargetStatus[[#This Row],[CompletedDependencies]]</f>
        <v>1</v>
      </c>
      <c r="M499" t="str" cm="1">
        <f t="array" ref="M4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499" t="str">
        <f>IF(tblTargetStatus[[#This Row],[FirstMissingDependencyID]]="","",_xlfn.XLOOKUP(tblTargetStatus[[#This Row],[FirstMissingDependencyID]],tblTargets[TargetID],tblTargets[DisplayName],tblTargetStatus[[#This Row],[FirstMissingDependencyID]]))</f>
        <v>Silk Road Accepted</v>
      </c>
      <c r="O499" s="2" t="str" cm="1">
        <f t="array" ref="O4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9" t="str">
        <f>IF(tblTargetStatus[[#This Row],[FirstMissingDependencyID]]="","",_xlfn.XLOOKUP(tblTargetStatus[[#This Row],[FirstMissingDependencyID]],tblTargetStatus[TargetID],tblTargetStatus[Status],""))</f>
        <v>BLOCKED</v>
      </c>
      <c r="Q499" t="str">
        <f>IF(
 tblTargetStatus[[#This Row],[Status]]&lt;&gt;"BLOCKED",
 tblTargetStatus[[#This Row],[Status]],
 IF(
  AND(
   tblTargetStatus[[#This Row],[MissingDependencies]]=1,
   tblTargetStatus[[#This Row],[FirstMissingStatus]]="READY"
  ),
  "ONE AWAY",
  "BLOCKED"
 )
)</f>
        <v>BLOCKED</v>
      </c>
      <c r="R499">
        <f>IF(
 OR(
  tblTargetStatus[[#This Row],[StateType]]="CHARACTER",
  RIGHT(tblTargetStatus[[#This Row],[TargetID]],6)=".maxed"
 ),
 0,
 _xlfn.LET(
  _xlpm.sort,
   _xlfn.XLOOKUP(
    tblTargetStatus[[#This Row],[TargetID]],
    tblChecklist[TargetID],
    tblChecklist[PlayerSort],
    0
   ),
  IF(_xlpm.sort=0,500,_xlpm.sort)
 )
)</f>
        <v>500</v>
      </c>
      <c r="S499" t="str" cm="1">
        <f t="array" ref="S49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Silk Road Finished</v>
      </c>
      <c r="T499" t="str">
        <f>_xlfn.XLOOKUP(tblTargetStatus[[#This Row],[TargetID]],tblTargets[TargetID],tblTargets[CompletionMethod],"")</f>
        <v>PLAYER</v>
      </c>
      <c r="U499" t="b">
        <f>COUNTIF(
    tblCost[TargetID],
    tblTargetStatus[[#This Row],[TargetID]]
)&gt;0</f>
        <v>0</v>
      </c>
      <c r="V499" s="81" t="str">
        <f>IF(tblTargetStatus[[#This Row],[HasCost]]=FALSE,
"N/A",
_xlfn.XLOOKUP(
tblTargetStatus[[#This Row],[TargetID]],
tblCost[TargetID],
tblCost[FundingPercent],
""
)
)</f>
        <v>N/A</v>
      </c>
      <c r="W499" t="str">
        <f>IF(
COUNTIF(tblCost[TargetID],tblTargetStatus[[#This Row],[TargetID]])=0,
"",
_xlfn.XLOOKUP(
tblTargetStatus[[#This Row],[TargetID]],
tblCost[TargetID],
tblCost[RemainingRequirements],
""
)
)</f>
        <v/>
      </c>
      <c r="X499" s="79" t="str">
        <f>IF(tblTargetStatus[[#This Row],[HasCost]]=FALSE,"N/A",_xlfn.XLOOKUP(
tblTargetStatus[[#This Row],[TargetID]],
tblCost[TargetID],
tblCost[TargetFunded],
TRUE
))</f>
        <v>N/A</v>
      </c>
      <c r="Y499" t="str" cm="1">
        <f t="array" ref="Y499">_xlfn.TEXTJOIN(
", ",
TRUE,
_xlfn._xlws.FILTER(
tblCost[ResourceID]&amp;": "&amp;tblCost[QuantityRequired],
(tblCost[TargetID]=tblTargetStatus[[#This Row],[TargetID]])*
(tblCost[PlayerPaid]=FALSE),
""
)
)</f>
        <v/>
      </c>
      <c r="Z4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9" t="str" cm="1">
        <f t="array" ref="AA49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00" spans="1:27">
      <c r="A500" t="s">
        <v>5743</v>
      </c>
      <c r="B500" t="str">
        <f>_xlfn.XLOOKUP(tblTargetStatus[[#This Row],[TargetID]],tblTargets[TargetID],tblTargets[DisplayName],"")</f>
        <v>Visit Beijing</v>
      </c>
      <c r="C500" t="str">
        <f>IF(tblTargetStatus[[#This Row],[PlayerCompleted]],"COMPLETED",IF(tblTargetStatus[[#This Row],[MissingDependencies]]=0,"READY","BLOCKED"))</f>
        <v>BLOCKED</v>
      </c>
      <c r="D5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0" t="str">
        <f>_xlfn.XLOOKUP(tblTargetStatus[[#This Row],[TargetID]],tblTargets[TargetID],tblTargets[TargetType],"")</f>
        <v>STATE</v>
      </c>
      <c r="F500" t="str">
        <f>_xlfn.XLOOKUP(tblTargetStatus[[#This Row],[TargetID]],tblTargets[TargetID],tblTargets[StateType])</f>
        <v>VISIT</v>
      </c>
      <c r="G500">
        <f>_xlfn.LET(
_xlpm.id,tblTargetStatus[[#This Row],[TargetID]],
_xlpm.depCount,COUNTIF(tblDependencies[TargetID],_xlpm.id),
_xlpm.objCount,COUNTIF(tblQuestObjectives[QuestTargetID],_xlpm.id),
_xlpm.depCount+_xlpm.objCount
)</f>
        <v>1</v>
      </c>
      <c r="H500">
        <f>tblTargetStatus[[#This Row],[DependencyCount]]</f>
        <v>1</v>
      </c>
      <c r="I500" cm="1">
        <f t="array" ref="I5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0">
        <f>tblTargetStatus[[#This Row],[CompletedDependencyCount]]</f>
        <v>0</v>
      </c>
      <c r="K500" t="b">
        <f>tblTargetStatus[[#This Row],[CompletedDependencies]]=tblTargetStatus[[#This Row],[TotalDependencies]]</f>
        <v>0</v>
      </c>
      <c r="L500">
        <f>tblTargetStatus[[#This Row],[TotalDependencies]]-tblTargetStatus[[#This Row],[CompletedDependencies]]</f>
        <v>1</v>
      </c>
      <c r="M500" t="str" cm="1">
        <f t="array" ref="M5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00" t="str">
        <f>IF(tblTargetStatus[[#This Row],[FirstMissingDependencyID]]="","",_xlfn.XLOOKUP(tblTargetStatus[[#This Row],[FirstMissingDependencyID]],tblTargets[TargetID],tblTargets[DisplayName],tblTargetStatus[[#This Row],[FirstMissingDependencyID]]))</f>
        <v>Silk Road Accepted</v>
      </c>
      <c r="O500" s="2" t="str" cm="1">
        <f t="array" ref="O5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0" t="str">
        <f>IF(tblTargetStatus[[#This Row],[FirstMissingDependencyID]]="","",_xlfn.XLOOKUP(tblTargetStatus[[#This Row],[FirstMissingDependencyID]],tblTargetStatus[TargetID],tblTargetStatus[Status],""))</f>
        <v>BLOCKED</v>
      </c>
      <c r="Q500" t="str">
        <f>IF(
 tblTargetStatus[[#This Row],[Status]]&lt;&gt;"BLOCKED",
 tblTargetStatus[[#This Row],[Status]],
 IF(
  AND(
   tblTargetStatus[[#This Row],[MissingDependencies]]=1,
   tblTargetStatus[[#This Row],[FirstMissingStatus]]="READY"
  ),
  "ONE AWAY",
  "BLOCKED"
 )
)</f>
        <v>BLOCKED</v>
      </c>
      <c r="R500">
        <f>IF(
 OR(
  tblTargetStatus[[#This Row],[StateType]]="CHARACTER",
  RIGHT(tblTargetStatus[[#This Row],[TargetID]],6)=".maxed"
 ),
 0,
 _xlfn.LET(
  _xlpm.sort,
   _xlfn.XLOOKUP(
    tblTargetStatus[[#This Row],[TargetID]],
    tblChecklist[TargetID],
    tblChecklist[PlayerSort],
    0
   ),
  IF(_xlpm.sort=0,500,_xlpm.sort)
 )
)</f>
        <v>500</v>
      </c>
      <c r="S500" t="str" cm="1">
        <f t="array" ref="S50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Silk Road Finished</v>
      </c>
      <c r="T500" t="str">
        <f>_xlfn.XLOOKUP(tblTargetStatus[[#This Row],[TargetID]],tblTargets[TargetID],tblTargets[CompletionMethod],"")</f>
        <v>PLAYER</v>
      </c>
      <c r="U500" t="b">
        <f>COUNTIF(
    tblCost[TargetID],
    tblTargetStatus[[#This Row],[TargetID]]
)&gt;0</f>
        <v>0</v>
      </c>
      <c r="V500" s="81" t="str">
        <f>IF(tblTargetStatus[[#This Row],[HasCost]]=FALSE,
"N/A",
_xlfn.XLOOKUP(
tblTargetStatus[[#This Row],[TargetID]],
tblCost[TargetID],
tblCost[FundingPercent],
""
)
)</f>
        <v>N/A</v>
      </c>
      <c r="W500" t="str">
        <f>IF(
COUNTIF(tblCost[TargetID],tblTargetStatus[[#This Row],[TargetID]])=0,
"",
_xlfn.XLOOKUP(
tblTargetStatus[[#This Row],[TargetID]],
tblCost[TargetID],
tblCost[RemainingRequirements],
""
)
)</f>
        <v/>
      </c>
      <c r="X500" s="79" t="str">
        <f>IF(tblTargetStatus[[#This Row],[HasCost]]=FALSE,"N/A",_xlfn.XLOOKUP(
tblTargetStatus[[#This Row],[TargetID]],
tblCost[TargetID],
tblCost[TargetFunded],
TRUE
))</f>
        <v>N/A</v>
      </c>
      <c r="Y500" t="str" cm="1">
        <f t="array" ref="Y500">_xlfn.TEXTJOIN(
", ",
TRUE,
_xlfn._xlws.FILTER(
tblCost[ResourceID]&amp;": "&amp;tblCost[QuantityRequired],
(tblCost[TargetID]=tblTargetStatus[[#This Row],[TargetID]])*
(tblCost[PlayerPaid]=FALSE),
""
)
)</f>
        <v/>
      </c>
      <c r="Z5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0" t="str" cm="1">
        <f t="array" ref="AA50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01" spans="1:27">
      <c r="A501" t="s">
        <v>5744</v>
      </c>
      <c r="B501" t="str">
        <f>_xlfn.XLOOKUP(tblTargetStatus[[#This Row],[TargetID]],tblTargets[TargetID],tblTargets[DisplayName],"")</f>
        <v>Visit Cairo</v>
      </c>
      <c r="C501" t="str">
        <f>IF(tblTargetStatus[[#This Row],[PlayerCompleted]],"COMPLETED",IF(tblTargetStatus[[#This Row],[MissingDependencies]]=0,"READY","BLOCKED"))</f>
        <v>BLOCKED</v>
      </c>
      <c r="D5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1" t="str">
        <f>_xlfn.XLOOKUP(tblTargetStatus[[#This Row],[TargetID]],tblTargets[TargetID],tblTargets[TargetType],"")</f>
        <v>STATE</v>
      </c>
      <c r="F501" t="str">
        <f>_xlfn.XLOOKUP(tblTargetStatus[[#This Row],[TargetID]],tblTargets[TargetID],tblTargets[StateType])</f>
        <v>VISIT</v>
      </c>
      <c r="G501">
        <f>_xlfn.LET(
_xlpm.id,tblTargetStatus[[#This Row],[TargetID]],
_xlpm.depCount,COUNTIF(tblDependencies[TargetID],_xlpm.id),
_xlpm.objCount,COUNTIF(tblQuestObjectives[QuestTargetID],_xlpm.id),
_xlpm.depCount+_xlpm.objCount
)</f>
        <v>1</v>
      </c>
      <c r="H501">
        <f>tblTargetStatus[[#This Row],[DependencyCount]]</f>
        <v>1</v>
      </c>
      <c r="I501" cm="1">
        <f t="array" ref="I5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1">
        <f>tblTargetStatus[[#This Row],[CompletedDependencyCount]]</f>
        <v>0</v>
      </c>
      <c r="K501" t="b">
        <f>tblTargetStatus[[#This Row],[CompletedDependencies]]=tblTargetStatus[[#This Row],[TotalDependencies]]</f>
        <v>0</v>
      </c>
      <c r="L501">
        <f>tblTargetStatus[[#This Row],[TotalDependencies]]-tblTargetStatus[[#This Row],[CompletedDependencies]]</f>
        <v>1</v>
      </c>
      <c r="M501" t="str" cm="1">
        <f t="array" ref="M5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01" t="str">
        <f>IF(tblTargetStatus[[#This Row],[FirstMissingDependencyID]]="","",_xlfn.XLOOKUP(tblTargetStatus[[#This Row],[FirstMissingDependencyID]],tblTargets[TargetID],tblTargets[DisplayName],tblTargetStatus[[#This Row],[FirstMissingDependencyID]]))</f>
        <v>Silk Road Accepted</v>
      </c>
      <c r="O501" s="2" t="str" cm="1">
        <f t="array" ref="O5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1" t="str">
        <f>IF(tblTargetStatus[[#This Row],[FirstMissingDependencyID]]="","",_xlfn.XLOOKUP(tblTargetStatus[[#This Row],[FirstMissingDependencyID]],tblTargetStatus[TargetID],tblTargetStatus[Status],""))</f>
        <v>BLOCKED</v>
      </c>
      <c r="Q501" t="str">
        <f>IF(
 tblTargetStatus[[#This Row],[Status]]&lt;&gt;"BLOCKED",
 tblTargetStatus[[#This Row],[Status]],
 IF(
  AND(
   tblTargetStatus[[#This Row],[MissingDependencies]]=1,
   tblTargetStatus[[#This Row],[FirstMissingStatus]]="READY"
  ),
  "ONE AWAY",
  "BLOCKED"
 )
)</f>
        <v>BLOCKED</v>
      </c>
      <c r="R501">
        <f>IF(
 OR(
  tblTargetStatus[[#This Row],[StateType]]="CHARACTER",
  RIGHT(tblTargetStatus[[#This Row],[TargetID]],6)=".maxed"
 ),
 0,
 _xlfn.LET(
  _xlpm.sort,
   _xlfn.XLOOKUP(
    tblTargetStatus[[#This Row],[TargetID]],
    tblChecklist[TargetID],
    tblChecklist[PlayerSort],
    0
   ),
  IF(_xlpm.sort=0,500,_xlpm.sort)
 )
)</f>
        <v>500</v>
      </c>
      <c r="S501" t="str" cm="1">
        <f t="array" ref="S50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Silk Road Finished</v>
      </c>
      <c r="T501" t="str">
        <f>_xlfn.XLOOKUP(tblTargetStatus[[#This Row],[TargetID]],tblTargets[TargetID],tblTargets[CompletionMethod],"")</f>
        <v>PLAYER</v>
      </c>
      <c r="U501" t="b">
        <f>COUNTIF(
    tblCost[TargetID],
    tblTargetStatus[[#This Row],[TargetID]]
)&gt;0</f>
        <v>0</v>
      </c>
      <c r="V501" s="81" t="str">
        <f>IF(tblTargetStatus[[#This Row],[HasCost]]=FALSE,
"N/A",
_xlfn.XLOOKUP(
tblTargetStatus[[#This Row],[TargetID]],
tblCost[TargetID],
tblCost[FundingPercent],
""
)
)</f>
        <v>N/A</v>
      </c>
      <c r="W501" t="str">
        <f>IF(
COUNTIF(tblCost[TargetID],tblTargetStatus[[#This Row],[TargetID]])=0,
"",
_xlfn.XLOOKUP(
tblTargetStatus[[#This Row],[TargetID]],
tblCost[TargetID],
tblCost[RemainingRequirements],
""
)
)</f>
        <v/>
      </c>
      <c r="X501" s="79" t="str">
        <f>IF(tblTargetStatus[[#This Row],[HasCost]]=FALSE,"N/A",_xlfn.XLOOKUP(
tblTargetStatus[[#This Row],[TargetID]],
tblCost[TargetID],
tblCost[TargetFunded],
TRUE
))</f>
        <v>N/A</v>
      </c>
      <c r="Y501" t="str" cm="1">
        <f t="array" ref="Y501">_xlfn.TEXTJOIN(
", ",
TRUE,
_xlfn._xlws.FILTER(
tblCost[ResourceID]&amp;": "&amp;tblCost[QuantityRequired],
(tblCost[TargetID]=tblTargetStatus[[#This Row],[TargetID]])*
(tblCost[PlayerPaid]=FALSE),
""
)
)</f>
        <v/>
      </c>
      <c r="Z5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1" t="str" cm="1">
        <f t="array" ref="AA50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02" spans="1:27">
      <c r="A502" t="s">
        <v>5745</v>
      </c>
      <c r="B502" t="str">
        <f>_xlfn.XLOOKUP(tblTargetStatus[[#This Row],[TargetID]],tblTargets[TargetID],tblTargets[DisplayName],"")</f>
        <v>Visit Delhi</v>
      </c>
      <c r="C502" t="str">
        <f>IF(tblTargetStatus[[#This Row],[PlayerCompleted]],"COMPLETED",IF(tblTargetStatus[[#This Row],[MissingDependencies]]=0,"READY","BLOCKED"))</f>
        <v>BLOCKED</v>
      </c>
      <c r="D5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2" t="str">
        <f>_xlfn.XLOOKUP(tblTargetStatus[[#This Row],[TargetID]],tblTargets[TargetID],tblTargets[TargetType],"")</f>
        <v>STATE</v>
      </c>
      <c r="F502" t="str">
        <f>_xlfn.XLOOKUP(tblTargetStatus[[#This Row],[TargetID]],tblTargets[TargetID],tblTargets[StateType])</f>
        <v>VISIT</v>
      </c>
      <c r="G502">
        <f>_xlfn.LET(
_xlpm.id,tblTargetStatus[[#This Row],[TargetID]],
_xlpm.depCount,COUNTIF(tblDependencies[TargetID],_xlpm.id),
_xlpm.objCount,COUNTIF(tblQuestObjectives[QuestTargetID],_xlpm.id),
_xlpm.depCount+_xlpm.objCount
)</f>
        <v>1</v>
      </c>
      <c r="H502">
        <f>tblTargetStatus[[#This Row],[DependencyCount]]</f>
        <v>1</v>
      </c>
      <c r="I502" cm="1">
        <f t="array" ref="I5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2">
        <f>tblTargetStatus[[#This Row],[CompletedDependencyCount]]</f>
        <v>0</v>
      </c>
      <c r="K502" t="b">
        <f>tblTargetStatus[[#This Row],[CompletedDependencies]]=tblTargetStatus[[#This Row],[TotalDependencies]]</f>
        <v>0</v>
      </c>
      <c r="L502">
        <f>tblTargetStatus[[#This Row],[TotalDependencies]]-tblTargetStatus[[#This Row],[CompletedDependencies]]</f>
        <v>1</v>
      </c>
      <c r="M502" t="str" cm="1">
        <f t="array" ref="M5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02" t="str">
        <f>IF(tblTargetStatus[[#This Row],[FirstMissingDependencyID]]="","",_xlfn.XLOOKUP(tblTargetStatus[[#This Row],[FirstMissingDependencyID]],tblTargets[TargetID],tblTargets[DisplayName],tblTargetStatus[[#This Row],[FirstMissingDependencyID]]))</f>
        <v>Silk Road Accepted</v>
      </c>
      <c r="O502" s="2" t="str" cm="1">
        <f t="array" ref="O5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2" t="str">
        <f>IF(tblTargetStatus[[#This Row],[FirstMissingDependencyID]]="","",_xlfn.XLOOKUP(tblTargetStatus[[#This Row],[FirstMissingDependencyID]],tblTargetStatus[TargetID],tblTargetStatus[Status],""))</f>
        <v>BLOCKED</v>
      </c>
      <c r="Q502" t="str">
        <f>IF(
 tblTargetStatus[[#This Row],[Status]]&lt;&gt;"BLOCKED",
 tblTargetStatus[[#This Row],[Status]],
 IF(
  AND(
   tblTargetStatus[[#This Row],[MissingDependencies]]=1,
   tblTargetStatus[[#This Row],[FirstMissingStatus]]="READY"
  ),
  "ONE AWAY",
  "BLOCKED"
 )
)</f>
        <v>BLOCKED</v>
      </c>
      <c r="R502">
        <f>IF(
 OR(
  tblTargetStatus[[#This Row],[StateType]]="CHARACTER",
  RIGHT(tblTargetStatus[[#This Row],[TargetID]],6)=".maxed"
 ),
 0,
 _xlfn.LET(
  _xlpm.sort,
   _xlfn.XLOOKUP(
    tblTargetStatus[[#This Row],[TargetID]],
    tblChecklist[TargetID],
    tblChecklist[PlayerSort],
    0
   ),
  IF(_xlpm.sort=0,500,_xlpm.sort)
 )
)</f>
        <v>500</v>
      </c>
      <c r="S502" t="str" cm="1">
        <f t="array" ref="S50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Silk Road Finished</v>
      </c>
      <c r="T502" t="str">
        <f>_xlfn.XLOOKUP(tblTargetStatus[[#This Row],[TargetID]],tblTargets[TargetID],tblTargets[CompletionMethod],"")</f>
        <v>PLAYER</v>
      </c>
      <c r="U502" t="b">
        <f>COUNTIF(
    tblCost[TargetID],
    tblTargetStatus[[#This Row],[TargetID]]
)&gt;0</f>
        <v>0</v>
      </c>
      <c r="V502" s="81" t="str">
        <f>IF(tblTargetStatus[[#This Row],[HasCost]]=FALSE,
"N/A",
_xlfn.XLOOKUP(
tblTargetStatus[[#This Row],[TargetID]],
tblCost[TargetID],
tblCost[FundingPercent],
""
)
)</f>
        <v>N/A</v>
      </c>
      <c r="W502" t="str">
        <f>IF(
COUNTIF(tblCost[TargetID],tblTargetStatus[[#This Row],[TargetID]])=0,
"",
_xlfn.XLOOKUP(
tblTargetStatus[[#This Row],[TargetID]],
tblCost[TargetID],
tblCost[RemainingRequirements],
""
)
)</f>
        <v/>
      </c>
      <c r="X502" s="79" t="str">
        <f>IF(tblTargetStatus[[#This Row],[HasCost]]=FALSE,"N/A",_xlfn.XLOOKUP(
tblTargetStatus[[#This Row],[TargetID]],
tblCost[TargetID],
tblCost[TargetFunded],
TRUE
))</f>
        <v>N/A</v>
      </c>
      <c r="Y502" t="str" cm="1">
        <f t="array" ref="Y502">_xlfn.TEXTJOIN(
", ",
TRUE,
_xlfn._xlws.FILTER(
tblCost[ResourceID]&amp;": "&amp;tblCost[QuantityRequired],
(tblCost[TargetID]=tblTargetStatus[[#This Row],[TargetID]])*
(tblCost[PlayerPaid]=FALSE),
""
)
)</f>
        <v/>
      </c>
      <c r="Z5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2" t="str" cm="1">
        <f t="array" ref="AA50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03" spans="1:27">
      <c r="A503" t="s">
        <v>3446</v>
      </c>
      <c r="B503" t="str">
        <f>_xlfn.XLOOKUP(tblTargetStatus[[#This Row],[TargetID]],tblTargets[TargetID],tblTargets[DisplayName],"")</f>
        <v>Visit Dungeon@4A</v>
      </c>
      <c r="C503" t="str">
        <f>IF(tblTargetStatus[[#This Row],[PlayerCompleted]],"COMPLETED",IF(tblTargetStatus[[#This Row],[MissingDependencies]]=0,"READY","BLOCKED"))</f>
        <v>BLOCKED</v>
      </c>
      <c r="D5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3" t="str">
        <f>_xlfn.XLOOKUP(tblTargetStatus[[#This Row],[TargetID]],tblTargets[TargetID],tblTargets[TargetType],"")</f>
        <v>STATE</v>
      </c>
      <c r="F503" t="str">
        <f>_xlfn.XLOOKUP(tblTargetStatus[[#This Row],[TargetID]],tblTargets[TargetID],tblTargets[StateType])</f>
        <v>VISIT</v>
      </c>
      <c r="G503">
        <f>_xlfn.LET(
_xlpm.id,tblTargetStatus[[#This Row],[TargetID]],
_xlpm.depCount,COUNTIF(tblDependencies[TargetID],_xlpm.id),
_xlpm.objCount,COUNTIF(tblQuestObjectives[QuestTargetID],_xlpm.id),
_xlpm.depCount+_xlpm.objCount
)</f>
        <v>1</v>
      </c>
      <c r="H503">
        <f>tblTargetStatus[[#This Row],[DependencyCount]]</f>
        <v>1</v>
      </c>
      <c r="I503" cm="1">
        <f t="array" ref="I5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3">
        <f>tblTargetStatus[[#This Row],[CompletedDependencyCount]]</f>
        <v>0</v>
      </c>
      <c r="K503" t="b">
        <f>tblTargetStatus[[#This Row],[CompletedDependencies]]=tblTargetStatus[[#This Row],[TotalDependencies]]</f>
        <v>0</v>
      </c>
      <c r="L503">
        <f>tblTargetStatus[[#This Row],[TotalDependencies]]-tblTargetStatus[[#This Row],[CompletedDependencies]]</f>
        <v>1</v>
      </c>
      <c r="M503" t="str" cm="1">
        <f t="array" ref="M5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quest.the_ring_of_the_dark_lady.finished</v>
      </c>
      <c r="N503" t="str">
        <f>IF(tblTargetStatus[[#This Row],[FirstMissingDependencyID]]="","",_xlfn.XLOOKUP(tblTargetStatus[[#This Row],[FirstMissingDependencyID]],tblTargets[TargetID],tblTargets[DisplayName],tblTargetStatus[[#This Row],[FirstMissingDependencyID]]))</f>
        <v>The Ring of the Dark Lady Finished</v>
      </c>
      <c r="O503" t="str" cm="1">
        <f t="array" ref="O5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3" t="str">
        <f>IF(tblTargetStatus[[#This Row],[FirstMissingDependencyID]]="","",_xlfn.XLOOKUP(tblTargetStatus[[#This Row],[FirstMissingDependencyID]],tblTargetStatus[TargetID],tblTargetStatus[Status],""))</f>
        <v>BLOCKED</v>
      </c>
      <c r="Q503" t="str">
        <f>IF(
 tblTargetStatus[[#This Row],[Status]]&lt;&gt;"BLOCKED",
 tblTargetStatus[[#This Row],[Status]],
 IF(
  AND(
   tblTargetStatus[[#This Row],[MissingDependencies]]=1,
   tblTargetStatus[[#This Row],[FirstMissingStatus]]="READY"
  ),
  "ONE AWAY",
  "BLOCKED"
 )
)</f>
        <v>BLOCKED</v>
      </c>
      <c r="R503">
        <f>IF(
 OR(
  tblTargetStatus[[#This Row],[StateType]]="CHARACTER",
  RIGHT(tblTargetStatus[[#This Row],[TargetID]],6)=".maxed"
 ),
 0,
 _xlfn.LET(
  _xlpm.sort,
   _xlfn.XLOOKUP(
    tblTargetStatus[[#This Row],[TargetID]],
    tblChecklist[TargetID],
    tblChecklist[PlayerSort],
    0
   ),
  IF(_xlpm.sort=0,500,_xlpm.sort)
 )
)</f>
        <v>500</v>
      </c>
      <c r="S503" t="str" cm="1">
        <f t="array" ref="S50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Magic Beans Accepted</v>
      </c>
      <c r="T503" t="str">
        <f>_xlfn.XLOOKUP(tblTargetStatus[[#This Row],[TargetID]],tblTargets[TargetID],tblTargets[CompletionMethod],"")</f>
        <v>PLAYER</v>
      </c>
      <c r="U503" t="b">
        <f>COUNTIF(
    tblCost[TargetID],
    tblTargetStatus[[#This Row],[TargetID]]
)&gt;0</f>
        <v>0</v>
      </c>
      <c r="V503" s="81" t="str">
        <f>IF(tblTargetStatus[[#This Row],[HasCost]]=FALSE,
"N/A",
_xlfn.XLOOKUP(
tblTargetStatus[[#This Row],[TargetID]],
tblCost[TargetID],
tblCost[FundingPercent],
""
)
)</f>
        <v>N/A</v>
      </c>
      <c r="W503" t="str">
        <f>IF(
COUNTIF(tblCost[TargetID],tblTargetStatus[[#This Row],[TargetID]])=0,
"",
_xlfn.XLOOKUP(
tblTargetStatus[[#This Row],[TargetID]],
tblCost[TargetID],
tblCost[RemainingRequirements],
""
)
)</f>
        <v/>
      </c>
      <c r="X503" s="79" t="str">
        <f>IF(tblTargetStatus[[#This Row],[HasCost]]=FALSE,"N/A",_xlfn.XLOOKUP(
tblTargetStatus[[#This Row],[TargetID]],
tblCost[TargetID],
tblCost[TargetFunded],
TRUE
))</f>
        <v>N/A</v>
      </c>
      <c r="Y503" t="str" cm="1">
        <f t="array" ref="Y503">_xlfn.TEXTJOIN(
", ",
TRUE,
_xlfn._xlws.FILTER(
tblCost[ResourceID]&amp;": "&amp;tblCost[QuantityRequired],
(tblCost[TargetID]=tblTargetStatus[[#This Row],[TargetID]])*
(tblCost[PlayerPaid]=FALSE),
""
)
)</f>
        <v/>
      </c>
      <c r="Z5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3" t="str" cm="1">
        <f t="array" ref="AA50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Magic Beans</v>
      </c>
    </row>
    <row r="504" spans="1:27">
      <c r="A504" t="s">
        <v>6042</v>
      </c>
      <c r="B504" t="str">
        <f>_xlfn.XLOOKUP(tblTargetStatus[[#This Row],[TargetID]],tblTargets[TargetID],tblTargets[DisplayName],"")</f>
        <v xml:space="preserve">Visit Dungeon@5A </v>
      </c>
      <c r="C504" t="str">
        <f>IF(tblTargetStatus[[#This Row],[PlayerCompleted]],"COMPLETED",IF(tblTargetStatus[[#This Row],[MissingDependencies]]=0,"READY","BLOCKED"))</f>
        <v>BLOCKED</v>
      </c>
      <c r="D5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4" t="str">
        <f>_xlfn.XLOOKUP(tblTargetStatus[[#This Row],[TargetID]],tblTargets[TargetID],tblTargets[TargetType],"")</f>
        <v>STATE</v>
      </c>
      <c r="F504" t="str">
        <f>_xlfn.XLOOKUP(tblTargetStatus[[#This Row],[TargetID]],tblTargets[TargetID],tblTargets[StateType])</f>
        <v>VISIT</v>
      </c>
      <c r="G504">
        <f>_xlfn.LET(
_xlpm.id,tblTargetStatus[[#This Row],[TargetID]],
_xlpm.depCount,COUNTIF(tblDependencies[TargetID],_xlpm.id),
_xlpm.objCount,COUNTIF(tblQuestObjectives[QuestTargetID],_xlpm.id),
_xlpm.depCount+_xlpm.objCount
)</f>
        <v>2</v>
      </c>
      <c r="H504">
        <f>tblTargetStatus[[#This Row],[DependencyCount]]</f>
        <v>2</v>
      </c>
      <c r="I504" cm="1">
        <f t="array" ref="I5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4">
        <f>tblTargetStatus[[#This Row],[CompletedDependencyCount]]</f>
        <v>0</v>
      </c>
      <c r="K504" t="b">
        <f>tblTargetStatus[[#This Row],[CompletedDependencies]]=tblTargetStatus[[#This Row],[TotalDependencies]]</f>
        <v>0</v>
      </c>
      <c r="L504">
        <f>tblTargetStatus[[#This Row],[TotalDependencies]]-tblTargetStatus[[#This Row],[CompletedDependencies]]</f>
        <v>2</v>
      </c>
      <c r="M504" t="str" cm="1">
        <f t="array" ref="M5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quest.dragon_teeth.finished</v>
      </c>
      <c r="N504" t="str">
        <f>IF(tblTargetStatus[[#This Row],[FirstMissingDependencyID]]="","",_xlfn.XLOOKUP(tblTargetStatus[[#This Row],[FirstMissingDependencyID]],tblTargets[TargetID],tblTargets[DisplayName],tblTargetStatus[[#This Row],[FirstMissingDependencyID]]))</f>
        <v>Dragon teeth Finished</v>
      </c>
      <c r="O504" t="str" cm="1">
        <f t="array" ref="O5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4" t="str">
        <f>IF(tblTargetStatus[[#This Row],[FirstMissingDependencyID]]="","",_xlfn.XLOOKUP(tblTargetStatus[[#This Row],[FirstMissingDependencyID]],tblTargetStatus[TargetID],tblTargetStatus[Status],""))</f>
        <v>BLOCKED</v>
      </c>
      <c r="Q504" t="str">
        <f>IF(
 tblTargetStatus[[#This Row],[Status]]&lt;&gt;"BLOCKED",
 tblTargetStatus[[#This Row],[Status]],
 IF(
  AND(
   tblTargetStatus[[#This Row],[MissingDependencies]]=1,
   tblTargetStatus[[#This Row],[FirstMissingStatus]]="READY"
  ),
  "ONE AWAY",
  "BLOCKED"
 )
)</f>
        <v>BLOCKED</v>
      </c>
      <c r="R504">
        <f>IF(
 OR(
  tblTargetStatus[[#This Row],[StateType]]="CHARACTER",
  RIGHT(tblTargetStatus[[#This Row],[TargetID]],6)=".maxed"
 ),
 0,
 _xlfn.LET(
  _xlpm.sort,
   _xlfn.XLOOKUP(
    tblTargetStatus[[#This Row],[TargetID]],
    tblChecklist[TargetID],
    tblChecklist[PlayerSort],
    0
   ),
  IF(_xlpm.sort=0,500,_xlpm.sort)
 )
)</f>
        <v>500</v>
      </c>
      <c r="S504" t="str" cm="1">
        <f t="array" ref="S50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Undead Revenge Accepted</v>
      </c>
      <c r="T504" t="str">
        <f>_xlfn.XLOOKUP(tblTargetStatus[[#This Row],[TargetID]],tblTargets[TargetID],tblTargets[CompletionMethod],"")</f>
        <v>PLAYER</v>
      </c>
      <c r="U504" t="b">
        <f>COUNTIF(
    tblCost[TargetID],
    tblTargetStatus[[#This Row],[TargetID]]
)&gt;0</f>
        <v>0</v>
      </c>
      <c r="V504" s="81" t="str">
        <f>IF(tblTargetStatus[[#This Row],[HasCost]]=FALSE,
"N/A",
_xlfn.XLOOKUP(
tblTargetStatus[[#This Row],[TargetID]],
tblCost[TargetID],
tblCost[FundingPercent],
""
)
)</f>
        <v>N/A</v>
      </c>
      <c r="W504" t="str">
        <f>IF(
COUNTIF(tblCost[TargetID],tblTargetStatus[[#This Row],[TargetID]])=0,
"",
_xlfn.XLOOKUP(
tblTargetStatus[[#This Row],[TargetID]],
tblCost[TargetID],
tblCost[RemainingRequirements],
""
)
)</f>
        <v/>
      </c>
      <c r="X504" s="79" t="str">
        <f>IF(tblTargetStatus[[#This Row],[HasCost]]=FALSE,"N/A",_xlfn.XLOOKUP(
tblTargetStatus[[#This Row],[TargetID]],
tblCost[TargetID],
tblCost[TargetFunded],
TRUE
))</f>
        <v>N/A</v>
      </c>
      <c r="Y504" t="str" cm="1">
        <f t="array" ref="Y504">_xlfn.TEXTJOIN(
", ",
TRUE,
_xlfn._xlws.FILTER(
tblCost[ResourceID]&amp;": "&amp;tblCost[QuantityRequired],
(tblCost[TargetID]=tblTargetStatus[[#This Row],[TargetID]])*
(tblCost[PlayerPaid]=FALSE),
""
)
)</f>
        <v/>
      </c>
      <c r="Z5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4" t="str" cm="1">
        <f t="array" ref="AA50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Undead Revenge</v>
      </c>
    </row>
    <row r="505" spans="1:27">
      <c r="A505" t="s">
        <v>3434</v>
      </c>
      <c r="B505" t="str">
        <f>_xlfn.XLOOKUP(tblTargetStatus[[#This Row],[TargetID]],tblTargets[TargetID],tblTargets[DisplayName],"")</f>
        <v>Visit Dungeon@6A</v>
      </c>
      <c r="C505" t="str">
        <f>IF(tblTargetStatus[[#This Row],[PlayerCompleted]],"COMPLETED",IF(tblTargetStatus[[#This Row],[MissingDependencies]]=0,"READY","BLOCKED"))</f>
        <v>BLOCKED</v>
      </c>
      <c r="D5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5" t="str">
        <f>_xlfn.XLOOKUP(tblTargetStatus[[#This Row],[TargetID]],tblTargets[TargetID],tblTargets[TargetType],"")</f>
        <v>STATE</v>
      </c>
      <c r="F505" t="str">
        <f>_xlfn.XLOOKUP(tblTargetStatus[[#This Row],[TargetID]],tblTargets[TargetID],tblTargets[StateType])</f>
        <v>VISIT</v>
      </c>
      <c r="G505">
        <f>_xlfn.LET(
_xlpm.id,tblTargetStatus[[#This Row],[TargetID]],
_xlpm.depCount,COUNTIF(tblDependencies[TargetID],_xlpm.id),
_xlpm.objCount,COUNTIF(tblQuestObjectives[QuestTargetID],_xlpm.id),
_xlpm.depCount+_xlpm.objCount
)</f>
        <v>1</v>
      </c>
      <c r="H505">
        <f>tblTargetStatus[[#This Row],[DependencyCount]]</f>
        <v>1</v>
      </c>
      <c r="I505" cm="1">
        <f t="array" ref="I5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5">
        <f>tblTargetStatus[[#This Row],[CompletedDependencyCount]]</f>
        <v>0</v>
      </c>
      <c r="K505" t="b">
        <f>tblTargetStatus[[#This Row],[CompletedDependencies]]=tblTargetStatus[[#This Row],[TotalDependencies]]</f>
        <v>0</v>
      </c>
      <c r="L505">
        <f>tblTargetStatus[[#This Row],[TotalDependencies]]-tblTargetStatus[[#This Row],[CompletedDependencies]]</f>
        <v>1</v>
      </c>
      <c r="M505" t="str" cm="1">
        <f t="array" ref="M5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quest.ahead_of_time_chapter_1.finished</v>
      </c>
      <c r="N505" t="str">
        <f>IF(tblTargetStatus[[#This Row],[FirstMissingDependencyID]]="","",_xlfn.XLOOKUP(tblTargetStatus[[#This Row],[FirstMissingDependencyID]],tblTargets[TargetID],tblTargets[DisplayName],tblTargetStatus[[#This Row],[FirstMissingDependencyID]]))</f>
        <v>Ahead of Time Chapter 1 Finished</v>
      </c>
      <c r="O505" t="str" cm="1">
        <f t="array" ref="O5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5" t="str">
        <f>IF(tblTargetStatus[[#This Row],[FirstMissingDependencyID]]="","",_xlfn.XLOOKUP(tblTargetStatus[[#This Row],[FirstMissingDependencyID]],tblTargetStatus[TargetID],tblTargetStatus[Status],""))</f>
        <v>BLOCKED</v>
      </c>
      <c r="Q505" t="str">
        <f>IF(
 tblTargetStatus[[#This Row],[Status]]&lt;&gt;"BLOCKED",
 tblTargetStatus[[#This Row],[Status]],
 IF(
  AND(
   tblTargetStatus[[#This Row],[MissingDependencies]]=1,
   tblTargetStatus[[#This Row],[FirstMissingStatus]]="READY"
  ),
  "ONE AWAY",
  "BLOCKED"
 )
)</f>
        <v>BLOCKED</v>
      </c>
      <c r="R505">
        <f>IF(
 OR(
  tblTargetStatus[[#This Row],[StateType]]="CHARACTER",
  RIGHT(tblTargetStatus[[#This Row],[TargetID]],6)=".maxed"
 ),
 0,
 _xlfn.LET(
  _xlpm.sort,
   _xlfn.XLOOKUP(
    tblTargetStatus[[#This Row],[TargetID]],
    tblChecklist[TargetID],
    tblChecklist[PlayerSort],
    0
   ),
  IF(_xlpm.sort=0,500,_xlpm.sort)
 )
)</f>
        <v>500</v>
      </c>
      <c r="S505" t="str" cm="1">
        <f t="array" ref="S50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2 Accepted</v>
      </c>
      <c r="T505" t="str">
        <f>_xlfn.XLOOKUP(tblTargetStatus[[#This Row],[TargetID]],tblTargets[TargetID],tblTargets[CompletionMethod],"")</f>
        <v>PLAYER</v>
      </c>
      <c r="U505" t="b">
        <f>COUNTIF(
    tblCost[TargetID],
    tblTargetStatus[[#This Row],[TargetID]]
)&gt;0</f>
        <v>0</v>
      </c>
      <c r="V505" s="81" t="str">
        <f>IF(tblTargetStatus[[#This Row],[HasCost]]=FALSE,
"N/A",
_xlfn.XLOOKUP(
tblTargetStatus[[#This Row],[TargetID]],
tblCost[TargetID],
tblCost[FundingPercent],
""
)
)</f>
        <v>N/A</v>
      </c>
      <c r="W505" t="str">
        <f>IF(
COUNTIF(tblCost[TargetID],tblTargetStatus[[#This Row],[TargetID]])=0,
"",
_xlfn.XLOOKUP(
tblTargetStatus[[#This Row],[TargetID]],
tblCost[TargetID],
tblCost[RemainingRequirements],
""
)
)</f>
        <v/>
      </c>
      <c r="X505" s="79" t="str">
        <f>IF(tblTargetStatus[[#This Row],[HasCost]]=FALSE,"N/A",_xlfn.XLOOKUP(
tblTargetStatus[[#This Row],[TargetID]],
tblCost[TargetID],
tblCost[TargetFunded],
TRUE
))</f>
        <v>N/A</v>
      </c>
      <c r="Y505" t="str" cm="1">
        <f t="array" ref="Y505">_xlfn.TEXTJOIN(
", ",
TRUE,
_xlfn._xlws.FILTER(
tblCost[ResourceID]&amp;": "&amp;tblCost[QuantityRequired],
(tblCost[TargetID]=tblTargetStatus[[#This Row],[TargetID]])*
(tblCost[PlayerPaid]=FALSE),
""
)
)</f>
        <v/>
      </c>
      <c r="Z5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5" t="str" cm="1">
        <f t="array" ref="AA50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Ahead of Time Chapter 2</v>
      </c>
    </row>
    <row r="506" spans="1:27">
      <c r="A506" t="s">
        <v>6266</v>
      </c>
      <c r="B506" t="str">
        <f>_xlfn.XLOOKUP(tblTargetStatus[[#This Row],[TargetID]],tblTargets[TargetID],tblTargets[DisplayName],"")</f>
        <v>Visit Dungeon@ 6B</v>
      </c>
      <c r="C506" t="str">
        <f>IF(tblTargetStatus[[#This Row],[PlayerCompleted]],"COMPLETED",IF(tblTargetStatus[[#This Row],[MissingDependencies]]=0,"READY","BLOCKED"))</f>
        <v>BLOCKED</v>
      </c>
      <c r="D5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6" t="str">
        <f>_xlfn.XLOOKUP(tblTargetStatus[[#This Row],[TargetID]],tblTargets[TargetID],tblTargets[TargetType],"")</f>
        <v>STATE</v>
      </c>
      <c r="F506" t="str">
        <f>_xlfn.XLOOKUP(tblTargetStatus[[#This Row],[TargetID]],tblTargets[TargetID],tblTargets[StateType])</f>
        <v>MEET</v>
      </c>
      <c r="G506">
        <f>_xlfn.LET(
_xlpm.id,tblTargetStatus[[#This Row],[TargetID]],
_xlpm.depCount,COUNTIF(tblDependencies[TargetID],_xlpm.id),
_xlpm.objCount,COUNTIF(tblQuestObjectives[QuestTargetID],_xlpm.id),
_xlpm.depCount+_xlpm.objCount
)</f>
        <v>1</v>
      </c>
      <c r="H506">
        <f>tblTargetStatus[[#This Row],[DependencyCount]]</f>
        <v>1</v>
      </c>
      <c r="I506" cm="1">
        <f t="array" ref="I5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6">
        <f>tblTargetStatus[[#This Row],[CompletedDependencyCount]]</f>
        <v>0</v>
      </c>
      <c r="K506" t="b">
        <f>tblTargetStatus[[#This Row],[CompletedDependencies]]=tblTargetStatus[[#This Row],[TotalDependencies]]</f>
        <v>0</v>
      </c>
      <c r="L506">
        <f>tblTargetStatus[[#This Row],[TotalDependencies]]-tblTargetStatus[[#This Row],[CompletedDependencies]]</f>
        <v>1</v>
      </c>
      <c r="M506" t="str" cm="1">
        <f t="array" ref="M5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building.dairy@2</v>
      </c>
      <c r="N506" t="str">
        <f>IF(tblTargetStatus[[#This Row],[FirstMissingDependencyID]]="","",_xlfn.XLOOKUP(tblTargetStatus[[#This Row],[FirstMissingDependencyID]],tblTargets[TargetID],tblTargets[DisplayName],tblTargetStatus[[#This Row],[FirstMissingDependencyID]]))</f>
        <v>Dairy Lv 2</v>
      </c>
      <c r="O506" t="str" cm="1">
        <f t="array" ref="O5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6" t="str">
        <f>IF(tblTargetStatus[[#This Row],[FirstMissingDependencyID]]="","",_xlfn.XLOOKUP(tblTargetStatus[[#This Row],[FirstMissingDependencyID]],tblTargetStatus[TargetID],tblTargetStatus[Status],""))</f>
        <v>BLOCKED</v>
      </c>
      <c r="Q506" t="str">
        <f>IF(
 tblTargetStatus[[#This Row],[Status]]&lt;&gt;"BLOCKED",
 tblTargetStatus[[#This Row],[Status]],
 IF(
  AND(
   tblTargetStatus[[#This Row],[MissingDependencies]]=1,
   tblTargetStatus[[#This Row],[FirstMissingStatus]]="READY"
  ),
  "ONE AWAY",
  "BLOCKED"
 )
)</f>
        <v>BLOCKED</v>
      </c>
      <c r="R506">
        <f>IF(
 OR(
  tblTargetStatus[[#This Row],[StateType]]="CHARACTER",
  RIGHT(tblTargetStatus[[#This Row],[TargetID]],6)=".maxed"
 ),
 0,
 _xlfn.LET(
  _xlpm.sort,
   _xlfn.XLOOKUP(
    tblTargetStatus[[#This Row],[TargetID]],
    tblChecklist[TargetID],
    tblChecklist[PlayerSort],
    0
   ),
  IF(_xlpm.sort=0,500,_xlpm.sort)
 )
)</f>
        <v>500</v>
      </c>
      <c r="S506" t="str" cm="1">
        <f t="array" ref="S50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6 Accepted</v>
      </c>
      <c r="T506" t="str">
        <f>_xlfn.XLOOKUP(tblTargetStatus[[#This Row],[TargetID]],tblTargets[TargetID],tblTargets[CompletionMethod],"")</f>
        <v>PLAYER</v>
      </c>
      <c r="U506" t="b">
        <f>COUNTIF(
    tblCost[TargetID],
    tblTargetStatus[[#This Row],[TargetID]]
)&gt;0</f>
        <v>0</v>
      </c>
      <c r="V506" s="81" t="str">
        <f>IF(tblTargetStatus[[#This Row],[HasCost]]=FALSE,
"N/A",
_xlfn.XLOOKUP(
tblTargetStatus[[#This Row],[TargetID]],
tblCost[TargetID],
tblCost[FundingPercent],
""
)
)</f>
        <v>N/A</v>
      </c>
      <c r="W506" t="str">
        <f>IF(
COUNTIF(tblCost[TargetID],tblTargetStatus[[#This Row],[TargetID]])=0,
"",
_xlfn.XLOOKUP(
tblTargetStatus[[#This Row],[TargetID]],
tblCost[TargetID],
tblCost[RemainingRequirements],
""
)
)</f>
        <v/>
      </c>
      <c r="X506" s="79" t="str">
        <f>IF(tblTargetStatus[[#This Row],[HasCost]]=FALSE,"N/A",_xlfn.XLOOKUP(
tblTargetStatus[[#This Row],[TargetID]],
tblCost[TargetID],
tblCost[TargetFunded],
TRUE
))</f>
        <v>N/A</v>
      </c>
      <c r="Y506" t="str" cm="1">
        <f t="array" ref="Y506">_xlfn.TEXTJOIN(
", ",
TRUE,
_xlfn._xlws.FILTER(
tblCost[ResourceID]&amp;": "&amp;tblCost[QuantityRequired],
(tblCost[TargetID]=tblTargetStatus[[#This Row],[TargetID]])*
(tblCost[PlayerPaid]=FALSE),
""
)
)</f>
        <v/>
      </c>
      <c r="Z5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6" t="str" cm="1">
        <f t="array" ref="AA50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6</v>
      </c>
    </row>
    <row r="507" spans="1:27">
      <c r="A507" t="s">
        <v>5761</v>
      </c>
      <c r="B507" t="str">
        <f>_xlfn.XLOOKUP(tblTargetStatus[[#This Row],[TargetID]],tblTargets[TargetID],tblTargets[DisplayName],"")</f>
        <v>Visit Fukushima</v>
      </c>
      <c r="C507" t="str">
        <f>IF(tblTargetStatus[[#This Row],[PlayerCompleted]],"COMPLETED",IF(tblTargetStatus[[#This Row],[MissingDependencies]]=0,"READY","BLOCKED"))</f>
        <v>BLOCKED</v>
      </c>
      <c r="D5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7" t="str">
        <f>_xlfn.XLOOKUP(tblTargetStatus[[#This Row],[TargetID]],tblTargets[TargetID],tblTargets[TargetType],"")</f>
        <v>STATE</v>
      </c>
      <c r="F507" t="str">
        <f>_xlfn.XLOOKUP(tblTargetStatus[[#This Row],[TargetID]],tblTargets[TargetID],tblTargets[StateType])</f>
        <v>VISIT</v>
      </c>
      <c r="G507">
        <f>_xlfn.LET(
_xlpm.id,tblTargetStatus[[#This Row],[TargetID]],
_xlpm.depCount,COUNTIF(tblDependencies[TargetID],_xlpm.id),
_xlpm.objCount,COUNTIF(tblQuestObjectives[QuestTargetID],_xlpm.id),
_xlpm.depCount+_xlpm.objCount
)</f>
        <v>2</v>
      </c>
      <c r="H507">
        <f>tblTargetStatus[[#This Row],[DependencyCount]]</f>
        <v>2</v>
      </c>
      <c r="I507" cm="1">
        <f t="array" ref="I5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7">
        <f>tblTargetStatus[[#This Row],[CompletedDependencyCount]]</f>
        <v>0</v>
      </c>
      <c r="K507" t="b">
        <f>tblTargetStatus[[#This Row],[CompletedDependencies]]=tblTargetStatus[[#This Row],[TotalDependencies]]</f>
        <v>0</v>
      </c>
      <c r="L507">
        <f>tblTargetStatus[[#This Row],[TotalDependencies]]-tblTargetStatus[[#This Row],[CompletedDependencies]]</f>
        <v>2</v>
      </c>
      <c r="M507" t="str" cm="1">
        <f t="array" ref="M5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07" t="str">
        <f>IF(tblTargetStatus[[#This Row],[FirstMissingDependencyID]]="","",_xlfn.XLOOKUP(tblTargetStatus[[#This Row],[FirstMissingDependencyID]],tblTargets[TargetID],tblTargets[DisplayName],tblTargetStatus[[#This Row],[FirstMissingDependencyID]]))</f>
        <v>Journey Through Japan By Train Accepted</v>
      </c>
      <c r="O507" s="2" t="str" cm="1">
        <f t="array" ref="O5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7" t="str">
        <f>IF(tblTargetStatus[[#This Row],[FirstMissingDependencyID]]="","",_xlfn.XLOOKUP(tblTargetStatus[[#This Row],[FirstMissingDependencyID]],tblTargetStatus[TargetID],tblTargetStatus[Status],""))</f>
        <v>BLOCKED</v>
      </c>
      <c r="Q507" t="str">
        <f>IF(
 tblTargetStatus[[#This Row],[Status]]&lt;&gt;"BLOCKED",
 tblTargetStatus[[#This Row],[Status]],
 IF(
  AND(
   tblTargetStatus[[#This Row],[MissingDependencies]]=1,
   tblTargetStatus[[#This Row],[FirstMissingStatus]]="READY"
  ),
  "ONE AWAY",
  "BLOCKED"
 )
)</f>
        <v>BLOCKED</v>
      </c>
      <c r="R507">
        <f>IF(
 OR(
  tblTargetStatus[[#This Row],[StateType]]="CHARACTER",
  RIGHT(tblTargetStatus[[#This Row],[TargetID]],6)=".maxed"
 ),
 0,
 _xlfn.LET(
  _xlpm.sort,
   _xlfn.XLOOKUP(
    tblTargetStatus[[#This Row],[TargetID]],
    tblChecklist[TargetID],
    tblChecklist[PlayerSort],
    0
   ),
  IF(_xlpm.sort=0,500,_xlpm.sort)
 )
)</f>
        <v>500</v>
      </c>
      <c r="S507" t="str" cm="1">
        <f t="array" ref="S50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Journey Through Japan By Train Finished</v>
      </c>
      <c r="T507" t="str">
        <f>_xlfn.XLOOKUP(tblTargetStatus[[#This Row],[TargetID]],tblTargets[TargetID],tblTargets[CompletionMethod],"")</f>
        <v>PLAYER</v>
      </c>
      <c r="U507" t="b">
        <f>COUNTIF(
    tblCost[TargetID],
    tblTargetStatus[[#This Row],[TargetID]]
)&gt;0</f>
        <v>0</v>
      </c>
      <c r="V507" s="81" t="str">
        <f>IF(tblTargetStatus[[#This Row],[HasCost]]=FALSE,
"N/A",
_xlfn.XLOOKUP(
tblTargetStatus[[#This Row],[TargetID]],
tblCost[TargetID],
tblCost[FundingPercent],
""
)
)</f>
        <v>N/A</v>
      </c>
      <c r="W507" t="str">
        <f>IF(
COUNTIF(tblCost[TargetID],tblTargetStatus[[#This Row],[TargetID]])=0,
"",
_xlfn.XLOOKUP(
tblTargetStatus[[#This Row],[TargetID]],
tblCost[TargetID],
tblCost[RemainingRequirements],
""
)
)</f>
        <v/>
      </c>
      <c r="X507" s="79" t="str">
        <f>IF(tblTargetStatus[[#This Row],[HasCost]]=FALSE,"N/A",_xlfn.XLOOKUP(
tblTargetStatus[[#This Row],[TargetID]],
tblCost[TargetID],
tblCost[TargetFunded],
TRUE
))</f>
        <v>N/A</v>
      </c>
      <c r="Y507" t="str" cm="1">
        <f t="array" ref="Y507">_xlfn.TEXTJOIN(
", ",
TRUE,
_xlfn._xlws.FILTER(
tblCost[ResourceID]&amp;": "&amp;tblCost[QuantityRequired],
(tblCost[TargetID]=tblTargetStatus[[#This Row],[TargetID]])*
(tblCost[PlayerPaid]=FALSE),
""
)
)</f>
        <v/>
      </c>
      <c r="Z5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7" t="str" cm="1">
        <f t="array" ref="AA50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08" spans="1:27">
      <c r="A508" t="s">
        <v>5746</v>
      </c>
      <c r="B508" t="str">
        <f>_xlfn.XLOOKUP(tblTargetStatus[[#This Row],[TargetID]],tblTargets[TargetID],tblTargets[DisplayName],"")</f>
        <v>Visit Kyiv</v>
      </c>
      <c r="C508" t="str">
        <f>IF(tblTargetStatus[[#This Row],[PlayerCompleted]],"COMPLETED",IF(tblTargetStatus[[#This Row],[MissingDependencies]]=0,"READY","BLOCKED"))</f>
        <v>BLOCKED</v>
      </c>
      <c r="D5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8" t="str">
        <f>_xlfn.XLOOKUP(tblTargetStatus[[#This Row],[TargetID]],tblTargets[TargetID],tblTargets[TargetType],"")</f>
        <v>STATE</v>
      </c>
      <c r="F508" t="str">
        <f>_xlfn.XLOOKUP(tblTargetStatus[[#This Row],[TargetID]],tblTargets[TargetID],tblTargets[StateType])</f>
        <v>VISIT</v>
      </c>
      <c r="G508">
        <f>_xlfn.LET(
_xlpm.id,tblTargetStatus[[#This Row],[TargetID]],
_xlpm.depCount,COUNTIF(tblDependencies[TargetID],_xlpm.id),
_xlpm.objCount,COUNTIF(tblQuestObjectives[QuestTargetID],_xlpm.id),
_xlpm.depCount+_xlpm.objCount
)</f>
        <v>1</v>
      </c>
      <c r="H508">
        <f>tblTargetStatus[[#This Row],[DependencyCount]]</f>
        <v>1</v>
      </c>
      <c r="I508" cm="1">
        <f t="array" ref="I5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8">
        <f>tblTargetStatus[[#This Row],[CompletedDependencyCount]]</f>
        <v>0</v>
      </c>
      <c r="K508" t="b">
        <f>tblTargetStatus[[#This Row],[CompletedDependencies]]=tblTargetStatus[[#This Row],[TotalDependencies]]</f>
        <v>0</v>
      </c>
      <c r="L508">
        <f>tblTargetStatus[[#This Row],[TotalDependencies]]-tblTargetStatus[[#This Row],[CompletedDependencies]]</f>
        <v>1</v>
      </c>
      <c r="M508" t="str" cm="1">
        <f t="array" ref="M5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08" t="str">
        <f>IF(tblTargetStatus[[#This Row],[FirstMissingDependencyID]]="","",_xlfn.XLOOKUP(tblTargetStatus[[#This Row],[FirstMissingDependencyID]],tblTargets[TargetID],tblTargets[DisplayName],tblTargetStatus[[#This Row],[FirstMissingDependencyID]]))</f>
        <v>Silk Road Accepted</v>
      </c>
      <c r="O508" s="2" t="str" cm="1">
        <f t="array" ref="O5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8" t="str">
        <f>IF(tblTargetStatus[[#This Row],[FirstMissingDependencyID]]="","",_xlfn.XLOOKUP(tblTargetStatus[[#This Row],[FirstMissingDependencyID]],tblTargetStatus[TargetID],tblTargetStatus[Status],""))</f>
        <v>BLOCKED</v>
      </c>
      <c r="Q508" t="str">
        <f>IF(
 tblTargetStatus[[#This Row],[Status]]&lt;&gt;"BLOCKED",
 tblTargetStatus[[#This Row],[Status]],
 IF(
  AND(
   tblTargetStatus[[#This Row],[MissingDependencies]]=1,
   tblTargetStatus[[#This Row],[FirstMissingStatus]]="READY"
  ),
  "ONE AWAY",
  "BLOCKED"
 )
)</f>
        <v>BLOCKED</v>
      </c>
      <c r="R508">
        <f>IF(
 OR(
  tblTargetStatus[[#This Row],[StateType]]="CHARACTER",
  RIGHT(tblTargetStatus[[#This Row],[TargetID]],6)=".maxed"
 ),
 0,
 _xlfn.LET(
  _xlpm.sort,
   _xlfn.XLOOKUP(
    tblTargetStatus[[#This Row],[TargetID]],
    tblChecklist[TargetID],
    tblChecklist[PlayerSort],
    0
   ),
  IF(_xlpm.sort=0,500,_xlpm.sort)
 )
)</f>
        <v>500</v>
      </c>
      <c r="S508" t="str" cm="1">
        <f t="array" ref="S50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Silk Road Finished</v>
      </c>
      <c r="T508" t="str">
        <f>_xlfn.XLOOKUP(tblTargetStatus[[#This Row],[TargetID]],tblTargets[TargetID],tblTargets[CompletionMethod],"")</f>
        <v>PLAYER</v>
      </c>
      <c r="U508" t="b">
        <f>COUNTIF(
    tblCost[TargetID],
    tblTargetStatus[[#This Row],[TargetID]]
)&gt;0</f>
        <v>0</v>
      </c>
      <c r="V508" s="81" t="str">
        <f>IF(tblTargetStatus[[#This Row],[HasCost]]=FALSE,
"N/A",
_xlfn.XLOOKUP(
tblTargetStatus[[#This Row],[TargetID]],
tblCost[TargetID],
tblCost[FundingPercent],
""
)
)</f>
        <v>N/A</v>
      </c>
      <c r="W508" t="str">
        <f>IF(
COUNTIF(tblCost[TargetID],tblTargetStatus[[#This Row],[TargetID]])=0,
"",
_xlfn.XLOOKUP(
tblTargetStatus[[#This Row],[TargetID]],
tblCost[TargetID],
tblCost[RemainingRequirements],
""
)
)</f>
        <v/>
      </c>
      <c r="X508" s="79" t="str">
        <f>IF(tblTargetStatus[[#This Row],[HasCost]]=FALSE,"N/A",_xlfn.XLOOKUP(
tblTargetStatus[[#This Row],[TargetID]],
tblCost[TargetID],
tblCost[TargetFunded],
TRUE
))</f>
        <v>N/A</v>
      </c>
      <c r="Y508" t="str" cm="1">
        <f t="array" ref="Y508">_xlfn.TEXTJOIN(
", ",
TRUE,
_xlfn._xlws.FILTER(
tblCost[ResourceID]&amp;": "&amp;tblCost[QuantityRequired],
(tblCost[TargetID]=tblTargetStatus[[#This Row],[TargetID]])*
(tblCost[PlayerPaid]=FALSE),
""
)
)</f>
        <v/>
      </c>
      <c r="Z5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8" t="str" cm="1">
        <f t="array" ref="AA50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09" spans="1:27">
      <c r="A509" t="s">
        <v>5762</v>
      </c>
      <c r="B509" t="str">
        <f>_xlfn.XLOOKUP(tblTargetStatus[[#This Row],[TargetID]],tblTargets[TargetID],tblTargets[DisplayName],"")</f>
        <v>Visit Kyoto</v>
      </c>
      <c r="C509" t="str">
        <f>IF(tblTargetStatus[[#This Row],[PlayerCompleted]],"COMPLETED",IF(tblTargetStatus[[#This Row],[MissingDependencies]]=0,"READY","BLOCKED"))</f>
        <v>BLOCKED</v>
      </c>
      <c r="D5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9" t="str">
        <f>_xlfn.XLOOKUP(tblTargetStatus[[#This Row],[TargetID]],tblTargets[TargetID],tblTargets[TargetType],"")</f>
        <v>STATE</v>
      </c>
      <c r="F509" t="str">
        <f>_xlfn.XLOOKUP(tblTargetStatus[[#This Row],[TargetID]],tblTargets[TargetID],tblTargets[StateType])</f>
        <v>VISIT</v>
      </c>
      <c r="G509">
        <f>_xlfn.LET(
_xlpm.id,tblTargetStatus[[#This Row],[TargetID]],
_xlpm.depCount,COUNTIF(tblDependencies[TargetID],_xlpm.id),
_xlpm.objCount,COUNTIF(tblQuestObjectives[QuestTargetID],_xlpm.id),
_xlpm.depCount+_xlpm.objCount
)</f>
        <v>2</v>
      </c>
      <c r="H509">
        <f>tblTargetStatus[[#This Row],[DependencyCount]]</f>
        <v>2</v>
      </c>
      <c r="I509" cm="1">
        <f t="array" ref="I5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9">
        <f>tblTargetStatus[[#This Row],[CompletedDependencyCount]]</f>
        <v>0</v>
      </c>
      <c r="K509" t="b">
        <f>tblTargetStatus[[#This Row],[CompletedDependencies]]=tblTargetStatus[[#This Row],[TotalDependencies]]</f>
        <v>0</v>
      </c>
      <c r="L509">
        <f>tblTargetStatus[[#This Row],[TotalDependencies]]-tblTargetStatus[[#This Row],[CompletedDependencies]]</f>
        <v>2</v>
      </c>
      <c r="M509" t="str" cm="1">
        <f t="array" ref="M5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09" t="str">
        <f>IF(tblTargetStatus[[#This Row],[FirstMissingDependencyID]]="","",_xlfn.XLOOKUP(tblTargetStatus[[#This Row],[FirstMissingDependencyID]],tblTargets[TargetID],tblTargets[DisplayName],tblTargetStatus[[#This Row],[FirstMissingDependencyID]]))</f>
        <v>Journey Through Japan By Train Accepted</v>
      </c>
      <c r="O509" s="2" t="str" cm="1">
        <f t="array" ref="O5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9" t="str">
        <f>IF(tblTargetStatus[[#This Row],[FirstMissingDependencyID]]="","",_xlfn.XLOOKUP(tblTargetStatus[[#This Row],[FirstMissingDependencyID]],tblTargetStatus[TargetID],tblTargetStatus[Status],""))</f>
        <v>BLOCKED</v>
      </c>
      <c r="Q509" t="str">
        <f>IF(
 tblTargetStatus[[#This Row],[Status]]&lt;&gt;"BLOCKED",
 tblTargetStatus[[#This Row],[Status]],
 IF(
  AND(
   tblTargetStatus[[#This Row],[MissingDependencies]]=1,
   tblTargetStatus[[#This Row],[FirstMissingStatus]]="READY"
  ),
  "ONE AWAY",
  "BLOCKED"
 )
)</f>
        <v>BLOCKED</v>
      </c>
      <c r="R509">
        <f>IF(
 OR(
  tblTargetStatus[[#This Row],[StateType]]="CHARACTER",
  RIGHT(tblTargetStatus[[#This Row],[TargetID]],6)=".maxed"
 ),
 0,
 _xlfn.LET(
  _xlpm.sort,
   _xlfn.XLOOKUP(
    tblTargetStatus[[#This Row],[TargetID]],
    tblChecklist[TargetID],
    tblChecklist[PlayerSort],
    0
   ),
  IF(_xlpm.sort=0,500,_xlpm.sort)
 )
)</f>
        <v>500</v>
      </c>
      <c r="S509" t="str" cm="1">
        <f t="array" ref="S50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Journey Through Japan By Train Finished</v>
      </c>
      <c r="T509" t="str">
        <f>_xlfn.XLOOKUP(tblTargetStatus[[#This Row],[TargetID]],tblTargets[TargetID],tblTargets[CompletionMethod],"")</f>
        <v>PLAYER</v>
      </c>
      <c r="U509" t="b">
        <f>COUNTIF(
    tblCost[TargetID],
    tblTargetStatus[[#This Row],[TargetID]]
)&gt;0</f>
        <v>0</v>
      </c>
      <c r="V509" s="81" t="str">
        <f>IF(tblTargetStatus[[#This Row],[HasCost]]=FALSE,
"N/A",
_xlfn.XLOOKUP(
tblTargetStatus[[#This Row],[TargetID]],
tblCost[TargetID],
tblCost[FundingPercent],
""
)
)</f>
        <v>N/A</v>
      </c>
      <c r="W509" t="str">
        <f>IF(
COUNTIF(tblCost[TargetID],tblTargetStatus[[#This Row],[TargetID]])=0,
"",
_xlfn.XLOOKUP(
tblTargetStatus[[#This Row],[TargetID]],
tblCost[TargetID],
tblCost[RemainingRequirements],
""
)
)</f>
        <v/>
      </c>
      <c r="X509" s="79" t="str">
        <f>IF(tblTargetStatus[[#This Row],[HasCost]]=FALSE,"N/A",_xlfn.XLOOKUP(
tblTargetStatus[[#This Row],[TargetID]],
tblCost[TargetID],
tblCost[TargetFunded],
TRUE
))</f>
        <v>N/A</v>
      </c>
      <c r="Y509" t="str" cm="1">
        <f t="array" ref="Y509">_xlfn.TEXTJOIN(
", ",
TRUE,
_xlfn._xlws.FILTER(
tblCost[ResourceID]&amp;": "&amp;tblCost[QuantityRequired],
(tblCost[TargetID]=tblTargetStatus[[#This Row],[TargetID]])*
(tblCost[PlayerPaid]=FALSE),
""
)
)</f>
        <v/>
      </c>
      <c r="Z5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9" t="str" cm="1">
        <f t="array" ref="AA50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0" spans="1:27">
      <c r="A510" t="s">
        <v>5705</v>
      </c>
      <c r="B510" t="str">
        <f>_xlfn.XLOOKUP(tblTargetStatus[[#This Row],[TargetID]],tblTargets[TargetID],tblTargets[DisplayName],"")</f>
        <v>Visit Melbourne in Airship</v>
      </c>
      <c r="C510" t="str">
        <f>IF(tblTargetStatus[[#This Row],[PlayerCompleted]],"COMPLETED",IF(tblTargetStatus[[#This Row],[MissingDependencies]]=0,"READY","BLOCKED"))</f>
        <v>BLOCKED</v>
      </c>
      <c r="D5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0" t="str">
        <f>_xlfn.XLOOKUP(tblTargetStatus[[#This Row],[TargetID]],tblTargets[TargetID],tblTargets[TargetType],"")</f>
        <v>STATE</v>
      </c>
      <c r="F510" t="str">
        <f>_xlfn.XLOOKUP(tblTargetStatus[[#This Row],[TargetID]],tblTargets[TargetID],tblTargets[StateType])</f>
        <v>VISIT</v>
      </c>
      <c r="G510">
        <f>_xlfn.LET(
_xlpm.id,tblTargetStatus[[#This Row],[TargetID]],
_xlpm.depCount,COUNTIF(tblDependencies[TargetID],_xlpm.id),
_xlpm.objCount,COUNTIF(tblQuestObjectives[QuestTargetID],_xlpm.id),
_xlpm.depCount+_xlpm.objCount
)</f>
        <v>1</v>
      </c>
      <c r="H510">
        <f>tblTargetStatus[[#This Row],[DependencyCount]]</f>
        <v>1</v>
      </c>
      <c r="I510" cm="1">
        <f t="array" ref="I5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0">
        <f>tblTargetStatus[[#This Row],[CompletedDependencyCount]]</f>
        <v>0</v>
      </c>
      <c r="K510" t="b">
        <f>tblTargetStatus[[#This Row],[CompletedDependencies]]=tblTargetStatus[[#This Row],[TotalDependencies]]</f>
        <v>0</v>
      </c>
      <c r="L510">
        <f>tblTargetStatus[[#This Row],[TotalDependencies]]-tblTargetStatus[[#This Row],[CompletedDependencies]]</f>
        <v>1</v>
      </c>
      <c r="M510" t="str" cm="1">
        <f t="array" ref="M5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quest.once_upon_a_forest_chapter_11.accepted</v>
      </c>
      <c r="N510" t="str">
        <f>IF(tblTargetStatus[[#This Row],[FirstMissingDependencyID]]="","",_xlfn.XLOOKUP(tblTargetStatus[[#This Row],[FirstMissingDependencyID]],tblTargets[TargetID],tblTargets[DisplayName],tblTargetStatus[[#This Row],[FirstMissingDependencyID]]))</f>
        <v>Once Upon a Forest Chapter 11 Accepted</v>
      </c>
      <c r="O510" s="2" t="str" cm="1">
        <f t="array" ref="O5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0" t="str">
        <f>IF(tblTargetStatus[[#This Row],[FirstMissingDependencyID]]="","",_xlfn.XLOOKUP(tblTargetStatus[[#This Row],[FirstMissingDependencyID]],tblTargetStatus[TargetID],tblTargetStatus[Status],""))</f>
        <v>BLOCKED</v>
      </c>
      <c r="Q510" t="str">
        <f>IF(
 tblTargetStatus[[#This Row],[Status]]&lt;&gt;"BLOCKED",
 tblTargetStatus[[#This Row],[Status]],
 IF(
  AND(
   tblTargetStatus[[#This Row],[MissingDependencies]]=1,
   tblTargetStatus[[#This Row],[FirstMissingStatus]]="READY"
  ),
  "ONE AWAY",
  "BLOCKED"
 )
)</f>
        <v>BLOCKED</v>
      </c>
      <c r="R510">
        <f>IF(
 OR(
  tblTargetStatus[[#This Row],[StateType]]="CHARACTER",
  RIGHT(tblTargetStatus[[#This Row],[TargetID]],6)=".maxed"
 ),
 0,
 _xlfn.LET(
  _xlpm.sort,
   _xlfn.XLOOKUP(
    tblTargetStatus[[#This Row],[TargetID]],
    tblChecklist[TargetID],
    tblChecklist[PlayerSort],
    0
   ),
  IF(_xlpm.sort=0,500,_xlpm.sort)
 )
)</f>
        <v>500</v>
      </c>
      <c r="S510" t="str" cm="1">
        <f t="array" ref="S51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11 Finished</v>
      </c>
      <c r="T510" t="str">
        <f>_xlfn.XLOOKUP(tblTargetStatus[[#This Row],[TargetID]],tblTargets[TargetID],tblTargets[CompletionMethod],"")</f>
        <v>PLAYER</v>
      </c>
      <c r="U510" t="b">
        <f>COUNTIF(
    tblCost[TargetID],
    tblTargetStatus[[#This Row],[TargetID]]
)&gt;0</f>
        <v>0</v>
      </c>
      <c r="V510" s="81" t="str">
        <f>IF(tblTargetStatus[[#This Row],[HasCost]]=FALSE,
"N/A",
_xlfn.XLOOKUP(
tblTargetStatus[[#This Row],[TargetID]],
tblCost[TargetID],
tblCost[FundingPercent],
""
)
)</f>
        <v>N/A</v>
      </c>
      <c r="W510" t="str">
        <f>IF(
COUNTIF(tblCost[TargetID],tblTargetStatus[[#This Row],[TargetID]])=0,
"",
_xlfn.XLOOKUP(
tblTargetStatus[[#This Row],[TargetID]],
tblCost[TargetID],
tblCost[RemainingRequirements],
""
)
)</f>
        <v/>
      </c>
      <c r="X510" s="79" t="str">
        <f>IF(tblTargetStatus[[#This Row],[HasCost]]=FALSE,"N/A",_xlfn.XLOOKUP(
tblTargetStatus[[#This Row],[TargetID]],
tblCost[TargetID],
tblCost[TargetFunded],
TRUE
))</f>
        <v>N/A</v>
      </c>
      <c r="Y510" t="str" cm="1">
        <f t="array" ref="Y510">_xlfn.TEXTJOIN(
", ",
TRUE,
_xlfn._xlws.FILTER(
tblCost[ResourceID]&amp;": "&amp;tblCost[QuantityRequired],
(tblCost[TargetID]=tblTargetStatus[[#This Row],[TargetID]])*
(tblCost[PlayerPaid]=FALSE),
""
)
)</f>
        <v/>
      </c>
      <c r="Z5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0" t="str" cm="1">
        <f t="array" ref="AA51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1" spans="1:27">
      <c r="A511" t="s">
        <v>5763</v>
      </c>
      <c r="B511" t="str">
        <f>_xlfn.XLOOKUP(tblTargetStatus[[#This Row],[TargetID]],tblTargets[TargetID],tblTargets[DisplayName],"")</f>
        <v>Visit Nagasaki</v>
      </c>
      <c r="C511" t="str">
        <f>IF(tblTargetStatus[[#This Row],[PlayerCompleted]],"COMPLETED",IF(tblTargetStatus[[#This Row],[MissingDependencies]]=0,"READY","BLOCKED"))</f>
        <v>BLOCKED</v>
      </c>
      <c r="D5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1" t="str">
        <f>_xlfn.XLOOKUP(tblTargetStatus[[#This Row],[TargetID]],tblTargets[TargetID],tblTargets[TargetType],"")</f>
        <v>STATE</v>
      </c>
      <c r="F511" t="str">
        <f>_xlfn.XLOOKUP(tblTargetStatus[[#This Row],[TargetID]],tblTargets[TargetID],tblTargets[StateType])</f>
        <v>VISIT</v>
      </c>
      <c r="G511">
        <f>_xlfn.LET(
_xlpm.id,tblTargetStatus[[#This Row],[TargetID]],
_xlpm.depCount,COUNTIF(tblDependencies[TargetID],_xlpm.id),
_xlpm.objCount,COUNTIF(tblQuestObjectives[QuestTargetID],_xlpm.id),
_xlpm.depCount+_xlpm.objCount
)</f>
        <v>2</v>
      </c>
      <c r="H511">
        <f>tblTargetStatus[[#This Row],[DependencyCount]]</f>
        <v>2</v>
      </c>
      <c r="I511" cm="1">
        <f t="array" ref="I5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1">
        <f>tblTargetStatus[[#This Row],[CompletedDependencyCount]]</f>
        <v>0</v>
      </c>
      <c r="K511" t="b">
        <f>tblTargetStatus[[#This Row],[CompletedDependencies]]=tblTargetStatus[[#This Row],[TotalDependencies]]</f>
        <v>0</v>
      </c>
      <c r="L511">
        <f>tblTargetStatus[[#This Row],[TotalDependencies]]-tblTargetStatus[[#This Row],[CompletedDependencies]]</f>
        <v>2</v>
      </c>
      <c r="M511" t="str" cm="1">
        <f t="array" ref="M5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11" t="str">
        <f>IF(tblTargetStatus[[#This Row],[FirstMissingDependencyID]]="","",_xlfn.XLOOKUP(tblTargetStatus[[#This Row],[FirstMissingDependencyID]],tblTargets[TargetID],tblTargets[DisplayName],tblTargetStatus[[#This Row],[FirstMissingDependencyID]]))</f>
        <v>Journey Through Japan By Train Accepted</v>
      </c>
      <c r="O511" s="2" t="str" cm="1">
        <f t="array" ref="O5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1" t="str">
        <f>IF(tblTargetStatus[[#This Row],[FirstMissingDependencyID]]="","",_xlfn.XLOOKUP(tblTargetStatus[[#This Row],[FirstMissingDependencyID]],tblTargetStatus[TargetID],tblTargetStatus[Status],""))</f>
        <v>BLOCKED</v>
      </c>
      <c r="Q511" t="str">
        <f>IF(
 tblTargetStatus[[#This Row],[Status]]&lt;&gt;"BLOCKED",
 tblTargetStatus[[#This Row],[Status]],
 IF(
  AND(
   tblTargetStatus[[#This Row],[MissingDependencies]]=1,
   tblTargetStatus[[#This Row],[FirstMissingStatus]]="READY"
  ),
  "ONE AWAY",
  "BLOCKED"
 )
)</f>
        <v>BLOCKED</v>
      </c>
      <c r="R511">
        <f>IF(
 OR(
  tblTargetStatus[[#This Row],[StateType]]="CHARACTER",
  RIGHT(tblTargetStatus[[#This Row],[TargetID]],6)=".maxed"
 ),
 0,
 _xlfn.LET(
  _xlpm.sort,
   _xlfn.XLOOKUP(
    tblTargetStatus[[#This Row],[TargetID]],
    tblChecklist[TargetID],
    tblChecklist[PlayerSort],
    0
   ),
  IF(_xlpm.sort=0,500,_xlpm.sort)
 )
)</f>
        <v>500</v>
      </c>
      <c r="S511" t="str" cm="1">
        <f t="array" ref="S51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Journey Through Japan By Train Finished</v>
      </c>
      <c r="T511" t="str">
        <f>_xlfn.XLOOKUP(tblTargetStatus[[#This Row],[TargetID]],tblTargets[TargetID],tblTargets[CompletionMethod],"")</f>
        <v>PLAYER</v>
      </c>
      <c r="U511" t="b">
        <f>COUNTIF(
    tblCost[TargetID],
    tblTargetStatus[[#This Row],[TargetID]]
)&gt;0</f>
        <v>0</v>
      </c>
      <c r="V511" s="81" t="str">
        <f>IF(tblTargetStatus[[#This Row],[HasCost]]=FALSE,
"N/A",
_xlfn.XLOOKUP(
tblTargetStatus[[#This Row],[TargetID]],
tblCost[TargetID],
tblCost[FundingPercent],
""
)
)</f>
        <v>N/A</v>
      </c>
      <c r="W511" t="str">
        <f>IF(
COUNTIF(tblCost[TargetID],tblTargetStatus[[#This Row],[TargetID]])=0,
"",
_xlfn.XLOOKUP(
tblTargetStatus[[#This Row],[TargetID]],
tblCost[TargetID],
tblCost[RemainingRequirements],
""
)
)</f>
        <v/>
      </c>
      <c r="X511" s="79" t="str">
        <f>IF(tblTargetStatus[[#This Row],[HasCost]]=FALSE,"N/A",_xlfn.XLOOKUP(
tblTargetStatus[[#This Row],[TargetID]],
tblCost[TargetID],
tblCost[TargetFunded],
TRUE
))</f>
        <v>N/A</v>
      </c>
      <c r="Y511" t="str" cm="1">
        <f t="array" ref="Y511">_xlfn.TEXTJOIN(
", ",
TRUE,
_xlfn._xlws.FILTER(
tblCost[ResourceID]&amp;": "&amp;tblCost[QuantityRequired],
(tblCost[TargetID]=tblTargetStatus[[#This Row],[TargetID]])*
(tblCost[PlayerPaid]=FALSE),
""
)
)</f>
        <v/>
      </c>
      <c r="Z5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1" t="str" cm="1">
        <f t="array" ref="AA51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2" spans="1:27">
      <c r="A512" t="s">
        <v>5764</v>
      </c>
      <c r="B512" t="str">
        <f>_xlfn.XLOOKUP(tblTargetStatus[[#This Row],[TargetID]],tblTargets[TargetID],tblTargets[DisplayName],"")</f>
        <v>Visit Osaka</v>
      </c>
      <c r="C512" t="str">
        <f>IF(tblTargetStatus[[#This Row],[PlayerCompleted]],"COMPLETED",IF(tblTargetStatus[[#This Row],[MissingDependencies]]=0,"READY","BLOCKED"))</f>
        <v>BLOCKED</v>
      </c>
      <c r="D5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2" t="str">
        <f>_xlfn.XLOOKUP(tblTargetStatus[[#This Row],[TargetID]],tblTargets[TargetID],tblTargets[TargetType],"")</f>
        <v>STATE</v>
      </c>
      <c r="F512" t="str">
        <f>_xlfn.XLOOKUP(tblTargetStatus[[#This Row],[TargetID]],tblTargets[TargetID],tblTargets[StateType])</f>
        <v>VISIT</v>
      </c>
      <c r="G512">
        <f>_xlfn.LET(
_xlpm.id,tblTargetStatus[[#This Row],[TargetID]],
_xlpm.depCount,COUNTIF(tblDependencies[TargetID],_xlpm.id),
_xlpm.objCount,COUNTIF(tblQuestObjectives[QuestTargetID],_xlpm.id),
_xlpm.depCount+_xlpm.objCount
)</f>
        <v>2</v>
      </c>
      <c r="H512">
        <f>tblTargetStatus[[#This Row],[DependencyCount]]</f>
        <v>2</v>
      </c>
      <c r="I512" cm="1">
        <f t="array" ref="I5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2">
        <f>tblTargetStatus[[#This Row],[CompletedDependencyCount]]</f>
        <v>0</v>
      </c>
      <c r="K512" t="b">
        <f>tblTargetStatus[[#This Row],[CompletedDependencies]]=tblTargetStatus[[#This Row],[TotalDependencies]]</f>
        <v>0</v>
      </c>
      <c r="L512">
        <f>tblTargetStatus[[#This Row],[TotalDependencies]]-tblTargetStatus[[#This Row],[CompletedDependencies]]</f>
        <v>2</v>
      </c>
      <c r="M512" t="str" cm="1">
        <f t="array" ref="M5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12" t="str">
        <f>IF(tblTargetStatus[[#This Row],[FirstMissingDependencyID]]="","",_xlfn.XLOOKUP(tblTargetStatus[[#This Row],[FirstMissingDependencyID]],tblTargets[TargetID],tblTargets[DisplayName],tblTargetStatus[[#This Row],[FirstMissingDependencyID]]))</f>
        <v>Journey Through Japan By Train Accepted</v>
      </c>
      <c r="O512" s="2" t="str" cm="1">
        <f t="array" ref="O5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2" t="str">
        <f>IF(tblTargetStatus[[#This Row],[FirstMissingDependencyID]]="","",_xlfn.XLOOKUP(tblTargetStatus[[#This Row],[FirstMissingDependencyID]],tblTargetStatus[TargetID],tblTargetStatus[Status],""))</f>
        <v>BLOCKED</v>
      </c>
      <c r="Q512" t="str">
        <f>IF(
 tblTargetStatus[[#This Row],[Status]]&lt;&gt;"BLOCKED",
 tblTargetStatus[[#This Row],[Status]],
 IF(
  AND(
   tblTargetStatus[[#This Row],[MissingDependencies]]=1,
   tblTargetStatus[[#This Row],[FirstMissingStatus]]="READY"
  ),
  "ONE AWAY",
  "BLOCKED"
 )
)</f>
        <v>BLOCKED</v>
      </c>
      <c r="R512">
        <f>IF(
 OR(
  tblTargetStatus[[#This Row],[StateType]]="CHARACTER",
  RIGHT(tblTargetStatus[[#This Row],[TargetID]],6)=".maxed"
 ),
 0,
 _xlfn.LET(
  _xlpm.sort,
   _xlfn.XLOOKUP(
    tblTargetStatus[[#This Row],[TargetID]],
    tblChecklist[TargetID],
    tblChecklist[PlayerSort],
    0
   ),
  IF(_xlpm.sort=0,500,_xlpm.sort)
 )
)</f>
        <v>500</v>
      </c>
      <c r="S512" t="str" cm="1">
        <f t="array" ref="S51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Journey Through Japan By Train Finished</v>
      </c>
      <c r="T512" t="str">
        <f>_xlfn.XLOOKUP(tblTargetStatus[[#This Row],[TargetID]],tblTargets[TargetID],tblTargets[CompletionMethod],"")</f>
        <v>PLAYER</v>
      </c>
      <c r="U512" t="b">
        <f>COUNTIF(
    tblCost[TargetID],
    tblTargetStatus[[#This Row],[TargetID]]
)&gt;0</f>
        <v>0</v>
      </c>
      <c r="V512" s="81" t="str">
        <f>IF(tblTargetStatus[[#This Row],[HasCost]]=FALSE,
"N/A",
_xlfn.XLOOKUP(
tblTargetStatus[[#This Row],[TargetID]],
tblCost[TargetID],
tblCost[FundingPercent],
""
)
)</f>
        <v>N/A</v>
      </c>
      <c r="W512" t="str">
        <f>IF(
COUNTIF(tblCost[TargetID],tblTargetStatus[[#This Row],[TargetID]])=0,
"",
_xlfn.XLOOKUP(
tblTargetStatus[[#This Row],[TargetID]],
tblCost[TargetID],
tblCost[RemainingRequirements],
""
)
)</f>
        <v/>
      </c>
      <c r="X512" s="79" t="str">
        <f>IF(tblTargetStatus[[#This Row],[HasCost]]=FALSE,"N/A",_xlfn.XLOOKUP(
tblTargetStatus[[#This Row],[TargetID]],
tblCost[TargetID],
tblCost[TargetFunded],
TRUE
))</f>
        <v>N/A</v>
      </c>
      <c r="Y512" t="str" cm="1">
        <f t="array" ref="Y512">_xlfn.TEXTJOIN(
", ",
TRUE,
_xlfn._xlws.FILTER(
tblCost[ResourceID]&amp;": "&amp;tblCost[QuantityRequired],
(tblCost[TargetID]=tblTargetStatus[[#This Row],[TargetID]])*
(tblCost[PlayerPaid]=FALSE),
""
)
)</f>
        <v/>
      </c>
      <c r="Z5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2" t="str" cm="1">
        <f t="array" ref="AA51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3" spans="1:27">
      <c r="A513" t="s">
        <v>5688</v>
      </c>
      <c r="B513" t="str">
        <f>_xlfn.XLOOKUP(tblTargetStatus[[#This Row],[TargetID]],tblTargets[TargetID],tblTargets[DisplayName],"")</f>
        <v>Visit Paris in the Airship</v>
      </c>
      <c r="C513" t="str">
        <f>IF(tblTargetStatus[[#This Row],[PlayerCompleted]],"COMPLETED",IF(tblTargetStatus[[#This Row],[MissingDependencies]]=0,"READY","BLOCKED"))</f>
        <v>BLOCKED</v>
      </c>
      <c r="D5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3" t="str">
        <f>_xlfn.XLOOKUP(tblTargetStatus[[#This Row],[TargetID]],tblTargets[TargetID],tblTargets[TargetType],"")</f>
        <v>STATE</v>
      </c>
      <c r="F513" t="str">
        <f>_xlfn.XLOOKUP(tblTargetStatus[[#This Row],[TargetID]],tblTargets[TargetID],tblTargets[StateType])</f>
        <v>VISIT</v>
      </c>
      <c r="G513">
        <f>_xlfn.LET(
_xlpm.id,tblTargetStatus[[#This Row],[TargetID]],
_xlpm.depCount,COUNTIF(tblDependencies[TargetID],_xlpm.id),
_xlpm.objCount,COUNTIF(tblQuestObjectives[QuestTargetID],_xlpm.id),
_xlpm.depCount+_xlpm.objCount
)</f>
        <v>1</v>
      </c>
      <c r="H513">
        <f>tblTargetStatus[[#This Row],[DependencyCount]]</f>
        <v>1</v>
      </c>
      <c r="I513" cm="1">
        <f t="array" ref="I5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3">
        <f>tblTargetStatus[[#This Row],[CompletedDependencyCount]]</f>
        <v>0</v>
      </c>
      <c r="K513" t="b">
        <f>tblTargetStatus[[#This Row],[CompletedDependencies]]=tblTargetStatus[[#This Row],[TotalDependencies]]</f>
        <v>0</v>
      </c>
      <c r="L513">
        <f>tblTargetStatus[[#This Row],[TotalDependencies]]-tblTargetStatus[[#This Row],[CompletedDependencies]]</f>
        <v>1</v>
      </c>
      <c r="M513" t="str" cm="1">
        <f t="array" ref="M5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quest.the_ordinary_days_of_an_adventurer_chapter_8.accepted</v>
      </c>
      <c r="N513" t="str">
        <f>IF(tblTargetStatus[[#This Row],[FirstMissingDependencyID]]="","",_xlfn.XLOOKUP(tblTargetStatus[[#This Row],[FirstMissingDependencyID]],tblTargets[TargetID],tblTargets[DisplayName],tblTargetStatus[[#This Row],[FirstMissingDependencyID]]))</f>
        <v>The Ordinary Days of an Adventurer Chapter 8 Accepted</v>
      </c>
      <c r="O513" s="2" t="str" cm="1">
        <f t="array" ref="O5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3" t="str">
        <f>IF(tblTargetStatus[[#This Row],[FirstMissingDependencyID]]="","",_xlfn.XLOOKUP(tblTargetStatus[[#This Row],[FirstMissingDependencyID]],tblTargetStatus[TargetID],tblTargetStatus[Status],""))</f>
        <v>BLOCKED</v>
      </c>
      <c r="Q513" t="str">
        <f>IF(
 tblTargetStatus[[#This Row],[Status]]&lt;&gt;"BLOCKED",
 tblTargetStatus[[#This Row],[Status]],
 IF(
  AND(
   tblTargetStatus[[#This Row],[MissingDependencies]]=1,
   tblTargetStatus[[#This Row],[FirstMissingStatus]]="READY"
  ),
  "ONE AWAY",
  "BLOCKED"
 )
)</f>
        <v>BLOCKED</v>
      </c>
      <c r="R513">
        <f>IF(
 OR(
  tblTargetStatus[[#This Row],[StateType]]="CHARACTER",
  RIGHT(tblTargetStatus[[#This Row],[TargetID]],6)=".maxed"
 ),
 0,
 _xlfn.LET(
  _xlpm.sort,
   _xlfn.XLOOKUP(
    tblTargetStatus[[#This Row],[TargetID]],
    tblChecklist[TargetID],
    tblChecklist[PlayerSort],
    0
   ),
  IF(_xlpm.sort=0,500,_xlpm.sort)
 )
)</f>
        <v>500</v>
      </c>
      <c r="S513" t="str" cm="1">
        <f t="array" ref="S51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8 Finished</v>
      </c>
      <c r="T513" t="str">
        <f>_xlfn.XLOOKUP(tblTargetStatus[[#This Row],[TargetID]],tblTargets[TargetID],tblTargets[CompletionMethod],"")</f>
        <v>PLAYER</v>
      </c>
      <c r="U513" t="b">
        <f>COUNTIF(
    tblCost[TargetID],
    tblTargetStatus[[#This Row],[TargetID]]
)&gt;0</f>
        <v>0</v>
      </c>
      <c r="V513" s="81" t="str">
        <f>IF(tblTargetStatus[[#This Row],[HasCost]]=FALSE,
"N/A",
_xlfn.XLOOKUP(
tblTargetStatus[[#This Row],[TargetID]],
tblCost[TargetID],
tblCost[FundingPercent],
""
)
)</f>
        <v>N/A</v>
      </c>
      <c r="W513" t="str">
        <f>IF(
COUNTIF(tblCost[TargetID],tblTargetStatus[[#This Row],[TargetID]])=0,
"",
_xlfn.XLOOKUP(
tblTargetStatus[[#This Row],[TargetID]],
tblCost[TargetID],
tblCost[RemainingRequirements],
""
)
)</f>
        <v/>
      </c>
      <c r="X513" s="79" t="str">
        <f>IF(tblTargetStatus[[#This Row],[HasCost]]=FALSE,"N/A",_xlfn.XLOOKUP(
tblTargetStatus[[#This Row],[TargetID]],
tblCost[TargetID],
tblCost[TargetFunded],
TRUE
))</f>
        <v>N/A</v>
      </c>
      <c r="Y513" t="str" cm="1">
        <f t="array" ref="Y513">_xlfn.TEXTJOIN(
", ",
TRUE,
_xlfn._xlws.FILTER(
tblCost[ResourceID]&amp;": "&amp;tblCost[QuantityRequired],
(tblCost[TargetID]=tblTargetStatus[[#This Row],[TargetID]])*
(tblCost[PlayerPaid]=FALSE),
""
)
)</f>
        <v/>
      </c>
      <c r="Z5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3" t="str" cm="1">
        <f t="array" ref="AA51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4" spans="1:27">
      <c r="A514" t="s">
        <v>5747</v>
      </c>
      <c r="B514" t="str">
        <f>_xlfn.XLOOKUP(tblTargetStatus[[#This Row],[TargetID]],tblTargets[TargetID],tblTargets[DisplayName],"")</f>
        <v>Visit Rome</v>
      </c>
      <c r="C514" t="str">
        <f>IF(tblTargetStatus[[#This Row],[PlayerCompleted]],"COMPLETED",IF(tblTargetStatus[[#This Row],[MissingDependencies]]=0,"READY","BLOCKED"))</f>
        <v>BLOCKED</v>
      </c>
      <c r="D5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4" t="str">
        <f>_xlfn.XLOOKUP(tblTargetStatus[[#This Row],[TargetID]],tblTargets[TargetID],tblTargets[TargetType],"")</f>
        <v>STATE</v>
      </c>
      <c r="F514" t="str">
        <f>_xlfn.XLOOKUP(tblTargetStatus[[#This Row],[TargetID]],tblTargets[TargetID],tblTargets[StateType])</f>
        <v>VISIT</v>
      </c>
      <c r="G514">
        <f>_xlfn.LET(
_xlpm.id,tblTargetStatus[[#This Row],[TargetID]],
_xlpm.depCount,COUNTIF(tblDependencies[TargetID],_xlpm.id),
_xlpm.objCount,COUNTIF(tblQuestObjectives[QuestTargetID],_xlpm.id),
_xlpm.depCount+_xlpm.objCount
)</f>
        <v>1</v>
      </c>
      <c r="H514">
        <f>tblTargetStatus[[#This Row],[DependencyCount]]</f>
        <v>1</v>
      </c>
      <c r="I514" cm="1">
        <f t="array" ref="I5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4">
        <f>tblTargetStatus[[#This Row],[CompletedDependencyCount]]</f>
        <v>0</v>
      </c>
      <c r="K514" t="b">
        <f>tblTargetStatus[[#This Row],[CompletedDependencies]]=tblTargetStatus[[#This Row],[TotalDependencies]]</f>
        <v>0</v>
      </c>
      <c r="L514">
        <f>tblTargetStatus[[#This Row],[TotalDependencies]]-tblTargetStatus[[#This Row],[CompletedDependencies]]</f>
        <v>1</v>
      </c>
      <c r="M514" t="str" cm="1">
        <f t="array" ref="M5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14" t="str">
        <f>IF(tblTargetStatus[[#This Row],[FirstMissingDependencyID]]="","",_xlfn.XLOOKUP(tblTargetStatus[[#This Row],[FirstMissingDependencyID]],tblTargets[TargetID],tblTargets[DisplayName],tblTargetStatus[[#This Row],[FirstMissingDependencyID]]))</f>
        <v>Silk Road Accepted</v>
      </c>
      <c r="O514" s="2" t="str" cm="1">
        <f t="array" ref="O5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4" t="str">
        <f>IF(tblTargetStatus[[#This Row],[FirstMissingDependencyID]]="","",_xlfn.XLOOKUP(tblTargetStatus[[#This Row],[FirstMissingDependencyID]],tblTargetStatus[TargetID],tblTargetStatus[Status],""))</f>
        <v>BLOCKED</v>
      </c>
      <c r="Q514" t="str">
        <f>IF(
 tblTargetStatus[[#This Row],[Status]]&lt;&gt;"BLOCKED",
 tblTargetStatus[[#This Row],[Status]],
 IF(
  AND(
   tblTargetStatus[[#This Row],[MissingDependencies]]=1,
   tblTargetStatus[[#This Row],[FirstMissingStatus]]="READY"
  ),
  "ONE AWAY",
  "BLOCKED"
 )
)</f>
        <v>BLOCKED</v>
      </c>
      <c r="R514">
        <f>IF(
 OR(
  tblTargetStatus[[#This Row],[StateType]]="CHARACTER",
  RIGHT(tblTargetStatus[[#This Row],[TargetID]],6)=".maxed"
 ),
 0,
 _xlfn.LET(
  _xlpm.sort,
   _xlfn.XLOOKUP(
    tblTargetStatus[[#This Row],[TargetID]],
    tblChecklist[TargetID],
    tblChecklist[PlayerSort],
    0
   ),
  IF(_xlpm.sort=0,500,_xlpm.sort)
 )
)</f>
        <v>500</v>
      </c>
      <c r="S514" t="str" cm="1">
        <f t="array" ref="S51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Silk Road Finished</v>
      </c>
      <c r="T514" t="str">
        <f>_xlfn.XLOOKUP(tblTargetStatus[[#This Row],[TargetID]],tblTargets[TargetID],tblTargets[CompletionMethod],"")</f>
        <v>PLAYER</v>
      </c>
      <c r="U514" t="b">
        <f>COUNTIF(
    tblCost[TargetID],
    tblTargetStatus[[#This Row],[TargetID]]
)&gt;0</f>
        <v>0</v>
      </c>
      <c r="V514" s="81" t="str">
        <f>IF(tblTargetStatus[[#This Row],[HasCost]]=FALSE,
"N/A",
_xlfn.XLOOKUP(
tblTargetStatus[[#This Row],[TargetID]],
tblCost[TargetID],
tblCost[FundingPercent],
""
)
)</f>
        <v>N/A</v>
      </c>
      <c r="W514" t="str">
        <f>IF(
COUNTIF(tblCost[TargetID],tblTargetStatus[[#This Row],[TargetID]])=0,
"",
_xlfn.XLOOKUP(
tblTargetStatus[[#This Row],[TargetID]],
tblCost[TargetID],
tblCost[RemainingRequirements],
""
)
)</f>
        <v/>
      </c>
      <c r="X514" s="79" t="str">
        <f>IF(tblTargetStatus[[#This Row],[HasCost]]=FALSE,"N/A",_xlfn.XLOOKUP(
tblTargetStatus[[#This Row],[TargetID]],
tblCost[TargetID],
tblCost[TargetFunded],
TRUE
))</f>
        <v>N/A</v>
      </c>
      <c r="Y514" t="str" cm="1">
        <f t="array" ref="Y514">_xlfn.TEXTJOIN(
", ",
TRUE,
_xlfn._xlws.FILTER(
tblCost[ResourceID]&amp;": "&amp;tblCost[QuantityRequired],
(tblCost[TargetID]=tblTargetStatus[[#This Row],[TargetID]])*
(tblCost[PlayerPaid]=FALSE),
""
)
)</f>
        <v/>
      </c>
      <c r="Z5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4" t="str" cm="1">
        <f t="array" ref="AA51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5" spans="1:27">
      <c r="A515" t="s">
        <v>5765</v>
      </c>
      <c r="B515" t="str">
        <f>_xlfn.XLOOKUP(tblTargetStatus[[#This Row],[TargetID]],tblTargets[TargetID],tblTargets[DisplayName],"")</f>
        <v>Visit Tokyo</v>
      </c>
      <c r="C515" t="str">
        <f>IF(tblTargetStatus[[#This Row],[PlayerCompleted]],"COMPLETED",IF(tblTargetStatus[[#This Row],[MissingDependencies]]=0,"READY","BLOCKED"))</f>
        <v>BLOCKED</v>
      </c>
      <c r="D5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5" t="str">
        <f>_xlfn.XLOOKUP(tblTargetStatus[[#This Row],[TargetID]],tblTargets[TargetID],tblTargets[TargetType],"")</f>
        <v>STATE</v>
      </c>
      <c r="F515" t="str">
        <f>_xlfn.XLOOKUP(tblTargetStatus[[#This Row],[TargetID]],tblTargets[TargetID],tblTargets[StateType])</f>
        <v>VISIT</v>
      </c>
      <c r="G515">
        <f>_xlfn.LET(
_xlpm.id,tblTargetStatus[[#This Row],[TargetID]],
_xlpm.depCount,COUNTIF(tblDependencies[TargetID],_xlpm.id),
_xlpm.objCount,COUNTIF(tblQuestObjectives[QuestTargetID],_xlpm.id),
_xlpm.depCount+_xlpm.objCount
)</f>
        <v>2</v>
      </c>
      <c r="H515">
        <f>tblTargetStatus[[#This Row],[DependencyCount]]</f>
        <v>2</v>
      </c>
      <c r="I515" cm="1">
        <f t="array" ref="I5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5">
        <f>tblTargetStatus[[#This Row],[CompletedDependencyCount]]</f>
        <v>0</v>
      </c>
      <c r="K515" t="b">
        <f>tblTargetStatus[[#This Row],[CompletedDependencies]]=tblTargetStatus[[#This Row],[TotalDependencies]]</f>
        <v>0</v>
      </c>
      <c r="L515">
        <f>tblTargetStatus[[#This Row],[TotalDependencies]]-tblTargetStatus[[#This Row],[CompletedDependencies]]</f>
        <v>2</v>
      </c>
      <c r="M515" t="str" cm="1">
        <f t="array" ref="M5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15" t="str">
        <f>IF(tblTargetStatus[[#This Row],[FirstMissingDependencyID]]="","",_xlfn.XLOOKUP(tblTargetStatus[[#This Row],[FirstMissingDependencyID]],tblTargets[TargetID],tblTargets[DisplayName],tblTargetStatus[[#This Row],[FirstMissingDependencyID]]))</f>
        <v>Journey Through Japan By Train Accepted</v>
      </c>
      <c r="O515" s="2" t="str" cm="1">
        <f t="array" ref="O5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5" t="str">
        <f>IF(tblTargetStatus[[#This Row],[FirstMissingDependencyID]]="","",_xlfn.XLOOKUP(tblTargetStatus[[#This Row],[FirstMissingDependencyID]],tblTargetStatus[TargetID],tblTargetStatus[Status],""))</f>
        <v>BLOCKED</v>
      </c>
      <c r="Q515" t="str">
        <f>IF(
 tblTargetStatus[[#This Row],[Status]]&lt;&gt;"BLOCKED",
 tblTargetStatus[[#This Row],[Status]],
 IF(
  AND(
   tblTargetStatus[[#This Row],[MissingDependencies]]=1,
   tblTargetStatus[[#This Row],[FirstMissingStatus]]="READY"
  ),
  "ONE AWAY",
  "BLOCKED"
 )
)</f>
        <v>BLOCKED</v>
      </c>
      <c r="R515">
        <f>IF(
 OR(
  tblTargetStatus[[#This Row],[StateType]]="CHARACTER",
  RIGHT(tblTargetStatus[[#This Row],[TargetID]],6)=".maxed"
 ),
 0,
 _xlfn.LET(
  _xlpm.sort,
   _xlfn.XLOOKUP(
    tblTargetStatus[[#This Row],[TargetID]],
    tblChecklist[TargetID],
    tblChecklist[PlayerSort],
    0
   ),
  IF(_xlpm.sort=0,500,_xlpm.sort)
 )
)</f>
        <v>500</v>
      </c>
      <c r="S515" t="str" cm="1">
        <f t="array" ref="S51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Journey Through Japan By Train Finished</v>
      </c>
      <c r="T515" t="str">
        <f>_xlfn.XLOOKUP(tblTargetStatus[[#This Row],[TargetID]],tblTargets[TargetID],tblTargets[CompletionMethod],"")</f>
        <v>PLAYER</v>
      </c>
      <c r="U515" t="b">
        <f>COUNTIF(
    tblCost[TargetID],
    tblTargetStatus[[#This Row],[TargetID]]
)&gt;0</f>
        <v>0</v>
      </c>
      <c r="V515" s="81" t="str">
        <f>IF(tblTargetStatus[[#This Row],[HasCost]]=FALSE,
"N/A",
_xlfn.XLOOKUP(
tblTargetStatus[[#This Row],[TargetID]],
tblCost[TargetID],
tblCost[FundingPercent],
""
)
)</f>
        <v>N/A</v>
      </c>
      <c r="W515" t="str">
        <f>IF(
COUNTIF(tblCost[TargetID],tblTargetStatus[[#This Row],[TargetID]])=0,
"",
_xlfn.XLOOKUP(
tblTargetStatus[[#This Row],[TargetID]],
tblCost[TargetID],
tblCost[RemainingRequirements],
""
)
)</f>
        <v/>
      </c>
      <c r="X515" s="79" t="str">
        <f>IF(tblTargetStatus[[#This Row],[HasCost]]=FALSE,"N/A",_xlfn.XLOOKUP(
tblTargetStatus[[#This Row],[TargetID]],
tblCost[TargetID],
tblCost[TargetFunded],
TRUE
))</f>
        <v>N/A</v>
      </c>
      <c r="Y515" t="str" cm="1">
        <f t="array" ref="Y515">_xlfn.TEXTJOIN(
", ",
TRUE,
_xlfn._xlws.FILTER(
tblCost[ResourceID]&amp;": "&amp;tblCost[QuantityRequired],
(tblCost[TargetID]=tblTargetStatus[[#This Row],[TargetID]])*
(tblCost[PlayerPaid]=FALSE),
""
)
)</f>
        <v/>
      </c>
      <c r="Z5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5" t="str" cm="1">
        <f t="array" ref="AA51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6" spans="1:27">
      <c r="A516" t="s">
        <v>5766</v>
      </c>
      <c r="B516" t="str">
        <f>_xlfn.XLOOKUP(tblTargetStatus[[#This Row],[TargetID]],tblTargets[TargetID],tblTargets[DisplayName],"")</f>
        <v>Visit Wakayama</v>
      </c>
      <c r="C516" t="str">
        <f>IF(tblTargetStatus[[#This Row],[PlayerCompleted]],"COMPLETED",IF(tblTargetStatus[[#This Row],[MissingDependencies]]=0,"READY","BLOCKED"))</f>
        <v>BLOCKED</v>
      </c>
      <c r="D5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6" t="str">
        <f>_xlfn.XLOOKUP(tblTargetStatus[[#This Row],[TargetID]],tblTargets[TargetID],tblTargets[TargetType],"")</f>
        <v>STATE</v>
      </c>
      <c r="F516" t="str">
        <f>_xlfn.XLOOKUP(tblTargetStatus[[#This Row],[TargetID]],tblTargets[TargetID],tblTargets[StateType])</f>
        <v>VISIT</v>
      </c>
      <c r="G516">
        <f>_xlfn.LET(
_xlpm.id,tblTargetStatus[[#This Row],[TargetID]],
_xlpm.depCount,COUNTIF(tblDependencies[TargetID],_xlpm.id),
_xlpm.objCount,COUNTIF(tblQuestObjectives[QuestTargetID],_xlpm.id),
_xlpm.depCount+_xlpm.objCount
)</f>
        <v>2</v>
      </c>
      <c r="H516">
        <f>tblTargetStatus[[#This Row],[DependencyCount]]</f>
        <v>2</v>
      </c>
      <c r="I516" cm="1">
        <f t="array" ref="I5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6">
        <f>tblTargetStatus[[#This Row],[CompletedDependencyCount]]</f>
        <v>0</v>
      </c>
      <c r="K516" t="b">
        <f>tblTargetStatus[[#This Row],[CompletedDependencies]]=tblTargetStatus[[#This Row],[TotalDependencies]]</f>
        <v>0</v>
      </c>
      <c r="L516">
        <f>tblTargetStatus[[#This Row],[TotalDependencies]]-tblTargetStatus[[#This Row],[CompletedDependencies]]</f>
        <v>2</v>
      </c>
      <c r="M516" t="str" cm="1">
        <f t="array" ref="M5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16" t="str">
        <f>IF(tblTargetStatus[[#This Row],[FirstMissingDependencyID]]="","",_xlfn.XLOOKUP(tblTargetStatus[[#This Row],[FirstMissingDependencyID]],tblTargets[TargetID],tblTargets[DisplayName],tblTargetStatus[[#This Row],[FirstMissingDependencyID]]))</f>
        <v>Journey Through Japan By Train Accepted</v>
      </c>
      <c r="O516" s="2" t="str" cm="1">
        <f t="array" ref="O5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6" t="str">
        <f>IF(tblTargetStatus[[#This Row],[FirstMissingDependencyID]]="","",_xlfn.XLOOKUP(tblTargetStatus[[#This Row],[FirstMissingDependencyID]],tblTargetStatus[TargetID],tblTargetStatus[Status],""))</f>
        <v>BLOCKED</v>
      </c>
      <c r="Q516" t="str">
        <f>IF(
 tblTargetStatus[[#This Row],[Status]]&lt;&gt;"BLOCKED",
 tblTargetStatus[[#This Row],[Status]],
 IF(
  AND(
   tblTargetStatus[[#This Row],[MissingDependencies]]=1,
   tblTargetStatus[[#This Row],[FirstMissingStatus]]="READY"
  ),
  "ONE AWAY",
  "BLOCKED"
 )
)</f>
        <v>BLOCKED</v>
      </c>
      <c r="R516">
        <f>IF(
 OR(
  tblTargetStatus[[#This Row],[StateType]]="CHARACTER",
  RIGHT(tblTargetStatus[[#This Row],[TargetID]],6)=".maxed"
 ),
 0,
 _xlfn.LET(
  _xlpm.sort,
   _xlfn.XLOOKUP(
    tblTargetStatus[[#This Row],[TargetID]],
    tblChecklist[TargetID],
    tblChecklist[PlayerSort],
    0
   ),
  IF(_xlpm.sort=0,500,_xlpm.sort)
 )
)</f>
        <v>500</v>
      </c>
      <c r="S516" t="str" cm="1">
        <f t="array" ref="S51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Journey Through Japan By Train Finished</v>
      </c>
      <c r="T516" t="str">
        <f>_xlfn.XLOOKUP(tblTargetStatus[[#This Row],[TargetID]],tblTargets[TargetID],tblTargets[CompletionMethod],"")</f>
        <v>PLAYER</v>
      </c>
      <c r="U516" t="b">
        <f>COUNTIF(
    tblCost[TargetID],
    tblTargetStatus[[#This Row],[TargetID]]
)&gt;0</f>
        <v>0</v>
      </c>
      <c r="V516" s="81" t="str">
        <f>IF(tblTargetStatus[[#This Row],[HasCost]]=FALSE,
"N/A",
_xlfn.XLOOKUP(
tblTargetStatus[[#This Row],[TargetID]],
tblCost[TargetID],
tblCost[FundingPercent],
""
)
)</f>
        <v>N/A</v>
      </c>
      <c r="W516" t="str">
        <f>IF(
COUNTIF(tblCost[TargetID],tblTargetStatus[[#This Row],[TargetID]])=0,
"",
_xlfn.XLOOKUP(
tblTargetStatus[[#This Row],[TargetID]],
tblCost[TargetID],
tblCost[RemainingRequirements],
""
)
)</f>
        <v/>
      </c>
      <c r="X516" s="79" t="str">
        <f>IF(tblTargetStatus[[#This Row],[HasCost]]=FALSE,"N/A",_xlfn.XLOOKUP(
tblTargetStatus[[#This Row],[TargetID]],
tblCost[TargetID],
tblCost[TargetFunded],
TRUE
))</f>
        <v>N/A</v>
      </c>
      <c r="Y516" t="str" cm="1">
        <f t="array" ref="Y516">_xlfn.TEXTJOIN(
", ",
TRUE,
_xlfn._xlws.FILTER(
tblCost[ResourceID]&amp;": "&amp;tblCost[QuantityRequired],
(tblCost[TargetID]=tblTargetStatus[[#This Row],[TargetID]])*
(tblCost[PlayerPaid]=FALSE),
""
)
)</f>
        <v/>
      </c>
      <c r="Z5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6" t="str" cm="1">
        <f t="array" ref="AA51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7" spans="1:27">
      <c r="A517" t="s">
        <v>5748</v>
      </c>
      <c r="B517" t="str">
        <f>_xlfn.XLOOKUP(tblTargetStatus[[#This Row],[TargetID]],tblTargets[TargetID],tblTargets[DisplayName],"")</f>
        <v>Visit Xian</v>
      </c>
      <c r="C517" t="str">
        <f>IF(tblTargetStatus[[#This Row],[PlayerCompleted]],"COMPLETED",IF(tblTargetStatus[[#This Row],[MissingDependencies]]=0,"READY","BLOCKED"))</f>
        <v>BLOCKED</v>
      </c>
      <c r="D5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7" t="str">
        <f>_xlfn.XLOOKUP(tblTargetStatus[[#This Row],[TargetID]],tblTargets[TargetID],tblTargets[TargetType],"")</f>
        <v>STATE</v>
      </c>
      <c r="F517" t="str">
        <f>_xlfn.XLOOKUP(tblTargetStatus[[#This Row],[TargetID]],tblTargets[TargetID],tblTargets[StateType])</f>
        <v>VISIT</v>
      </c>
      <c r="G517">
        <f>_xlfn.LET(
_xlpm.id,tblTargetStatus[[#This Row],[TargetID]],
_xlpm.depCount,COUNTIF(tblDependencies[TargetID],_xlpm.id),
_xlpm.objCount,COUNTIF(tblQuestObjectives[QuestTargetID],_xlpm.id),
_xlpm.depCount+_xlpm.objCount
)</f>
        <v>1</v>
      </c>
      <c r="H517">
        <f>tblTargetStatus[[#This Row],[DependencyCount]]</f>
        <v>1</v>
      </c>
      <c r="I517" cm="1">
        <f t="array" ref="I5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7">
        <f>tblTargetStatus[[#This Row],[CompletedDependencyCount]]</f>
        <v>0</v>
      </c>
      <c r="K517" t="b">
        <f>tblTargetStatus[[#This Row],[CompletedDependencies]]=tblTargetStatus[[#This Row],[TotalDependencies]]</f>
        <v>0</v>
      </c>
      <c r="L517">
        <f>tblTargetStatus[[#This Row],[TotalDependencies]]-tblTargetStatus[[#This Row],[CompletedDependencies]]</f>
        <v>1</v>
      </c>
      <c r="M517" t="str" cm="1">
        <f t="array" ref="M5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17" t="str">
        <f>IF(tblTargetStatus[[#This Row],[FirstMissingDependencyID]]="","",_xlfn.XLOOKUP(tblTargetStatus[[#This Row],[FirstMissingDependencyID]],tblTargets[TargetID],tblTargets[DisplayName],tblTargetStatus[[#This Row],[FirstMissingDependencyID]]))</f>
        <v>Silk Road Accepted</v>
      </c>
      <c r="O517" s="2" t="str" cm="1">
        <f t="array" ref="O5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7" t="str">
        <f>IF(tblTargetStatus[[#This Row],[FirstMissingDependencyID]]="","",_xlfn.XLOOKUP(tblTargetStatus[[#This Row],[FirstMissingDependencyID]],tblTargetStatus[TargetID],tblTargetStatus[Status],""))</f>
        <v>BLOCKED</v>
      </c>
      <c r="Q517" t="str">
        <f>IF(
 tblTargetStatus[[#This Row],[Status]]&lt;&gt;"BLOCKED",
 tblTargetStatus[[#This Row],[Status]],
 IF(
  AND(
   tblTargetStatus[[#This Row],[MissingDependencies]]=1,
   tblTargetStatus[[#This Row],[FirstMissingStatus]]="READY"
  ),
  "ONE AWAY",
  "BLOCKED"
 )
)</f>
        <v>BLOCKED</v>
      </c>
      <c r="R517">
        <f>IF(
 OR(
  tblTargetStatus[[#This Row],[StateType]]="CHARACTER",
  RIGHT(tblTargetStatus[[#This Row],[TargetID]],6)=".maxed"
 ),
 0,
 _xlfn.LET(
  _xlpm.sort,
   _xlfn.XLOOKUP(
    tblTargetStatus[[#This Row],[TargetID]],
    tblChecklist[TargetID],
    tblChecklist[PlayerSort],
    0
   ),
  IF(_xlpm.sort=0,500,_xlpm.sort)
 )
)</f>
        <v>500</v>
      </c>
      <c r="S517" t="str" cm="1">
        <f t="array" ref="S51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Silk Road Finished</v>
      </c>
      <c r="T517" t="str">
        <f>_xlfn.XLOOKUP(tblTargetStatus[[#This Row],[TargetID]],tblTargets[TargetID],tblTargets[CompletionMethod],"")</f>
        <v>PLAYER</v>
      </c>
      <c r="U517" t="b">
        <f>COUNTIF(
    tblCost[TargetID],
    tblTargetStatus[[#This Row],[TargetID]]
)&gt;0</f>
        <v>0</v>
      </c>
      <c r="V517" s="81" t="str">
        <f>IF(tblTargetStatus[[#This Row],[HasCost]]=FALSE,
"N/A",
_xlfn.XLOOKUP(
tblTargetStatus[[#This Row],[TargetID]],
tblCost[TargetID],
tblCost[FundingPercent],
""
)
)</f>
        <v>N/A</v>
      </c>
      <c r="W517" t="str">
        <f>IF(
COUNTIF(tblCost[TargetID],tblTargetStatus[[#This Row],[TargetID]])=0,
"",
_xlfn.XLOOKUP(
tblTargetStatus[[#This Row],[TargetID]],
tblCost[TargetID],
tblCost[RemainingRequirements],
""
)
)</f>
        <v/>
      </c>
      <c r="X517" s="79" t="str">
        <f>IF(tblTargetStatus[[#This Row],[HasCost]]=FALSE,"N/A",_xlfn.XLOOKUP(
tblTargetStatus[[#This Row],[TargetID]],
tblCost[TargetID],
tblCost[TargetFunded],
TRUE
))</f>
        <v>N/A</v>
      </c>
      <c r="Y517" t="str" cm="1">
        <f t="array" ref="Y517">_xlfn.TEXTJOIN(
", ",
TRUE,
_xlfn._xlws.FILTER(
tblCost[ResourceID]&amp;": "&amp;tblCost[QuantityRequired],
(tblCost[TargetID]=tblTargetStatus[[#This Row],[TargetID]])*
(tblCost[PlayerPaid]=FALSE),
""
)
)</f>
        <v/>
      </c>
      <c r="Z5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7" t="str" cm="1">
        <f t="array" ref="AA51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8" spans="1:27">
      <c r="A518" t="s">
        <v>2093</v>
      </c>
      <c r="B518" t="str">
        <f>_xlfn.XLOOKUP(tblTargetStatus[[#This Row],[TargetID]],tblTargets[TargetID],tblTargets[DisplayName],"")</f>
        <v>Airship - Titanium Longerons</v>
      </c>
      <c r="C518" t="str">
        <f>IF(tblTargetStatus[[#This Row],[PlayerCompleted]],"COMPLETED",IF(tblTargetStatus[[#This Row],[MissingDependencies]]=0,"READY","BLOCKED"))</f>
        <v>BLOCKED</v>
      </c>
      <c r="D5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8" t="str">
        <f>_xlfn.XLOOKUP(tblTargetStatus[[#This Row],[TargetID]],tblTargets[TargetID],tblTargets[TargetType],"")</f>
        <v>TECH</v>
      </c>
      <c r="F518" t="str">
        <f>_xlfn.XLOOKUP(tblTargetStatus[[#This Row],[TargetID]],tblTargets[TargetID],tblTargets[StateType])</f>
        <v/>
      </c>
      <c r="G518">
        <f>_xlfn.LET(
_xlpm.id,tblTargetStatus[[#This Row],[TargetID]],
_xlpm.depCount,COUNTIF(tblDependencies[TargetID],_xlpm.id),
_xlpm.objCount,COUNTIF(tblQuestObjectives[QuestTargetID],_xlpm.id),
_xlpm.depCount+_xlpm.objCount
)</f>
        <v>3</v>
      </c>
      <c r="H518">
        <f>tblTargetStatus[[#This Row],[DependencyCount]]</f>
        <v>3</v>
      </c>
      <c r="I518" cm="1">
        <f t="array" ref="I5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8">
        <f>tblTargetStatus[[#This Row],[CompletedDependencyCount]]</f>
        <v>0</v>
      </c>
      <c r="K518" t="b">
        <f>tblTargetStatus[[#This Row],[CompletedDependencies]]=tblTargetStatus[[#This Row],[TotalDependencies]]</f>
        <v>0</v>
      </c>
      <c r="L518">
        <f>tblTargetStatus[[#This Row],[TotalDependencies]]-tblTargetStatus[[#This Row],[CompletedDependencies]]</f>
        <v>3</v>
      </c>
      <c r="M518" t="str" cm="1">
        <f t="array" ref="M5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tech.furnace.titanium_parts</v>
      </c>
      <c r="N518" t="str">
        <f>IF(tblTargetStatus[[#This Row],[FirstMissingDependencyID]]="","",_xlfn.XLOOKUP(tblTargetStatus[[#This Row],[FirstMissingDependencyID]],tblTargets[TargetID],tblTargets[DisplayName],tblTargetStatus[[#This Row],[FirstMissingDependencyID]]))</f>
        <v>Furnace - Titanium Parts</v>
      </c>
      <c r="O518" t="str" cm="1">
        <f t="array" ref="O5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apy,30 blueprint,1000 coin,20 reagent,5 ruby,30 tparts</v>
      </c>
      <c r="P518" t="str">
        <f>IF(tblTargetStatus[[#This Row],[FirstMissingDependencyID]]="","",_xlfn.XLOOKUP(tblTargetStatus[[#This Row],[FirstMissingDependencyID]],tblTargetStatus[TargetID],tblTargetStatus[Status],""))</f>
        <v>BLOCKED</v>
      </c>
      <c r="Q518" t="str">
        <f>IF(
 tblTargetStatus[[#This Row],[Status]]&lt;&gt;"BLOCKED",
 tblTargetStatus[[#This Row],[Status]],
 IF(
  AND(
   tblTargetStatus[[#This Row],[MissingDependencies]]=1,
   tblTargetStatus[[#This Row],[FirstMissingStatus]]="READY"
  ),
  "ONE AWAY",
  "BLOCKED"
 )
)</f>
        <v>BLOCKED</v>
      </c>
      <c r="R518">
        <f>IF(
 OR(
  tblTargetStatus[[#This Row],[StateType]]="CHARACTER",
  RIGHT(tblTargetStatus[[#This Row],[TargetID]],6)=".maxed"
 ),
 0,
 _xlfn.LET(
  _xlpm.sort,
   _xlfn.XLOOKUP(
    tblTargetStatus[[#This Row],[TargetID]],
    tblChecklist[TargetID],
    tblChecklist[PlayerSort],
    0
   ),
  IF(_xlpm.sort=0,500,_xlpm.sort)
 )
)</f>
        <v>1</v>
      </c>
      <c r="S518" t="str" cm="1">
        <f t="array" ref="S51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18" t="str">
        <f>_xlfn.XLOOKUP(tblTargetStatus[[#This Row],[TargetID]],tblTargets[TargetID],tblTargets[CompletionMethod],"")</f>
        <v>PLAYER</v>
      </c>
      <c r="U518" t="b">
        <f>COUNTIF(
    tblCost[TargetID],
    tblTargetStatus[[#This Row],[TargetID]]
)&gt;0</f>
        <v>1</v>
      </c>
      <c r="V518" s="81">
        <f>IF(tblTargetStatus[[#This Row],[HasCost]]=FALSE,
"N/A",
_xlfn.XLOOKUP(
tblTargetStatus[[#This Row],[TargetID]],
tblCost[TargetID],
tblCost[FundingPercent],
""
)
)</f>
        <v>0</v>
      </c>
      <c r="W518">
        <f>IF(
COUNTIF(tblCost[TargetID],tblTargetStatus[[#This Row],[TargetID]])=0,
"",
_xlfn.XLOOKUP(
tblTargetStatus[[#This Row],[TargetID]],
tblCost[TargetID],
tblCost[RemainingRequirements],
""
)
)</f>
        <v>6</v>
      </c>
      <c r="X518" s="79" t="b">
        <f>IF(tblTargetStatus[[#This Row],[HasCost]]=FALSE,"N/A",_xlfn.XLOOKUP(
tblTargetStatus[[#This Row],[TargetID]],
tblCost[TargetID],
tblCost[TargetFunded],
TRUE
))</f>
        <v>0</v>
      </c>
      <c r="Y518" t="str" cm="1">
        <f t="array" ref="Y518">_xlfn.TEXTJOIN(
", ",
TRUE,
_xlfn._xlws.FILTER(
tblCost[ResourceID]&amp;": "&amp;tblCost[QuantityRequired],
(tblCost[TargetID]=tblTargetStatus[[#This Row],[TargetID]])*
(tblCost[PlayerPaid]=FALSE),
""
)
)</f>
        <v>apy: 10, blueprint: 30, coin: 1000, reagent: 20, ruby: 5, tparts: 30</v>
      </c>
      <c r="Z5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8" t="str" cm="1">
        <f t="array" ref="AA51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19" spans="1:27">
      <c r="A519" t="s">
        <v>2128</v>
      </c>
      <c r="B519" t="str">
        <f>_xlfn.XLOOKUP(tblTargetStatus[[#This Row],[TargetID]],tblTargets[TargetID],tblTargets[DisplayName],"")</f>
        <v>Alchemists Hut - Advanced Fertilizer</v>
      </c>
      <c r="C519" t="str">
        <f>IF(tblTargetStatus[[#This Row],[PlayerCompleted]],"COMPLETED",IF(tblTargetStatus[[#This Row],[MissingDependencies]]=0,"READY","BLOCKED"))</f>
        <v>BLOCKED</v>
      </c>
      <c r="D5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9" t="str">
        <f>_xlfn.XLOOKUP(tblTargetStatus[[#This Row],[TargetID]],tblTargets[TargetID],tblTargets[TargetType],"")</f>
        <v>TECH</v>
      </c>
      <c r="F519" t="str">
        <f>_xlfn.XLOOKUP(tblTargetStatus[[#This Row],[TargetID]],tblTargets[TargetID],tblTargets[StateType])</f>
        <v/>
      </c>
      <c r="G519">
        <f>_xlfn.LET(
_xlpm.id,tblTargetStatus[[#This Row],[TargetID]],
_xlpm.depCount,COUNTIF(tblDependencies[TargetID],_xlpm.id),
_xlpm.objCount,COUNTIF(tblQuestObjectives[QuestTargetID],_xlpm.id),
_xlpm.depCount+_xlpm.objCount
)</f>
        <v>2</v>
      </c>
      <c r="H519">
        <f>tblTargetStatus[[#This Row],[DependencyCount]]</f>
        <v>2</v>
      </c>
      <c r="I519" cm="1">
        <f t="array" ref="I5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9">
        <f>tblTargetStatus[[#This Row],[CompletedDependencyCount]]</f>
        <v>0</v>
      </c>
      <c r="K519" t="b">
        <f>tblTargetStatus[[#This Row],[CompletedDependencies]]=tblTargetStatus[[#This Row],[TotalDependencies]]</f>
        <v>0</v>
      </c>
      <c r="L519">
        <f>tblTargetStatus[[#This Row],[TotalDependencies]]-tblTargetStatus[[#This Row],[CompletedDependencies]]</f>
        <v>2</v>
      </c>
      <c r="M519" t="str" cm="1">
        <f t="array" ref="M5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tech.alchemists_hut.synthetic_fertilizer</v>
      </c>
      <c r="N519" t="str">
        <f>IF(tblTargetStatus[[#This Row],[FirstMissingDependencyID]]="","",_xlfn.XLOOKUP(tblTargetStatus[[#This Row],[FirstMissingDependencyID]],tblTargets[TargetID],tblTargets[DisplayName],tblTargetStatus[[#This Row],[FirstMissingDependencyID]]))</f>
        <v>Alchemists Hut - Synthetic Fertilizer</v>
      </c>
      <c r="O519" t="str" cm="1">
        <f t="array" ref="O5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blueprint,20 catalyst,100 chemicals,800 coin,50 fertilizer,20 glass,20 reagent,5 ruby,10 titanium</v>
      </c>
      <c r="P519" t="str">
        <f>IF(tblTargetStatus[[#This Row],[FirstMissingDependencyID]]="","",_xlfn.XLOOKUP(tblTargetStatus[[#This Row],[FirstMissingDependencyID]],tblTargetStatus[TargetID],tblTargetStatus[Status],""))</f>
        <v>BLOCKED</v>
      </c>
      <c r="Q519" t="str">
        <f>IF(
 tblTargetStatus[[#This Row],[Status]]&lt;&gt;"BLOCKED",
 tblTargetStatus[[#This Row],[Status]],
 IF(
  AND(
   tblTargetStatus[[#This Row],[MissingDependencies]]=1,
   tblTargetStatus[[#This Row],[FirstMissingStatus]]="READY"
  ),
  "ONE AWAY",
  "BLOCKED"
 )
)</f>
        <v>BLOCKED</v>
      </c>
      <c r="R519">
        <f>IF(
 OR(
  tblTargetStatus[[#This Row],[StateType]]="CHARACTER",
  RIGHT(tblTargetStatus[[#This Row],[TargetID]],6)=".maxed"
 ),
 0,
 _xlfn.LET(
  _xlpm.sort,
   _xlfn.XLOOKUP(
    tblTargetStatus[[#This Row],[TargetID]],
    tblChecklist[TargetID],
    tblChecklist[PlayerSort],
    0
   ),
  IF(_xlpm.sort=0,500,_xlpm.sort)
 )
)</f>
        <v>500</v>
      </c>
      <c r="S519" t="str" cm="1">
        <f t="array" ref="S51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19" t="str">
        <f>_xlfn.XLOOKUP(tblTargetStatus[[#This Row],[TargetID]],tblTargets[TargetID],tblTargets[CompletionMethod],"")</f>
        <v>PLAYER</v>
      </c>
      <c r="U519" t="b">
        <f>COUNTIF(
    tblCost[TargetID],
    tblTargetStatus[[#This Row],[TargetID]]
)&gt;0</f>
        <v>1</v>
      </c>
      <c r="V519" s="81">
        <f>IF(tblTargetStatus[[#This Row],[HasCost]]=FALSE,
"N/A",
_xlfn.XLOOKUP(
tblTargetStatus[[#This Row],[TargetID]],
tblCost[TargetID],
tblCost[FundingPercent],
""
)
)</f>
        <v>0</v>
      </c>
      <c r="W519">
        <f>IF(
COUNTIF(tblCost[TargetID],tblTargetStatus[[#This Row],[TargetID]])=0,
"",
_xlfn.XLOOKUP(
tblTargetStatus[[#This Row],[TargetID]],
tblCost[TargetID],
tblCost[RemainingRequirements],
""
)
)</f>
        <v>9</v>
      </c>
      <c r="X519" s="79" t="b">
        <f>IF(tblTargetStatus[[#This Row],[HasCost]]=FALSE,"N/A",_xlfn.XLOOKUP(
tblTargetStatus[[#This Row],[TargetID]],
tblCost[TargetID],
tblCost[TargetFunded],
TRUE
))</f>
        <v>0</v>
      </c>
      <c r="Y519" t="str" cm="1">
        <f t="array" ref="Y519">_xlfn.TEXTJOIN(
", ",
TRUE,
_xlfn._xlws.FILTER(
tblCost[ResourceID]&amp;": "&amp;tblCost[QuantityRequired],
(tblCost[TargetID]=tblTargetStatus[[#This Row],[TargetID]])*
(tblCost[PlayerPaid]=FALSE),
""
)
)</f>
        <v>blueprint: 30, catalyst: 20, chemicals: 100, coin: 800, fertilizer: 50, glass: 20, reagent: 20, ruby: 5, titanium: 10</v>
      </c>
      <c r="Z5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9" t="str" cm="1">
        <f t="array" ref="AA51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0" spans="1:27">
      <c r="A520" t="s">
        <v>2100</v>
      </c>
      <c r="B520" t="str">
        <f>_xlfn.XLOOKUP(tblTargetStatus[[#This Row],[TargetID]],tblTargets[TargetID],tblTargets[DisplayName],"")</f>
        <v>Alchemists Hut - Balm</v>
      </c>
      <c r="C520" t="str">
        <f>IF(tblTargetStatus[[#This Row],[PlayerCompleted]],"COMPLETED",IF(tblTargetStatus[[#This Row],[MissingDependencies]]=0,"READY","BLOCKED"))</f>
        <v>BLOCKED</v>
      </c>
      <c r="D5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0" t="str">
        <f>_xlfn.XLOOKUP(tblTargetStatus[[#This Row],[TargetID]],tblTargets[TargetID],tblTargets[TargetType],"")</f>
        <v>TECH</v>
      </c>
      <c r="F520" t="str">
        <f>_xlfn.XLOOKUP(tblTargetStatus[[#This Row],[TargetID]],tblTargets[TargetID],tblTargets[StateType])</f>
        <v/>
      </c>
      <c r="G520">
        <f>_xlfn.LET(
_xlpm.id,tblTargetStatus[[#This Row],[TargetID]],
_xlpm.depCount,COUNTIF(tblDependencies[TargetID],_xlpm.id),
_xlpm.objCount,COUNTIF(tblQuestObjectives[QuestTargetID],_xlpm.id),
_xlpm.depCount+_xlpm.objCount
)</f>
        <v>2</v>
      </c>
      <c r="H520">
        <f>tblTargetStatus[[#This Row],[DependencyCount]]</f>
        <v>2</v>
      </c>
      <c r="I520" cm="1">
        <f t="array" ref="I5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0">
        <f>tblTargetStatus[[#This Row],[CompletedDependencyCount]]</f>
        <v>0</v>
      </c>
      <c r="K520" t="b">
        <f>tblTargetStatus[[#This Row],[CompletedDependencies]]=tblTargetStatus[[#This Row],[TotalDependencies]]</f>
        <v>0</v>
      </c>
      <c r="L520">
        <f>tblTargetStatus[[#This Row],[TotalDependencies]]-tblTargetStatus[[#This Row],[CompletedDependencies]]</f>
        <v>2</v>
      </c>
      <c r="M520" t="str" cm="1">
        <f t="array" ref="M5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quest.once_upon_a_forest_chapter_6.accepted</v>
      </c>
      <c r="N520" t="str">
        <f>IF(tblTargetStatus[[#This Row],[FirstMissingDependencyID]]="","",_xlfn.XLOOKUP(tblTargetStatus[[#This Row],[FirstMissingDependencyID]],tblTargets[TargetID],tblTargets[DisplayName],tblTargetStatus[[#This Row],[FirstMissingDependencyID]]))</f>
        <v>Once Upon a Forest Chapter 6 Accepted</v>
      </c>
      <c r="O520" t="str" cm="1">
        <f t="array" ref="O5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cinnabar,300 coin,10 glass,10 grimoire,30 herbs,5 oil,1 ruby</v>
      </c>
      <c r="P520" t="str">
        <f>IF(tblTargetStatus[[#This Row],[FirstMissingDependencyID]]="","",_xlfn.XLOOKUP(tblTargetStatus[[#This Row],[FirstMissingDependencyID]],tblTargetStatus[TargetID],tblTargetStatus[Status],""))</f>
        <v>BLOCKED</v>
      </c>
      <c r="Q520" t="str">
        <f>IF(
 tblTargetStatus[[#This Row],[Status]]&lt;&gt;"BLOCKED",
 tblTargetStatus[[#This Row],[Status]],
 IF(
  AND(
   tblTargetStatus[[#This Row],[MissingDependencies]]=1,
   tblTargetStatus[[#This Row],[FirstMissingStatus]]="READY"
  ),
  "ONE AWAY",
  "BLOCKED"
 )
)</f>
        <v>BLOCKED</v>
      </c>
      <c r="R520">
        <f>IF(
 OR(
  tblTargetStatus[[#This Row],[StateType]]="CHARACTER",
  RIGHT(tblTargetStatus[[#This Row],[TargetID]],6)=".maxed"
 ),
 0,
 _xlfn.LET(
  _xlpm.sort,
   _xlfn.XLOOKUP(
    tblTargetStatus[[#This Row],[TargetID]],
    tblChecklist[TargetID],
    tblChecklist[PlayerSort],
    0
   ),
  IF(_xlpm.sort=0,500,_xlpm.sort)
 )
)</f>
        <v>500</v>
      </c>
      <c r="S520" t="str" cm="1">
        <f t="array" ref="S52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20" t="str">
        <f>_xlfn.XLOOKUP(tblTargetStatus[[#This Row],[TargetID]],tblTargets[TargetID],tblTargets[CompletionMethod],"")</f>
        <v>PLAYER</v>
      </c>
      <c r="U520" t="b">
        <f>COUNTIF(
    tblCost[TargetID],
    tblTargetStatus[[#This Row],[TargetID]]
)&gt;0</f>
        <v>1</v>
      </c>
      <c r="V520" s="81">
        <f>IF(tblTargetStatus[[#This Row],[HasCost]]=FALSE,
"N/A",
_xlfn.XLOOKUP(
tblTargetStatus[[#This Row],[TargetID]],
tblCost[TargetID],
tblCost[FundingPercent],
""
)
)</f>
        <v>0</v>
      </c>
      <c r="W520">
        <f>IF(
COUNTIF(tblCost[TargetID],tblTargetStatus[[#This Row],[TargetID]])=0,
"",
_xlfn.XLOOKUP(
tblTargetStatus[[#This Row],[TargetID]],
tblCost[TargetID],
tblCost[RemainingRequirements],
""
)
)</f>
        <v>7</v>
      </c>
      <c r="X520" s="79" t="b">
        <f>IF(tblTargetStatus[[#This Row],[HasCost]]=FALSE,"N/A",_xlfn.XLOOKUP(
tblTargetStatus[[#This Row],[TargetID]],
tblCost[TargetID],
tblCost[TargetFunded],
TRUE
))</f>
        <v>0</v>
      </c>
      <c r="Y520" t="str" cm="1">
        <f t="array" ref="Y520">_xlfn.TEXTJOIN(
", ",
TRUE,
_xlfn._xlws.FILTER(
tblCost[ResourceID]&amp;": "&amp;tblCost[QuantityRequired],
(tblCost[TargetID]=tblTargetStatus[[#This Row],[TargetID]])*
(tblCost[PlayerPaid]=FALSE),
""
)
)</f>
        <v>cinnabar: 9, coin: 300, glass: 10, grimoire: 10, herbs: 30, oil: 5, ruby: 1</v>
      </c>
      <c r="Z5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0" t="str" cm="1">
        <f t="array" ref="AA52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1" spans="1:27">
      <c r="A521" t="s">
        <v>2120</v>
      </c>
      <c r="B521" t="str">
        <f>_xlfn.XLOOKUP(tblTargetStatus[[#This Row],[TargetID]],tblTargets[TargetID],tblTargets[DisplayName],"")</f>
        <v>Alchemists Hut - Conveyor Lvl 1</v>
      </c>
      <c r="C521" t="str">
        <f>IF(tblTargetStatus[[#This Row],[PlayerCompleted]],"COMPLETED",IF(tblTargetStatus[[#This Row],[MissingDependencies]]=0,"READY","BLOCKED"))</f>
        <v>BLOCKED</v>
      </c>
      <c r="D5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1" t="str">
        <f>_xlfn.XLOOKUP(tblTargetStatus[[#This Row],[TargetID]],tblTargets[TargetID],tblTargets[TargetType],"")</f>
        <v>TECH</v>
      </c>
      <c r="F521" t="str">
        <f>_xlfn.XLOOKUP(tblTargetStatus[[#This Row],[TargetID]],tblTargets[TargetID],tblTargets[StateType])</f>
        <v/>
      </c>
      <c r="G521">
        <f>_xlfn.LET(
_xlpm.id,tblTargetStatus[[#This Row],[TargetID]],
_xlpm.depCount,COUNTIF(tblDependencies[TargetID],_xlpm.id),
_xlpm.objCount,COUNTIF(tblQuestObjectives[QuestTargetID],_xlpm.id),
_xlpm.depCount+_xlpm.objCount
)</f>
        <v>2</v>
      </c>
      <c r="H521">
        <f>tblTargetStatus[[#This Row],[DependencyCount]]</f>
        <v>2</v>
      </c>
      <c r="I521" cm="1">
        <f t="array" ref="I5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1">
        <f>tblTargetStatus[[#This Row],[CompletedDependencyCount]]</f>
        <v>0</v>
      </c>
      <c r="K521" t="b">
        <f>tblTargetStatus[[#This Row],[CompletedDependencies]]=tblTargetStatus[[#This Row],[TotalDependencies]]</f>
        <v>0</v>
      </c>
      <c r="L521">
        <f>tblTargetStatus[[#This Row],[TotalDependencies]]-tblTargetStatus[[#This Row],[CompletedDependencies]]</f>
        <v>2</v>
      </c>
      <c r="M521" t="str" cm="1">
        <f t="array" ref="M5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21" t="str">
        <f>IF(tblTargetStatus[[#This Row],[FirstMissingDependencyID]]="","",_xlfn.XLOOKUP(tblTargetStatus[[#This Row],[FirstMissingDependencyID]],tblTargets[TargetID],tblTargets[DisplayName],tblTargetStatus[[#This Row],[FirstMissingDependencyID]]))</f>
        <v>Alchemists Hut maxed</v>
      </c>
      <c r="O521" t="str" cm="1">
        <f t="array" ref="O5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blueprint,400 coin,40 elixir,10 mechanism,20 msteel,2 ruby</v>
      </c>
      <c r="P521" t="str">
        <f>IF(tblTargetStatus[[#This Row],[FirstMissingDependencyID]]="","",_xlfn.XLOOKUP(tblTargetStatus[[#This Row],[FirstMissingDependencyID]],tblTargetStatus[TargetID],tblTargetStatus[Status],""))</f>
        <v>BLOCKED</v>
      </c>
      <c r="Q521" t="str">
        <f>IF(
 tblTargetStatus[[#This Row],[Status]]&lt;&gt;"BLOCKED",
 tblTargetStatus[[#This Row],[Status]],
 IF(
  AND(
   tblTargetStatus[[#This Row],[MissingDependencies]]=1,
   tblTargetStatus[[#This Row],[FirstMissingStatus]]="READY"
  ),
  "ONE AWAY",
  "BLOCKED"
 )
)</f>
        <v>BLOCKED</v>
      </c>
      <c r="R521">
        <f>IF(
 OR(
  tblTargetStatus[[#This Row],[StateType]]="CHARACTER",
  RIGHT(tblTargetStatus[[#This Row],[TargetID]],6)=".maxed"
 ),
 0,
 _xlfn.LET(
  _xlpm.sort,
   _xlfn.XLOOKUP(
    tblTargetStatus[[#This Row],[TargetID]],
    tblChecklist[TargetID],
    tblChecklist[PlayerSort],
    0
   ),
  IF(_xlpm.sort=0,500,_xlpm.sort)
 )
)</f>
        <v>500</v>
      </c>
      <c r="S521" t="str" cm="1">
        <f t="array" ref="S52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 Conveyor Lvl 2</v>
      </c>
      <c r="T521" t="str">
        <f>_xlfn.XLOOKUP(tblTargetStatus[[#This Row],[TargetID]],tblTargets[TargetID],tblTargets[CompletionMethod],"")</f>
        <v>PLAYER</v>
      </c>
      <c r="U521" t="b">
        <f>COUNTIF(
    tblCost[TargetID],
    tblTargetStatus[[#This Row],[TargetID]]
)&gt;0</f>
        <v>1</v>
      </c>
      <c r="V521" s="81">
        <f>IF(tblTargetStatus[[#This Row],[HasCost]]=FALSE,
"N/A",
_xlfn.XLOOKUP(
tblTargetStatus[[#This Row],[TargetID]],
tblCost[TargetID],
tblCost[FundingPercent],
""
)
)</f>
        <v>0</v>
      </c>
      <c r="W521">
        <f>IF(
COUNTIF(tblCost[TargetID],tblTargetStatus[[#This Row],[TargetID]])=0,
"",
_xlfn.XLOOKUP(
tblTargetStatus[[#This Row],[TargetID]],
tblCost[TargetID],
tblCost[RemainingRequirements],
""
)
)</f>
        <v>6</v>
      </c>
      <c r="X521" s="79" t="b">
        <f>IF(tblTargetStatus[[#This Row],[HasCost]]=FALSE,"N/A",_xlfn.XLOOKUP(
tblTargetStatus[[#This Row],[TargetID]],
tblCost[TargetID],
tblCost[TargetFunded],
TRUE
))</f>
        <v>0</v>
      </c>
      <c r="Y521" t="str" cm="1">
        <f t="array" ref="Y521">_xlfn.TEXTJOIN(
", ",
TRUE,
_xlfn._xlws.FILTER(
tblCost[ResourceID]&amp;": "&amp;tblCost[QuantityRequired],
(tblCost[TargetID]=tblTargetStatus[[#This Row],[TargetID]])*
(tblCost[PlayerPaid]=FALSE),
""
)
)</f>
        <v>blueprint: 10, coin: 400, elixir: 40, mechanism: 10, msteel: 20, ruby: 2</v>
      </c>
      <c r="Z5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1" t="str" cm="1">
        <f t="array" ref="AA52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2" spans="1:27">
      <c r="A522" t="s">
        <v>2122</v>
      </c>
      <c r="B522" t="str">
        <f>_xlfn.XLOOKUP(tblTargetStatus[[#This Row],[TargetID]],tblTargets[TargetID],tblTargets[DisplayName],"")</f>
        <v>Alchemists Hut - Conveyor Lvl 2</v>
      </c>
      <c r="C522" t="str">
        <f>IF(tblTargetStatus[[#This Row],[PlayerCompleted]],"COMPLETED",IF(tblTargetStatus[[#This Row],[MissingDependencies]]=0,"READY","BLOCKED"))</f>
        <v>BLOCKED</v>
      </c>
      <c r="D5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2" t="str">
        <f>_xlfn.XLOOKUP(tblTargetStatus[[#This Row],[TargetID]],tblTargets[TargetID],tblTargets[TargetType],"")</f>
        <v>TECH</v>
      </c>
      <c r="F522" t="str">
        <f>_xlfn.XLOOKUP(tblTargetStatus[[#This Row],[TargetID]],tblTargets[TargetID],tblTargets[StateType])</f>
        <v/>
      </c>
      <c r="G522">
        <f>_xlfn.LET(
_xlpm.id,tblTargetStatus[[#This Row],[TargetID]],
_xlpm.depCount,COUNTIF(tblDependencies[TargetID],_xlpm.id),
_xlpm.objCount,COUNTIF(tblQuestObjectives[QuestTargetID],_xlpm.id),
_xlpm.depCount+_xlpm.objCount
)</f>
        <v>1</v>
      </c>
      <c r="H522">
        <f>tblTargetStatus[[#This Row],[DependencyCount]]</f>
        <v>1</v>
      </c>
      <c r="I522" cm="1">
        <f t="array" ref="I5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2">
        <f>tblTargetStatus[[#This Row],[CompletedDependencyCount]]</f>
        <v>0</v>
      </c>
      <c r="K522" t="b">
        <f>tblTargetStatus[[#This Row],[CompletedDependencies]]=tblTargetStatus[[#This Row],[TotalDependencies]]</f>
        <v>0</v>
      </c>
      <c r="L522">
        <f>tblTargetStatus[[#This Row],[TotalDependencies]]-tblTargetStatus[[#This Row],[CompletedDependencies]]</f>
        <v>1</v>
      </c>
      <c r="M522" t="str" cm="1">
        <f t="array" ref="M5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tech.alchemists_hut.conveyor_lvl_1</v>
      </c>
      <c r="N522" t="str">
        <f>IF(tblTargetStatus[[#This Row],[FirstMissingDependencyID]]="","",_xlfn.XLOOKUP(tblTargetStatus[[#This Row],[FirstMissingDependencyID]],tblTargets[TargetID],tblTargets[DisplayName],tblTargetStatus[[#This Row],[FirstMissingDependencyID]]))</f>
        <v>Alchemists Hut - Conveyor Lvl 1</v>
      </c>
      <c r="O522" t="str" cm="1">
        <f t="array" ref="O5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blueprint,500 coin,60 elixir,15 mechanism,30 msteel,3 ruby</v>
      </c>
      <c r="P522" t="str">
        <f>IF(tblTargetStatus[[#This Row],[FirstMissingDependencyID]]="","",_xlfn.XLOOKUP(tblTargetStatus[[#This Row],[FirstMissingDependencyID]],tblTargetStatus[TargetID],tblTargetStatus[Status],""))</f>
        <v>BLOCKED</v>
      </c>
      <c r="Q522" t="str">
        <f>IF(
 tblTargetStatus[[#This Row],[Status]]&lt;&gt;"BLOCKED",
 tblTargetStatus[[#This Row],[Status]],
 IF(
  AND(
   tblTargetStatus[[#This Row],[MissingDependencies]]=1,
   tblTargetStatus[[#This Row],[FirstMissingStatus]]="READY"
  ),
  "ONE AWAY",
  "BLOCKED"
 )
)</f>
        <v>BLOCKED</v>
      </c>
      <c r="R522">
        <f>IF(
 OR(
  tblTargetStatus[[#This Row],[StateType]]="CHARACTER",
  RIGHT(tblTargetStatus[[#This Row],[TargetID]],6)=".maxed"
 ),
 0,
 _xlfn.LET(
  _xlpm.sort,
   _xlfn.XLOOKUP(
    tblTargetStatus[[#This Row],[TargetID]],
    tblChecklist[TargetID],
    tblChecklist[PlayerSort],
    0
   ),
  IF(_xlpm.sort=0,500,_xlpm.sort)
 )
)</f>
        <v>500</v>
      </c>
      <c r="S522" t="str" cm="1">
        <f t="array" ref="S52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22" t="str">
        <f>_xlfn.XLOOKUP(tblTargetStatus[[#This Row],[TargetID]],tblTargets[TargetID],tblTargets[CompletionMethod],"")</f>
        <v>PLAYER</v>
      </c>
      <c r="U522" t="b">
        <f>COUNTIF(
    tblCost[TargetID],
    tblTargetStatus[[#This Row],[TargetID]]
)&gt;0</f>
        <v>1</v>
      </c>
      <c r="V522" s="81">
        <f>IF(tblTargetStatus[[#This Row],[HasCost]]=FALSE,
"N/A",
_xlfn.XLOOKUP(
tblTargetStatus[[#This Row],[TargetID]],
tblCost[TargetID],
tblCost[FundingPercent],
""
)
)</f>
        <v>0</v>
      </c>
      <c r="W522">
        <f>IF(
COUNTIF(tblCost[TargetID],tblTargetStatus[[#This Row],[TargetID]])=0,
"",
_xlfn.XLOOKUP(
tblTargetStatus[[#This Row],[TargetID]],
tblCost[TargetID],
tblCost[RemainingRequirements],
""
)
)</f>
        <v>6</v>
      </c>
      <c r="X522" s="79" t="b">
        <f>IF(tblTargetStatus[[#This Row],[HasCost]]=FALSE,"N/A",_xlfn.XLOOKUP(
tblTargetStatus[[#This Row],[TargetID]],
tblCost[TargetID],
tblCost[TargetFunded],
TRUE
))</f>
        <v>0</v>
      </c>
      <c r="Y522" t="str" cm="1">
        <f t="array" ref="Y522">_xlfn.TEXTJOIN(
", ",
TRUE,
_xlfn._xlws.FILTER(
tblCost[ResourceID]&amp;": "&amp;tblCost[QuantityRequired],
(tblCost[TargetID]=tblTargetStatus[[#This Row],[TargetID]])*
(tblCost[PlayerPaid]=FALSE),
""
)
)</f>
        <v>blueprint: 15, coin: 500, elixir: 60, mechanism: 15, msteel: 30, ruby: 3</v>
      </c>
      <c r="Z5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2" t="str" cm="1">
        <f t="array" ref="AA52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3" spans="1:27">
      <c r="A523" t="s">
        <v>2124</v>
      </c>
      <c r="B523" t="str">
        <f>_xlfn.XLOOKUP(tblTargetStatus[[#This Row],[TargetID]],tblTargets[TargetID],tblTargets[DisplayName],"")</f>
        <v>Alchemists Hut - Galvanization</v>
      </c>
      <c r="C523" t="str">
        <f>IF(tblTargetStatus[[#This Row],[PlayerCompleted]],"COMPLETED",IF(tblTargetStatus[[#This Row],[MissingDependencies]]=0,"READY","BLOCKED"))</f>
        <v>BLOCKED</v>
      </c>
      <c r="D5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3" t="str">
        <f>_xlfn.XLOOKUP(tblTargetStatus[[#This Row],[TargetID]],tblTargets[TargetID],tblTargets[TargetType],"")</f>
        <v>TECH</v>
      </c>
      <c r="F523" t="str">
        <f>_xlfn.XLOOKUP(tblTargetStatus[[#This Row],[TargetID]],tblTargets[TargetID],tblTargets[StateType])</f>
        <v/>
      </c>
      <c r="G523">
        <f>_xlfn.LET(
_xlpm.id,tblTargetStatus[[#This Row],[TargetID]],
_xlpm.depCount,COUNTIF(tblDependencies[TargetID],_xlpm.id),
_xlpm.objCount,COUNTIF(tblQuestObjectives[QuestTargetID],_xlpm.id),
_xlpm.depCount+_xlpm.objCount
)</f>
        <v>1</v>
      </c>
      <c r="H523">
        <f>tblTargetStatus[[#This Row],[DependencyCount]]</f>
        <v>1</v>
      </c>
      <c r="I523" cm="1">
        <f t="array" ref="I5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3">
        <f>tblTargetStatus[[#This Row],[CompletedDependencyCount]]</f>
        <v>0</v>
      </c>
      <c r="K523" t="b">
        <f>tblTargetStatus[[#This Row],[CompletedDependencies]]=tblTargetStatus[[#This Row],[TotalDependencies]]</f>
        <v>0</v>
      </c>
      <c r="L523">
        <f>tblTargetStatus[[#This Row],[TotalDependencies]]-tblTargetStatus[[#This Row],[CompletedDependencies]]</f>
        <v>1</v>
      </c>
      <c r="M523" t="str" cm="1">
        <f t="array" ref="M5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23" t="str">
        <f>IF(tblTargetStatus[[#This Row],[FirstMissingDependencyID]]="","",_xlfn.XLOOKUP(tblTargetStatus[[#This Row],[FirstMissingDependencyID]],tblTargets[TargetID],tblTargets[DisplayName],tblTargetStatus[[#This Row],[FirstMissingDependencyID]]))</f>
        <v>Alchemists Hut maxed</v>
      </c>
      <c r="O523" s="2" t="str" cm="1">
        <f t="array" ref="O5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blueprint,20 catalyst,25 ingot,40 reagent,2 ruby</v>
      </c>
      <c r="P523" t="str">
        <f>IF(tblTargetStatus[[#This Row],[FirstMissingDependencyID]]="","",_xlfn.XLOOKUP(tblTargetStatus[[#This Row],[FirstMissingDependencyID]],tblTargetStatus[TargetID],tblTargetStatus[Status],""))</f>
        <v>BLOCKED</v>
      </c>
      <c r="Q523" t="str">
        <f>IF(
 tblTargetStatus[[#This Row],[Status]]&lt;&gt;"BLOCKED",
 tblTargetStatus[[#This Row],[Status]],
 IF(
  AND(
   tblTargetStatus[[#This Row],[MissingDependencies]]=1,
   tblTargetStatus[[#This Row],[FirstMissingStatus]]="READY"
  ),
  "ONE AWAY",
  "BLOCKED"
 )
)</f>
        <v>BLOCKED</v>
      </c>
      <c r="R523">
        <f>IF(
 OR(
  tblTargetStatus[[#This Row],[StateType]]="CHARACTER",
  RIGHT(tblTargetStatus[[#This Row],[TargetID]],6)=".maxed"
 ),
 0,
 _xlfn.LET(
  _xlpm.sort,
   _xlfn.XLOOKUP(
    tblTargetStatus[[#This Row],[TargetID]],
    tblChecklist[TargetID],
    tblChecklist[PlayerSort],
    0
   ),
  IF(_xlpm.sort=0,500,_xlpm.sort)
 )
)</f>
        <v>500</v>
      </c>
      <c r="S523" t="str" cm="1">
        <f t="array" ref="S52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23" t="str">
        <f>_xlfn.XLOOKUP(tblTargetStatus[[#This Row],[TargetID]],tblTargets[TargetID],tblTargets[CompletionMethod],"")</f>
        <v>PLAYER</v>
      </c>
      <c r="U523" t="b">
        <f>COUNTIF(
    tblCost[TargetID],
    tblTargetStatus[[#This Row],[TargetID]]
)&gt;0</f>
        <v>1</v>
      </c>
      <c r="V523" s="81">
        <f>IF(tblTargetStatus[[#This Row],[HasCost]]=FALSE,
"N/A",
_xlfn.XLOOKUP(
tblTargetStatus[[#This Row],[TargetID]],
tblCost[TargetID],
tblCost[FundingPercent],
""
)
)</f>
        <v>0</v>
      </c>
      <c r="W523">
        <f>IF(
COUNTIF(tblCost[TargetID],tblTargetStatus[[#This Row],[TargetID]])=0,
"",
_xlfn.XLOOKUP(
tblTargetStatus[[#This Row],[TargetID]],
tblCost[TargetID],
tblCost[RemainingRequirements],
""
)
)</f>
        <v>5</v>
      </c>
      <c r="X523" s="79" t="b">
        <f>IF(tblTargetStatus[[#This Row],[HasCost]]=FALSE,"N/A",_xlfn.XLOOKUP(
tblTargetStatus[[#This Row],[TargetID]],
tblCost[TargetID],
tblCost[TargetFunded],
TRUE
))</f>
        <v>0</v>
      </c>
      <c r="Y523" t="str" cm="1">
        <f t="array" ref="Y523">_xlfn.TEXTJOIN(
", ",
TRUE,
_xlfn._xlws.FILTER(
tblCost[ResourceID]&amp;": "&amp;tblCost[QuantityRequired],
(tblCost[TargetID]=tblTargetStatus[[#This Row],[TargetID]])*
(tblCost[PlayerPaid]=FALSE),
""
)
)</f>
        <v>blueprint: 30, catalyst: 20, ingot: 25, reagent: 40, ruby: 2</v>
      </c>
      <c r="Z5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3" t="str" cm="1">
        <f t="array" ref="AA52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4" spans="1:27">
      <c r="A524" t="s">
        <v>2106</v>
      </c>
      <c r="B524" t="str">
        <f>_xlfn.XLOOKUP(tblTargetStatus[[#This Row],[TargetID]],tblTargets[TargetID],tblTargets[DisplayName],"")</f>
        <v>Alchemists Hut - Gold Ingot</v>
      </c>
      <c r="C524" t="str">
        <f>IF(tblTargetStatus[[#This Row],[PlayerCompleted]],"COMPLETED",IF(tblTargetStatus[[#This Row],[MissingDependencies]]=0,"READY","BLOCKED"))</f>
        <v>BLOCKED</v>
      </c>
      <c r="D5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4" t="str">
        <f>_xlfn.XLOOKUP(tblTargetStatus[[#This Row],[TargetID]],tblTargets[TargetID],tblTargets[TargetType],"")</f>
        <v>TECH</v>
      </c>
      <c r="F524" t="str">
        <f>_xlfn.XLOOKUP(tblTargetStatus[[#This Row],[TargetID]],tblTargets[TargetID],tblTargets[StateType])</f>
        <v/>
      </c>
      <c r="G524">
        <f>_xlfn.LET(
_xlpm.id,tblTargetStatus[[#This Row],[TargetID]],
_xlpm.depCount,COUNTIF(tblDependencies[TargetID],_xlpm.id),
_xlpm.objCount,COUNTIF(tblQuestObjectives[QuestTargetID],_xlpm.id),
_xlpm.depCount+_xlpm.objCount
)</f>
        <v>2</v>
      </c>
      <c r="H524">
        <f>tblTargetStatus[[#This Row],[DependencyCount]]</f>
        <v>2</v>
      </c>
      <c r="I524" cm="1">
        <f t="array" ref="I5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4">
        <f>tblTargetStatus[[#This Row],[CompletedDependencyCount]]</f>
        <v>0</v>
      </c>
      <c r="K524" t="b">
        <f>tblTargetStatus[[#This Row],[CompletedDependencies]]=tblTargetStatus[[#This Row],[TotalDependencies]]</f>
        <v>0</v>
      </c>
      <c r="L524">
        <f>tblTargetStatus[[#This Row],[TotalDependencies]]-tblTargetStatus[[#This Row],[CompletedDependencies]]</f>
        <v>2</v>
      </c>
      <c r="M524" t="str" cm="1">
        <f t="array" ref="M5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tech.alchemists_hut.mercury</v>
      </c>
      <c r="N524" t="str">
        <f>IF(tblTargetStatus[[#This Row],[FirstMissingDependencyID]]="","",_xlfn.XLOOKUP(tblTargetStatus[[#This Row],[FirstMissingDependencyID]],tblTargets[TargetID],tblTargets[DisplayName],tblTargetStatus[[#This Row],[FirstMissingDependencyID]]))</f>
        <v>Alchemists Hut - Mercury</v>
      </c>
      <c r="O524" t="str" cm="1">
        <f t="array" ref="O5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apy,100 charcoal,10 grimoire,20 ingot,15 mercury,3 ruby</v>
      </c>
      <c r="P524" t="str">
        <f>IF(tblTargetStatus[[#This Row],[FirstMissingDependencyID]]="","",_xlfn.XLOOKUP(tblTargetStatus[[#This Row],[FirstMissingDependencyID]],tblTargetStatus[TargetID],tblTargetStatus[Status],""))</f>
        <v>BLOCKED</v>
      </c>
      <c r="Q524" t="str">
        <f>IF(
 tblTargetStatus[[#This Row],[Status]]&lt;&gt;"BLOCKED",
 tblTargetStatus[[#This Row],[Status]],
 IF(
  AND(
   tblTargetStatus[[#This Row],[MissingDependencies]]=1,
   tblTargetStatus[[#This Row],[FirstMissingStatus]]="READY"
  ),
  "ONE AWAY",
  "BLOCKED"
 )
)</f>
        <v>BLOCKED</v>
      </c>
      <c r="R524">
        <f>IF(
 OR(
  tblTargetStatus[[#This Row],[StateType]]="CHARACTER",
  RIGHT(tblTargetStatus[[#This Row],[TargetID]],6)=".maxed"
 ),
 0,
 _xlfn.LET(
  _xlpm.sort,
   _xlfn.XLOOKUP(
    tblTargetStatus[[#This Row],[TargetID]],
    tblChecklist[TargetID],
    tblChecklist[PlayerSort],
    0
   ),
  IF(_xlpm.sort=0,500,_xlpm.sort)
 )
)</f>
        <v>800</v>
      </c>
      <c r="S524" t="str" cm="1">
        <f t="array" ref="S52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24" t="str">
        <f>_xlfn.XLOOKUP(tblTargetStatus[[#This Row],[TargetID]],tblTargets[TargetID],tblTargets[CompletionMethod],"")</f>
        <v>PLAYER</v>
      </c>
      <c r="U524" t="b">
        <f>COUNTIF(
    tblCost[TargetID],
    tblTargetStatus[[#This Row],[TargetID]]
)&gt;0</f>
        <v>1</v>
      </c>
      <c r="V524" s="81">
        <f>IF(tblTargetStatus[[#This Row],[HasCost]]=FALSE,
"N/A",
_xlfn.XLOOKUP(
tblTargetStatus[[#This Row],[TargetID]],
tblCost[TargetID],
tblCost[FundingPercent],
""
)
)</f>
        <v>0</v>
      </c>
      <c r="W524">
        <f>IF(
COUNTIF(tblCost[TargetID],tblTargetStatus[[#This Row],[TargetID]])=0,
"",
_xlfn.XLOOKUP(
tblTargetStatus[[#This Row],[TargetID]],
tblCost[TargetID],
tblCost[RemainingRequirements],
""
)
)</f>
        <v>6</v>
      </c>
      <c r="X524" s="79" t="b">
        <f>IF(tblTargetStatus[[#This Row],[HasCost]]=FALSE,"N/A",_xlfn.XLOOKUP(
tblTargetStatus[[#This Row],[TargetID]],
tblCost[TargetID],
tblCost[TargetFunded],
TRUE
))</f>
        <v>0</v>
      </c>
      <c r="Y524" t="str" cm="1">
        <f t="array" ref="Y524">_xlfn.TEXTJOIN(
", ",
TRUE,
_xlfn._xlws.FILTER(
tblCost[ResourceID]&amp;": "&amp;tblCost[QuantityRequired],
(tblCost[TargetID]=tblTargetStatus[[#This Row],[TargetID]])*
(tblCost[PlayerPaid]=FALSE),
""
)
)</f>
        <v>apy: 20, charcoal: 100, grimoire: 10, ingot: 20, mercury: 15, ruby: 3</v>
      </c>
      <c r="Z5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4" t="str" cm="1">
        <f t="array" ref="AA52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5" spans="1:27" ht="29">
      <c r="A525" t="s">
        <v>2096</v>
      </c>
      <c r="B525" t="str">
        <f>_xlfn.XLOOKUP(tblTargetStatus[[#This Row],[TargetID]],tblTargets[TargetID],tblTargets[DisplayName],"")</f>
        <v>Alchemists Hut - Greek Grenade</v>
      </c>
      <c r="C525" t="str">
        <f>IF(tblTargetStatus[[#This Row],[PlayerCompleted]],"COMPLETED",IF(tblTargetStatus[[#This Row],[MissingDependencies]]=0,"READY","BLOCKED"))</f>
        <v>BLOCKED</v>
      </c>
      <c r="D5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5" t="str">
        <f>_xlfn.XLOOKUP(tblTargetStatus[[#This Row],[TargetID]],tblTargets[TargetID],tblTargets[TargetType],"")</f>
        <v>TECH</v>
      </c>
      <c r="F525" t="str">
        <f>_xlfn.XLOOKUP(tblTargetStatus[[#This Row],[TargetID]],tblTargets[TargetID],tblTargets[StateType])</f>
        <v/>
      </c>
      <c r="G525">
        <f>_xlfn.LET(
_xlpm.id,tblTargetStatus[[#This Row],[TargetID]],
_xlpm.depCount,COUNTIF(tblDependencies[TargetID],_xlpm.id),
_xlpm.objCount,COUNTIF(tblQuestObjectives[QuestTargetID],_xlpm.id),
_xlpm.depCount+_xlpm.objCount
)</f>
        <v>1</v>
      </c>
      <c r="H525">
        <f>tblTargetStatus[[#This Row],[DependencyCount]]</f>
        <v>1</v>
      </c>
      <c r="I525" cm="1">
        <f t="array" ref="I5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5">
        <f>tblTargetStatus[[#This Row],[CompletedDependencyCount]]</f>
        <v>0</v>
      </c>
      <c r="K525" t="b">
        <f>tblTargetStatus[[#This Row],[CompletedDependencies]]=tblTargetStatus[[#This Row],[TotalDependencies]]</f>
        <v>0</v>
      </c>
      <c r="L525">
        <f>tblTargetStatus[[#This Row],[TotalDependencies]]-tblTargetStatus[[#This Row],[CompletedDependencies]]</f>
        <v>1</v>
      </c>
      <c r="M525" t="str" cm="1">
        <f t="array" ref="M5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25" t="str">
        <f>IF(tblTargetStatus[[#This Row],[FirstMissingDependencyID]]="","",_xlfn.XLOOKUP(tblTargetStatus[[#This Row],[FirstMissingDependencyID]],tblTargets[TargetID],tblTargets[DisplayName],tblTargetStatus[[#This Row],[FirstMissingDependencyID]]))</f>
        <v>Alchemists Hut maxed</v>
      </c>
      <c r="O525" s="2" t="str" cm="1">
        <f t="array" ref="O5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chemicals,300 coin,10 glass,10 oil,20 page,1 ruby</v>
      </c>
      <c r="P525" t="str">
        <f>IF(tblTargetStatus[[#This Row],[FirstMissingDependencyID]]="","",_xlfn.XLOOKUP(tblTargetStatus[[#This Row],[FirstMissingDependencyID]],tblTargetStatus[TargetID],tblTargetStatus[Status],""))</f>
        <v>BLOCKED</v>
      </c>
      <c r="Q525" t="str">
        <f>IF(
 tblTargetStatus[[#This Row],[Status]]&lt;&gt;"BLOCKED",
 tblTargetStatus[[#This Row],[Status]],
 IF(
  AND(
   tblTargetStatus[[#This Row],[MissingDependencies]]=1,
   tblTargetStatus[[#This Row],[FirstMissingStatus]]="READY"
  ),
  "ONE AWAY",
  "BLOCKED"
 )
)</f>
        <v>BLOCKED</v>
      </c>
      <c r="R525">
        <f>IF(
 OR(
  tblTargetStatus[[#This Row],[StateType]]="CHARACTER",
  RIGHT(tblTargetStatus[[#This Row],[TargetID]],6)=".maxed"
 ),
 0,
 _xlfn.LET(
  _xlpm.sort,
   _xlfn.XLOOKUP(
    tblTargetStatus[[#This Row],[TargetID]],
    tblChecklist[TargetID],
    tblChecklist[PlayerSort],
    0
   ),
  IF(_xlpm.sort=0,500,_xlpm.sort)
 )
)</f>
        <v>500</v>
      </c>
      <c r="S525" t="str" cm="1">
        <f t="array" ref="S52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25" t="str">
        <f>_xlfn.XLOOKUP(tblTargetStatus[[#This Row],[TargetID]],tblTargets[TargetID],tblTargets[CompletionMethod],"")</f>
        <v>PLAYER</v>
      </c>
      <c r="U525" t="b">
        <f>COUNTIF(
    tblCost[TargetID],
    tblTargetStatus[[#This Row],[TargetID]]
)&gt;0</f>
        <v>1</v>
      </c>
      <c r="V525" s="81">
        <f>IF(tblTargetStatus[[#This Row],[HasCost]]=FALSE,
"N/A",
_xlfn.XLOOKUP(
tblTargetStatus[[#This Row],[TargetID]],
tblCost[TargetID],
tblCost[FundingPercent],
""
)
)</f>
        <v>0</v>
      </c>
      <c r="W525">
        <f>IF(
COUNTIF(tblCost[TargetID],tblTargetStatus[[#This Row],[TargetID]])=0,
"",
_xlfn.XLOOKUP(
tblTargetStatus[[#This Row],[TargetID]],
tblCost[TargetID],
tblCost[RemainingRequirements],
""
)
)</f>
        <v>6</v>
      </c>
      <c r="X525" s="79" t="b">
        <f>IF(tblTargetStatus[[#This Row],[HasCost]]=FALSE,"N/A",_xlfn.XLOOKUP(
tblTargetStatus[[#This Row],[TargetID]],
tblCost[TargetID],
tblCost[TargetFunded],
TRUE
))</f>
        <v>0</v>
      </c>
      <c r="Y525" t="str" cm="1">
        <f t="array" ref="Y525">_xlfn.TEXTJOIN(
", ",
TRUE,
_xlfn._xlws.FILTER(
tblCost[ResourceID]&amp;": "&amp;tblCost[QuantityRequired],
(tblCost[TargetID]=tblTargetStatus[[#This Row],[TargetID]])*
(tblCost[PlayerPaid]=FALSE),
""
)
)</f>
        <v>chemicals: 40, coin: 300, glass: 10, oil: 10, page: 20, ruby: 1</v>
      </c>
      <c r="Z5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5" t="str" cm="1">
        <f t="array" ref="AA52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6" spans="1:27">
      <c r="A526" t="s">
        <v>2108</v>
      </c>
      <c r="B526" t="str">
        <f>_xlfn.XLOOKUP(tblTargetStatus[[#This Row],[TargetID]],tblTargets[TargetID],tblTargets[DisplayName],"")</f>
        <v>Alchemists Hut - Madness Grenade</v>
      </c>
      <c r="C526" t="str">
        <f>IF(tblTargetStatus[[#This Row],[PlayerCompleted]],"COMPLETED",IF(tblTargetStatus[[#This Row],[MissingDependencies]]=0,"READY","BLOCKED"))</f>
        <v>BLOCKED</v>
      </c>
      <c r="D5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6" t="str">
        <f>_xlfn.XLOOKUP(tblTargetStatus[[#This Row],[TargetID]],tblTargets[TargetID],tblTargets[TargetType],"")</f>
        <v>TECH</v>
      </c>
      <c r="F526" t="str">
        <f>_xlfn.XLOOKUP(tblTargetStatus[[#This Row],[TargetID]],tblTargets[TargetID],tblTargets[StateType])</f>
        <v/>
      </c>
      <c r="G526">
        <f>_xlfn.LET(
_xlpm.id,tblTargetStatus[[#This Row],[TargetID]],
_xlpm.depCount,COUNTIF(tblDependencies[TargetID],_xlpm.id),
_xlpm.objCount,COUNTIF(tblQuestObjectives[QuestTargetID],_xlpm.id),
_xlpm.depCount+_xlpm.objCount
)</f>
        <v>2</v>
      </c>
      <c r="H526">
        <f>tblTargetStatus[[#This Row],[DependencyCount]]</f>
        <v>2</v>
      </c>
      <c r="I526" cm="1">
        <f t="array" ref="I5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6">
        <f>tblTargetStatus[[#This Row],[CompletedDependencyCount]]</f>
        <v>0</v>
      </c>
      <c r="K526" t="b">
        <f>tblTargetStatus[[#This Row],[CompletedDependencies]]=tblTargetStatus[[#This Row],[TotalDependencies]]</f>
        <v>0</v>
      </c>
      <c r="L526">
        <f>tblTargetStatus[[#This Row],[TotalDependencies]]-tblTargetStatus[[#This Row],[CompletedDependencies]]</f>
        <v>2</v>
      </c>
      <c r="M526" t="str" cm="1">
        <f t="array" ref="M5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tech.alchemists_hut.mercury</v>
      </c>
      <c r="N526" t="str">
        <f>IF(tblTargetStatus[[#This Row],[FirstMissingDependencyID]]="","",_xlfn.XLOOKUP(tblTargetStatus[[#This Row],[FirstMissingDependencyID]],tblTargets[TargetID],tblTargets[DisplayName],tblTargetStatus[[#This Row],[FirstMissingDependencyID]]))</f>
        <v>Alchemists Hut - Mercury</v>
      </c>
      <c r="O526" t="str" cm="1">
        <f t="array" ref="O5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apy,300 coin,10 glass,10 grimoire,100 gunpowder,10 herbs,10 mercury,1 ruby</v>
      </c>
      <c r="P526" t="str">
        <f>IF(tblTargetStatus[[#This Row],[FirstMissingDependencyID]]="","",_xlfn.XLOOKUP(tblTargetStatus[[#This Row],[FirstMissingDependencyID]],tblTargetStatus[TargetID],tblTargetStatus[Status],""))</f>
        <v>BLOCKED</v>
      </c>
      <c r="Q526" t="str">
        <f>IF(
 tblTargetStatus[[#This Row],[Status]]&lt;&gt;"BLOCKED",
 tblTargetStatus[[#This Row],[Status]],
 IF(
  AND(
   tblTargetStatus[[#This Row],[MissingDependencies]]=1,
   tblTargetStatus[[#This Row],[FirstMissingStatus]]="READY"
  ),
  "ONE AWAY",
  "BLOCKED"
 )
)</f>
        <v>BLOCKED</v>
      </c>
      <c r="R526">
        <f>IF(
 OR(
  tblTargetStatus[[#This Row],[StateType]]="CHARACTER",
  RIGHT(tblTargetStatus[[#This Row],[TargetID]],6)=".maxed"
 ),
 0,
 _xlfn.LET(
  _xlpm.sort,
   _xlfn.XLOOKUP(
    tblTargetStatus[[#This Row],[TargetID]],
    tblChecklist[TargetID],
    tblChecklist[PlayerSort],
    0
   ),
  IF(_xlpm.sort=0,500,_xlpm.sort)
 )
)</f>
        <v>500</v>
      </c>
      <c r="S526" t="str" cm="1">
        <f t="array" ref="S52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26" t="str">
        <f>_xlfn.XLOOKUP(tblTargetStatus[[#This Row],[TargetID]],tblTargets[TargetID],tblTargets[CompletionMethod],"")</f>
        <v>PLAYER</v>
      </c>
      <c r="U526" t="b">
        <f>COUNTIF(
    tblCost[TargetID],
    tblTargetStatus[[#This Row],[TargetID]]
)&gt;0</f>
        <v>1</v>
      </c>
      <c r="V526" s="81">
        <f>IF(tblTargetStatus[[#This Row],[HasCost]]=FALSE,
"N/A",
_xlfn.XLOOKUP(
tblTargetStatus[[#This Row],[TargetID]],
tblCost[TargetID],
tblCost[FundingPercent],
""
)
)</f>
        <v>0</v>
      </c>
      <c r="W526">
        <f>IF(
COUNTIF(tblCost[TargetID],tblTargetStatus[[#This Row],[TargetID]])=0,
"",
_xlfn.XLOOKUP(
tblTargetStatus[[#This Row],[TargetID]],
tblCost[TargetID],
tblCost[RemainingRequirements],
""
)
)</f>
        <v>8</v>
      </c>
      <c r="X526" s="79" t="b">
        <f>IF(tblTargetStatus[[#This Row],[HasCost]]=FALSE,"N/A",_xlfn.XLOOKUP(
tblTargetStatus[[#This Row],[TargetID]],
tblCost[TargetID],
tblCost[TargetFunded],
TRUE
))</f>
        <v>0</v>
      </c>
      <c r="Y526" t="str" cm="1">
        <f t="array" ref="Y526">_xlfn.TEXTJOIN(
", ",
TRUE,
_xlfn._xlws.FILTER(
tblCost[ResourceID]&amp;": "&amp;tblCost[QuantityRequired],
(tblCost[TargetID]=tblTargetStatus[[#This Row],[TargetID]])*
(tblCost[PlayerPaid]=FALSE),
""
)
)</f>
        <v>apy: 5, coin: 300, glass: 10, grimoire: 10, gunpowder: 100, herbs: 10, mercury: 10, ruby: 1</v>
      </c>
      <c r="Z5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6" t="str" cm="1">
        <f t="array" ref="AA52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7" spans="1:27">
      <c r="A527" t="s">
        <v>2104</v>
      </c>
      <c r="B527" t="str">
        <f>_xlfn.XLOOKUP(tblTargetStatus[[#This Row],[TargetID]],tblTargets[TargetID],tblTargets[DisplayName],"")</f>
        <v>Alchemists Hut - Mercury</v>
      </c>
      <c r="C527" t="str">
        <f>IF(tblTargetStatus[[#This Row],[PlayerCompleted]],"COMPLETED",IF(tblTargetStatus[[#This Row],[MissingDependencies]]=0,"READY","BLOCKED"))</f>
        <v>BLOCKED</v>
      </c>
      <c r="D5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7" t="str">
        <f>_xlfn.XLOOKUP(tblTargetStatus[[#This Row],[TargetID]],tblTargets[TargetID],tblTargets[TargetType],"")</f>
        <v>TECH</v>
      </c>
      <c r="F527" t="str">
        <f>_xlfn.XLOOKUP(tblTargetStatus[[#This Row],[TargetID]],tblTargets[TargetID],tblTargets[StateType])</f>
        <v/>
      </c>
      <c r="G527">
        <f>_xlfn.LET(
_xlpm.id,tblTargetStatus[[#This Row],[TargetID]],
_xlpm.depCount,COUNTIF(tblDependencies[TargetID],_xlpm.id),
_xlpm.objCount,COUNTIF(tblQuestObjectives[QuestTargetID],_xlpm.id),
_xlpm.depCount+_xlpm.objCount
)</f>
        <v>3</v>
      </c>
      <c r="H527">
        <f>tblTargetStatus[[#This Row],[DependencyCount]]</f>
        <v>3</v>
      </c>
      <c r="I527" cm="1">
        <f t="array" ref="I5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7">
        <f>tblTargetStatus[[#This Row],[CompletedDependencyCount]]</f>
        <v>0</v>
      </c>
      <c r="K527" t="b">
        <f>tblTargetStatus[[#This Row],[CompletedDependencies]]=tblTargetStatus[[#This Row],[TotalDependencies]]</f>
        <v>0</v>
      </c>
      <c r="L527">
        <f>tblTargetStatus[[#This Row],[TotalDependencies]]-tblTargetStatus[[#This Row],[CompletedDependencies]]</f>
        <v>3</v>
      </c>
      <c r="M527" t="str" cm="1">
        <f t="array" ref="M5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quest.once_upon_a_forest_chapter_6.finished</v>
      </c>
      <c r="N527" t="str">
        <f>IF(tblTargetStatus[[#This Row],[FirstMissingDependencyID]]="","",_xlfn.XLOOKUP(tblTargetStatus[[#This Row],[FirstMissingDependencyID]],tblTargets[TargetID],tblTargets[DisplayName],tblTargetStatus[[#This Row],[FirstMissingDependencyID]]))</f>
        <v>Once Upon a Forest Chapter 6 Finished</v>
      </c>
      <c r="O527" t="str" cm="1">
        <f t="array" ref="O5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charcoal,30 cinnabar,400 coin,10 glass,10 grimoire,10 reagent,1 ruby</v>
      </c>
      <c r="P527" t="str">
        <f>IF(tblTargetStatus[[#This Row],[FirstMissingDependencyID]]="","",_xlfn.XLOOKUP(tblTargetStatus[[#This Row],[FirstMissingDependencyID]],tblTargetStatus[TargetID],tblTargetStatus[Status],""))</f>
        <v>BLOCKED</v>
      </c>
      <c r="Q527" t="str">
        <f>IF(
 tblTargetStatus[[#This Row],[Status]]&lt;&gt;"BLOCKED",
 tblTargetStatus[[#This Row],[Status]],
 IF(
  AND(
   tblTargetStatus[[#This Row],[MissingDependencies]]=1,
   tblTargetStatus[[#This Row],[FirstMissingStatus]]="READY"
  ),
  "ONE AWAY",
  "BLOCKED"
 )
)</f>
        <v>BLOCKED</v>
      </c>
      <c r="R527">
        <f>IF(
 OR(
  tblTargetStatus[[#This Row],[StateType]]="CHARACTER",
  RIGHT(tblTargetStatus[[#This Row],[TargetID]],6)=".maxed"
 ),
 0,
 _xlfn.LET(
  _xlpm.sort,
   _xlfn.XLOOKUP(
    tblTargetStatus[[#This Row],[TargetID]],
    tblChecklist[TargetID],
    tblChecklist[PlayerSort],
    0
   ),
  IF(_xlpm.sort=0,500,_xlpm.sort)
 )
)</f>
        <v>500</v>
      </c>
      <c r="S527" t="str" cm="1">
        <f t="array" ref="S52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 Gold Ingot, Alchemists Hut - Madness Grenade, Alchemists Hut - Metamorphosis</v>
      </c>
      <c r="T527" t="str">
        <f>_xlfn.XLOOKUP(tblTargetStatus[[#This Row],[TargetID]],tblTargets[TargetID],tblTargets[CompletionMethod],"")</f>
        <v>PLAYER</v>
      </c>
      <c r="U527" t="b">
        <f>COUNTIF(
    tblCost[TargetID],
    tblTargetStatus[[#This Row],[TargetID]]
)&gt;0</f>
        <v>1</v>
      </c>
      <c r="V527" s="81">
        <f>IF(tblTargetStatus[[#This Row],[HasCost]]=FALSE,
"N/A",
_xlfn.XLOOKUP(
tblTargetStatus[[#This Row],[TargetID]],
tblCost[TargetID],
tblCost[FundingPercent],
""
)
)</f>
        <v>0</v>
      </c>
      <c r="W527">
        <f>IF(
COUNTIF(tblCost[TargetID],tblTargetStatus[[#This Row],[TargetID]])=0,
"",
_xlfn.XLOOKUP(
tblTargetStatus[[#This Row],[TargetID]],
tblCost[TargetID],
tblCost[RemainingRequirements],
""
)
)</f>
        <v>7</v>
      </c>
      <c r="X527" s="79" t="b">
        <f>IF(tblTargetStatus[[#This Row],[HasCost]]=FALSE,"N/A",_xlfn.XLOOKUP(
tblTargetStatus[[#This Row],[TargetID]],
tblCost[TargetID],
tblCost[TargetFunded],
TRUE
))</f>
        <v>0</v>
      </c>
      <c r="Y527" t="str" cm="1">
        <f t="array" ref="Y527">_xlfn.TEXTJOIN(
", ",
TRUE,
_xlfn._xlws.FILTER(
tblCost[ResourceID]&amp;": "&amp;tblCost[QuantityRequired],
(tblCost[TargetID]=tblTargetStatus[[#This Row],[TargetID]])*
(tblCost[PlayerPaid]=FALSE),
""
)
)</f>
        <v>charcoal: 100, cinnabar: 30, coin: 400, glass: 10, grimoire: 10, reagent: 10, ruby: 1</v>
      </c>
      <c r="Z5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7" t="str" cm="1">
        <f t="array" ref="AA52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8" spans="1:27">
      <c r="A528" t="s">
        <v>2126</v>
      </c>
      <c r="B528" t="str">
        <f>_xlfn.XLOOKUP(tblTargetStatus[[#This Row],[TargetID]],tblTargets[TargetID],tblTargets[DisplayName],"")</f>
        <v>Alchemists Hut - Metamorphosis</v>
      </c>
      <c r="C528" t="str">
        <f>IF(tblTargetStatus[[#This Row],[PlayerCompleted]],"COMPLETED",IF(tblTargetStatus[[#This Row],[MissingDependencies]]=0,"READY","BLOCKED"))</f>
        <v>BLOCKED</v>
      </c>
      <c r="D5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8" t="str">
        <f>_xlfn.XLOOKUP(tblTargetStatus[[#This Row],[TargetID]],tblTargets[TargetID],tblTargets[TargetType],"")</f>
        <v>TECH</v>
      </c>
      <c r="F528" t="str">
        <f>_xlfn.XLOOKUP(tblTargetStatus[[#This Row],[TargetID]],tblTargets[TargetID],tblTargets[StateType])</f>
        <v/>
      </c>
      <c r="G528">
        <f>_xlfn.LET(
_xlpm.id,tblTargetStatus[[#This Row],[TargetID]],
_xlpm.depCount,COUNTIF(tblDependencies[TargetID],_xlpm.id),
_xlpm.objCount,COUNTIF(tblQuestObjectives[QuestTargetID],_xlpm.id),
_xlpm.depCount+_xlpm.objCount
)</f>
        <v>2</v>
      </c>
      <c r="H528">
        <f>tblTargetStatus[[#This Row],[DependencyCount]]</f>
        <v>2</v>
      </c>
      <c r="I528" cm="1">
        <f t="array" ref="I5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8">
        <f>tblTargetStatus[[#This Row],[CompletedDependencyCount]]</f>
        <v>0</v>
      </c>
      <c r="K528" t="b">
        <f>tblTargetStatus[[#This Row],[CompletedDependencies]]=tblTargetStatus[[#This Row],[TotalDependencies]]</f>
        <v>0</v>
      </c>
      <c r="L528">
        <f>tblTargetStatus[[#This Row],[TotalDependencies]]-tblTargetStatus[[#This Row],[CompletedDependencies]]</f>
        <v>2</v>
      </c>
      <c r="M528" t="str" cm="1">
        <f t="array" ref="M5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tech.alchemists_hut.mercury</v>
      </c>
      <c r="N528" t="str">
        <f>IF(tblTargetStatus[[#This Row],[FirstMissingDependencyID]]="","",_xlfn.XLOOKUP(tblTargetStatus[[#This Row],[FirstMissingDependencyID]],tblTargets[TargetID],tblTargets[DisplayName],tblTargetStatus[[#This Row],[FirstMissingDependencyID]]))</f>
        <v>Alchemists Hut - Mercury</v>
      </c>
      <c r="O528" t="str" cm="1">
        <f t="array" ref="O5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coin,5 grimoire,15 mandrake,5 mercury,15 reagent,3 ruby</v>
      </c>
      <c r="P528" t="str">
        <f>IF(tblTargetStatus[[#This Row],[FirstMissingDependencyID]]="","",_xlfn.XLOOKUP(tblTargetStatus[[#This Row],[FirstMissingDependencyID]],tblTargetStatus[TargetID],tblTargetStatus[Status],""))</f>
        <v>BLOCKED</v>
      </c>
      <c r="Q528" t="str">
        <f>IF(
 tblTargetStatus[[#This Row],[Status]]&lt;&gt;"BLOCKED",
 tblTargetStatus[[#This Row],[Status]],
 IF(
  AND(
   tblTargetStatus[[#This Row],[MissingDependencies]]=1,
   tblTargetStatus[[#This Row],[FirstMissingStatus]]="READY"
  ),
  "ONE AWAY",
  "BLOCKED"
 )
)</f>
        <v>BLOCKED</v>
      </c>
      <c r="R528">
        <f>IF(
 OR(
  tblTargetStatus[[#This Row],[StateType]]="CHARACTER",
  RIGHT(tblTargetStatus[[#This Row],[TargetID]],6)=".maxed"
 ),
 0,
 _xlfn.LET(
  _xlpm.sort,
   _xlfn.XLOOKUP(
    tblTargetStatus[[#This Row],[TargetID]],
    tblChecklist[TargetID],
    tblChecklist[PlayerSort],
    0
   ),
  IF(_xlpm.sort=0,500,_xlpm.sort)
 )
)</f>
        <v>999</v>
      </c>
      <c r="S528" t="str" cm="1">
        <f t="array" ref="S52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28" t="str">
        <f>_xlfn.XLOOKUP(tblTargetStatus[[#This Row],[TargetID]],tblTargets[TargetID],tblTargets[CompletionMethod],"")</f>
        <v>PLAYER</v>
      </c>
      <c r="U528" t="b">
        <f>COUNTIF(
    tblCost[TargetID],
    tblTargetStatus[[#This Row],[TargetID]]
)&gt;0</f>
        <v>1</v>
      </c>
      <c r="V528" s="81">
        <f>IF(tblTargetStatus[[#This Row],[HasCost]]=FALSE,
"N/A",
_xlfn.XLOOKUP(
tblTargetStatus[[#This Row],[TargetID]],
tblCost[TargetID],
tblCost[FundingPercent],
""
)
)</f>
        <v>0</v>
      </c>
      <c r="W528">
        <f>IF(
COUNTIF(tblCost[TargetID],tblTargetStatus[[#This Row],[TargetID]])=0,
"",
_xlfn.XLOOKUP(
tblTargetStatus[[#This Row],[TargetID]],
tblCost[TargetID],
tblCost[RemainingRequirements],
""
)
)</f>
        <v>6</v>
      </c>
      <c r="X528" s="79" t="b">
        <f>IF(tblTargetStatus[[#This Row],[HasCost]]=FALSE,"N/A",_xlfn.XLOOKUP(
tblTargetStatus[[#This Row],[TargetID]],
tblCost[TargetID],
tblCost[TargetFunded],
TRUE
))</f>
        <v>0</v>
      </c>
      <c r="Y528" t="str" cm="1">
        <f t="array" ref="Y528">_xlfn.TEXTJOIN(
", ",
TRUE,
_xlfn._xlws.FILTER(
tblCost[ResourceID]&amp;": "&amp;tblCost[QuantityRequired],
(tblCost[TargetID]=tblTargetStatus[[#This Row],[TargetID]])*
(tblCost[PlayerPaid]=FALSE),
""
)
)</f>
        <v>coin: 300, grimoire: 5, mandrake: 15, mercury: 5, reagent: 15, ruby: 3</v>
      </c>
      <c r="Z5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8" t="str" cm="1">
        <f t="array" ref="AA52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29" spans="1:27">
      <c r="A529" t="s">
        <v>3608</v>
      </c>
      <c r="B529" t="str">
        <f>_xlfn.XLOOKUP(tblTargetStatus[[#This Row],[TargetID]],tblTargets[TargetID],tblTargets[DisplayName],"")</f>
        <v>Alchemist's Hut - Perfect Fertilizer</v>
      </c>
      <c r="C529" t="str">
        <f>IF(tblTargetStatus[[#This Row],[PlayerCompleted]],"COMPLETED",IF(tblTargetStatus[[#This Row],[MissingDependencies]]=0,"READY","BLOCKED"))</f>
        <v>BLOCKED</v>
      </c>
      <c r="D5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9" t="str">
        <f>_xlfn.XLOOKUP(tblTargetStatus[[#This Row],[TargetID]],tblTargets[TargetID],tblTargets[TargetType],"")</f>
        <v>TECH</v>
      </c>
      <c r="F529" t="str">
        <f>_xlfn.XLOOKUP(tblTargetStatus[[#This Row],[TargetID]],tblTargets[TargetID],tblTargets[StateType])</f>
        <v/>
      </c>
      <c r="G529">
        <f>_xlfn.LET(
_xlpm.id,tblTargetStatus[[#This Row],[TargetID]],
_xlpm.depCount,COUNTIF(tblDependencies[TargetID],_xlpm.id),
_xlpm.objCount,COUNTIF(tblQuestObjectives[QuestTargetID],_xlpm.id),
_xlpm.depCount+_xlpm.objCount
)</f>
        <v>1</v>
      </c>
      <c r="H529">
        <f>tblTargetStatus[[#This Row],[DependencyCount]]</f>
        <v>1</v>
      </c>
      <c r="I529" cm="1">
        <f t="array" ref="I5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9">
        <f>tblTargetStatus[[#This Row],[CompletedDependencyCount]]</f>
        <v>0</v>
      </c>
      <c r="K529" t="b">
        <f>tblTargetStatus[[#This Row],[CompletedDependencies]]=tblTargetStatus[[#This Row],[TotalDependencies]]</f>
        <v>0</v>
      </c>
      <c r="L529">
        <f>tblTargetStatus[[#This Row],[TotalDependencies]]-tblTargetStatus[[#This Row],[CompletedDependencies]]</f>
        <v>1</v>
      </c>
      <c r="M529" t="str" cm="1">
        <f t="array" ref="M5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529" t="str">
        <f>IF(tblTargetStatus[[#This Row],[FirstMissingDependencyID]]="","",_xlfn.XLOOKUP(tblTargetStatus[[#This Row],[FirstMissingDependencyID]],tblTargets[TargetID],tblTargets[DisplayName],tblTargetStatus[[#This Row],[FirstMissingDependencyID]]))</f>
        <v>Ahead of Time Chapter 1 Accepted</v>
      </c>
      <c r="O529" t="str" cm="1">
        <f t="array" ref="O5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 1000 coin, 50 fertilizer, 30 bonemeal, 100 chemical, 20 reagent, 20 catalyst, 30 blueprint, 30 pcard</v>
      </c>
      <c r="P529" t="str">
        <f>IF(tblTargetStatus[[#This Row],[FirstMissingDependencyID]]="","",_xlfn.XLOOKUP(tblTargetStatus[[#This Row],[FirstMissingDependencyID]],tblTargetStatus[TargetID],tblTargetStatus[Status],""))</f>
        <v>BLOCKED</v>
      </c>
      <c r="Q529" t="str">
        <f>IF(
 tblTargetStatus[[#This Row],[Status]]&lt;&gt;"BLOCKED",
 tblTargetStatus[[#This Row],[Status]],
 IF(
  AND(
   tblTargetStatus[[#This Row],[MissingDependencies]]=1,
   tblTargetStatus[[#This Row],[FirstMissingStatus]]="READY"
  ),
  "ONE AWAY",
  "BLOCKED"
 )
)</f>
        <v>BLOCKED</v>
      </c>
      <c r="R529">
        <f>IF(
 OR(
  tblTargetStatus[[#This Row],[StateType]]="CHARACTER",
  RIGHT(tblTargetStatus[[#This Row],[TargetID]],6)=".maxed"
 ),
 0,
 _xlfn.LET(
  _xlpm.sort,
   _xlfn.XLOOKUP(
    tblTargetStatus[[#This Row],[TargetID]],
    tblChecklist[TargetID],
    tblChecklist[PlayerSort],
    0
   ),
  IF(_xlpm.sort=0,500,_xlpm.sort)
 )
)</f>
        <v>500</v>
      </c>
      <c r="S529" t="str" cm="1">
        <f t="array" ref="S52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29" t="str">
        <f>_xlfn.XLOOKUP(tblTargetStatus[[#This Row],[TargetID]],tblTargets[TargetID],tblTargets[CompletionMethod],"")</f>
        <v>PLAYER</v>
      </c>
      <c r="U529" t="b">
        <f>COUNTIF(
    tblCost[TargetID],
    tblTargetStatus[[#This Row],[TargetID]]
)&gt;0</f>
        <v>1</v>
      </c>
      <c r="V529" s="81">
        <f>IF(tblTargetStatus[[#This Row],[HasCost]]=FALSE,
"N/A",
_xlfn.XLOOKUP(
tblTargetStatus[[#This Row],[TargetID]],
tblCost[TargetID],
tblCost[FundingPercent],
""
)
)</f>
        <v>0</v>
      </c>
      <c r="W529">
        <f>IF(
COUNTIF(tblCost[TargetID],tblTargetStatus[[#This Row],[TargetID]])=0,
"",
_xlfn.XLOOKUP(
tblTargetStatus[[#This Row],[TargetID]],
tblCost[TargetID],
tblCost[RemainingRequirements],
""
)
)</f>
        <v>9</v>
      </c>
      <c r="X529" s="79" t="b">
        <f>IF(tblTargetStatus[[#This Row],[HasCost]]=FALSE,"N/A",_xlfn.XLOOKUP(
tblTargetStatus[[#This Row],[TargetID]],
tblCost[TargetID],
tblCost[TargetFunded],
TRUE
))</f>
        <v>0</v>
      </c>
      <c r="Y529" t="str" cm="1">
        <f t="array" ref="Y529">_xlfn.TEXTJOIN(
", ",
TRUE,
_xlfn._xlws.FILTER(
tblCost[ResourceID]&amp;": "&amp;tblCost[QuantityRequired],
(tblCost[TargetID]=tblTargetStatus[[#This Row],[TargetID]])*
(tblCost[PlayerPaid]=FALSE),
""
)
)</f>
        <v>ruby: 5, coin: 1000, synthetic_fertilizer: 50, bone_meal: 30, chemicals: 100, reagent: 20, catalyst: 20, blueprint: 30, punch_card: 30</v>
      </c>
      <c r="Z5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9" t="str" cm="1">
        <f t="array" ref="AA52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0" spans="1:27">
      <c r="A530" t="s">
        <v>2118</v>
      </c>
      <c r="B530" t="str">
        <f>_xlfn.XLOOKUP(tblTargetStatus[[#This Row],[TargetID]],tblTargets[TargetID],tblTargets[DisplayName],"")</f>
        <v>Alchemists Hut - Potion Ambrosia</v>
      </c>
      <c r="C530" t="str">
        <f>IF(tblTargetStatus[[#This Row],[PlayerCompleted]],"COMPLETED",IF(tblTargetStatus[[#This Row],[MissingDependencies]]=0,"READY","BLOCKED"))</f>
        <v>BLOCKED</v>
      </c>
      <c r="D5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0" t="str">
        <f>_xlfn.XLOOKUP(tblTargetStatus[[#This Row],[TargetID]],tblTargets[TargetID],tblTargets[TargetType],"")</f>
        <v>TECH</v>
      </c>
      <c r="F530" t="str">
        <f>_xlfn.XLOOKUP(tblTargetStatus[[#This Row],[TargetID]],tblTargets[TargetID],tblTargets[StateType])</f>
        <v/>
      </c>
      <c r="G530">
        <f>_xlfn.LET(
_xlpm.id,tblTargetStatus[[#This Row],[TargetID]],
_xlpm.depCount,COUNTIF(tblDependencies[TargetID],_xlpm.id),
_xlpm.objCount,COUNTIF(tblQuestObjectives[QuestTargetID],_xlpm.id),
_xlpm.depCount+_xlpm.objCount
)</f>
        <v>3</v>
      </c>
      <c r="H530">
        <f>tblTargetStatus[[#This Row],[DependencyCount]]</f>
        <v>3</v>
      </c>
      <c r="I530" cm="1">
        <f t="array" ref="I5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0">
        <f>tblTargetStatus[[#This Row],[CompletedDependencyCount]]</f>
        <v>0</v>
      </c>
      <c r="K530" t="b">
        <f>tblTargetStatus[[#This Row],[CompletedDependencies]]=tblTargetStatus[[#This Row],[TotalDependencies]]</f>
        <v>0</v>
      </c>
      <c r="L530">
        <f>tblTargetStatus[[#This Row],[TotalDependencies]]-tblTargetStatus[[#This Row],[CompletedDependencies]]</f>
        <v>3</v>
      </c>
      <c r="M530" t="str" cm="1">
        <f t="array" ref="M5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tech.alchemists_hut.potion_berserker_rage</v>
      </c>
      <c r="N530" t="str">
        <f>IF(tblTargetStatus[[#This Row],[FirstMissingDependencyID]]="","",_xlfn.XLOOKUP(tblTargetStatus[[#This Row],[FirstMissingDependencyID]],tblTargets[TargetID],tblTargets[DisplayName],tblTargetStatus[[#This Row],[FirstMissingDependencyID]]))</f>
        <v>Alchemists Hut - Potion Berserker Rage</v>
      </c>
      <c r="O530" t="str" cm="1">
        <f t="array" ref="O5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catalyst,1000 coin,15 mandrake,30 page,12 poh2,30 reagent,5 ruby</v>
      </c>
      <c r="P530" t="str">
        <f>IF(tblTargetStatus[[#This Row],[FirstMissingDependencyID]]="","",_xlfn.XLOOKUP(tblTargetStatus[[#This Row],[FirstMissingDependencyID]],tblTargetStatus[TargetID],tblTargetStatus[Status],""))</f>
        <v>BLOCKED</v>
      </c>
      <c r="Q530" t="str">
        <f>IF(
 tblTargetStatus[[#This Row],[Status]]&lt;&gt;"BLOCKED",
 tblTargetStatus[[#This Row],[Status]],
 IF(
  AND(
   tblTargetStatus[[#This Row],[MissingDependencies]]=1,
   tblTargetStatus[[#This Row],[FirstMissingStatus]]="READY"
  ),
  "ONE AWAY",
  "BLOCKED"
 )
)</f>
        <v>BLOCKED</v>
      </c>
      <c r="R530">
        <f>IF(
 OR(
  tblTargetStatus[[#This Row],[StateType]]="CHARACTER",
  RIGHT(tblTargetStatus[[#This Row],[TargetID]],6)=".maxed"
 ),
 0,
 _xlfn.LET(
  _xlpm.sort,
   _xlfn.XLOOKUP(
    tblTargetStatus[[#This Row],[TargetID]],
    tblChecklist[TargetID],
    tblChecklist[PlayerSort],
    0
   ),
  IF(_xlpm.sort=0,500,_xlpm.sort)
 )
)</f>
        <v>500</v>
      </c>
      <c r="S530" t="str" cm="1">
        <f t="array" ref="S53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30" t="str">
        <f>_xlfn.XLOOKUP(tblTargetStatus[[#This Row],[TargetID]],tblTargets[TargetID],tblTargets[CompletionMethod],"")</f>
        <v>PLAYER</v>
      </c>
      <c r="U530" t="b">
        <f>COUNTIF(
    tblCost[TargetID],
    tblTargetStatus[[#This Row],[TargetID]]
)&gt;0</f>
        <v>1</v>
      </c>
      <c r="V530" s="81">
        <f>IF(tblTargetStatus[[#This Row],[HasCost]]=FALSE,
"N/A",
_xlfn.XLOOKUP(
tblTargetStatus[[#This Row],[TargetID]],
tblCost[TargetID],
tblCost[FundingPercent],
""
)
)</f>
        <v>0</v>
      </c>
      <c r="W530">
        <f>IF(
COUNTIF(tblCost[TargetID],tblTargetStatus[[#This Row],[TargetID]])=0,
"",
_xlfn.XLOOKUP(
tblTargetStatus[[#This Row],[TargetID]],
tblCost[TargetID],
tblCost[RemainingRequirements],
""
)
)</f>
        <v>7</v>
      </c>
      <c r="X530" s="79" t="b">
        <f>IF(tblTargetStatus[[#This Row],[HasCost]]=FALSE,"N/A",_xlfn.XLOOKUP(
tblTargetStatus[[#This Row],[TargetID]],
tblCost[TargetID],
tblCost[TargetFunded],
TRUE
))</f>
        <v>0</v>
      </c>
      <c r="Y530" t="str" cm="1">
        <f t="array" ref="Y530">_xlfn.TEXTJOIN(
", ",
TRUE,
_xlfn._xlws.FILTER(
tblCost[ResourceID]&amp;": "&amp;tblCost[QuantityRequired],
(tblCost[TargetID]=tblTargetStatus[[#This Row],[TargetID]])*
(tblCost[PlayerPaid]=FALSE),
""
)
)</f>
        <v>catalyst: 20, coin: 1000, mandrake: 15, page: 30, poh2: 12, reagent: 30, ruby: 5</v>
      </c>
      <c r="Z5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0" t="str" cm="1">
        <f t="array" ref="AA53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1" spans="1:27" ht="29">
      <c r="A531" t="s">
        <v>2114</v>
      </c>
      <c r="B531" t="str">
        <f>_xlfn.XLOOKUP(tblTargetStatus[[#This Row],[TargetID]],tblTargets[TargetID],tblTargets[DisplayName],"")</f>
        <v>Alchemists Hut - Potion Berserker Rage</v>
      </c>
      <c r="C531" t="str">
        <f>IF(tblTargetStatus[[#This Row],[PlayerCompleted]],"COMPLETED",IF(tblTargetStatus[[#This Row],[MissingDependencies]]=0,"READY","BLOCKED"))</f>
        <v>BLOCKED</v>
      </c>
      <c r="D5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1" t="str">
        <f>_xlfn.XLOOKUP(tblTargetStatus[[#This Row],[TargetID]],tblTargets[TargetID],tblTargets[TargetType],"")</f>
        <v>TECH</v>
      </c>
      <c r="F531" t="str">
        <f>_xlfn.XLOOKUP(tblTargetStatus[[#This Row],[TargetID]],tblTargets[TargetID],tblTargets[StateType])</f>
        <v/>
      </c>
      <c r="G531">
        <f>_xlfn.LET(
_xlpm.id,tblTargetStatus[[#This Row],[TargetID]],
_xlpm.depCount,COUNTIF(tblDependencies[TargetID],_xlpm.id),
_xlpm.objCount,COUNTIF(tblQuestObjectives[QuestTargetID],_xlpm.id),
_xlpm.depCount+_xlpm.objCount
)</f>
        <v>1</v>
      </c>
      <c r="H531">
        <f>tblTargetStatus[[#This Row],[DependencyCount]]</f>
        <v>1</v>
      </c>
      <c r="I531" cm="1">
        <f t="array" ref="I5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1">
        <f>tblTargetStatus[[#This Row],[CompletedDependencyCount]]</f>
        <v>0</v>
      </c>
      <c r="K531" t="b">
        <f>tblTargetStatus[[#This Row],[CompletedDependencies]]=tblTargetStatus[[#This Row],[TotalDependencies]]</f>
        <v>0</v>
      </c>
      <c r="L531">
        <f>tblTargetStatus[[#This Row],[TotalDependencies]]-tblTargetStatus[[#This Row],[CompletedDependencies]]</f>
        <v>1</v>
      </c>
      <c r="M531" t="str" cm="1">
        <f t="array" ref="M5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31" t="str">
        <f>IF(tblTargetStatus[[#This Row],[FirstMissingDependencyID]]="","",_xlfn.XLOOKUP(tblTargetStatus[[#This Row],[FirstMissingDependencyID]],tblTargets[TargetID],tblTargets[DisplayName],tblTargetStatus[[#This Row],[FirstMissingDependencyID]]))</f>
        <v>Alchemists Hut maxed</v>
      </c>
      <c r="O531" s="2" t="str" cm="1">
        <f t="array" ref="O5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coin,10 glass,10 mandrake,20 page,20 reagent,3 ruby,3 spices</v>
      </c>
      <c r="P531" t="str">
        <f>IF(tblTargetStatus[[#This Row],[FirstMissingDependencyID]]="","",_xlfn.XLOOKUP(tblTargetStatus[[#This Row],[FirstMissingDependencyID]],tblTargetStatus[TargetID],tblTargetStatus[Status],""))</f>
        <v>BLOCKED</v>
      </c>
      <c r="Q531" t="str">
        <f>IF(
 tblTargetStatus[[#This Row],[Status]]&lt;&gt;"BLOCKED",
 tblTargetStatus[[#This Row],[Status]],
 IF(
  AND(
   tblTargetStatus[[#This Row],[MissingDependencies]]=1,
   tblTargetStatus[[#This Row],[FirstMissingStatus]]="READY"
  ),
  "ONE AWAY",
  "BLOCKED"
 )
)</f>
        <v>BLOCKED</v>
      </c>
      <c r="R531">
        <f>IF(
 OR(
  tblTargetStatus[[#This Row],[StateType]]="CHARACTER",
  RIGHT(tblTargetStatus[[#This Row],[TargetID]],6)=".maxed"
 ),
 0,
 _xlfn.LET(
  _xlpm.sort,
   _xlfn.XLOOKUP(
    tblTargetStatus[[#This Row],[TargetID]],
    tblChecklist[TargetID],
    tblChecklist[PlayerSort],
    0
   ),
  IF(_xlpm.sort=0,500,_xlpm.sort)
 )
)</f>
        <v>500</v>
      </c>
      <c r="S531" t="str" cm="1">
        <f t="array" ref="S53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 Potion Ambrosia</v>
      </c>
      <c r="T531" t="str">
        <f>_xlfn.XLOOKUP(tblTargetStatus[[#This Row],[TargetID]],tblTargets[TargetID],tblTargets[CompletionMethod],"")</f>
        <v>PLAYER</v>
      </c>
      <c r="U531" t="b">
        <f>COUNTIF(
    tblCost[TargetID],
    tblTargetStatus[[#This Row],[TargetID]]
)&gt;0</f>
        <v>1</v>
      </c>
      <c r="V531" s="81">
        <f>IF(tblTargetStatus[[#This Row],[HasCost]]=FALSE,
"N/A",
_xlfn.XLOOKUP(
tblTargetStatus[[#This Row],[TargetID]],
tblCost[TargetID],
tblCost[FundingPercent],
""
)
)</f>
        <v>0</v>
      </c>
      <c r="W531">
        <f>IF(
COUNTIF(tblCost[TargetID],tblTargetStatus[[#This Row],[TargetID]])=0,
"",
_xlfn.XLOOKUP(
tblTargetStatus[[#This Row],[TargetID]],
tblCost[TargetID],
tblCost[RemainingRequirements],
""
)
)</f>
        <v>7</v>
      </c>
      <c r="X531" s="79" t="b">
        <f>IF(tblTargetStatus[[#This Row],[HasCost]]=FALSE,"N/A",_xlfn.XLOOKUP(
tblTargetStatus[[#This Row],[TargetID]],
tblCost[TargetID],
tblCost[TargetFunded],
TRUE
))</f>
        <v>0</v>
      </c>
      <c r="Y531" t="str" cm="1">
        <f t="array" ref="Y531">_xlfn.TEXTJOIN(
", ",
TRUE,
_xlfn._xlws.FILTER(
tblCost[ResourceID]&amp;": "&amp;tblCost[QuantityRequired],
(tblCost[TargetID]=tblTargetStatus[[#This Row],[TargetID]])*
(tblCost[PlayerPaid]=FALSE),
""
)
)</f>
        <v>coin: 500, glass: 10, mandrake: 10, page: 20, reagent: 20, ruby: 3, spices: 3</v>
      </c>
      <c r="Z5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1" t="str" cm="1">
        <f t="array" ref="AA53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2" spans="1:27" ht="29">
      <c r="A532" t="s">
        <v>2112</v>
      </c>
      <c r="B532" t="str">
        <f>_xlfn.XLOOKUP(tblTargetStatus[[#This Row],[TargetID]],tblTargets[TargetID],tblTargets[DisplayName],"")</f>
        <v>Alchemists Hut - Potion Of Energy</v>
      </c>
      <c r="C532" t="str">
        <f>IF(tblTargetStatus[[#This Row],[PlayerCompleted]],"COMPLETED",IF(tblTargetStatus[[#This Row],[MissingDependencies]]=0,"READY","BLOCKED"))</f>
        <v>BLOCKED</v>
      </c>
      <c r="D5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2" t="str">
        <f>_xlfn.XLOOKUP(tblTargetStatus[[#This Row],[TargetID]],tblTargets[TargetID],tblTargets[TargetType],"")</f>
        <v>TECH</v>
      </c>
      <c r="F532" t="str">
        <f>_xlfn.XLOOKUP(tblTargetStatus[[#This Row],[TargetID]],tblTargets[TargetID],tblTargets[StateType])</f>
        <v/>
      </c>
      <c r="G532">
        <f>_xlfn.LET(
_xlpm.id,tblTargetStatus[[#This Row],[TargetID]],
_xlpm.depCount,COUNTIF(tblDependencies[TargetID],_xlpm.id),
_xlpm.objCount,COUNTIF(tblQuestObjectives[QuestTargetID],_xlpm.id),
_xlpm.depCount+_xlpm.objCount
)</f>
        <v>1</v>
      </c>
      <c r="H532">
        <f>tblTargetStatus[[#This Row],[DependencyCount]]</f>
        <v>1</v>
      </c>
      <c r="I532" cm="1">
        <f t="array" ref="I5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2">
        <f>tblTargetStatus[[#This Row],[CompletedDependencyCount]]</f>
        <v>0</v>
      </c>
      <c r="K532" t="b">
        <f>tblTargetStatus[[#This Row],[CompletedDependencies]]=tblTargetStatus[[#This Row],[TotalDependencies]]</f>
        <v>0</v>
      </c>
      <c r="L532">
        <f>tblTargetStatus[[#This Row],[TotalDependencies]]-tblTargetStatus[[#This Row],[CompletedDependencies]]</f>
        <v>1</v>
      </c>
      <c r="M532" t="str" cm="1">
        <f t="array" ref="M5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32" t="str">
        <f>IF(tblTargetStatus[[#This Row],[FirstMissingDependencyID]]="","",_xlfn.XLOOKUP(tblTargetStatus[[#This Row],[FirstMissingDependencyID]],tblTargets[TargetID],tblTargets[DisplayName],tblTargetStatus[[#This Row],[FirstMissingDependencyID]]))</f>
        <v>Alchemists Hut maxed</v>
      </c>
      <c r="O532" s="2" t="str" cm="1">
        <f t="array" ref="O5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coin,50 crypto,10 glass,15 page,15 reagent,1 ruby</v>
      </c>
      <c r="P532" t="str">
        <f>IF(tblTargetStatus[[#This Row],[FirstMissingDependencyID]]="","",_xlfn.XLOOKUP(tblTargetStatus[[#This Row],[FirstMissingDependencyID]],tblTargetStatus[TargetID],tblTargetStatus[Status],""))</f>
        <v>BLOCKED</v>
      </c>
      <c r="Q532" t="str">
        <f>IF(
 tblTargetStatus[[#This Row],[Status]]&lt;&gt;"BLOCKED",
 tblTargetStatus[[#This Row],[Status]],
 IF(
  AND(
   tblTargetStatus[[#This Row],[MissingDependencies]]=1,
   tblTargetStatus[[#This Row],[FirstMissingStatus]]="READY"
  ),
  "ONE AWAY",
  "BLOCKED"
 )
)</f>
        <v>BLOCKED</v>
      </c>
      <c r="R532">
        <f>IF(
 OR(
  tblTargetStatus[[#This Row],[StateType]]="CHARACTER",
  RIGHT(tblTargetStatus[[#This Row],[TargetID]],6)=".maxed"
 ),
 0,
 _xlfn.LET(
  _xlpm.sort,
   _xlfn.XLOOKUP(
    tblTargetStatus[[#This Row],[TargetID]],
    tblChecklist[TargetID],
    tblChecklist[PlayerSort],
    0
   ),
  IF(_xlpm.sort=0,500,_xlpm.sort)
 )
)</f>
        <v>500</v>
      </c>
      <c r="S532" t="str" cm="1">
        <f t="array" ref="S53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32" t="str">
        <f>_xlfn.XLOOKUP(tblTargetStatus[[#This Row],[TargetID]],tblTargets[TargetID],tblTargets[CompletionMethod],"")</f>
        <v>PLAYER</v>
      </c>
      <c r="U532" t="b">
        <f>COUNTIF(
    tblCost[TargetID],
    tblTargetStatus[[#This Row],[TargetID]]
)&gt;0</f>
        <v>1</v>
      </c>
      <c r="V532" s="81">
        <f>IF(tblTargetStatus[[#This Row],[HasCost]]=FALSE,
"N/A",
_xlfn.XLOOKUP(
tblTargetStatus[[#This Row],[TargetID]],
tblCost[TargetID],
tblCost[FundingPercent],
""
)
)</f>
        <v>0</v>
      </c>
      <c r="W532">
        <f>IF(
COUNTIF(tblCost[TargetID],tblTargetStatus[[#This Row],[TargetID]])=0,
"",
_xlfn.XLOOKUP(
tblTargetStatus[[#This Row],[TargetID]],
tblCost[TargetID],
tblCost[RemainingRequirements],
""
)
)</f>
        <v>6</v>
      </c>
      <c r="X532" s="79" t="b">
        <f>IF(tblTargetStatus[[#This Row],[HasCost]]=FALSE,"N/A",_xlfn.XLOOKUP(
tblTargetStatus[[#This Row],[TargetID]],
tblCost[TargetID],
tblCost[TargetFunded],
TRUE
))</f>
        <v>0</v>
      </c>
      <c r="Y532" t="str" cm="1">
        <f t="array" ref="Y532">_xlfn.TEXTJOIN(
", ",
TRUE,
_xlfn._xlws.FILTER(
tblCost[ResourceID]&amp;": "&amp;tblCost[QuantityRequired],
(tblCost[TargetID]=tblTargetStatus[[#This Row],[TargetID]])*
(tblCost[PlayerPaid]=FALSE),
""
)
)</f>
        <v>coin: 300, crypto: 50, glass: 10, page: 15, reagent: 15, ruby: 1</v>
      </c>
      <c r="Z5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2" t="str" cm="1">
        <f t="array" ref="AA53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3" spans="1:27" ht="29">
      <c r="A533" t="s">
        <v>2110</v>
      </c>
      <c r="B533" t="str">
        <f>_xlfn.XLOOKUP(tblTargetStatus[[#This Row],[TargetID]],tblTargets[TargetID],tblTargets[DisplayName],"")</f>
        <v>Alchemists Hut - Potion Of Healing</v>
      </c>
      <c r="C533" t="str">
        <f>IF(tblTargetStatus[[#This Row],[PlayerCompleted]],"COMPLETED",IF(tblTargetStatus[[#This Row],[MissingDependencies]]=0,"READY","BLOCKED"))</f>
        <v>BLOCKED</v>
      </c>
      <c r="D5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3" t="str">
        <f>_xlfn.XLOOKUP(tblTargetStatus[[#This Row],[TargetID]],tblTargets[TargetID],tblTargets[TargetType],"")</f>
        <v>TECH</v>
      </c>
      <c r="F533" t="str">
        <f>_xlfn.XLOOKUP(tblTargetStatus[[#This Row],[TargetID]],tblTargets[TargetID],tblTargets[StateType])</f>
        <v/>
      </c>
      <c r="G533">
        <f>_xlfn.LET(
_xlpm.id,tblTargetStatus[[#This Row],[TargetID]],
_xlpm.depCount,COUNTIF(tblDependencies[TargetID],_xlpm.id),
_xlpm.objCount,COUNTIF(tblQuestObjectives[QuestTargetID],_xlpm.id),
_xlpm.depCount+_xlpm.objCount
)</f>
        <v>1</v>
      </c>
      <c r="H533">
        <f>tblTargetStatus[[#This Row],[DependencyCount]]</f>
        <v>1</v>
      </c>
      <c r="I533" cm="1">
        <f t="array" ref="I5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3">
        <f>tblTargetStatus[[#This Row],[CompletedDependencyCount]]</f>
        <v>0</v>
      </c>
      <c r="K533" t="b">
        <f>tblTargetStatus[[#This Row],[CompletedDependencies]]=tblTargetStatus[[#This Row],[TotalDependencies]]</f>
        <v>0</v>
      </c>
      <c r="L533">
        <f>tblTargetStatus[[#This Row],[TotalDependencies]]-tblTargetStatus[[#This Row],[CompletedDependencies]]</f>
        <v>1</v>
      </c>
      <c r="M533" t="str" cm="1">
        <f t="array" ref="M5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33" t="str">
        <f>IF(tblTargetStatus[[#This Row],[FirstMissingDependencyID]]="","",_xlfn.XLOOKUP(tblTargetStatus[[#This Row],[FirstMissingDependencyID]],tblTargets[TargetID],tblTargets[DisplayName],tblTargetStatus[[#This Row],[FirstMissingDependencyID]]))</f>
        <v>Alchemists Hut maxed</v>
      </c>
      <c r="O533" s="2" t="str" cm="1">
        <f t="array" ref="O5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coin,50 crypto,10 glass,15 page,15 reagent,1 ruby</v>
      </c>
      <c r="P533" t="str">
        <f>IF(tblTargetStatus[[#This Row],[FirstMissingDependencyID]]="","",_xlfn.XLOOKUP(tblTargetStatus[[#This Row],[FirstMissingDependencyID]],tblTargetStatus[TargetID],tblTargetStatus[Status],""))</f>
        <v>BLOCKED</v>
      </c>
      <c r="Q533" t="str">
        <f>IF(
 tblTargetStatus[[#This Row],[Status]]&lt;&gt;"BLOCKED",
 tblTargetStatus[[#This Row],[Status]],
 IF(
  AND(
   tblTargetStatus[[#This Row],[MissingDependencies]]=1,
   tblTargetStatus[[#This Row],[FirstMissingStatus]]="READY"
  ),
  "ONE AWAY",
  "BLOCKED"
 )
)</f>
        <v>BLOCKED</v>
      </c>
      <c r="R533">
        <f>IF(
 OR(
  tblTargetStatus[[#This Row],[StateType]]="CHARACTER",
  RIGHT(tblTargetStatus[[#This Row],[TargetID]],6)=".maxed"
 ),
 0,
 _xlfn.LET(
  _xlpm.sort,
   _xlfn.XLOOKUP(
    tblTargetStatus[[#This Row],[TargetID]],
    tblChecklist[TargetID],
    tblChecklist[PlayerSort],
    0
   ),
  IF(_xlpm.sort=0,500,_xlpm.sort)
 )
)</f>
        <v>500</v>
      </c>
      <c r="S533" t="str" cm="1">
        <f t="array" ref="S53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 Potion Of Healing Lvl 2</v>
      </c>
      <c r="T533" t="str">
        <f>_xlfn.XLOOKUP(tblTargetStatus[[#This Row],[TargetID]],tblTargets[TargetID],tblTargets[CompletionMethod],"")</f>
        <v>PLAYER</v>
      </c>
      <c r="U533" t="b">
        <f>COUNTIF(
    tblCost[TargetID],
    tblTargetStatus[[#This Row],[TargetID]]
)&gt;0</f>
        <v>1</v>
      </c>
      <c r="V533" s="81">
        <f>IF(tblTargetStatus[[#This Row],[HasCost]]=FALSE,
"N/A",
_xlfn.XLOOKUP(
tblTargetStatus[[#This Row],[TargetID]],
tblCost[TargetID],
tblCost[FundingPercent],
""
)
)</f>
        <v>0</v>
      </c>
      <c r="W533">
        <f>IF(
COUNTIF(tblCost[TargetID],tblTargetStatus[[#This Row],[TargetID]])=0,
"",
_xlfn.XLOOKUP(
tblTargetStatus[[#This Row],[TargetID]],
tblCost[TargetID],
tblCost[RemainingRequirements],
""
)
)</f>
        <v>6</v>
      </c>
      <c r="X533" s="79" t="b">
        <f>IF(tblTargetStatus[[#This Row],[HasCost]]=FALSE,"N/A",_xlfn.XLOOKUP(
tblTargetStatus[[#This Row],[TargetID]],
tblCost[TargetID],
tblCost[TargetFunded],
TRUE
))</f>
        <v>0</v>
      </c>
      <c r="Y533" t="str" cm="1">
        <f t="array" ref="Y533">_xlfn.TEXTJOIN(
", ",
TRUE,
_xlfn._xlws.FILTER(
tblCost[ResourceID]&amp;": "&amp;tblCost[QuantityRequired],
(tblCost[TargetID]=tblTargetStatus[[#This Row],[TargetID]])*
(tblCost[PlayerPaid]=FALSE),
""
)
)</f>
        <v>coin: 300, crypto: 50, glass: 10, page: 15, reagent: 15, ruby: 1</v>
      </c>
      <c r="Z5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3" t="str" cm="1">
        <f t="array" ref="AA53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4" spans="1:27">
      <c r="A534" t="s">
        <v>2116</v>
      </c>
      <c r="B534" t="str">
        <f>_xlfn.XLOOKUP(tblTargetStatus[[#This Row],[TargetID]],tblTargets[TargetID],tblTargets[DisplayName],"")</f>
        <v>Alchemists Hut - Potion Of Healing Lvl 2</v>
      </c>
      <c r="C534" t="str">
        <f>IF(tblTargetStatus[[#This Row],[PlayerCompleted]],"COMPLETED",IF(tblTargetStatus[[#This Row],[MissingDependencies]]=0,"READY","BLOCKED"))</f>
        <v>BLOCKED</v>
      </c>
      <c r="D5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4" t="str">
        <f>_xlfn.XLOOKUP(tblTargetStatus[[#This Row],[TargetID]],tblTargets[TargetID],tblTargets[TargetType],"")</f>
        <v>TECH</v>
      </c>
      <c r="F534" t="str">
        <f>_xlfn.XLOOKUP(tblTargetStatus[[#This Row],[TargetID]],tblTargets[TargetID],tblTargets[StateType])</f>
        <v/>
      </c>
      <c r="G534">
        <f>_xlfn.LET(
_xlpm.id,tblTargetStatus[[#This Row],[TargetID]],
_xlpm.depCount,COUNTIF(tblDependencies[TargetID],_xlpm.id),
_xlpm.objCount,COUNTIF(tblQuestObjectives[QuestTargetID],_xlpm.id),
_xlpm.depCount+_xlpm.objCount
)</f>
        <v>1</v>
      </c>
      <c r="H534">
        <f>tblTargetStatus[[#This Row],[DependencyCount]]</f>
        <v>1</v>
      </c>
      <c r="I534" cm="1">
        <f t="array" ref="I5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4">
        <f>tblTargetStatus[[#This Row],[CompletedDependencyCount]]</f>
        <v>0</v>
      </c>
      <c r="K534" t="b">
        <f>tblTargetStatus[[#This Row],[CompletedDependencies]]=tblTargetStatus[[#This Row],[TotalDependencies]]</f>
        <v>0</v>
      </c>
      <c r="L534">
        <f>tblTargetStatus[[#This Row],[TotalDependencies]]-tblTargetStatus[[#This Row],[CompletedDependencies]]</f>
        <v>1</v>
      </c>
      <c r="M534" t="str" cm="1">
        <f t="array" ref="M5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tech.alchemists_hut.potion_of_healing</v>
      </c>
      <c r="N534" t="str">
        <f>IF(tblTargetStatus[[#This Row],[FirstMissingDependencyID]]="","",_xlfn.XLOOKUP(tblTargetStatus[[#This Row],[FirstMissingDependencyID]],tblTargets[TargetID],tblTargets[DisplayName],tblTargetStatus[[#This Row],[FirstMissingDependencyID]]))</f>
        <v>Alchemists Hut - Potion Of Healing</v>
      </c>
      <c r="O534" t="str" cm="1">
        <f t="array" ref="O5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catalyst,500 coin,10 mandrake,20 page,12 poh,20 reagent,3 ruby</v>
      </c>
      <c r="P534" t="str">
        <f>IF(tblTargetStatus[[#This Row],[FirstMissingDependencyID]]="","",_xlfn.XLOOKUP(tblTargetStatus[[#This Row],[FirstMissingDependencyID]],tblTargetStatus[TargetID],tblTargetStatus[Status],""))</f>
        <v>BLOCKED</v>
      </c>
      <c r="Q534" t="str">
        <f>IF(
 tblTargetStatus[[#This Row],[Status]]&lt;&gt;"BLOCKED",
 tblTargetStatus[[#This Row],[Status]],
 IF(
  AND(
   tblTargetStatus[[#This Row],[MissingDependencies]]=1,
   tblTargetStatus[[#This Row],[FirstMissingStatus]]="READY"
  ),
  "ONE AWAY",
  "BLOCKED"
 )
)</f>
        <v>BLOCKED</v>
      </c>
      <c r="R534">
        <f>IF(
 OR(
  tblTargetStatus[[#This Row],[StateType]]="CHARACTER",
  RIGHT(tblTargetStatus[[#This Row],[TargetID]],6)=".maxed"
 ),
 0,
 _xlfn.LET(
  _xlpm.sort,
   _xlfn.XLOOKUP(
    tblTargetStatus[[#This Row],[TargetID]],
    tblChecklist[TargetID],
    tblChecklist[PlayerSort],
    0
   ),
  IF(_xlpm.sort=0,500,_xlpm.sort)
 )
)</f>
        <v>500</v>
      </c>
      <c r="S534" t="str" cm="1">
        <f t="array" ref="S53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 Potion Ambrosia</v>
      </c>
      <c r="T534" t="str">
        <f>_xlfn.XLOOKUP(tblTargetStatus[[#This Row],[TargetID]],tblTargets[TargetID],tblTargets[CompletionMethod],"")</f>
        <v>PLAYER</v>
      </c>
      <c r="U534" t="b">
        <f>COUNTIF(
    tblCost[TargetID],
    tblTargetStatus[[#This Row],[TargetID]]
)&gt;0</f>
        <v>1</v>
      </c>
      <c r="V534" s="81">
        <f>IF(tblTargetStatus[[#This Row],[HasCost]]=FALSE,
"N/A",
_xlfn.XLOOKUP(
tblTargetStatus[[#This Row],[TargetID]],
tblCost[TargetID],
tblCost[FundingPercent],
""
)
)</f>
        <v>0</v>
      </c>
      <c r="W534">
        <f>IF(
COUNTIF(tblCost[TargetID],tblTargetStatus[[#This Row],[TargetID]])=0,
"",
_xlfn.XLOOKUP(
tblTargetStatus[[#This Row],[TargetID]],
tblCost[TargetID],
tblCost[RemainingRequirements],
""
)
)</f>
        <v>7</v>
      </c>
      <c r="X534" s="79" t="b">
        <f>IF(tblTargetStatus[[#This Row],[HasCost]]=FALSE,"N/A",_xlfn.XLOOKUP(
tblTargetStatus[[#This Row],[TargetID]],
tblCost[TargetID],
tblCost[TargetFunded],
TRUE
))</f>
        <v>0</v>
      </c>
      <c r="Y534" t="str" cm="1">
        <f t="array" ref="Y534">_xlfn.TEXTJOIN(
", ",
TRUE,
_xlfn._xlws.FILTER(
tblCost[ResourceID]&amp;": "&amp;tblCost[QuantityRequired],
(tblCost[TargetID]=tblTargetStatus[[#This Row],[TargetID]])*
(tblCost[PlayerPaid]=FALSE),
""
)
)</f>
        <v>catalyst: 15, coin: 500, mandrake: 10, page: 20, poh: 12, reagent: 20, ruby: 3</v>
      </c>
      <c r="Z5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4" t="str" cm="1">
        <f t="array" ref="AA53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5" spans="1:27">
      <c r="A535" t="s">
        <v>2102</v>
      </c>
      <c r="B535" t="str">
        <f>_xlfn.XLOOKUP(tblTargetStatus[[#This Row],[TargetID]],tblTargets[TargetID],tblTargets[DisplayName],"")</f>
        <v>Alchemists Hut - Potion Of Mental Power</v>
      </c>
      <c r="C535" t="str">
        <f>IF(tblTargetStatus[[#This Row],[PlayerCompleted]],"COMPLETED",IF(tblTargetStatus[[#This Row],[MissingDependencies]]=0,"READY","BLOCKED"))</f>
        <v>BLOCKED</v>
      </c>
      <c r="D5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5" t="str">
        <f>_xlfn.XLOOKUP(tblTargetStatus[[#This Row],[TargetID]],tblTargets[TargetID],tblTargets[TargetType],"")</f>
        <v>TECH</v>
      </c>
      <c r="F535" t="str">
        <f>_xlfn.XLOOKUP(tblTargetStatus[[#This Row],[TargetID]],tblTargets[TargetID],tblTargets[StateType])</f>
        <v/>
      </c>
      <c r="G535">
        <f>_xlfn.LET(
_xlpm.id,tblTargetStatus[[#This Row],[TargetID]],
_xlpm.depCount,COUNTIF(tblDependencies[TargetID],_xlpm.id),
_xlpm.objCount,COUNTIF(tblQuestObjectives[QuestTargetID],_xlpm.id),
_xlpm.depCount+_xlpm.objCount
)</f>
        <v>2</v>
      </c>
      <c r="H535">
        <f>tblTargetStatus[[#This Row],[DependencyCount]]</f>
        <v>2</v>
      </c>
      <c r="I535" cm="1">
        <f t="array" ref="I5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5">
        <f>tblTargetStatus[[#This Row],[CompletedDependencyCount]]</f>
        <v>0</v>
      </c>
      <c r="K535" t="b">
        <f>tblTargetStatus[[#This Row],[CompletedDependencies]]=tblTargetStatus[[#This Row],[TotalDependencies]]</f>
        <v>0</v>
      </c>
      <c r="L535">
        <f>tblTargetStatus[[#This Row],[TotalDependencies]]-tblTargetStatus[[#This Row],[CompletedDependencies]]</f>
        <v>2</v>
      </c>
      <c r="M535" t="str" cm="1">
        <f t="array" ref="M5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quest.once_upon_a_forest_chapter_6.accepted</v>
      </c>
      <c r="N535" t="str">
        <f>IF(tblTargetStatus[[#This Row],[FirstMissingDependencyID]]="","",_xlfn.XLOOKUP(tblTargetStatus[[#This Row],[FirstMissingDependencyID]],tblTargets[TargetID],tblTargets[DisplayName],tblTargetStatus[[#This Row],[FirstMissingDependencyID]]))</f>
        <v>Once Upon a Forest Chapter 6 Accepted</v>
      </c>
      <c r="O535" t="str" cm="1">
        <f t="array" ref="O5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cinnabar,300 coin,20 ginkgo,10 glass,10 grimoire,10 herbs,10 reagent,1 ruby</v>
      </c>
      <c r="P535" t="str">
        <f>IF(tblTargetStatus[[#This Row],[FirstMissingDependencyID]]="","",_xlfn.XLOOKUP(tblTargetStatus[[#This Row],[FirstMissingDependencyID]],tblTargetStatus[TargetID],tblTargetStatus[Status],""))</f>
        <v>BLOCKED</v>
      </c>
      <c r="Q535" t="str">
        <f>IF(
 tblTargetStatus[[#This Row],[Status]]&lt;&gt;"BLOCKED",
 tblTargetStatus[[#This Row],[Status]],
 IF(
  AND(
   tblTargetStatus[[#This Row],[MissingDependencies]]=1,
   tblTargetStatus[[#This Row],[FirstMissingStatus]]="READY"
  ),
  "ONE AWAY",
  "BLOCKED"
 )
)</f>
        <v>BLOCKED</v>
      </c>
      <c r="R535">
        <f>IF(
 OR(
  tblTargetStatus[[#This Row],[StateType]]="CHARACTER",
  RIGHT(tblTargetStatus[[#This Row],[TargetID]],6)=".maxed"
 ),
 0,
 _xlfn.LET(
  _xlpm.sort,
   _xlfn.XLOOKUP(
    tblTargetStatus[[#This Row],[TargetID]],
    tblChecklist[TargetID],
    tblChecklist[PlayerSort],
    0
   ),
  IF(_xlpm.sort=0,500,_xlpm.sort)
 )
)</f>
        <v>500</v>
      </c>
      <c r="S535" t="str" cm="1">
        <f t="array" ref="S53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Craft Potion of Mental Power, Once Upon a Forest Chapter 6 Finished</v>
      </c>
      <c r="T535" t="str">
        <f>_xlfn.XLOOKUP(tblTargetStatus[[#This Row],[TargetID]],tblTargets[TargetID],tblTargets[CompletionMethod],"")</f>
        <v>PLAYER</v>
      </c>
      <c r="U535" t="b">
        <f>COUNTIF(
    tblCost[TargetID],
    tblTargetStatus[[#This Row],[TargetID]]
)&gt;0</f>
        <v>1</v>
      </c>
      <c r="V535" s="81">
        <f>IF(tblTargetStatus[[#This Row],[HasCost]]=FALSE,
"N/A",
_xlfn.XLOOKUP(
tblTargetStatus[[#This Row],[TargetID]],
tblCost[TargetID],
tblCost[FundingPercent],
""
)
)</f>
        <v>0</v>
      </c>
      <c r="W535">
        <f>IF(
COUNTIF(tblCost[TargetID],tblTargetStatus[[#This Row],[TargetID]])=0,
"",
_xlfn.XLOOKUP(
tblTargetStatus[[#This Row],[TargetID]],
tblCost[TargetID],
tblCost[RemainingRequirements],
""
)
)</f>
        <v>8</v>
      </c>
      <c r="X535" s="79" t="b">
        <f>IF(tblTargetStatus[[#This Row],[HasCost]]=FALSE,"N/A",_xlfn.XLOOKUP(
tblTargetStatus[[#This Row],[TargetID]],
tblCost[TargetID],
tblCost[TargetFunded],
TRUE
))</f>
        <v>0</v>
      </c>
      <c r="Y535" t="str" cm="1">
        <f t="array" ref="Y535">_xlfn.TEXTJOIN(
", ",
TRUE,
_xlfn._xlws.FILTER(
tblCost[ResourceID]&amp;": "&amp;tblCost[QuantityRequired],
(tblCost[TargetID]=tblTargetStatus[[#This Row],[TargetID]])*
(tblCost[PlayerPaid]=FALSE),
""
)
)</f>
        <v>cinnabar: 15, coin: 300, ginkgo: 20, glass: 10, grimoire: 10, herbs: 10, reagent: 10, ruby: 1</v>
      </c>
      <c r="Z5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5" t="str" cm="1">
        <f t="array" ref="AA53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6" spans="1:27" ht="29">
      <c r="A536" t="s">
        <v>2098</v>
      </c>
      <c r="B536" t="str">
        <f>_xlfn.XLOOKUP(tblTargetStatus[[#This Row],[TargetID]],tblTargets[TargetID],tblTargets[DisplayName],"")</f>
        <v>Alchemists Hut - Synthetic Fertilizer</v>
      </c>
      <c r="C536" t="str">
        <f>IF(tblTargetStatus[[#This Row],[PlayerCompleted]],"COMPLETED",IF(tblTargetStatus[[#This Row],[MissingDependencies]]=0,"READY","BLOCKED"))</f>
        <v>BLOCKED</v>
      </c>
      <c r="D5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6" t="str">
        <f>_xlfn.XLOOKUP(tblTargetStatus[[#This Row],[TargetID]],tblTargets[TargetID],tblTargets[TargetType],"")</f>
        <v>TECH</v>
      </c>
      <c r="F536" t="str">
        <f>_xlfn.XLOOKUP(tblTargetStatus[[#This Row],[TargetID]],tblTargets[TargetID],tblTargets[StateType])</f>
        <v/>
      </c>
      <c r="G536">
        <f>_xlfn.LET(
_xlpm.id,tblTargetStatus[[#This Row],[TargetID]],
_xlpm.depCount,COUNTIF(tblDependencies[TargetID],_xlpm.id),
_xlpm.objCount,COUNTIF(tblQuestObjectives[QuestTargetID],_xlpm.id),
_xlpm.depCount+_xlpm.objCount
)</f>
        <v>1</v>
      </c>
      <c r="H536">
        <f>tblTargetStatus[[#This Row],[DependencyCount]]</f>
        <v>1</v>
      </c>
      <c r="I536" cm="1">
        <f t="array" ref="I5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6">
        <f>tblTargetStatus[[#This Row],[CompletedDependencyCount]]</f>
        <v>0</v>
      </c>
      <c r="K536" t="b">
        <f>tblTargetStatus[[#This Row],[CompletedDependencies]]=tblTargetStatus[[#This Row],[TotalDependencies]]</f>
        <v>0</v>
      </c>
      <c r="L536">
        <f>tblTargetStatus[[#This Row],[TotalDependencies]]-tblTargetStatus[[#This Row],[CompletedDependencies]]</f>
        <v>1</v>
      </c>
      <c r="M536" t="str" cm="1">
        <f t="array" ref="M5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36" t="str">
        <f>IF(tblTargetStatus[[#This Row],[FirstMissingDependencyID]]="","",_xlfn.XLOOKUP(tblTargetStatus[[#This Row],[FirstMissingDependencyID]],tblTargets[TargetID],tblTargets[DisplayName],tblTargetStatus[[#This Row],[FirstMissingDependencyID]]))</f>
        <v>Alchemists Hut maxed</v>
      </c>
      <c r="O536" s="2" t="str" cm="1">
        <f t="array" ref="O5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blueprint,100 charcoal,50 chemicals,300 coin,10 reagent,1 ruby</v>
      </c>
      <c r="P536" t="str">
        <f>IF(tblTargetStatus[[#This Row],[FirstMissingDependencyID]]="","",_xlfn.XLOOKUP(tblTargetStatus[[#This Row],[FirstMissingDependencyID]],tblTargetStatus[TargetID],tblTargetStatus[Status],""))</f>
        <v>BLOCKED</v>
      </c>
      <c r="Q536" t="str">
        <f>IF(
 tblTargetStatus[[#This Row],[Status]]&lt;&gt;"BLOCKED",
 tblTargetStatus[[#This Row],[Status]],
 IF(
  AND(
   tblTargetStatus[[#This Row],[MissingDependencies]]=1,
   tblTargetStatus[[#This Row],[FirstMissingStatus]]="READY"
  ),
  "ONE AWAY",
  "BLOCKED"
 )
)</f>
        <v>BLOCKED</v>
      </c>
      <c r="R536">
        <f>IF(
 OR(
  tblTargetStatus[[#This Row],[StateType]]="CHARACTER",
  RIGHT(tblTargetStatus[[#This Row],[TargetID]],6)=".maxed"
 ),
 0,
 _xlfn.LET(
  _xlpm.sort,
   _xlfn.XLOOKUP(
    tblTargetStatus[[#This Row],[TargetID]],
    tblChecklist[TargetID],
    tblChecklist[PlayerSort],
    0
   ),
  IF(_xlpm.sort=0,500,_xlpm.sort)
 )
)</f>
        <v>500</v>
      </c>
      <c r="S536" t="str" cm="1">
        <f t="array" ref="S53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Alchemists Hut - Advanced Fertilizer</v>
      </c>
      <c r="T536" t="str">
        <f>_xlfn.XLOOKUP(tblTargetStatus[[#This Row],[TargetID]],tblTargets[TargetID],tblTargets[CompletionMethod],"")</f>
        <v>PLAYER</v>
      </c>
      <c r="U536" t="b">
        <f>COUNTIF(
    tblCost[TargetID],
    tblTargetStatus[[#This Row],[TargetID]]
)&gt;0</f>
        <v>1</v>
      </c>
      <c r="V536" s="81">
        <f>IF(tblTargetStatus[[#This Row],[HasCost]]=FALSE,
"N/A",
_xlfn.XLOOKUP(
tblTargetStatus[[#This Row],[TargetID]],
tblCost[TargetID],
tblCost[FundingPercent],
""
)
)</f>
        <v>0</v>
      </c>
      <c r="W536">
        <f>IF(
COUNTIF(tblCost[TargetID],tblTargetStatus[[#This Row],[TargetID]])=0,
"",
_xlfn.XLOOKUP(
tblTargetStatus[[#This Row],[TargetID]],
tblCost[TargetID],
tblCost[RemainingRequirements],
""
)
)</f>
        <v>6</v>
      </c>
      <c r="X536" s="79" t="b">
        <f>IF(tblTargetStatus[[#This Row],[HasCost]]=FALSE,"N/A",_xlfn.XLOOKUP(
tblTargetStatus[[#This Row],[TargetID]],
tblCost[TargetID],
tblCost[TargetFunded],
TRUE
))</f>
        <v>0</v>
      </c>
      <c r="Y536" t="str" cm="1">
        <f t="array" ref="Y536">_xlfn.TEXTJOIN(
", ",
TRUE,
_xlfn._xlws.FILTER(
tblCost[ResourceID]&amp;": "&amp;tblCost[QuantityRequired],
(tblCost[TargetID]=tblTargetStatus[[#This Row],[TargetID]])*
(tblCost[PlayerPaid]=FALSE),
""
)
)</f>
        <v>blueprint: 15, charcoal: 100, chemicals: 50, coin: 300, reagent: 10, ruby: 1</v>
      </c>
      <c r="Z5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6" t="str" cm="1">
        <f t="array" ref="AA53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7" spans="1:27" ht="29">
      <c r="A537" t="s">
        <v>2130</v>
      </c>
      <c r="B537" t="str">
        <f>_xlfn.XLOOKUP(tblTargetStatus[[#This Row],[TargetID]],tblTargets[TargetID],tblTargets[DisplayName],"")</f>
        <v>Bridge - Koi Fish</v>
      </c>
      <c r="C537" t="str">
        <f>IF(tblTargetStatus[[#This Row],[PlayerCompleted]],"COMPLETED",IF(tblTargetStatus[[#This Row],[MissingDependencies]]=0,"READY","BLOCKED"))</f>
        <v>BLOCKED</v>
      </c>
      <c r="D5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7" t="str">
        <f>_xlfn.XLOOKUP(tblTargetStatus[[#This Row],[TargetID]],tblTargets[TargetID],tblTargets[TargetType],"")</f>
        <v>TECH</v>
      </c>
      <c r="F537" t="str">
        <f>_xlfn.XLOOKUP(tblTargetStatus[[#This Row],[TargetID]],tblTargets[TargetID],tblTargets[StateType])</f>
        <v/>
      </c>
      <c r="G537">
        <f>_xlfn.LET(
_xlpm.id,tblTargetStatus[[#This Row],[TargetID]],
_xlpm.depCount,COUNTIF(tblDependencies[TargetID],_xlpm.id),
_xlpm.objCount,COUNTIF(tblQuestObjectives[QuestTargetID],_xlpm.id),
_xlpm.depCount+_xlpm.objCount
)</f>
        <v>1</v>
      </c>
      <c r="H537">
        <f>tblTargetStatus[[#This Row],[DependencyCount]]</f>
        <v>1</v>
      </c>
      <c r="I537" cm="1">
        <f t="array" ref="I5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7">
        <f>tblTargetStatus[[#This Row],[CompletedDependencyCount]]</f>
        <v>0</v>
      </c>
      <c r="K537" t="b">
        <f>tblTargetStatus[[#This Row],[CompletedDependencies]]=tblTargetStatus[[#This Row],[TotalDependencies]]</f>
        <v>0</v>
      </c>
      <c r="L537">
        <f>tblTargetStatus[[#This Row],[TotalDependencies]]-tblTargetStatus[[#This Row],[CompletedDependencies]]</f>
        <v>1</v>
      </c>
      <c r="M537" t="str" cm="1">
        <f t="array" ref="M5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building.bridge.maxed</v>
      </c>
      <c r="N537" t="str">
        <f>IF(tblTargetStatus[[#This Row],[FirstMissingDependencyID]]="","",_xlfn.XLOOKUP(tblTargetStatus[[#This Row],[FirstMissingDependencyID]],tblTargets[TargetID],tblTargets[DisplayName],tblTargetStatus[[#This Row],[FirstMissingDependencyID]]))</f>
        <v>Bridge maxed</v>
      </c>
      <c r="O537" s="2" t="str" cm="1">
        <f t="array" ref="O5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ingot,20 paper,20 ruby,20 salmon,20 tuna,20 wheat</v>
      </c>
      <c r="P537" t="str">
        <f>IF(tblTargetStatus[[#This Row],[FirstMissingDependencyID]]="","",_xlfn.XLOOKUP(tblTargetStatus[[#This Row],[FirstMissingDependencyID]],tblTargetStatus[TargetID],tblTargetStatus[Status],""))</f>
        <v>BLOCKED</v>
      </c>
      <c r="Q537" t="str">
        <f>IF(
 tblTargetStatus[[#This Row],[Status]]&lt;&gt;"BLOCKED",
 tblTargetStatus[[#This Row],[Status]],
 IF(
  AND(
   tblTargetStatus[[#This Row],[MissingDependencies]]=1,
   tblTargetStatus[[#This Row],[FirstMissingStatus]]="READY"
  ),
  "ONE AWAY",
  "BLOCKED"
 )
)</f>
        <v>BLOCKED</v>
      </c>
      <c r="R537">
        <f>IF(
 OR(
  tblTargetStatus[[#This Row],[StateType]]="CHARACTER",
  RIGHT(tblTargetStatus[[#This Row],[TargetID]],6)=".maxed"
 ),
 0,
 _xlfn.LET(
  _xlpm.sort,
   _xlfn.XLOOKUP(
    tblTargetStatus[[#This Row],[TargetID]],
    tblChecklist[TargetID],
    tblChecklist[PlayerSort],
    0
   ),
  IF(_xlpm.sort=0,500,_xlpm.sort)
 )
)</f>
        <v>500</v>
      </c>
      <c r="S537" t="str" cm="1">
        <f t="array" ref="S53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37" t="str">
        <f>_xlfn.XLOOKUP(tblTargetStatus[[#This Row],[TargetID]],tblTargets[TargetID],tblTargets[CompletionMethod],"")</f>
        <v>PLAYER</v>
      </c>
      <c r="U537" t="b">
        <f>COUNTIF(
    tblCost[TargetID],
    tblTargetStatus[[#This Row],[TargetID]]
)&gt;0</f>
        <v>1</v>
      </c>
      <c r="V537" s="81">
        <f>IF(tblTargetStatus[[#This Row],[HasCost]]=FALSE,
"N/A",
_xlfn.XLOOKUP(
tblTargetStatus[[#This Row],[TargetID]],
tblCost[TargetID],
tblCost[FundingPercent],
""
)
)</f>
        <v>0</v>
      </c>
      <c r="W537">
        <f>IF(
COUNTIF(tblCost[TargetID],tblTargetStatus[[#This Row],[TargetID]])=0,
"",
_xlfn.XLOOKUP(
tblTargetStatus[[#This Row],[TargetID]],
tblCost[TargetID],
tblCost[RemainingRequirements],
""
)
)</f>
        <v>6</v>
      </c>
      <c r="X537" s="79" t="b">
        <f>IF(tblTargetStatus[[#This Row],[HasCost]]=FALSE,"N/A",_xlfn.XLOOKUP(
tblTargetStatus[[#This Row],[TargetID]],
tblCost[TargetID],
tblCost[TargetFunded],
TRUE
))</f>
        <v>0</v>
      </c>
      <c r="Y537" t="str" cm="1">
        <f t="array" ref="Y537">_xlfn.TEXTJOIN(
", ",
TRUE,
_xlfn._xlws.FILTER(
tblCost[ResourceID]&amp;": "&amp;tblCost[QuantityRequired],
(tblCost[TargetID]=tblTargetStatus[[#This Row],[TargetID]])*
(tblCost[PlayerPaid]=FALSE),
""
)
)</f>
        <v>ingot: 20, paper: 20, ruby: 20, salmon: 20, tuna: 20, wheat: 20</v>
      </c>
      <c r="Z5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7" t="str" cm="1">
        <f t="array" ref="AA53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8" spans="1:27" ht="29">
      <c r="A538" t="s">
        <v>2132</v>
      </c>
      <c r="B538" t="str">
        <f>_xlfn.XLOOKUP(tblTargetStatus[[#This Row],[TargetID]],tblTargets[TargetID],tblTargets[DisplayName],"")</f>
        <v>Bridge - Salmon Farming</v>
      </c>
      <c r="C538" t="str">
        <f>IF(tblTargetStatus[[#This Row],[PlayerCompleted]],"COMPLETED",IF(tblTargetStatus[[#This Row],[MissingDependencies]]=0,"READY","BLOCKED"))</f>
        <v>BLOCKED</v>
      </c>
      <c r="D5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8" t="str">
        <f>_xlfn.XLOOKUP(tblTargetStatus[[#This Row],[TargetID]],tblTargets[TargetID],tblTargets[TargetType],"")</f>
        <v>TECH</v>
      </c>
      <c r="F538" t="str">
        <f>_xlfn.XLOOKUP(tblTargetStatus[[#This Row],[TargetID]],tblTargets[TargetID],tblTargets[StateType])</f>
        <v/>
      </c>
      <c r="G538">
        <f>_xlfn.LET(
_xlpm.id,tblTargetStatus[[#This Row],[TargetID]],
_xlpm.depCount,COUNTIF(tblDependencies[TargetID],_xlpm.id),
_xlpm.objCount,COUNTIF(tblQuestObjectives[QuestTargetID],_xlpm.id),
_xlpm.depCount+_xlpm.objCount
)</f>
        <v>1</v>
      </c>
      <c r="H538">
        <f>tblTargetStatus[[#This Row],[DependencyCount]]</f>
        <v>1</v>
      </c>
      <c r="I538" cm="1">
        <f t="array" ref="I5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8">
        <f>tblTargetStatus[[#This Row],[CompletedDependencyCount]]</f>
        <v>0</v>
      </c>
      <c r="K538" t="b">
        <f>tblTargetStatus[[#This Row],[CompletedDependencies]]=tblTargetStatus[[#This Row],[TotalDependencies]]</f>
        <v>0</v>
      </c>
      <c r="L538">
        <f>tblTargetStatus[[#This Row],[TotalDependencies]]-tblTargetStatus[[#This Row],[CompletedDependencies]]</f>
        <v>1</v>
      </c>
      <c r="M538" t="str" cm="1">
        <f t="array" ref="M5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building.bridge.maxed</v>
      </c>
      <c r="N538" t="str">
        <f>IF(tblTargetStatus[[#This Row],[FirstMissingDependencyID]]="","",_xlfn.XLOOKUP(tblTargetStatus[[#This Row],[FirstMissingDependencyID]],tblTargets[TargetID],tblTargets[DisplayName],tblTargetStatus[[#This Row],[FirstMissingDependencyID]]))</f>
        <v>Bridge maxed</v>
      </c>
      <c r="O538" s="2" t="str" cm="1">
        <f t="array" ref="O5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blueprint,40 flour,20 glass,10 net,15 ruby,20 salmon,400 stone</v>
      </c>
      <c r="P538" t="str">
        <f>IF(tblTargetStatus[[#This Row],[FirstMissingDependencyID]]="","",_xlfn.XLOOKUP(tblTargetStatus[[#This Row],[FirstMissingDependencyID]],tblTargetStatus[TargetID],tblTargetStatus[Status],""))</f>
        <v>BLOCKED</v>
      </c>
      <c r="Q538" t="str">
        <f>IF(
 tblTargetStatus[[#This Row],[Status]]&lt;&gt;"BLOCKED",
 tblTargetStatus[[#This Row],[Status]],
 IF(
  AND(
   tblTargetStatus[[#This Row],[MissingDependencies]]=1,
   tblTargetStatus[[#This Row],[FirstMissingStatus]]="READY"
  ),
  "ONE AWAY",
  "BLOCKED"
 )
)</f>
        <v>BLOCKED</v>
      </c>
      <c r="R538">
        <f>IF(
 OR(
  tblTargetStatus[[#This Row],[StateType]]="CHARACTER",
  RIGHT(tblTargetStatus[[#This Row],[TargetID]],6)=".maxed"
 ),
 0,
 _xlfn.LET(
  _xlpm.sort,
   _xlfn.XLOOKUP(
    tblTargetStatus[[#This Row],[TargetID]],
    tblChecklist[TargetID],
    tblChecklist[PlayerSort],
    0
   ),
  IF(_xlpm.sort=0,500,_xlpm.sort)
 )
)</f>
        <v>500</v>
      </c>
      <c r="S538" t="str" cm="1">
        <f t="array" ref="S53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38" t="str">
        <f>_xlfn.XLOOKUP(tblTargetStatus[[#This Row],[TargetID]],tblTargets[TargetID],tblTargets[CompletionMethod],"")</f>
        <v>PLAYER</v>
      </c>
      <c r="U538" t="b">
        <f>COUNTIF(
    tblCost[TargetID],
    tblTargetStatus[[#This Row],[TargetID]]
)&gt;0</f>
        <v>1</v>
      </c>
      <c r="V538" s="81">
        <f>IF(tblTargetStatus[[#This Row],[HasCost]]=FALSE,
"N/A",
_xlfn.XLOOKUP(
tblTargetStatus[[#This Row],[TargetID]],
tblCost[TargetID],
tblCost[FundingPercent],
""
)
)</f>
        <v>0</v>
      </c>
      <c r="W538">
        <f>IF(
COUNTIF(tblCost[TargetID],tblTargetStatus[[#This Row],[TargetID]])=0,
"",
_xlfn.XLOOKUP(
tblTargetStatus[[#This Row],[TargetID]],
tblCost[TargetID],
tblCost[RemainingRequirements],
""
)
)</f>
        <v>7</v>
      </c>
      <c r="X538" s="79" t="b">
        <f>IF(tblTargetStatus[[#This Row],[HasCost]]=FALSE,"N/A",_xlfn.XLOOKUP(
tblTargetStatus[[#This Row],[TargetID]],
tblCost[TargetID],
tblCost[TargetFunded],
TRUE
))</f>
        <v>0</v>
      </c>
      <c r="Y538" t="str" cm="1">
        <f t="array" ref="Y538">_xlfn.TEXTJOIN(
", ",
TRUE,
_xlfn._xlws.FILTER(
tblCost[ResourceID]&amp;": "&amp;tblCost[QuantityRequired],
(tblCost[TargetID]=tblTargetStatus[[#This Row],[TargetID]])*
(tblCost[PlayerPaid]=FALSE),
""
)
)</f>
        <v>blueprint: 20, flour: 40, glass: 20, net: 10, ruby: 15, salmon: 20, stone: 400</v>
      </c>
      <c r="Z5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8" t="str" cm="1">
        <f t="array" ref="AA53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39" spans="1:27">
      <c r="A539" t="s">
        <v>2136</v>
      </c>
      <c r="B539" t="str">
        <f>_xlfn.XLOOKUP(tblTargetStatus[[#This Row],[TargetID]],tblTargets[TargetID],tblTargets[DisplayName],"")</f>
        <v>Dairy - Big Data Farming</v>
      </c>
      <c r="C539" t="str">
        <f>IF(tblTargetStatus[[#This Row],[PlayerCompleted]],"COMPLETED",IF(tblTargetStatus[[#This Row],[MissingDependencies]]=0,"READY","BLOCKED"))</f>
        <v>BLOCKED</v>
      </c>
      <c r="D5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9" t="str">
        <f>_xlfn.XLOOKUP(tblTargetStatus[[#This Row],[TargetID]],tblTargets[TargetID],tblTargets[TargetType],"")</f>
        <v>TECH</v>
      </c>
      <c r="F539" t="str">
        <f>_xlfn.XLOOKUP(tblTargetStatus[[#This Row],[TargetID]],tblTargets[TargetID],tblTargets[StateType])</f>
        <v/>
      </c>
      <c r="G539">
        <f>_xlfn.LET(
_xlpm.id,tblTargetStatus[[#This Row],[TargetID]],
_xlpm.depCount,COUNTIF(tblDependencies[TargetID],_xlpm.id),
_xlpm.objCount,COUNTIF(tblQuestObjectives[QuestTargetID],_xlpm.id),
_xlpm.depCount+_xlpm.objCount
)</f>
        <v>1</v>
      </c>
      <c r="H539">
        <f>tblTargetStatus[[#This Row],[DependencyCount]]</f>
        <v>1</v>
      </c>
      <c r="I539" cm="1">
        <f t="array" ref="I5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9">
        <f>tblTargetStatus[[#This Row],[CompletedDependencyCount]]</f>
        <v>0</v>
      </c>
      <c r="K539" t="b">
        <f>tblTargetStatus[[#This Row],[CompletedDependencies]]=tblTargetStatus[[#This Row],[TotalDependencies]]</f>
        <v>0</v>
      </c>
      <c r="L539">
        <f>tblTargetStatus[[#This Row],[TotalDependencies]]-tblTargetStatus[[#This Row],[CompletedDependencies]]</f>
        <v>1</v>
      </c>
      <c r="M539" t="str" cm="1">
        <f t="array" ref="M5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tech.dairy.classical_music_for_the_farm</v>
      </c>
      <c r="N539" t="str">
        <f>IF(tblTargetStatus[[#This Row],[FirstMissingDependencyID]]="","",_xlfn.XLOOKUP(tblTargetStatus[[#This Row],[FirstMissingDependencyID]],tblTargets[TargetID],tblTargets[DisplayName],tblTargetStatus[[#This Row],[FirstMissingDependencyID]]))</f>
        <v>Dairy - Classical Music For The Farm</v>
      </c>
      <c r="O539" t="str" cm="1">
        <f t="array" ref="O5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32 blueprint,1000 coin,20 mechanism,20 milk,40 paper,20 quartz,5 ruby,20 tparts,10 violetcrystal</v>
      </c>
      <c r="P539" t="str">
        <f>IF(tblTargetStatus[[#This Row],[FirstMissingDependencyID]]="","",_xlfn.XLOOKUP(tblTargetStatus[[#This Row],[FirstMissingDependencyID]],tblTargetStatus[TargetID],tblTargetStatus[Status],""))</f>
        <v>BLOCKED</v>
      </c>
      <c r="Q539" t="str">
        <f>IF(
 tblTargetStatus[[#This Row],[Status]]&lt;&gt;"BLOCKED",
 tblTargetStatus[[#This Row],[Status]],
 IF(
  AND(
   tblTargetStatus[[#This Row],[MissingDependencies]]=1,
   tblTargetStatus[[#This Row],[FirstMissingStatus]]="READY"
  ),
  "ONE AWAY",
  "BLOCKED"
 )
)</f>
        <v>BLOCKED</v>
      </c>
      <c r="R539">
        <f>IF(
 OR(
  tblTargetStatus[[#This Row],[StateType]]="CHARACTER",
  RIGHT(tblTargetStatus[[#This Row],[TargetID]],6)=".maxed"
 ),
 0,
 _xlfn.LET(
  _xlpm.sort,
   _xlfn.XLOOKUP(
    tblTargetStatus[[#This Row],[TargetID]],
    tblChecklist[TargetID],
    tblChecklist[PlayerSort],
    0
   ),
  IF(_xlpm.sort=0,500,_xlpm.sort)
 )
)</f>
        <v>500</v>
      </c>
      <c r="S539" t="str" cm="1">
        <f t="array" ref="S53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39" t="str">
        <f>_xlfn.XLOOKUP(tblTargetStatus[[#This Row],[TargetID]],tblTargets[TargetID],tblTargets[CompletionMethod],"")</f>
        <v>PLAYER</v>
      </c>
      <c r="U539" t="b">
        <f>COUNTIF(
    tblCost[TargetID],
    tblTargetStatus[[#This Row],[TargetID]]
)&gt;0</f>
        <v>1</v>
      </c>
      <c r="V539" s="81">
        <f>IF(tblTargetStatus[[#This Row],[HasCost]]=FALSE,
"N/A",
_xlfn.XLOOKUP(
tblTargetStatus[[#This Row],[TargetID]],
tblCost[TargetID],
tblCost[FundingPercent],
""
)
)</f>
        <v>0</v>
      </c>
      <c r="W539">
        <f>IF(
COUNTIF(tblCost[TargetID],tblTargetStatus[[#This Row],[TargetID]])=0,
"",
_xlfn.XLOOKUP(
tblTargetStatus[[#This Row],[TargetID]],
tblCost[TargetID],
tblCost[RemainingRequirements],
""
)
)</f>
        <v>9</v>
      </c>
      <c r="X539" s="79" t="b">
        <f>IF(tblTargetStatus[[#This Row],[HasCost]]=FALSE,"N/A",_xlfn.XLOOKUP(
tblTargetStatus[[#This Row],[TargetID]],
tblCost[TargetID],
tblCost[TargetFunded],
TRUE
))</f>
        <v>0</v>
      </c>
      <c r="Y539" t="str" cm="1">
        <f t="array" ref="Y539">_xlfn.TEXTJOIN(
", ",
TRUE,
_xlfn._xlws.FILTER(
tblCost[ResourceID]&amp;": "&amp;tblCost[QuantityRequired],
(tblCost[TargetID]=tblTargetStatus[[#This Row],[TargetID]])*
(tblCost[PlayerPaid]=FALSE),
""
)
)</f>
        <v>blueprint: 32, coin: 1000, mechanism: 20, milk: 20, paper: 40, quartz: 20, ruby: 5, tparts: 20, violetcrystal: 10</v>
      </c>
      <c r="Z5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9" t="str" cm="1">
        <f t="array" ref="AA53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0" spans="1:27">
      <c r="A540" t="s">
        <v>2134</v>
      </c>
      <c r="B540" t="str">
        <f>_xlfn.XLOOKUP(tblTargetStatus[[#This Row],[TargetID]],tblTargets[TargetID],tblTargets[DisplayName],"")</f>
        <v>Dairy - Classical Music For The Farm</v>
      </c>
      <c r="C540" t="str">
        <f>IF(tblTargetStatus[[#This Row],[PlayerCompleted]],"COMPLETED",IF(tblTargetStatus[[#This Row],[MissingDependencies]]=0,"READY","BLOCKED"))</f>
        <v>BLOCKED</v>
      </c>
      <c r="D5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0" t="str">
        <f>_xlfn.XLOOKUP(tblTargetStatus[[#This Row],[TargetID]],tblTargets[TargetID],tblTargets[TargetType],"")</f>
        <v>TECH</v>
      </c>
      <c r="F540" t="str">
        <f>_xlfn.XLOOKUP(tblTargetStatus[[#This Row],[TargetID]],tblTargets[TargetID],tblTargets[StateType])</f>
        <v/>
      </c>
      <c r="G540">
        <f>_xlfn.LET(
_xlpm.id,tblTargetStatus[[#This Row],[TargetID]],
_xlpm.depCount,COUNTIF(tblDependencies[TargetID],_xlpm.id),
_xlpm.objCount,COUNTIF(tblQuestObjectives[QuestTargetID],_xlpm.id),
_xlpm.depCount+_xlpm.objCount
)</f>
        <v>2</v>
      </c>
      <c r="H540">
        <f>tblTargetStatus[[#This Row],[DependencyCount]]</f>
        <v>2</v>
      </c>
      <c r="I540" cm="1">
        <f t="array" ref="I5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0">
        <f>tblTargetStatus[[#This Row],[CompletedDependencyCount]]</f>
        <v>0</v>
      </c>
      <c r="K540" t="b">
        <f>tblTargetStatus[[#This Row],[CompletedDependencies]]=tblTargetStatus[[#This Row],[TotalDependencies]]</f>
        <v>0</v>
      </c>
      <c r="L540">
        <f>tblTargetStatus[[#This Row],[TotalDependencies]]-tblTargetStatus[[#This Row],[CompletedDependencies]]</f>
        <v>2</v>
      </c>
      <c r="M540" t="str" cm="1">
        <f t="array" ref="M5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quest.the_ordinary_days_of_an_adventurer_chapter_7.finished</v>
      </c>
      <c r="N540" t="str">
        <f>IF(tblTargetStatus[[#This Row],[FirstMissingDependencyID]]="","",_xlfn.XLOOKUP(tblTargetStatus[[#This Row],[FirstMissingDependencyID]],tblTargets[TargetID],tblTargets[DisplayName],tblTargetStatus[[#This Row],[FirstMissingDependencyID]]))</f>
        <v>The Ordinary Days of an Adventurer Chapter 7 Finished</v>
      </c>
      <c r="O540" t="str" cm="1">
        <f t="array" ref="O5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blueprint,500 coin,20 glass,4 horn,15 mechanism,20 milk,20 quartz,3 ruby</v>
      </c>
      <c r="P540" t="str">
        <f>IF(tblTargetStatus[[#This Row],[FirstMissingDependencyID]]="","",_xlfn.XLOOKUP(tblTargetStatus[[#This Row],[FirstMissingDependencyID]],tblTargetStatus[TargetID],tblTargetStatus[Status],""))</f>
        <v>BLOCKED</v>
      </c>
      <c r="Q540" t="str">
        <f>IF(
 tblTargetStatus[[#This Row],[Status]]&lt;&gt;"BLOCKED",
 tblTargetStatus[[#This Row],[Status]],
 IF(
  AND(
   tblTargetStatus[[#This Row],[MissingDependencies]]=1,
   tblTargetStatus[[#This Row],[FirstMissingStatus]]="READY"
  ),
  "ONE AWAY",
  "BLOCKED"
 )
)</f>
        <v>BLOCKED</v>
      </c>
      <c r="R540">
        <f>IF(
 OR(
  tblTargetStatus[[#This Row],[StateType]]="CHARACTER",
  RIGHT(tblTargetStatus[[#This Row],[TargetID]],6)=".maxed"
 ),
 0,
 _xlfn.LET(
  _xlpm.sort,
   _xlfn.XLOOKUP(
    tblTargetStatus[[#This Row],[TargetID]],
    tblChecklist[TargetID],
    tblChecklist[PlayerSort],
    0
   ),
  IF(_xlpm.sort=0,500,_xlpm.sort)
 )
)</f>
        <v>500</v>
      </c>
      <c r="S540" t="str" cm="1">
        <f t="array" ref="S54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Dairy - Big Data Farming</v>
      </c>
      <c r="T540" t="str">
        <f>_xlfn.XLOOKUP(tblTargetStatus[[#This Row],[TargetID]],tblTargets[TargetID],tblTargets[CompletionMethod],"")</f>
        <v>PLAYER</v>
      </c>
      <c r="U540" t="b">
        <f>COUNTIF(
    tblCost[TargetID],
    tblTargetStatus[[#This Row],[TargetID]]
)&gt;0</f>
        <v>1</v>
      </c>
      <c r="V540" s="81">
        <f>IF(tblTargetStatus[[#This Row],[HasCost]]=FALSE,
"N/A",
_xlfn.XLOOKUP(
tblTargetStatus[[#This Row],[TargetID]],
tblCost[TargetID],
tblCost[FundingPercent],
""
)
)</f>
        <v>0</v>
      </c>
      <c r="W540">
        <f>IF(
COUNTIF(tblCost[TargetID],tblTargetStatus[[#This Row],[TargetID]])=0,
"",
_xlfn.XLOOKUP(
tblTargetStatus[[#This Row],[TargetID]],
tblCost[TargetID],
tblCost[RemainingRequirements],
""
)
)</f>
        <v>8</v>
      </c>
      <c r="X540" s="79" t="b">
        <f>IF(tblTargetStatus[[#This Row],[HasCost]]=FALSE,"N/A",_xlfn.XLOOKUP(
tblTargetStatus[[#This Row],[TargetID]],
tblCost[TargetID],
tblCost[TargetFunded],
TRUE
))</f>
        <v>0</v>
      </c>
      <c r="Y540" t="str" cm="1">
        <f t="array" ref="Y540">_xlfn.TEXTJOIN(
", ",
TRUE,
_xlfn._xlws.FILTER(
tblCost[ResourceID]&amp;": "&amp;tblCost[QuantityRequired],
(tblCost[TargetID]=tblTargetStatus[[#This Row],[TargetID]])*
(tblCost[PlayerPaid]=FALSE),
""
)
)</f>
        <v>blueprint: 20, coin: 500, glass: 20, horn: 4, mechanism: 15, milk: 20, quartz: 20, ruby: 3</v>
      </c>
      <c r="Z5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0" t="str" cm="1">
        <f t="array" ref="AA54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1" spans="1:27">
      <c r="A541" t="s">
        <v>2138</v>
      </c>
      <c r="B541" t="str">
        <f>_xlfn.XLOOKUP(tblTargetStatus[[#This Row],[TargetID]],tblTargets[TargetID],tblTargets[DisplayName],"")</f>
        <v>Dungeon - Great Hall</v>
      </c>
      <c r="C541" t="str">
        <f>IF(tblTargetStatus[[#This Row],[PlayerCompleted]],"COMPLETED",IF(tblTargetStatus[[#This Row],[MissingDependencies]]=0,"READY","BLOCKED"))</f>
        <v>BLOCKED</v>
      </c>
      <c r="D5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1" t="str">
        <f>_xlfn.XLOOKUP(tblTargetStatus[[#This Row],[TargetID]],tblTargets[TargetID],tblTargets[TargetType],"")</f>
        <v>TECH</v>
      </c>
      <c r="F541" t="str">
        <f>_xlfn.XLOOKUP(tblTargetStatus[[#This Row],[TargetID]],tblTargets[TargetID],tblTargets[StateType])</f>
        <v/>
      </c>
      <c r="G541">
        <f>_xlfn.LET(
_xlpm.id,tblTargetStatus[[#This Row],[TargetID]],
_xlpm.depCount,COUNTIF(tblDependencies[TargetID],_xlpm.id),
_xlpm.objCount,COUNTIF(tblQuestObjectives[QuestTargetID],_xlpm.id),
_xlpm.depCount+_xlpm.objCount
)</f>
        <v>1</v>
      </c>
      <c r="H541">
        <f>tblTargetStatus[[#This Row],[DependencyCount]]</f>
        <v>1</v>
      </c>
      <c r="I541" cm="1">
        <f t="array" ref="I5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1">
        <f>tblTargetStatus[[#This Row],[CompletedDependencyCount]]</f>
        <v>0</v>
      </c>
      <c r="K541" t="b">
        <f>tblTargetStatus[[#This Row],[CompletedDependencies]]=tblTargetStatus[[#This Row],[TotalDependencies]]</f>
        <v>0</v>
      </c>
      <c r="L541">
        <f>tblTargetStatus[[#This Row],[TotalDependencies]]-tblTargetStatus[[#This Row],[CompletedDependencies]]</f>
        <v>1</v>
      </c>
      <c r="M541" t="str" cm="1">
        <f t="array" ref="M5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building.dungeon@3</v>
      </c>
      <c r="N541" t="str">
        <f>IF(tblTargetStatus[[#This Row],[FirstMissingDependencyID]]="","",_xlfn.XLOOKUP(tblTargetStatus[[#This Row],[FirstMissingDependencyID]],tblTargets[TargetID],tblTargets[DisplayName],tblTargetStatus[[#This Row],[FirstMissingDependencyID]]))</f>
        <v>Dungeon Lv 3</v>
      </c>
      <c r="O541" s="2" t="str" cm="1">
        <f t="array" ref="O5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coin,30 fan,100 steel,50 stone,200 wood</v>
      </c>
      <c r="P541" t="str">
        <f>IF(tblTargetStatus[[#This Row],[FirstMissingDependencyID]]="","",_xlfn.XLOOKUP(tblTargetStatus[[#This Row],[FirstMissingDependencyID]],tblTargetStatus[TargetID],tblTargetStatus[Status],""))</f>
        <v>BLOCKED</v>
      </c>
      <c r="Q541" t="str">
        <f>IF(
 tblTargetStatus[[#This Row],[Status]]&lt;&gt;"BLOCKED",
 tblTargetStatus[[#This Row],[Status]],
 IF(
  AND(
   tblTargetStatus[[#This Row],[MissingDependencies]]=1,
   tblTargetStatus[[#This Row],[FirstMissingStatus]]="READY"
  ),
  "ONE AWAY",
  "BLOCKED"
 )
)</f>
        <v>BLOCKED</v>
      </c>
      <c r="R541">
        <f>IF(
 OR(
  tblTargetStatus[[#This Row],[StateType]]="CHARACTER",
  RIGHT(tblTargetStatus[[#This Row],[TargetID]],6)=".maxed"
 ),
 0,
 _xlfn.LET(
  _xlpm.sort,
   _xlfn.XLOOKUP(
    tblTargetStatus[[#This Row],[TargetID]],
    tblChecklist[TargetID],
    tblChecklist[PlayerSort],
    0
   ),
  IF(_xlpm.sort=0,500,_xlpm.sort)
 )
)</f>
        <v>500</v>
      </c>
      <c r="S541" t="str" cm="1">
        <f t="array" ref="S54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Armory, Attic, Gallery, Kitchen and Buttery, Lair lvl. 1, Mushroom Farm, Orangery, Pantry, Tavern, Treasury</v>
      </c>
      <c r="T541" t="str">
        <f>_xlfn.XLOOKUP(tblTargetStatus[[#This Row],[TargetID]],tblTargets[TargetID],tblTargets[CompletionMethod],"")</f>
        <v>PLAYER</v>
      </c>
      <c r="U541" t="b">
        <f>COUNTIF(
    tblCost[TargetID],
    tblTargetStatus[[#This Row],[TargetID]]
)&gt;0</f>
        <v>1</v>
      </c>
      <c r="V541" s="81">
        <f>IF(tblTargetStatus[[#This Row],[HasCost]]=FALSE,
"N/A",
_xlfn.XLOOKUP(
tblTargetStatus[[#This Row],[TargetID]],
tblCost[TargetID],
tblCost[FundingPercent],
""
)
)</f>
        <v>0</v>
      </c>
      <c r="W541">
        <f>IF(
COUNTIF(tblCost[TargetID],tblTargetStatus[[#This Row],[TargetID]])=0,
"",
_xlfn.XLOOKUP(
tblTargetStatus[[#This Row],[TargetID]],
tblCost[TargetID],
tblCost[RemainingRequirements],
""
)
)</f>
        <v>5</v>
      </c>
      <c r="X541" s="79" t="b">
        <f>IF(tblTargetStatus[[#This Row],[HasCost]]=FALSE,"N/A",_xlfn.XLOOKUP(
tblTargetStatus[[#This Row],[TargetID]],
tblCost[TargetID],
tblCost[TargetFunded],
TRUE
))</f>
        <v>0</v>
      </c>
      <c r="Y541" t="str" cm="1">
        <f t="array" ref="Y541">_xlfn.TEXTJOIN(
", ",
TRUE,
_xlfn._xlws.FILTER(
tblCost[ResourceID]&amp;": "&amp;tblCost[QuantityRequired],
(tblCost[TargetID]=tblTargetStatus[[#This Row],[TargetID]])*
(tblCost[PlayerPaid]=FALSE),
""
)
)</f>
        <v>coin: 300, fan: 30, steel: 100, stone: 50, wood: 200</v>
      </c>
      <c r="Z5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1" t="str" cm="1">
        <f t="array" ref="AA54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2" spans="1:27" ht="29">
      <c r="A542" t="s">
        <v>2140</v>
      </c>
      <c r="B542" t="str">
        <f>_xlfn.XLOOKUP(tblTargetStatus[[#This Row],[TargetID]],tblTargets[TargetID],tblTargets[DisplayName],"")</f>
        <v>Fermentory - Pasteurization</v>
      </c>
      <c r="C542" t="str">
        <f>IF(tblTargetStatus[[#This Row],[PlayerCompleted]],"COMPLETED",IF(tblTargetStatus[[#This Row],[MissingDependencies]]=0,"READY","BLOCKED"))</f>
        <v>BLOCKED</v>
      </c>
      <c r="D5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2" t="str">
        <f>_xlfn.XLOOKUP(tblTargetStatus[[#This Row],[TargetID]],tblTargets[TargetID],tblTargets[TargetType],"")</f>
        <v>TECH</v>
      </c>
      <c r="F542" t="str">
        <f>_xlfn.XLOOKUP(tblTargetStatus[[#This Row],[TargetID]],tblTargets[TargetID],tblTargets[StateType])</f>
        <v/>
      </c>
      <c r="G542">
        <f>_xlfn.LET(
_xlpm.id,tblTargetStatus[[#This Row],[TargetID]],
_xlpm.depCount,COUNTIF(tblDependencies[TargetID],_xlpm.id),
_xlpm.objCount,COUNTIF(tblQuestObjectives[QuestTargetID],_xlpm.id),
_xlpm.depCount+_xlpm.objCount
)</f>
        <v>1</v>
      </c>
      <c r="H542">
        <f>tblTargetStatus[[#This Row],[DependencyCount]]</f>
        <v>1</v>
      </c>
      <c r="I542" cm="1">
        <f t="array" ref="I5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2">
        <f>tblTargetStatus[[#This Row],[CompletedDependencyCount]]</f>
        <v>0</v>
      </c>
      <c r="K542" t="b">
        <f>tblTargetStatus[[#This Row],[CompletedDependencies]]=tblTargetStatus[[#This Row],[TotalDependencies]]</f>
        <v>0</v>
      </c>
      <c r="L542">
        <f>tblTargetStatus[[#This Row],[TotalDependencies]]-tblTargetStatus[[#This Row],[CompletedDependencies]]</f>
        <v>1</v>
      </c>
      <c r="M542" t="str" cm="1">
        <f t="array" ref="M5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building.fermentory.maxed</v>
      </c>
      <c r="N542" t="str">
        <f>IF(tblTargetStatus[[#This Row],[FirstMissingDependencyID]]="","",_xlfn.XLOOKUP(tblTargetStatus[[#This Row],[FirstMissingDependencyID]],tblTargets[TargetID],tblTargets[DisplayName],tblTargetStatus[[#This Row],[FirstMissingDependencyID]]))</f>
        <v>Fermentory maxed</v>
      </c>
      <c r="O542" s="2" t="str" cm="1">
        <f t="array" ref="O5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amazake,40 blueprint,20 catalyst,1000 coin,10 enzyme,30 glass,10 ruby,200 steel</v>
      </c>
      <c r="P542" t="str">
        <f>IF(tblTargetStatus[[#This Row],[FirstMissingDependencyID]]="","",_xlfn.XLOOKUP(tblTargetStatus[[#This Row],[FirstMissingDependencyID]],tblTargetStatus[TargetID],tblTargetStatus[Status],""))</f>
        <v>BLOCKED</v>
      </c>
      <c r="Q542" t="str">
        <f>IF(
 tblTargetStatus[[#This Row],[Status]]&lt;&gt;"BLOCKED",
 tblTargetStatus[[#This Row],[Status]],
 IF(
  AND(
   tblTargetStatus[[#This Row],[MissingDependencies]]=1,
   tblTargetStatus[[#This Row],[FirstMissingStatus]]="READY"
  ),
  "ONE AWAY",
  "BLOCKED"
 )
)</f>
        <v>BLOCKED</v>
      </c>
      <c r="R542">
        <f>IF(
 OR(
  tblTargetStatus[[#This Row],[StateType]]="CHARACTER",
  RIGHT(tblTargetStatus[[#This Row],[TargetID]],6)=".maxed"
 ),
 0,
 _xlfn.LET(
  _xlpm.sort,
   _xlfn.XLOOKUP(
    tblTargetStatus[[#This Row],[TargetID]],
    tblChecklist[TargetID],
    tblChecklist[PlayerSort],
    0
   ),
  IF(_xlpm.sort=0,500,_xlpm.sort)
 )
)</f>
        <v>500</v>
      </c>
      <c r="S542" t="str" cm="1">
        <f t="array" ref="S54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42" t="str">
        <f>_xlfn.XLOOKUP(tblTargetStatus[[#This Row],[TargetID]],tblTargets[TargetID],tblTargets[CompletionMethod],"")</f>
        <v>PLAYER</v>
      </c>
      <c r="U542" t="b">
        <f>COUNTIF(
    tblCost[TargetID],
    tblTargetStatus[[#This Row],[TargetID]]
)&gt;0</f>
        <v>1</v>
      </c>
      <c r="V542" s="81">
        <f>IF(tblTargetStatus[[#This Row],[HasCost]]=FALSE,
"N/A",
_xlfn.XLOOKUP(
tblTargetStatus[[#This Row],[TargetID]],
tblCost[TargetID],
tblCost[FundingPercent],
""
)
)</f>
        <v>0</v>
      </c>
      <c r="W542">
        <f>IF(
COUNTIF(tblCost[TargetID],tblTargetStatus[[#This Row],[TargetID]])=0,
"",
_xlfn.XLOOKUP(
tblTargetStatus[[#This Row],[TargetID]],
tblCost[TargetID],
tblCost[RemainingRequirements],
""
)
)</f>
        <v>8</v>
      </c>
      <c r="X542" s="79" t="b">
        <f>IF(tblTargetStatus[[#This Row],[HasCost]]=FALSE,"N/A",_xlfn.XLOOKUP(
tblTargetStatus[[#This Row],[TargetID]],
tblCost[TargetID],
tblCost[TargetFunded],
TRUE
))</f>
        <v>0</v>
      </c>
      <c r="Y542" t="str" cm="1">
        <f t="array" ref="Y542">_xlfn.TEXTJOIN(
", ",
TRUE,
_xlfn._xlws.FILTER(
tblCost[ResourceID]&amp;": "&amp;tblCost[QuantityRequired],
(tblCost[TargetID]=tblTargetStatus[[#This Row],[TargetID]])*
(tblCost[PlayerPaid]=FALSE),
""
)
)</f>
        <v>amazake: 20, blueprint: 40, catalyst: 20, coin: 1000, enzyme: 10, glass: 30, ruby: 10, steel: 200</v>
      </c>
      <c r="Z5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2" t="str" cm="1">
        <f t="array" ref="AA54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3" spans="1:27">
      <c r="A543" t="s">
        <v>2144</v>
      </c>
      <c r="B543" t="str">
        <f>_xlfn.XLOOKUP(tblTargetStatus[[#This Row],[TargetID]],tblTargets[TargetID],tblTargets[DisplayName],"")</f>
        <v>Field - Combine Harvester</v>
      </c>
      <c r="C543" t="str">
        <f>IF(tblTargetStatus[[#This Row],[PlayerCompleted]],"COMPLETED",IF(tblTargetStatus[[#This Row],[MissingDependencies]]=0,"READY","BLOCKED"))</f>
        <v>BLOCKED</v>
      </c>
      <c r="D5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3" t="str">
        <f>_xlfn.XLOOKUP(tblTargetStatus[[#This Row],[TargetID]],tblTargets[TargetID],tblTargets[TargetType],"")</f>
        <v>TECH</v>
      </c>
      <c r="F543" t="str">
        <f>_xlfn.XLOOKUP(tblTargetStatus[[#This Row],[TargetID]],tblTargets[TargetID],tblTargets[StateType])</f>
        <v/>
      </c>
      <c r="G543">
        <f>_xlfn.LET(
_xlpm.id,tblTargetStatus[[#This Row],[TargetID]],
_xlpm.depCount,COUNTIF(tblDependencies[TargetID],_xlpm.id),
_xlpm.objCount,COUNTIF(tblQuestObjectives[QuestTargetID],_xlpm.id),
_xlpm.depCount+_xlpm.objCount
)</f>
        <v>2</v>
      </c>
      <c r="H543">
        <f>tblTargetStatus[[#This Row],[DependencyCount]]</f>
        <v>2</v>
      </c>
      <c r="I543" cm="1">
        <f t="array" ref="I5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3">
        <f>tblTargetStatus[[#This Row],[CompletedDependencyCount]]</f>
        <v>0</v>
      </c>
      <c r="K543" t="b">
        <f>tblTargetStatus[[#This Row],[CompletedDependencies]]=tblTargetStatus[[#This Row],[TotalDependencies]]</f>
        <v>0</v>
      </c>
      <c r="L543">
        <f>tblTargetStatus[[#This Row],[TotalDependencies]]-tblTargetStatus[[#This Row],[CompletedDependencies]]</f>
        <v>2</v>
      </c>
      <c r="M543" t="str" cm="1">
        <f t="array" ref="M5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tech.workshop.steamobile</v>
      </c>
      <c r="N543" t="str">
        <f>IF(tblTargetStatus[[#This Row],[FirstMissingDependencyID]]="","",_xlfn.XLOOKUP(tblTargetStatus[[#This Row],[FirstMissingDependencyID]],tblTargets[TargetID],tblTargets[DisplayName],tblTargetStatus[[#This Row],[FirstMissingDependencyID]]))</f>
        <v>Workshop - Steamobile</v>
      </c>
      <c r="O543" t="str" cm="1">
        <f t="array" ref="O5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blueprint,600 coin,60 elixir,10 mechanism,4 ruby,10 steamobile</v>
      </c>
      <c r="P543" t="str">
        <f>IF(tblTargetStatus[[#This Row],[FirstMissingDependencyID]]="","",_xlfn.XLOOKUP(tblTargetStatus[[#This Row],[FirstMissingDependencyID]],tblTargetStatus[TargetID],tblTargetStatus[Status],""))</f>
        <v>BLOCKED</v>
      </c>
      <c r="Q543" t="str">
        <f>IF(
 tblTargetStatus[[#This Row],[Status]]&lt;&gt;"BLOCKED",
 tblTargetStatus[[#This Row],[Status]],
 IF(
  AND(
   tblTargetStatus[[#This Row],[MissingDependencies]]=1,
   tblTargetStatus[[#This Row],[FirstMissingStatus]]="READY"
  ),
  "ONE AWAY",
  "BLOCKED"
 )
)</f>
        <v>BLOCKED</v>
      </c>
      <c r="R543">
        <f>IF(
 OR(
  tblTargetStatus[[#This Row],[StateType]]="CHARACTER",
  RIGHT(tblTargetStatus[[#This Row],[TargetID]],6)=".maxed"
 ),
 0,
 _xlfn.LET(
  _xlpm.sort,
   _xlfn.XLOOKUP(
    tblTargetStatus[[#This Row],[TargetID]],
    tblChecklist[TargetID],
    tblChecklist[PlayerSort],
    0
   ),
  IF(_xlpm.sort=0,500,_xlpm.sort)
 )
)</f>
        <v>500</v>
      </c>
      <c r="S543" t="str" cm="1">
        <f t="array" ref="S54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43" t="str">
        <f>_xlfn.XLOOKUP(tblTargetStatus[[#This Row],[TargetID]],tblTargets[TargetID],tblTargets[CompletionMethod],"")</f>
        <v>PLAYER</v>
      </c>
      <c r="U543" t="b">
        <f>COUNTIF(
    tblCost[TargetID],
    tblTargetStatus[[#This Row],[TargetID]]
)&gt;0</f>
        <v>1</v>
      </c>
      <c r="V543" s="81">
        <f>IF(tblTargetStatus[[#This Row],[HasCost]]=FALSE,
"N/A",
_xlfn.XLOOKUP(
tblTargetStatus[[#This Row],[TargetID]],
tblCost[TargetID],
tblCost[FundingPercent],
""
)
)</f>
        <v>0</v>
      </c>
      <c r="W543">
        <f>IF(
COUNTIF(tblCost[TargetID],tblTargetStatus[[#This Row],[TargetID]])=0,
"",
_xlfn.XLOOKUP(
tblTargetStatus[[#This Row],[TargetID]],
tblCost[TargetID],
tblCost[RemainingRequirements],
""
)
)</f>
        <v>6</v>
      </c>
      <c r="X543" s="79" t="b">
        <f>IF(tblTargetStatus[[#This Row],[HasCost]]=FALSE,"N/A",_xlfn.XLOOKUP(
tblTargetStatus[[#This Row],[TargetID]],
tblCost[TargetID],
tblCost[TargetFunded],
TRUE
))</f>
        <v>0</v>
      </c>
      <c r="Y543" t="str" cm="1">
        <f t="array" ref="Y543">_xlfn.TEXTJOIN(
", ",
TRUE,
_xlfn._xlws.FILTER(
tblCost[ResourceID]&amp;": "&amp;tblCost[QuantityRequired],
(tblCost[TargetID]=tblTargetStatus[[#This Row],[TargetID]])*
(tblCost[PlayerPaid]=FALSE),
""
)
)</f>
        <v>blueprint: 30, coin: 600, elixir: 60, mechanism: 10, ruby: 4, steamobile: 10</v>
      </c>
      <c r="Z5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3" t="str" cm="1">
        <f t="array" ref="AA54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4" spans="1:27">
      <c r="A544" t="s">
        <v>2142</v>
      </c>
      <c r="B544" t="str">
        <f>_xlfn.XLOOKUP(tblTargetStatus[[#This Row],[TargetID]],tblTargets[TargetID],tblTargets[DisplayName],"")</f>
        <v>Field - Seed Drill</v>
      </c>
      <c r="C544" t="str">
        <f>IF(tblTargetStatus[[#This Row],[PlayerCompleted]],"COMPLETED",IF(tblTargetStatus[[#This Row],[MissingDependencies]]=0,"READY","BLOCKED"))</f>
        <v>BLOCKED</v>
      </c>
      <c r="D5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4" t="str">
        <f>_xlfn.XLOOKUP(tblTargetStatus[[#This Row],[TargetID]],tblTargets[TargetID],tblTargets[TargetType],"")</f>
        <v>TECH</v>
      </c>
      <c r="F544" t="str">
        <f>_xlfn.XLOOKUP(tblTargetStatus[[#This Row],[TargetID]],tblTargets[TargetID],tblTargets[StateType])</f>
        <v/>
      </c>
      <c r="G544">
        <f>_xlfn.LET(
_xlpm.id,tblTargetStatus[[#This Row],[TargetID]],
_xlpm.depCount,COUNTIF(tblDependencies[TargetID],_xlpm.id),
_xlpm.objCount,COUNTIF(tblQuestObjectives[QuestTargetID],_xlpm.id),
_xlpm.depCount+_xlpm.objCount
)</f>
        <v>2</v>
      </c>
      <c r="H544">
        <f>tblTargetStatus[[#This Row],[DependencyCount]]</f>
        <v>2</v>
      </c>
      <c r="I544" cm="1">
        <f t="array" ref="I5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4">
        <f>tblTargetStatus[[#This Row],[CompletedDependencyCount]]</f>
        <v>0</v>
      </c>
      <c r="K544" t="b">
        <f>tblTargetStatus[[#This Row],[CompletedDependencies]]=tblTargetStatus[[#This Row],[TotalDependencies]]</f>
        <v>0</v>
      </c>
      <c r="L544">
        <f>tblTargetStatus[[#This Row],[TotalDependencies]]-tblTargetStatus[[#This Row],[CompletedDependencies]]</f>
        <v>2</v>
      </c>
      <c r="M544" t="str" cm="1">
        <f t="array" ref="M5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tech.workshop.mechanism</v>
      </c>
      <c r="N544" t="str">
        <f>IF(tblTargetStatus[[#This Row],[FirstMissingDependencyID]]="","",_xlfn.XLOOKUP(tblTargetStatus[[#This Row],[FirstMissingDependencyID]],tblTargets[TargetID],tblTargets[DisplayName],tblTargetStatus[[#This Row],[FirstMissingDependencyID]]))</f>
        <v>Workshop - Mechanism</v>
      </c>
      <c r="O544" t="str" cm="1">
        <f t="array" ref="O5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blueprint,400 coin,40 elixir,10 mechanism,20 msteel,2 ruby</v>
      </c>
      <c r="P544" t="str">
        <f>IF(tblTargetStatus[[#This Row],[FirstMissingDependencyID]]="","",_xlfn.XLOOKUP(tblTargetStatus[[#This Row],[FirstMissingDependencyID]],tblTargetStatus[TargetID],tblTargetStatus[Status],""))</f>
        <v>BLOCKED</v>
      </c>
      <c r="Q544" t="str">
        <f>IF(
 tblTargetStatus[[#This Row],[Status]]&lt;&gt;"BLOCKED",
 tblTargetStatus[[#This Row],[Status]],
 IF(
  AND(
   tblTargetStatus[[#This Row],[MissingDependencies]]=1,
   tblTargetStatus[[#This Row],[FirstMissingStatus]]="READY"
  ),
  "ONE AWAY",
  "BLOCKED"
 )
)</f>
        <v>BLOCKED</v>
      </c>
      <c r="R544">
        <f>IF(
 OR(
  tblTargetStatus[[#This Row],[StateType]]="CHARACTER",
  RIGHT(tblTargetStatus[[#This Row],[TargetID]],6)=".maxed"
 ),
 0,
 _xlfn.LET(
  _xlpm.sort,
   _xlfn.XLOOKUP(
    tblTargetStatus[[#This Row],[TargetID]],
    tblChecklist[TargetID],
    tblChecklist[PlayerSort],
    0
   ),
  IF(_xlpm.sort=0,500,_xlpm.sort)
 )
)</f>
        <v>500</v>
      </c>
      <c r="S544" t="str" cm="1">
        <f t="array" ref="S54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Field - Combine Harvester</v>
      </c>
      <c r="T544" t="str">
        <f>_xlfn.XLOOKUP(tblTargetStatus[[#This Row],[TargetID]],tblTargets[TargetID],tblTargets[CompletionMethod],"")</f>
        <v>PLAYER</v>
      </c>
      <c r="U544" t="b">
        <f>COUNTIF(
    tblCost[TargetID],
    tblTargetStatus[[#This Row],[TargetID]]
)&gt;0</f>
        <v>1</v>
      </c>
      <c r="V544" s="81">
        <f>IF(tblTargetStatus[[#This Row],[HasCost]]=FALSE,
"N/A",
_xlfn.XLOOKUP(
tblTargetStatus[[#This Row],[TargetID]],
tblCost[TargetID],
tblCost[FundingPercent],
""
)
)</f>
        <v>0</v>
      </c>
      <c r="W544">
        <f>IF(
COUNTIF(tblCost[TargetID],tblTargetStatus[[#This Row],[TargetID]])=0,
"",
_xlfn.XLOOKUP(
tblTargetStatus[[#This Row],[TargetID]],
tblCost[TargetID],
tblCost[RemainingRequirements],
""
)
)</f>
        <v>6</v>
      </c>
      <c r="X544" s="79" t="b">
        <f>IF(tblTargetStatus[[#This Row],[HasCost]]=FALSE,"N/A",_xlfn.XLOOKUP(
tblTargetStatus[[#This Row],[TargetID]],
tblCost[TargetID],
tblCost[TargetFunded],
TRUE
))</f>
        <v>0</v>
      </c>
      <c r="Y544" t="str" cm="1">
        <f t="array" ref="Y544">_xlfn.TEXTJOIN(
", ",
TRUE,
_xlfn._xlws.FILTER(
tblCost[ResourceID]&amp;": "&amp;tblCost[QuantityRequired],
(tblCost[TargetID]=tblTargetStatus[[#This Row],[TargetID]])*
(tblCost[PlayerPaid]=FALSE),
""
)
)</f>
        <v>blueprint: 10, coin: 400, elixir: 40, mechanism: 10, msteel: 20, ruby: 2</v>
      </c>
      <c r="Z5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4" t="str" cm="1">
        <f t="array" ref="AA54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5" spans="1:27">
      <c r="A545" t="s">
        <v>2146</v>
      </c>
      <c r="B545" t="str">
        <f>_xlfn.XLOOKUP(tblTargetStatus[[#This Row],[TargetID]],tblTargets[TargetID],tblTargets[DisplayName],"")</f>
        <v>Field - Soybean</v>
      </c>
      <c r="C545" t="str">
        <f>IF(tblTargetStatus[[#This Row],[PlayerCompleted]],"COMPLETED",IF(tblTargetStatus[[#This Row],[MissingDependencies]]=0,"READY","BLOCKED"))</f>
        <v>BLOCKED</v>
      </c>
      <c r="D5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5" t="str">
        <f>_xlfn.XLOOKUP(tblTargetStatus[[#This Row],[TargetID]],tblTargets[TargetID],tblTargets[TargetType],"")</f>
        <v>TECH</v>
      </c>
      <c r="F545" t="str">
        <f>_xlfn.XLOOKUP(tblTargetStatus[[#This Row],[TargetID]],tblTargets[TargetID],tblTargets[StateType])</f>
        <v/>
      </c>
      <c r="G545">
        <f>_xlfn.LET(
_xlpm.id,tblTargetStatus[[#This Row],[TargetID]],
_xlpm.depCount,COUNTIF(tblDependencies[TargetID],_xlpm.id),
_xlpm.objCount,COUNTIF(tblQuestObjectives[QuestTargetID],_xlpm.id),
_xlpm.depCount+_xlpm.objCount
)</f>
        <v>2</v>
      </c>
      <c r="H545">
        <f>tblTargetStatus[[#This Row],[DependencyCount]]</f>
        <v>2</v>
      </c>
      <c r="I545" cm="1">
        <f t="array" ref="I5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5">
        <f>tblTargetStatus[[#This Row],[CompletedDependencyCount]]</f>
        <v>0</v>
      </c>
      <c r="K545" t="b">
        <f>tblTargetStatus[[#This Row],[CompletedDependencies]]=tblTargetStatus[[#This Row],[TotalDependencies]]</f>
        <v>0</v>
      </c>
      <c r="L545">
        <f>tblTargetStatus[[#This Row],[TotalDependencies]]-tblTargetStatus[[#This Row],[CompletedDependencies]]</f>
        <v>2</v>
      </c>
      <c r="M545" t="str" cm="1">
        <f t="array" ref="M5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quest.magic_beans.finished</v>
      </c>
      <c r="N545" t="str">
        <f>IF(tblTargetStatus[[#This Row],[FirstMissingDependencyID]]="","",_xlfn.XLOOKUP(tblTargetStatus[[#This Row],[FirstMissingDependencyID]],tblTargets[TargetID],tblTargets[DisplayName],tblTargetStatus[[#This Row],[FirstMissingDependencyID]]))</f>
        <v>Magic Beans Finished</v>
      </c>
      <c r="O545" t="str" cm="1">
        <f t="array" ref="O5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800 coin,20 flatbread,20 onigiri,20 page,5 ruby,200 steel,20 thread,500 wood</v>
      </c>
      <c r="P545" t="str">
        <f>IF(tblTargetStatus[[#This Row],[FirstMissingDependencyID]]="","",_xlfn.XLOOKUP(tblTargetStatus[[#This Row],[FirstMissingDependencyID]],tblTargetStatus[TargetID],tblTargetStatus[Status],""))</f>
        <v>BLOCKED</v>
      </c>
      <c r="Q545" t="str">
        <f>IF(
 tblTargetStatus[[#This Row],[Status]]&lt;&gt;"BLOCKED",
 tblTargetStatus[[#This Row],[Status]],
 IF(
  AND(
   tblTargetStatus[[#This Row],[MissingDependencies]]=1,
   tblTargetStatus[[#This Row],[FirstMissingStatus]]="READY"
  ),
  "ONE AWAY",
  "BLOCKED"
 )
)</f>
        <v>BLOCKED</v>
      </c>
      <c r="R545">
        <f>IF(
 OR(
  tblTargetStatus[[#This Row],[StateType]]="CHARACTER",
  RIGHT(tblTargetStatus[[#This Row],[TargetID]],6)=".maxed"
 ),
 0,
 _xlfn.LET(
  _xlpm.sort,
   _xlfn.XLOOKUP(
    tblTargetStatus[[#This Row],[TargetID]],
    tblChecklist[TargetID],
    tblChecklist[PlayerSort],
    0
   ),
  IF(_xlpm.sort=0,500,_xlpm.sort)
 )
)</f>
        <v>500</v>
      </c>
      <c r="S545" t="str" cm="1">
        <f t="array" ref="S54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45" t="str">
        <f>_xlfn.XLOOKUP(tblTargetStatus[[#This Row],[TargetID]],tblTargets[TargetID],tblTargets[CompletionMethod],"")</f>
        <v>PLAYER</v>
      </c>
      <c r="U545" t="b">
        <f>COUNTIF(
    tblCost[TargetID],
    tblTargetStatus[[#This Row],[TargetID]]
)&gt;0</f>
        <v>1</v>
      </c>
      <c r="V545" s="81">
        <f>IF(tblTargetStatus[[#This Row],[HasCost]]=FALSE,
"N/A",
_xlfn.XLOOKUP(
tblTargetStatus[[#This Row],[TargetID]],
tblCost[TargetID],
tblCost[FundingPercent],
""
)
)</f>
        <v>0</v>
      </c>
      <c r="W545">
        <f>IF(
COUNTIF(tblCost[TargetID],tblTargetStatus[[#This Row],[TargetID]])=0,
"",
_xlfn.XLOOKUP(
tblTargetStatus[[#This Row],[TargetID]],
tblCost[TargetID],
tblCost[RemainingRequirements],
""
)
)</f>
        <v>8</v>
      </c>
      <c r="X545" s="79" t="b">
        <f>IF(tblTargetStatus[[#This Row],[HasCost]]=FALSE,"N/A",_xlfn.XLOOKUP(
tblTargetStatus[[#This Row],[TargetID]],
tblCost[TargetID],
tblCost[TargetFunded],
TRUE
))</f>
        <v>0</v>
      </c>
      <c r="Y545" t="str" cm="1">
        <f t="array" ref="Y545">_xlfn.TEXTJOIN(
", ",
TRUE,
_xlfn._xlws.FILTER(
tblCost[ResourceID]&amp;": "&amp;tblCost[QuantityRequired],
(tblCost[TargetID]=tblTargetStatus[[#This Row],[TargetID]])*
(tblCost[PlayerPaid]=FALSE),
""
)
)</f>
        <v>coin: 800, flatbread: 20, onigiri: 20, page: 20, ruby: 5, steel: 200, thread: 20, wood: 500</v>
      </c>
      <c r="Z5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5" t="str" cm="1">
        <f t="array" ref="AA54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6" spans="1:27" ht="29">
      <c r="A546" t="s">
        <v>2158</v>
      </c>
      <c r="B546" t="str">
        <f>_xlfn.XLOOKUP(tblTargetStatus[[#This Row],[TargetID]],tblTargets[TargetID],tblTargets[DisplayName],"")</f>
        <v>Food Stall - Conveyor Belt Sushi</v>
      </c>
      <c r="C546" t="str">
        <f>IF(tblTargetStatus[[#This Row],[PlayerCompleted]],"COMPLETED",IF(tblTargetStatus[[#This Row],[MissingDependencies]]=0,"READY","BLOCKED"))</f>
        <v>BLOCKED</v>
      </c>
      <c r="D5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6" t="str">
        <f>_xlfn.XLOOKUP(tblTargetStatus[[#This Row],[TargetID]],tblTargets[TargetID],tblTargets[TargetType],"")</f>
        <v>TECH</v>
      </c>
      <c r="F546" t="str">
        <f>_xlfn.XLOOKUP(tblTargetStatus[[#This Row],[TargetID]],tblTargets[TargetID],tblTargets[StateType])</f>
        <v/>
      </c>
      <c r="G546">
        <f>_xlfn.LET(
_xlpm.id,tblTargetStatus[[#This Row],[TargetID]],
_xlpm.depCount,COUNTIF(tblDependencies[TargetID],_xlpm.id),
_xlpm.objCount,COUNTIF(tblQuestObjectives[QuestTargetID],_xlpm.id),
_xlpm.depCount+_xlpm.objCount
)</f>
        <v>1</v>
      </c>
      <c r="H546">
        <f>tblTargetStatus[[#This Row],[DependencyCount]]</f>
        <v>1</v>
      </c>
      <c r="I546" cm="1">
        <f t="array" ref="I5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6">
        <f>tblTargetStatus[[#This Row],[CompletedDependencyCount]]</f>
        <v>0</v>
      </c>
      <c r="K546" t="b">
        <f>tblTargetStatus[[#This Row],[CompletedDependencies]]=tblTargetStatus[[#This Row],[TotalDependencies]]</f>
        <v>0</v>
      </c>
      <c r="L546">
        <f>tblTargetStatus[[#This Row],[TotalDependencies]]-tblTargetStatus[[#This Row],[CompletedDependencies]]</f>
        <v>1</v>
      </c>
      <c r="M546" t="str" cm="1">
        <f t="array" ref="M5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building.food_stall.maxed</v>
      </c>
      <c r="N546" t="str">
        <f>IF(tblTargetStatus[[#This Row],[FirstMissingDependencyID]]="","",_xlfn.XLOOKUP(tblTargetStatus[[#This Row],[FirstMissingDependencyID]],tblTargets[TargetID],tblTargets[DisplayName],tblTargetStatus[[#This Row],[FirstMissingDependencyID]]))</f>
        <v>Food stall maxed</v>
      </c>
      <c r="O546" s="2" t="str" cm="1">
        <f t="array" ref="O5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blueprint,300 coin,40 elixir,5 mechanism,2 ruby,20 steel</v>
      </c>
      <c r="P546" t="str">
        <f>IF(tblTargetStatus[[#This Row],[FirstMissingDependencyID]]="","",_xlfn.XLOOKUP(tblTargetStatus[[#This Row],[FirstMissingDependencyID]],tblTargetStatus[TargetID],tblTargetStatus[Status],""))</f>
        <v>BLOCKED</v>
      </c>
      <c r="Q546" t="str">
        <f>IF(
 tblTargetStatus[[#This Row],[Status]]&lt;&gt;"BLOCKED",
 tblTargetStatus[[#This Row],[Status]],
 IF(
  AND(
   tblTargetStatus[[#This Row],[MissingDependencies]]=1,
   tblTargetStatus[[#This Row],[FirstMissingStatus]]="READY"
  ),
  "ONE AWAY",
  "BLOCKED"
 )
)</f>
        <v>BLOCKED</v>
      </c>
      <c r="R546">
        <f>IF(
 OR(
  tblTargetStatus[[#This Row],[StateType]]="CHARACTER",
  RIGHT(tblTargetStatus[[#This Row],[TargetID]],6)=".maxed"
 ),
 0,
 _xlfn.LET(
  _xlpm.sort,
   _xlfn.XLOOKUP(
    tblTargetStatus[[#This Row],[TargetID]],
    tblChecklist[TargetID],
    tblChecklist[PlayerSort],
    0
   ),
  IF(_xlpm.sort=0,500,_xlpm.sort)
 )
)</f>
        <v>500</v>
      </c>
      <c r="S546" t="str" cm="1">
        <f t="array" ref="S54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46" t="str">
        <f>_xlfn.XLOOKUP(tblTargetStatus[[#This Row],[TargetID]],tblTargets[TargetID],tblTargets[CompletionMethod],"")</f>
        <v>PLAYER</v>
      </c>
      <c r="U546" t="b">
        <f>COUNTIF(
    tblCost[TargetID],
    tblTargetStatus[[#This Row],[TargetID]]
)&gt;0</f>
        <v>1</v>
      </c>
      <c r="V546" s="81">
        <f>IF(tblTargetStatus[[#This Row],[HasCost]]=FALSE,
"N/A",
_xlfn.XLOOKUP(
tblTargetStatus[[#This Row],[TargetID]],
tblCost[TargetID],
tblCost[FundingPercent],
""
)
)</f>
        <v>0</v>
      </c>
      <c r="W546">
        <f>IF(
COUNTIF(tblCost[TargetID],tblTargetStatus[[#This Row],[TargetID]])=0,
"",
_xlfn.XLOOKUP(
tblTargetStatus[[#This Row],[TargetID]],
tblCost[TargetID],
tblCost[RemainingRequirements],
""
)
)</f>
        <v>6</v>
      </c>
      <c r="X546" s="79" t="b">
        <f>IF(tblTargetStatus[[#This Row],[HasCost]]=FALSE,"N/A",_xlfn.XLOOKUP(
tblTargetStatus[[#This Row],[TargetID]],
tblCost[TargetID],
tblCost[TargetFunded],
TRUE
))</f>
        <v>0</v>
      </c>
      <c r="Y546" t="str" cm="1">
        <f t="array" ref="Y546">_xlfn.TEXTJOIN(
", ",
TRUE,
_xlfn._xlws.FILTER(
tblCost[ResourceID]&amp;": "&amp;tblCost[QuantityRequired],
(tblCost[TargetID]=tblTargetStatus[[#This Row],[TargetID]])*
(tblCost[PlayerPaid]=FALSE),
""
)
)</f>
        <v>blueprint: 10, coin: 300, elixir: 40, mechanism: 5, ruby: 2, steel: 20</v>
      </c>
      <c r="Z5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6" t="str" cm="1">
        <f t="array" ref="AA54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7" spans="1:27">
      <c r="A547" t="s">
        <v>2156</v>
      </c>
      <c r="B547" t="str">
        <f>_xlfn.XLOOKUP(tblTargetStatus[[#This Row],[TargetID]],tblTargets[TargetID],tblTargets[DisplayName],"")</f>
        <v>Food Stall - Inarizushi</v>
      </c>
      <c r="C547" t="str">
        <f>IF(tblTargetStatus[[#This Row],[PlayerCompleted]],"COMPLETED",IF(tblTargetStatus[[#This Row],[MissingDependencies]]=0,"READY","BLOCKED"))</f>
        <v>BLOCKED</v>
      </c>
      <c r="D5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7" t="str">
        <f>_xlfn.XLOOKUP(tblTargetStatus[[#This Row],[TargetID]],tblTargets[TargetID],tblTargets[TargetType],"")</f>
        <v>TECH</v>
      </c>
      <c r="F547" t="str">
        <f>_xlfn.XLOOKUP(tblTargetStatus[[#This Row],[TargetID]],tblTargets[TargetID],tblTargets[StateType])</f>
        <v/>
      </c>
      <c r="G547">
        <f>_xlfn.LET(
_xlpm.id,tblTargetStatus[[#This Row],[TargetID]],
_xlpm.depCount,COUNTIF(tblDependencies[TargetID],_xlpm.id),
_xlpm.objCount,COUNTIF(tblQuestObjectives[QuestTargetID],_xlpm.id),
_xlpm.depCount+_xlpm.objCount
)</f>
        <v>2</v>
      </c>
      <c r="H547">
        <f>tblTargetStatus[[#This Row],[DependencyCount]]</f>
        <v>2</v>
      </c>
      <c r="I547" cm="1">
        <f t="array" ref="I5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7">
        <f>tblTargetStatus[[#This Row],[CompletedDependencyCount]]</f>
        <v>0</v>
      </c>
      <c r="K547" t="b">
        <f>tblTargetStatus[[#This Row],[CompletedDependencies]]=tblTargetStatus[[#This Row],[TotalDependencies]]</f>
        <v>0</v>
      </c>
      <c r="L547">
        <f>tblTargetStatus[[#This Row],[TotalDependencies]]-tblTargetStatus[[#This Row],[CompletedDependencies]]</f>
        <v>2</v>
      </c>
      <c r="M547" t="str" cm="1">
        <f t="array" ref="M5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state.character_cooking@13</v>
      </c>
      <c r="N547" t="str">
        <f>IF(tblTargetStatus[[#This Row],[FirstMissingDependencyID]]="","",_xlfn.XLOOKUP(tblTargetStatus[[#This Row],[FirstMissingDependencyID]],tblTargets[TargetID],tblTargets[DisplayName],tblTargetStatus[[#This Row],[FirstMissingDependencyID]]))</f>
        <v>Attain level 13 cooking skill</v>
      </c>
      <c r="O547" t="str" cm="1">
        <f t="array" ref="O5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coin,13 grimoire,2 ruby,8 soy,10 tofu</v>
      </c>
      <c r="P547" t="str">
        <f>IF(tblTargetStatus[[#This Row],[FirstMissingDependencyID]]="","",_xlfn.XLOOKUP(tblTargetStatus[[#This Row],[FirstMissingDependencyID]],tblTargetStatus[TargetID],tblTargetStatus[Status],""))</f>
        <v>READY</v>
      </c>
      <c r="Q547" t="str">
        <f>IF(
 tblTargetStatus[[#This Row],[Status]]&lt;&gt;"BLOCKED",
 tblTargetStatus[[#This Row],[Status]],
 IF(
  AND(
   tblTargetStatus[[#This Row],[MissingDependencies]]=1,
   tblTargetStatus[[#This Row],[FirstMissingStatus]]="READY"
  ),
  "ONE AWAY",
  "BLOCKED"
 )
)</f>
        <v>BLOCKED</v>
      </c>
      <c r="R547">
        <f>IF(
 OR(
  tblTargetStatus[[#This Row],[StateType]]="CHARACTER",
  RIGHT(tblTargetStatus[[#This Row],[TargetID]],6)=".maxed"
 ),
 0,
 _xlfn.LET(
  _xlpm.sort,
   _xlfn.XLOOKUP(
    tblTargetStatus[[#This Row],[TargetID]],
    tblChecklist[TargetID],
    tblChecklist[PlayerSort],
    0
   ),
  IF(_xlpm.sort=0,500,_xlpm.sort)
 )
)</f>
        <v>500</v>
      </c>
      <c r="S547" t="str" cm="1">
        <f t="array" ref="S54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47" t="str">
        <f>_xlfn.XLOOKUP(tblTargetStatus[[#This Row],[TargetID]],tblTargets[TargetID],tblTargets[CompletionMethod],"")</f>
        <v>PLAYER</v>
      </c>
      <c r="U547" t="b">
        <f>COUNTIF(
    tblCost[TargetID],
    tblTargetStatus[[#This Row],[TargetID]]
)&gt;0</f>
        <v>1</v>
      </c>
      <c r="V547" s="81">
        <f>IF(tblTargetStatus[[#This Row],[HasCost]]=FALSE,
"N/A",
_xlfn.XLOOKUP(
tblTargetStatus[[#This Row],[TargetID]],
tblCost[TargetID],
tblCost[FundingPercent],
""
)
)</f>
        <v>0</v>
      </c>
      <c r="W547">
        <f>IF(
COUNTIF(tblCost[TargetID],tblTargetStatus[[#This Row],[TargetID]])=0,
"",
_xlfn.XLOOKUP(
tblTargetStatus[[#This Row],[TargetID]],
tblCost[TargetID],
tblCost[RemainingRequirements],
""
)
)</f>
        <v>5</v>
      </c>
      <c r="X547" s="79" t="b">
        <f>IF(tblTargetStatus[[#This Row],[HasCost]]=FALSE,"N/A",_xlfn.XLOOKUP(
tblTargetStatus[[#This Row],[TargetID]],
tblCost[TargetID],
tblCost[TargetFunded],
TRUE
))</f>
        <v>0</v>
      </c>
      <c r="Y547" t="str" cm="1">
        <f t="array" ref="Y547">_xlfn.TEXTJOIN(
", ",
TRUE,
_xlfn._xlws.FILTER(
tblCost[ResourceID]&amp;": "&amp;tblCost[QuantityRequired],
(tblCost[TargetID]=tblTargetStatus[[#This Row],[TargetID]])*
(tblCost[PlayerPaid]=FALSE),
""
)
)</f>
        <v>coin: 400, grimoire: 13, ruby: 2, soy: 8, tofu: 10</v>
      </c>
      <c r="Z5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7" t="str" cm="1">
        <f t="array" ref="AA54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8" spans="1:27">
      <c r="A548" t="s">
        <v>2150</v>
      </c>
      <c r="B548" t="str">
        <f>_xlfn.XLOOKUP(tblTargetStatus[[#This Row],[TargetID]],tblTargets[TargetID],tblTargets[DisplayName],"")</f>
        <v>Food Stall - Jam</v>
      </c>
      <c r="C548" t="str">
        <f>IF(tblTargetStatus[[#This Row],[PlayerCompleted]],"COMPLETED",IF(tblTargetStatus[[#This Row],[MissingDependencies]]=0,"READY","BLOCKED"))</f>
        <v>BLOCKED</v>
      </c>
      <c r="D5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8" t="str">
        <f>_xlfn.XLOOKUP(tblTargetStatus[[#This Row],[TargetID]],tblTargets[TargetID],tblTargets[TargetType],"")</f>
        <v>TECH</v>
      </c>
      <c r="F548" t="str">
        <f>_xlfn.XLOOKUP(tblTargetStatus[[#This Row],[TargetID]],tblTargets[TargetID],tblTargets[StateType])</f>
        <v/>
      </c>
      <c r="G548">
        <f>_xlfn.LET(
_xlpm.id,tblTargetStatus[[#This Row],[TargetID]],
_xlpm.depCount,COUNTIF(tblDependencies[TargetID],_xlpm.id),
_xlpm.objCount,COUNTIF(tblQuestObjectives[QuestTargetID],_xlpm.id),
_xlpm.depCount+_xlpm.objCount
)</f>
        <v>2</v>
      </c>
      <c r="H548">
        <f>tblTargetStatus[[#This Row],[DependencyCount]]</f>
        <v>2</v>
      </c>
      <c r="I548" cm="1">
        <f t="array" ref="I5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8">
        <f>tblTargetStatus[[#This Row],[CompletedDependencyCount]]</f>
        <v>0</v>
      </c>
      <c r="K548" t="b">
        <f>tblTargetStatus[[#This Row],[CompletedDependencies]]=tblTargetStatus[[#This Row],[TotalDependencies]]</f>
        <v>0</v>
      </c>
      <c r="L548">
        <f>tblTargetStatus[[#This Row],[TotalDependencies]]-tblTargetStatus[[#This Row],[CompletedDependencies]]</f>
        <v>2</v>
      </c>
      <c r="M548" t="str" cm="1">
        <f t="array" ref="M5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state.obtain_strawberry@f1</v>
      </c>
      <c r="N548" t="str">
        <f>IF(tblTargetStatus[[#This Row],[FirstMissingDependencyID]]="","",_xlfn.XLOOKUP(tblTargetStatus[[#This Row],[FirstMissingDependencyID]],tblTargets[TargetID],tblTargets[DisplayName],tblTargetStatus[[#This Row],[FirstMissingDependencyID]]))</f>
        <v xml:space="preserve">Obtain Strawberry@F1 </v>
      </c>
      <c r="O548" t="str" cm="1">
        <f t="array" ref="O5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coin,5 glass,10 grimoire,2 ruby,20 strawberry</v>
      </c>
      <c r="P548" t="str">
        <f>IF(tblTargetStatus[[#This Row],[FirstMissingDependencyID]]="","",_xlfn.XLOOKUP(tblTargetStatus[[#This Row],[FirstMissingDependencyID]],tblTargetStatus[TargetID],tblTargetStatus[Status],""))</f>
        <v>BLOCKED</v>
      </c>
      <c r="Q548" t="str">
        <f>IF(
 tblTargetStatus[[#This Row],[Status]]&lt;&gt;"BLOCKED",
 tblTargetStatus[[#This Row],[Status]],
 IF(
  AND(
   tblTargetStatus[[#This Row],[MissingDependencies]]=1,
   tblTargetStatus[[#This Row],[FirstMissingStatus]]="READY"
  ),
  "ONE AWAY",
  "BLOCKED"
 )
)</f>
        <v>BLOCKED</v>
      </c>
      <c r="R548">
        <f>IF(
 OR(
  tblTargetStatus[[#This Row],[StateType]]="CHARACTER",
  RIGHT(tblTargetStatus[[#This Row],[TargetID]],6)=".maxed"
 ),
 0,
 _xlfn.LET(
  _xlpm.sort,
   _xlfn.XLOOKUP(
    tblTargetStatus[[#This Row],[TargetID]],
    tblChecklist[TargetID],
    tblChecklist[PlayerSort],
    0
   ),
  IF(_xlpm.sort=0,500,_xlpm.sort)
 )
)</f>
        <v>500</v>
      </c>
      <c r="S548" t="str" cm="1">
        <f t="array" ref="S54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13 Finished</v>
      </c>
      <c r="T548" t="str">
        <f>_xlfn.XLOOKUP(tblTargetStatus[[#This Row],[TargetID]],tblTargets[TargetID],tblTargets[CompletionMethod],"")</f>
        <v>PLAYER</v>
      </c>
      <c r="U548" t="b">
        <f>COUNTIF(
    tblCost[TargetID],
    tblTargetStatus[[#This Row],[TargetID]]
)&gt;0</f>
        <v>1</v>
      </c>
      <c r="V548" s="81">
        <f>IF(tblTargetStatus[[#This Row],[HasCost]]=FALSE,
"N/A",
_xlfn.XLOOKUP(
tblTargetStatus[[#This Row],[TargetID]],
tblCost[TargetID],
tblCost[FundingPercent],
""
)
)</f>
        <v>0</v>
      </c>
      <c r="W548">
        <f>IF(
COUNTIF(tblCost[TargetID],tblTargetStatus[[#This Row],[TargetID]])=0,
"",
_xlfn.XLOOKUP(
tblTargetStatus[[#This Row],[TargetID]],
tblCost[TargetID],
tblCost[RemainingRequirements],
""
)
)</f>
        <v>5</v>
      </c>
      <c r="X548" s="79" t="b">
        <f>IF(tblTargetStatus[[#This Row],[HasCost]]=FALSE,"N/A",_xlfn.XLOOKUP(
tblTargetStatus[[#This Row],[TargetID]],
tblCost[TargetID],
tblCost[TargetFunded],
TRUE
))</f>
        <v>0</v>
      </c>
      <c r="Y548" t="str" cm="1">
        <f t="array" ref="Y548">_xlfn.TEXTJOIN(
", ",
TRUE,
_xlfn._xlws.FILTER(
tblCost[ResourceID]&amp;": "&amp;tblCost[QuantityRequired],
(tblCost[TargetID]=tblTargetStatus[[#This Row],[TargetID]])*
(tblCost[PlayerPaid]=FALSE),
""
)
)</f>
        <v>coin: 400, glass: 5, grimoire: 10, ruby: 2, strawberry: 20</v>
      </c>
      <c r="Z5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8" t="str" cm="1">
        <f t="array" ref="AA54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49" spans="1:27" ht="29">
      <c r="A549" t="s">
        <v>2154</v>
      </c>
      <c r="B549" t="str">
        <f>_xlfn.XLOOKUP(tblTargetStatus[[#This Row],[TargetID]],tblTargets[TargetID],tblTargets[DisplayName],"")</f>
        <v>Food Stall - Mandra Cola</v>
      </c>
      <c r="C549" t="str">
        <f>IF(tblTargetStatus[[#This Row],[PlayerCompleted]],"COMPLETED",IF(tblTargetStatus[[#This Row],[MissingDependencies]]=0,"READY","BLOCKED"))</f>
        <v>BLOCKED</v>
      </c>
      <c r="D5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9" t="str">
        <f>_xlfn.XLOOKUP(tblTargetStatus[[#This Row],[TargetID]],tblTargets[TargetID],tblTargets[TargetType],"")</f>
        <v>TECH</v>
      </c>
      <c r="F549" t="str">
        <f>_xlfn.XLOOKUP(tblTargetStatus[[#This Row],[TargetID]],tblTargets[TargetID],tblTargets[StateType])</f>
        <v/>
      </c>
      <c r="G549">
        <f>_xlfn.LET(
_xlpm.id,tblTargetStatus[[#This Row],[TargetID]],
_xlpm.depCount,COUNTIF(tblDependencies[TargetID],_xlpm.id),
_xlpm.objCount,COUNTIF(tblQuestObjectives[QuestTargetID],_xlpm.id),
_xlpm.depCount+_xlpm.objCount
)</f>
        <v>1</v>
      </c>
      <c r="H549">
        <f>tblTargetStatus[[#This Row],[DependencyCount]]</f>
        <v>1</v>
      </c>
      <c r="I549" cm="1">
        <f t="array" ref="I5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9">
        <f>tblTargetStatus[[#This Row],[CompletedDependencyCount]]</f>
        <v>0</v>
      </c>
      <c r="K549" t="b">
        <f>tblTargetStatus[[#This Row],[CompletedDependencies]]=tblTargetStatus[[#This Row],[TotalDependencies]]</f>
        <v>0</v>
      </c>
      <c r="L549">
        <f>tblTargetStatus[[#This Row],[TotalDependencies]]-tblTargetStatus[[#This Row],[CompletedDependencies]]</f>
        <v>1</v>
      </c>
      <c r="M549" t="str" cm="1">
        <f t="array" ref="M5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building.food_stall.maxed</v>
      </c>
      <c r="N549" t="str">
        <f>IF(tblTargetStatus[[#This Row],[FirstMissingDependencyID]]="","",_xlfn.XLOOKUP(tblTargetStatus[[#This Row],[FirstMissingDependencyID]],tblTargets[TargetID],tblTargets[DisplayName],tblTargetStatus[[#This Row],[FirstMissingDependencyID]]))</f>
        <v>Food stall maxed</v>
      </c>
      <c r="O549" s="2" t="str" cm="1">
        <f t="array" ref="O5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beans,15 blueprint,400 coin,5 glass,10 honey,20 mandrake,2 ruby</v>
      </c>
      <c r="P549" t="str">
        <f>IF(tblTargetStatus[[#This Row],[FirstMissingDependencyID]]="","",_xlfn.XLOOKUP(tblTargetStatus[[#This Row],[FirstMissingDependencyID]],tblTargetStatus[TargetID],tblTargetStatus[Status],""))</f>
        <v>BLOCKED</v>
      </c>
      <c r="Q549" t="str">
        <f>IF(
 tblTargetStatus[[#This Row],[Status]]&lt;&gt;"BLOCKED",
 tblTargetStatus[[#This Row],[Status]],
 IF(
  AND(
   tblTargetStatus[[#This Row],[MissingDependencies]]=1,
   tblTargetStatus[[#This Row],[FirstMissingStatus]]="READY"
  ),
  "ONE AWAY",
  "BLOCKED"
 )
)</f>
        <v>BLOCKED</v>
      </c>
      <c r="R549">
        <f>IF(
 OR(
  tblTargetStatus[[#This Row],[StateType]]="CHARACTER",
  RIGHT(tblTargetStatus[[#This Row],[TargetID]],6)=".maxed"
 ),
 0,
 _xlfn.LET(
  _xlpm.sort,
   _xlfn.XLOOKUP(
    tblTargetStatus[[#This Row],[TargetID]],
    tblChecklist[TargetID],
    tblChecklist[PlayerSort],
    0
   ),
  IF(_xlpm.sort=0,500,_xlpm.sort)
 )
)</f>
        <v>500</v>
      </c>
      <c r="S549" t="str" cm="1">
        <f t="array" ref="S54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Once Upon a Forest Chapter 13 Finished</v>
      </c>
      <c r="T549" t="str">
        <f>_xlfn.XLOOKUP(tblTargetStatus[[#This Row],[TargetID]],tblTargets[TargetID],tblTargets[CompletionMethod],"")</f>
        <v>PLAYER</v>
      </c>
      <c r="U549" t="b">
        <f>COUNTIF(
    tblCost[TargetID],
    tblTargetStatus[[#This Row],[TargetID]]
)&gt;0</f>
        <v>1</v>
      </c>
      <c r="V549" s="81">
        <f>IF(tblTargetStatus[[#This Row],[HasCost]]=FALSE,
"N/A",
_xlfn.XLOOKUP(
tblTargetStatus[[#This Row],[TargetID]],
tblCost[TargetID],
tblCost[FundingPercent],
""
)
)</f>
        <v>0</v>
      </c>
      <c r="W549">
        <f>IF(
COUNTIF(tblCost[TargetID],tblTargetStatus[[#This Row],[TargetID]])=0,
"",
_xlfn.XLOOKUP(
tblTargetStatus[[#This Row],[TargetID]],
tblCost[TargetID],
tblCost[RemainingRequirements],
""
)
)</f>
        <v>7</v>
      </c>
      <c r="X549" s="79" t="b">
        <f>IF(tblTargetStatus[[#This Row],[HasCost]]=FALSE,"N/A",_xlfn.XLOOKUP(
tblTargetStatus[[#This Row],[TargetID]],
tblCost[TargetID],
tblCost[TargetFunded],
TRUE
))</f>
        <v>0</v>
      </c>
      <c r="Y549" t="str" cm="1">
        <f t="array" ref="Y549">_xlfn.TEXTJOIN(
", ",
TRUE,
_xlfn._xlws.FILTER(
tblCost[ResourceID]&amp;": "&amp;tblCost[QuantityRequired],
(tblCost[TargetID]=tblTargetStatus[[#This Row],[TargetID]])*
(tblCost[PlayerPaid]=FALSE),
""
)
)</f>
        <v>beans: 20, blueprint: 15, coin: 400, glass: 5, honey: 10, mandrake: 20, ruby: 2</v>
      </c>
      <c r="Z5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9" t="str" cm="1">
        <f t="array" ref="AA54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0" spans="1:27">
      <c r="A550" t="s">
        <v>2152</v>
      </c>
      <c r="B550" t="str">
        <f>_xlfn.XLOOKUP(tblTargetStatus[[#This Row],[TargetID]],tblTargets[TargetID],tblTargets[DisplayName],"")</f>
        <v>Food Stall - Mayonnaise</v>
      </c>
      <c r="C550" t="str">
        <f>IF(tblTargetStatus[[#This Row],[PlayerCompleted]],"COMPLETED",IF(tblTargetStatus[[#This Row],[MissingDependencies]]=0,"READY","BLOCKED"))</f>
        <v>BLOCKED</v>
      </c>
      <c r="D5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0" t="str">
        <f>_xlfn.XLOOKUP(tblTargetStatus[[#This Row],[TargetID]],tblTargets[TargetID],tblTargets[TargetType],"")</f>
        <v>TECH</v>
      </c>
      <c r="F550" t="str">
        <f>_xlfn.XLOOKUP(tblTargetStatus[[#This Row],[TargetID]],tblTargets[TargetID],tblTargets[StateType])</f>
        <v/>
      </c>
      <c r="G550">
        <f>_xlfn.LET(
_xlpm.id,tblTargetStatus[[#This Row],[TargetID]],
_xlpm.depCount,COUNTIF(tblDependencies[TargetID],_xlpm.id),
_xlpm.objCount,COUNTIF(tblQuestObjectives[QuestTargetID],_xlpm.id),
_xlpm.depCount+_xlpm.objCount
)</f>
        <v>1</v>
      </c>
      <c r="H550">
        <f>tblTargetStatus[[#This Row],[DependencyCount]]</f>
        <v>1</v>
      </c>
      <c r="I550" cm="1">
        <f t="array" ref="I5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0">
        <f>tblTargetStatus[[#This Row],[CompletedDependencyCount]]</f>
        <v>0</v>
      </c>
      <c r="K550" t="b">
        <f>tblTargetStatus[[#This Row],[CompletedDependencies]]=tblTargetStatus[[#This Row],[TotalDependencies]]</f>
        <v>0</v>
      </c>
      <c r="L550">
        <f>tblTargetStatus[[#This Row],[TotalDependencies]]-tblTargetStatus[[#This Row],[CompletedDependencies]]</f>
        <v>1</v>
      </c>
      <c r="M550" t="str" cm="1">
        <f t="array" ref="M5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building.food_stall.maxed</v>
      </c>
      <c r="N550" t="str">
        <f>IF(tblTargetStatus[[#This Row],[FirstMissingDependencyID]]="","",_xlfn.XLOOKUP(tblTargetStatus[[#This Row],[FirstMissingDependencyID]],tblTargets[TargetID],tblTargets[DisplayName],tblTargetStatus[[#This Row],[FirstMissingDependencyID]]))</f>
        <v>Food stall maxed</v>
      </c>
      <c r="O550" s="2" t="str" cm="1">
        <f t="array" ref="O5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blueprint,400 coin,25 egg,1 glass,10 oil,2 ruby</v>
      </c>
      <c r="P550" t="str">
        <f>IF(tblTargetStatus[[#This Row],[FirstMissingDependencyID]]="","",_xlfn.XLOOKUP(tblTargetStatus[[#This Row],[FirstMissingDependencyID]],tblTargetStatus[TargetID],tblTargetStatus[Status],""))</f>
        <v>BLOCKED</v>
      </c>
      <c r="Q550" t="str">
        <f>IF(
 tblTargetStatus[[#This Row],[Status]]&lt;&gt;"BLOCKED",
 tblTargetStatus[[#This Row],[Status]],
 IF(
  AND(
   tblTargetStatus[[#This Row],[MissingDependencies]]=1,
   tblTargetStatus[[#This Row],[FirstMissingStatus]]="READY"
  ),
  "ONE AWAY",
  "BLOCKED"
 )
)</f>
        <v>BLOCKED</v>
      </c>
      <c r="R550">
        <f>IF(
 OR(
  tblTargetStatus[[#This Row],[StateType]]="CHARACTER",
  RIGHT(tblTargetStatus[[#This Row],[TargetID]],6)=".maxed"
 ),
 0,
 _xlfn.LET(
  _xlpm.sort,
   _xlfn.XLOOKUP(
    tblTargetStatus[[#This Row],[TargetID]],
    tblChecklist[TargetID],
    tblChecklist[PlayerSort],
    0
   ),
  IF(_xlpm.sort=0,500,_xlpm.sort)
 )
)</f>
        <v>500</v>
      </c>
      <c r="S550" t="str" cm="1">
        <f t="array" ref="S55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Culinary Battle Finished</v>
      </c>
      <c r="T550" t="str">
        <f>_xlfn.XLOOKUP(tblTargetStatus[[#This Row],[TargetID]],tblTargets[TargetID],tblTargets[CompletionMethod],"")</f>
        <v>PLAYER</v>
      </c>
      <c r="U550" t="b">
        <f>COUNTIF(
    tblCost[TargetID],
    tblTargetStatus[[#This Row],[TargetID]]
)&gt;0</f>
        <v>1</v>
      </c>
      <c r="V550" s="81">
        <f>IF(tblTargetStatus[[#This Row],[HasCost]]=FALSE,
"N/A",
_xlfn.XLOOKUP(
tblTargetStatus[[#This Row],[TargetID]],
tblCost[TargetID],
tblCost[FundingPercent],
""
)
)</f>
        <v>0</v>
      </c>
      <c r="W550">
        <f>IF(
COUNTIF(tblCost[TargetID],tblTargetStatus[[#This Row],[TargetID]])=0,
"",
_xlfn.XLOOKUP(
tblTargetStatus[[#This Row],[TargetID]],
tblCost[TargetID],
tblCost[RemainingRequirements],
""
)
)</f>
        <v>6</v>
      </c>
      <c r="X550" s="79" t="b">
        <f>IF(tblTargetStatus[[#This Row],[HasCost]]=FALSE,"N/A",_xlfn.XLOOKUP(
tblTargetStatus[[#This Row],[TargetID]],
tblCost[TargetID],
tblCost[TargetFunded],
TRUE
))</f>
        <v>0</v>
      </c>
      <c r="Y550" t="str" cm="1">
        <f t="array" ref="Y550">_xlfn.TEXTJOIN(
", ",
TRUE,
_xlfn._xlws.FILTER(
tblCost[ResourceID]&amp;": "&amp;tblCost[QuantityRequired],
(tblCost[TargetID]=tblTargetStatus[[#This Row],[TargetID]])*
(tblCost[PlayerPaid]=FALSE),
""
)
)</f>
        <v>blueprint: 15, coin: 400, egg: 25, glass: 1, oil: 10, ruby: 2</v>
      </c>
      <c r="Z5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0" t="str" cm="1">
        <f t="array" ref="AA55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1" spans="1:27" ht="29">
      <c r="A551" t="s">
        <v>2160</v>
      </c>
      <c r="B551" t="str">
        <f>_xlfn.XLOOKUP(tblTargetStatus[[#This Row],[TargetID]],tblTargets[TargetID],tblTargets[DisplayName],"")</f>
        <v>Food Stall - Miso Soup</v>
      </c>
      <c r="C551" t="str">
        <f>IF(tblTargetStatus[[#This Row],[PlayerCompleted]],"COMPLETED",IF(tblTargetStatus[[#This Row],[MissingDependencies]]=0,"READY","BLOCKED"))</f>
        <v>BLOCKED</v>
      </c>
      <c r="D5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1" t="str">
        <f>_xlfn.XLOOKUP(tblTargetStatus[[#This Row],[TargetID]],tblTargets[TargetID],tblTargets[TargetType],"")</f>
        <v>TECH</v>
      </c>
      <c r="F551" t="str">
        <f>_xlfn.XLOOKUP(tblTargetStatus[[#This Row],[TargetID]],tblTargets[TargetID],tblTargets[StateType])</f>
        <v/>
      </c>
      <c r="G551">
        <f>_xlfn.LET(
_xlpm.id,tblTargetStatus[[#This Row],[TargetID]],
_xlpm.depCount,COUNTIF(tblDependencies[TargetID],_xlpm.id),
_xlpm.objCount,COUNTIF(tblQuestObjectives[QuestTargetID],_xlpm.id),
_xlpm.depCount+_xlpm.objCount
)</f>
        <v>2</v>
      </c>
      <c r="H551">
        <f>tblTargetStatus[[#This Row],[DependencyCount]]</f>
        <v>2</v>
      </c>
      <c r="I551" cm="1">
        <f t="array" ref="I5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1">
        <f>tblTargetStatus[[#This Row],[CompletedDependencyCount]]</f>
        <v>0</v>
      </c>
      <c r="K551" t="b">
        <f>tblTargetStatus[[#This Row],[CompletedDependencies]]=tblTargetStatus[[#This Row],[TotalDependencies]]</f>
        <v>0</v>
      </c>
      <c r="L551">
        <f>tblTargetStatus[[#This Row],[TotalDependencies]]-tblTargetStatus[[#This Row],[CompletedDependencies]]</f>
        <v>2</v>
      </c>
      <c r="M551" t="str" cm="1">
        <f t="array" ref="M5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building.food_stall.maxed</v>
      </c>
      <c r="N551" t="str">
        <f>IF(tblTargetStatus[[#This Row],[FirstMissingDependencyID]]="","",_xlfn.XLOOKUP(tblTargetStatus[[#This Row],[FirstMissingDependencyID]],tblTargets[TargetID],tblTargets[DisplayName],tblTargetStatus[[#This Row],[FirstMissingDependencyID]]))</f>
        <v>Food stall maxed</v>
      </c>
      <c r="O551" s="2" t="str" cm="1">
        <f t="array" ref="O5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coin,20 elixir,10 grimoire,10 misopaste,5 ruby,10 sushi,10 tofu</v>
      </c>
      <c r="P551" t="str">
        <f>IF(tblTargetStatus[[#This Row],[FirstMissingDependencyID]]="","",_xlfn.XLOOKUP(tblTargetStatus[[#This Row],[FirstMissingDependencyID]],tblTargetStatus[TargetID],tblTargetStatus[Status],""))</f>
        <v>BLOCKED</v>
      </c>
      <c r="Q551" t="str">
        <f>IF(
 tblTargetStatus[[#This Row],[Status]]&lt;&gt;"BLOCKED",
 tblTargetStatus[[#This Row],[Status]],
 IF(
  AND(
   tblTargetStatus[[#This Row],[MissingDependencies]]=1,
   tblTargetStatus[[#This Row],[FirstMissingStatus]]="READY"
  ),
  "ONE AWAY",
  "BLOCKED"
 )
)</f>
        <v>BLOCKED</v>
      </c>
      <c r="R551">
        <f>IF(
 OR(
  tblTargetStatus[[#This Row],[StateType]]="CHARACTER",
  RIGHT(tblTargetStatus[[#This Row],[TargetID]],6)=".maxed"
 ),
 0,
 _xlfn.LET(
  _xlpm.sort,
   _xlfn.XLOOKUP(
    tblTargetStatus[[#This Row],[TargetID]],
    tblChecklist[TargetID],
    tblChecklist[PlayerSort],
    0
   ),
  IF(_xlpm.sort=0,500,_xlpm.sort)
 )
)</f>
        <v>500</v>
      </c>
      <c r="S551" t="str" cm="1">
        <f t="array" ref="S55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51" t="str">
        <f>_xlfn.XLOOKUP(tblTargetStatus[[#This Row],[TargetID]],tblTargets[TargetID],tblTargets[CompletionMethod],"")</f>
        <v>PLAYER</v>
      </c>
      <c r="U551" t="b">
        <f>COUNTIF(
    tblCost[TargetID],
    tblTargetStatus[[#This Row],[TargetID]]
)&gt;0</f>
        <v>1</v>
      </c>
      <c r="V551" s="81">
        <f>IF(tblTargetStatus[[#This Row],[HasCost]]=FALSE,
"N/A",
_xlfn.XLOOKUP(
tblTargetStatus[[#This Row],[TargetID]],
tblCost[TargetID],
tblCost[FundingPercent],
""
)
)</f>
        <v>0</v>
      </c>
      <c r="W551">
        <f>IF(
COUNTIF(tblCost[TargetID],tblTargetStatus[[#This Row],[TargetID]])=0,
"",
_xlfn.XLOOKUP(
tblTargetStatus[[#This Row],[TargetID]],
tblCost[TargetID],
tblCost[RemainingRequirements],
""
)
)</f>
        <v>7</v>
      </c>
      <c r="X551" s="79" t="b">
        <f>IF(tblTargetStatus[[#This Row],[HasCost]]=FALSE,"N/A",_xlfn.XLOOKUP(
tblTargetStatus[[#This Row],[TargetID]],
tblCost[TargetID],
tblCost[TargetFunded],
TRUE
))</f>
        <v>0</v>
      </c>
      <c r="Y551" t="str" cm="1">
        <f t="array" ref="Y551">_xlfn.TEXTJOIN(
", ",
TRUE,
_xlfn._xlws.FILTER(
tblCost[ResourceID]&amp;": "&amp;tblCost[QuantityRequired],
(tblCost[TargetID]=tblTargetStatus[[#This Row],[TargetID]])*
(tblCost[PlayerPaid]=FALSE),
""
)
)</f>
        <v>coin: 500, elixir: 20, grimoire: 10, misopaste: 10, ruby: 5, sushi: 10, tofu: 10</v>
      </c>
      <c r="Z5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1" t="str" cm="1">
        <f t="array" ref="AA55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2" spans="1:27" ht="29">
      <c r="A552" t="s">
        <v>2148</v>
      </c>
      <c r="B552" t="str">
        <f>_xlfn.XLOOKUP(tblTargetStatus[[#This Row],[TargetID]],tblTargets[TargetID],tblTargets[DisplayName],"")</f>
        <v>Food Stall - Quintessence Of Taste</v>
      </c>
      <c r="C552" t="str">
        <f>IF(tblTargetStatus[[#This Row],[PlayerCompleted]],"COMPLETED",IF(tblTargetStatus[[#This Row],[MissingDependencies]]=0,"READY","BLOCKED"))</f>
        <v>BLOCKED</v>
      </c>
      <c r="D5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2" t="str">
        <f>_xlfn.XLOOKUP(tblTargetStatus[[#This Row],[TargetID]],tblTargets[TargetID],tblTargets[TargetType],"")</f>
        <v>TECH</v>
      </c>
      <c r="F552" t="str">
        <f>_xlfn.XLOOKUP(tblTargetStatus[[#This Row],[TargetID]],tblTargets[TargetID],tblTargets[StateType])</f>
        <v/>
      </c>
      <c r="G552">
        <f>_xlfn.LET(
_xlpm.id,tblTargetStatus[[#This Row],[TargetID]],
_xlpm.depCount,COUNTIF(tblDependencies[TargetID],_xlpm.id),
_xlpm.objCount,COUNTIF(tblQuestObjectives[QuestTargetID],_xlpm.id),
_xlpm.depCount+_xlpm.objCount
)</f>
        <v>1</v>
      </c>
      <c r="H552">
        <f>tblTargetStatus[[#This Row],[DependencyCount]]</f>
        <v>1</v>
      </c>
      <c r="I552" cm="1">
        <f t="array" ref="I5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2">
        <f>tblTargetStatus[[#This Row],[CompletedDependencyCount]]</f>
        <v>0</v>
      </c>
      <c r="K552" t="b">
        <f>tblTargetStatus[[#This Row],[CompletedDependencies]]=tblTargetStatus[[#This Row],[TotalDependencies]]</f>
        <v>0</v>
      </c>
      <c r="L552">
        <f>tblTargetStatus[[#This Row],[TotalDependencies]]-tblTargetStatus[[#This Row],[CompletedDependencies]]</f>
        <v>1</v>
      </c>
      <c r="M552" t="str" cm="1">
        <f t="array" ref="M5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building.food_stall.maxed</v>
      </c>
      <c r="N552" t="str">
        <f>IF(tblTargetStatus[[#This Row],[FirstMissingDependencyID]]="","",_xlfn.XLOOKUP(tblTargetStatus[[#This Row],[FirstMissingDependencyID]],tblTargets[TargetID],tblTargets[DisplayName],tblTargetStatus[[#This Row],[FirstMissingDependencyID]]))</f>
        <v>Food stall maxed</v>
      </c>
      <c r="O552" s="2" t="str" cm="1">
        <f t="array" ref="O5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beans,10 blueprint,300 coin,10 honey,1 ruby,1 spices</v>
      </c>
      <c r="P552" t="str">
        <f>IF(tblTargetStatus[[#This Row],[FirstMissingDependencyID]]="","",_xlfn.XLOOKUP(tblTargetStatus[[#This Row],[FirstMissingDependencyID]],tblTargetStatus[TargetID],tblTargetStatus[Status],""))</f>
        <v>BLOCKED</v>
      </c>
      <c r="Q552" t="str">
        <f>IF(
 tblTargetStatus[[#This Row],[Status]]&lt;&gt;"BLOCKED",
 tblTargetStatus[[#This Row],[Status]],
 IF(
  AND(
   tblTargetStatus[[#This Row],[MissingDependencies]]=1,
   tblTargetStatus[[#This Row],[FirstMissingStatus]]="READY"
  ),
  "ONE AWAY",
  "BLOCKED"
 )
)</f>
        <v>BLOCKED</v>
      </c>
      <c r="R552">
        <f>IF(
 OR(
  tblTargetStatus[[#This Row],[StateType]]="CHARACTER",
  RIGHT(tblTargetStatus[[#This Row],[TargetID]],6)=".maxed"
 ),
 0,
 _xlfn.LET(
  _xlpm.sort,
   _xlfn.XLOOKUP(
    tblTargetStatus[[#This Row],[TargetID]],
    tblChecklist[TargetID],
    tblChecklist[PlayerSort],
    0
   ),
  IF(_xlpm.sort=0,500,_xlpm.sort)
 )
)</f>
        <v>500</v>
      </c>
      <c r="S552" t="str" cm="1">
        <f t="array" ref="S55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Culinary Battle Finished</v>
      </c>
      <c r="T552" t="str">
        <f>_xlfn.XLOOKUP(tblTargetStatus[[#This Row],[TargetID]],tblTargets[TargetID],tblTargets[CompletionMethod],"")</f>
        <v>PLAYER</v>
      </c>
      <c r="U552" t="b">
        <f>COUNTIF(
    tblCost[TargetID],
    tblTargetStatus[[#This Row],[TargetID]]
)&gt;0</f>
        <v>1</v>
      </c>
      <c r="V552" s="81">
        <f>IF(tblTargetStatus[[#This Row],[HasCost]]=FALSE,
"N/A",
_xlfn.XLOOKUP(
tblTargetStatus[[#This Row],[TargetID]],
tblCost[TargetID],
tblCost[FundingPercent],
""
)
)</f>
        <v>0</v>
      </c>
      <c r="W552">
        <f>IF(
COUNTIF(tblCost[TargetID],tblTargetStatus[[#This Row],[TargetID]])=0,
"",
_xlfn.XLOOKUP(
tblTargetStatus[[#This Row],[TargetID]],
tblCost[TargetID],
tblCost[RemainingRequirements],
""
)
)</f>
        <v>6</v>
      </c>
      <c r="X552" s="79" t="b">
        <f>IF(tblTargetStatus[[#This Row],[HasCost]]=FALSE,"N/A",_xlfn.XLOOKUP(
tblTargetStatus[[#This Row],[TargetID]],
tblCost[TargetID],
tblCost[TargetFunded],
TRUE
))</f>
        <v>0</v>
      </c>
      <c r="Y552" t="str" cm="1">
        <f t="array" ref="Y552">_xlfn.TEXTJOIN(
", ",
TRUE,
_xlfn._xlws.FILTER(
tblCost[ResourceID]&amp;": "&amp;tblCost[QuantityRequired],
(tblCost[TargetID]=tblTargetStatus[[#This Row],[TargetID]])*
(tblCost[PlayerPaid]=FALSE),
""
)
)</f>
        <v>beans: 10, blueprint: 10, coin: 300, honey: 10, ruby: 1, spices: 1</v>
      </c>
      <c r="Z5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2" t="str" cm="1">
        <f t="array" ref="AA55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3" spans="1:27" ht="29">
      <c r="A553" t="s">
        <v>2168</v>
      </c>
      <c r="B553" t="str">
        <f>_xlfn.XLOOKUP(tblTargetStatus[[#This Row],[TargetID]],tblTargets[TargetID],tblTargets[DisplayName],"")</f>
        <v>Furnace - Conveyor</v>
      </c>
      <c r="C553" t="str">
        <f>IF(tblTargetStatus[[#This Row],[PlayerCompleted]],"COMPLETED",IF(tblTargetStatus[[#This Row],[MissingDependencies]]=0,"READY","BLOCKED"))</f>
        <v>BLOCKED</v>
      </c>
      <c r="D5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3" t="str">
        <f>_xlfn.XLOOKUP(tblTargetStatus[[#This Row],[TargetID]],tblTargets[TargetID],tblTargets[TargetType],"")</f>
        <v>TECH</v>
      </c>
      <c r="F553" t="str">
        <f>_xlfn.XLOOKUP(tblTargetStatus[[#This Row],[TargetID]],tblTargets[TargetID],tblTargets[StateType])</f>
        <v/>
      </c>
      <c r="G553">
        <f>_xlfn.LET(
_xlpm.id,tblTargetStatus[[#This Row],[TargetID]],
_xlpm.depCount,COUNTIF(tblDependencies[TargetID],_xlpm.id),
_xlpm.objCount,COUNTIF(tblQuestObjectives[QuestTargetID],_xlpm.id),
_xlpm.depCount+_xlpm.objCount
)</f>
        <v>1</v>
      </c>
      <c r="H553">
        <f>tblTargetStatus[[#This Row],[DependencyCount]]</f>
        <v>1</v>
      </c>
      <c r="I553" cm="1">
        <f t="array" ref="I5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3">
        <f>tblTargetStatus[[#This Row],[CompletedDependencyCount]]</f>
        <v>0</v>
      </c>
      <c r="K553" t="b">
        <f>tblTargetStatus[[#This Row],[CompletedDependencies]]=tblTargetStatus[[#This Row],[TotalDependencies]]</f>
        <v>0</v>
      </c>
      <c r="L553">
        <f>tblTargetStatus[[#This Row],[TotalDependencies]]-tblTargetStatus[[#This Row],[CompletedDependencies]]</f>
        <v>1</v>
      </c>
      <c r="M553" t="str" cm="1">
        <f t="array" ref="M5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building.furnace.maxed</v>
      </c>
      <c r="N553" t="str">
        <f>IF(tblTargetStatus[[#This Row],[FirstMissingDependencyID]]="","",_xlfn.XLOOKUP(tblTargetStatus[[#This Row],[FirstMissingDependencyID]],tblTargets[TargetID],tblTargets[DisplayName],tblTargetStatus[[#This Row],[FirstMissingDependencyID]]))</f>
        <v>Furnace maxed</v>
      </c>
      <c r="O553" s="2" t="str" cm="1">
        <f t="array" ref="O5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blueprint,400 coin,40 elixir,10 mechanism,20 msteel,2 ruby</v>
      </c>
      <c r="P553" t="str">
        <f>IF(tblTargetStatus[[#This Row],[FirstMissingDependencyID]]="","",_xlfn.XLOOKUP(tblTargetStatus[[#This Row],[FirstMissingDependencyID]],tblTargetStatus[TargetID],tblTargetStatus[Status],""))</f>
        <v>BLOCKED</v>
      </c>
      <c r="Q553" t="str">
        <f>IF(
 tblTargetStatus[[#This Row],[Status]]&lt;&gt;"BLOCKED",
 tblTargetStatus[[#This Row],[Status]],
 IF(
  AND(
   tblTargetStatus[[#This Row],[MissingDependencies]]=1,
   tblTargetStatus[[#This Row],[FirstMissingStatus]]="READY"
  ),
  "ONE AWAY",
  "BLOCKED"
 )
)</f>
        <v>BLOCKED</v>
      </c>
      <c r="R553">
        <f>IF(
 OR(
  tblTargetStatus[[#This Row],[StateType]]="CHARACTER",
  RIGHT(tblTargetStatus[[#This Row],[TargetID]],6)=".maxed"
 ),
 0,
 _xlfn.LET(
  _xlpm.sort,
   _xlfn.XLOOKUP(
    tblTargetStatus[[#This Row],[TargetID]],
    tblChecklist[TargetID],
    tblChecklist[PlayerSort],
    0
   ),
  IF(_xlpm.sort=0,500,_xlpm.sort)
 )
)</f>
        <v>500</v>
      </c>
      <c r="S553" t="str" cm="1">
        <f t="array" ref="S55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53" t="str">
        <f>_xlfn.XLOOKUP(tblTargetStatus[[#This Row],[TargetID]],tblTargets[TargetID],tblTargets[CompletionMethod],"")</f>
        <v>PLAYER</v>
      </c>
      <c r="U553" t="b">
        <f>COUNTIF(
    tblCost[TargetID],
    tblTargetStatus[[#This Row],[TargetID]]
)&gt;0</f>
        <v>1</v>
      </c>
      <c r="V553" s="81">
        <f>IF(tblTargetStatus[[#This Row],[HasCost]]=FALSE,
"N/A",
_xlfn.XLOOKUP(
tblTargetStatus[[#This Row],[TargetID]],
tblCost[TargetID],
tblCost[FundingPercent],
""
)
)</f>
        <v>0</v>
      </c>
      <c r="W553">
        <f>IF(
COUNTIF(tblCost[TargetID],tblTargetStatus[[#This Row],[TargetID]])=0,
"",
_xlfn.XLOOKUP(
tblTargetStatus[[#This Row],[TargetID]],
tblCost[TargetID],
tblCost[RemainingRequirements],
""
)
)</f>
        <v>6</v>
      </c>
      <c r="X553" s="79" t="b">
        <f>IF(tblTargetStatus[[#This Row],[HasCost]]=FALSE,"N/A",_xlfn.XLOOKUP(
tblTargetStatus[[#This Row],[TargetID]],
tblCost[TargetID],
tblCost[TargetFunded],
TRUE
))</f>
        <v>0</v>
      </c>
      <c r="Y553" t="str" cm="1">
        <f t="array" ref="Y553">_xlfn.TEXTJOIN(
", ",
TRUE,
_xlfn._xlws.FILTER(
tblCost[ResourceID]&amp;": "&amp;tblCost[QuantityRequired],
(tblCost[TargetID]=tblTargetStatus[[#This Row],[TargetID]])*
(tblCost[PlayerPaid]=FALSE),
""
)
)</f>
        <v>blueprint: 15, coin: 400, elixir: 40, mechanism: 10, msteel: 20, ruby: 2</v>
      </c>
      <c r="Z5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3" t="str" cm="1">
        <f t="array" ref="AA55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4" spans="1:27">
      <c r="A554" t="s">
        <v>2166</v>
      </c>
      <c r="B554" t="str">
        <f>_xlfn.XLOOKUP(tblTargetStatus[[#This Row],[TargetID]],tblTargets[TargetID],tblTargets[DisplayName],"")</f>
        <v>Furnace - Glass</v>
      </c>
      <c r="C554" t="str">
        <f>IF(tblTargetStatus[[#This Row],[PlayerCompleted]],"COMPLETED",IF(tblTargetStatus[[#This Row],[MissingDependencies]]=0,"READY","BLOCKED"))</f>
        <v>BLOCKED</v>
      </c>
      <c r="D5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4" t="str">
        <f>_xlfn.XLOOKUP(tblTargetStatus[[#This Row],[TargetID]],tblTargets[TargetID],tblTargets[TargetType],"")</f>
        <v>TECH</v>
      </c>
      <c r="F554" t="str">
        <f>_xlfn.XLOOKUP(tblTargetStatus[[#This Row],[TargetID]],tblTargets[TargetID],tblTargets[StateType])</f>
        <v/>
      </c>
      <c r="G554">
        <f>_xlfn.LET(
_xlpm.id,tblTargetStatus[[#This Row],[TargetID]],
_xlpm.depCount,COUNTIF(tblDependencies[TargetID],_xlpm.id),
_xlpm.objCount,COUNTIF(tblQuestObjectives[QuestTargetID],_xlpm.id),
_xlpm.depCount+_xlpm.objCount
)</f>
        <v>2</v>
      </c>
      <c r="H554">
        <f>tblTargetStatus[[#This Row],[DependencyCount]]</f>
        <v>2</v>
      </c>
      <c r="I554" cm="1">
        <f t="array" ref="I5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4">
        <f>tblTargetStatus[[#This Row],[CompletedDependencyCount]]</f>
        <v>0</v>
      </c>
      <c r="K554" t="b">
        <f>tblTargetStatus[[#This Row],[CompletedDependencies]]=tblTargetStatus[[#This Row],[TotalDependencies]]</f>
        <v>0</v>
      </c>
      <c r="L554">
        <f>tblTargetStatus[[#This Row],[TotalDependencies]]-tblTargetStatus[[#This Row],[CompletedDependencies]]</f>
        <v>2</v>
      </c>
      <c r="M554" t="str" cm="1">
        <f t="array" ref="M5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quest.the_ordinary_days_of_an_adventurer_chapter_4.finished</v>
      </c>
      <c r="N554" t="str">
        <f>IF(tblTargetStatus[[#This Row],[FirstMissingDependencyID]]="","",_xlfn.XLOOKUP(tblTargetStatus[[#This Row],[FirstMissingDependencyID]],tblTargets[TargetID],tblTargets[DisplayName],tblTargetStatus[[#This Row],[FirstMissingDependencyID]]))</f>
        <v>The Ordinary Days of an Adventurer Chapter 4 Finished</v>
      </c>
      <c r="O554" t="str" cm="1">
        <f t="array" ref="O5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blueprint,20 chemicals,500 coin,20 glass,5 mechanism,40 quartz,3 ruby</v>
      </c>
      <c r="P554" t="str">
        <f>IF(tblTargetStatus[[#This Row],[FirstMissingDependencyID]]="","",_xlfn.XLOOKUP(tblTargetStatus[[#This Row],[FirstMissingDependencyID]],tblTargetStatus[TargetID],tblTargetStatus[Status],""))</f>
        <v>BLOCKED</v>
      </c>
      <c r="Q554" t="str">
        <f>IF(
 tblTargetStatus[[#This Row],[Status]]&lt;&gt;"BLOCKED",
 tblTargetStatus[[#This Row],[Status]],
 IF(
  AND(
   tblTargetStatus[[#This Row],[MissingDependencies]]=1,
   tblTargetStatus[[#This Row],[FirstMissingStatus]]="READY"
  ),
  "ONE AWAY",
  "BLOCKED"
 )
)</f>
        <v>BLOCKED</v>
      </c>
      <c r="R554">
        <f>IF(
 OR(
  tblTargetStatus[[#This Row],[StateType]]="CHARACTER",
  RIGHT(tblTargetStatus[[#This Row],[TargetID]],6)=".maxed"
 ),
 0,
 _xlfn.LET(
  _xlpm.sort,
   _xlfn.XLOOKUP(
    tblTargetStatus[[#This Row],[TargetID]],
    tblChecklist[TargetID],
    tblChecklist[PlayerSort],
    0
   ),
  IF(_xlpm.sort=0,500,_xlpm.sort)
 )
)</f>
        <v>500</v>
      </c>
      <c r="S554" t="str" cm="1">
        <f t="array" ref="S55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54" t="str">
        <f>_xlfn.XLOOKUP(tblTargetStatus[[#This Row],[TargetID]],tblTargets[TargetID],tblTargets[CompletionMethod],"")</f>
        <v>PLAYER</v>
      </c>
      <c r="U554" t="b">
        <f>COUNTIF(
    tblCost[TargetID],
    tblTargetStatus[[#This Row],[TargetID]]
)&gt;0</f>
        <v>1</v>
      </c>
      <c r="V554" s="81">
        <f>IF(tblTargetStatus[[#This Row],[HasCost]]=FALSE,
"N/A",
_xlfn.XLOOKUP(
tblTargetStatus[[#This Row],[TargetID]],
tblCost[TargetID],
tblCost[FundingPercent],
""
)
)</f>
        <v>0</v>
      </c>
      <c r="W554">
        <f>IF(
COUNTIF(tblCost[TargetID],tblTargetStatus[[#This Row],[TargetID]])=0,
"",
_xlfn.XLOOKUP(
tblTargetStatus[[#This Row],[TargetID]],
tblCost[TargetID],
tblCost[RemainingRequirements],
""
)
)</f>
        <v>7</v>
      </c>
      <c r="X554" s="79" t="b">
        <f>IF(tblTargetStatus[[#This Row],[HasCost]]=FALSE,"N/A",_xlfn.XLOOKUP(
tblTargetStatus[[#This Row],[TargetID]],
tblCost[TargetID],
tblCost[TargetFunded],
TRUE
))</f>
        <v>0</v>
      </c>
      <c r="Y554" t="str" cm="1">
        <f t="array" ref="Y554">_xlfn.TEXTJOIN(
", ",
TRUE,
_xlfn._xlws.FILTER(
tblCost[ResourceID]&amp;": "&amp;tblCost[QuantityRequired],
(tblCost[TargetID]=tblTargetStatus[[#This Row],[TargetID]])*
(tblCost[PlayerPaid]=FALSE),
""
)
)</f>
        <v>blueprint: 20, chemicals: 20, coin: 500, glass: 20, mechanism: 5, quartz: 40, ruby: 3</v>
      </c>
      <c r="Z5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4" t="str" cm="1">
        <f t="array" ref="AA55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5" spans="1:27">
      <c r="A555" t="s">
        <v>2162</v>
      </c>
      <c r="B555" t="str">
        <f>_xlfn.XLOOKUP(tblTargetStatus[[#This Row],[TargetID]],tblTargets[TargetID],tblTargets[DisplayName],"")</f>
        <v>Furnace - Meteoric Steel</v>
      </c>
      <c r="C555" t="str">
        <f>IF(tblTargetStatus[[#This Row],[PlayerCompleted]],"COMPLETED",IF(tblTargetStatus[[#This Row],[MissingDependencies]]=0,"READY","BLOCKED"))</f>
        <v>BLOCKED</v>
      </c>
      <c r="D5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5" t="str">
        <f>_xlfn.XLOOKUP(tblTargetStatus[[#This Row],[TargetID]],tblTargets[TargetID],tblTargets[TargetType],"")</f>
        <v>TECH</v>
      </c>
      <c r="F555" t="str">
        <f>_xlfn.XLOOKUP(tblTargetStatus[[#This Row],[TargetID]],tblTargets[TargetID],tblTargets[StateType])</f>
        <v/>
      </c>
      <c r="G555">
        <f>_xlfn.LET(
_xlpm.id,tblTargetStatus[[#This Row],[TargetID]],
_xlpm.depCount,COUNTIF(tblDependencies[TargetID],_xlpm.id),
_xlpm.objCount,COUNTIF(tblQuestObjectives[QuestTargetID],_xlpm.id),
_xlpm.depCount+_xlpm.objCount
)</f>
        <v>1</v>
      </c>
      <c r="H555">
        <f>tblTargetStatus[[#This Row],[DependencyCount]]</f>
        <v>1</v>
      </c>
      <c r="I555" cm="1">
        <f t="array" ref="I5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5">
        <f>tblTargetStatus[[#This Row],[CompletedDependencyCount]]</f>
        <v>0</v>
      </c>
      <c r="K555" t="b">
        <f>tblTargetStatus[[#This Row],[CompletedDependencies]]=tblTargetStatus[[#This Row],[TotalDependencies]]</f>
        <v>0</v>
      </c>
      <c r="L555">
        <f>tblTargetStatus[[#This Row],[TotalDependencies]]-tblTargetStatus[[#This Row],[CompletedDependencies]]</f>
        <v>1</v>
      </c>
      <c r="M555" t="str" cm="1">
        <f t="array" ref="M5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building.furnace.maxed</v>
      </c>
      <c r="N555" t="str">
        <f>IF(tblTargetStatus[[#This Row],[FirstMissingDependencyID]]="","",_xlfn.XLOOKUP(tblTargetStatus[[#This Row],[FirstMissingDependencyID]],tblTargets[TargetID],tblTargets[DisplayName],tblTargetStatus[[#This Row],[FirstMissingDependencyID]]))</f>
        <v>Furnace maxed</v>
      </c>
      <c r="O555" s="2" t="str" cm="1">
        <f t="array" ref="O5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blueprint,1000 coin,50 miron,3 ruby</v>
      </c>
      <c r="P555" t="str">
        <f>IF(tblTargetStatus[[#This Row],[FirstMissingDependencyID]]="","",_xlfn.XLOOKUP(tblTargetStatus[[#This Row],[FirstMissingDependencyID]],tblTargetStatus[TargetID],tblTargetStatus[Status],""))</f>
        <v>BLOCKED</v>
      </c>
      <c r="Q555" t="str">
        <f>IF(
 tblTargetStatus[[#This Row],[Status]]&lt;&gt;"BLOCKED",
 tblTargetStatus[[#This Row],[Status]],
 IF(
  AND(
   tblTargetStatus[[#This Row],[MissingDependencies]]=1,
   tblTargetStatus[[#This Row],[FirstMissingStatus]]="READY"
  ),
  "ONE AWAY",
  "BLOCKED"
 )
)</f>
        <v>BLOCKED</v>
      </c>
      <c r="R555">
        <f>IF(
 OR(
  tblTargetStatus[[#This Row],[StateType]]="CHARACTER",
  RIGHT(tblTargetStatus[[#This Row],[TargetID]],6)=".maxed"
 ),
 0,
 _xlfn.LET(
  _xlpm.sort,
   _xlfn.XLOOKUP(
    tblTargetStatus[[#This Row],[TargetID]],
    tblChecklist[TargetID],
    tblChecklist[PlayerSort],
    0
   ),
  IF(_xlpm.sort=0,500,_xlpm.sort)
 )
)</f>
        <v>500</v>
      </c>
      <c r="S555" t="str" cm="1">
        <f t="array" ref="S55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55" t="str">
        <f>_xlfn.XLOOKUP(tblTargetStatus[[#This Row],[TargetID]],tblTargets[TargetID],tblTargets[CompletionMethod],"")</f>
        <v>PLAYER</v>
      </c>
      <c r="U555" t="b">
        <f>COUNTIF(
    tblCost[TargetID],
    tblTargetStatus[[#This Row],[TargetID]]
)&gt;0</f>
        <v>1</v>
      </c>
      <c r="V555" s="81">
        <f>IF(tblTargetStatus[[#This Row],[HasCost]]=FALSE,
"N/A",
_xlfn.XLOOKUP(
tblTargetStatus[[#This Row],[TargetID]],
tblCost[TargetID],
tblCost[FundingPercent],
""
)
)</f>
        <v>0</v>
      </c>
      <c r="W555">
        <f>IF(
COUNTIF(tblCost[TargetID],tblTargetStatus[[#This Row],[TargetID]])=0,
"",
_xlfn.XLOOKUP(
tblTargetStatus[[#This Row],[TargetID]],
tblCost[TargetID],
tblCost[RemainingRequirements],
""
)
)</f>
        <v>4</v>
      </c>
      <c r="X555" s="79" t="b">
        <f>IF(tblTargetStatus[[#This Row],[HasCost]]=FALSE,"N/A",_xlfn.XLOOKUP(
tblTargetStatus[[#This Row],[TargetID]],
tblCost[TargetID],
tblCost[TargetFunded],
TRUE
))</f>
        <v>0</v>
      </c>
      <c r="Y555" t="str" cm="1">
        <f t="array" ref="Y555">_xlfn.TEXTJOIN(
", ",
TRUE,
_xlfn._xlws.FILTER(
tblCost[ResourceID]&amp;": "&amp;tblCost[QuantityRequired],
(tblCost[TargetID]=tblTargetStatus[[#This Row],[TargetID]])*
(tblCost[PlayerPaid]=FALSE),
""
)
)</f>
        <v>blueprint: 15, coin: 1000, miron: 50, ruby: 3</v>
      </c>
      <c r="Z5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5" t="str" cm="1">
        <f t="array" ref="AA55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6" spans="1:27">
      <c r="A556" t="s">
        <v>2164</v>
      </c>
      <c r="B556" t="str">
        <f>_xlfn.XLOOKUP(tblTargetStatus[[#This Row],[TargetID]],tblTargets[TargetID],tblTargets[DisplayName],"")</f>
        <v>Furnace - Titanium Parts</v>
      </c>
      <c r="C556" t="str">
        <f>IF(tblTargetStatus[[#This Row],[PlayerCompleted]],"COMPLETED",IF(tblTargetStatus[[#This Row],[MissingDependencies]]=0,"READY","BLOCKED"))</f>
        <v>BLOCKED</v>
      </c>
      <c r="D5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6" t="str">
        <f>_xlfn.XLOOKUP(tblTargetStatus[[#This Row],[TargetID]],tblTargets[TargetID],tblTargets[TargetType],"")</f>
        <v>TECH</v>
      </c>
      <c r="F556" t="str">
        <f>_xlfn.XLOOKUP(tblTargetStatus[[#This Row],[TargetID]],tblTargets[TargetID],tblTargets[StateType])</f>
        <v/>
      </c>
      <c r="G556">
        <f>_xlfn.LET(
_xlpm.id,tblTargetStatus[[#This Row],[TargetID]],
_xlpm.depCount,COUNTIF(tblDependencies[TargetID],_xlpm.id),
_xlpm.objCount,COUNTIF(tblQuestObjectives[QuestTargetID],_xlpm.id),
_xlpm.depCount+_xlpm.objCount
)</f>
        <v>2</v>
      </c>
      <c r="H556">
        <f>tblTargetStatus[[#This Row],[DependencyCount]]</f>
        <v>2</v>
      </c>
      <c r="I556" cm="1">
        <f t="array" ref="I5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6">
        <f>tblTargetStatus[[#This Row],[CompletedDependencyCount]]</f>
        <v>0</v>
      </c>
      <c r="K556" t="b">
        <f>tblTargetStatus[[#This Row],[CompletedDependencies]]=tblTargetStatus[[#This Row],[TotalDependencies]]</f>
        <v>0</v>
      </c>
      <c r="L556">
        <f>tblTargetStatus[[#This Row],[TotalDependencies]]-tblTargetStatus[[#This Row],[CompletedDependencies]]</f>
        <v>2</v>
      </c>
      <c r="M556" t="str" cm="1">
        <f t="array" ref="M5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quest.once_upon_a_forest_chapter_11.finished</v>
      </c>
      <c r="N556" t="str">
        <f>IF(tblTargetStatus[[#This Row],[FirstMissingDependencyID]]="","",_xlfn.XLOOKUP(tblTargetStatus[[#This Row],[FirstMissingDependencyID]],tblTargets[TargetID],tblTargets[DisplayName],tblTargetStatus[[#This Row],[FirstMissingDependencyID]]))</f>
        <v>Once Upon a Forest Chapter 11 Finished</v>
      </c>
      <c r="O556" t="str" cm="1">
        <f t="array" ref="O5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blueprint,500 coin,5 mechanism,10 reagent,3 ruby,10 titanium</v>
      </c>
      <c r="P556" t="str">
        <f>IF(tblTargetStatus[[#This Row],[FirstMissingDependencyID]]="","",_xlfn.XLOOKUP(tblTargetStatus[[#This Row],[FirstMissingDependencyID]],tblTargetStatus[TargetID],tblTargetStatus[Status],""))</f>
        <v>BLOCKED</v>
      </c>
      <c r="Q556" t="str">
        <f>IF(
 tblTargetStatus[[#This Row],[Status]]&lt;&gt;"BLOCKED",
 tblTargetStatus[[#This Row],[Status]],
 IF(
  AND(
   tblTargetStatus[[#This Row],[MissingDependencies]]=1,
   tblTargetStatus[[#This Row],[FirstMissingStatus]]="READY"
  ),
  "ONE AWAY",
  "BLOCKED"
 )
)</f>
        <v>BLOCKED</v>
      </c>
      <c r="R556">
        <f>IF(
 OR(
  tblTargetStatus[[#This Row],[StateType]]="CHARACTER",
  RIGHT(tblTargetStatus[[#This Row],[TargetID]],6)=".maxed"
 ),
 0,
 _xlfn.LET(
  _xlpm.sort,
   _xlfn.XLOOKUP(
    tblTargetStatus[[#This Row],[TargetID]],
    tblChecklist[TargetID],
    tblChecklist[PlayerSort],
    0
   ),
  IF(_xlpm.sort=0,500,_xlpm.sort)
 )
)</f>
        <v>500</v>
      </c>
      <c r="S556" t="str" cm="1">
        <f t="array" ref="S55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Airship - Titanium Longerons, Tailor - Armor For A Hero Lvl 4</v>
      </c>
      <c r="T556" t="str">
        <f>_xlfn.XLOOKUP(tblTargetStatus[[#This Row],[TargetID]],tblTargets[TargetID],tblTargets[CompletionMethod],"")</f>
        <v>PLAYER</v>
      </c>
      <c r="U556" t="b">
        <f>COUNTIF(
    tblCost[TargetID],
    tblTargetStatus[[#This Row],[TargetID]]
)&gt;0</f>
        <v>1</v>
      </c>
      <c r="V556" s="81">
        <f>IF(tblTargetStatus[[#This Row],[HasCost]]=FALSE,
"N/A",
_xlfn.XLOOKUP(
tblTargetStatus[[#This Row],[TargetID]],
tblCost[TargetID],
tblCost[FundingPercent],
""
)
)</f>
        <v>0</v>
      </c>
      <c r="W556">
        <f>IF(
COUNTIF(tblCost[TargetID],tblTargetStatus[[#This Row],[TargetID]])=0,
"",
_xlfn.XLOOKUP(
tblTargetStatus[[#This Row],[TargetID]],
tblCost[TargetID],
tblCost[RemainingRequirements],
""
)
)</f>
        <v>6</v>
      </c>
      <c r="X556" s="79" t="b">
        <f>IF(tblTargetStatus[[#This Row],[HasCost]]=FALSE,"N/A",_xlfn.XLOOKUP(
tblTargetStatus[[#This Row],[TargetID]],
tblCost[TargetID],
tblCost[TargetFunded],
TRUE
))</f>
        <v>0</v>
      </c>
      <c r="Y556" t="str" cm="1">
        <f t="array" ref="Y556">_xlfn.TEXTJOIN(
", ",
TRUE,
_xlfn._xlws.FILTER(
tblCost[ResourceID]&amp;": "&amp;tblCost[QuantityRequired],
(tblCost[TargetID]=tblTargetStatus[[#This Row],[TargetID]])*
(tblCost[PlayerPaid]=FALSE),
""
)
)</f>
        <v>blueprint: 20, coin: 500, mechanism: 5, reagent: 10, ruby: 3, titanium: 10</v>
      </c>
      <c r="Z5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6" t="str" cm="1">
        <f t="array" ref="AA55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7" spans="1:27">
      <c r="A557" t="s">
        <v>2170</v>
      </c>
      <c r="B557" t="str">
        <f>_xlfn.XLOOKUP(tblTargetStatus[[#This Row],[TargetID]],tblTargets[TargetID],tblTargets[DisplayName],"")</f>
        <v>Garden - Sprinkler</v>
      </c>
      <c r="C557" t="str">
        <f>IF(tblTargetStatus[[#This Row],[PlayerCompleted]],"COMPLETED",IF(tblTargetStatus[[#This Row],[MissingDependencies]]=0,"READY","BLOCKED"))</f>
        <v>BLOCKED</v>
      </c>
      <c r="D5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7" t="str">
        <f>_xlfn.XLOOKUP(tblTargetStatus[[#This Row],[TargetID]],tblTargets[TargetID],tblTargets[TargetType],"")</f>
        <v>TECH</v>
      </c>
      <c r="F557" t="str">
        <f>_xlfn.XLOOKUP(tblTargetStatus[[#This Row],[TargetID]],tblTargets[TargetID],tblTargets[StateType])</f>
        <v/>
      </c>
      <c r="G557">
        <f>_xlfn.LET(
_xlpm.id,tblTargetStatus[[#This Row],[TargetID]],
_xlpm.depCount,COUNTIF(tblDependencies[TargetID],_xlpm.id),
_xlpm.objCount,COUNTIF(tblQuestObjectives[QuestTargetID],_xlpm.id),
_xlpm.depCount+_xlpm.objCount
)</f>
        <v>1</v>
      </c>
      <c r="H557">
        <f>tblTargetStatus[[#This Row],[DependencyCount]]</f>
        <v>1</v>
      </c>
      <c r="I557" cm="1">
        <f t="array" ref="I5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7">
        <f>tblTargetStatus[[#This Row],[CompletedDependencyCount]]</f>
        <v>0</v>
      </c>
      <c r="K557" t="b">
        <f>tblTargetStatus[[#This Row],[CompletedDependencies]]=tblTargetStatus[[#This Row],[TotalDependencies]]</f>
        <v>0</v>
      </c>
      <c r="L557">
        <f>tblTargetStatus[[#This Row],[TotalDependencies]]-tblTargetStatus[[#This Row],[CompletedDependencies]]</f>
        <v>1</v>
      </c>
      <c r="M557" t="str" cm="1">
        <f t="array" ref="M5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building.garden.maxed</v>
      </c>
      <c r="N557" t="str">
        <f>IF(tblTargetStatus[[#This Row],[FirstMissingDependencyID]]="","",_xlfn.XLOOKUP(tblTargetStatus[[#This Row],[FirstMissingDependencyID]],tblTargets[TargetID],tblTargets[DisplayName],tblTargetStatus[[#This Row],[FirstMissingDependencyID]]))</f>
        <v>Garden maxed</v>
      </c>
      <c r="O557" s="2" t="str" cm="1">
        <f t="array" ref="O5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coin,50 miron,6 ruby</v>
      </c>
      <c r="P557" t="str">
        <f>IF(tblTargetStatus[[#This Row],[FirstMissingDependencyID]]="","",_xlfn.XLOOKUP(tblTargetStatus[[#This Row],[FirstMissingDependencyID]],tblTargetStatus[TargetID],tblTargetStatus[Status],""))</f>
        <v>BLOCKED</v>
      </c>
      <c r="Q557" t="str">
        <f>IF(
 tblTargetStatus[[#This Row],[Status]]&lt;&gt;"BLOCKED",
 tblTargetStatus[[#This Row],[Status]],
 IF(
  AND(
   tblTargetStatus[[#This Row],[MissingDependencies]]=1,
   tblTargetStatus[[#This Row],[FirstMissingStatus]]="READY"
  ),
  "ONE AWAY",
  "BLOCKED"
 )
)</f>
        <v>BLOCKED</v>
      </c>
      <c r="R557">
        <f>IF(
 OR(
  tblTargetStatus[[#This Row],[StateType]]="CHARACTER",
  RIGHT(tblTargetStatus[[#This Row],[TargetID]],6)=".maxed"
 ),
 0,
 _xlfn.LET(
  _xlpm.sort,
   _xlfn.XLOOKUP(
    tblTargetStatus[[#This Row],[TargetID]],
    tblChecklist[TargetID],
    tblChecklist[PlayerSort],
    0
   ),
  IF(_xlpm.sort=0,500,_xlpm.sort)
 )
)</f>
        <v>500</v>
      </c>
      <c r="S557" t="str" cm="1">
        <f t="array" ref="S55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57" t="str">
        <f>_xlfn.XLOOKUP(tblTargetStatus[[#This Row],[TargetID]],tblTargets[TargetID],tblTargets[CompletionMethod],"")</f>
        <v>PLAYER</v>
      </c>
      <c r="U557" t="b">
        <f>COUNTIF(
    tblCost[TargetID],
    tblTargetStatus[[#This Row],[TargetID]]
)&gt;0</f>
        <v>1</v>
      </c>
      <c r="V557" s="81">
        <f>IF(tblTargetStatus[[#This Row],[HasCost]]=FALSE,
"N/A",
_xlfn.XLOOKUP(
tblTargetStatus[[#This Row],[TargetID]],
tblCost[TargetID],
tblCost[FundingPercent],
""
)
)</f>
        <v>0</v>
      </c>
      <c r="W557">
        <f>IF(
COUNTIF(tblCost[TargetID],tblTargetStatus[[#This Row],[TargetID]])=0,
"",
_xlfn.XLOOKUP(
tblTargetStatus[[#This Row],[TargetID]],
tblCost[TargetID],
tblCost[RemainingRequirements],
""
)
)</f>
        <v>4</v>
      </c>
      <c r="X557" s="79" t="b">
        <f>IF(tblTargetStatus[[#This Row],[HasCost]]=FALSE,"N/A",_xlfn.XLOOKUP(
tblTargetStatus[[#This Row],[TargetID]],
tblCost[TargetID],
tblCost[TargetFunded],
TRUE
))</f>
        <v>0</v>
      </c>
      <c r="Y557" t="str" cm="1">
        <f t="array" ref="Y557">_xlfn.TEXTJOIN(
", ",
TRUE,
_xlfn._xlws.FILTER(
tblCost[ResourceID]&amp;": "&amp;tblCost[QuantityRequired],
(tblCost[TargetID]=tblTargetStatus[[#This Row],[TargetID]])*
(tblCost[PlayerPaid]=FALSE),
""
)
)</f>
        <v>blueprint: 30, coin: 1500, miron: 50, ruby: 6</v>
      </c>
      <c r="Z5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7" t="str" cm="1">
        <f t="array" ref="AA55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8" spans="1:27">
      <c r="A558" t="s">
        <v>2174</v>
      </c>
      <c r="B558" t="str">
        <f>_xlfn.XLOOKUP(tblTargetStatus[[#This Row],[TargetID]],tblTargets[TargetID],tblTargets[DisplayName],"")</f>
        <v>Laboratory - Digitization</v>
      </c>
      <c r="C558" t="str">
        <f>IF(tblTargetStatus[[#This Row],[PlayerCompleted]],"COMPLETED",IF(tblTargetStatus[[#This Row],[MissingDependencies]]=0,"READY","BLOCKED"))</f>
        <v>BLOCKED</v>
      </c>
      <c r="D5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8" t="str">
        <f>_xlfn.XLOOKUP(tblTargetStatus[[#This Row],[TargetID]],tblTargets[TargetID],tblTargets[TargetType],"")</f>
        <v>TECH</v>
      </c>
      <c r="F558" t="str">
        <f>_xlfn.XLOOKUP(tblTargetStatus[[#This Row],[TargetID]],tblTargets[TargetID],tblTargets[StateType])</f>
        <v/>
      </c>
      <c r="G558">
        <f>_xlfn.LET(
_xlpm.id,tblTargetStatus[[#This Row],[TargetID]],
_xlpm.depCount,COUNTIF(tblDependencies[TargetID],_xlpm.id),
_xlpm.objCount,COUNTIF(tblQuestObjectives[QuestTargetID],_xlpm.id),
_xlpm.depCount+_xlpm.objCount
)</f>
        <v>3</v>
      </c>
      <c r="H558">
        <f>tblTargetStatus[[#This Row],[DependencyCount]]</f>
        <v>3</v>
      </c>
      <c r="I558" cm="1">
        <f t="array" ref="I5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8">
        <f>tblTargetStatus[[#This Row],[CompletedDependencyCount]]</f>
        <v>0</v>
      </c>
      <c r="K558" t="b">
        <f>tblTargetStatus[[#This Row],[CompletedDependencies]]=tblTargetStatus[[#This Row],[TotalDependencies]]</f>
        <v>0</v>
      </c>
      <c r="L558">
        <f>tblTargetStatus[[#This Row],[TotalDependencies]]-tblTargetStatus[[#This Row],[CompletedDependencies]]</f>
        <v>3</v>
      </c>
      <c r="M558" t="str" cm="1">
        <f t="array" ref="M5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building.laboratory_data_center.maxed</v>
      </c>
      <c r="N558" t="str">
        <f>IF(tblTargetStatus[[#This Row],[FirstMissingDependencyID]]="","",_xlfn.XLOOKUP(tblTargetStatus[[#This Row],[FirstMissingDependencyID]],tblTargets[TargetID],tblTargets[DisplayName],tblTargetStatus[[#This Row],[FirstMissingDependencyID]]))</f>
        <v>Laboratory: Data Center maxed</v>
      </c>
      <c r="O558" t="str" cm="1">
        <f t="array" ref="O5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blueprint,100 chemicals,1000 coin,20 floppy,30 mechanism,20 microchip,40 paper,20 quartz,5 ruby</v>
      </c>
      <c r="P558" t="str">
        <f>IF(tblTargetStatus[[#This Row],[FirstMissingDependencyID]]="","",_xlfn.XLOOKUP(tblTargetStatus[[#This Row],[FirstMissingDependencyID]],tblTargetStatus[TargetID],tblTargetStatus[Status],""))</f>
        <v>BLOCKED</v>
      </c>
      <c r="Q558" t="str">
        <f>IF(
 tblTargetStatus[[#This Row],[Status]]&lt;&gt;"BLOCKED",
 tblTargetStatus[[#This Row],[Status]],
 IF(
  AND(
   tblTargetStatus[[#This Row],[MissingDependencies]]=1,
   tblTargetStatus[[#This Row],[FirstMissingStatus]]="READY"
  ),
  "ONE AWAY",
  "BLOCKED"
 )
)</f>
        <v>BLOCKED</v>
      </c>
      <c r="R558">
        <f>IF(
 OR(
  tblTargetStatus[[#This Row],[StateType]]="CHARACTER",
  RIGHT(tblTargetStatus[[#This Row],[TargetID]],6)=".maxed"
 ),
 0,
 _xlfn.LET(
  _xlpm.sort,
   _xlfn.XLOOKUP(
    tblTargetStatus[[#This Row],[TargetID]],
    tblChecklist[TargetID],
    tblChecklist[PlayerSort],
    0
   ),
  IF(_xlpm.sort=0,500,_xlpm.sort)
 )
)</f>
        <v>500</v>
      </c>
      <c r="S558" t="str" cm="1">
        <f t="array" ref="S55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5 Finished</v>
      </c>
      <c r="T558" t="str">
        <f>_xlfn.XLOOKUP(tblTargetStatus[[#This Row],[TargetID]],tblTargets[TargetID],tblTargets[CompletionMethod],"")</f>
        <v>PLAYER</v>
      </c>
      <c r="U558" t="b">
        <f>COUNTIF(
    tblCost[TargetID],
    tblTargetStatus[[#This Row],[TargetID]]
)&gt;0</f>
        <v>1</v>
      </c>
      <c r="V558" s="81">
        <f>IF(tblTargetStatus[[#This Row],[HasCost]]=FALSE,
"N/A",
_xlfn.XLOOKUP(
tblTargetStatus[[#This Row],[TargetID]],
tblCost[TargetID],
tblCost[FundingPercent],
""
)
)</f>
        <v>0</v>
      </c>
      <c r="W558">
        <f>IF(
COUNTIF(tblCost[TargetID],tblTargetStatus[[#This Row],[TargetID]])=0,
"",
_xlfn.XLOOKUP(
tblTargetStatus[[#This Row],[TargetID]],
tblCost[TargetID],
tblCost[RemainingRequirements],
""
)
)</f>
        <v>9</v>
      </c>
      <c r="X558" s="79" t="b">
        <f>IF(tblTargetStatus[[#This Row],[HasCost]]=FALSE,"N/A",_xlfn.XLOOKUP(
tblTargetStatus[[#This Row],[TargetID]],
tblCost[TargetID],
tblCost[TargetFunded],
TRUE
))</f>
        <v>0</v>
      </c>
      <c r="Y558" t="str" cm="1">
        <f t="array" ref="Y558">_xlfn.TEXTJOIN(
", ",
TRUE,
_xlfn._xlws.FILTER(
tblCost[ResourceID]&amp;": "&amp;tblCost[QuantityRequired],
(tblCost[TargetID]=tblTargetStatus[[#This Row],[TargetID]])*
(tblCost[PlayerPaid]=FALSE),
""
)
)</f>
        <v>blueprint: 30, chemicals: 100, coin: 1000, floppy: 20, mechanism: 30, microchip: 20, paper: 40, quartz: 20, ruby: 5</v>
      </c>
      <c r="Z5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8" t="str" cm="1">
        <f t="array" ref="AA55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59" spans="1:27">
      <c r="A559" t="s">
        <v>2176</v>
      </c>
      <c r="B559" t="str">
        <f>_xlfn.XLOOKUP(tblTargetStatus[[#This Row],[TargetID]],tblTargets[TargetID],tblTargets[DisplayName],"")</f>
        <v>Laboratory - Experiments</v>
      </c>
      <c r="C559" t="str">
        <f>IF(tblTargetStatus[[#This Row],[PlayerCompleted]],"COMPLETED",IF(tblTargetStatus[[#This Row],[MissingDependencies]]=0,"READY","BLOCKED"))</f>
        <v>BLOCKED</v>
      </c>
      <c r="D5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9" t="str">
        <f>_xlfn.XLOOKUP(tblTargetStatus[[#This Row],[TargetID]],tblTargets[TargetID],tblTargets[TargetType],"")</f>
        <v>TECH</v>
      </c>
      <c r="F559" t="str">
        <f>_xlfn.XLOOKUP(tblTargetStatus[[#This Row],[TargetID]],tblTargets[TargetID],tblTargets[StateType])</f>
        <v/>
      </c>
      <c r="G559">
        <f>_xlfn.LET(
_xlpm.id,tblTargetStatus[[#This Row],[TargetID]],
_xlpm.depCount,COUNTIF(tblDependencies[TargetID],_xlpm.id),
_xlpm.objCount,COUNTIF(tblQuestObjectives[QuestTargetID],_xlpm.id),
_xlpm.depCount+_xlpm.objCount
)</f>
        <v>3</v>
      </c>
      <c r="H559">
        <f>tblTargetStatus[[#This Row],[DependencyCount]]</f>
        <v>3</v>
      </c>
      <c r="I559" cm="1">
        <f t="array" ref="I5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9">
        <f>tblTargetStatus[[#This Row],[CompletedDependencyCount]]</f>
        <v>0</v>
      </c>
      <c r="K559" t="b">
        <f>tblTargetStatus[[#This Row],[CompletedDependencies]]=tblTargetStatus[[#This Row],[TotalDependencies]]</f>
        <v>0</v>
      </c>
      <c r="L559">
        <f>tblTargetStatus[[#This Row],[TotalDependencies]]-tblTargetStatus[[#This Row],[CompletedDependencies]]</f>
        <v>3</v>
      </c>
      <c r="M559" t="str" cm="1">
        <f t="array" ref="M5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tech.laboratory.research_and_development</v>
      </c>
      <c r="N559" t="str">
        <f>IF(tblTargetStatus[[#This Row],[FirstMissingDependencyID]]="","",_xlfn.XLOOKUP(tblTargetStatus[[#This Row],[FirstMissingDependencyID]],tblTargets[TargetID],tblTargets[DisplayName],tblTargetStatus[[#This Row],[FirstMissingDependencyID]]))</f>
        <v>Laboratory - Research And Development</v>
      </c>
      <c r="O559" t="str" cm="1">
        <f t="array" ref="O5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blueprint,1000 coin,2 diamond,30 floppy,20 mercury,30 microchip,5 ruby,20 tparts,10 violetcrystal</v>
      </c>
      <c r="P559" t="str">
        <f>IF(tblTargetStatus[[#This Row],[FirstMissingDependencyID]]="","",_xlfn.XLOOKUP(tblTargetStatus[[#This Row],[FirstMissingDependencyID]],tblTargetStatus[TargetID],tblTargetStatus[Status],""))</f>
        <v>BLOCKED</v>
      </c>
      <c r="Q559" t="str">
        <f>IF(
 tblTargetStatus[[#This Row],[Status]]&lt;&gt;"BLOCKED",
 tblTargetStatus[[#This Row],[Status]],
 IF(
  AND(
   tblTargetStatus[[#This Row],[MissingDependencies]]=1,
   tblTargetStatus[[#This Row],[FirstMissingStatus]]="READY"
  ),
  "ONE AWAY",
  "BLOCKED"
 )
)</f>
        <v>BLOCKED</v>
      </c>
      <c r="R559">
        <f>IF(
 OR(
  tblTargetStatus[[#This Row],[StateType]]="CHARACTER",
  RIGHT(tblTargetStatus[[#This Row],[TargetID]],6)=".maxed"
 ),
 0,
 _xlfn.LET(
  _xlpm.sort,
   _xlfn.XLOOKUP(
    tblTargetStatus[[#This Row],[TargetID]],
    tblChecklist[TargetID],
    tblChecklist[PlayerSort],
    0
   ),
  IF(_xlpm.sort=0,500,_xlpm.sort)
 )
)</f>
        <v>500</v>
      </c>
      <c r="S559" t="str" cm="1">
        <f t="array" ref="S55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5 Finished</v>
      </c>
      <c r="T559" t="str">
        <f>_xlfn.XLOOKUP(tblTargetStatus[[#This Row],[TargetID]],tblTargets[TargetID],tblTargets[CompletionMethod],"")</f>
        <v>PLAYER</v>
      </c>
      <c r="U559" t="b">
        <f>COUNTIF(
    tblCost[TargetID],
    tblTargetStatus[[#This Row],[TargetID]]
)&gt;0</f>
        <v>1</v>
      </c>
      <c r="V559" s="81">
        <f>IF(tblTargetStatus[[#This Row],[HasCost]]=FALSE,
"N/A",
_xlfn.XLOOKUP(
tblTargetStatus[[#This Row],[TargetID]],
tblCost[TargetID],
tblCost[FundingPercent],
""
)
)</f>
        <v>0</v>
      </c>
      <c r="W559">
        <f>IF(
COUNTIF(tblCost[TargetID],tblTargetStatus[[#This Row],[TargetID]])=0,
"",
_xlfn.XLOOKUP(
tblTargetStatus[[#This Row],[TargetID]],
tblCost[TargetID],
tblCost[RemainingRequirements],
""
)
)</f>
        <v>9</v>
      </c>
      <c r="X559" s="79" t="b">
        <f>IF(tblTargetStatus[[#This Row],[HasCost]]=FALSE,"N/A",_xlfn.XLOOKUP(
tblTargetStatus[[#This Row],[TargetID]],
tblCost[TargetID],
tblCost[TargetFunded],
TRUE
))</f>
        <v>0</v>
      </c>
      <c r="Y559" t="str" cm="1">
        <f t="array" ref="Y559">_xlfn.TEXTJOIN(
", ",
TRUE,
_xlfn._xlws.FILTER(
tblCost[ResourceID]&amp;": "&amp;tblCost[QuantityRequired],
(tblCost[TargetID]=tblTargetStatus[[#This Row],[TargetID]])*
(tblCost[PlayerPaid]=FALSE),
""
)
)</f>
        <v>blueprint: 40, coin: 1000, diamond: 2, floppy: 30, mercury: 20, microchip: 30, ruby: 5, tparts: 20, violetcrystal: 10</v>
      </c>
      <c r="Z5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9" t="str" cm="1">
        <f t="array" ref="AA55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0" spans="1:27">
      <c r="A560" t="s">
        <v>2172</v>
      </c>
      <c r="B560" t="str">
        <f>_xlfn.XLOOKUP(tblTargetStatus[[#This Row],[TargetID]],tblTargets[TargetID],tblTargets[DisplayName],"")</f>
        <v>Laboratory - Research And Development</v>
      </c>
      <c r="C560" t="str">
        <f>IF(tblTargetStatus[[#This Row],[PlayerCompleted]],"COMPLETED",IF(tblTargetStatus[[#This Row],[MissingDependencies]]=0,"READY","BLOCKED"))</f>
        <v>BLOCKED</v>
      </c>
      <c r="D5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0" t="str">
        <f>_xlfn.XLOOKUP(tblTargetStatus[[#This Row],[TargetID]],tblTargets[TargetID],tblTargets[TargetType],"")</f>
        <v>TECH</v>
      </c>
      <c r="F560" t="str">
        <f>_xlfn.XLOOKUP(tblTargetStatus[[#This Row],[TargetID]],tblTargets[TargetID],tblTargets[StateType])</f>
        <v/>
      </c>
      <c r="G560">
        <f>_xlfn.LET(
_xlpm.id,tblTargetStatus[[#This Row],[TargetID]],
_xlpm.depCount,COUNTIF(tblDependencies[TargetID],_xlpm.id),
_xlpm.objCount,COUNTIF(tblQuestObjectives[QuestTargetID],_xlpm.id),
_xlpm.depCount+_xlpm.objCount
)</f>
        <v>3</v>
      </c>
      <c r="H560">
        <f>tblTargetStatus[[#This Row],[DependencyCount]]</f>
        <v>3</v>
      </c>
      <c r="I560" cm="1">
        <f t="array" ref="I5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0">
        <f>tblTargetStatus[[#This Row],[CompletedDependencyCount]]</f>
        <v>0</v>
      </c>
      <c r="K560" t="b">
        <f>tblTargetStatus[[#This Row],[CompletedDependencies]]=tblTargetStatus[[#This Row],[TotalDependencies]]</f>
        <v>0</v>
      </c>
      <c r="L560">
        <f>tblTargetStatus[[#This Row],[TotalDependencies]]-tblTargetStatus[[#This Row],[CompletedDependencies]]</f>
        <v>3</v>
      </c>
      <c r="M560" t="str" cm="1">
        <f t="array" ref="M5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building.laboratory_data_center.maxed</v>
      </c>
      <c r="N560" t="str">
        <f>IF(tblTargetStatus[[#This Row],[FirstMissingDependencyID]]="","",_xlfn.XLOOKUP(tblTargetStatus[[#This Row],[FirstMissingDependencyID]],tblTargets[TargetID],tblTargets[DisplayName],tblTargetStatus[[#This Row],[FirstMissingDependencyID]]))</f>
        <v>Laboratory: Data Center maxed</v>
      </c>
      <c r="O560" t="str" cm="1">
        <f t="array" ref="O5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amazake,30 blueprint,20 catalyst,1000 coin,10 enzyme,20 floppy,20 microchip,20 reagent,5 ruby</v>
      </c>
      <c r="P560" t="str">
        <f>IF(tblTargetStatus[[#This Row],[FirstMissingDependencyID]]="","",_xlfn.XLOOKUP(tblTargetStatus[[#This Row],[FirstMissingDependencyID]],tblTargetStatus[TargetID],tblTargetStatus[Status],""))</f>
        <v>BLOCKED</v>
      </c>
      <c r="Q560" t="str">
        <f>IF(
 tblTargetStatus[[#This Row],[Status]]&lt;&gt;"BLOCKED",
 tblTargetStatus[[#This Row],[Status]],
 IF(
  AND(
   tblTargetStatus[[#This Row],[MissingDependencies]]=1,
   tblTargetStatus[[#This Row],[FirstMissingStatus]]="READY"
  ),
  "ONE AWAY",
  "BLOCKED"
 )
)</f>
        <v>BLOCKED</v>
      </c>
      <c r="R560">
        <f>IF(
 OR(
  tblTargetStatus[[#This Row],[StateType]]="CHARACTER",
  RIGHT(tblTargetStatus[[#This Row],[TargetID]],6)=".maxed"
 ),
 0,
 _xlfn.LET(
  _xlpm.sort,
   _xlfn.XLOOKUP(
    tblTargetStatus[[#This Row],[TargetID]],
    tblChecklist[TargetID],
    tblChecklist[PlayerSort],
    0
   ),
  IF(_xlpm.sort=0,500,_xlpm.sort)
 )
)</f>
        <v>500</v>
      </c>
      <c r="S560" t="str" cm="1">
        <f t="array" ref="S56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Laboratory - Experiments, Ahead of Time Chapter 5 Finished</v>
      </c>
      <c r="T560" t="str">
        <f>_xlfn.XLOOKUP(tblTargetStatus[[#This Row],[TargetID]],tblTargets[TargetID],tblTargets[CompletionMethod],"")</f>
        <v>PLAYER</v>
      </c>
      <c r="U560" t="b">
        <f>COUNTIF(
    tblCost[TargetID],
    tblTargetStatus[[#This Row],[TargetID]]
)&gt;0</f>
        <v>1</v>
      </c>
      <c r="V560" s="81">
        <f>IF(tblTargetStatus[[#This Row],[HasCost]]=FALSE,
"N/A",
_xlfn.XLOOKUP(
tblTargetStatus[[#This Row],[TargetID]],
tblCost[TargetID],
tblCost[FundingPercent],
""
)
)</f>
        <v>0</v>
      </c>
      <c r="W560">
        <f>IF(
COUNTIF(tblCost[TargetID],tblTargetStatus[[#This Row],[TargetID]])=0,
"",
_xlfn.XLOOKUP(
tblTargetStatus[[#This Row],[TargetID]],
tblCost[TargetID],
tblCost[RemainingRequirements],
""
)
)</f>
        <v>9</v>
      </c>
      <c r="X560" s="79" t="b">
        <f>IF(tblTargetStatus[[#This Row],[HasCost]]=FALSE,"N/A",_xlfn.XLOOKUP(
tblTargetStatus[[#This Row],[TargetID]],
tblCost[TargetID],
tblCost[TargetFunded],
TRUE
))</f>
        <v>0</v>
      </c>
      <c r="Y560" t="str" cm="1">
        <f t="array" ref="Y560">_xlfn.TEXTJOIN(
", ",
TRUE,
_xlfn._xlws.FILTER(
tblCost[ResourceID]&amp;": "&amp;tblCost[QuantityRequired],
(tblCost[TargetID]=tblTargetStatus[[#This Row],[TargetID]])*
(tblCost[PlayerPaid]=FALSE),
""
)
)</f>
        <v>amazake: 20, blueprint: 30, catalyst: 20, coin: 1000, enzyme: 10, floppy: 20, microchip: 20, reagent: 20, ruby: 5</v>
      </c>
      <c r="Z5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0" t="str" cm="1">
        <f t="array" ref="AA56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1" spans="1:27">
      <c r="A561" t="s">
        <v>2180</v>
      </c>
      <c r="B561" t="str">
        <f>_xlfn.XLOOKUP(tblTargetStatus[[#This Row],[TargetID]],tblTargets[TargetID],tblTargets[DisplayName],"")</f>
        <v>Outpost - Arsenal Lvl 1</v>
      </c>
      <c r="C561" t="str">
        <f>IF(tblTargetStatus[[#This Row],[PlayerCompleted]],"COMPLETED",IF(tblTargetStatus[[#This Row],[MissingDependencies]]=0,"READY","BLOCKED"))</f>
        <v>BLOCKED</v>
      </c>
      <c r="D5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1" t="str">
        <f>_xlfn.XLOOKUP(tblTargetStatus[[#This Row],[TargetID]],tblTargets[TargetID],tblTargets[TargetType],"")</f>
        <v>TECH</v>
      </c>
      <c r="F561" t="str">
        <f>_xlfn.XLOOKUP(tblTargetStatus[[#This Row],[TargetID]],tblTargets[TargetID],tblTargets[StateType])</f>
        <v/>
      </c>
      <c r="G561">
        <f>_xlfn.LET(
_xlpm.id,tblTargetStatus[[#This Row],[TargetID]],
_xlpm.depCount,COUNTIF(tblDependencies[TargetID],_xlpm.id),
_xlpm.objCount,COUNTIF(tblQuestObjectives[QuestTargetID],_xlpm.id),
_xlpm.depCount+_xlpm.objCount
)</f>
        <v>1</v>
      </c>
      <c r="H561">
        <f>tblTargetStatus[[#This Row],[DependencyCount]]</f>
        <v>1</v>
      </c>
      <c r="I561" cm="1">
        <f t="array" ref="I5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1">
        <f>tblTargetStatus[[#This Row],[CompletedDependencyCount]]</f>
        <v>0</v>
      </c>
      <c r="K561" t="b">
        <f>tblTargetStatus[[#This Row],[CompletedDependencies]]=tblTargetStatus[[#This Row],[TotalDependencies]]</f>
        <v>0</v>
      </c>
      <c r="L561">
        <f>tblTargetStatus[[#This Row],[TotalDependencies]]-tblTargetStatus[[#This Row],[CompletedDependencies]]</f>
        <v>1</v>
      </c>
      <c r="M561" t="str" cm="1">
        <f t="array" ref="M5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building.outpost.maxed</v>
      </c>
      <c r="N561" t="str">
        <f>IF(tblTargetStatus[[#This Row],[FirstMissingDependencyID]]="","",_xlfn.XLOOKUP(tblTargetStatus[[#This Row],[FirstMissingDependencyID]],tblTargets[TargetID],tblTargets[DisplayName],tblTargetStatus[[#This Row],[FirstMissingDependencyID]]))</f>
        <v>Outpost maxed</v>
      </c>
      <c r="O561" s="2" t="str" cm="1">
        <f t="array" ref="O5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blueprint,1000 coin,400 plank,3 ruby,200 steel</v>
      </c>
      <c r="P561" t="str">
        <f>IF(tblTargetStatus[[#This Row],[FirstMissingDependencyID]]="","",_xlfn.XLOOKUP(tblTargetStatus[[#This Row],[FirstMissingDependencyID]],tblTargetStatus[TargetID],tblTargetStatus[Status],""))</f>
        <v>BLOCKED</v>
      </c>
      <c r="Q561" t="str">
        <f>IF(
 tblTargetStatus[[#This Row],[Status]]&lt;&gt;"BLOCKED",
 tblTargetStatus[[#This Row],[Status]],
 IF(
  AND(
   tblTargetStatus[[#This Row],[MissingDependencies]]=1,
   tblTargetStatus[[#This Row],[FirstMissingStatus]]="READY"
  ),
  "ONE AWAY",
  "BLOCKED"
 )
)</f>
        <v>BLOCKED</v>
      </c>
      <c r="R561">
        <f>IF(
 OR(
  tblTargetStatus[[#This Row],[StateType]]="CHARACTER",
  RIGHT(tblTargetStatus[[#This Row],[TargetID]],6)=".maxed"
 ),
 0,
 _xlfn.LET(
  _xlpm.sort,
   _xlfn.XLOOKUP(
    tblTargetStatus[[#This Row],[TargetID]],
    tblChecklist[TargetID],
    tblChecklist[PlayerSort],
    0
   ),
  IF(_xlpm.sort=0,500,_xlpm.sort)
 )
)</f>
        <v>500</v>
      </c>
      <c r="S561" t="str" cm="1">
        <f t="array" ref="S56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Outpost - Arsenal Lvl 2</v>
      </c>
      <c r="T561" t="str">
        <f>_xlfn.XLOOKUP(tblTargetStatus[[#This Row],[TargetID]],tblTargets[TargetID],tblTargets[CompletionMethod],"")</f>
        <v>PLAYER</v>
      </c>
      <c r="U561" t="b">
        <f>COUNTIF(
    tblCost[TargetID],
    tblTargetStatus[[#This Row],[TargetID]]
)&gt;0</f>
        <v>1</v>
      </c>
      <c r="V561" s="81">
        <f>IF(tblTargetStatus[[#This Row],[HasCost]]=FALSE,
"N/A",
_xlfn.XLOOKUP(
tblTargetStatus[[#This Row],[TargetID]],
tblCost[TargetID],
tblCost[FundingPercent],
""
)
)</f>
        <v>0</v>
      </c>
      <c r="W561">
        <f>IF(
COUNTIF(tblCost[TargetID],tblTargetStatus[[#This Row],[TargetID]])=0,
"",
_xlfn.XLOOKUP(
tblTargetStatus[[#This Row],[TargetID]],
tblCost[TargetID],
tblCost[RemainingRequirements],
""
)
)</f>
        <v>5</v>
      </c>
      <c r="X561" s="79" t="b">
        <f>IF(tblTargetStatus[[#This Row],[HasCost]]=FALSE,"N/A",_xlfn.XLOOKUP(
tblTargetStatus[[#This Row],[TargetID]],
tblCost[TargetID],
tblCost[TargetFunded],
TRUE
))</f>
        <v>0</v>
      </c>
      <c r="Y561" t="str" cm="1">
        <f t="array" ref="Y561">_xlfn.TEXTJOIN(
", ",
TRUE,
_xlfn._xlws.FILTER(
tblCost[ResourceID]&amp;": "&amp;tblCost[QuantityRequired],
(tblCost[TargetID]=tblTargetStatus[[#This Row],[TargetID]])*
(tblCost[PlayerPaid]=FALSE),
""
)
)</f>
        <v>blueprint: 40, coin: 1000, plank: 400, ruby: 3, steel: 200</v>
      </c>
      <c r="Z5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1" t="str" cm="1">
        <f t="array" ref="AA56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2" spans="1:27">
      <c r="A562" t="s">
        <v>2182</v>
      </c>
      <c r="B562" t="str">
        <f>_xlfn.XLOOKUP(tblTargetStatus[[#This Row],[TargetID]],tblTargets[TargetID],tblTargets[DisplayName],"")</f>
        <v>Outpost - Arsenal Lvl 2</v>
      </c>
      <c r="C562" t="str">
        <f>IF(tblTargetStatus[[#This Row],[PlayerCompleted]],"COMPLETED",IF(tblTargetStatus[[#This Row],[MissingDependencies]]=0,"READY","BLOCKED"))</f>
        <v>BLOCKED</v>
      </c>
      <c r="D5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2" t="str">
        <f>_xlfn.XLOOKUP(tblTargetStatus[[#This Row],[TargetID]],tblTargets[TargetID],tblTargets[TargetType],"")</f>
        <v>TECH</v>
      </c>
      <c r="F562" t="str">
        <f>_xlfn.XLOOKUP(tblTargetStatus[[#This Row],[TargetID]],tblTargets[TargetID],tblTargets[StateType])</f>
        <v/>
      </c>
      <c r="G562">
        <f>_xlfn.LET(
_xlpm.id,tblTargetStatus[[#This Row],[TargetID]],
_xlpm.depCount,COUNTIF(tblDependencies[TargetID],_xlpm.id),
_xlpm.objCount,COUNTIF(tblQuestObjectives[QuestTargetID],_xlpm.id),
_xlpm.depCount+_xlpm.objCount
)</f>
        <v>2</v>
      </c>
      <c r="H562">
        <f>tblTargetStatus[[#This Row],[DependencyCount]]</f>
        <v>2</v>
      </c>
      <c r="I562" cm="1">
        <f t="array" ref="I5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2">
        <f>tblTargetStatus[[#This Row],[CompletedDependencyCount]]</f>
        <v>0</v>
      </c>
      <c r="K562" t="b">
        <f>tblTargetStatus[[#This Row],[CompletedDependencies]]=tblTargetStatus[[#This Row],[TotalDependencies]]</f>
        <v>0</v>
      </c>
      <c r="L562">
        <f>tblTargetStatus[[#This Row],[TotalDependencies]]-tblTargetStatus[[#This Row],[CompletedDependencies]]</f>
        <v>2</v>
      </c>
      <c r="M562" t="str" cm="1">
        <f t="array" ref="M5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tech.outpost.arsenal_lvl_1</v>
      </c>
      <c r="N562" t="str">
        <f>IF(tblTargetStatus[[#This Row],[FirstMissingDependencyID]]="","",_xlfn.XLOOKUP(tblTargetStatus[[#This Row],[FirstMissingDependencyID]],tblTargets[TargetID],tblTargets[DisplayName],tblTargetStatus[[#This Row],[FirstMissingDependencyID]]))</f>
        <v>Outpost - Arsenal Lvl 1</v>
      </c>
      <c r="O562" t="str" cm="1">
        <f t="array" ref="O5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 blueprint,1500 coin,600 plank,5 ruby,300 steel</v>
      </c>
      <c r="P562" t="str">
        <f>IF(tblTargetStatus[[#This Row],[FirstMissingDependencyID]]="","",_xlfn.XLOOKUP(tblTargetStatus[[#This Row],[FirstMissingDependencyID]],tblTargetStatus[TargetID],tblTargetStatus[Status],""))</f>
        <v>BLOCKED</v>
      </c>
      <c r="Q562" t="str">
        <f>IF(
 tblTargetStatus[[#This Row],[Status]]&lt;&gt;"BLOCKED",
 tblTargetStatus[[#This Row],[Status]],
 IF(
  AND(
   tblTargetStatus[[#This Row],[MissingDependencies]]=1,
   tblTargetStatus[[#This Row],[FirstMissingStatus]]="READY"
  ),
  "ONE AWAY",
  "BLOCKED"
 )
)</f>
        <v>BLOCKED</v>
      </c>
      <c r="R562">
        <f>IF(
 OR(
  tblTargetStatus[[#This Row],[StateType]]="CHARACTER",
  RIGHT(tblTargetStatus[[#This Row],[TargetID]],6)=".maxed"
 ),
 0,
 _xlfn.LET(
  _xlpm.sort,
   _xlfn.XLOOKUP(
    tblTargetStatus[[#This Row],[TargetID]],
    tblChecklist[TargetID],
    tblChecklist[PlayerSort],
    0
   ),
  IF(_xlpm.sort=0,500,_xlpm.sort)
 )
)</f>
        <v>500</v>
      </c>
      <c r="S562" t="str" cm="1">
        <f t="array" ref="S56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62" t="str">
        <f>_xlfn.XLOOKUP(tblTargetStatus[[#This Row],[TargetID]],tblTargets[TargetID],tblTargets[CompletionMethod],"")</f>
        <v>PLAYER</v>
      </c>
      <c r="U562" t="b">
        <f>COUNTIF(
    tblCost[TargetID],
    tblTargetStatus[[#This Row],[TargetID]]
)&gt;0</f>
        <v>1</v>
      </c>
      <c r="V562" s="81">
        <f>IF(tblTargetStatus[[#This Row],[HasCost]]=FALSE,
"N/A",
_xlfn.XLOOKUP(
tblTargetStatus[[#This Row],[TargetID]],
tblCost[TargetID],
tblCost[FundingPercent],
""
)
)</f>
        <v>0</v>
      </c>
      <c r="W562">
        <f>IF(
COUNTIF(tblCost[TargetID],tblTargetStatus[[#This Row],[TargetID]])=0,
"",
_xlfn.XLOOKUP(
tblTargetStatus[[#This Row],[TargetID]],
tblCost[TargetID],
tblCost[RemainingRequirements],
""
)
)</f>
        <v>5</v>
      </c>
      <c r="X562" s="79" t="b">
        <f>IF(tblTargetStatus[[#This Row],[HasCost]]=FALSE,"N/A",_xlfn.XLOOKUP(
tblTargetStatus[[#This Row],[TargetID]],
tblCost[TargetID],
tblCost[TargetFunded],
TRUE
))</f>
        <v>0</v>
      </c>
      <c r="Y562" t="str" cm="1">
        <f t="array" ref="Y562">_xlfn.TEXTJOIN(
", ",
TRUE,
_xlfn._xlws.FILTER(
tblCost[ResourceID]&amp;": "&amp;tblCost[QuantityRequired],
(tblCost[TargetID]=tblTargetStatus[[#This Row],[TargetID]])*
(tblCost[PlayerPaid]=FALSE),
""
)
)</f>
        <v>blueprint: 60, coin: 1500, plank: 600, ruby: 5, steel: 300</v>
      </c>
      <c r="Z5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2" t="str" cm="1">
        <f t="array" ref="AA56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3" spans="1:27">
      <c r="A563" t="s">
        <v>2186</v>
      </c>
      <c r="B563" t="str">
        <f>_xlfn.XLOOKUP(tblTargetStatus[[#This Row],[TargetID]],tblTargets[TargetID],tblTargets[DisplayName],"")</f>
        <v>Outpost - Futures Contracts</v>
      </c>
      <c r="C563" t="str">
        <f>IF(tblTargetStatus[[#This Row],[PlayerCompleted]],"COMPLETED",IF(tblTargetStatus[[#This Row],[MissingDependencies]]=0,"READY","BLOCKED"))</f>
        <v>BLOCKED</v>
      </c>
      <c r="D5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3" t="str">
        <f>_xlfn.XLOOKUP(tblTargetStatus[[#This Row],[TargetID]],tblTargets[TargetID],tblTargets[TargetType],"")</f>
        <v>TECH</v>
      </c>
      <c r="F563" t="str">
        <f>_xlfn.XLOOKUP(tblTargetStatus[[#This Row],[TargetID]],tblTargets[TargetID],tblTargets[StateType])</f>
        <v/>
      </c>
      <c r="G563">
        <f>_xlfn.LET(
_xlpm.id,tblTargetStatus[[#This Row],[TargetID]],
_xlpm.depCount,COUNTIF(tblDependencies[TargetID],_xlpm.id),
_xlpm.objCount,COUNTIF(tblQuestObjectives[QuestTargetID],_xlpm.id),
_xlpm.depCount+_xlpm.objCount
)</f>
        <v>2</v>
      </c>
      <c r="H563">
        <f>tblTargetStatus[[#This Row],[DependencyCount]]</f>
        <v>2</v>
      </c>
      <c r="I563" cm="1">
        <f t="array" ref="I5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3">
        <f>tblTargetStatus[[#This Row],[CompletedDependencyCount]]</f>
        <v>0</v>
      </c>
      <c r="K563" t="b">
        <f>tblTargetStatus[[#This Row],[CompletedDependencies]]=tblTargetStatus[[#This Row],[TotalDependencies]]</f>
        <v>0</v>
      </c>
      <c r="L563">
        <f>tblTargetStatus[[#This Row],[TotalDependencies]]-tblTargetStatus[[#This Row],[CompletedDependencies]]</f>
        <v>2</v>
      </c>
      <c r="M563" t="str" cm="1">
        <f t="array" ref="M5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tech.outpost.optional_contracts</v>
      </c>
      <c r="N563" t="str">
        <f>IF(tblTargetStatus[[#This Row],[FirstMissingDependencyID]]="","",_xlfn.XLOOKUP(tblTargetStatus[[#This Row],[FirstMissingDependencyID]],tblTargets[TargetID],tblTargets[DisplayName],tblTargetStatus[[#This Row],[FirstMissingDependencyID]]))</f>
        <v>Outpost - Optional Contracts</v>
      </c>
      <c r="O563" t="str" cm="1">
        <f t="array" ref="O5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blueprint,1000 coin,30 paper,50 rice,5 ruby,10 tuna</v>
      </c>
      <c r="P563" t="str">
        <f>IF(tblTargetStatus[[#This Row],[FirstMissingDependencyID]]="","",_xlfn.XLOOKUP(tblTargetStatus[[#This Row],[FirstMissingDependencyID]],tblTargetStatus[TargetID],tblTargetStatus[Status],""))</f>
        <v>BLOCKED</v>
      </c>
      <c r="Q563" t="str">
        <f>IF(
 tblTargetStatus[[#This Row],[Status]]&lt;&gt;"BLOCKED",
 tblTargetStatus[[#This Row],[Status]],
 IF(
  AND(
   tblTargetStatus[[#This Row],[MissingDependencies]]=1,
   tblTargetStatus[[#This Row],[FirstMissingStatus]]="READY"
  ),
  "ONE AWAY",
  "BLOCKED"
 )
)</f>
        <v>BLOCKED</v>
      </c>
      <c r="R563">
        <f>IF(
 OR(
  tblTargetStatus[[#This Row],[StateType]]="CHARACTER",
  RIGHT(tblTargetStatus[[#This Row],[TargetID]],6)=".maxed"
 ),
 0,
 _xlfn.LET(
  _xlpm.sort,
   _xlfn.XLOOKUP(
    tblTargetStatus[[#This Row],[TargetID]],
    tblChecklist[TargetID],
    tblChecklist[PlayerSort],
    0
   ),
  IF(_xlpm.sort=0,500,_xlpm.sort)
 )
)</f>
        <v>500</v>
      </c>
      <c r="S563" t="str" cm="1">
        <f t="array" ref="S56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63" t="str">
        <f>_xlfn.XLOOKUP(tblTargetStatus[[#This Row],[TargetID]],tblTargets[TargetID],tblTargets[CompletionMethod],"")</f>
        <v>PLAYER</v>
      </c>
      <c r="U563" t="b">
        <f>COUNTIF(
    tblCost[TargetID],
    tblTargetStatus[[#This Row],[TargetID]]
)&gt;0</f>
        <v>1</v>
      </c>
      <c r="V563" s="81">
        <f>IF(tblTargetStatus[[#This Row],[HasCost]]=FALSE,
"N/A",
_xlfn.XLOOKUP(
tblTargetStatus[[#This Row],[TargetID]],
tblCost[TargetID],
tblCost[FundingPercent],
""
)
)</f>
        <v>0</v>
      </c>
      <c r="W563">
        <f>IF(
COUNTIF(tblCost[TargetID],tblTargetStatus[[#This Row],[TargetID]])=0,
"",
_xlfn.XLOOKUP(
tblTargetStatus[[#This Row],[TargetID]],
tblCost[TargetID],
tblCost[RemainingRequirements],
""
)
)</f>
        <v>6</v>
      </c>
      <c r="X563" s="79" t="b">
        <f>IF(tblTargetStatus[[#This Row],[HasCost]]=FALSE,"N/A",_xlfn.XLOOKUP(
tblTargetStatus[[#This Row],[TargetID]],
tblCost[TargetID],
tblCost[TargetFunded],
TRUE
))</f>
        <v>0</v>
      </c>
      <c r="Y563" t="str" cm="1">
        <f t="array" ref="Y563">_xlfn.TEXTJOIN(
", ",
TRUE,
_xlfn._xlws.FILTER(
tblCost[ResourceID]&amp;": "&amp;tblCost[QuantityRequired],
(tblCost[TargetID]=tblTargetStatus[[#This Row],[TargetID]])*
(tblCost[PlayerPaid]=FALSE),
""
)
)</f>
        <v>blueprint: 40, coin: 1000, paper: 30, rice: 50, ruby: 5, tuna: 10</v>
      </c>
      <c r="Z5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3" t="str" cm="1">
        <f t="array" ref="AA56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4" spans="1:27">
      <c r="A564" t="s">
        <v>2184</v>
      </c>
      <c r="B564" t="str">
        <f>_xlfn.XLOOKUP(tblTargetStatus[[#This Row],[TargetID]],tblTargets[TargetID],tblTargets[DisplayName],"")</f>
        <v>Outpost - Optional Contracts</v>
      </c>
      <c r="C564" t="str">
        <f>IF(tblTargetStatus[[#This Row],[PlayerCompleted]],"COMPLETED",IF(tblTargetStatus[[#This Row],[MissingDependencies]]=0,"READY","BLOCKED"))</f>
        <v>BLOCKED</v>
      </c>
      <c r="D5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4" t="str">
        <f>_xlfn.XLOOKUP(tblTargetStatus[[#This Row],[TargetID]],tblTargets[TargetID],tblTargets[TargetType],"")</f>
        <v>TECH</v>
      </c>
      <c r="F564" t="str">
        <f>_xlfn.XLOOKUP(tblTargetStatus[[#This Row],[TargetID]],tblTargets[TargetID],tblTargets[StateType])</f>
        <v/>
      </c>
      <c r="G564">
        <f>_xlfn.LET(
_xlpm.id,tblTargetStatus[[#This Row],[TargetID]],
_xlpm.depCount,COUNTIF(tblDependencies[TargetID],_xlpm.id),
_xlpm.objCount,COUNTIF(tblQuestObjectives[QuestTargetID],_xlpm.id),
_xlpm.depCount+_xlpm.objCount
)</f>
        <v>1</v>
      </c>
      <c r="H564">
        <f>tblTargetStatus[[#This Row],[DependencyCount]]</f>
        <v>1</v>
      </c>
      <c r="I564" cm="1">
        <f t="array" ref="I5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4">
        <f>tblTargetStatus[[#This Row],[CompletedDependencyCount]]</f>
        <v>0</v>
      </c>
      <c r="K564" t="b">
        <f>tblTargetStatus[[#This Row],[CompletedDependencies]]=tblTargetStatus[[#This Row],[TotalDependencies]]</f>
        <v>0</v>
      </c>
      <c r="L564">
        <f>tblTargetStatus[[#This Row],[TotalDependencies]]-tblTargetStatus[[#This Row],[CompletedDependencies]]</f>
        <v>1</v>
      </c>
      <c r="M564" t="str" cm="1">
        <f t="array" ref="M5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building.outpost.maxed</v>
      </c>
      <c r="N564" t="str">
        <f>IF(tblTargetStatus[[#This Row],[FirstMissingDependencyID]]="","",_xlfn.XLOOKUP(tblTargetStatus[[#This Row],[FirstMissingDependencyID]],tblTargets[TargetID],tblTargets[DisplayName],tblTargetStatus[[#This Row],[FirstMissingDependencyID]]))</f>
        <v>Outpost maxed</v>
      </c>
      <c r="O564" s="2" t="str" cm="1">
        <f t="array" ref="O5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1000 coin,25 oil,40 page,20 paper,3 ruby</v>
      </c>
      <c r="P564" t="str">
        <f>IF(tblTargetStatus[[#This Row],[FirstMissingDependencyID]]="","",_xlfn.XLOOKUP(tblTargetStatus[[#This Row],[FirstMissingDependencyID]],tblTargetStatus[TargetID],tblTargetStatus[Status],""))</f>
        <v>BLOCKED</v>
      </c>
      <c r="Q564" t="str">
        <f>IF(
 tblTargetStatus[[#This Row],[Status]]&lt;&gt;"BLOCKED",
 tblTargetStatus[[#This Row],[Status]],
 IF(
  AND(
   tblTargetStatus[[#This Row],[MissingDependencies]]=1,
   tblTargetStatus[[#This Row],[FirstMissingStatus]]="READY"
  ),
  "ONE AWAY",
  "BLOCKED"
 )
)</f>
        <v>BLOCKED</v>
      </c>
      <c r="R564">
        <f>IF(
 OR(
  tblTargetStatus[[#This Row],[StateType]]="CHARACTER",
  RIGHT(tblTargetStatus[[#This Row],[TargetID]],6)=".maxed"
 ),
 0,
 _xlfn.LET(
  _xlpm.sort,
   _xlfn.XLOOKUP(
    tblTargetStatus[[#This Row],[TargetID]],
    tblChecklist[TargetID],
    tblChecklist[PlayerSort],
    0
   ),
  IF(_xlpm.sort=0,500,_xlpm.sort)
 )
)</f>
        <v>500</v>
      </c>
      <c r="S564" t="str" cm="1">
        <f t="array" ref="S56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Outpost - Futures Contracts</v>
      </c>
      <c r="T564" t="str">
        <f>_xlfn.XLOOKUP(tblTargetStatus[[#This Row],[TargetID]],tblTargets[TargetID],tblTargets[CompletionMethod],"")</f>
        <v>PLAYER</v>
      </c>
      <c r="U564" t="b">
        <f>COUNTIF(
    tblCost[TargetID],
    tblTargetStatus[[#This Row],[TargetID]]
)&gt;0</f>
        <v>1</v>
      </c>
      <c r="V564" s="81">
        <f>IF(tblTargetStatus[[#This Row],[HasCost]]=FALSE,
"N/A",
_xlfn.XLOOKUP(
tblTargetStatus[[#This Row],[TargetID]],
tblCost[TargetID],
tblCost[FundingPercent],
""
)
)</f>
        <v>0</v>
      </c>
      <c r="W564">
        <f>IF(
COUNTIF(tblCost[TargetID],tblTargetStatus[[#This Row],[TargetID]])=0,
"",
_xlfn.XLOOKUP(
tblTargetStatus[[#This Row],[TargetID]],
tblCost[TargetID],
tblCost[RemainingRequirements],
""
)
)</f>
        <v>5</v>
      </c>
      <c r="X564" s="79" t="b">
        <f>IF(tblTargetStatus[[#This Row],[HasCost]]=FALSE,"N/A",_xlfn.XLOOKUP(
tblTargetStatus[[#This Row],[TargetID]],
tblCost[TargetID],
tblCost[TargetFunded],
TRUE
))</f>
        <v>0</v>
      </c>
      <c r="Y564" t="str" cm="1">
        <f t="array" ref="Y564">_xlfn.TEXTJOIN(
", ",
TRUE,
_xlfn._xlws.FILTER(
tblCost[ResourceID]&amp;": "&amp;tblCost[QuantityRequired],
(tblCost[TargetID]=tblTargetStatus[[#This Row],[TargetID]])*
(tblCost[PlayerPaid]=FALSE),
""
)
)</f>
        <v>coin: 1000, oil: 25, page: 40, paper: 20, ruby: 3</v>
      </c>
      <c r="Z5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4" t="str" cm="1">
        <f t="array" ref="AA56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5" spans="1:27">
      <c r="A565" t="s">
        <v>2178</v>
      </c>
      <c r="B565" t="str">
        <f>_xlfn.XLOOKUP(tblTargetStatus[[#This Row],[TargetID]],tblTargets[TargetID],tblTargets[DisplayName],"")</f>
        <v>Outpost - Sayonara Tax</v>
      </c>
      <c r="C565" t="str">
        <f>IF(tblTargetStatus[[#This Row],[PlayerCompleted]],"COMPLETED",IF(tblTargetStatus[[#This Row],[MissingDependencies]]=0,"READY","BLOCKED"))</f>
        <v>BLOCKED</v>
      </c>
      <c r="D5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5" t="str">
        <f>_xlfn.XLOOKUP(tblTargetStatus[[#This Row],[TargetID]],tblTargets[TargetID],tblTargets[TargetType],"")</f>
        <v>TECH</v>
      </c>
      <c r="F565" t="str">
        <f>_xlfn.XLOOKUP(tblTargetStatus[[#This Row],[TargetID]],tblTargets[TargetID],tblTargets[StateType])</f>
        <v/>
      </c>
      <c r="G565">
        <f>_xlfn.LET(
_xlpm.id,tblTargetStatus[[#This Row],[TargetID]],
_xlpm.depCount,COUNTIF(tblDependencies[TargetID],_xlpm.id),
_xlpm.objCount,COUNTIF(tblQuestObjectives[QuestTargetID],_xlpm.id),
_xlpm.depCount+_xlpm.objCount
)</f>
        <v>1</v>
      </c>
      <c r="H565">
        <f>tblTargetStatus[[#This Row],[DependencyCount]]</f>
        <v>1</v>
      </c>
      <c r="I565" cm="1">
        <f t="array" ref="I5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5">
        <f>tblTargetStatus[[#This Row],[CompletedDependencyCount]]</f>
        <v>0</v>
      </c>
      <c r="K565" t="b">
        <f>tblTargetStatus[[#This Row],[CompletedDependencies]]=tblTargetStatus[[#This Row],[TotalDependencies]]</f>
        <v>0</v>
      </c>
      <c r="L565">
        <f>tblTargetStatus[[#This Row],[TotalDependencies]]-tblTargetStatus[[#This Row],[CompletedDependencies]]</f>
        <v>1</v>
      </c>
      <c r="M565" t="str" cm="1">
        <f t="array" ref="M5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building.outpost.maxed</v>
      </c>
      <c r="N565" t="str">
        <f>IF(tblTargetStatus[[#This Row],[FirstMissingDependencyID]]="","",_xlfn.XLOOKUP(tblTargetStatus[[#This Row],[FirstMissingDependencyID]],tblTargets[TargetID],tblTargets[DisplayName],tblTargetStatus[[#This Row],[FirstMissingDependencyID]]))</f>
        <v>Outpost maxed</v>
      </c>
      <c r="O565" s="2" t="str" cm="1">
        <f t="array" ref="O5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blueprint,400 coin,20 paper,2 ruby</v>
      </c>
      <c r="P565" t="str">
        <f>IF(tblTargetStatus[[#This Row],[FirstMissingDependencyID]]="","",_xlfn.XLOOKUP(tblTargetStatus[[#This Row],[FirstMissingDependencyID]],tblTargetStatus[TargetID],tblTargetStatus[Status],""))</f>
        <v>BLOCKED</v>
      </c>
      <c r="Q565" t="str">
        <f>IF(
 tblTargetStatus[[#This Row],[Status]]&lt;&gt;"BLOCKED",
 tblTargetStatus[[#This Row],[Status]],
 IF(
  AND(
   tblTargetStatus[[#This Row],[MissingDependencies]]=1,
   tblTargetStatus[[#This Row],[FirstMissingStatus]]="READY"
  ),
  "ONE AWAY",
  "BLOCKED"
 )
)</f>
        <v>BLOCKED</v>
      </c>
      <c r="R565">
        <f>IF(
 OR(
  tblTargetStatus[[#This Row],[StateType]]="CHARACTER",
  RIGHT(tblTargetStatus[[#This Row],[TargetID]],6)=".maxed"
 ),
 0,
 _xlfn.LET(
  _xlpm.sort,
   _xlfn.XLOOKUP(
    tblTargetStatus[[#This Row],[TargetID]],
    tblChecklist[TargetID],
    tblChecklist[PlayerSort],
    0
   ),
  IF(_xlpm.sort=0,500,_xlpm.sort)
 )
)</f>
        <v>500</v>
      </c>
      <c r="S565" t="str" cm="1">
        <f t="array" ref="S56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65" t="str">
        <f>_xlfn.XLOOKUP(tblTargetStatus[[#This Row],[TargetID]],tblTargets[TargetID],tblTargets[CompletionMethod],"")</f>
        <v>PLAYER</v>
      </c>
      <c r="U565" t="b">
        <f>COUNTIF(
    tblCost[TargetID],
    tblTargetStatus[[#This Row],[TargetID]]
)&gt;0</f>
        <v>1</v>
      </c>
      <c r="V565" s="81">
        <f>IF(tblTargetStatus[[#This Row],[HasCost]]=FALSE,
"N/A",
_xlfn.XLOOKUP(
tblTargetStatus[[#This Row],[TargetID]],
tblCost[TargetID],
tblCost[FundingPercent],
""
)
)</f>
        <v>0</v>
      </c>
      <c r="W565">
        <f>IF(
COUNTIF(tblCost[TargetID],tblTargetStatus[[#This Row],[TargetID]])=0,
"",
_xlfn.XLOOKUP(
tblTargetStatus[[#This Row],[TargetID]],
tblCost[TargetID],
tblCost[RemainingRequirements],
""
)
)</f>
        <v>4</v>
      </c>
      <c r="X565" s="79" t="b">
        <f>IF(tblTargetStatus[[#This Row],[HasCost]]=FALSE,"N/A",_xlfn.XLOOKUP(
tblTargetStatus[[#This Row],[TargetID]],
tblCost[TargetID],
tblCost[TargetFunded],
TRUE
))</f>
        <v>0</v>
      </c>
      <c r="Y565" t="str" cm="1">
        <f t="array" ref="Y565">_xlfn.TEXTJOIN(
", ",
TRUE,
_xlfn._xlws.FILTER(
tblCost[ResourceID]&amp;": "&amp;tblCost[QuantityRequired],
(tblCost[TargetID]=tblTargetStatus[[#This Row],[TargetID]])*
(tblCost[PlayerPaid]=FALSE),
""
)
)</f>
        <v>blueprint: 30, coin: 400, paper: 20, ruby: 2</v>
      </c>
      <c r="Z5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5" t="str" cm="1">
        <f t="array" ref="AA56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6" spans="1:27">
      <c r="A566" t="s">
        <v>2188</v>
      </c>
      <c r="B566" t="str">
        <f>_xlfn.XLOOKUP(tblTargetStatus[[#This Row],[TargetID]],tblTargets[TargetID],tblTargets[DisplayName],"")</f>
        <v>Outpost - Tax Return On Floppy Disk</v>
      </c>
      <c r="C566" t="str">
        <f>IF(tblTargetStatus[[#This Row],[PlayerCompleted]],"COMPLETED",IF(tblTargetStatus[[#This Row],[MissingDependencies]]=0,"READY","BLOCKED"))</f>
        <v>BLOCKED</v>
      </c>
      <c r="D5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6" t="str">
        <f>_xlfn.XLOOKUP(tblTargetStatus[[#This Row],[TargetID]],tblTargets[TargetID],tblTargets[TargetType],"")</f>
        <v>TECH</v>
      </c>
      <c r="F566" t="str">
        <f>_xlfn.XLOOKUP(tblTargetStatus[[#This Row],[TargetID]],tblTargets[TargetID],tblTargets[StateType])</f>
        <v/>
      </c>
      <c r="G566">
        <f>_xlfn.LET(
_xlpm.id,tblTargetStatus[[#This Row],[TargetID]],
_xlpm.depCount,COUNTIF(tblDependencies[TargetID],_xlpm.id),
_xlpm.objCount,COUNTIF(tblQuestObjectives[QuestTargetID],_xlpm.id),
_xlpm.depCount+_xlpm.objCount
)</f>
        <v>3</v>
      </c>
      <c r="H566">
        <f>tblTargetStatus[[#This Row],[DependencyCount]]</f>
        <v>3</v>
      </c>
      <c r="I566" cm="1">
        <f t="array" ref="I5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6">
        <f>tblTargetStatus[[#This Row],[CompletedDependencyCount]]</f>
        <v>0</v>
      </c>
      <c r="K566" t="b">
        <f>tblTargetStatus[[#This Row],[CompletedDependencies]]=tblTargetStatus[[#This Row],[TotalDependencies]]</f>
        <v>0</v>
      </c>
      <c r="L566">
        <f>tblTargetStatus[[#This Row],[TotalDependencies]]-tblTargetStatus[[#This Row],[CompletedDependencies]]</f>
        <v>3</v>
      </c>
      <c r="M566" t="str" cm="1">
        <f t="array" ref="M5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quest.ahead_of_time_chapter_4.finished</v>
      </c>
      <c r="N566" t="str">
        <f>IF(tblTargetStatus[[#This Row],[FirstMissingDependencyID]]="","",_xlfn.XLOOKUP(tblTargetStatus[[#This Row],[FirstMissingDependencyID]],tblTargets[TargetID],tblTargets[DisplayName],tblTargetStatus[[#This Row],[FirstMissingDependencyID]]))</f>
        <v>Ahead of Time Chapter 4 Finished</v>
      </c>
      <c r="O566" t="str" cm="1">
        <f t="array" ref="O5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blueprint,400 coin,40 floppy,30 microchip,3 ruby,200 steel</v>
      </c>
      <c r="P566" t="str">
        <f>IF(tblTargetStatus[[#This Row],[FirstMissingDependencyID]]="","",_xlfn.XLOOKUP(tblTargetStatus[[#This Row],[FirstMissingDependencyID]],tblTargetStatus[TargetID],tblTargetStatus[Status],""))</f>
        <v>BLOCKED</v>
      </c>
      <c r="Q566" t="str">
        <f>IF(
 tblTargetStatus[[#This Row],[Status]]&lt;&gt;"BLOCKED",
 tblTargetStatus[[#This Row],[Status]],
 IF(
  AND(
   tblTargetStatus[[#This Row],[MissingDependencies]]=1,
   tblTargetStatus[[#This Row],[FirstMissingStatus]]="READY"
  ),
  "ONE AWAY",
  "BLOCKED"
 )
)</f>
        <v>BLOCKED</v>
      </c>
      <c r="R566">
        <f>IF(
 OR(
  tblTargetStatus[[#This Row],[StateType]]="CHARACTER",
  RIGHT(tblTargetStatus[[#This Row],[TargetID]],6)=".maxed"
 ),
 0,
 _xlfn.LET(
  _xlpm.sort,
   _xlfn.XLOOKUP(
    tblTargetStatus[[#This Row],[TargetID]],
    tblChecklist[TargetID],
    tblChecklist[PlayerSort],
    0
   ),
  IF(_xlpm.sort=0,500,_xlpm.sort)
 )
)</f>
        <v>500</v>
      </c>
      <c r="S566" t="str" cm="1">
        <f t="array" ref="S56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66" t="str">
        <f>_xlfn.XLOOKUP(tblTargetStatus[[#This Row],[TargetID]],tblTargets[TargetID],tblTargets[CompletionMethod],"")</f>
        <v>PLAYER</v>
      </c>
      <c r="U566" t="b">
        <f>COUNTIF(
    tblCost[TargetID],
    tblTargetStatus[[#This Row],[TargetID]]
)&gt;0</f>
        <v>1</v>
      </c>
      <c r="V566" s="81">
        <f>IF(tblTargetStatus[[#This Row],[HasCost]]=FALSE,
"N/A",
_xlfn.XLOOKUP(
tblTargetStatus[[#This Row],[TargetID]],
tblCost[TargetID],
tblCost[FundingPercent],
""
)
)</f>
        <v>0</v>
      </c>
      <c r="W566">
        <f>IF(
COUNTIF(tblCost[TargetID],tblTargetStatus[[#This Row],[TargetID]])=0,
"",
_xlfn.XLOOKUP(
tblTargetStatus[[#This Row],[TargetID]],
tblCost[TargetID],
tblCost[RemainingRequirements],
""
)
)</f>
        <v>6</v>
      </c>
      <c r="X566" s="79" t="b">
        <f>IF(tblTargetStatus[[#This Row],[HasCost]]=FALSE,"N/A",_xlfn.XLOOKUP(
tblTargetStatus[[#This Row],[TargetID]],
tblCost[TargetID],
tblCost[TargetFunded],
TRUE
))</f>
        <v>0</v>
      </c>
      <c r="Y566" t="str" cm="1">
        <f t="array" ref="Y566">_xlfn.TEXTJOIN(
", ",
TRUE,
_xlfn._xlws.FILTER(
tblCost[ResourceID]&amp;": "&amp;tblCost[QuantityRequired],
(tblCost[TargetID]=tblTargetStatus[[#This Row],[TargetID]])*
(tblCost[PlayerPaid]=FALSE),
""
)
)</f>
        <v>blueprint: 30, coin: 400, floppy: 40, microchip: 30, ruby: 3, steel: 200</v>
      </c>
      <c r="Z5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6" t="str" cm="1">
        <f t="array" ref="AA56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7" spans="1:27">
      <c r="A567" t="s">
        <v>2190</v>
      </c>
      <c r="B567" t="str">
        <f>_xlfn.XLOOKUP(tblTargetStatus[[#This Row],[TargetID]],tblTargets[TargetID],tblTargets[DisplayName],"")</f>
        <v>Rock Garden - Rake</v>
      </c>
      <c r="C567" t="str">
        <f>IF(tblTargetStatus[[#This Row],[PlayerCompleted]],"COMPLETED",IF(tblTargetStatus[[#This Row],[MissingDependencies]]=0,"READY","BLOCKED"))</f>
        <v>BLOCKED</v>
      </c>
      <c r="D5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7" t="str">
        <f>_xlfn.XLOOKUP(tblTargetStatus[[#This Row],[TargetID]],tblTargets[TargetID],tblTargets[TargetType],"")</f>
        <v>TECH</v>
      </c>
      <c r="F567" t="str">
        <f>_xlfn.XLOOKUP(tblTargetStatus[[#This Row],[TargetID]],tblTargets[TargetID],tblTargets[StateType])</f>
        <v/>
      </c>
      <c r="G567">
        <f>_xlfn.LET(
_xlpm.id,tblTargetStatus[[#This Row],[TargetID]],
_xlpm.depCount,COUNTIF(tblDependencies[TargetID],_xlpm.id),
_xlpm.objCount,COUNTIF(tblQuestObjectives[QuestTargetID],_xlpm.id),
_xlpm.depCount+_xlpm.objCount
)</f>
        <v>1</v>
      </c>
      <c r="H567">
        <f>tblTargetStatus[[#This Row],[DependencyCount]]</f>
        <v>1</v>
      </c>
      <c r="I567" cm="1">
        <f t="array" ref="I5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7">
        <f>tblTargetStatus[[#This Row],[CompletedDependencyCount]]</f>
        <v>0</v>
      </c>
      <c r="K567" t="b">
        <f>tblTargetStatus[[#This Row],[CompletedDependencies]]=tblTargetStatus[[#This Row],[TotalDependencies]]</f>
        <v>0</v>
      </c>
      <c r="L567">
        <f>tblTargetStatus[[#This Row],[TotalDependencies]]-tblTargetStatus[[#This Row],[CompletedDependencies]]</f>
        <v>1</v>
      </c>
      <c r="M567" t="str" cm="1">
        <f t="array" ref="M5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building.rock_garden.maxed</v>
      </c>
      <c r="N567" t="str">
        <f>IF(tblTargetStatus[[#This Row],[FirstMissingDependencyID]]="","",_xlfn.XLOOKUP(tblTargetStatus[[#This Row],[FirstMissingDependencyID]],tblTargets[TargetID],tblTargets[DisplayName],tblTargetStatus[[#This Row],[FirstMissingDependencyID]]))</f>
        <v>Rock Garden maxed</v>
      </c>
      <c r="O567" s="2" t="str" cm="1">
        <f t="array" ref="O5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coin,50 miron,6 ruby</v>
      </c>
      <c r="P567" t="str">
        <f>IF(tblTargetStatus[[#This Row],[FirstMissingDependencyID]]="","",_xlfn.XLOOKUP(tblTargetStatus[[#This Row],[FirstMissingDependencyID]],tblTargetStatus[TargetID],tblTargetStatus[Status],""))</f>
        <v>BLOCKED</v>
      </c>
      <c r="Q567" t="str">
        <f>IF(
 tblTargetStatus[[#This Row],[Status]]&lt;&gt;"BLOCKED",
 tblTargetStatus[[#This Row],[Status]],
 IF(
  AND(
   tblTargetStatus[[#This Row],[MissingDependencies]]=1,
   tblTargetStatus[[#This Row],[FirstMissingStatus]]="READY"
  ),
  "ONE AWAY",
  "BLOCKED"
 )
)</f>
        <v>BLOCKED</v>
      </c>
      <c r="R567">
        <f>IF(
 OR(
  tblTargetStatus[[#This Row],[StateType]]="CHARACTER",
  RIGHT(tblTargetStatus[[#This Row],[TargetID]],6)=".maxed"
 ),
 0,
 _xlfn.LET(
  _xlpm.sort,
   _xlfn.XLOOKUP(
    tblTargetStatus[[#This Row],[TargetID]],
    tblChecklist[TargetID],
    tblChecklist[PlayerSort],
    0
   ),
  IF(_xlpm.sort=0,500,_xlpm.sort)
 )
)</f>
        <v>500</v>
      </c>
      <c r="S567" t="str" cm="1">
        <f t="array" ref="S56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67" t="str">
        <f>_xlfn.XLOOKUP(tblTargetStatus[[#This Row],[TargetID]],tblTargets[TargetID],tblTargets[CompletionMethod],"")</f>
        <v>PLAYER</v>
      </c>
      <c r="U567" t="b">
        <f>COUNTIF(
    tblCost[TargetID],
    tblTargetStatus[[#This Row],[TargetID]]
)&gt;0</f>
        <v>1</v>
      </c>
      <c r="V567" s="81">
        <f>IF(tblTargetStatus[[#This Row],[HasCost]]=FALSE,
"N/A",
_xlfn.XLOOKUP(
tblTargetStatus[[#This Row],[TargetID]],
tblCost[TargetID],
tblCost[FundingPercent],
""
)
)</f>
        <v>0</v>
      </c>
      <c r="W567">
        <f>IF(
COUNTIF(tblCost[TargetID],tblTargetStatus[[#This Row],[TargetID]])=0,
"",
_xlfn.XLOOKUP(
tblTargetStatus[[#This Row],[TargetID]],
tblCost[TargetID],
tblCost[RemainingRequirements],
""
)
)</f>
        <v>4</v>
      </c>
      <c r="X567" s="79" t="b">
        <f>IF(tblTargetStatus[[#This Row],[HasCost]]=FALSE,"N/A",_xlfn.XLOOKUP(
tblTargetStatus[[#This Row],[TargetID]],
tblCost[TargetID],
tblCost[TargetFunded],
TRUE
))</f>
        <v>0</v>
      </c>
      <c r="Y567" t="str" cm="1">
        <f t="array" ref="Y567">_xlfn.TEXTJOIN(
", ",
TRUE,
_xlfn._xlws.FILTER(
tblCost[ResourceID]&amp;": "&amp;tblCost[QuantityRequired],
(tblCost[TargetID]=tblTargetStatus[[#This Row],[TargetID]])*
(tblCost[PlayerPaid]=FALSE),
""
)
)</f>
        <v>blueprint: 30, coin: 1500, miron: 50, ruby: 6</v>
      </c>
      <c r="Z5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7" t="str" cm="1">
        <f t="array" ref="AA56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8" spans="1:27" ht="29">
      <c r="A568" t="s">
        <v>2194</v>
      </c>
      <c r="B568" t="str">
        <f>_xlfn.XLOOKUP(tblTargetStatus[[#This Row],[TargetID]],tblTargets[TargetID],tblTargets[DisplayName],"")</f>
        <v>Shop - Glass Recycling</v>
      </c>
      <c r="C568" t="str">
        <f>IF(tblTargetStatus[[#This Row],[PlayerCompleted]],"COMPLETED",IF(tblTargetStatus[[#This Row],[MissingDependencies]]=0,"READY","BLOCKED"))</f>
        <v>BLOCKED</v>
      </c>
      <c r="D5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8" t="str">
        <f>_xlfn.XLOOKUP(tblTargetStatus[[#This Row],[TargetID]],tblTargets[TargetID],tblTargets[TargetType],"")</f>
        <v>TECH</v>
      </c>
      <c r="F568" t="str">
        <f>_xlfn.XLOOKUP(tblTargetStatus[[#This Row],[TargetID]],tblTargets[TargetID],tblTargets[StateType])</f>
        <v/>
      </c>
      <c r="G568">
        <f>_xlfn.LET(
_xlpm.id,tblTargetStatus[[#This Row],[TargetID]],
_xlpm.depCount,COUNTIF(tblDependencies[TargetID],_xlpm.id),
_xlpm.objCount,COUNTIF(tblQuestObjectives[QuestTargetID],_xlpm.id),
_xlpm.depCount+_xlpm.objCount
)</f>
        <v>1</v>
      </c>
      <c r="H568">
        <f>tblTargetStatus[[#This Row],[DependencyCount]]</f>
        <v>1</v>
      </c>
      <c r="I568" cm="1">
        <f t="array" ref="I5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8">
        <f>tblTargetStatus[[#This Row],[CompletedDependencyCount]]</f>
        <v>0</v>
      </c>
      <c r="K568" t="b">
        <f>tblTargetStatus[[#This Row],[CompletedDependencies]]=tblTargetStatus[[#This Row],[TotalDependencies]]</f>
        <v>0</v>
      </c>
      <c r="L568">
        <f>tblTargetStatus[[#This Row],[TotalDependencies]]-tblTargetStatus[[#This Row],[CompletedDependencies]]</f>
        <v>1</v>
      </c>
      <c r="M568" t="str" cm="1">
        <f t="array" ref="M5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building.shop.maxed</v>
      </c>
      <c r="N568" t="str">
        <f>IF(tblTargetStatus[[#This Row],[FirstMissingDependencyID]]="","",_xlfn.XLOOKUP(tblTargetStatus[[#This Row],[FirstMissingDependencyID]],tblTargets[TargetID],tblTargets[DisplayName],tblTargetStatus[[#This Row],[FirstMissingDependencyID]]))</f>
        <v>shop maxed</v>
      </c>
      <c r="O568" s="2" t="str" cm="1">
        <f t="array" ref="O5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blueprint,40 chemicals,500 coin,25 glass,100 plank,5 ruby</v>
      </c>
      <c r="P568" t="str">
        <f>IF(tblTargetStatus[[#This Row],[FirstMissingDependencyID]]="","",_xlfn.XLOOKUP(tblTargetStatus[[#This Row],[FirstMissingDependencyID]],tblTargetStatus[TargetID],tblTargetStatus[Status],""))</f>
        <v>BLOCKED</v>
      </c>
      <c r="Q568" t="str">
        <f>IF(
 tblTargetStatus[[#This Row],[Status]]&lt;&gt;"BLOCKED",
 tblTargetStatus[[#This Row],[Status]],
 IF(
  AND(
   tblTargetStatus[[#This Row],[MissingDependencies]]=1,
   tblTargetStatus[[#This Row],[FirstMissingStatus]]="READY"
  ),
  "ONE AWAY",
  "BLOCKED"
 )
)</f>
        <v>BLOCKED</v>
      </c>
      <c r="R568">
        <f>IF(
 OR(
  tblTargetStatus[[#This Row],[StateType]]="CHARACTER",
  RIGHT(tblTargetStatus[[#This Row],[TargetID]],6)=".maxed"
 ),
 0,
 _xlfn.LET(
  _xlpm.sort,
   _xlfn.XLOOKUP(
    tblTargetStatus[[#This Row],[TargetID]],
    tblChecklist[TargetID],
    tblChecklist[PlayerSort],
    0
   ),
  IF(_xlpm.sort=0,500,_xlpm.sort)
 )
)</f>
        <v>500</v>
      </c>
      <c r="S568" t="str" cm="1">
        <f t="array" ref="S56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68" t="str">
        <f>_xlfn.XLOOKUP(tblTargetStatus[[#This Row],[TargetID]],tblTargets[TargetID],tblTargets[CompletionMethod],"")</f>
        <v>PLAYER</v>
      </c>
      <c r="U568" t="b">
        <f>COUNTIF(
    tblCost[TargetID],
    tblTargetStatus[[#This Row],[TargetID]]
)&gt;0</f>
        <v>1</v>
      </c>
      <c r="V568" s="81">
        <f>IF(tblTargetStatus[[#This Row],[HasCost]]=FALSE,
"N/A",
_xlfn.XLOOKUP(
tblTargetStatus[[#This Row],[TargetID]],
tblCost[TargetID],
tblCost[FundingPercent],
""
)
)</f>
        <v>0</v>
      </c>
      <c r="W568">
        <f>IF(
COUNTIF(tblCost[TargetID],tblTargetStatus[[#This Row],[TargetID]])=0,
"",
_xlfn.XLOOKUP(
tblTargetStatus[[#This Row],[TargetID]],
tblCost[TargetID],
tblCost[RemainingRequirements],
""
)
)</f>
        <v>6</v>
      </c>
      <c r="X568" s="79" t="b">
        <f>IF(tblTargetStatus[[#This Row],[HasCost]]=FALSE,"N/A",_xlfn.XLOOKUP(
tblTargetStatus[[#This Row],[TargetID]],
tblCost[TargetID],
tblCost[TargetFunded],
TRUE
))</f>
        <v>0</v>
      </c>
      <c r="Y568" t="str" cm="1">
        <f t="array" ref="Y568">_xlfn.TEXTJOIN(
", ",
TRUE,
_xlfn._xlws.FILTER(
tblCost[ResourceID]&amp;": "&amp;tblCost[QuantityRequired],
(tblCost[TargetID]=tblTargetStatus[[#This Row],[TargetID]])*
(tblCost[PlayerPaid]=FALSE),
""
)
)</f>
        <v>blueprint: 20, chemicals: 40, coin: 500, glass: 25, plank: 100, ruby: 5</v>
      </c>
      <c r="Z5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8" t="str" cm="1">
        <f t="array" ref="AA56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69" spans="1:27">
      <c r="A569" t="s">
        <v>2192</v>
      </c>
      <c r="B569" t="str">
        <f>_xlfn.XLOOKUP(tblTargetStatus[[#This Row],[TargetID]],tblTargets[TargetID],tblTargets[DisplayName],"")</f>
        <v>Shop - Pre Orders</v>
      </c>
      <c r="C569" t="str">
        <f>IF(tblTargetStatus[[#This Row],[PlayerCompleted]],"COMPLETED",IF(tblTargetStatus[[#This Row],[MissingDependencies]]=0,"READY","BLOCKED"))</f>
        <v>BLOCKED</v>
      </c>
      <c r="D5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9" t="str">
        <f>_xlfn.XLOOKUP(tblTargetStatus[[#This Row],[TargetID]],tblTargets[TargetID],tblTargets[TargetType],"")</f>
        <v>TECH</v>
      </c>
      <c r="F569" t="str">
        <f>_xlfn.XLOOKUP(tblTargetStatus[[#This Row],[TargetID]],tblTargets[TargetID],tblTargets[StateType])</f>
        <v/>
      </c>
      <c r="G569">
        <f>_xlfn.LET(
_xlpm.id,tblTargetStatus[[#This Row],[TargetID]],
_xlpm.depCount,COUNTIF(tblDependencies[TargetID],_xlpm.id),
_xlpm.objCount,COUNTIF(tblQuestObjectives[QuestTargetID],_xlpm.id),
_xlpm.depCount+_xlpm.objCount
)</f>
        <v>1</v>
      </c>
      <c r="H569">
        <f>tblTargetStatus[[#This Row],[DependencyCount]]</f>
        <v>1</v>
      </c>
      <c r="I569" cm="1">
        <f t="array" ref="I5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9">
        <f>tblTargetStatus[[#This Row],[CompletedDependencyCount]]</f>
        <v>0</v>
      </c>
      <c r="K569" t="b">
        <f>tblTargetStatus[[#This Row],[CompletedDependencies]]=tblTargetStatus[[#This Row],[TotalDependencies]]</f>
        <v>0</v>
      </c>
      <c r="L569">
        <f>tblTargetStatus[[#This Row],[TotalDependencies]]-tblTargetStatus[[#This Row],[CompletedDependencies]]</f>
        <v>1</v>
      </c>
      <c r="M569" t="str" cm="1">
        <f t="array" ref="M5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building.shop.maxed</v>
      </c>
      <c r="N569" t="str">
        <f>IF(tblTargetStatus[[#This Row],[FirstMissingDependencyID]]="","",_xlfn.XLOOKUP(tblTargetStatus[[#This Row],[FirstMissingDependencyID]],tblTargets[TargetID],tblTargets[DisplayName],tblTargetStatus[[#This Row],[FirstMissingDependencyID]]))</f>
        <v>shop maxed</v>
      </c>
      <c r="O569" s="2" t="str" cm="1">
        <f t="array" ref="O5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beans,30 blueprint,300 coin,30 paper,1 ruby</v>
      </c>
      <c r="P569" t="str">
        <f>IF(tblTargetStatus[[#This Row],[FirstMissingDependencyID]]="","",_xlfn.XLOOKUP(tblTargetStatus[[#This Row],[FirstMissingDependencyID]],tblTargetStatus[TargetID],tblTargetStatus[Status],""))</f>
        <v>BLOCKED</v>
      </c>
      <c r="Q569" t="str">
        <f>IF(
 tblTargetStatus[[#This Row],[Status]]&lt;&gt;"BLOCKED",
 tblTargetStatus[[#This Row],[Status]],
 IF(
  AND(
   tblTargetStatus[[#This Row],[MissingDependencies]]=1,
   tblTargetStatus[[#This Row],[FirstMissingStatus]]="READY"
  ),
  "ONE AWAY",
  "BLOCKED"
 )
)</f>
        <v>BLOCKED</v>
      </c>
      <c r="R569">
        <f>IF(
 OR(
  tblTargetStatus[[#This Row],[StateType]]="CHARACTER",
  RIGHT(tblTargetStatus[[#This Row],[TargetID]],6)=".maxed"
 ),
 0,
 _xlfn.LET(
  _xlpm.sort,
   _xlfn.XLOOKUP(
    tblTargetStatus[[#This Row],[TargetID]],
    tblChecklist[TargetID],
    tblChecklist[PlayerSort],
    0
   ),
  IF(_xlpm.sort=0,500,_xlpm.sort)
 )
)</f>
        <v>800</v>
      </c>
      <c r="S569" t="str" cm="1">
        <f t="array" ref="S56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69" t="str">
        <f>_xlfn.XLOOKUP(tblTargetStatus[[#This Row],[TargetID]],tblTargets[TargetID],tblTargets[CompletionMethod],"")</f>
        <v>PLAYER</v>
      </c>
      <c r="U569" t="b">
        <f>COUNTIF(
    tblCost[TargetID],
    tblTargetStatus[[#This Row],[TargetID]]
)&gt;0</f>
        <v>1</v>
      </c>
      <c r="V569" s="81">
        <f>IF(tblTargetStatus[[#This Row],[HasCost]]=FALSE,
"N/A",
_xlfn.XLOOKUP(
tblTargetStatus[[#This Row],[TargetID]],
tblCost[TargetID],
tblCost[FundingPercent],
""
)
)</f>
        <v>0</v>
      </c>
      <c r="W569">
        <f>IF(
COUNTIF(tblCost[TargetID],tblTargetStatus[[#This Row],[TargetID]])=0,
"",
_xlfn.XLOOKUP(
tblTargetStatus[[#This Row],[TargetID]],
tblCost[TargetID],
tblCost[RemainingRequirements],
""
)
)</f>
        <v>5</v>
      </c>
      <c r="X569" s="79" t="b">
        <f>IF(tblTargetStatus[[#This Row],[HasCost]]=FALSE,"N/A",_xlfn.XLOOKUP(
tblTargetStatus[[#This Row],[TargetID]],
tblCost[TargetID],
tblCost[TargetFunded],
TRUE
))</f>
        <v>0</v>
      </c>
      <c r="Y569" t="str" cm="1">
        <f t="array" ref="Y569">_xlfn.TEXTJOIN(
", ",
TRUE,
_xlfn._xlws.FILTER(
tblCost[ResourceID]&amp;": "&amp;tblCost[QuantityRequired],
(tblCost[TargetID]=tblTargetStatus[[#This Row],[TargetID]])*
(tblCost[PlayerPaid]=FALSE),
""
)
)</f>
        <v>beans: 20, blueprint: 30, coin: 300, paper: 30, ruby: 1</v>
      </c>
      <c r="Z5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9" t="str" cm="1">
        <f t="array" ref="AA56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70" spans="1:27">
      <c r="A570" t="s">
        <v>2210</v>
      </c>
      <c r="B570" t="str">
        <f>_xlfn.XLOOKUP(tblTargetStatus[[#This Row],[TargetID]],tblTargets[TargetID],tblTargets[DisplayName],"")</f>
        <v>Smithy - Gears</v>
      </c>
      <c r="C570" t="str">
        <f>IF(tblTargetStatus[[#This Row],[PlayerCompleted]],"COMPLETED",IF(tblTargetStatus[[#This Row],[MissingDependencies]]=0,"READY","BLOCKED"))</f>
        <v>BLOCKED</v>
      </c>
      <c r="D5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0" t="str">
        <f>_xlfn.XLOOKUP(tblTargetStatus[[#This Row],[TargetID]],tblTargets[TargetID],tblTargets[TargetType],"")</f>
        <v>TECH</v>
      </c>
      <c r="F570" t="str">
        <f>_xlfn.XLOOKUP(tblTargetStatus[[#This Row],[TargetID]],tblTargets[TargetID],tblTargets[StateType])</f>
        <v/>
      </c>
      <c r="G570">
        <f>_xlfn.LET(
_xlpm.id,tblTargetStatus[[#This Row],[TargetID]],
_xlpm.depCount,COUNTIF(tblDependencies[TargetID],_xlpm.id),
_xlpm.objCount,COUNTIF(tblQuestObjectives[QuestTargetID],_xlpm.id),
_xlpm.depCount+_xlpm.objCount
)</f>
        <v>1</v>
      </c>
      <c r="H570">
        <f>tblTargetStatus[[#This Row],[DependencyCount]]</f>
        <v>1</v>
      </c>
      <c r="I570" cm="1">
        <f t="array" ref="I5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0">
        <f>tblTargetStatus[[#This Row],[CompletedDependencyCount]]</f>
        <v>0</v>
      </c>
      <c r="K570" t="b">
        <f>tblTargetStatus[[#This Row],[CompletedDependencies]]=tblTargetStatus[[#This Row],[TotalDependencies]]</f>
        <v>0</v>
      </c>
      <c r="L570">
        <f>tblTargetStatus[[#This Row],[TotalDependencies]]-tblTargetStatus[[#This Row],[CompletedDependencies]]</f>
        <v>1</v>
      </c>
      <c r="M570" t="str" cm="1">
        <f t="array" ref="M5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building.smithy.maxed</v>
      </c>
      <c r="N570" t="str">
        <f>IF(tblTargetStatus[[#This Row],[FirstMissingDependencyID]]="","",_xlfn.XLOOKUP(tblTargetStatus[[#This Row],[FirstMissingDependencyID]],tblTargets[TargetID],tblTargets[DisplayName],tblTargetStatus[[#This Row],[FirstMissingDependencyID]]))</f>
        <v>smithy maxed</v>
      </c>
      <c r="O570" s="2" t="str" cm="1">
        <f t="array" ref="O5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blueprint,1000 coin,30 gears,20 miron,5 ruby</v>
      </c>
      <c r="P570" t="str">
        <f>IF(tblTargetStatus[[#This Row],[FirstMissingDependencyID]]="","",_xlfn.XLOOKUP(tblTargetStatus[[#This Row],[FirstMissingDependencyID]],tblTargetStatus[TargetID],tblTargetStatus[Status],""))</f>
        <v>BLOCKED</v>
      </c>
      <c r="Q570" t="str">
        <f>IF(
 tblTargetStatus[[#This Row],[Status]]&lt;&gt;"BLOCKED",
 tblTargetStatus[[#This Row],[Status]],
 IF(
  AND(
   tblTargetStatus[[#This Row],[MissingDependencies]]=1,
   tblTargetStatus[[#This Row],[FirstMissingStatus]]="READY"
  ),
  "ONE AWAY",
  "BLOCKED"
 )
)</f>
        <v>BLOCKED</v>
      </c>
      <c r="R570">
        <f>IF(
 OR(
  tblTargetStatus[[#This Row],[StateType]]="CHARACTER",
  RIGHT(tblTargetStatus[[#This Row],[TargetID]],6)=".maxed"
 ),
 0,
 _xlfn.LET(
  _xlpm.sort,
   _xlfn.XLOOKUP(
    tblTargetStatus[[#This Row],[TargetID]],
    tblChecklist[TargetID],
    tblChecklist[PlayerSort],
    0
   ),
  IF(_xlpm.sort=0,500,_xlpm.sort)
 )
)</f>
        <v>500</v>
      </c>
      <c r="S570" t="str" cm="1">
        <f t="array" ref="S57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70" t="str">
        <f>_xlfn.XLOOKUP(tblTargetStatus[[#This Row],[TargetID]],tblTargets[TargetID],tblTargets[CompletionMethod],"")</f>
        <v>PLAYER</v>
      </c>
      <c r="U570" t="b">
        <f>COUNTIF(
    tblCost[TargetID],
    tblTargetStatus[[#This Row],[TargetID]]
)&gt;0</f>
        <v>1</v>
      </c>
      <c r="V570" s="81">
        <f>IF(tblTargetStatus[[#This Row],[HasCost]]=FALSE,
"N/A",
_xlfn.XLOOKUP(
tblTargetStatus[[#This Row],[TargetID]],
tblCost[TargetID],
tblCost[FundingPercent],
""
)
)</f>
        <v>0</v>
      </c>
      <c r="W570">
        <f>IF(
COUNTIF(tblCost[TargetID],tblTargetStatus[[#This Row],[TargetID]])=0,
"",
_xlfn.XLOOKUP(
tblTargetStatus[[#This Row],[TargetID]],
tblCost[TargetID],
tblCost[RemainingRequirements],
""
)
)</f>
        <v>5</v>
      </c>
      <c r="X570" s="79" t="b">
        <f>IF(tblTargetStatus[[#This Row],[HasCost]]=FALSE,"N/A",_xlfn.XLOOKUP(
tblTargetStatus[[#This Row],[TargetID]],
tblCost[TargetID],
tblCost[TargetFunded],
TRUE
))</f>
        <v>0</v>
      </c>
      <c r="Y570" t="str" cm="1">
        <f t="array" ref="Y570">_xlfn.TEXTJOIN(
", ",
TRUE,
_xlfn._xlws.FILTER(
tblCost[ResourceID]&amp;": "&amp;tblCost[QuantityRequired],
(tblCost[TargetID]=tblTargetStatus[[#This Row],[TargetID]])*
(tblCost[PlayerPaid]=FALSE),
""
)
)</f>
        <v>blueprint: 30, coin: 1000, gears: 30, miron: 20, ruby: 5</v>
      </c>
      <c r="Z5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0" t="str" cm="1">
        <f t="array" ref="AA57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71" spans="1:27" ht="29">
      <c r="A571" t="s">
        <v>2198</v>
      </c>
      <c r="B571" t="str">
        <f>_xlfn.XLOOKUP(tblTargetStatus[[#This Row],[TargetID]],tblTargets[TargetID],tblTargets[DisplayName],"")</f>
        <v>Smithy - Sword For A Hero Lvl 1</v>
      </c>
      <c r="C571" t="str">
        <f>IF(tblTargetStatus[[#This Row],[PlayerCompleted]],"COMPLETED",IF(tblTargetStatus[[#This Row],[MissingDependencies]]=0,"READY","BLOCKED"))</f>
        <v>BLOCKED</v>
      </c>
      <c r="D5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1" t="str">
        <f>_xlfn.XLOOKUP(tblTargetStatus[[#This Row],[TargetID]],tblTargets[TargetID],tblTargets[TargetType],"")</f>
        <v>TECH</v>
      </c>
      <c r="F571" t="str">
        <f>_xlfn.XLOOKUP(tblTargetStatus[[#This Row],[TargetID]],tblTargets[TargetID],tblTargets[StateType])</f>
        <v/>
      </c>
      <c r="G571">
        <f>_xlfn.LET(
_xlpm.id,tblTargetStatus[[#This Row],[TargetID]],
_xlpm.depCount,COUNTIF(tblDependencies[TargetID],_xlpm.id),
_xlpm.objCount,COUNTIF(tblQuestObjectives[QuestTargetID],_xlpm.id),
_xlpm.depCount+_xlpm.objCount
)</f>
        <v>1</v>
      </c>
      <c r="H571">
        <f>tblTargetStatus[[#This Row],[DependencyCount]]</f>
        <v>1</v>
      </c>
      <c r="I571" cm="1">
        <f t="array" ref="I5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1">
        <f>tblTargetStatus[[#This Row],[CompletedDependencyCount]]</f>
        <v>0</v>
      </c>
      <c r="K571" t="b">
        <f>tblTargetStatus[[#This Row],[CompletedDependencies]]=tblTargetStatus[[#This Row],[TotalDependencies]]</f>
        <v>0</v>
      </c>
      <c r="L571">
        <f>tblTargetStatus[[#This Row],[TotalDependencies]]-tblTargetStatus[[#This Row],[CompletedDependencies]]</f>
        <v>1</v>
      </c>
      <c r="M571" t="str" cm="1">
        <f t="array" ref="M5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building.smithy.maxed</v>
      </c>
      <c r="N571" t="str">
        <f>IF(tblTargetStatus[[#This Row],[FirstMissingDependencyID]]="","",_xlfn.XLOOKUP(tblTargetStatus[[#This Row],[FirstMissingDependencyID]],tblTargets[TargetID],tblTargets[DisplayName],tblTargetStatus[[#This Row],[FirstMissingDependencyID]]))</f>
        <v>smithy maxed</v>
      </c>
      <c r="O571" s="2" t="str" cm="1">
        <f t="array" ref="O5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charcoal,300 coin,40 miron,20 page,2 ruby,50 steel</v>
      </c>
      <c r="P571" t="str">
        <f>IF(tblTargetStatus[[#This Row],[FirstMissingDependencyID]]="","",_xlfn.XLOOKUP(tblTargetStatus[[#This Row],[FirstMissingDependencyID]],tblTargetStatus[TargetID],tblTargetStatus[Status],""))</f>
        <v>BLOCKED</v>
      </c>
      <c r="Q571" t="str">
        <f>IF(
 tblTargetStatus[[#This Row],[Status]]&lt;&gt;"BLOCKED",
 tblTargetStatus[[#This Row],[Status]],
 IF(
  AND(
   tblTargetStatus[[#This Row],[MissingDependencies]]=1,
   tblTargetStatus[[#This Row],[FirstMissingStatus]]="READY"
  ),
  "ONE AWAY",
  "BLOCKED"
 )
)</f>
        <v>BLOCKED</v>
      </c>
      <c r="R571">
        <f>IF(
 OR(
  tblTargetStatus[[#This Row],[StateType]]="CHARACTER",
  RIGHT(tblTargetStatus[[#This Row],[TargetID]],6)=".maxed"
 ),
 0,
 _xlfn.LET(
  _xlpm.sort,
   _xlfn.XLOOKUP(
    tblTargetStatus[[#This Row],[TargetID]],
    tblChecklist[TargetID],
    tblChecklist[PlayerSort],
    0
   ),
  IF(_xlpm.sort=0,500,_xlpm.sort)
 )
)</f>
        <v>500</v>
      </c>
      <c r="S571" t="str" cm="1">
        <f t="array" ref="S57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Smithy - Sword For A Hero Lvl 2, Smithy - Weapon Grease</v>
      </c>
      <c r="T571" t="str">
        <f>_xlfn.XLOOKUP(tblTargetStatus[[#This Row],[TargetID]],tblTargets[TargetID],tblTargets[CompletionMethod],"")</f>
        <v>PLAYER</v>
      </c>
      <c r="U571" t="b">
        <f>COUNTIF(
    tblCost[TargetID],
    tblTargetStatus[[#This Row],[TargetID]]
)&gt;0</f>
        <v>1</v>
      </c>
      <c r="V571" s="81">
        <f>IF(tblTargetStatus[[#This Row],[HasCost]]=FALSE,
"N/A",
_xlfn.XLOOKUP(
tblTargetStatus[[#This Row],[TargetID]],
tblCost[TargetID],
tblCost[FundingPercent],
""
)
)</f>
        <v>0</v>
      </c>
      <c r="W571">
        <f>IF(
COUNTIF(tblCost[TargetID],tblTargetStatus[[#This Row],[TargetID]])=0,
"",
_xlfn.XLOOKUP(
tblTargetStatus[[#This Row],[TargetID]],
tblCost[TargetID],
tblCost[RemainingRequirements],
""
)
)</f>
        <v>6</v>
      </c>
      <c r="X571" s="79" t="b">
        <f>IF(tblTargetStatus[[#This Row],[HasCost]]=FALSE,"N/A",_xlfn.XLOOKUP(
tblTargetStatus[[#This Row],[TargetID]],
tblCost[TargetID],
tblCost[TargetFunded],
TRUE
))</f>
        <v>0</v>
      </c>
      <c r="Y571" t="str" cm="1">
        <f t="array" ref="Y571">_xlfn.TEXTJOIN(
", ",
TRUE,
_xlfn._xlws.FILTER(
tblCost[ResourceID]&amp;": "&amp;tblCost[QuantityRequired],
(tblCost[TargetID]=tblTargetStatus[[#This Row],[TargetID]])*
(tblCost[PlayerPaid]=FALSE),
""
)
)</f>
        <v>charcoal: 50, coin: 300, miron: 40, page: 20, ruby: 2, steel: 50</v>
      </c>
      <c r="Z5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1" t="str" cm="1">
        <f t="array" ref="AA57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72" spans="1:27">
      <c r="A572" t="s">
        <v>2200</v>
      </c>
      <c r="B572" t="str">
        <f>_xlfn.XLOOKUP(tblTargetStatus[[#This Row],[TargetID]],tblTargets[TargetID],tblTargets[DisplayName],"")</f>
        <v>Smithy - Sword For A Hero Lvl 2</v>
      </c>
      <c r="C572" t="str">
        <f>IF(tblTargetStatus[[#This Row],[PlayerCompleted]],"COMPLETED",IF(tblTargetStatus[[#This Row],[MissingDependencies]]=0,"READY","BLOCKED"))</f>
        <v>BLOCKED</v>
      </c>
      <c r="D5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2" t="str">
        <f>_xlfn.XLOOKUP(tblTargetStatus[[#This Row],[TargetID]],tblTargets[TargetID],tblTargets[TargetType],"")</f>
        <v>TECH</v>
      </c>
      <c r="F572" t="str">
        <f>_xlfn.XLOOKUP(tblTargetStatus[[#This Row],[TargetID]],tblTargets[TargetID],tblTargets[StateType])</f>
        <v/>
      </c>
      <c r="G572">
        <f>_xlfn.LET(
_xlpm.id,tblTargetStatus[[#This Row],[TargetID]],
_xlpm.depCount,COUNTIF(tblDependencies[TargetID],_xlpm.id),
_xlpm.objCount,COUNTIF(tblQuestObjectives[QuestTargetID],_xlpm.id),
_xlpm.depCount+_xlpm.objCount
)</f>
        <v>2</v>
      </c>
      <c r="H572">
        <f>tblTargetStatus[[#This Row],[DependencyCount]]</f>
        <v>2</v>
      </c>
      <c r="I572" cm="1">
        <f t="array" ref="I5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2">
        <f>tblTargetStatus[[#This Row],[CompletedDependencyCount]]</f>
        <v>0</v>
      </c>
      <c r="K572" t="b">
        <f>tblTargetStatus[[#This Row],[CompletedDependencies]]=tblTargetStatus[[#This Row],[TotalDependencies]]</f>
        <v>0</v>
      </c>
      <c r="L572">
        <f>tblTargetStatus[[#This Row],[TotalDependencies]]-tblTargetStatus[[#This Row],[CompletedDependencies]]</f>
        <v>2</v>
      </c>
      <c r="M572" t="str" cm="1">
        <f t="array" ref="M5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tech.smithy.sword_for_a_hero_lvl_1</v>
      </c>
      <c r="N572" t="str">
        <f>IF(tblTargetStatus[[#This Row],[FirstMissingDependencyID]]="","",_xlfn.XLOOKUP(tblTargetStatus[[#This Row],[FirstMissingDependencyID]],tblTargets[TargetID],tblTargets[DisplayName],tblTargetStatus[[#This Row],[FirstMissingDependencyID]]))</f>
        <v>Smithy - Sword For A Hero Lvl 1</v>
      </c>
      <c r="O572" t="str" cm="1">
        <f t="array" ref="O5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blueprint,100 charcoal,500 coin,40 msteel,3 ruby,100 steel</v>
      </c>
      <c r="P572" t="str">
        <f>IF(tblTargetStatus[[#This Row],[FirstMissingDependencyID]]="","",_xlfn.XLOOKUP(tblTargetStatus[[#This Row],[FirstMissingDependencyID]],tblTargetStatus[TargetID],tblTargetStatus[Status],""))</f>
        <v>BLOCKED</v>
      </c>
      <c r="Q572" t="str">
        <f>IF(
 tblTargetStatus[[#This Row],[Status]]&lt;&gt;"BLOCKED",
 tblTargetStatus[[#This Row],[Status]],
 IF(
  AND(
   tblTargetStatus[[#This Row],[MissingDependencies]]=1,
   tblTargetStatus[[#This Row],[FirstMissingStatus]]="READY"
  ),
  "ONE AWAY",
  "BLOCKED"
 )
)</f>
        <v>BLOCKED</v>
      </c>
      <c r="R572">
        <f>IF(
 OR(
  tblTargetStatus[[#This Row],[StateType]]="CHARACTER",
  RIGHT(tblTargetStatus[[#This Row],[TargetID]],6)=".maxed"
 ),
 0,
 _xlfn.LET(
  _xlpm.sort,
   _xlfn.XLOOKUP(
    tblTargetStatus[[#This Row],[TargetID]],
    tblChecklist[TargetID],
    tblChecklist[PlayerSort],
    0
   ),
  IF(_xlpm.sort=0,500,_xlpm.sort)
 )
)</f>
        <v>500</v>
      </c>
      <c r="S572" t="str" cm="1">
        <f t="array" ref="S57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Smithy - Sword For A Hero Lvl 3</v>
      </c>
      <c r="T572" t="str">
        <f>_xlfn.XLOOKUP(tblTargetStatus[[#This Row],[TargetID]],tblTargets[TargetID],tblTargets[CompletionMethod],"")</f>
        <v>PLAYER</v>
      </c>
      <c r="U572" t="b">
        <f>COUNTIF(
    tblCost[TargetID],
    tblTargetStatus[[#This Row],[TargetID]]
)&gt;0</f>
        <v>1</v>
      </c>
      <c r="V572" s="81">
        <f>IF(tblTargetStatus[[#This Row],[HasCost]]=FALSE,
"N/A",
_xlfn.XLOOKUP(
tblTargetStatus[[#This Row],[TargetID]],
tblCost[TargetID],
tblCost[FundingPercent],
""
)
)</f>
        <v>0</v>
      </c>
      <c r="W572">
        <f>IF(
COUNTIF(tblCost[TargetID],tblTargetStatus[[#This Row],[TargetID]])=0,
"",
_xlfn.XLOOKUP(
tblTargetStatus[[#This Row],[TargetID]],
tblCost[TargetID],
tblCost[RemainingRequirements],
""
)
)</f>
        <v>6</v>
      </c>
      <c r="X572" s="79" t="b">
        <f>IF(tblTargetStatus[[#This Row],[HasCost]]=FALSE,"N/A",_xlfn.XLOOKUP(
tblTargetStatus[[#This Row],[TargetID]],
tblCost[TargetID],
tblCost[TargetFunded],
TRUE
))</f>
        <v>0</v>
      </c>
      <c r="Y572" t="str" cm="1">
        <f t="array" ref="Y572">_xlfn.TEXTJOIN(
", ",
TRUE,
_xlfn._xlws.FILTER(
tblCost[ResourceID]&amp;": "&amp;tblCost[QuantityRequired],
(tblCost[TargetID]=tblTargetStatus[[#This Row],[TargetID]])*
(tblCost[PlayerPaid]=FALSE),
""
)
)</f>
        <v>blueprint: 15, charcoal: 100, coin: 500, msteel: 40, ruby: 3, steel: 100</v>
      </c>
      <c r="Z5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2" t="str" cm="1">
        <f t="array" ref="AA57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73" spans="1:27">
      <c r="A573" t="s">
        <v>2202</v>
      </c>
      <c r="B573" t="str">
        <f>_xlfn.XLOOKUP(tblTargetStatus[[#This Row],[TargetID]],tblTargets[TargetID],tblTargets[DisplayName],"")</f>
        <v>Smithy - Sword For A Hero Lvl 3</v>
      </c>
      <c r="C573" t="str">
        <f>IF(tblTargetStatus[[#This Row],[PlayerCompleted]],"COMPLETED",IF(tblTargetStatus[[#This Row],[MissingDependencies]]=0,"READY","BLOCKED"))</f>
        <v>BLOCKED</v>
      </c>
      <c r="D5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3" t="str">
        <f>_xlfn.XLOOKUP(tblTargetStatus[[#This Row],[TargetID]],tblTargets[TargetID],tblTargets[TargetType],"")</f>
        <v>TECH</v>
      </c>
      <c r="F573" t="str">
        <f>_xlfn.XLOOKUP(tblTargetStatus[[#This Row],[TargetID]],tblTargets[TargetID],tblTargets[StateType])</f>
        <v/>
      </c>
      <c r="G573">
        <f>_xlfn.LET(
_xlpm.id,tblTargetStatus[[#This Row],[TargetID]],
_xlpm.depCount,COUNTIF(tblDependencies[TargetID],_xlpm.id),
_xlpm.objCount,COUNTIF(tblQuestObjectives[QuestTargetID],_xlpm.id),
_xlpm.depCount+_xlpm.objCount
)</f>
        <v>2</v>
      </c>
      <c r="H573">
        <f>tblTargetStatus[[#This Row],[DependencyCount]]</f>
        <v>2</v>
      </c>
      <c r="I573" cm="1">
        <f t="array" ref="I5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3">
        <f>tblTargetStatus[[#This Row],[CompletedDependencyCount]]</f>
        <v>0</v>
      </c>
      <c r="K573" t="b">
        <f>tblTargetStatus[[#This Row],[CompletedDependencies]]=tblTargetStatus[[#This Row],[TotalDependencies]]</f>
        <v>0</v>
      </c>
      <c r="L573">
        <f>tblTargetStatus[[#This Row],[TotalDependencies]]-tblTargetStatus[[#This Row],[CompletedDependencies]]</f>
        <v>2</v>
      </c>
      <c r="M573" t="str" cm="1">
        <f t="array" ref="M5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tech.smithy.sword_for_a_hero_lvl_2</v>
      </c>
      <c r="N573" t="str">
        <f>IF(tblTargetStatus[[#This Row],[FirstMissingDependencyID]]="","",_xlfn.XLOOKUP(tblTargetStatus[[#This Row],[FirstMissingDependencyID]],tblTargets[TargetID],tblTargets[DisplayName],tblTargetStatus[[#This Row],[FirstMissingDependencyID]]))</f>
        <v>Smithy - Sword For A Hero Lvl 2</v>
      </c>
      <c r="O573" t="str" cm="1">
        <f t="array" ref="O5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blueprint,200 charcoal,1000 coin,60 msteel,5 ruby,200 steel</v>
      </c>
      <c r="P573" t="str">
        <f>IF(tblTargetStatus[[#This Row],[FirstMissingDependencyID]]="","",_xlfn.XLOOKUP(tblTargetStatus[[#This Row],[FirstMissingDependencyID]],tblTargetStatus[TargetID],tblTargetStatus[Status],""))</f>
        <v>BLOCKED</v>
      </c>
      <c r="Q573" t="str">
        <f>IF(
 tblTargetStatus[[#This Row],[Status]]&lt;&gt;"BLOCKED",
 tblTargetStatus[[#This Row],[Status]],
 IF(
  AND(
   tblTargetStatus[[#This Row],[MissingDependencies]]=1,
   tblTargetStatus[[#This Row],[FirstMissingStatus]]="READY"
  ),
  "ONE AWAY",
  "BLOCKED"
 )
)</f>
        <v>BLOCKED</v>
      </c>
      <c r="R573">
        <f>IF(
 OR(
  tblTargetStatus[[#This Row],[StateType]]="CHARACTER",
  RIGHT(tblTargetStatus[[#This Row],[TargetID]],6)=".maxed"
 ),
 0,
 _xlfn.LET(
  _xlpm.sort,
   _xlfn.XLOOKUP(
    tblTargetStatus[[#This Row],[TargetID]],
    tblChecklist[TargetID],
    tblChecklist[PlayerSort],
    0
   ),
  IF(_xlpm.sort=0,500,_xlpm.sort)
 )
)</f>
        <v>500</v>
      </c>
      <c r="S573" t="str" cm="1">
        <f t="array" ref="S57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Smithy - Sword For A Hero Lvl 4</v>
      </c>
      <c r="T573" t="str">
        <f>_xlfn.XLOOKUP(tblTargetStatus[[#This Row],[TargetID]],tblTargets[TargetID],tblTargets[CompletionMethod],"")</f>
        <v>PLAYER</v>
      </c>
      <c r="U573" t="b">
        <f>COUNTIF(
    tblCost[TargetID],
    tblTargetStatus[[#This Row],[TargetID]]
)&gt;0</f>
        <v>1</v>
      </c>
      <c r="V573" s="81">
        <f>IF(tblTargetStatus[[#This Row],[HasCost]]=FALSE,
"N/A",
_xlfn.XLOOKUP(
tblTargetStatus[[#This Row],[TargetID]],
tblCost[TargetID],
tblCost[FundingPercent],
""
)
)</f>
        <v>0</v>
      </c>
      <c r="W573">
        <f>IF(
COUNTIF(tblCost[TargetID],tblTargetStatus[[#This Row],[TargetID]])=0,
"",
_xlfn.XLOOKUP(
tblTargetStatus[[#This Row],[TargetID]],
tblCost[TargetID],
tblCost[RemainingRequirements],
""
)
)</f>
        <v>6</v>
      </c>
      <c r="X573" s="79" t="b">
        <f>IF(tblTargetStatus[[#This Row],[HasCost]]=FALSE,"N/A",_xlfn.XLOOKUP(
tblTargetStatus[[#This Row],[TargetID]],
tblCost[TargetID],
tblCost[TargetFunded],
TRUE
))</f>
        <v>0</v>
      </c>
      <c r="Y573" t="str" cm="1">
        <f t="array" ref="Y573">_xlfn.TEXTJOIN(
", ",
TRUE,
_xlfn._xlws.FILTER(
tblCost[ResourceID]&amp;": "&amp;tblCost[QuantityRequired],
(tblCost[TargetID]=tblTargetStatus[[#This Row],[TargetID]])*
(tblCost[PlayerPaid]=FALSE),
""
)
)</f>
        <v>blueprint: 20, charcoal: 200, coin: 1000, msteel: 60, ruby: 5, steel: 200</v>
      </c>
      <c r="Z5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3" t="str" cm="1">
        <f t="array" ref="AA57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74" spans="1:27">
      <c r="A574" t="s">
        <v>2204</v>
      </c>
      <c r="B574" t="str">
        <f>_xlfn.XLOOKUP(tblTargetStatus[[#This Row],[TargetID]],tblTargets[TargetID],tblTargets[DisplayName],"")</f>
        <v>Smithy - Sword For A Hero Lvl 4</v>
      </c>
      <c r="C574" t="str">
        <f>IF(tblTargetStatus[[#This Row],[PlayerCompleted]],"COMPLETED",IF(tblTargetStatus[[#This Row],[MissingDependencies]]=0,"READY","BLOCKED"))</f>
        <v>BLOCKED</v>
      </c>
      <c r="D5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4" t="str">
        <f>_xlfn.XLOOKUP(tblTargetStatus[[#This Row],[TargetID]],tblTargets[TargetID],tblTargets[TargetType],"")</f>
        <v>TECH</v>
      </c>
      <c r="F574" t="str">
        <f>_xlfn.XLOOKUP(tblTargetStatus[[#This Row],[TargetID]],tblTargets[TargetID],tblTargets[StateType])</f>
        <v/>
      </c>
      <c r="G574">
        <f>_xlfn.LET(
_xlpm.id,tblTargetStatus[[#This Row],[TargetID]],
_xlpm.depCount,COUNTIF(tblDependencies[TargetID],_xlpm.id),
_xlpm.objCount,COUNTIF(tblQuestObjectives[QuestTargetID],_xlpm.id),
_xlpm.depCount+_xlpm.objCount
)</f>
        <v>2</v>
      </c>
      <c r="H574">
        <f>tblTargetStatus[[#This Row],[DependencyCount]]</f>
        <v>2</v>
      </c>
      <c r="I574" cm="1">
        <f t="array" ref="I5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4">
        <f>tblTargetStatus[[#This Row],[CompletedDependencyCount]]</f>
        <v>0</v>
      </c>
      <c r="K574" t="b">
        <f>tblTargetStatus[[#This Row],[CompletedDependencies]]=tblTargetStatus[[#This Row],[TotalDependencies]]</f>
        <v>0</v>
      </c>
      <c r="L574">
        <f>tblTargetStatus[[#This Row],[TotalDependencies]]-tblTargetStatus[[#This Row],[CompletedDependencies]]</f>
        <v>2</v>
      </c>
      <c r="M574" t="str" cm="1">
        <f t="array" ref="M5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tech.smithy.sword_for_a_hero_lvl_3</v>
      </c>
      <c r="N574" t="str">
        <f>IF(tblTargetStatus[[#This Row],[FirstMissingDependencyID]]="","",_xlfn.XLOOKUP(tblTargetStatus[[#This Row],[FirstMissingDependencyID]],tblTargets[TargetID],tblTargets[DisplayName],tblTargetStatus[[#This Row],[FirstMissingDependencyID]]))</f>
        <v>Smithy - Sword For A Hero Lvl 3</v>
      </c>
      <c r="O574" t="str" cm="1">
        <f t="array" ref="O5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blueprint,1000 coin,20 gears,20 mechanism,5 ruby,3 sword3</v>
      </c>
      <c r="P574" t="str">
        <f>IF(tblTargetStatus[[#This Row],[FirstMissingDependencyID]]="","",_xlfn.XLOOKUP(tblTargetStatus[[#This Row],[FirstMissingDependencyID]],tblTargetStatus[TargetID],tblTargetStatus[Status],""))</f>
        <v>BLOCKED</v>
      </c>
      <c r="Q574" t="str">
        <f>IF(
 tblTargetStatus[[#This Row],[Status]]&lt;&gt;"BLOCKED",
 tblTargetStatus[[#This Row],[Status]],
 IF(
  AND(
   tblTargetStatus[[#This Row],[MissingDependencies]]=1,
   tblTargetStatus[[#This Row],[FirstMissingStatus]]="READY"
  ),
  "ONE AWAY",
  "BLOCKED"
 )
)</f>
        <v>BLOCKED</v>
      </c>
      <c r="R574">
        <f>IF(
 OR(
  tblTargetStatus[[#This Row],[StateType]]="CHARACTER",
  RIGHT(tblTargetStatus[[#This Row],[TargetID]],6)=".maxed"
 ),
 0,
 _xlfn.LET(
  _xlpm.sort,
   _xlfn.XLOOKUP(
    tblTargetStatus[[#This Row],[TargetID]],
    tblChecklist[TargetID],
    tblChecklist[PlayerSort],
    0
   ),
  IF(_xlpm.sort=0,500,_xlpm.sort)
 )
)</f>
        <v>500</v>
      </c>
      <c r="S574" t="str" cm="1">
        <f t="array" ref="S57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1 Accepted, Craft Sword for a Hero Lvl 4, Smithy - Sword For A Hero Lvl 4+, Dragon teeth Finished</v>
      </c>
      <c r="T574" t="str">
        <f>_xlfn.XLOOKUP(tblTargetStatus[[#This Row],[TargetID]],tblTargets[TargetID],tblTargets[CompletionMethod],"")</f>
        <v>PLAYER</v>
      </c>
      <c r="U574" t="b">
        <f>COUNTIF(
    tblCost[TargetID],
    tblTargetStatus[[#This Row],[TargetID]]
)&gt;0</f>
        <v>1</v>
      </c>
      <c r="V574" s="81">
        <f>IF(tblTargetStatus[[#This Row],[HasCost]]=FALSE,
"N/A",
_xlfn.XLOOKUP(
tblTargetStatus[[#This Row],[TargetID]],
tblCost[TargetID],
tblCost[FundingPercent],
""
)
)</f>
        <v>0</v>
      </c>
      <c r="W574">
        <f>IF(
COUNTIF(tblCost[TargetID],tblTargetStatus[[#This Row],[TargetID]])=0,
"",
_xlfn.XLOOKUP(
tblTargetStatus[[#This Row],[TargetID]],
tblCost[TargetID],
tblCost[RemainingRequirements],
""
)
)</f>
        <v>6</v>
      </c>
      <c r="X574" s="79" t="b">
        <f>IF(tblTargetStatus[[#This Row],[HasCost]]=FALSE,"N/A",_xlfn.XLOOKUP(
tblTargetStatus[[#This Row],[TargetID]],
tblCost[TargetID],
tblCost[TargetFunded],
TRUE
))</f>
        <v>0</v>
      </c>
      <c r="Y574" t="str" cm="1">
        <f t="array" ref="Y574">_xlfn.TEXTJOIN(
", ",
TRUE,
_xlfn._xlws.FILTER(
tblCost[ResourceID]&amp;": "&amp;tblCost[QuantityRequired],
(tblCost[TargetID]=tblTargetStatus[[#This Row],[TargetID]])*
(tblCost[PlayerPaid]=FALSE),
""
)
)</f>
        <v>blueprint: 40, coin: 1000, gears: 20, mechanism: 20, ruby: 5, sword3: 3</v>
      </c>
      <c r="Z5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4" t="str" cm="1">
        <f t="array" ref="AA57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1</v>
      </c>
    </row>
    <row r="575" spans="1:27">
      <c r="A575" t="s">
        <v>2206</v>
      </c>
      <c r="B575" t="str">
        <f>_xlfn.XLOOKUP(tblTargetStatus[[#This Row],[TargetID]],tblTargets[TargetID],tblTargets[DisplayName],"")</f>
        <v>Smithy - Sword For A Hero Lvl 4+</v>
      </c>
      <c r="C575" t="str">
        <f>IF(tblTargetStatus[[#This Row],[PlayerCompleted]],"COMPLETED",IF(tblTargetStatus[[#This Row],[MissingDependencies]]=0,"READY","BLOCKED"))</f>
        <v>BLOCKED</v>
      </c>
      <c r="D5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5" t="str">
        <f>_xlfn.XLOOKUP(tblTargetStatus[[#This Row],[TargetID]],tblTargets[TargetID],tblTargets[TargetType],"")</f>
        <v>TECH</v>
      </c>
      <c r="F575" t="str">
        <f>_xlfn.XLOOKUP(tblTargetStatus[[#This Row],[TargetID]],tblTargets[TargetID],tblTargets[StateType])</f>
        <v/>
      </c>
      <c r="G575">
        <f>_xlfn.LET(
_xlpm.id,tblTargetStatus[[#This Row],[TargetID]],
_xlpm.depCount,COUNTIF(tblDependencies[TargetID],_xlpm.id),
_xlpm.objCount,COUNTIF(tblQuestObjectives[QuestTargetID],_xlpm.id),
_xlpm.depCount+_xlpm.objCount
)</f>
        <v>4</v>
      </c>
      <c r="H575">
        <f>tblTargetStatus[[#This Row],[DependencyCount]]</f>
        <v>4</v>
      </c>
      <c r="I575" cm="1">
        <f t="array" ref="I5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5">
        <f>tblTargetStatus[[#This Row],[CompletedDependencyCount]]</f>
        <v>0</v>
      </c>
      <c r="K575" t="b">
        <f>tblTargetStatus[[#This Row],[CompletedDependencies]]=tblTargetStatus[[#This Row],[TotalDependencies]]</f>
        <v>0</v>
      </c>
      <c r="L575">
        <f>tblTargetStatus[[#This Row],[TotalDependencies]]-tblTargetStatus[[#This Row],[CompletedDependencies]]</f>
        <v>4</v>
      </c>
      <c r="M575" t="str" cm="1">
        <f t="array" ref="M5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tech.smithy.sword_for_a_hero_lvl_4</v>
      </c>
      <c r="N575" t="str">
        <f>IF(tblTargetStatus[[#This Row],[FirstMissingDependencyID]]="","",_xlfn.XLOOKUP(tblTargetStatus[[#This Row],[FirstMissingDependencyID]],tblTargets[TargetID],tblTargets[DisplayName],tblTargetStatus[[#This Row],[FirstMissingDependencyID]]))</f>
        <v>Smithy - Sword For A Hero Lvl 4</v>
      </c>
      <c r="O575" t="str" cm="1">
        <f t="array" ref="O5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bamboo,25 bluecrystal,1000 coin,10 grimoire,10 mercury,10 quartz,1 reddiamond,5 ruby,1 sword4</v>
      </c>
      <c r="P575" t="str">
        <f>IF(tblTargetStatus[[#This Row],[FirstMissingDependencyID]]="","",_xlfn.XLOOKUP(tblTargetStatus[[#This Row],[FirstMissingDependencyID]],tblTargetStatus[TargetID],tblTargetStatus[Status],""))</f>
        <v>BLOCKED</v>
      </c>
      <c r="Q575" t="str">
        <f>IF(
 tblTargetStatus[[#This Row],[Status]]&lt;&gt;"BLOCKED",
 tblTargetStatus[[#This Row],[Status]],
 IF(
  AND(
   tblTargetStatus[[#This Row],[MissingDependencies]]=1,
   tblTargetStatus[[#This Row],[FirstMissingStatus]]="READY"
  ),
  "ONE AWAY",
  "BLOCKED"
 )
)</f>
        <v>BLOCKED</v>
      </c>
      <c r="R575">
        <f>IF(
 OR(
  tblTargetStatus[[#This Row],[StateType]]="CHARACTER",
  RIGHT(tblTargetStatus[[#This Row],[TargetID]],6)=".maxed"
 ),
 0,
 _xlfn.LET(
  _xlpm.sort,
   _xlfn.XLOOKUP(
    tblTargetStatus[[#This Row],[TargetID]],
    tblChecklist[TargetID],
    tblChecklist[PlayerSort],
    0
   ),
  IF(_xlpm.sort=0,500,_xlpm.sort)
 )
)</f>
        <v>500</v>
      </c>
      <c r="S575" t="str" cm="1">
        <f t="array" ref="S57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Craft sword 4+</v>
      </c>
      <c r="T575" t="str">
        <f>_xlfn.XLOOKUP(tblTargetStatus[[#This Row],[TargetID]],tblTargets[TargetID],tblTargets[CompletionMethod],"")</f>
        <v>PLAYER</v>
      </c>
      <c r="U575" t="b">
        <f>COUNTIF(
    tblCost[TargetID],
    tblTargetStatus[[#This Row],[TargetID]]
)&gt;0</f>
        <v>1</v>
      </c>
      <c r="V575" s="81">
        <f>IF(tblTargetStatus[[#This Row],[HasCost]]=FALSE,
"N/A",
_xlfn.XLOOKUP(
tblTargetStatus[[#This Row],[TargetID]],
tblCost[TargetID],
tblCost[FundingPercent],
""
)
)</f>
        <v>0</v>
      </c>
      <c r="W575">
        <f>IF(
COUNTIF(tblCost[TargetID],tblTargetStatus[[#This Row],[TargetID]])=0,
"",
_xlfn.XLOOKUP(
tblTargetStatus[[#This Row],[TargetID]],
tblCost[TargetID],
tblCost[RemainingRequirements],
""
)
)</f>
        <v>9</v>
      </c>
      <c r="X575" s="79" t="b">
        <f>IF(tblTargetStatus[[#This Row],[HasCost]]=FALSE,"N/A",_xlfn.XLOOKUP(
tblTargetStatus[[#This Row],[TargetID]],
tblCost[TargetID],
tblCost[TargetFunded],
TRUE
))</f>
        <v>0</v>
      </c>
      <c r="Y575" t="str" cm="1">
        <f t="array" ref="Y575">_xlfn.TEXTJOIN(
", ",
TRUE,
_xlfn._xlws.FILTER(
tblCost[ResourceID]&amp;": "&amp;tblCost[QuantityRequired],
(tblCost[TargetID]=tblTargetStatus[[#This Row],[TargetID]])*
(tblCost[PlayerPaid]=FALSE),
""
)
)</f>
        <v>bamboo: 20, bluecrystal: 25, coin: 1000, grimoire: 10, mercury: 10, quartz: 10, reddiamond: 1, ruby: 5, sword4: 1</v>
      </c>
      <c r="Z5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5" t="str" cm="1">
        <f t="array" ref="AA57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76" spans="1:27">
      <c r="A576" t="s">
        <v>2196</v>
      </c>
      <c r="B576" t="str">
        <f>_xlfn.XLOOKUP(tblTargetStatus[[#This Row],[TargetID]],tblTargets[TargetID],tblTargets[DisplayName],"")</f>
        <v>Smithy - Throwing Knife</v>
      </c>
      <c r="C576" t="str">
        <f>IF(tblTargetStatus[[#This Row],[PlayerCompleted]],"COMPLETED",IF(tblTargetStatus[[#This Row],[MissingDependencies]]=0,"READY","BLOCKED"))</f>
        <v>BLOCKED</v>
      </c>
      <c r="D5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6" t="str">
        <f>_xlfn.XLOOKUP(tblTargetStatus[[#This Row],[TargetID]],tblTargets[TargetID],tblTargets[TargetType],"")</f>
        <v>TECH</v>
      </c>
      <c r="F576" t="str">
        <f>_xlfn.XLOOKUP(tblTargetStatus[[#This Row],[TargetID]],tblTargets[TargetID],tblTargets[StateType])</f>
        <v/>
      </c>
      <c r="G576">
        <f>_xlfn.LET(
_xlpm.id,tblTargetStatus[[#This Row],[TargetID]],
_xlpm.depCount,COUNTIF(tblDependencies[TargetID],_xlpm.id),
_xlpm.objCount,COUNTIF(tblQuestObjectives[QuestTargetID],_xlpm.id),
_xlpm.depCount+_xlpm.objCount
)</f>
        <v>1</v>
      </c>
      <c r="H576">
        <f>tblTargetStatus[[#This Row],[DependencyCount]]</f>
        <v>1</v>
      </c>
      <c r="I576" cm="1">
        <f t="array" ref="I5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6">
        <f>tblTargetStatus[[#This Row],[CompletedDependencyCount]]</f>
        <v>0</v>
      </c>
      <c r="K576" t="b">
        <f>tblTargetStatus[[#This Row],[CompletedDependencies]]=tblTargetStatus[[#This Row],[TotalDependencies]]</f>
        <v>0</v>
      </c>
      <c r="L576">
        <f>tblTargetStatus[[#This Row],[TotalDependencies]]-tblTargetStatus[[#This Row],[CompletedDependencies]]</f>
        <v>1</v>
      </c>
      <c r="M576" t="str" cm="1">
        <f t="array" ref="M5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building.smithy.maxed</v>
      </c>
      <c r="N576" t="str">
        <f>IF(tblTargetStatus[[#This Row],[FirstMissingDependencyID]]="","",_xlfn.XLOOKUP(tblTargetStatus[[#This Row],[FirstMissingDependencyID]],tblTargets[TargetID],tblTargets[DisplayName],tblTargetStatus[[#This Row],[FirstMissingDependencyID]]))</f>
        <v>smithy maxed</v>
      </c>
      <c r="O576" s="2" t="str" cm="1">
        <f t="array" ref="O5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coin,30 miron,15 page,2 ruby</v>
      </c>
      <c r="P576" t="str">
        <f>IF(tblTargetStatus[[#This Row],[FirstMissingDependencyID]]="","",_xlfn.XLOOKUP(tblTargetStatus[[#This Row],[FirstMissingDependencyID]],tblTargetStatus[TargetID],tblTargetStatus[Status],""))</f>
        <v>BLOCKED</v>
      </c>
      <c r="Q576" t="str">
        <f>IF(
 tblTargetStatus[[#This Row],[Status]]&lt;&gt;"BLOCKED",
 tblTargetStatus[[#This Row],[Status]],
 IF(
  AND(
   tblTargetStatus[[#This Row],[MissingDependencies]]=1,
   tblTargetStatus[[#This Row],[FirstMissingStatus]]="READY"
  ),
  "ONE AWAY",
  "BLOCKED"
 )
)</f>
        <v>BLOCKED</v>
      </c>
      <c r="R576">
        <f>IF(
 OR(
  tblTargetStatus[[#This Row],[StateType]]="CHARACTER",
  RIGHT(tblTargetStatus[[#This Row],[TargetID]],6)=".maxed"
 ),
 0,
 _xlfn.LET(
  _xlpm.sort,
   _xlfn.XLOOKUP(
    tblTargetStatus[[#This Row],[TargetID]],
    tblChecklist[TargetID],
    tblChecklist[PlayerSort],
    0
   ),
  IF(_xlpm.sort=0,500,_xlpm.sort)
 )
)</f>
        <v>500</v>
      </c>
      <c r="S576" t="str" cm="1">
        <f t="array" ref="S57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Green Potion Finished</v>
      </c>
      <c r="T576" t="str">
        <f>_xlfn.XLOOKUP(tblTargetStatus[[#This Row],[TargetID]],tblTargets[TargetID],tblTargets[CompletionMethod],"")</f>
        <v>PLAYER</v>
      </c>
      <c r="U576" t="b">
        <f>COUNTIF(
    tblCost[TargetID],
    tblTargetStatus[[#This Row],[TargetID]]
)&gt;0</f>
        <v>1</v>
      </c>
      <c r="V576" s="81">
        <f>IF(tblTargetStatus[[#This Row],[HasCost]]=FALSE,
"N/A",
_xlfn.XLOOKUP(
tblTargetStatus[[#This Row],[TargetID]],
tblCost[TargetID],
tblCost[FundingPercent],
""
)
)</f>
        <v>0</v>
      </c>
      <c r="W576">
        <f>IF(
COUNTIF(tblCost[TargetID],tblTargetStatus[[#This Row],[TargetID]])=0,
"",
_xlfn.XLOOKUP(
tblTargetStatus[[#This Row],[TargetID]],
tblCost[TargetID],
tblCost[RemainingRequirements],
""
)
)</f>
        <v>4</v>
      </c>
      <c r="X576" s="79" t="b">
        <f>IF(tblTargetStatus[[#This Row],[HasCost]]=FALSE,"N/A",_xlfn.XLOOKUP(
tblTargetStatus[[#This Row],[TargetID]],
tblCost[TargetID],
tblCost[TargetFunded],
TRUE
))</f>
        <v>0</v>
      </c>
      <c r="Y576" t="str" cm="1">
        <f t="array" ref="Y576">_xlfn.TEXTJOIN(
", ",
TRUE,
_xlfn._xlws.FILTER(
tblCost[ResourceID]&amp;": "&amp;tblCost[QuantityRequired],
(tblCost[TargetID]=tblTargetStatus[[#This Row],[TargetID]])*
(tblCost[PlayerPaid]=FALSE),
""
)
)</f>
        <v>coin: 300, miron: 30, page: 15, ruby: 2</v>
      </c>
      <c r="Z5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6" t="str" cm="1">
        <f t="array" ref="AA57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77" spans="1:27">
      <c r="A577" t="s">
        <v>2212</v>
      </c>
      <c r="B577" t="str">
        <f>_xlfn.XLOOKUP(tblTargetStatus[[#This Row],[TargetID]],tblTargets[TargetID],tblTargets[DisplayName],"")</f>
        <v>Smithy - Treasure</v>
      </c>
      <c r="C577" t="str">
        <f>IF(tblTargetStatus[[#This Row],[PlayerCompleted]],"COMPLETED",IF(tblTargetStatus[[#This Row],[MissingDependencies]]=0,"READY","BLOCKED"))</f>
        <v>BLOCKED</v>
      </c>
      <c r="D5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7" t="str">
        <f>_xlfn.XLOOKUP(tblTargetStatus[[#This Row],[TargetID]],tblTargets[TargetID],tblTargets[TargetType],"")</f>
        <v>TECH</v>
      </c>
      <c r="F577" t="str">
        <f>_xlfn.XLOOKUP(tblTargetStatus[[#This Row],[TargetID]],tblTargets[TargetID],tblTargets[StateType])</f>
        <v/>
      </c>
      <c r="G577">
        <f>_xlfn.LET(
_xlpm.id,tblTargetStatus[[#This Row],[TargetID]],
_xlpm.depCount,COUNTIF(tblDependencies[TargetID],_xlpm.id),
_xlpm.objCount,COUNTIF(tblQuestObjectives[QuestTargetID],_xlpm.id),
_xlpm.depCount+_xlpm.objCount
)</f>
        <v>2</v>
      </c>
      <c r="H577">
        <f>tblTargetStatus[[#This Row],[DependencyCount]]</f>
        <v>2</v>
      </c>
      <c r="I577" cm="1">
        <f t="array" ref="I5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7">
        <f>tblTargetStatus[[#This Row],[CompletedDependencyCount]]</f>
        <v>0</v>
      </c>
      <c r="K577" t="b">
        <f>tblTargetStatus[[#This Row],[CompletedDependencies]]=tblTargetStatus[[#This Row],[TotalDependencies]]</f>
        <v>0</v>
      </c>
      <c r="L577">
        <f>tblTargetStatus[[#This Row],[TotalDependencies]]-tblTargetStatus[[#This Row],[CompletedDependencies]]</f>
        <v>2</v>
      </c>
      <c r="M577" t="str" cm="1">
        <f t="array" ref="M5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quest.the_ordinary_days_of_an_adventurer_chapter_3.finished</v>
      </c>
      <c r="N577" t="str">
        <f>IF(tblTargetStatus[[#This Row],[FirstMissingDependencyID]]="","",_xlfn.XLOOKUP(tblTargetStatus[[#This Row],[FirstMissingDependencyID]],tblTargets[TargetID],tblTargets[DisplayName],tblTargetStatus[[#This Row],[FirstMissingDependencyID]]))</f>
        <v>The Ordinary Days of an Adventurer Chapter 3 Finished</v>
      </c>
      <c r="O577" t="str" cm="1">
        <f t="array" ref="O5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bluecrystal,500 coin,20 greencrystal,10 grimoire,10 ingot,10 mercury,20 redcrystal,3 ruby,15 violetcrystal</v>
      </c>
      <c r="P577" t="str">
        <f>IF(tblTargetStatus[[#This Row],[FirstMissingDependencyID]]="","",_xlfn.XLOOKUP(tblTargetStatus[[#This Row],[FirstMissingDependencyID]],tblTargetStatus[TargetID],tblTargetStatus[Status],""))</f>
        <v>BLOCKED</v>
      </c>
      <c r="Q577" t="str">
        <f>IF(
 tblTargetStatus[[#This Row],[Status]]&lt;&gt;"BLOCKED",
 tblTargetStatus[[#This Row],[Status]],
 IF(
  AND(
   tblTargetStatus[[#This Row],[MissingDependencies]]=1,
   tblTargetStatus[[#This Row],[FirstMissingStatus]]="READY"
  ),
  "ONE AWAY",
  "BLOCKED"
 )
)</f>
        <v>BLOCKED</v>
      </c>
      <c r="R577">
        <f>IF(
 OR(
  tblTargetStatus[[#This Row],[StateType]]="CHARACTER",
  RIGHT(tblTargetStatus[[#This Row],[TargetID]],6)=".maxed"
 ),
 0,
 _xlfn.LET(
  _xlpm.sort,
   _xlfn.XLOOKUP(
    tblTargetStatus[[#This Row],[TargetID]],
    tblChecklist[TargetID],
    tblChecklist[PlayerSort],
    0
   ),
  IF(_xlpm.sort=0,500,_xlpm.sort)
 )
)</f>
        <v>500</v>
      </c>
      <c r="S577" t="str" cm="1">
        <f t="array" ref="S57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77" t="str">
        <f>_xlfn.XLOOKUP(tblTargetStatus[[#This Row],[TargetID]],tblTargets[TargetID],tblTargets[CompletionMethod],"")</f>
        <v>PLAYER</v>
      </c>
      <c r="U577" t="b">
        <f>COUNTIF(
    tblCost[TargetID],
    tblTargetStatus[[#This Row],[TargetID]]
)&gt;0</f>
        <v>1</v>
      </c>
      <c r="V577" s="81">
        <f>IF(tblTargetStatus[[#This Row],[HasCost]]=FALSE,
"N/A",
_xlfn.XLOOKUP(
tblTargetStatus[[#This Row],[TargetID]],
tblCost[TargetID],
tblCost[FundingPercent],
""
)
)</f>
        <v>0</v>
      </c>
      <c r="W577">
        <f>IF(
COUNTIF(tblCost[TargetID],tblTargetStatus[[#This Row],[TargetID]])=0,
"",
_xlfn.XLOOKUP(
tblTargetStatus[[#This Row],[TargetID]],
tblCost[TargetID],
tblCost[RemainingRequirements],
""
)
)</f>
        <v>9</v>
      </c>
      <c r="X577" s="79" t="b">
        <f>IF(tblTargetStatus[[#This Row],[HasCost]]=FALSE,"N/A",_xlfn.XLOOKUP(
tblTargetStatus[[#This Row],[TargetID]],
tblCost[TargetID],
tblCost[TargetFunded],
TRUE
))</f>
        <v>0</v>
      </c>
      <c r="Y577" t="str" cm="1">
        <f t="array" ref="Y577">_xlfn.TEXTJOIN(
", ",
TRUE,
_xlfn._xlws.FILTER(
tblCost[ResourceID]&amp;": "&amp;tblCost[QuantityRequired],
(tblCost[TargetID]=tblTargetStatus[[#This Row],[TargetID]])*
(tblCost[PlayerPaid]=FALSE),
""
)
)</f>
        <v>bluecrystal: 30, coin: 500, greencrystal: 20, grimoire: 10, ingot: 10, mercury: 10, redcrystal: 20, ruby: 3, violetcrystal: 15</v>
      </c>
      <c r="Z5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7" t="str" cm="1">
        <f t="array" ref="AA57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78" spans="1:27">
      <c r="A578" t="s">
        <v>2208</v>
      </c>
      <c r="B578" t="str">
        <f>_xlfn.XLOOKUP(tblTargetStatus[[#This Row],[TargetID]],tblTargets[TargetID],tblTargets[DisplayName],"")</f>
        <v>Smithy - Weapon Grease</v>
      </c>
      <c r="C578" t="str">
        <f>IF(tblTargetStatus[[#This Row],[PlayerCompleted]],"COMPLETED",IF(tblTargetStatus[[#This Row],[MissingDependencies]]=0,"READY","BLOCKED"))</f>
        <v>BLOCKED</v>
      </c>
      <c r="D5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8" t="str">
        <f>_xlfn.XLOOKUP(tblTargetStatus[[#This Row],[TargetID]],tblTargets[TargetID],tblTargets[TargetType],"")</f>
        <v>TECH</v>
      </c>
      <c r="F578" t="str">
        <f>_xlfn.XLOOKUP(tblTargetStatus[[#This Row],[TargetID]],tblTargets[TargetID],tblTargets[StateType])</f>
        <v/>
      </c>
      <c r="G578">
        <f>_xlfn.LET(
_xlpm.id,tblTargetStatus[[#This Row],[TargetID]],
_xlpm.depCount,COUNTIF(tblDependencies[TargetID],_xlpm.id),
_xlpm.objCount,COUNTIF(tblQuestObjectives[QuestTargetID],_xlpm.id),
_xlpm.depCount+_xlpm.objCount
)</f>
        <v>2</v>
      </c>
      <c r="H578">
        <f>tblTargetStatus[[#This Row],[DependencyCount]]</f>
        <v>2</v>
      </c>
      <c r="I578" cm="1">
        <f t="array" ref="I5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8">
        <f>tblTargetStatus[[#This Row],[CompletedDependencyCount]]</f>
        <v>0</v>
      </c>
      <c r="K578" t="b">
        <f>tblTargetStatus[[#This Row],[CompletedDependencies]]=tblTargetStatus[[#This Row],[TotalDependencies]]</f>
        <v>0</v>
      </c>
      <c r="L578">
        <f>tblTargetStatus[[#This Row],[TotalDependencies]]-tblTargetStatus[[#This Row],[CompletedDependencies]]</f>
        <v>2</v>
      </c>
      <c r="M578" t="str" cm="1">
        <f t="array" ref="M5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tech.smithy.sword_for_a_hero_lvl_1</v>
      </c>
      <c r="N578" t="str">
        <f>IF(tblTargetStatus[[#This Row],[FirstMissingDependencyID]]="","",_xlfn.XLOOKUP(tblTargetStatus[[#This Row],[FirstMissingDependencyID]],tblTargets[TargetID],tblTargets[DisplayName],tblTargetStatus[[#This Row],[FirstMissingDependencyID]]))</f>
        <v>Smithy - Sword For A Hero Lvl 1</v>
      </c>
      <c r="O578" t="str" cm="1">
        <f t="array" ref="O5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blueprint,500 coin,10 oil,15 reagent,2 ruby</v>
      </c>
      <c r="P578" t="str">
        <f>IF(tblTargetStatus[[#This Row],[FirstMissingDependencyID]]="","",_xlfn.XLOOKUP(tblTargetStatus[[#This Row],[FirstMissingDependencyID]],tblTargetStatus[TargetID],tblTargetStatus[Status],""))</f>
        <v>BLOCKED</v>
      </c>
      <c r="Q578" t="str">
        <f>IF(
 tblTargetStatus[[#This Row],[Status]]&lt;&gt;"BLOCKED",
 tblTargetStatus[[#This Row],[Status]],
 IF(
  AND(
   tblTargetStatus[[#This Row],[MissingDependencies]]=1,
   tblTargetStatus[[#This Row],[FirstMissingStatus]]="READY"
  ),
  "ONE AWAY",
  "BLOCKED"
 )
)</f>
        <v>BLOCKED</v>
      </c>
      <c r="R578">
        <f>IF(
 OR(
  tblTargetStatus[[#This Row],[StateType]]="CHARACTER",
  RIGHT(tblTargetStatus[[#This Row],[TargetID]],6)=".maxed"
 ),
 0,
 _xlfn.LET(
  _xlpm.sort,
   _xlfn.XLOOKUP(
    tblTargetStatus[[#This Row],[TargetID]],
    tblChecklist[TargetID],
    tblChecklist[PlayerSort],
    0
   ),
  IF(_xlpm.sort=0,500,_xlpm.sort)
 )
)</f>
        <v>500</v>
      </c>
      <c r="S578" t="str" cm="1">
        <f t="array" ref="S57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78" t="str">
        <f>_xlfn.XLOOKUP(tblTargetStatus[[#This Row],[TargetID]],tblTargets[TargetID],tblTargets[CompletionMethod],"")</f>
        <v>PLAYER</v>
      </c>
      <c r="U578" t="b">
        <f>COUNTIF(
    tblCost[TargetID],
    tblTargetStatus[[#This Row],[TargetID]]
)&gt;0</f>
        <v>1</v>
      </c>
      <c r="V578" s="81">
        <f>IF(tblTargetStatus[[#This Row],[HasCost]]=FALSE,
"N/A",
_xlfn.XLOOKUP(
tblTargetStatus[[#This Row],[TargetID]],
tblCost[TargetID],
tblCost[FundingPercent],
""
)
)</f>
        <v>0</v>
      </c>
      <c r="W578">
        <f>IF(
COUNTIF(tblCost[TargetID],tblTargetStatus[[#This Row],[TargetID]])=0,
"",
_xlfn.XLOOKUP(
tblTargetStatus[[#This Row],[TargetID]],
tblCost[TargetID],
tblCost[RemainingRequirements],
""
)
)</f>
        <v>5</v>
      </c>
      <c r="X578" s="79" t="b">
        <f>IF(tblTargetStatus[[#This Row],[HasCost]]=FALSE,"N/A",_xlfn.XLOOKUP(
tblTargetStatus[[#This Row],[TargetID]],
tblCost[TargetID],
tblCost[TargetFunded],
TRUE
))</f>
        <v>0</v>
      </c>
      <c r="Y578" t="str" cm="1">
        <f t="array" ref="Y578">_xlfn.TEXTJOIN(
", ",
TRUE,
_xlfn._xlws.FILTER(
tblCost[ResourceID]&amp;": "&amp;tblCost[QuantityRequired],
(tblCost[TargetID]=tblTargetStatus[[#This Row],[TargetID]])*
(tblCost[PlayerPaid]=FALSE),
""
)
)</f>
        <v>blueprint: 15, coin: 500, oil: 10, reagent: 15, ruby: 2</v>
      </c>
      <c r="Z5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8" t="str" cm="1">
        <f t="array" ref="AA57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79" spans="1:27">
      <c r="A579" t="s">
        <v>2214</v>
      </c>
      <c r="B579" t="str">
        <f>_xlfn.XLOOKUP(tblTargetStatus[[#This Row],[TargetID]],tblTargets[TargetID],tblTargets[DisplayName],"")</f>
        <v>Tailor - Ariadnes Thread</v>
      </c>
      <c r="C579" t="str">
        <f>IF(tblTargetStatus[[#This Row],[PlayerCompleted]],"COMPLETED",IF(tblTargetStatus[[#This Row],[MissingDependencies]]=0,"READY","BLOCKED"))</f>
        <v>BLOCKED</v>
      </c>
      <c r="D5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9" t="str">
        <f>_xlfn.XLOOKUP(tblTargetStatus[[#This Row],[TargetID]],tblTargets[TargetID],tblTargets[TargetType],"")</f>
        <v>TECH</v>
      </c>
      <c r="F579" t="str">
        <f>_xlfn.XLOOKUP(tblTargetStatus[[#This Row],[TargetID]],tblTargets[TargetID],tblTargets[StateType])</f>
        <v/>
      </c>
      <c r="G579">
        <f>_xlfn.LET(
_xlpm.id,tblTargetStatus[[#This Row],[TargetID]],
_xlpm.depCount,COUNTIF(tblDependencies[TargetID],_xlpm.id),
_xlpm.objCount,COUNTIF(tblQuestObjectives[QuestTargetID],_xlpm.id),
_xlpm.depCount+_xlpm.objCount
)</f>
        <v>2</v>
      </c>
      <c r="H579">
        <f>tblTargetStatus[[#This Row],[DependencyCount]]</f>
        <v>2</v>
      </c>
      <c r="I579" cm="1">
        <f t="array" ref="I5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9">
        <f>tblTargetStatus[[#This Row],[CompletedDependencyCount]]</f>
        <v>0</v>
      </c>
      <c r="K579" t="b">
        <f>tblTargetStatus[[#This Row],[CompletedDependencies]]=tblTargetStatus[[#This Row],[TotalDependencies]]</f>
        <v>0</v>
      </c>
      <c r="L579">
        <f>tblTargetStatus[[#This Row],[TotalDependencies]]-tblTargetStatus[[#This Row],[CompletedDependencies]]</f>
        <v>2</v>
      </c>
      <c r="M579" t="str" cm="1">
        <f t="array" ref="M5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579" t="str">
        <f>IF(tblTargetStatus[[#This Row],[FirstMissingDependencyID]]="","",_xlfn.XLOOKUP(tblTargetStatus[[#This Row],[FirstMissingDependencyID]],tblTargets[TargetID],tblTargets[DisplayName],tblTargetStatus[[#This Row],[FirstMissingDependencyID]]))</f>
        <v>Tailor Lv 2</v>
      </c>
      <c r="O579" t="str" cm="1">
        <f t="array" ref="O5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coin,20 elixir,10 page,1 ring1,2 ruby,10 thread</v>
      </c>
      <c r="P579" t="str">
        <f>IF(tblTargetStatus[[#This Row],[FirstMissingDependencyID]]="","",_xlfn.XLOOKUP(tblTargetStatus[[#This Row],[FirstMissingDependencyID]],tblTargetStatus[TargetID],tblTargetStatus[Status],""))</f>
        <v>BLOCKED</v>
      </c>
      <c r="Q579" t="str">
        <f>IF(
 tblTargetStatus[[#This Row],[Status]]&lt;&gt;"BLOCKED",
 tblTargetStatus[[#This Row],[Status]],
 IF(
  AND(
   tblTargetStatus[[#This Row],[MissingDependencies]]=1,
   tblTargetStatus[[#This Row],[FirstMissingStatus]]="READY"
  ),
  "ONE AWAY",
  "BLOCKED"
 )
)</f>
        <v>BLOCKED</v>
      </c>
      <c r="R579">
        <f>IF(
 OR(
  tblTargetStatus[[#This Row],[StateType]]="CHARACTER",
  RIGHT(tblTargetStatus[[#This Row],[TargetID]],6)=".maxed"
 ),
 0,
 _xlfn.LET(
  _xlpm.sort,
   _xlfn.XLOOKUP(
    tblTargetStatus[[#This Row],[TargetID]],
    tblChecklist[TargetID],
    tblChecklist[PlayerSort],
    0
   ),
  IF(_xlpm.sort=0,500,_xlpm.sort)
 )
)</f>
        <v>500</v>
      </c>
      <c r="S579" t="str" cm="1">
        <f t="array" ref="S57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79" t="str">
        <f>_xlfn.XLOOKUP(tblTargetStatus[[#This Row],[TargetID]],tblTargets[TargetID],tblTargets[CompletionMethod],"")</f>
        <v>PLAYER</v>
      </c>
      <c r="U579" t="b">
        <f>COUNTIF(
    tblCost[TargetID],
    tblTargetStatus[[#This Row],[TargetID]]
)&gt;0</f>
        <v>1</v>
      </c>
      <c r="V579" s="81">
        <f>IF(tblTargetStatus[[#This Row],[HasCost]]=FALSE,
"N/A",
_xlfn.XLOOKUP(
tblTargetStatus[[#This Row],[TargetID]],
tblCost[TargetID],
tblCost[FundingPercent],
""
)
)</f>
        <v>0</v>
      </c>
      <c r="W579">
        <f>IF(
COUNTIF(tblCost[TargetID],tblTargetStatus[[#This Row],[TargetID]])=0,
"",
_xlfn.XLOOKUP(
tblTargetStatus[[#This Row],[TargetID]],
tblCost[TargetID],
tblCost[RemainingRequirements],
""
)
)</f>
        <v>6</v>
      </c>
      <c r="X579" s="79" t="b">
        <f>IF(tblTargetStatus[[#This Row],[HasCost]]=FALSE,"N/A",_xlfn.XLOOKUP(
tblTargetStatus[[#This Row],[TargetID]],
tblCost[TargetID],
tblCost[TargetFunded],
TRUE
))</f>
        <v>0</v>
      </c>
      <c r="Y579" t="str" cm="1">
        <f t="array" ref="Y579">_xlfn.TEXTJOIN(
", ",
TRUE,
_xlfn._xlws.FILTER(
tblCost[ResourceID]&amp;": "&amp;tblCost[QuantityRequired],
(tblCost[TargetID]=tblTargetStatus[[#This Row],[TargetID]])*
(tblCost[PlayerPaid]=FALSE),
""
)
)</f>
        <v>coin: 300, elixir: 20, page: 10, ring1: 1, ruby: 2, thread: 10</v>
      </c>
      <c r="Z5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9" t="str" cm="1">
        <f t="array" ref="AA57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80" spans="1:27">
      <c r="A580" t="s">
        <v>2220</v>
      </c>
      <c r="B580" t="str">
        <f>_xlfn.XLOOKUP(tblTargetStatus[[#This Row],[TargetID]],tblTargets[TargetID],tblTargets[DisplayName],"")</f>
        <v>Tailor - Armor For A Hero Lvl 1</v>
      </c>
      <c r="C580" t="str">
        <f>IF(tblTargetStatus[[#This Row],[PlayerCompleted]],"COMPLETED",IF(tblTargetStatus[[#This Row],[MissingDependencies]]=0,"READY","BLOCKED"))</f>
        <v>BLOCKED</v>
      </c>
      <c r="D5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0" t="str">
        <f>_xlfn.XLOOKUP(tblTargetStatus[[#This Row],[TargetID]],tblTargets[TargetID],tblTargets[TargetType],"")</f>
        <v>TECH</v>
      </c>
      <c r="F580" t="str">
        <f>_xlfn.XLOOKUP(tblTargetStatus[[#This Row],[TargetID]],tblTargets[TargetID],tblTargets[StateType])</f>
        <v/>
      </c>
      <c r="G580">
        <f>_xlfn.LET(
_xlpm.id,tblTargetStatus[[#This Row],[TargetID]],
_xlpm.depCount,COUNTIF(tblDependencies[TargetID],_xlpm.id),
_xlpm.objCount,COUNTIF(tblQuestObjectives[QuestTargetID],_xlpm.id),
_xlpm.depCount+_xlpm.objCount
)</f>
        <v>2</v>
      </c>
      <c r="H580">
        <f>tblTargetStatus[[#This Row],[DependencyCount]]</f>
        <v>2</v>
      </c>
      <c r="I580" cm="1">
        <f t="array" ref="I5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0">
        <f>tblTargetStatus[[#This Row],[CompletedDependencyCount]]</f>
        <v>0</v>
      </c>
      <c r="K580" t="b">
        <f>tblTargetStatus[[#This Row],[CompletedDependencies]]=tblTargetStatus[[#This Row],[TotalDependencies]]</f>
        <v>0</v>
      </c>
      <c r="L580">
        <f>tblTargetStatus[[#This Row],[TotalDependencies]]-tblTargetStatus[[#This Row],[CompletedDependencies]]</f>
        <v>2</v>
      </c>
      <c r="M580" t="str" cm="1">
        <f t="array" ref="M5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580" t="str">
        <f>IF(tblTargetStatus[[#This Row],[FirstMissingDependencyID]]="","",_xlfn.XLOOKUP(tblTargetStatus[[#This Row],[FirstMissingDependencyID]],tblTargets[TargetID],tblTargets[DisplayName],tblTargetStatus[[#This Row],[FirstMissingDependencyID]]))</f>
        <v>Tailor Lv 2</v>
      </c>
      <c r="O580" t="str" cm="1">
        <f t="array" ref="O5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coin,50 miron,30 page,3 ruby,10 silk,5 thread</v>
      </c>
      <c r="P580" t="str">
        <f>IF(tblTargetStatus[[#This Row],[FirstMissingDependencyID]]="","",_xlfn.XLOOKUP(tblTargetStatus[[#This Row],[FirstMissingDependencyID]],tblTargetStatus[TargetID],tblTargetStatus[Status],""))</f>
        <v>BLOCKED</v>
      </c>
      <c r="Q580" t="str">
        <f>IF(
 tblTargetStatus[[#This Row],[Status]]&lt;&gt;"BLOCKED",
 tblTargetStatus[[#This Row],[Status]],
 IF(
  AND(
   tblTargetStatus[[#This Row],[MissingDependencies]]=1,
   tblTargetStatus[[#This Row],[FirstMissingStatus]]="READY"
  ),
  "ONE AWAY",
  "BLOCKED"
 )
)</f>
        <v>BLOCKED</v>
      </c>
      <c r="R580">
        <f>IF(
 OR(
  tblTargetStatus[[#This Row],[StateType]]="CHARACTER",
  RIGHT(tblTargetStatus[[#This Row],[TargetID]],6)=".maxed"
 ),
 0,
 _xlfn.LET(
  _xlpm.sort,
   _xlfn.XLOOKUP(
    tblTargetStatus[[#This Row],[TargetID]],
    tblChecklist[TargetID],
    tblChecklist[PlayerSort],
    0
   ),
  IF(_xlpm.sort=0,500,_xlpm.sort)
 )
)</f>
        <v>500</v>
      </c>
      <c r="S580" t="str" cm="1">
        <f t="array" ref="S58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Tailor - Armor For A Hero Lvl 2, Tailor - Strong Rivets</v>
      </c>
      <c r="T580" t="str">
        <f>_xlfn.XLOOKUP(tblTargetStatus[[#This Row],[TargetID]],tblTargets[TargetID],tblTargets[CompletionMethod],"")</f>
        <v>PLAYER</v>
      </c>
      <c r="U580" t="b">
        <f>COUNTIF(
    tblCost[TargetID],
    tblTargetStatus[[#This Row],[TargetID]]
)&gt;0</f>
        <v>1</v>
      </c>
      <c r="V580" s="81">
        <f>IF(tblTargetStatus[[#This Row],[HasCost]]=FALSE,
"N/A",
_xlfn.XLOOKUP(
tblTargetStatus[[#This Row],[TargetID]],
tblCost[TargetID],
tblCost[FundingPercent],
""
)
)</f>
        <v>0</v>
      </c>
      <c r="W580">
        <f>IF(
COUNTIF(tblCost[TargetID],tblTargetStatus[[#This Row],[TargetID]])=0,
"",
_xlfn.XLOOKUP(
tblTargetStatus[[#This Row],[TargetID]],
tblCost[TargetID],
tblCost[RemainingRequirements],
""
)
)</f>
        <v>6</v>
      </c>
      <c r="X580" s="79" t="b">
        <f>IF(tblTargetStatus[[#This Row],[HasCost]]=FALSE,"N/A",_xlfn.XLOOKUP(
tblTargetStatus[[#This Row],[TargetID]],
tblCost[TargetID],
tblCost[TargetFunded],
TRUE
))</f>
        <v>0</v>
      </c>
      <c r="Y580" t="str" cm="1">
        <f t="array" ref="Y580">_xlfn.TEXTJOIN(
", ",
TRUE,
_xlfn._xlws.FILTER(
tblCost[ResourceID]&amp;": "&amp;tblCost[QuantityRequired],
(tblCost[TargetID]=tblTargetStatus[[#This Row],[TargetID]])*
(tblCost[PlayerPaid]=FALSE),
""
)
)</f>
        <v>coin: 500, miron: 50, page: 30, ruby: 3, silk: 10, thread: 5</v>
      </c>
      <c r="Z5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0" t="str" cm="1">
        <f t="array" ref="AA58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81" spans="1:27">
      <c r="A581" t="s">
        <v>2222</v>
      </c>
      <c r="B581" t="str">
        <f>_xlfn.XLOOKUP(tblTargetStatus[[#This Row],[TargetID]],tblTargets[TargetID],tblTargets[DisplayName],"")</f>
        <v>Tailor - Armor For A Hero Lvl 2</v>
      </c>
      <c r="C581" t="str">
        <f>IF(tblTargetStatus[[#This Row],[PlayerCompleted]],"COMPLETED",IF(tblTargetStatus[[#This Row],[MissingDependencies]]=0,"READY","BLOCKED"))</f>
        <v>BLOCKED</v>
      </c>
      <c r="D5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1" t="str">
        <f>_xlfn.XLOOKUP(tblTargetStatus[[#This Row],[TargetID]],tblTargets[TargetID],tblTargets[TargetType],"")</f>
        <v>TECH</v>
      </c>
      <c r="F581" t="str">
        <f>_xlfn.XLOOKUP(tblTargetStatus[[#This Row],[TargetID]],tblTargets[TargetID],tblTargets[StateType])</f>
        <v/>
      </c>
      <c r="G581">
        <f>_xlfn.LET(
_xlpm.id,tblTargetStatus[[#This Row],[TargetID]],
_xlpm.depCount,COUNTIF(tblDependencies[TargetID],_xlpm.id),
_xlpm.objCount,COUNTIF(tblQuestObjectives[QuestTargetID],_xlpm.id),
_xlpm.depCount+_xlpm.objCount
)</f>
        <v>2</v>
      </c>
      <c r="H581">
        <f>tblTargetStatus[[#This Row],[DependencyCount]]</f>
        <v>2</v>
      </c>
      <c r="I581" cm="1">
        <f t="array" ref="I5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1">
        <f>tblTargetStatus[[#This Row],[CompletedDependencyCount]]</f>
        <v>0</v>
      </c>
      <c r="K581" t="b">
        <f>tblTargetStatus[[#This Row],[CompletedDependencies]]=tblTargetStatus[[#This Row],[TotalDependencies]]</f>
        <v>0</v>
      </c>
      <c r="L581">
        <f>tblTargetStatus[[#This Row],[TotalDependencies]]-tblTargetStatus[[#This Row],[CompletedDependencies]]</f>
        <v>2</v>
      </c>
      <c r="M581" t="str" cm="1">
        <f t="array" ref="M5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tech.tailor.armor_for_a_hero_lvl_1</v>
      </c>
      <c r="N581" t="str">
        <f>IF(tblTargetStatus[[#This Row],[FirstMissingDependencyID]]="","",_xlfn.XLOOKUP(tblTargetStatus[[#This Row],[FirstMissingDependencyID]],tblTargets[TargetID],tblTargets[DisplayName],tblTargetStatus[[#This Row],[FirstMissingDependencyID]]))</f>
        <v>Tailor - Armor For A Hero Lvl 1</v>
      </c>
      <c r="O581" t="str" cm="1">
        <f t="array" ref="O5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blueprint,1000 coin,50 msteel,5 ruby,20 silk,10 thread</v>
      </c>
      <c r="P581" t="str">
        <f>IF(tblTargetStatus[[#This Row],[FirstMissingDependencyID]]="","",_xlfn.XLOOKUP(tblTargetStatus[[#This Row],[FirstMissingDependencyID]],tblTargetStatus[TargetID],tblTargetStatus[Status],""))</f>
        <v>BLOCKED</v>
      </c>
      <c r="Q581" t="str">
        <f>IF(
 tblTargetStatus[[#This Row],[Status]]&lt;&gt;"BLOCKED",
 tblTargetStatus[[#This Row],[Status]],
 IF(
  AND(
   tblTargetStatus[[#This Row],[MissingDependencies]]=1,
   tblTargetStatus[[#This Row],[FirstMissingStatus]]="READY"
  ),
  "ONE AWAY",
  "BLOCKED"
 )
)</f>
        <v>BLOCKED</v>
      </c>
      <c r="R581">
        <f>IF(
 OR(
  tblTargetStatus[[#This Row],[StateType]]="CHARACTER",
  RIGHT(tblTargetStatus[[#This Row],[TargetID]],6)=".maxed"
 ),
 0,
 _xlfn.LET(
  _xlpm.sort,
   _xlfn.XLOOKUP(
    tblTargetStatus[[#This Row],[TargetID]],
    tblChecklist[TargetID],
    tblChecklist[PlayerSort],
    0
   ),
  IF(_xlpm.sort=0,500,_xlpm.sort)
 )
)</f>
        <v>500</v>
      </c>
      <c r="S581" t="str" cm="1">
        <f t="array" ref="S58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Tailor - Armor For A Hero Lvl 3</v>
      </c>
      <c r="T581" t="str">
        <f>_xlfn.XLOOKUP(tblTargetStatus[[#This Row],[TargetID]],tblTargets[TargetID],tblTargets[CompletionMethod],"")</f>
        <v>PLAYER</v>
      </c>
      <c r="U581" t="b">
        <f>COUNTIF(
    tblCost[TargetID],
    tblTargetStatus[[#This Row],[TargetID]]
)&gt;0</f>
        <v>1</v>
      </c>
      <c r="V581" s="81">
        <f>IF(tblTargetStatus[[#This Row],[HasCost]]=FALSE,
"N/A",
_xlfn.XLOOKUP(
tblTargetStatus[[#This Row],[TargetID]],
tblCost[TargetID],
tblCost[FundingPercent],
""
)
)</f>
        <v>0</v>
      </c>
      <c r="W581">
        <f>IF(
COUNTIF(tblCost[TargetID],tblTargetStatus[[#This Row],[TargetID]])=0,
"",
_xlfn.XLOOKUP(
tblTargetStatus[[#This Row],[TargetID]],
tblCost[TargetID],
tblCost[RemainingRequirements],
""
)
)</f>
        <v>6</v>
      </c>
      <c r="X581" s="79" t="b">
        <f>IF(tblTargetStatus[[#This Row],[HasCost]]=FALSE,"N/A",_xlfn.XLOOKUP(
tblTargetStatus[[#This Row],[TargetID]],
tblCost[TargetID],
tblCost[TargetFunded],
TRUE
))</f>
        <v>0</v>
      </c>
      <c r="Y581" t="str" cm="1">
        <f t="array" ref="Y581">_xlfn.TEXTJOIN(
", ",
TRUE,
_xlfn._xlws.FILTER(
tblCost[ResourceID]&amp;": "&amp;tblCost[QuantityRequired],
(tblCost[TargetID]=tblTargetStatus[[#This Row],[TargetID]])*
(tblCost[PlayerPaid]=FALSE),
""
)
)</f>
        <v>blueprint: 20, coin: 1000, msteel: 50, ruby: 5, silk: 20, thread: 10</v>
      </c>
      <c r="Z5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1" t="str" cm="1">
        <f t="array" ref="AA58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82" spans="1:27">
      <c r="A582" t="s">
        <v>2224</v>
      </c>
      <c r="B582" t="str">
        <f>_xlfn.XLOOKUP(tblTargetStatus[[#This Row],[TargetID]],tblTargets[TargetID],tblTargets[DisplayName],"")</f>
        <v>Tailor - Armor For A Hero Lvl 3</v>
      </c>
      <c r="C582" t="str">
        <f>IF(tblTargetStatus[[#This Row],[PlayerCompleted]],"COMPLETED",IF(tblTargetStatus[[#This Row],[MissingDependencies]]=0,"READY","BLOCKED"))</f>
        <v>BLOCKED</v>
      </c>
      <c r="D5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2" t="str">
        <f>_xlfn.XLOOKUP(tblTargetStatus[[#This Row],[TargetID]],tblTargets[TargetID],tblTargets[TargetType],"")</f>
        <v>TECH</v>
      </c>
      <c r="F582" t="str">
        <f>_xlfn.XLOOKUP(tblTargetStatus[[#This Row],[TargetID]],tblTargets[TargetID],tblTargets[StateType])</f>
        <v/>
      </c>
      <c r="G582">
        <f>_xlfn.LET(
_xlpm.id,tblTargetStatus[[#This Row],[TargetID]],
_xlpm.depCount,COUNTIF(tblDependencies[TargetID],_xlpm.id),
_xlpm.objCount,COUNTIF(tblQuestObjectives[QuestTargetID],_xlpm.id),
_xlpm.depCount+_xlpm.objCount
)</f>
        <v>2</v>
      </c>
      <c r="H582">
        <f>tblTargetStatus[[#This Row],[DependencyCount]]</f>
        <v>2</v>
      </c>
      <c r="I582" cm="1">
        <f t="array" ref="I5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2">
        <f>tblTargetStatus[[#This Row],[CompletedDependencyCount]]</f>
        <v>0</v>
      </c>
      <c r="K582" t="b">
        <f>tblTargetStatus[[#This Row],[CompletedDependencies]]=tblTargetStatus[[#This Row],[TotalDependencies]]</f>
        <v>0</v>
      </c>
      <c r="L582">
        <f>tblTargetStatus[[#This Row],[TotalDependencies]]-tblTargetStatus[[#This Row],[CompletedDependencies]]</f>
        <v>2</v>
      </c>
      <c r="M582" t="str" cm="1">
        <f t="array" ref="M5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tech.tailor.armor_for_a_hero_lvl_2</v>
      </c>
      <c r="N582" t="str">
        <f>IF(tblTargetStatus[[#This Row],[FirstMissingDependencyID]]="","",_xlfn.XLOOKUP(tblTargetStatus[[#This Row],[FirstMissingDependencyID]],tblTargets[TargetID],tblTargets[DisplayName],tblTargetStatus[[#This Row],[FirstMissingDependencyID]]))</f>
        <v>Tailor - Armor For A Hero Lvl 2</v>
      </c>
      <c r="O582" t="str" cm="1">
        <f t="array" ref="O5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coin,75 msteel,7 ruby,30 silk,15 thread</v>
      </c>
      <c r="P582" t="str">
        <f>IF(tblTargetStatus[[#This Row],[FirstMissingDependencyID]]="","",_xlfn.XLOOKUP(tblTargetStatus[[#This Row],[FirstMissingDependencyID]],tblTargetStatus[TargetID],tblTargetStatus[Status],""))</f>
        <v>BLOCKED</v>
      </c>
      <c r="Q582" t="str">
        <f>IF(
 tblTargetStatus[[#This Row],[Status]]&lt;&gt;"BLOCKED",
 tblTargetStatus[[#This Row],[Status]],
 IF(
  AND(
   tblTargetStatus[[#This Row],[MissingDependencies]]=1,
   tblTargetStatus[[#This Row],[FirstMissingStatus]]="READY"
  ),
  "ONE AWAY",
  "BLOCKED"
 )
)</f>
        <v>BLOCKED</v>
      </c>
      <c r="R582">
        <f>IF(
 OR(
  tblTargetStatus[[#This Row],[StateType]]="CHARACTER",
  RIGHT(tblTargetStatus[[#This Row],[TargetID]],6)=".maxed"
 ),
 0,
 _xlfn.LET(
  _xlpm.sort,
   _xlfn.XLOOKUP(
    tblTargetStatus[[#This Row],[TargetID]],
    tblChecklist[TargetID],
    tblChecklist[PlayerSort],
    0
   ),
  IF(_xlpm.sort=0,500,_xlpm.sort)
 )
)</f>
        <v>500</v>
      </c>
      <c r="S582" t="str" cm="1">
        <f t="array" ref="S58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82" t="str">
        <f>_xlfn.XLOOKUP(tblTargetStatus[[#This Row],[TargetID]],tblTargets[TargetID],tblTargets[CompletionMethod],"")</f>
        <v>PLAYER</v>
      </c>
      <c r="U582" t="b">
        <f>COUNTIF(
    tblCost[TargetID],
    tblTargetStatus[[#This Row],[TargetID]]
)&gt;0</f>
        <v>1</v>
      </c>
      <c r="V582" s="81">
        <f>IF(tblTargetStatus[[#This Row],[HasCost]]=FALSE,
"N/A",
_xlfn.XLOOKUP(
tblTargetStatus[[#This Row],[TargetID]],
tblCost[TargetID],
tblCost[FundingPercent],
""
)
)</f>
        <v>0</v>
      </c>
      <c r="W582">
        <f>IF(
COUNTIF(tblCost[TargetID],tblTargetStatus[[#This Row],[TargetID]])=0,
"",
_xlfn.XLOOKUP(
tblTargetStatus[[#This Row],[TargetID]],
tblCost[TargetID],
tblCost[RemainingRequirements],
""
)
)</f>
        <v>6</v>
      </c>
      <c r="X582" s="79" t="b">
        <f>IF(tblTargetStatus[[#This Row],[HasCost]]=FALSE,"N/A",_xlfn.XLOOKUP(
tblTargetStatus[[#This Row],[TargetID]],
tblCost[TargetID],
tblCost[TargetFunded],
TRUE
))</f>
        <v>0</v>
      </c>
      <c r="Y582" t="str" cm="1">
        <f t="array" ref="Y582">_xlfn.TEXTJOIN(
", ",
TRUE,
_xlfn._xlws.FILTER(
tblCost[ResourceID]&amp;": "&amp;tblCost[QuantityRequired],
(tblCost[TargetID]=tblTargetStatus[[#This Row],[TargetID]])*
(tblCost[PlayerPaid]=FALSE),
""
)
)</f>
        <v>blueprint: 30, coin: 1500, msteel: 75, ruby: 7, silk: 30, thread: 15</v>
      </c>
      <c r="Z5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2" t="str" cm="1">
        <f t="array" ref="AA58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83" spans="1:27">
      <c r="A583" t="s">
        <v>2226</v>
      </c>
      <c r="B583" t="str">
        <f>_xlfn.XLOOKUP(tblTargetStatus[[#This Row],[TargetID]],tblTargets[TargetID],tblTargets[DisplayName],"")</f>
        <v>Tailor - Armor For A Hero Lvl 4</v>
      </c>
      <c r="C583" t="str">
        <f>IF(tblTargetStatus[[#This Row],[PlayerCompleted]],"COMPLETED",IF(tblTargetStatus[[#This Row],[MissingDependencies]]=0,"READY","BLOCKED"))</f>
        <v>BLOCKED</v>
      </c>
      <c r="D5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3" t="str">
        <f>_xlfn.XLOOKUP(tblTargetStatus[[#This Row],[TargetID]],tblTargets[TargetID],tblTargets[TargetType],"")</f>
        <v>TECH</v>
      </c>
      <c r="F583" t="str">
        <f>_xlfn.XLOOKUP(tblTargetStatus[[#This Row],[TargetID]],tblTargets[TargetID],tblTargets[StateType])</f>
        <v/>
      </c>
      <c r="G583">
        <f>_xlfn.LET(
_xlpm.id,tblTargetStatus[[#This Row],[TargetID]],
_xlpm.depCount,COUNTIF(tblDependencies[TargetID],_xlpm.id),
_xlpm.objCount,COUNTIF(tblQuestObjectives[QuestTargetID],_xlpm.id),
_xlpm.depCount+_xlpm.objCount
)</f>
        <v>4</v>
      </c>
      <c r="H583">
        <f>tblTargetStatus[[#This Row],[DependencyCount]]</f>
        <v>4</v>
      </c>
      <c r="I583" cm="1">
        <f t="array" ref="I5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3">
        <f>tblTargetStatus[[#This Row],[CompletedDependencyCount]]</f>
        <v>0</v>
      </c>
      <c r="K583" t="b">
        <f>tblTargetStatus[[#This Row],[CompletedDependencies]]=tblTargetStatus[[#This Row],[TotalDependencies]]</f>
        <v>0</v>
      </c>
      <c r="L583">
        <f>tblTargetStatus[[#This Row],[TotalDependencies]]-tblTargetStatus[[#This Row],[CompletedDependencies]]</f>
        <v>4</v>
      </c>
      <c r="M583" t="str" cm="1">
        <f t="array" ref="M5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tech.tailor.salamander_velour</v>
      </c>
      <c r="N583" t="str">
        <f>IF(tblTargetStatus[[#This Row],[FirstMissingDependencyID]]="","",_xlfn.XLOOKUP(tblTargetStatus[[#This Row],[FirstMissingDependencyID]],tblTargets[TargetID],tblTargets[DisplayName],tblTargetStatus[[#This Row],[FirstMissingDependencyID]]))</f>
        <v>Tailor - Salamander Velour</v>
      </c>
      <c r="O583" t="str" cm="1">
        <f t="array" ref="O5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blueprint,500 coin,20 grimoire,5 mechanism,3 ruby,20 tparts,6 velour</v>
      </c>
      <c r="P583" t="str">
        <f>IF(tblTargetStatus[[#This Row],[FirstMissingDependencyID]]="","",_xlfn.XLOOKUP(tblTargetStatus[[#This Row],[FirstMissingDependencyID]],tblTargetStatus[TargetID],tblTargetStatus[Status],""))</f>
        <v>BLOCKED</v>
      </c>
      <c r="Q583" t="str">
        <f>IF(
 tblTargetStatus[[#This Row],[Status]]&lt;&gt;"BLOCKED",
 tblTargetStatus[[#This Row],[Status]],
 IF(
  AND(
   tblTargetStatus[[#This Row],[MissingDependencies]]=1,
   tblTargetStatus[[#This Row],[FirstMissingStatus]]="READY"
  ),
  "ONE AWAY",
  "BLOCKED"
 )
)</f>
        <v>BLOCKED</v>
      </c>
      <c r="R583">
        <f>IF(
 OR(
  tblTargetStatus[[#This Row],[StateType]]="CHARACTER",
  RIGHT(tblTargetStatus[[#This Row],[TargetID]],6)=".maxed"
 ),
 0,
 _xlfn.LET(
  _xlpm.sort,
   _xlfn.XLOOKUP(
    tblTargetStatus[[#This Row],[TargetID]],
    tblChecklist[TargetID],
    tblChecklist[PlayerSort],
    0
   ),
  IF(_xlpm.sort=0,500,_xlpm.sort)
 )
)</f>
        <v>500</v>
      </c>
      <c r="S583" t="str" cm="1">
        <f t="array" ref="S58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1 Accepted, Craft Armor 4, Tailor - Armor For A Hero Lvl 4+, Once Upon a Forest Chapter 9 Finished</v>
      </c>
      <c r="T583" t="str">
        <f>_xlfn.XLOOKUP(tblTargetStatus[[#This Row],[TargetID]],tblTargets[TargetID],tblTargets[CompletionMethod],"")</f>
        <v>PLAYER</v>
      </c>
      <c r="U583" t="b">
        <f>COUNTIF(
    tblCost[TargetID],
    tblTargetStatus[[#This Row],[TargetID]]
)&gt;0</f>
        <v>1</v>
      </c>
      <c r="V583" s="81">
        <f>IF(tblTargetStatus[[#This Row],[HasCost]]=FALSE,
"N/A",
_xlfn.XLOOKUP(
tblTargetStatus[[#This Row],[TargetID]],
tblCost[TargetID],
tblCost[FundingPercent],
""
)
)</f>
        <v>0</v>
      </c>
      <c r="W583">
        <f>IF(
COUNTIF(tblCost[TargetID],tblTargetStatus[[#This Row],[TargetID]])=0,
"",
_xlfn.XLOOKUP(
tblTargetStatus[[#This Row],[TargetID]],
tblCost[TargetID],
tblCost[RemainingRequirements],
""
)
)</f>
        <v>7</v>
      </c>
      <c r="X583" s="79" t="b">
        <f>IF(tblTargetStatus[[#This Row],[HasCost]]=FALSE,"N/A",_xlfn.XLOOKUP(
tblTargetStatus[[#This Row],[TargetID]],
tblCost[TargetID],
tblCost[TargetFunded],
TRUE
))</f>
        <v>0</v>
      </c>
      <c r="Y583" t="str" cm="1">
        <f t="array" ref="Y583">_xlfn.TEXTJOIN(
", ",
TRUE,
_xlfn._xlws.FILTER(
tblCost[ResourceID]&amp;": "&amp;tblCost[QuantityRequired],
(tblCost[TargetID]=tblTargetStatus[[#This Row],[TargetID]])*
(tblCost[PlayerPaid]=FALSE),
""
)
)</f>
        <v>blueprint: 30, coin: 500, grimoire: 20, mechanism: 5, ruby: 3, tparts: 20, velour: 6</v>
      </c>
      <c r="Z5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3" t="str" cm="1">
        <f t="array" ref="AA58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1</v>
      </c>
    </row>
    <row r="584" spans="1:27">
      <c r="A584" t="s">
        <v>2228</v>
      </c>
      <c r="B584" t="str">
        <f>_xlfn.XLOOKUP(tblTargetStatus[[#This Row],[TargetID]],tblTargets[TargetID],tblTargets[DisplayName],"")</f>
        <v>Tailor - Armor For A Hero Lvl 4+</v>
      </c>
      <c r="C584" t="str">
        <f>IF(tblTargetStatus[[#This Row],[PlayerCompleted]],"COMPLETED",IF(tblTargetStatus[[#This Row],[MissingDependencies]]=0,"READY","BLOCKED"))</f>
        <v>BLOCKED</v>
      </c>
      <c r="D5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4" t="str">
        <f>_xlfn.XLOOKUP(tblTargetStatus[[#This Row],[TargetID]],tblTargets[TargetID],tblTargets[TargetType],"")</f>
        <v>TECH</v>
      </c>
      <c r="F584" t="str">
        <f>_xlfn.XLOOKUP(tblTargetStatus[[#This Row],[TargetID]],tblTargets[TargetID],tblTargets[StateType])</f>
        <v/>
      </c>
      <c r="G584">
        <f>_xlfn.LET(
_xlpm.id,tblTargetStatus[[#This Row],[TargetID]],
_xlpm.depCount,COUNTIF(tblDependencies[TargetID],_xlpm.id),
_xlpm.objCount,COUNTIF(tblQuestObjectives[QuestTargetID],_xlpm.id),
_xlpm.depCount+_xlpm.objCount
)</f>
        <v>3</v>
      </c>
      <c r="H584">
        <f>tblTargetStatus[[#This Row],[DependencyCount]]</f>
        <v>3</v>
      </c>
      <c r="I584" cm="1">
        <f t="array" ref="I5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4">
        <f>tblTargetStatus[[#This Row],[CompletedDependencyCount]]</f>
        <v>0</v>
      </c>
      <c r="K584" t="b">
        <f>tblTargetStatus[[#This Row],[CompletedDependencies]]=tblTargetStatus[[#This Row],[TotalDependencies]]</f>
        <v>0</v>
      </c>
      <c r="L584">
        <f>tblTargetStatus[[#This Row],[TotalDependencies]]-tblTargetStatus[[#This Row],[CompletedDependencies]]</f>
        <v>3</v>
      </c>
      <c r="M584" t="str" cm="1">
        <f t="array" ref="M5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tech.tailor.armor_for_a_hero_lvl_4</v>
      </c>
      <c r="N584" t="str">
        <f>IF(tblTargetStatus[[#This Row],[FirstMissingDependencyID]]="","",_xlfn.XLOOKUP(tblTargetStatus[[#This Row],[FirstMissingDependencyID]],tblTargets[TargetID],tblTargets[DisplayName],tblTargetStatus[[#This Row],[FirstMissingDependencyID]]))</f>
        <v>Tailor - Armor For A Hero Lvl 4</v>
      </c>
      <c r="O584" t="str" cm="1">
        <f t="array" ref="O5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armor4,20 blueprint,1000 coin,10 grimoire,10 quartz,25 redcrystal,1 reddiamond,5 ruby,20 tparts</v>
      </c>
      <c r="P584" t="str">
        <f>IF(tblTargetStatus[[#This Row],[FirstMissingDependencyID]]="","",_xlfn.XLOOKUP(tblTargetStatus[[#This Row],[FirstMissingDependencyID]],tblTargetStatus[TargetID],tblTargetStatus[Status],""))</f>
        <v>BLOCKED</v>
      </c>
      <c r="Q584" t="str">
        <f>IF(
 tblTargetStatus[[#This Row],[Status]]&lt;&gt;"BLOCKED",
 tblTargetStatus[[#This Row],[Status]],
 IF(
  AND(
   tblTargetStatus[[#This Row],[MissingDependencies]]=1,
   tblTargetStatus[[#This Row],[FirstMissingStatus]]="READY"
  ),
  "ONE AWAY",
  "BLOCKED"
 )
)</f>
        <v>BLOCKED</v>
      </c>
      <c r="R584">
        <f>IF(
 OR(
  tblTargetStatus[[#This Row],[StateType]]="CHARACTER",
  RIGHT(tblTargetStatus[[#This Row],[TargetID]],6)=".maxed"
 ),
 0,
 _xlfn.LET(
  _xlpm.sort,
   _xlfn.XLOOKUP(
    tblTargetStatus[[#This Row],[TargetID]],
    tblChecklist[TargetID],
    tblChecklist[PlayerSort],
    0
   ),
  IF(_xlpm.sort=0,500,_xlpm.sort)
 )
)</f>
        <v>500</v>
      </c>
      <c r="S584" t="str" cm="1">
        <f t="array" ref="S58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Craft Armor 4+</v>
      </c>
      <c r="T584" t="str">
        <f>_xlfn.XLOOKUP(tblTargetStatus[[#This Row],[TargetID]],tblTargets[TargetID],tblTargets[CompletionMethod],"")</f>
        <v>PLAYER</v>
      </c>
      <c r="U584" t="b">
        <f>COUNTIF(
    tblCost[TargetID],
    tblTargetStatus[[#This Row],[TargetID]]
)&gt;0</f>
        <v>1</v>
      </c>
      <c r="V584" s="81">
        <f>IF(tblTargetStatus[[#This Row],[HasCost]]=FALSE,
"N/A",
_xlfn.XLOOKUP(
tblTargetStatus[[#This Row],[TargetID]],
tblCost[TargetID],
tblCost[FundingPercent],
""
)
)</f>
        <v>0</v>
      </c>
      <c r="W584">
        <f>IF(
COUNTIF(tblCost[TargetID],tblTargetStatus[[#This Row],[TargetID]])=0,
"",
_xlfn.XLOOKUP(
tblTargetStatus[[#This Row],[TargetID]],
tblCost[TargetID],
tblCost[RemainingRequirements],
""
)
)</f>
        <v>11</v>
      </c>
      <c r="X584" s="79" t="b">
        <f>IF(tblTargetStatus[[#This Row],[HasCost]]=FALSE,"N/A",_xlfn.XLOOKUP(
tblTargetStatus[[#This Row],[TargetID]],
tblCost[TargetID],
tblCost[TargetFunded],
TRUE
))</f>
        <v>0</v>
      </c>
      <c r="Y584" t="str" cm="1">
        <f t="array" ref="Y584">_xlfn.TEXTJOIN(
", ",
TRUE,
_xlfn._xlws.FILTER(
tblCost[ResourceID]&amp;": "&amp;tblCost[QuantityRequired],
(tblCost[TargetID]=tblTargetStatus[[#This Row],[TargetID]])*
(tblCost[PlayerPaid]=FALSE),
""
)
)</f>
        <v>apy: 1, blueprint: 20, coin: 1000, grimoire: 10, quartz: 10, redcrystal: 25, reddiamond: 1, ruby: 5, tparts: 20, armor4: 1, apy: 1</v>
      </c>
      <c r="Z5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4" t="str" cm="1">
        <f t="array" ref="AA58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85" spans="1:27">
      <c r="A585" t="s">
        <v>2216</v>
      </c>
      <c r="B585" t="str">
        <f>_xlfn.XLOOKUP(tblTargetStatus[[#This Row],[TargetID]],tblTargets[TargetID],tblTargets[DisplayName],"")</f>
        <v>Tailor - Bedroll</v>
      </c>
      <c r="C585" t="str">
        <f>IF(tblTargetStatus[[#This Row],[PlayerCompleted]],"COMPLETED",IF(tblTargetStatus[[#This Row],[MissingDependencies]]=0,"READY","BLOCKED"))</f>
        <v>BLOCKED</v>
      </c>
      <c r="D5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5" t="str">
        <f>_xlfn.XLOOKUP(tblTargetStatus[[#This Row],[TargetID]],tblTargets[TargetID],tblTargets[TargetType],"")</f>
        <v>TECH</v>
      </c>
      <c r="F585" t="str">
        <f>_xlfn.XLOOKUP(tblTargetStatus[[#This Row],[TargetID]],tblTargets[TargetID],tblTargets[StateType])</f>
        <v/>
      </c>
      <c r="G585">
        <f>_xlfn.LET(
_xlpm.id,tblTargetStatus[[#This Row],[TargetID]],
_xlpm.depCount,COUNTIF(tblDependencies[TargetID],_xlpm.id),
_xlpm.objCount,COUNTIF(tblQuestObjectives[QuestTargetID],_xlpm.id),
_xlpm.depCount+_xlpm.objCount
)</f>
        <v>2</v>
      </c>
      <c r="H585">
        <f>tblTargetStatus[[#This Row],[DependencyCount]]</f>
        <v>2</v>
      </c>
      <c r="I585" cm="1">
        <f t="array" ref="I5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5">
        <f>tblTargetStatus[[#This Row],[CompletedDependencyCount]]</f>
        <v>0</v>
      </c>
      <c r="K585" t="b">
        <f>tblTargetStatus[[#This Row],[CompletedDependencies]]=tblTargetStatus[[#This Row],[TotalDependencies]]</f>
        <v>0</v>
      </c>
      <c r="L585">
        <f>tblTargetStatus[[#This Row],[TotalDependencies]]-tblTargetStatus[[#This Row],[CompletedDependencies]]</f>
        <v>2</v>
      </c>
      <c r="M585" t="str" cm="1">
        <f t="array" ref="M5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quest.once_upon_a_forest_chapter_5.finished</v>
      </c>
      <c r="N585" t="str">
        <f>IF(tblTargetStatus[[#This Row],[FirstMissingDependencyID]]="","",_xlfn.XLOOKUP(tblTargetStatus[[#This Row],[FirstMissingDependencyID]],tblTargets[TargetID],tblTargets[DisplayName],tblTargetStatus[[#This Row],[FirstMissingDependencyID]]))</f>
        <v>Once Upon a Forest Chapter 5 Finished</v>
      </c>
      <c r="O585" t="str" cm="1">
        <f t="array" ref="O5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blueprint,300 coin,5 reagent,2 ruby,15 silk,20 thread</v>
      </c>
      <c r="P585" t="str">
        <f>IF(tblTargetStatus[[#This Row],[FirstMissingDependencyID]]="","",_xlfn.XLOOKUP(tblTargetStatus[[#This Row],[FirstMissingDependencyID]],tblTargetStatus[TargetID],tblTargetStatus[Status],""))</f>
        <v>BLOCKED</v>
      </c>
      <c r="Q585" t="str">
        <f>IF(
 tblTargetStatus[[#This Row],[Status]]&lt;&gt;"BLOCKED",
 tblTargetStatus[[#This Row],[Status]],
 IF(
  AND(
   tblTargetStatus[[#This Row],[MissingDependencies]]=1,
   tblTargetStatus[[#This Row],[FirstMissingStatus]]="READY"
  ),
  "ONE AWAY",
  "BLOCKED"
 )
)</f>
        <v>BLOCKED</v>
      </c>
      <c r="R585">
        <f>IF(
 OR(
  tblTargetStatus[[#This Row],[StateType]]="CHARACTER",
  RIGHT(tblTargetStatus[[#This Row],[TargetID]],6)=".maxed"
 ),
 0,
 _xlfn.LET(
  _xlpm.sort,
   _xlfn.XLOOKUP(
    tblTargetStatus[[#This Row],[TargetID]],
    tblChecklist[TargetID],
    tblChecklist[PlayerSort],
    0
   ),
  IF(_xlpm.sort=0,500,_xlpm.sort)
 )
)</f>
        <v>500</v>
      </c>
      <c r="S585" t="str" cm="1">
        <f t="array" ref="S58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85" t="str">
        <f>_xlfn.XLOOKUP(tblTargetStatus[[#This Row],[TargetID]],tblTargets[TargetID],tblTargets[CompletionMethod],"")</f>
        <v>PLAYER</v>
      </c>
      <c r="U585" t="b">
        <f>COUNTIF(
    tblCost[TargetID],
    tblTargetStatus[[#This Row],[TargetID]]
)&gt;0</f>
        <v>1</v>
      </c>
      <c r="V585" s="81">
        <f>IF(tblTargetStatus[[#This Row],[HasCost]]=FALSE,
"N/A",
_xlfn.XLOOKUP(
tblTargetStatus[[#This Row],[TargetID]],
tblCost[TargetID],
tblCost[FundingPercent],
""
)
)</f>
        <v>0</v>
      </c>
      <c r="W585">
        <f>IF(
COUNTIF(tblCost[TargetID],tblTargetStatus[[#This Row],[TargetID]])=0,
"",
_xlfn.XLOOKUP(
tblTargetStatus[[#This Row],[TargetID]],
tblCost[TargetID],
tblCost[RemainingRequirements],
""
)
)</f>
        <v>6</v>
      </c>
      <c r="X585" s="79" t="b">
        <f>IF(tblTargetStatus[[#This Row],[HasCost]]=FALSE,"N/A",_xlfn.XLOOKUP(
tblTargetStatus[[#This Row],[TargetID]],
tblCost[TargetID],
tblCost[TargetFunded],
TRUE
))</f>
        <v>0</v>
      </c>
      <c r="Y585" t="str" cm="1">
        <f t="array" ref="Y585">_xlfn.TEXTJOIN(
", ",
TRUE,
_xlfn._xlws.FILTER(
tblCost[ResourceID]&amp;": "&amp;tblCost[QuantityRequired],
(tblCost[TargetID]=tblTargetStatus[[#This Row],[TargetID]])*
(tblCost[PlayerPaid]=FALSE),
""
)
)</f>
        <v>blueprint: 10, coin: 300, reagent: 5, ruby: 2, silk: 15, thread: 20</v>
      </c>
      <c r="Z5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5" t="str" cm="1">
        <f t="array" ref="AA58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86" spans="1:27">
      <c r="A586" t="s">
        <v>2234</v>
      </c>
      <c r="B586" t="str">
        <f>_xlfn.XLOOKUP(tblTargetStatus[[#This Row],[TargetID]],tblTargets[TargetID],tblTargets[DisplayName],"")</f>
        <v>Tailor - Colored Threads</v>
      </c>
      <c r="C586" t="str">
        <f>IF(tblTargetStatus[[#This Row],[PlayerCompleted]],"COMPLETED",IF(tblTargetStatus[[#This Row],[MissingDependencies]]=0,"READY","BLOCKED"))</f>
        <v>BLOCKED</v>
      </c>
      <c r="D5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6" t="str">
        <f>_xlfn.XLOOKUP(tblTargetStatus[[#This Row],[TargetID]],tblTargets[TargetID],tblTargets[TargetType],"")</f>
        <v>TECH</v>
      </c>
      <c r="F586" t="str">
        <f>_xlfn.XLOOKUP(tblTargetStatus[[#This Row],[TargetID]],tblTargets[TargetID],tblTargets[StateType])</f>
        <v/>
      </c>
      <c r="G586">
        <f>_xlfn.LET(
_xlpm.id,tblTargetStatus[[#This Row],[TargetID]],
_xlpm.depCount,COUNTIF(tblDependencies[TargetID],_xlpm.id),
_xlpm.objCount,COUNTIF(tblQuestObjectives[QuestTargetID],_xlpm.id),
_xlpm.depCount+_xlpm.objCount
)</f>
        <v>2</v>
      </c>
      <c r="H586">
        <f>tblTargetStatus[[#This Row],[DependencyCount]]</f>
        <v>2</v>
      </c>
      <c r="I586" cm="1">
        <f t="array" ref="I5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6">
        <f>tblTargetStatus[[#This Row],[CompletedDependencyCount]]</f>
        <v>0</v>
      </c>
      <c r="K586" t="b">
        <f>tblTargetStatus[[#This Row],[CompletedDependencies]]=tblTargetStatus[[#This Row],[TotalDependencies]]</f>
        <v>0</v>
      </c>
      <c r="L586">
        <f>tblTargetStatus[[#This Row],[TotalDependencies]]-tblTargetStatus[[#This Row],[CompletedDependencies]]</f>
        <v>2</v>
      </c>
      <c r="M586" t="str" cm="1">
        <f t="array" ref="M5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586" t="str">
        <f>IF(tblTargetStatus[[#This Row],[FirstMissingDependencyID]]="","",_xlfn.XLOOKUP(tblTargetStatus[[#This Row],[FirstMissingDependencyID]],tblTargets[TargetID],tblTargets[DisplayName],tblTargetStatus[[#This Row],[FirstMissingDependencyID]]))</f>
        <v>Tailor Lv 2</v>
      </c>
      <c r="O586" t="str" cm="1">
        <f t="array" ref="O5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cinnabar,300 coin,5 grimoire,10 herbs,10 reagent,2 ruby,10 thread</v>
      </c>
      <c r="P586" t="str">
        <f>IF(tblTargetStatus[[#This Row],[FirstMissingDependencyID]]="","",_xlfn.XLOOKUP(tblTargetStatus[[#This Row],[FirstMissingDependencyID]],tblTargetStatus[TargetID],tblTargetStatus[Status],""))</f>
        <v>BLOCKED</v>
      </c>
      <c r="Q586" t="str">
        <f>IF(
 tblTargetStatus[[#This Row],[Status]]&lt;&gt;"BLOCKED",
 tblTargetStatus[[#This Row],[Status]],
 IF(
  AND(
   tblTargetStatus[[#This Row],[MissingDependencies]]=1,
   tblTargetStatus[[#This Row],[FirstMissingStatus]]="READY"
  ),
  "ONE AWAY",
  "BLOCKED"
 )
)</f>
        <v>BLOCKED</v>
      </c>
      <c r="R586">
        <f>IF(
 OR(
  tblTargetStatus[[#This Row],[StateType]]="CHARACTER",
  RIGHT(tblTargetStatus[[#This Row],[TargetID]],6)=".maxed"
 ),
 0,
 _xlfn.LET(
  _xlpm.sort,
   _xlfn.XLOOKUP(
    tblTargetStatus[[#This Row],[TargetID]],
    tblChecklist[TargetID],
    tblChecklist[PlayerSort],
    0
   ),
  IF(_xlpm.sort=0,500,_xlpm.sort)
 )
)</f>
        <v>500</v>
      </c>
      <c r="S586" t="str" cm="1">
        <f t="array" ref="S58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86" t="str">
        <f>_xlfn.XLOOKUP(tblTargetStatus[[#This Row],[TargetID]],tblTargets[TargetID],tblTargets[CompletionMethod],"")</f>
        <v>PLAYER</v>
      </c>
      <c r="U586" t="b">
        <f>COUNTIF(
    tblCost[TargetID],
    tblTargetStatus[[#This Row],[TargetID]]
)&gt;0</f>
        <v>1</v>
      </c>
      <c r="V586" s="81">
        <f>IF(tblTargetStatus[[#This Row],[HasCost]]=FALSE,
"N/A",
_xlfn.XLOOKUP(
tblTargetStatus[[#This Row],[TargetID]],
tblCost[TargetID],
tblCost[FundingPercent],
""
)
)</f>
        <v>0</v>
      </c>
      <c r="W586">
        <f>IF(
COUNTIF(tblCost[TargetID],tblTargetStatus[[#This Row],[TargetID]])=0,
"",
_xlfn.XLOOKUP(
tblTargetStatus[[#This Row],[TargetID]],
tblCost[TargetID],
tblCost[RemainingRequirements],
""
)
)</f>
        <v>7</v>
      </c>
      <c r="X586" s="79" t="b">
        <f>IF(tblTargetStatus[[#This Row],[HasCost]]=FALSE,"N/A",_xlfn.XLOOKUP(
tblTargetStatus[[#This Row],[TargetID]],
tblCost[TargetID],
tblCost[TargetFunded],
TRUE
))</f>
        <v>0</v>
      </c>
      <c r="Y586" t="str" cm="1">
        <f t="array" ref="Y586">_xlfn.TEXTJOIN(
", ",
TRUE,
_xlfn._xlws.FILTER(
tblCost[ResourceID]&amp;": "&amp;tblCost[QuantityRequired],
(tblCost[TargetID]=tblTargetStatus[[#This Row],[TargetID]])*
(tblCost[PlayerPaid]=FALSE),
""
)
)</f>
        <v>cinnabar: 10, coin: 300, grimoire: 5, herbs: 10, reagent: 10, ruby: 2, thread: 10</v>
      </c>
      <c r="Z5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6" t="str" cm="1">
        <f t="array" ref="AA58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87" spans="1:27">
      <c r="A587" t="s">
        <v>2218</v>
      </c>
      <c r="B587" t="str">
        <f>_xlfn.XLOOKUP(tblTargetStatus[[#This Row],[TargetID]],tblTargets[TargetID],tblTargets[DisplayName],"")</f>
        <v>Tailor - Salamander Velour</v>
      </c>
      <c r="C587" t="str">
        <f>IF(tblTargetStatus[[#This Row],[PlayerCompleted]],"COMPLETED",IF(tblTargetStatus[[#This Row],[MissingDependencies]]=0,"READY","BLOCKED"))</f>
        <v>BLOCKED</v>
      </c>
      <c r="D5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7" t="str">
        <f>_xlfn.XLOOKUP(tblTargetStatus[[#This Row],[TargetID]],tblTargets[TargetID],tblTargets[TargetType],"")</f>
        <v>TECH</v>
      </c>
      <c r="F587" t="str">
        <f>_xlfn.XLOOKUP(tblTargetStatus[[#This Row],[TargetID]],tblTargets[TargetID],tblTargets[StateType])</f>
        <v/>
      </c>
      <c r="G587">
        <f>_xlfn.LET(
_xlpm.id,tblTargetStatus[[#This Row],[TargetID]],
_xlpm.depCount,COUNTIF(tblDependencies[TargetID],_xlpm.id),
_xlpm.objCount,COUNTIF(tblQuestObjectives[QuestTargetID],_xlpm.id),
_xlpm.depCount+_xlpm.objCount
)</f>
        <v>2</v>
      </c>
      <c r="H587">
        <f>tblTargetStatus[[#This Row],[DependencyCount]]</f>
        <v>2</v>
      </c>
      <c r="I587" cm="1">
        <f t="array" ref="I5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7">
        <f>tblTargetStatus[[#This Row],[CompletedDependencyCount]]</f>
        <v>0</v>
      </c>
      <c r="K587" t="b">
        <f>tblTargetStatus[[#This Row],[CompletedDependencies]]=tblTargetStatus[[#This Row],[TotalDependencies]]</f>
        <v>0</v>
      </c>
      <c r="L587">
        <f>tblTargetStatus[[#This Row],[TotalDependencies]]-tblTargetStatus[[#This Row],[CompletedDependencies]]</f>
        <v>2</v>
      </c>
      <c r="M587" t="str" cm="1">
        <f t="array" ref="M5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quest.once_upon_a_forest_chapter_10.finished</v>
      </c>
      <c r="N587" t="str">
        <f>IF(tblTargetStatus[[#This Row],[FirstMissingDependencyID]]="","",_xlfn.XLOOKUP(tblTargetStatus[[#This Row],[FirstMissingDependencyID]],tblTargets[TargetID],tblTargets[DisplayName],tblTargetStatus[[#This Row],[FirstMissingDependencyID]]))</f>
        <v>Once Upon a Forest Chapter 10 Finished</v>
      </c>
      <c r="O587" t="str" cm="1">
        <f t="array" ref="O5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coin,10 ginkgo,15 grimoire,6 hide,15 mercury,3 ruby</v>
      </c>
      <c r="P587" t="str">
        <f>IF(tblTargetStatus[[#This Row],[FirstMissingDependencyID]]="","",_xlfn.XLOOKUP(tblTargetStatus[[#This Row],[FirstMissingDependencyID]],tblTargetStatus[TargetID],tblTargetStatus[Status],""))</f>
        <v>BLOCKED</v>
      </c>
      <c r="Q587" t="str">
        <f>IF(
 tblTargetStatus[[#This Row],[Status]]&lt;&gt;"BLOCKED",
 tblTargetStatus[[#This Row],[Status]],
 IF(
  AND(
   tblTargetStatus[[#This Row],[MissingDependencies]]=1,
   tblTargetStatus[[#This Row],[FirstMissingStatus]]="READY"
  ),
  "ONE AWAY",
  "BLOCKED"
 )
)</f>
        <v>BLOCKED</v>
      </c>
      <c r="R587">
        <f>IF(
 OR(
  tblTargetStatus[[#This Row],[StateType]]="CHARACTER",
  RIGHT(tblTargetStatus[[#This Row],[TargetID]],6)=".maxed"
 ),
 0,
 _xlfn.LET(
  _xlpm.sort,
   _xlfn.XLOOKUP(
    tblTargetStatus[[#This Row],[TargetID]],
    tblChecklist[TargetID],
    tblChecklist[PlayerSort],
    0
   ),
  IF(_xlpm.sort=0,500,_xlpm.sort)
 )
)</f>
        <v>500</v>
      </c>
      <c r="S587" t="str" cm="1">
        <f t="array" ref="S58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Tailor - Armor For A Hero Lvl 4</v>
      </c>
      <c r="T587" t="str">
        <f>_xlfn.XLOOKUP(tblTargetStatus[[#This Row],[TargetID]],tblTargets[TargetID],tblTargets[CompletionMethod],"")</f>
        <v>PLAYER</v>
      </c>
      <c r="U587" t="b">
        <f>COUNTIF(
    tblCost[TargetID],
    tblTargetStatus[[#This Row],[TargetID]]
)&gt;0</f>
        <v>1</v>
      </c>
      <c r="V587" s="81">
        <f>IF(tblTargetStatus[[#This Row],[HasCost]]=FALSE,
"N/A",
_xlfn.XLOOKUP(
tblTargetStatus[[#This Row],[TargetID]],
tblCost[TargetID],
tblCost[FundingPercent],
""
)
)</f>
        <v>0</v>
      </c>
      <c r="W587">
        <f>IF(
COUNTIF(tblCost[TargetID],tblTargetStatus[[#This Row],[TargetID]])=0,
"",
_xlfn.XLOOKUP(
tblTargetStatus[[#This Row],[TargetID]],
tblCost[TargetID],
tblCost[RemainingRequirements],
""
)
)</f>
        <v>6</v>
      </c>
      <c r="X587" s="79" t="b">
        <f>IF(tblTargetStatus[[#This Row],[HasCost]]=FALSE,"N/A",_xlfn.XLOOKUP(
tblTargetStatus[[#This Row],[TargetID]],
tblCost[TargetID],
tblCost[TargetFunded],
TRUE
))</f>
        <v>0</v>
      </c>
      <c r="Y587" t="str" cm="1">
        <f t="array" ref="Y587">_xlfn.TEXTJOIN(
", ",
TRUE,
_xlfn._xlws.FILTER(
tblCost[ResourceID]&amp;": "&amp;tblCost[QuantityRequired],
(tblCost[TargetID]=tblTargetStatus[[#This Row],[TargetID]])*
(tblCost[PlayerPaid]=FALSE),
""
)
)</f>
        <v>coin: 400, ginkgo: 10, grimoire: 15, hide: 6, mercury: 15, ruby: 3</v>
      </c>
      <c r="Z5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7" t="str" cm="1">
        <f t="array" ref="AA58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88" spans="1:27">
      <c r="A588" t="s">
        <v>2232</v>
      </c>
      <c r="B588" t="str">
        <f>_xlfn.XLOOKUP(tblTargetStatus[[#This Row],[TargetID]],tblTargets[TargetID],tblTargets[DisplayName],"")</f>
        <v>Tailor - Strong Rivets</v>
      </c>
      <c r="C588" t="str">
        <f>IF(tblTargetStatus[[#This Row],[PlayerCompleted]],"COMPLETED",IF(tblTargetStatus[[#This Row],[MissingDependencies]]=0,"READY","BLOCKED"))</f>
        <v>BLOCKED</v>
      </c>
      <c r="D5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8" t="str">
        <f>_xlfn.XLOOKUP(tblTargetStatus[[#This Row],[TargetID]],tblTargets[TargetID],tblTargets[TargetType],"")</f>
        <v>TECH</v>
      </c>
      <c r="F588" t="str">
        <f>_xlfn.XLOOKUP(tblTargetStatus[[#This Row],[TargetID]],tblTargets[TargetID],tblTargets[StateType])</f>
        <v/>
      </c>
      <c r="G588">
        <f>_xlfn.LET(
_xlpm.id,tblTargetStatus[[#This Row],[TargetID]],
_xlpm.depCount,COUNTIF(tblDependencies[TargetID],_xlpm.id),
_xlpm.objCount,COUNTIF(tblQuestObjectives[QuestTargetID],_xlpm.id),
_xlpm.depCount+_xlpm.objCount
)</f>
        <v>2</v>
      </c>
      <c r="H588">
        <f>tblTargetStatus[[#This Row],[DependencyCount]]</f>
        <v>2</v>
      </c>
      <c r="I588" cm="1">
        <f t="array" ref="I5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8">
        <f>tblTargetStatus[[#This Row],[CompletedDependencyCount]]</f>
        <v>0</v>
      </c>
      <c r="K588" t="b">
        <f>tblTargetStatus[[#This Row],[CompletedDependencies]]=tblTargetStatus[[#This Row],[TotalDependencies]]</f>
        <v>0</v>
      </c>
      <c r="L588">
        <f>tblTargetStatus[[#This Row],[TotalDependencies]]-tblTargetStatus[[#This Row],[CompletedDependencies]]</f>
        <v>2</v>
      </c>
      <c r="M588" t="str" cm="1">
        <f t="array" ref="M5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tech.tailor.armor_for_a_hero_lvl_1</v>
      </c>
      <c r="N588" t="str">
        <f>IF(tblTargetStatus[[#This Row],[FirstMissingDependencyID]]="","",_xlfn.XLOOKUP(tblTargetStatus[[#This Row],[FirstMissingDependencyID]],tblTargets[TargetID],tblTargets[DisplayName],tblTargetStatus[[#This Row],[FirstMissingDependencyID]]))</f>
        <v>Tailor - Armor For A Hero Lvl 1</v>
      </c>
      <c r="O588" t="str" cm="1">
        <f t="array" ref="O5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blueprint,500 coin,30 miron,2 ruby,10 thread</v>
      </c>
      <c r="P588" t="str">
        <f>IF(tblTargetStatus[[#This Row],[FirstMissingDependencyID]]="","",_xlfn.XLOOKUP(tblTargetStatus[[#This Row],[FirstMissingDependencyID]],tblTargetStatus[TargetID],tblTargetStatus[Status],""))</f>
        <v>BLOCKED</v>
      </c>
      <c r="Q588" t="str">
        <f>IF(
 tblTargetStatus[[#This Row],[Status]]&lt;&gt;"BLOCKED",
 tblTargetStatus[[#This Row],[Status]],
 IF(
  AND(
   tblTargetStatus[[#This Row],[MissingDependencies]]=1,
   tblTargetStatus[[#This Row],[FirstMissingStatus]]="READY"
  ),
  "ONE AWAY",
  "BLOCKED"
 )
)</f>
        <v>BLOCKED</v>
      </c>
      <c r="R588">
        <f>IF(
 OR(
  tblTargetStatus[[#This Row],[StateType]]="CHARACTER",
  RIGHT(tblTargetStatus[[#This Row],[TargetID]],6)=".maxed"
 ),
 0,
 _xlfn.LET(
  _xlpm.sort,
   _xlfn.XLOOKUP(
    tblTargetStatus[[#This Row],[TargetID]],
    tblChecklist[TargetID],
    tblChecklist[PlayerSort],
    0
   ),
  IF(_xlpm.sort=0,500,_xlpm.sort)
 )
)</f>
        <v>500</v>
      </c>
      <c r="S588" t="str" cm="1">
        <f t="array" ref="S58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88" t="str">
        <f>_xlfn.XLOOKUP(tblTargetStatus[[#This Row],[TargetID]],tblTargets[TargetID],tblTargets[CompletionMethod],"")</f>
        <v>PLAYER</v>
      </c>
      <c r="U588" t="b">
        <f>COUNTIF(
    tblCost[TargetID],
    tblTargetStatus[[#This Row],[TargetID]]
)&gt;0</f>
        <v>1</v>
      </c>
      <c r="V588" s="81">
        <f>IF(tblTargetStatus[[#This Row],[HasCost]]=FALSE,
"N/A",
_xlfn.XLOOKUP(
tblTargetStatus[[#This Row],[TargetID]],
tblCost[TargetID],
tblCost[FundingPercent],
""
)
)</f>
        <v>0</v>
      </c>
      <c r="W588">
        <f>IF(
COUNTIF(tblCost[TargetID],tblTargetStatus[[#This Row],[TargetID]])=0,
"",
_xlfn.XLOOKUP(
tblTargetStatus[[#This Row],[TargetID]],
tblCost[TargetID],
tblCost[RemainingRequirements],
""
)
)</f>
        <v>5</v>
      </c>
      <c r="X588" s="79" t="b">
        <f>IF(tblTargetStatus[[#This Row],[HasCost]]=FALSE,"N/A",_xlfn.XLOOKUP(
tblTargetStatus[[#This Row],[TargetID]],
tblCost[TargetID],
tblCost[TargetFunded],
TRUE
))</f>
        <v>0</v>
      </c>
      <c r="Y588" t="str" cm="1">
        <f t="array" ref="Y588">_xlfn.TEXTJOIN(
", ",
TRUE,
_xlfn._xlws.FILTER(
tblCost[ResourceID]&amp;": "&amp;tblCost[QuantityRequired],
(tblCost[TargetID]=tblTargetStatus[[#This Row],[TargetID]])*
(tblCost[PlayerPaid]=FALSE),
""
)
)</f>
        <v>blueprint: 20, coin: 500, miron: 30, ruby: 2, thread: 10</v>
      </c>
      <c r="Z5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8" t="str" cm="1">
        <f t="array" ref="AA58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89" spans="1:27">
      <c r="A589" t="s">
        <v>2230</v>
      </c>
      <c r="B589" t="str">
        <f>_xlfn.XLOOKUP(tblTargetStatus[[#This Row],[TargetID]],tblTargets[TargetID],tblTargets[DisplayName],"")</f>
        <v>Tailor - Strong Stitch</v>
      </c>
      <c r="C589" t="str">
        <f>IF(tblTargetStatus[[#This Row],[PlayerCompleted]],"COMPLETED",IF(tblTargetStatus[[#This Row],[MissingDependencies]]=0,"READY","BLOCKED"))</f>
        <v>BLOCKED</v>
      </c>
      <c r="D5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9" t="str">
        <f>_xlfn.XLOOKUP(tblTargetStatus[[#This Row],[TargetID]],tblTargets[TargetID],tblTargets[TargetType],"")</f>
        <v>TECH</v>
      </c>
      <c r="F589" t="str">
        <f>_xlfn.XLOOKUP(tblTargetStatus[[#This Row],[TargetID]],tblTargets[TargetID],tblTargets[StateType])</f>
        <v/>
      </c>
      <c r="G589">
        <f>_xlfn.LET(
_xlpm.id,tblTargetStatus[[#This Row],[TargetID]],
_xlpm.depCount,COUNTIF(tblDependencies[TargetID],_xlpm.id),
_xlpm.objCount,COUNTIF(tblQuestObjectives[QuestTargetID],_xlpm.id),
_xlpm.depCount+_xlpm.objCount
)</f>
        <v>2</v>
      </c>
      <c r="H589">
        <f>tblTargetStatus[[#This Row],[DependencyCount]]</f>
        <v>2</v>
      </c>
      <c r="I589" cm="1">
        <f t="array" ref="I5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9">
        <f>tblTargetStatus[[#This Row],[CompletedDependencyCount]]</f>
        <v>0</v>
      </c>
      <c r="K589" t="b">
        <f>tblTargetStatus[[#This Row],[CompletedDependencies]]=tblTargetStatus[[#This Row],[TotalDependencies]]</f>
        <v>0</v>
      </c>
      <c r="L589">
        <f>tblTargetStatus[[#This Row],[TotalDependencies]]-tblTargetStatus[[#This Row],[CompletedDependencies]]</f>
        <v>2</v>
      </c>
      <c r="M589" t="str" cm="1">
        <f t="array" ref="M5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589" t="str">
        <f>IF(tblTargetStatus[[#This Row],[FirstMissingDependencyID]]="","",_xlfn.XLOOKUP(tblTargetStatus[[#This Row],[FirstMissingDependencyID]],tblTargets[TargetID],tblTargets[DisplayName],tblTargetStatus[[#This Row],[FirstMissingDependencyID]]))</f>
        <v>Tailor Lv 2</v>
      </c>
      <c r="O589" t="str" cm="1">
        <f t="array" ref="O5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blueprint,300 coin,1 ruby,10 silk,10 thread</v>
      </c>
      <c r="P589" t="str">
        <f>IF(tblTargetStatus[[#This Row],[FirstMissingDependencyID]]="","",_xlfn.XLOOKUP(tblTargetStatus[[#This Row],[FirstMissingDependencyID]],tblTargetStatus[TargetID],tblTargetStatus[Status],""))</f>
        <v>BLOCKED</v>
      </c>
      <c r="Q589" t="str">
        <f>IF(
 tblTargetStatus[[#This Row],[Status]]&lt;&gt;"BLOCKED",
 tblTargetStatus[[#This Row],[Status]],
 IF(
  AND(
   tblTargetStatus[[#This Row],[MissingDependencies]]=1,
   tblTargetStatus[[#This Row],[FirstMissingStatus]]="READY"
  ),
  "ONE AWAY",
  "BLOCKED"
 )
)</f>
        <v>BLOCKED</v>
      </c>
      <c r="R589">
        <f>IF(
 OR(
  tblTargetStatus[[#This Row],[StateType]]="CHARACTER",
  RIGHT(tblTargetStatus[[#This Row],[TargetID]],6)=".maxed"
 ),
 0,
 _xlfn.LET(
  _xlpm.sort,
   _xlfn.XLOOKUP(
    tblTargetStatus[[#This Row],[TargetID]],
    tblChecklist[TargetID],
    tblChecklist[PlayerSort],
    0
   ),
  IF(_xlpm.sort=0,500,_xlpm.sort)
 )
)</f>
        <v>999</v>
      </c>
      <c r="S589" t="str" cm="1">
        <f t="array" ref="S58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89" t="str">
        <f>_xlfn.XLOOKUP(tblTargetStatus[[#This Row],[TargetID]],tblTargets[TargetID],tblTargets[CompletionMethod],"")</f>
        <v>PLAYER</v>
      </c>
      <c r="U589" t="b">
        <f>COUNTIF(
    tblCost[TargetID],
    tblTargetStatus[[#This Row],[TargetID]]
)&gt;0</f>
        <v>1</v>
      </c>
      <c r="V589" s="81">
        <f>IF(tblTargetStatus[[#This Row],[HasCost]]=FALSE,
"N/A",
_xlfn.XLOOKUP(
tblTargetStatus[[#This Row],[TargetID]],
tblCost[TargetID],
tblCost[FundingPercent],
""
)
)</f>
        <v>0</v>
      </c>
      <c r="W589">
        <f>IF(
COUNTIF(tblCost[TargetID],tblTargetStatus[[#This Row],[TargetID]])=0,
"",
_xlfn.XLOOKUP(
tblTargetStatus[[#This Row],[TargetID]],
tblCost[TargetID],
tblCost[RemainingRequirements],
""
)
)</f>
        <v>5</v>
      </c>
      <c r="X589" s="79" t="b">
        <f>IF(tblTargetStatus[[#This Row],[HasCost]]=FALSE,"N/A",_xlfn.XLOOKUP(
tblTargetStatus[[#This Row],[TargetID]],
tblCost[TargetID],
tblCost[TargetFunded],
TRUE
))</f>
        <v>0</v>
      </c>
      <c r="Y589" t="str" cm="1">
        <f t="array" ref="Y589">_xlfn.TEXTJOIN(
", ",
TRUE,
_xlfn._xlws.FILTER(
tblCost[ResourceID]&amp;": "&amp;tblCost[QuantityRequired],
(tblCost[TargetID]=tblTargetStatus[[#This Row],[TargetID]])*
(tblCost[PlayerPaid]=FALSE),
""
)
)</f>
        <v>blueprint: 10, coin: 300, ruby: 1, silk: 10, thread: 10</v>
      </c>
      <c r="Z5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9" t="str" cm="1">
        <f t="array" ref="AA58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0" spans="1:27">
      <c r="A590" t="s">
        <v>2240</v>
      </c>
      <c r="B590" t="str">
        <f>_xlfn.XLOOKUP(tblTargetStatus[[#This Row],[TargetID]],tblTargets[TargetID],tblTargets[DisplayName],"")</f>
        <v>Train - Automatic Lubricator</v>
      </c>
      <c r="C590" t="str">
        <f>IF(tblTargetStatus[[#This Row],[PlayerCompleted]],"COMPLETED",IF(tblTargetStatus[[#This Row],[MissingDependencies]]=0,"READY","BLOCKED"))</f>
        <v>BLOCKED</v>
      </c>
      <c r="D5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0" t="str">
        <f>_xlfn.XLOOKUP(tblTargetStatus[[#This Row],[TargetID]],tblTargets[TargetID],tblTargets[TargetType],"")</f>
        <v>TECH</v>
      </c>
      <c r="F590" t="str">
        <f>_xlfn.XLOOKUP(tblTargetStatus[[#This Row],[TargetID]],tblTargets[TargetID],tblTargets[StateType])</f>
        <v/>
      </c>
      <c r="G590">
        <f>_xlfn.LET(
_xlpm.id,tblTargetStatus[[#This Row],[TargetID]],
_xlpm.depCount,COUNTIF(tblDependencies[TargetID],_xlpm.id),
_xlpm.objCount,COUNTIF(tblQuestObjectives[QuestTargetID],_xlpm.id),
_xlpm.depCount+_xlpm.objCount
)</f>
        <v>2</v>
      </c>
      <c r="H590">
        <f>tblTargetStatus[[#This Row],[DependencyCount]]</f>
        <v>2</v>
      </c>
      <c r="I590" cm="1">
        <f t="array" ref="I5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0">
        <f>tblTargetStatus[[#This Row],[CompletedDependencyCount]]</f>
        <v>0</v>
      </c>
      <c r="K590" t="b">
        <f>tblTargetStatus[[#This Row],[CompletedDependencies]]=tblTargetStatus[[#This Row],[TotalDependencies]]</f>
        <v>0</v>
      </c>
      <c r="L590">
        <f>tblTargetStatus[[#This Row],[TotalDependencies]]-tblTargetStatus[[#This Row],[CompletedDependencies]]</f>
        <v>2</v>
      </c>
      <c r="M590" t="str" cm="1">
        <f t="array" ref="M5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590" t="str">
        <f>IF(tblTargetStatus[[#This Row],[FirstMissingDependencyID]]="","",_xlfn.XLOOKUP(tblTargetStatus[[#This Row],[FirstMissingDependencyID]],tblTargets[TargetID],tblTargets[DisplayName],tblTargetStatus[[#This Row],[FirstMissingDependencyID]]))</f>
        <v>Train Lv 1</v>
      </c>
      <c r="O590" t="str" cm="1">
        <f t="array" ref="O5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coin,30 mechanism,50 oil,4 ruby</v>
      </c>
      <c r="P590" t="str">
        <f>IF(tblTargetStatus[[#This Row],[FirstMissingDependencyID]]="","",_xlfn.XLOOKUP(tblTargetStatus[[#This Row],[FirstMissingDependencyID]],tblTargetStatus[TargetID],tblTargetStatus[Status],""))</f>
        <v>BLOCKED</v>
      </c>
      <c r="Q590" t="str">
        <f>IF(
 tblTargetStatus[[#This Row],[Status]]&lt;&gt;"BLOCKED",
 tblTargetStatus[[#This Row],[Status]],
 IF(
  AND(
   tblTargetStatus[[#This Row],[MissingDependencies]]=1,
   tblTargetStatus[[#This Row],[FirstMissingStatus]]="READY"
  ),
  "ONE AWAY",
  "BLOCKED"
 )
)</f>
        <v>BLOCKED</v>
      </c>
      <c r="R590">
        <f>IF(
 OR(
  tblTargetStatus[[#This Row],[StateType]]="CHARACTER",
  RIGHT(tblTargetStatus[[#This Row],[TargetID]],6)=".maxed"
 ),
 0,
 _xlfn.LET(
  _xlpm.sort,
   _xlfn.XLOOKUP(
    tblTargetStatus[[#This Row],[TargetID]],
    tblChecklist[TargetID],
    tblChecklist[PlayerSort],
    0
   ),
  IF(_xlpm.sort=0,500,_xlpm.sort)
 )
)</f>
        <v>500</v>
      </c>
      <c r="S590" t="str" cm="1">
        <f t="array" ref="S59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90" t="str">
        <f>_xlfn.XLOOKUP(tblTargetStatus[[#This Row],[TargetID]],tblTargets[TargetID],tblTargets[CompletionMethod],"")</f>
        <v>PLAYER</v>
      </c>
      <c r="U590" t="b">
        <f>COUNTIF(
    tblCost[TargetID],
    tblTargetStatus[[#This Row],[TargetID]]
)&gt;0</f>
        <v>1</v>
      </c>
      <c r="V590" s="81">
        <f>IF(tblTargetStatus[[#This Row],[HasCost]]=FALSE,
"N/A",
_xlfn.XLOOKUP(
tblTargetStatus[[#This Row],[TargetID]],
tblCost[TargetID],
tblCost[FundingPercent],
""
)
)</f>
        <v>0</v>
      </c>
      <c r="W590">
        <f>IF(
COUNTIF(tblCost[TargetID],tblTargetStatus[[#This Row],[TargetID]])=0,
"",
_xlfn.XLOOKUP(
tblTargetStatus[[#This Row],[TargetID]],
tblCost[TargetID],
tblCost[RemainingRequirements],
""
)
)</f>
        <v>5</v>
      </c>
      <c r="X590" s="79" t="b">
        <f>IF(tblTargetStatus[[#This Row],[HasCost]]=FALSE,"N/A",_xlfn.XLOOKUP(
tblTargetStatus[[#This Row],[TargetID]],
tblCost[TargetID],
tblCost[TargetFunded],
TRUE
))</f>
        <v>0</v>
      </c>
      <c r="Y590" t="str" cm="1">
        <f t="array" ref="Y590">_xlfn.TEXTJOIN(
", ",
TRUE,
_xlfn._xlws.FILTER(
tblCost[ResourceID]&amp;": "&amp;tblCost[QuantityRequired],
(tblCost[TargetID]=tblTargetStatus[[#This Row],[TargetID]])*
(tblCost[PlayerPaid]=FALSE),
""
)
)</f>
        <v>blueprint: 30, coin: 1500, mechanism: 30, oil: 50, ruby: 4</v>
      </c>
      <c r="Z5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0" t="str" cm="1">
        <f t="array" ref="AA59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1" spans="1:27">
      <c r="A591" t="s">
        <v>2236</v>
      </c>
      <c r="B591" t="str">
        <f>_xlfn.XLOOKUP(tblTargetStatus[[#This Row],[TargetID]],tblTargets[TargetID],tblTargets[DisplayName],"")</f>
        <v>Train - Compound Engine</v>
      </c>
      <c r="C591" t="str">
        <f>IF(tblTargetStatus[[#This Row],[PlayerCompleted]],"COMPLETED",IF(tblTargetStatus[[#This Row],[MissingDependencies]]=0,"READY","BLOCKED"))</f>
        <v>BLOCKED</v>
      </c>
      <c r="D5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1" t="str">
        <f>_xlfn.XLOOKUP(tblTargetStatus[[#This Row],[TargetID]],tblTargets[TargetID],tblTargets[TargetType],"")</f>
        <v>TECH</v>
      </c>
      <c r="F591" t="str">
        <f>_xlfn.XLOOKUP(tblTargetStatus[[#This Row],[TargetID]],tblTargets[TargetID],tblTargets[StateType])</f>
        <v/>
      </c>
      <c r="G591">
        <f>_xlfn.LET(
_xlpm.id,tblTargetStatus[[#This Row],[TargetID]],
_xlpm.depCount,COUNTIF(tblDependencies[TargetID],_xlpm.id),
_xlpm.objCount,COUNTIF(tblQuestObjectives[QuestTargetID],_xlpm.id),
_xlpm.depCount+_xlpm.objCount
)</f>
        <v>2</v>
      </c>
      <c r="H591">
        <f>tblTargetStatus[[#This Row],[DependencyCount]]</f>
        <v>2</v>
      </c>
      <c r="I591" cm="1">
        <f t="array" ref="I5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1">
        <f>tblTargetStatus[[#This Row],[CompletedDependencyCount]]</f>
        <v>0</v>
      </c>
      <c r="K591" t="b">
        <f>tblTargetStatus[[#This Row],[CompletedDependencies]]=tblTargetStatus[[#This Row],[TotalDependencies]]</f>
        <v>0</v>
      </c>
      <c r="L591">
        <f>tblTargetStatus[[#This Row],[TotalDependencies]]-tblTargetStatus[[#This Row],[CompletedDependencies]]</f>
        <v>2</v>
      </c>
      <c r="M591" t="str" cm="1">
        <f t="array" ref="M5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591" t="str">
        <f>IF(tblTargetStatus[[#This Row],[FirstMissingDependencyID]]="","",_xlfn.XLOOKUP(tblTargetStatus[[#This Row],[FirstMissingDependencyID]],tblTargets[TargetID],tblTargets[DisplayName],tblTargetStatus[[#This Row],[FirstMissingDependencyID]]))</f>
        <v>Train Lv 1</v>
      </c>
      <c r="O591" t="str" cm="1">
        <f t="array" ref="O5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coin,50 gears,30 mechanism,4 ruby</v>
      </c>
      <c r="P591" t="str">
        <f>IF(tblTargetStatus[[#This Row],[FirstMissingDependencyID]]="","",_xlfn.XLOOKUP(tblTargetStatus[[#This Row],[FirstMissingDependencyID]],tblTargetStatus[TargetID],tblTargetStatus[Status],""))</f>
        <v>BLOCKED</v>
      </c>
      <c r="Q591" t="str">
        <f>IF(
 tblTargetStatus[[#This Row],[Status]]&lt;&gt;"BLOCKED",
 tblTargetStatus[[#This Row],[Status]],
 IF(
  AND(
   tblTargetStatus[[#This Row],[MissingDependencies]]=1,
   tblTargetStatus[[#This Row],[FirstMissingStatus]]="READY"
  ),
  "ONE AWAY",
  "BLOCKED"
 )
)</f>
        <v>BLOCKED</v>
      </c>
      <c r="R591">
        <f>IF(
 OR(
  tblTargetStatus[[#This Row],[StateType]]="CHARACTER",
  RIGHT(tblTargetStatus[[#This Row],[TargetID]],6)=".maxed"
 ),
 0,
 _xlfn.LET(
  _xlpm.sort,
   _xlfn.XLOOKUP(
    tblTargetStatus[[#This Row],[TargetID]],
    tblChecklist[TargetID],
    tblChecklist[PlayerSort],
    0
   ),
  IF(_xlpm.sort=0,500,_xlpm.sort)
 )
)</f>
        <v>500</v>
      </c>
      <c r="S591" t="str" cm="1">
        <f t="array" ref="S59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91" t="str">
        <f>_xlfn.XLOOKUP(tblTargetStatus[[#This Row],[TargetID]],tblTargets[TargetID],tblTargets[CompletionMethod],"")</f>
        <v>PLAYER</v>
      </c>
      <c r="U591" t="b">
        <f>COUNTIF(
    tblCost[TargetID],
    tblTargetStatus[[#This Row],[TargetID]]
)&gt;0</f>
        <v>1</v>
      </c>
      <c r="V591" s="81">
        <f>IF(tblTargetStatus[[#This Row],[HasCost]]=FALSE,
"N/A",
_xlfn.XLOOKUP(
tblTargetStatus[[#This Row],[TargetID]],
tblCost[TargetID],
tblCost[FundingPercent],
""
)
)</f>
        <v>0</v>
      </c>
      <c r="W591">
        <f>IF(
COUNTIF(tblCost[TargetID],tblTargetStatus[[#This Row],[TargetID]])=0,
"",
_xlfn.XLOOKUP(
tblTargetStatus[[#This Row],[TargetID]],
tblCost[TargetID],
tblCost[RemainingRequirements],
""
)
)</f>
        <v>5</v>
      </c>
      <c r="X591" s="79" t="b">
        <f>IF(tblTargetStatus[[#This Row],[HasCost]]=FALSE,"N/A",_xlfn.XLOOKUP(
tblTargetStatus[[#This Row],[TargetID]],
tblCost[TargetID],
tblCost[TargetFunded],
TRUE
))</f>
        <v>0</v>
      </c>
      <c r="Y591" t="str" cm="1">
        <f t="array" ref="Y591">_xlfn.TEXTJOIN(
", ",
TRUE,
_xlfn._xlws.FILTER(
tblCost[ResourceID]&amp;": "&amp;tblCost[QuantityRequired],
(tblCost[TargetID]=tblTargetStatus[[#This Row],[TargetID]])*
(tblCost[PlayerPaid]=FALSE),
""
)
)</f>
        <v>blueprint: 30, coin: 1500, gears: 50, mechanism: 30, ruby: 4</v>
      </c>
      <c r="Z5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1" t="str" cm="1">
        <f t="array" ref="AA59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2" spans="1:27">
      <c r="A592" t="s">
        <v>2244</v>
      </c>
      <c r="B592" t="str">
        <f>_xlfn.XLOOKUP(tblTargetStatus[[#This Row],[TargetID]],tblTargets[TargetID],tblTargets[DisplayName],"")</f>
        <v>Train - Onboard Computer</v>
      </c>
      <c r="C592" t="str">
        <f>IF(tblTargetStatus[[#This Row],[PlayerCompleted]],"COMPLETED",IF(tblTargetStatus[[#This Row],[MissingDependencies]]=0,"READY","BLOCKED"))</f>
        <v>BLOCKED</v>
      </c>
      <c r="D5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2" t="str">
        <f>_xlfn.XLOOKUP(tblTargetStatus[[#This Row],[TargetID]],tblTargets[TargetID],tblTargets[TargetType],"")</f>
        <v>TECH</v>
      </c>
      <c r="F592" t="str">
        <f>_xlfn.XLOOKUP(tblTargetStatus[[#This Row],[TargetID]],tblTargets[TargetID],tblTargets[StateType])</f>
        <v/>
      </c>
      <c r="G592">
        <f>_xlfn.LET(
_xlpm.id,tblTargetStatus[[#This Row],[TargetID]],
_xlpm.depCount,COUNTIF(tblDependencies[TargetID],_xlpm.id),
_xlpm.objCount,COUNTIF(tblQuestObjectives[QuestTargetID],_xlpm.id),
_xlpm.depCount+_xlpm.objCount
)</f>
        <v>2</v>
      </c>
      <c r="H592">
        <f>tblTargetStatus[[#This Row],[DependencyCount]]</f>
        <v>2</v>
      </c>
      <c r="I592" cm="1">
        <f t="array" ref="I5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2">
        <f>tblTargetStatus[[#This Row],[CompletedDependencyCount]]</f>
        <v>0</v>
      </c>
      <c r="K592" t="b">
        <f>tblTargetStatus[[#This Row],[CompletedDependencies]]=tblTargetStatus[[#This Row],[TotalDependencies]]</f>
        <v>0</v>
      </c>
      <c r="L592">
        <f>tblTargetStatus[[#This Row],[TotalDependencies]]-tblTargetStatus[[#This Row],[CompletedDependencies]]</f>
        <v>2</v>
      </c>
      <c r="M592" t="str" cm="1">
        <f t="array" ref="M5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quest.ahead_of_time_chapter_5.finished</v>
      </c>
      <c r="N592" t="str">
        <f>IF(tblTargetStatus[[#This Row],[FirstMissingDependencyID]]="","",_xlfn.XLOOKUP(tblTargetStatus[[#This Row],[FirstMissingDependencyID]],tblTargets[TargetID],tblTargets[DisplayName],tblTargetStatus[[#This Row],[FirstMissingDependencyID]]))</f>
        <v>Ahead of Time Chapter 5 Finished</v>
      </c>
      <c r="O592" t="str" cm="1">
        <f t="array" ref="O5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apy,40 blueprint,1500 coin,40 floppy,30 mechanism,20 mercury,40 microchip,5 ruby,200 steel</v>
      </c>
      <c r="P592" t="str">
        <f>IF(tblTargetStatus[[#This Row],[FirstMissingDependencyID]]="","",_xlfn.XLOOKUP(tblTargetStatus[[#This Row],[FirstMissingDependencyID]],tblTargetStatus[TargetID],tblTargetStatus[Status],""))</f>
        <v>BLOCKED</v>
      </c>
      <c r="Q592" t="str">
        <f>IF(
 tblTargetStatus[[#This Row],[Status]]&lt;&gt;"BLOCKED",
 tblTargetStatus[[#This Row],[Status]],
 IF(
  AND(
   tblTargetStatus[[#This Row],[MissingDependencies]]=1,
   tblTargetStatus[[#This Row],[FirstMissingStatus]]="READY"
  ),
  "ONE AWAY",
  "BLOCKED"
 )
)</f>
        <v>BLOCKED</v>
      </c>
      <c r="R592">
        <f>IF(
 OR(
  tblTargetStatus[[#This Row],[StateType]]="CHARACTER",
  RIGHT(tblTargetStatus[[#This Row],[TargetID]],6)=".maxed"
 ),
 0,
 _xlfn.LET(
  _xlpm.sort,
   _xlfn.XLOOKUP(
    tblTargetStatus[[#This Row],[TargetID]],
    tblChecklist[TargetID],
    tblChecklist[PlayerSort],
    0
   ),
  IF(_xlpm.sort=0,500,_xlpm.sort)
 )
)</f>
        <v>500</v>
      </c>
      <c r="S592" t="str" cm="1">
        <f t="array" ref="S59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92" t="str">
        <f>_xlfn.XLOOKUP(tblTargetStatus[[#This Row],[TargetID]],tblTargets[TargetID],tblTargets[CompletionMethod],"")</f>
        <v>PLAYER</v>
      </c>
      <c r="U592" t="b">
        <f>COUNTIF(
    tblCost[TargetID],
    tblTargetStatus[[#This Row],[TargetID]]
)&gt;0</f>
        <v>1</v>
      </c>
      <c r="V592" s="81">
        <f>IF(tblTargetStatus[[#This Row],[HasCost]]=FALSE,
"N/A",
_xlfn.XLOOKUP(
tblTargetStatus[[#This Row],[TargetID]],
tblCost[TargetID],
tblCost[FundingPercent],
""
)
)</f>
        <v>0</v>
      </c>
      <c r="W592">
        <f>IF(
COUNTIF(tblCost[TargetID],tblTargetStatus[[#This Row],[TargetID]])=0,
"",
_xlfn.XLOOKUP(
tblTargetStatus[[#This Row],[TargetID]],
tblCost[TargetID],
tblCost[RemainingRequirements],
""
)
)</f>
        <v>9</v>
      </c>
      <c r="X592" s="79" t="b">
        <f>IF(tblTargetStatus[[#This Row],[HasCost]]=FALSE,"N/A",_xlfn.XLOOKUP(
tblTargetStatus[[#This Row],[TargetID]],
tblCost[TargetID],
tblCost[TargetFunded],
TRUE
))</f>
        <v>0</v>
      </c>
      <c r="Y592" t="str" cm="1">
        <f t="array" ref="Y592">_xlfn.TEXTJOIN(
", ",
TRUE,
_xlfn._xlws.FILTER(
tblCost[ResourceID]&amp;": "&amp;tblCost[QuantityRequired],
(tblCost[TargetID]=tblTargetStatus[[#This Row],[TargetID]])*
(tblCost[PlayerPaid]=FALSE),
""
)
)</f>
        <v>apy: 20, blueprint: 40, coin: 1500, floppy: 40, mechanism: 30, mercury: 20, microchip: 40, ruby: 5, steel: 200</v>
      </c>
      <c r="Z5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2" t="str" cm="1">
        <f t="array" ref="AA59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3" spans="1:27">
      <c r="A593" t="s">
        <v>2238</v>
      </c>
      <c r="B593" t="str">
        <f>_xlfn.XLOOKUP(tblTargetStatus[[#This Row],[TargetID]],tblTargets[TargetID],tblTargets[DisplayName],"")</f>
        <v>Train - Superheater</v>
      </c>
      <c r="C593" t="str">
        <f>IF(tblTargetStatus[[#This Row],[PlayerCompleted]],"COMPLETED",IF(tblTargetStatus[[#This Row],[MissingDependencies]]=0,"READY","BLOCKED"))</f>
        <v>BLOCKED</v>
      </c>
      <c r="D5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3" t="str">
        <f>_xlfn.XLOOKUP(tblTargetStatus[[#This Row],[TargetID]],tblTargets[TargetID],tblTargets[TargetType],"")</f>
        <v>TECH</v>
      </c>
      <c r="F593" t="str">
        <f>_xlfn.XLOOKUP(tblTargetStatus[[#This Row],[TargetID]],tblTargets[TargetID],tblTargets[StateType])</f>
        <v/>
      </c>
      <c r="G593">
        <f>_xlfn.LET(
_xlpm.id,tblTargetStatus[[#This Row],[TargetID]],
_xlpm.depCount,COUNTIF(tblDependencies[TargetID],_xlpm.id),
_xlpm.objCount,COUNTIF(tblQuestObjectives[QuestTargetID],_xlpm.id),
_xlpm.depCount+_xlpm.objCount
)</f>
        <v>2</v>
      </c>
      <c r="H593">
        <f>tblTargetStatus[[#This Row],[DependencyCount]]</f>
        <v>2</v>
      </c>
      <c r="I593" cm="1">
        <f t="array" ref="I5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3">
        <f>tblTargetStatus[[#This Row],[CompletedDependencyCount]]</f>
        <v>0</v>
      </c>
      <c r="K593" t="b">
        <f>tblTargetStatus[[#This Row],[CompletedDependencies]]=tblTargetStatus[[#This Row],[TotalDependencies]]</f>
        <v>0</v>
      </c>
      <c r="L593">
        <f>tblTargetStatus[[#This Row],[TotalDependencies]]-tblTargetStatus[[#This Row],[CompletedDependencies]]</f>
        <v>2</v>
      </c>
      <c r="M593" t="str" cm="1">
        <f t="array" ref="M5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593" t="str">
        <f>IF(tblTargetStatus[[#This Row],[FirstMissingDependencyID]]="","",_xlfn.XLOOKUP(tblTargetStatus[[#This Row],[FirstMissingDependencyID]],tblTargets[TargetID],tblTargets[DisplayName],tblTargetStatus[[#This Row],[FirstMissingDependencyID]]))</f>
        <v>Train Lv 1</v>
      </c>
      <c r="O593" t="str" cm="1">
        <f t="array" ref="O5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blueprint,30 catalyst,1500 coin,30 mechanism,4 ruby,500 steel</v>
      </c>
      <c r="P593" t="str">
        <f>IF(tblTargetStatus[[#This Row],[FirstMissingDependencyID]]="","",_xlfn.XLOOKUP(tblTargetStatus[[#This Row],[FirstMissingDependencyID]],tblTargetStatus[TargetID],tblTargetStatus[Status],""))</f>
        <v>BLOCKED</v>
      </c>
      <c r="Q593" t="str">
        <f>IF(
 tblTargetStatus[[#This Row],[Status]]&lt;&gt;"BLOCKED",
 tblTargetStatus[[#This Row],[Status]],
 IF(
  AND(
   tblTargetStatus[[#This Row],[MissingDependencies]]=1,
   tblTargetStatus[[#This Row],[FirstMissingStatus]]="READY"
  ),
  "ONE AWAY",
  "BLOCKED"
 )
)</f>
        <v>BLOCKED</v>
      </c>
      <c r="R593">
        <f>IF(
 OR(
  tblTargetStatus[[#This Row],[StateType]]="CHARACTER",
  RIGHT(tblTargetStatus[[#This Row],[TargetID]],6)=".maxed"
 ),
 0,
 _xlfn.LET(
  _xlpm.sort,
   _xlfn.XLOOKUP(
    tblTargetStatus[[#This Row],[TargetID]],
    tblChecklist[TargetID],
    tblChecklist[PlayerSort],
    0
   ),
  IF(_xlpm.sort=0,500,_xlpm.sort)
 )
)</f>
        <v>500</v>
      </c>
      <c r="S593" t="str" cm="1">
        <f t="array" ref="S59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93" t="str">
        <f>_xlfn.XLOOKUP(tblTargetStatus[[#This Row],[TargetID]],tblTargets[TargetID],tblTargets[CompletionMethod],"")</f>
        <v>PLAYER</v>
      </c>
      <c r="U593" t="b">
        <f>COUNTIF(
    tblCost[TargetID],
    tblTargetStatus[[#This Row],[TargetID]]
)&gt;0</f>
        <v>1</v>
      </c>
      <c r="V593" s="81">
        <f>IF(tblTargetStatus[[#This Row],[HasCost]]=FALSE,
"N/A",
_xlfn.XLOOKUP(
tblTargetStatus[[#This Row],[TargetID]],
tblCost[TargetID],
tblCost[FundingPercent],
""
)
)</f>
        <v>0</v>
      </c>
      <c r="W593">
        <f>IF(
COUNTIF(tblCost[TargetID],tblTargetStatus[[#This Row],[TargetID]])=0,
"",
_xlfn.XLOOKUP(
tblTargetStatus[[#This Row],[TargetID]],
tblCost[TargetID],
tblCost[RemainingRequirements],
""
)
)</f>
        <v>6</v>
      </c>
      <c r="X593" s="79" t="b">
        <f>IF(tblTargetStatus[[#This Row],[HasCost]]=FALSE,"N/A",_xlfn.XLOOKUP(
tblTargetStatus[[#This Row],[TargetID]],
tblCost[TargetID],
tblCost[TargetFunded],
TRUE
))</f>
        <v>0</v>
      </c>
      <c r="Y593" t="str" cm="1">
        <f t="array" ref="Y593">_xlfn.TEXTJOIN(
", ",
TRUE,
_xlfn._xlws.FILTER(
tblCost[ResourceID]&amp;": "&amp;tblCost[QuantityRequired],
(tblCost[TargetID]=tblTargetStatus[[#This Row],[TargetID]])*
(tblCost[PlayerPaid]=FALSE),
""
)
)</f>
        <v>blueprint: 30, catalyst: 30, coin: 1500, mechanism: 30, ruby: 4, steel: 500</v>
      </c>
      <c r="Z5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3" t="str" cm="1">
        <f t="array" ref="AA59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4" spans="1:27">
      <c r="A594" t="s">
        <v>2242</v>
      </c>
      <c r="B594" t="str">
        <f>_xlfn.XLOOKUP(tblTargetStatus[[#This Row],[TargetID]],tblTargets[TargetID],tblTargets[DisplayName],"")</f>
        <v>Train - Titanium Components</v>
      </c>
      <c r="C594" t="str">
        <f>IF(tblTargetStatus[[#This Row],[PlayerCompleted]],"COMPLETED",IF(tblTargetStatus[[#This Row],[MissingDependencies]]=0,"READY","BLOCKED"))</f>
        <v>BLOCKED</v>
      </c>
      <c r="D5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4" t="str">
        <f>_xlfn.XLOOKUP(tblTargetStatus[[#This Row],[TargetID]],tblTargets[TargetID],tblTargets[TargetType],"")</f>
        <v>TECH</v>
      </c>
      <c r="F594" t="str">
        <f>_xlfn.XLOOKUP(tblTargetStatus[[#This Row],[TargetID]],tblTargets[TargetID],tblTargets[StateType])</f>
        <v/>
      </c>
      <c r="G594">
        <f>_xlfn.LET(
_xlpm.id,tblTargetStatus[[#This Row],[TargetID]],
_xlpm.depCount,COUNTIF(tblDependencies[TargetID],_xlpm.id),
_xlpm.objCount,COUNTIF(tblQuestObjectives[QuestTargetID],_xlpm.id),
_xlpm.depCount+_xlpm.objCount
)</f>
        <v>2</v>
      </c>
      <c r="H594">
        <f>tblTargetStatus[[#This Row],[DependencyCount]]</f>
        <v>2</v>
      </c>
      <c r="I594" cm="1">
        <f t="array" ref="I5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4">
        <f>tblTargetStatus[[#This Row],[CompletedDependencyCount]]</f>
        <v>0</v>
      </c>
      <c r="K594" t="b">
        <f>tblTargetStatus[[#This Row],[CompletedDependencies]]=tblTargetStatus[[#This Row],[TotalDependencies]]</f>
        <v>0</v>
      </c>
      <c r="L594">
        <f>tblTargetStatus[[#This Row],[TotalDependencies]]-tblTargetStatus[[#This Row],[CompletedDependencies]]</f>
        <v>2</v>
      </c>
      <c r="M594" t="str" cm="1">
        <f t="array" ref="M5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quest.once_upon_a_forest_chapter_11.finished</v>
      </c>
      <c r="N594" t="str">
        <f>IF(tblTargetStatus[[#This Row],[FirstMissingDependencyID]]="","",_xlfn.XLOOKUP(tblTargetStatus[[#This Row],[FirstMissingDependencyID]],tblTargets[TargetID],tblTargets[DisplayName],tblTargetStatus[[#This Row],[FirstMissingDependencyID]]))</f>
        <v>Once Upon a Forest Chapter 11 Finished</v>
      </c>
      <c r="O594" t="str" cm="1">
        <f t="array" ref="O5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apy,30 blueprint,1500 coin,20 reagent,5 ruby,30 tparts</v>
      </c>
      <c r="P594" t="str">
        <f>IF(tblTargetStatus[[#This Row],[FirstMissingDependencyID]]="","",_xlfn.XLOOKUP(tblTargetStatus[[#This Row],[FirstMissingDependencyID]],tblTargetStatus[TargetID],tblTargetStatus[Status],""))</f>
        <v>BLOCKED</v>
      </c>
      <c r="Q594" t="str">
        <f>IF(
 tblTargetStatus[[#This Row],[Status]]&lt;&gt;"BLOCKED",
 tblTargetStatus[[#This Row],[Status]],
 IF(
  AND(
   tblTargetStatus[[#This Row],[MissingDependencies]]=1,
   tblTargetStatus[[#This Row],[FirstMissingStatus]]="READY"
  ),
  "ONE AWAY",
  "BLOCKED"
 )
)</f>
        <v>BLOCKED</v>
      </c>
      <c r="R594">
        <f>IF(
 OR(
  tblTargetStatus[[#This Row],[StateType]]="CHARACTER",
  RIGHT(tblTargetStatus[[#This Row],[TargetID]],6)=".maxed"
 ),
 0,
 _xlfn.LET(
  _xlpm.sort,
   _xlfn.XLOOKUP(
    tblTargetStatus[[#This Row],[TargetID]],
    tblChecklist[TargetID],
    tblChecklist[PlayerSort],
    0
   ),
  IF(_xlpm.sort=0,500,_xlpm.sort)
 )
)</f>
        <v>500</v>
      </c>
      <c r="S594" t="str" cm="1">
        <f t="array" ref="S59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94" t="str">
        <f>_xlfn.XLOOKUP(tblTargetStatus[[#This Row],[TargetID]],tblTargets[TargetID],tblTargets[CompletionMethod],"")</f>
        <v>PLAYER</v>
      </c>
      <c r="U594" t="b">
        <f>COUNTIF(
    tblCost[TargetID],
    tblTargetStatus[[#This Row],[TargetID]]
)&gt;0</f>
        <v>1</v>
      </c>
      <c r="V594" s="81">
        <f>IF(tblTargetStatus[[#This Row],[HasCost]]=FALSE,
"N/A",
_xlfn.XLOOKUP(
tblTargetStatus[[#This Row],[TargetID]],
tblCost[TargetID],
tblCost[FundingPercent],
""
)
)</f>
        <v>0</v>
      </c>
      <c r="W594">
        <f>IF(
COUNTIF(tblCost[TargetID],tblTargetStatus[[#This Row],[TargetID]])=0,
"",
_xlfn.XLOOKUP(
tblTargetStatus[[#This Row],[TargetID]],
tblCost[TargetID],
tblCost[RemainingRequirements],
""
)
)</f>
        <v>6</v>
      </c>
      <c r="X594" s="79" t="b">
        <f>IF(tblTargetStatus[[#This Row],[HasCost]]=FALSE,"N/A",_xlfn.XLOOKUP(
tblTargetStatus[[#This Row],[TargetID]],
tblCost[TargetID],
tblCost[TargetFunded],
TRUE
))</f>
        <v>0</v>
      </c>
      <c r="Y594" t="str" cm="1">
        <f t="array" ref="Y594">_xlfn.TEXTJOIN(
", ",
TRUE,
_xlfn._xlws.FILTER(
tblCost[ResourceID]&amp;": "&amp;tblCost[QuantityRequired],
(tblCost[TargetID]=tblTargetStatus[[#This Row],[TargetID]])*
(tblCost[PlayerPaid]=FALSE),
""
)
)</f>
        <v>apy: 10, blueprint: 30, coin: 1500, reagent: 20, ruby: 5, tparts: 30</v>
      </c>
      <c r="Z5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4" t="str" cm="1">
        <f t="array" ref="AA59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5" spans="1:27">
      <c r="A595" t="s">
        <v>2246</v>
      </c>
      <c r="B595" t="str">
        <f>_xlfn.XLOOKUP(tblTargetStatus[[#This Row],[TargetID]],tblTargets[TargetID],tblTargets[DisplayName],"")</f>
        <v>Warehouse - Stackable Racks Lvl 1</v>
      </c>
      <c r="C595" t="str">
        <f>IF(tblTargetStatus[[#This Row],[PlayerCompleted]],"COMPLETED",IF(tblTargetStatus[[#This Row],[MissingDependencies]]=0,"READY","BLOCKED"))</f>
        <v>BLOCKED</v>
      </c>
      <c r="D5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5" t="str">
        <f>_xlfn.XLOOKUP(tblTargetStatus[[#This Row],[TargetID]],tblTargets[TargetID],tblTargets[TargetType],"")</f>
        <v>TECH</v>
      </c>
      <c r="F595" t="str">
        <f>_xlfn.XLOOKUP(tblTargetStatus[[#This Row],[TargetID]],tblTargets[TargetID],tblTargets[StateType])</f>
        <v/>
      </c>
      <c r="G595">
        <f>_xlfn.LET(
_xlpm.id,tblTargetStatus[[#This Row],[TargetID]],
_xlpm.depCount,COUNTIF(tblDependencies[TargetID],_xlpm.id),
_xlpm.objCount,COUNTIF(tblQuestObjectives[QuestTargetID],_xlpm.id),
_xlpm.depCount+_xlpm.objCount
)</f>
        <v>1</v>
      </c>
      <c r="H595">
        <f>tblTargetStatus[[#This Row],[DependencyCount]]</f>
        <v>1</v>
      </c>
      <c r="I595" cm="1">
        <f t="array" ref="I5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5">
        <f>tblTargetStatus[[#This Row],[CompletedDependencyCount]]</f>
        <v>0</v>
      </c>
      <c r="K595" t="b">
        <f>tblTargetStatus[[#This Row],[CompletedDependencies]]=tblTargetStatus[[#This Row],[TotalDependencies]]</f>
        <v>0</v>
      </c>
      <c r="L595">
        <f>tblTargetStatus[[#This Row],[TotalDependencies]]-tblTargetStatus[[#This Row],[CompletedDependencies]]</f>
        <v>1</v>
      </c>
      <c r="M595" t="str" cm="1">
        <f t="array" ref="M5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building.warehouse.maxed</v>
      </c>
      <c r="N595" t="str">
        <f>IF(tblTargetStatus[[#This Row],[FirstMissingDependencyID]]="","",_xlfn.XLOOKUP(tblTargetStatus[[#This Row],[FirstMissingDependencyID]],tblTargets[TargetID],tblTargets[DisplayName],tblTargetStatus[[#This Row],[FirstMissingDependencyID]]))</f>
        <v>warehouse maxed</v>
      </c>
      <c r="O595" s="2" t="str" cm="1">
        <f t="array" ref="O5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blueprint,300 coin,200 plank,1 ruby,50 steel</v>
      </c>
      <c r="P595" t="str">
        <f>IF(tblTargetStatus[[#This Row],[FirstMissingDependencyID]]="","",_xlfn.XLOOKUP(tblTargetStatus[[#This Row],[FirstMissingDependencyID]],tblTargetStatus[TargetID],tblTargetStatus[Status],""))</f>
        <v>BLOCKED</v>
      </c>
      <c r="Q595" t="str">
        <f>IF(
 tblTargetStatus[[#This Row],[Status]]&lt;&gt;"BLOCKED",
 tblTargetStatus[[#This Row],[Status]],
 IF(
  AND(
   tblTargetStatus[[#This Row],[MissingDependencies]]=1,
   tblTargetStatus[[#This Row],[FirstMissingStatus]]="READY"
  ),
  "ONE AWAY",
  "BLOCKED"
 )
)</f>
        <v>BLOCKED</v>
      </c>
      <c r="R595">
        <f>IF(
 OR(
  tblTargetStatus[[#This Row],[StateType]]="CHARACTER",
  RIGHT(tblTargetStatus[[#This Row],[TargetID]],6)=".maxed"
 ),
 0,
 _xlfn.LET(
  _xlpm.sort,
   _xlfn.XLOOKUP(
    tblTargetStatus[[#This Row],[TargetID]],
    tblChecklist[TargetID],
    tblChecklist[PlayerSort],
    0
   ),
  IF(_xlpm.sort=0,500,_xlpm.sort)
 )
)</f>
        <v>500</v>
      </c>
      <c r="S595" t="str" cm="1">
        <f t="array" ref="S59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Warehouse - Stackable Racks Lvl 2</v>
      </c>
      <c r="T595" t="str">
        <f>_xlfn.XLOOKUP(tblTargetStatus[[#This Row],[TargetID]],tblTargets[TargetID],tblTargets[CompletionMethod],"")</f>
        <v>PLAYER</v>
      </c>
      <c r="U595" t="b">
        <f>COUNTIF(
    tblCost[TargetID],
    tblTargetStatus[[#This Row],[TargetID]]
)&gt;0</f>
        <v>1</v>
      </c>
      <c r="V595" s="81">
        <f>IF(tblTargetStatus[[#This Row],[HasCost]]=FALSE,
"N/A",
_xlfn.XLOOKUP(
tblTargetStatus[[#This Row],[TargetID]],
tblCost[TargetID],
tblCost[FundingPercent],
""
)
)</f>
        <v>0</v>
      </c>
      <c r="W595">
        <f>IF(
COUNTIF(tblCost[TargetID],tblTargetStatus[[#This Row],[TargetID]])=0,
"",
_xlfn.XLOOKUP(
tblTargetStatus[[#This Row],[TargetID]],
tblCost[TargetID],
tblCost[RemainingRequirements],
""
)
)</f>
        <v>5</v>
      </c>
      <c r="X595" s="79" t="b">
        <f>IF(tblTargetStatus[[#This Row],[HasCost]]=FALSE,"N/A",_xlfn.XLOOKUP(
tblTargetStatus[[#This Row],[TargetID]],
tblCost[TargetID],
tblCost[TargetFunded],
TRUE
))</f>
        <v>0</v>
      </c>
      <c r="Y595" t="str" cm="1">
        <f t="array" ref="Y595">_xlfn.TEXTJOIN(
", ",
TRUE,
_xlfn._xlws.FILTER(
tblCost[ResourceID]&amp;": "&amp;tblCost[QuantityRequired],
(tblCost[TargetID]=tblTargetStatus[[#This Row],[TargetID]])*
(tblCost[PlayerPaid]=FALSE),
""
)
)</f>
        <v>blueprint: 30, coin: 300, plank: 200, ruby: 1, steel: 50</v>
      </c>
      <c r="Z5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5" t="str" cm="1">
        <f t="array" ref="AA59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6" spans="1:27">
      <c r="A596" t="s">
        <v>2248</v>
      </c>
      <c r="B596" t="str">
        <f>_xlfn.XLOOKUP(tblTargetStatus[[#This Row],[TargetID]],tblTargets[TargetID],tblTargets[DisplayName],"")</f>
        <v>Warehouse - Stackable Racks Lvl 2</v>
      </c>
      <c r="C596" t="str">
        <f>IF(tblTargetStatus[[#This Row],[PlayerCompleted]],"COMPLETED",IF(tblTargetStatus[[#This Row],[MissingDependencies]]=0,"READY","BLOCKED"))</f>
        <v>BLOCKED</v>
      </c>
      <c r="D5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6" t="str">
        <f>_xlfn.XLOOKUP(tblTargetStatus[[#This Row],[TargetID]],tblTargets[TargetID],tblTargets[TargetType],"")</f>
        <v>TECH</v>
      </c>
      <c r="F596" t="str">
        <f>_xlfn.XLOOKUP(tblTargetStatus[[#This Row],[TargetID]],tblTargets[TargetID],tblTargets[StateType])</f>
        <v/>
      </c>
      <c r="G596">
        <f>_xlfn.LET(
_xlpm.id,tblTargetStatus[[#This Row],[TargetID]],
_xlpm.depCount,COUNTIF(tblDependencies[TargetID],_xlpm.id),
_xlpm.objCount,COUNTIF(tblQuestObjectives[QuestTargetID],_xlpm.id),
_xlpm.depCount+_xlpm.objCount
)</f>
        <v>2</v>
      </c>
      <c r="H596">
        <f>tblTargetStatus[[#This Row],[DependencyCount]]</f>
        <v>2</v>
      </c>
      <c r="I596" cm="1">
        <f t="array" ref="I5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6">
        <f>tblTargetStatus[[#This Row],[CompletedDependencyCount]]</f>
        <v>0</v>
      </c>
      <c r="K596" t="b">
        <f>tblTargetStatus[[#This Row],[CompletedDependencies]]=tblTargetStatus[[#This Row],[TotalDependencies]]</f>
        <v>0</v>
      </c>
      <c r="L596">
        <f>tblTargetStatus[[#This Row],[TotalDependencies]]-tblTargetStatus[[#This Row],[CompletedDependencies]]</f>
        <v>2</v>
      </c>
      <c r="M596" t="str" cm="1">
        <f t="array" ref="M5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tech.warehouse.stackable_racks_lvl_1</v>
      </c>
      <c r="N596" t="str">
        <f>IF(tblTargetStatus[[#This Row],[FirstMissingDependencyID]]="","",_xlfn.XLOOKUP(tblTargetStatus[[#This Row],[FirstMissingDependencyID]],tblTargets[TargetID],tblTargets[DisplayName],tblTargetStatus[[#This Row],[FirstMissingDependencyID]]))</f>
        <v>Warehouse - Stackable Racks Lvl 1</v>
      </c>
      <c r="O596" t="str" cm="1">
        <f t="array" ref="O5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blueprint,400 coin,300 plank,2 ruby,60 steel</v>
      </c>
      <c r="P596" t="str">
        <f>IF(tblTargetStatus[[#This Row],[FirstMissingDependencyID]]="","",_xlfn.XLOOKUP(tblTargetStatus[[#This Row],[FirstMissingDependencyID]],tblTargetStatus[TargetID],tblTargetStatus[Status],""))</f>
        <v>BLOCKED</v>
      </c>
      <c r="Q596" t="str">
        <f>IF(
 tblTargetStatus[[#This Row],[Status]]&lt;&gt;"BLOCKED",
 tblTargetStatus[[#This Row],[Status]],
 IF(
  AND(
   tblTargetStatus[[#This Row],[MissingDependencies]]=1,
   tblTargetStatus[[#This Row],[FirstMissingStatus]]="READY"
  ),
  "ONE AWAY",
  "BLOCKED"
 )
)</f>
        <v>BLOCKED</v>
      </c>
      <c r="R596">
        <f>IF(
 OR(
  tblTargetStatus[[#This Row],[StateType]]="CHARACTER",
  RIGHT(tblTargetStatus[[#This Row],[TargetID]],6)=".maxed"
 ),
 0,
 _xlfn.LET(
  _xlpm.sort,
   _xlfn.XLOOKUP(
    tblTargetStatus[[#This Row],[TargetID]],
    tblChecklist[TargetID],
    tblChecklist[PlayerSort],
    0
   ),
  IF(_xlpm.sort=0,500,_xlpm.sort)
 )
)</f>
        <v>500</v>
      </c>
      <c r="S596" t="str" cm="1">
        <f t="array" ref="S59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Warehouse - Stackable Racks Lvl 3</v>
      </c>
      <c r="T596" t="str">
        <f>_xlfn.XLOOKUP(tblTargetStatus[[#This Row],[TargetID]],tblTargets[TargetID],tblTargets[CompletionMethod],"")</f>
        <v>PLAYER</v>
      </c>
      <c r="U596" t="b">
        <f>COUNTIF(
    tblCost[TargetID],
    tblTargetStatus[[#This Row],[TargetID]]
)&gt;0</f>
        <v>1</v>
      </c>
      <c r="V596" s="81">
        <f>IF(tblTargetStatus[[#This Row],[HasCost]]=FALSE,
"N/A",
_xlfn.XLOOKUP(
tblTargetStatus[[#This Row],[TargetID]],
tblCost[TargetID],
tblCost[FundingPercent],
""
)
)</f>
        <v>0</v>
      </c>
      <c r="W596">
        <f>IF(
COUNTIF(tblCost[TargetID],tblTargetStatus[[#This Row],[TargetID]])=0,
"",
_xlfn.XLOOKUP(
tblTargetStatus[[#This Row],[TargetID]],
tblCost[TargetID],
tblCost[RemainingRequirements],
""
)
)</f>
        <v>5</v>
      </c>
      <c r="X596" s="79" t="b">
        <f>IF(tblTargetStatus[[#This Row],[HasCost]]=FALSE,"N/A",_xlfn.XLOOKUP(
tblTargetStatus[[#This Row],[TargetID]],
tblCost[TargetID],
tblCost[TargetFunded],
TRUE
))</f>
        <v>0</v>
      </c>
      <c r="Y596" t="str" cm="1">
        <f t="array" ref="Y596">_xlfn.TEXTJOIN(
", ",
TRUE,
_xlfn._xlws.FILTER(
tblCost[ResourceID]&amp;": "&amp;tblCost[QuantityRequired],
(tblCost[TargetID]=tblTargetStatus[[#This Row],[TargetID]])*
(tblCost[PlayerPaid]=FALSE),
""
)
)</f>
        <v>blueprint: 30, coin: 400, plank: 300, ruby: 2, steel: 60</v>
      </c>
      <c r="Z5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6" t="str" cm="1">
        <f t="array" ref="AA59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7" spans="1:27">
      <c r="A597" t="s">
        <v>2250</v>
      </c>
      <c r="B597" t="str">
        <f>_xlfn.XLOOKUP(tblTargetStatus[[#This Row],[TargetID]],tblTargets[TargetID],tblTargets[DisplayName],"")</f>
        <v>Warehouse - Stackable Racks Lvl 3</v>
      </c>
      <c r="C597" t="str">
        <f>IF(tblTargetStatus[[#This Row],[PlayerCompleted]],"COMPLETED",IF(tblTargetStatus[[#This Row],[MissingDependencies]]=0,"READY","BLOCKED"))</f>
        <v>BLOCKED</v>
      </c>
      <c r="D5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7" t="str">
        <f>_xlfn.XLOOKUP(tblTargetStatus[[#This Row],[TargetID]],tblTargets[TargetID],tblTargets[TargetType],"")</f>
        <v>TECH</v>
      </c>
      <c r="F597" t="str">
        <f>_xlfn.XLOOKUP(tblTargetStatus[[#This Row],[TargetID]],tblTargets[TargetID],tblTargets[StateType])</f>
        <v/>
      </c>
      <c r="G597">
        <f>_xlfn.LET(
_xlpm.id,tblTargetStatus[[#This Row],[TargetID]],
_xlpm.depCount,COUNTIF(tblDependencies[TargetID],_xlpm.id),
_xlpm.objCount,COUNTIF(tblQuestObjectives[QuestTargetID],_xlpm.id),
_xlpm.depCount+_xlpm.objCount
)</f>
        <v>2</v>
      </c>
      <c r="H597">
        <f>tblTargetStatus[[#This Row],[DependencyCount]]</f>
        <v>2</v>
      </c>
      <c r="I597" cm="1">
        <f t="array" ref="I5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7">
        <f>tblTargetStatus[[#This Row],[CompletedDependencyCount]]</f>
        <v>0</v>
      </c>
      <c r="K597" t="b">
        <f>tblTargetStatus[[#This Row],[CompletedDependencies]]=tblTargetStatus[[#This Row],[TotalDependencies]]</f>
        <v>0</v>
      </c>
      <c r="L597">
        <f>tblTargetStatus[[#This Row],[TotalDependencies]]-tblTargetStatus[[#This Row],[CompletedDependencies]]</f>
        <v>2</v>
      </c>
      <c r="M597" t="str" cm="1">
        <f t="array" ref="M5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tech.warehouse.stackable_racks_lvl_2</v>
      </c>
      <c r="N597" t="str">
        <f>IF(tblTargetStatus[[#This Row],[FirstMissingDependencyID]]="","",_xlfn.XLOOKUP(tblTargetStatus[[#This Row],[FirstMissingDependencyID]],tblTargets[TargetID],tblTargets[DisplayName],tblTargetStatus[[#This Row],[FirstMissingDependencyID]]))</f>
        <v>Warehouse - Stackable Racks Lvl 2</v>
      </c>
      <c r="O597" t="str" cm="1">
        <f t="array" ref="O5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blueprint,500 coin,400 plank,3 ruby,70 steel</v>
      </c>
      <c r="P597" t="str">
        <f>IF(tblTargetStatus[[#This Row],[FirstMissingDependencyID]]="","",_xlfn.XLOOKUP(tblTargetStatus[[#This Row],[FirstMissingDependencyID]],tblTargetStatus[TargetID],tblTargetStatus[Status],""))</f>
        <v>BLOCKED</v>
      </c>
      <c r="Q597" t="str">
        <f>IF(
 tblTargetStatus[[#This Row],[Status]]&lt;&gt;"BLOCKED",
 tblTargetStatus[[#This Row],[Status]],
 IF(
  AND(
   tblTargetStatus[[#This Row],[MissingDependencies]]=1,
   tblTargetStatus[[#This Row],[FirstMissingStatus]]="READY"
  ),
  "ONE AWAY",
  "BLOCKED"
 )
)</f>
        <v>BLOCKED</v>
      </c>
      <c r="R597">
        <f>IF(
 OR(
  tblTargetStatus[[#This Row],[StateType]]="CHARACTER",
  RIGHT(tblTargetStatus[[#This Row],[TargetID]],6)=".maxed"
 ),
 0,
 _xlfn.LET(
  _xlpm.sort,
   _xlfn.XLOOKUP(
    tblTargetStatus[[#This Row],[TargetID]],
    tblChecklist[TargetID],
    tblChecklist[PlayerSort],
    0
   ),
  IF(_xlpm.sort=0,500,_xlpm.sort)
 )
)</f>
        <v>500</v>
      </c>
      <c r="S597" t="str" cm="1">
        <f t="array" ref="S59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97" t="str">
        <f>_xlfn.XLOOKUP(tblTargetStatus[[#This Row],[TargetID]],tblTargets[TargetID],tblTargets[CompletionMethod],"")</f>
        <v>PLAYER</v>
      </c>
      <c r="U597" t="b">
        <f>COUNTIF(
    tblCost[TargetID],
    tblTargetStatus[[#This Row],[TargetID]]
)&gt;0</f>
        <v>1</v>
      </c>
      <c r="V597" s="81">
        <f>IF(tblTargetStatus[[#This Row],[HasCost]]=FALSE,
"N/A",
_xlfn.XLOOKUP(
tblTargetStatus[[#This Row],[TargetID]],
tblCost[TargetID],
tblCost[FundingPercent],
""
)
)</f>
        <v>0</v>
      </c>
      <c r="W597">
        <f>IF(
COUNTIF(tblCost[TargetID],tblTargetStatus[[#This Row],[TargetID]])=0,
"",
_xlfn.XLOOKUP(
tblTargetStatus[[#This Row],[TargetID]],
tblCost[TargetID],
tblCost[RemainingRequirements],
""
)
)</f>
        <v>5</v>
      </c>
      <c r="X597" s="79" t="b">
        <f>IF(tblTargetStatus[[#This Row],[HasCost]]=FALSE,"N/A",_xlfn.XLOOKUP(
tblTargetStatus[[#This Row],[TargetID]],
tblCost[TargetID],
tblCost[TargetFunded],
TRUE
))</f>
        <v>0</v>
      </c>
      <c r="Y597" t="str" cm="1">
        <f t="array" ref="Y597">_xlfn.TEXTJOIN(
", ",
TRUE,
_xlfn._xlws.FILTER(
tblCost[ResourceID]&amp;": "&amp;tblCost[QuantityRequired],
(tblCost[TargetID]=tblTargetStatus[[#This Row],[TargetID]])*
(tblCost[PlayerPaid]=FALSE),
""
)
)</f>
        <v>blueprint: 30, coin: 500, plank: 400, ruby: 3, steel: 70</v>
      </c>
      <c r="Z5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7" t="str" cm="1">
        <f t="array" ref="AA59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8" spans="1:27">
      <c r="A598" t="s">
        <v>5773</v>
      </c>
      <c r="B598" t="str">
        <f>_xlfn.XLOOKUP(tblTargetStatus[[#This Row],[TargetID]],tblTargets[TargetID],tblTargets[DisplayName],"")</f>
        <v>Windmill -  Bone Meal</v>
      </c>
      <c r="C598" t="str">
        <f>IF(tblTargetStatus[[#This Row],[PlayerCompleted]],"COMPLETED",IF(tblTargetStatus[[#This Row],[MissingDependencies]]=0,"READY","BLOCKED"))</f>
        <v>BLOCKED</v>
      </c>
      <c r="D5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8" t="str">
        <f>_xlfn.XLOOKUP(tblTargetStatus[[#This Row],[TargetID]],tblTargets[TargetID],tblTargets[TargetType],"")</f>
        <v>TECH</v>
      </c>
      <c r="F598" t="str">
        <f>_xlfn.XLOOKUP(tblTargetStatus[[#This Row],[TargetID]],tblTargets[TargetID],tblTargets[StateType])</f>
        <v/>
      </c>
      <c r="G598">
        <f>_xlfn.LET(
_xlpm.id,tblTargetStatus[[#This Row],[TargetID]],
_xlpm.depCount,COUNTIF(tblDependencies[TargetID],_xlpm.id),
_xlpm.objCount,COUNTIF(tblQuestObjectives[QuestTargetID],_xlpm.id),
_xlpm.depCount+_xlpm.objCount
)</f>
        <v>1</v>
      </c>
      <c r="H598">
        <f>tblTargetStatus[[#This Row],[DependencyCount]]</f>
        <v>1</v>
      </c>
      <c r="I598" cm="1">
        <f t="array" ref="I5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8">
        <f>tblTargetStatus[[#This Row],[CompletedDependencyCount]]</f>
        <v>0</v>
      </c>
      <c r="K598" t="b">
        <f>tblTargetStatus[[#This Row],[CompletedDependencies]]=tblTargetStatus[[#This Row],[TotalDependencies]]</f>
        <v>0</v>
      </c>
      <c r="L598">
        <f>tblTargetStatus[[#This Row],[TotalDependencies]]-tblTargetStatus[[#This Row],[CompletedDependencies]]</f>
        <v>1</v>
      </c>
      <c r="M598" t="str" cm="1">
        <f t="array" ref="M5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building.windmill.maxed</v>
      </c>
      <c r="N598" t="str">
        <f>IF(tblTargetStatus[[#This Row],[FirstMissingDependencyID]]="","",_xlfn.XLOOKUP(tblTargetStatus[[#This Row],[FirstMissingDependencyID]],tblTargets[TargetID],tblTargets[DisplayName],tblTargetStatus[[#This Row],[FirstMissingDependencyID]]))</f>
        <v>windmill maxed</v>
      </c>
      <c r="O598" t="str" cm="1">
        <f t="array" ref="O5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 400 coin, 100 stone, 20 miron, 40 bone, 20 elixir, 15 page</v>
      </c>
      <c r="P598" t="str">
        <f>IF(tblTargetStatus[[#This Row],[FirstMissingDependencyID]]="","",_xlfn.XLOOKUP(tblTargetStatus[[#This Row],[FirstMissingDependencyID]],tblTargetStatus[TargetID],tblTargetStatus[Status],""))</f>
        <v>BLOCKED</v>
      </c>
      <c r="Q598" t="str">
        <f>IF(
 tblTargetStatus[[#This Row],[Status]]&lt;&gt;"BLOCKED",
 tblTargetStatus[[#This Row],[Status]],
 IF(
  AND(
   tblTargetStatus[[#This Row],[MissingDependencies]]=1,
   tblTargetStatus[[#This Row],[FirstMissingStatus]]="READY"
  ),
  "ONE AWAY",
  "BLOCKED"
 )
)</f>
        <v>BLOCKED</v>
      </c>
      <c r="R598">
        <f>IF(
 OR(
  tblTargetStatus[[#This Row],[StateType]]="CHARACTER",
  RIGHT(tblTargetStatus[[#This Row],[TargetID]],6)=".maxed"
 ),
 0,
 _xlfn.LET(
  _xlpm.sort,
   _xlfn.XLOOKUP(
    tblTargetStatus[[#This Row],[TargetID]],
    tblChecklist[TargetID],
    tblChecklist[PlayerSort],
    0
   ),
  IF(_xlpm.sort=0,500,_xlpm.sort)
 )
)</f>
        <v>500</v>
      </c>
      <c r="S598" t="str" cm="1">
        <f t="array" ref="S59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598" t="str">
        <f>_xlfn.XLOOKUP(tblTargetStatus[[#This Row],[TargetID]],tblTargets[TargetID],tblTargets[CompletionMethod],"")</f>
        <v>PLAYER</v>
      </c>
      <c r="U598" t="b">
        <f>COUNTIF(
    tblCost[TargetID],
    tblTargetStatus[[#This Row],[TargetID]]
)&gt;0</f>
        <v>1</v>
      </c>
      <c r="V598" s="81">
        <f>IF(tblTargetStatus[[#This Row],[HasCost]]=FALSE,
"N/A",
_xlfn.XLOOKUP(
tblTargetStatus[[#This Row],[TargetID]],
tblCost[TargetID],
tblCost[FundingPercent],
""
)
)</f>
        <v>0</v>
      </c>
      <c r="W598">
        <f>IF(
COUNTIF(tblCost[TargetID],tblTargetStatus[[#This Row],[TargetID]])=0,
"",
_xlfn.XLOOKUP(
tblTargetStatus[[#This Row],[TargetID]],
tblCost[TargetID],
tblCost[RemainingRequirements],
""
)
)</f>
        <v>7</v>
      </c>
      <c r="X598" s="79" t="b">
        <f>IF(tblTargetStatus[[#This Row],[HasCost]]=FALSE,"N/A",_xlfn.XLOOKUP(
tblTargetStatus[[#This Row],[TargetID]],
tblCost[TargetID],
tblCost[TargetFunded],
TRUE
))</f>
        <v>0</v>
      </c>
      <c r="Y598" t="str" cm="1">
        <f t="array" ref="Y598">_xlfn.TEXTJOIN(
", ",
TRUE,
_xlfn._xlws.FILTER(
tblCost[ResourceID]&amp;": "&amp;tblCost[QuantityRequired],
(tblCost[TargetID]=tblTargetStatus[[#This Row],[TargetID]])*
(tblCost[PlayerPaid]=FALSE),
""
)
)</f>
        <v>ruby: 2, coin: 400, stone: 100, meteroic_iron: 20, bone: 40, elixir_of_insight: 20, ancient_page: 15</v>
      </c>
      <c r="Z5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8" t="str" cm="1">
        <f t="array" ref="AA59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599" spans="1:27" ht="29">
      <c r="A599" t="s">
        <v>2276</v>
      </c>
      <c r="B599" t="str">
        <f>_xlfn.XLOOKUP(tblTargetStatus[[#This Row],[TargetID]],tblTargets[TargetID],tblTargets[DisplayName],"")</f>
        <v>Workshop - Conveyor Lvl 1</v>
      </c>
      <c r="C599" t="str">
        <f>IF(tblTargetStatus[[#This Row],[PlayerCompleted]],"COMPLETED",IF(tblTargetStatus[[#This Row],[MissingDependencies]]=0,"READY","BLOCKED"))</f>
        <v>BLOCKED</v>
      </c>
      <c r="D5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9" t="str">
        <f>_xlfn.XLOOKUP(tblTargetStatus[[#This Row],[TargetID]],tblTargets[TargetID],tblTargets[TargetType],"")</f>
        <v>TECH</v>
      </c>
      <c r="F599" t="str">
        <f>_xlfn.XLOOKUP(tblTargetStatus[[#This Row],[TargetID]],tblTargets[TargetID],tblTargets[StateType])</f>
        <v/>
      </c>
      <c r="G599">
        <f>_xlfn.LET(
_xlpm.id,tblTargetStatus[[#This Row],[TargetID]],
_xlpm.depCount,COUNTIF(tblDependencies[TargetID],_xlpm.id),
_xlpm.objCount,COUNTIF(tblQuestObjectives[QuestTargetID],_xlpm.id),
_xlpm.depCount+_xlpm.objCount
)</f>
        <v>1</v>
      </c>
      <c r="H599">
        <f>tblTargetStatus[[#This Row],[DependencyCount]]</f>
        <v>1</v>
      </c>
      <c r="I599" cm="1">
        <f t="array" ref="I5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9">
        <f>tblTargetStatus[[#This Row],[CompletedDependencyCount]]</f>
        <v>0</v>
      </c>
      <c r="K599" t="b">
        <f>tblTargetStatus[[#This Row],[CompletedDependencies]]=tblTargetStatus[[#This Row],[TotalDependencies]]</f>
        <v>0</v>
      </c>
      <c r="L599">
        <f>tblTargetStatus[[#This Row],[TotalDependencies]]-tblTargetStatus[[#This Row],[CompletedDependencies]]</f>
        <v>1</v>
      </c>
      <c r="M599" t="str" cm="1">
        <f t="array" ref="M5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building.workshop.maxed</v>
      </c>
      <c r="N599" t="str">
        <f>IF(tblTargetStatus[[#This Row],[FirstMissingDependencyID]]="","",_xlfn.XLOOKUP(tblTargetStatus[[#This Row],[FirstMissingDependencyID]],tblTargets[TargetID],tblTargets[DisplayName],tblTargetStatus[[#This Row],[FirstMissingDependencyID]]))</f>
        <v>workshop maxed</v>
      </c>
      <c r="O599" s="2" t="str" cm="1">
        <f t="array" ref="O5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blueprint,1000 coin,50 elixir,10 mechanism,20 msteel,3 ruby</v>
      </c>
      <c r="P599" t="str">
        <f>IF(tblTargetStatus[[#This Row],[FirstMissingDependencyID]]="","",_xlfn.XLOOKUP(tblTargetStatus[[#This Row],[FirstMissingDependencyID]],tblTargetStatus[TargetID],tblTargetStatus[Status],""))</f>
        <v>BLOCKED</v>
      </c>
      <c r="Q599" t="str">
        <f>IF(
 tblTargetStatus[[#This Row],[Status]]&lt;&gt;"BLOCKED",
 tblTargetStatus[[#This Row],[Status]],
 IF(
  AND(
   tblTargetStatus[[#This Row],[MissingDependencies]]=1,
   tblTargetStatus[[#This Row],[FirstMissingStatus]]="READY"
  ),
  "ONE AWAY",
  "BLOCKED"
 )
)</f>
        <v>BLOCKED</v>
      </c>
      <c r="R599">
        <f>IF(
 OR(
  tblTargetStatus[[#This Row],[StateType]]="CHARACTER",
  RIGHT(tblTargetStatus[[#This Row],[TargetID]],6)=".maxed"
 ),
 0,
 _xlfn.LET(
  _xlpm.sort,
   _xlfn.XLOOKUP(
    tblTargetStatus[[#This Row],[TargetID]],
    tblChecklist[TargetID],
    tblChecklist[PlayerSort],
    0
   ),
  IF(_xlpm.sort=0,500,_xlpm.sort)
 )
)</f>
        <v>40</v>
      </c>
      <c r="S599" t="str" cm="1">
        <f t="array" ref="S59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 Conveyor Lvl 2</v>
      </c>
      <c r="T599" t="str">
        <f>_xlfn.XLOOKUP(tblTargetStatus[[#This Row],[TargetID]],tblTargets[TargetID],tblTargets[CompletionMethod],"")</f>
        <v>PLAYER</v>
      </c>
      <c r="U599" t="b">
        <f>COUNTIF(
    tblCost[TargetID],
    tblTargetStatus[[#This Row],[TargetID]]
)&gt;0</f>
        <v>1</v>
      </c>
      <c r="V599" s="81">
        <f>IF(tblTargetStatus[[#This Row],[HasCost]]=FALSE,
"N/A",
_xlfn.XLOOKUP(
tblTargetStatus[[#This Row],[TargetID]],
tblCost[TargetID],
tblCost[FundingPercent],
""
)
)</f>
        <v>0</v>
      </c>
      <c r="W599">
        <f>IF(
COUNTIF(tblCost[TargetID],tblTargetStatus[[#This Row],[TargetID]])=0,
"",
_xlfn.XLOOKUP(
tblTargetStatus[[#This Row],[TargetID]],
tblCost[TargetID],
tblCost[RemainingRequirements],
""
)
)</f>
        <v>6</v>
      </c>
      <c r="X599" s="79" t="b">
        <f>IF(tblTargetStatus[[#This Row],[HasCost]]=FALSE,"N/A",_xlfn.XLOOKUP(
tblTargetStatus[[#This Row],[TargetID]],
tblCost[TargetID],
tblCost[TargetFunded],
TRUE
))</f>
        <v>0</v>
      </c>
      <c r="Y599" t="str" cm="1">
        <f t="array" ref="Y599">_xlfn.TEXTJOIN(
", ",
TRUE,
_xlfn._xlws.FILTER(
tblCost[ResourceID]&amp;": "&amp;tblCost[QuantityRequired],
(tblCost[TargetID]=tblTargetStatus[[#This Row],[TargetID]])*
(tblCost[PlayerPaid]=FALSE),
""
)
)</f>
        <v>blueprint: 20, coin: 1000, elixir: 50, mechanism: 10, msteel: 20, ruby: 3</v>
      </c>
      <c r="Z5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9" t="str" cm="1">
        <f t="array" ref="AA59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00" spans="1:27" ht="29">
      <c r="A600" t="s">
        <v>2278</v>
      </c>
      <c r="B600" t="str">
        <f>_xlfn.XLOOKUP(tblTargetStatus[[#This Row],[TargetID]],tblTargets[TargetID],tblTargets[DisplayName],"")</f>
        <v>Workshop - Conveyor Lvl 2</v>
      </c>
      <c r="C600" t="str">
        <f>IF(tblTargetStatus[[#This Row],[PlayerCompleted]],"COMPLETED",IF(tblTargetStatus[[#This Row],[MissingDependencies]]=0,"READY","BLOCKED"))</f>
        <v>BLOCKED</v>
      </c>
      <c r="D6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0" t="str">
        <f>_xlfn.XLOOKUP(tblTargetStatus[[#This Row],[TargetID]],tblTargets[TargetID],tblTargets[TargetType],"")</f>
        <v>TECH</v>
      </c>
      <c r="F600" t="str">
        <f>_xlfn.XLOOKUP(tblTargetStatus[[#This Row],[TargetID]],tblTargets[TargetID],tblTargets[StateType])</f>
        <v/>
      </c>
      <c r="G600">
        <f>_xlfn.LET(
_xlpm.id,tblTargetStatus[[#This Row],[TargetID]],
_xlpm.depCount,COUNTIF(tblDependencies[TargetID],_xlpm.id),
_xlpm.objCount,COUNTIF(tblQuestObjectives[QuestTargetID],_xlpm.id),
_xlpm.depCount+_xlpm.objCount
)</f>
        <v>1</v>
      </c>
      <c r="H600">
        <f>tblTargetStatus[[#This Row],[DependencyCount]]</f>
        <v>1</v>
      </c>
      <c r="I600" cm="1">
        <f t="array" ref="I6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0">
        <f>tblTargetStatus[[#This Row],[CompletedDependencyCount]]</f>
        <v>0</v>
      </c>
      <c r="K600" t="b">
        <f>tblTargetStatus[[#This Row],[CompletedDependencies]]=tblTargetStatus[[#This Row],[TotalDependencies]]</f>
        <v>0</v>
      </c>
      <c r="L600">
        <f>tblTargetStatus[[#This Row],[TotalDependencies]]-tblTargetStatus[[#This Row],[CompletedDependencies]]</f>
        <v>1</v>
      </c>
      <c r="M600" t="str" cm="1">
        <f t="array" ref="M6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tech.workshop.conveyor_lvl_1</v>
      </c>
      <c r="N600" t="str">
        <f>IF(tblTargetStatus[[#This Row],[FirstMissingDependencyID]]="","",_xlfn.XLOOKUP(tblTargetStatus[[#This Row],[FirstMissingDependencyID]],tblTargets[TargetID],tblTargets[DisplayName],tblTargetStatus[[#This Row],[FirstMissingDependencyID]]))</f>
        <v>Workshop - Conveyor Lvl 1</v>
      </c>
      <c r="O600" s="2" t="str" cm="1">
        <f t="array" ref="O6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coin,75 elixir,15 mechanism,30 msteel,5 ruby</v>
      </c>
      <c r="P600" t="str">
        <f>IF(tblTargetStatus[[#This Row],[FirstMissingDependencyID]]="","",_xlfn.XLOOKUP(tblTargetStatus[[#This Row],[FirstMissingDependencyID]],tblTargetStatus[TargetID],tblTargetStatus[Status],""))</f>
        <v>BLOCKED</v>
      </c>
      <c r="Q600" t="str">
        <f>IF(
 tblTargetStatus[[#This Row],[Status]]&lt;&gt;"BLOCKED",
 tblTargetStatus[[#This Row],[Status]],
 IF(
  AND(
   tblTargetStatus[[#This Row],[MissingDependencies]]=1,
   tblTargetStatus[[#This Row],[FirstMissingStatus]]="READY"
  ),
  "ONE AWAY",
  "BLOCKED"
 )
)</f>
        <v>BLOCKED</v>
      </c>
      <c r="R600">
        <f>IF(
 OR(
  tblTargetStatus[[#This Row],[StateType]]="CHARACTER",
  RIGHT(tblTargetStatus[[#This Row],[TargetID]],6)=".maxed"
 ),
 0,
 _xlfn.LET(
  _xlpm.sort,
   _xlfn.XLOOKUP(
    tblTargetStatus[[#This Row],[TargetID]],
    tblChecklist[TargetID],
    tblChecklist[PlayerSort],
    0
   ),
  IF(_xlpm.sort=0,500,_xlpm.sort)
 )
)</f>
        <v>500</v>
      </c>
      <c r="S600" t="str" cm="1">
        <f t="array" ref="S60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600" t="str">
        <f>_xlfn.XLOOKUP(tblTargetStatus[[#This Row],[TargetID]],tblTargets[TargetID],tblTargets[CompletionMethod],"")</f>
        <v>PLAYER</v>
      </c>
      <c r="U600" t="b">
        <f>COUNTIF(
    tblCost[TargetID],
    tblTargetStatus[[#This Row],[TargetID]]
)&gt;0</f>
        <v>1</v>
      </c>
      <c r="V600" s="81">
        <f>IF(tblTargetStatus[[#This Row],[HasCost]]=FALSE,
"N/A",
_xlfn.XLOOKUP(
tblTargetStatus[[#This Row],[TargetID]],
tblCost[TargetID],
tblCost[FundingPercent],
""
)
)</f>
        <v>0</v>
      </c>
      <c r="W600">
        <f>IF(
COUNTIF(tblCost[TargetID],tblTargetStatus[[#This Row],[TargetID]])=0,
"",
_xlfn.XLOOKUP(
tblTargetStatus[[#This Row],[TargetID]],
tblCost[TargetID],
tblCost[RemainingRequirements],
""
)
)</f>
        <v>6</v>
      </c>
      <c r="X600" s="79" t="b">
        <f>IF(tblTargetStatus[[#This Row],[HasCost]]=FALSE,"N/A",_xlfn.XLOOKUP(
tblTargetStatus[[#This Row],[TargetID]],
tblCost[TargetID],
tblCost[TargetFunded],
TRUE
))</f>
        <v>0</v>
      </c>
      <c r="Y600" t="str" cm="1">
        <f t="array" ref="Y600">_xlfn.TEXTJOIN(
", ",
TRUE,
_xlfn._xlws.FILTER(
tblCost[ResourceID]&amp;": "&amp;tblCost[QuantityRequired],
(tblCost[TargetID]=tblTargetStatus[[#This Row],[TargetID]])*
(tblCost[PlayerPaid]=FALSE),
""
)
)</f>
        <v>blueprint: 30, coin: 1500, elixir: 75, mechanism: 15, msteel: 30, ruby: 5</v>
      </c>
      <c r="Z6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0" t="str" cm="1">
        <f t="array" ref="AA60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01" spans="1:27">
      <c r="A601" t="s">
        <v>2270</v>
      </c>
      <c r="B601" t="str">
        <f>_xlfn.XLOOKUP(tblTargetStatus[[#This Row],[TargetID]],tblTargets[TargetID],tblTargets[DisplayName],"")</f>
        <v>Workshop - Explosive Mechanical Spider</v>
      </c>
      <c r="C601" t="str">
        <f>IF(tblTargetStatus[[#This Row],[PlayerCompleted]],"COMPLETED",IF(tblTargetStatus[[#This Row],[MissingDependencies]]=0,"READY","BLOCKED"))</f>
        <v>BLOCKED</v>
      </c>
      <c r="D6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1" t="str">
        <f>_xlfn.XLOOKUP(tblTargetStatus[[#This Row],[TargetID]],tblTargets[TargetID],tblTargets[TargetType],"")</f>
        <v>TECH</v>
      </c>
      <c r="F601" t="str">
        <f>_xlfn.XLOOKUP(tblTargetStatus[[#This Row],[TargetID]],tblTargets[TargetID],tblTargets[StateType])</f>
        <v/>
      </c>
      <c r="G601">
        <f>_xlfn.LET(
_xlpm.id,tblTargetStatus[[#This Row],[TargetID]],
_xlpm.depCount,COUNTIF(tblDependencies[TargetID],_xlpm.id),
_xlpm.objCount,COUNTIF(tblQuestObjectives[QuestTargetID],_xlpm.id),
_xlpm.depCount+_xlpm.objCount
)</f>
        <v>2</v>
      </c>
      <c r="H601">
        <f>tblTargetStatus[[#This Row],[DependencyCount]]</f>
        <v>2</v>
      </c>
      <c r="I601" cm="1">
        <f t="array" ref="I6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1">
        <f>tblTargetStatus[[#This Row],[CompletedDependencyCount]]</f>
        <v>0</v>
      </c>
      <c r="K601" t="b">
        <f>tblTargetStatus[[#This Row],[CompletedDependencies]]=tblTargetStatus[[#This Row],[TotalDependencies]]</f>
        <v>0</v>
      </c>
      <c r="L601">
        <f>tblTargetStatus[[#This Row],[TotalDependencies]]-tblTargetStatus[[#This Row],[CompletedDependencies]]</f>
        <v>2</v>
      </c>
      <c r="M601" t="str" cm="1">
        <f t="array" ref="M6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tech.workshop.mechanical_spider</v>
      </c>
      <c r="N601" t="str">
        <f>IF(tblTargetStatus[[#This Row],[FirstMissingDependencyID]]="","",_xlfn.XLOOKUP(tblTargetStatus[[#This Row],[FirstMissingDependencyID]],tblTargets[TargetID],tblTargets[DisplayName],tblTargetStatus[[#This Row],[FirstMissingDependencyID]]))</f>
        <v>Workshop - Mechanical Spider</v>
      </c>
      <c r="O601" t="str" cm="1">
        <f t="array" ref="O6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blueprint,400 coin,20 greek,10 mechanism,3 mspider,2 ruby</v>
      </c>
      <c r="P601" t="str">
        <f>IF(tblTargetStatus[[#This Row],[FirstMissingDependencyID]]="","",_xlfn.XLOOKUP(tblTargetStatus[[#This Row],[FirstMissingDependencyID]],tblTargetStatus[TargetID],tblTargetStatus[Status],""))</f>
        <v>BLOCKED</v>
      </c>
      <c r="Q601" t="str">
        <f>IF(
 tblTargetStatus[[#This Row],[Status]]&lt;&gt;"BLOCKED",
 tblTargetStatus[[#This Row],[Status]],
 IF(
  AND(
   tblTargetStatus[[#This Row],[MissingDependencies]]=1,
   tblTargetStatus[[#This Row],[FirstMissingStatus]]="READY"
  ),
  "ONE AWAY",
  "BLOCKED"
 )
)</f>
        <v>BLOCKED</v>
      </c>
      <c r="R601">
        <f>IF(
 OR(
  tblTargetStatus[[#This Row],[StateType]]="CHARACTER",
  RIGHT(tblTargetStatus[[#This Row],[TargetID]],6)=".maxed"
 ),
 0,
 _xlfn.LET(
  _xlpm.sort,
   _xlfn.XLOOKUP(
    tblTargetStatus[[#This Row],[TargetID]],
    tblChecklist[TargetID],
    tblChecklist[PlayerSort],
    0
   ),
  IF(_xlpm.sort=0,500,_xlpm.sort)
 )
)</f>
        <v>500</v>
      </c>
      <c r="S601" t="str" cm="1">
        <f t="array" ref="S60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601" t="str">
        <f>_xlfn.XLOOKUP(tblTargetStatus[[#This Row],[TargetID]],tblTargets[TargetID],tblTargets[CompletionMethod],"")</f>
        <v>PLAYER</v>
      </c>
      <c r="U601" t="b">
        <f>COUNTIF(
    tblCost[TargetID],
    tblTargetStatus[[#This Row],[TargetID]]
)&gt;0</f>
        <v>1</v>
      </c>
      <c r="V601" s="81">
        <f>IF(tblTargetStatus[[#This Row],[HasCost]]=FALSE,
"N/A",
_xlfn.XLOOKUP(
tblTargetStatus[[#This Row],[TargetID]],
tblCost[TargetID],
tblCost[FundingPercent],
""
)
)</f>
        <v>0</v>
      </c>
      <c r="W601">
        <f>IF(
COUNTIF(tblCost[TargetID],tblTargetStatus[[#This Row],[TargetID]])=0,
"",
_xlfn.XLOOKUP(
tblTargetStatus[[#This Row],[TargetID]],
tblCost[TargetID],
tblCost[RemainingRequirements],
""
)
)</f>
        <v>6</v>
      </c>
      <c r="X601" s="79" t="b">
        <f>IF(tblTargetStatus[[#This Row],[HasCost]]=FALSE,"N/A",_xlfn.XLOOKUP(
tblTargetStatus[[#This Row],[TargetID]],
tblCost[TargetID],
tblCost[TargetFunded],
TRUE
))</f>
        <v>0</v>
      </c>
      <c r="Y601" t="str" cm="1">
        <f t="array" ref="Y601">_xlfn.TEXTJOIN(
", ",
TRUE,
_xlfn._xlws.FILTER(
tblCost[ResourceID]&amp;": "&amp;tblCost[QuantityRequired],
(tblCost[TargetID]=tblTargetStatus[[#This Row],[TargetID]])*
(tblCost[PlayerPaid]=FALSE),
""
)
)</f>
        <v>blueprint: 15, coin: 400, greek: 20, mechanism: 10, mspider: 3, ruby: 2</v>
      </c>
      <c r="Z6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1" t="str" cm="1">
        <f t="array" ref="AA60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02" spans="1:27">
      <c r="A602" t="s">
        <v>2268</v>
      </c>
      <c r="B602" t="str">
        <f>_xlfn.XLOOKUP(tblTargetStatus[[#This Row],[TargetID]],tblTargets[TargetID],tblTargets[DisplayName],"")</f>
        <v>Workshop - Mechanical Spider</v>
      </c>
      <c r="C602" t="str">
        <f>IF(tblTargetStatus[[#This Row],[PlayerCompleted]],"COMPLETED",IF(tblTargetStatus[[#This Row],[MissingDependencies]]=0,"READY","BLOCKED"))</f>
        <v>BLOCKED</v>
      </c>
      <c r="D6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2" t="str">
        <f>_xlfn.XLOOKUP(tblTargetStatus[[#This Row],[TargetID]],tblTargets[TargetID],tblTargets[TargetType],"")</f>
        <v>TECH</v>
      </c>
      <c r="F602" t="str">
        <f>_xlfn.XLOOKUP(tblTargetStatus[[#This Row],[TargetID]],tblTargets[TargetID],tblTargets[StateType])</f>
        <v/>
      </c>
      <c r="G602">
        <f>_xlfn.LET(
_xlpm.id,tblTargetStatus[[#This Row],[TargetID]],
_xlpm.depCount,COUNTIF(tblDependencies[TargetID],_xlpm.id),
_xlpm.objCount,COUNTIF(tblQuestObjectives[QuestTargetID],_xlpm.id),
_xlpm.depCount+_xlpm.objCount
)</f>
        <v>2</v>
      </c>
      <c r="H602">
        <f>tblTargetStatus[[#This Row],[DependencyCount]]</f>
        <v>2</v>
      </c>
      <c r="I602" cm="1">
        <f t="array" ref="I6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2">
        <f>tblTargetStatus[[#This Row],[CompletedDependencyCount]]</f>
        <v>0</v>
      </c>
      <c r="K602" t="b">
        <f>tblTargetStatus[[#This Row],[CompletedDependencies]]=tblTargetStatus[[#This Row],[TotalDependencies]]</f>
        <v>0</v>
      </c>
      <c r="L602">
        <f>tblTargetStatus[[#This Row],[TotalDependencies]]-tblTargetStatus[[#This Row],[CompletedDependencies]]</f>
        <v>2</v>
      </c>
      <c r="M602" t="str" cm="1">
        <f t="array" ref="M6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tech.workshop.mechanism</v>
      </c>
      <c r="N602" t="str">
        <f>IF(tblTargetStatus[[#This Row],[FirstMissingDependencyID]]="","",_xlfn.XLOOKUP(tblTargetStatus[[#This Row],[FirstMissingDependencyID]],tblTargets[TargetID],tblTargets[DisplayName],tblTargetStatus[[#This Row],[FirstMissingDependencyID]]))</f>
        <v>Workshop - Mechanism</v>
      </c>
      <c r="O602" t="str" cm="1">
        <f t="array" ref="O6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blueprint,1000 coin,15 mechanism,20 msteel,5 ruby</v>
      </c>
      <c r="P602" t="str">
        <f>IF(tblTargetStatus[[#This Row],[FirstMissingDependencyID]]="","",_xlfn.XLOOKUP(tblTargetStatus[[#This Row],[FirstMissingDependencyID]],tblTargetStatus[TargetID],tblTargetStatus[Status],""))</f>
        <v>BLOCKED</v>
      </c>
      <c r="Q602" t="str">
        <f>IF(
 tblTargetStatus[[#This Row],[Status]]&lt;&gt;"BLOCKED",
 tblTargetStatus[[#This Row],[Status]],
 IF(
  AND(
   tblTargetStatus[[#This Row],[MissingDependencies]]=1,
   tblTargetStatus[[#This Row],[FirstMissingStatus]]="READY"
  ),
  "ONE AWAY",
  "BLOCKED"
 )
)</f>
        <v>BLOCKED</v>
      </c>
      <c r="R602">
        <f>IF(
 OR(
  tblTargetStatus[[#This Row],[StateType]]="CHARACTER",
  RIGHT(tblTargetStatus[[#This Row],[TargetID]],6)=".maxed"
 ),
 0,
 _xlfn.LET(
  _xlpm.sort,
   _xlfn.XLOOKUP(
    tblTargetStatus[[#This Row],[TargetID]],
    tblChecklist[TargetID],
    tblChecklist[PlayerSort],
    0
   ),
  IF(_xlpm.sort=0,500,_xlpm.sort)
 )
)</f>
        <v>500</v>
      </c>
      <c r="S602" t="str" cm="1">
        <f t="array" ref="S60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 Explosive Mechanical Spider</v>
      </c>
      <c r="T602" t="str">
        <f>_xlfn.XLOOKUP(tblTargetStatus[[#This Row],[TargetID]],tblTargets[TargetID],tblTargets[CompletionMethod],"")</f>
        <v>PLAYER</v>
      </c>
      <c r="U602" t="b">
        <f>COUNTIF(
    tblCost[TargetID],
    tblTargetStatus[[#This Row],[TargetID]]
)&gt;0</f>
        <v>1</v>
      </c>
      <c r="V602" s="81">
        <f>IF(tblTargetStatus[[#This Row],[HasCost]]=FALSE,
"N/A",
_xlfn.XLOOKUP(
tblTargetStatus[[#This Row],[TargetID]],
tblCost[TargetID],
tblCost[FundingPercent],
""
)
)</f>
        <v>0</v>
      </c>
      <c r="W602">
        <f>IF(
COUNTIF(tblCost[TargetID],tblTargetStatus[[#This Row],[TargetID]])=0,
"",
_xlfn.XLOOKUP(
tblTargetStatus[[#This Row],[TargetID]],
tblCost[TargetID],
tblCost[RemainingRequirements],
""
)
)</f>
        <v>5</v>
      </c>
      <c r="X602" s="79" t="b">
        <f>IF(tblTargetStatus[[#This Row],[HasCost]]=FALSE,"N/A",_xlfn.XLOOKUP(
tblTargetStatus[[#This Row],[TargetID]],
tblCost[TargetID],
tblCost[TargetFunded],
TRUE
))</f>
        <v>0</v>
      </c>
      <c r="Y602" t="str" cm="1">
        <f t="array" ref="Y602">_xlfn.TEXTJOIN(
", ",
TRUE,
_xlfn._xlws.FILTER(
tblCost[ResourceID]&amp;": "&amp;tblCost[QuantityRequired],
(tblCost[TargetID]=tblTargetStatus[[#This Row],[TargetID]])*
(tblCost[PlayerPaid]=FALSE),
""
)
)</f>
        <v>blueprint: 30, coin: 1000, mechanism: 15, msteel: 20, ruby: 5</v>
      </c>
      <c r="Z6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2" t="str" cm="1">
        <f t="array" ref="AA60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03" spans="1:27">
      <c r="A603" t="s">
        <v>2266</v>
      </c>
      <c r="B603" t="str">
        <f>_xlfn.XLOOKUP(tblTargetStatus[[#This Row],[TargetID]],tblTargets[TargetID],tblTargets[DisplayName],"")</f>
        <v>Workshop - Mechanism</v>
      </c>
      <c r="C603" t="str">
        <f>IF(tblTargetStatus[[#This Row],[PlayerCompleted]],"COMPLETED",IF(tblTargetStatus[[#This Row],[MissingDependencies]]=0,"READY","BLOCKED"))</f>
        <v>BLOCKED</v>
      </c>
      <c r="D6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3" t="str">
        <f>_xlfn.XLOOKUP(tblTargetStatus[[#This Row],[TargetID]],tblTargets[TargetID],tblTargets[TargetType],"")</f>
        <v>TECH</v>
      </c>
      <c r="F603" t="str">
        <f>_xlfn.XLOOKUP(tblTargetStatus[[#This Row],[TargetID]],tblTargets[TargetID],tblTargets[StateType])</f>
        <v/>
      </c>
      <c r="G603">
        <f>_xlfn.LET(
_xlpm.id,tblTargetStatus[[#This Row],[TargetID]],
_xlpm.depCount,COUNTIF(tblDependencies[TargetID],_xlpm.id),
_xlpm.objCount,COUNTIF(tblQuestObjectives[QuestTargetID],_xlpm.id),
_xlpm.depCount+_xlpm.objCount
)</f>
        <v>1</v>
      </c>
      <c r="H603">
        <f>tblTargetStatus[[#This Row],[DependencyCount]]</f>
        <v>1</v>
      </c>
      <c r="I603" cm="1">
        <f t="array" ref="I6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3">
        <f>tblTargetStatus[[#This Row],[CompletedDependencyCount]]</f>
        <v>0</v>
      </c>
      <c r="K603" t="b">
        <f>tblTargetStatus[[#This Row],[CompletedDependencies]]=tblTargetStatus[[#This Row],[TotalDependencies]]</f>
        <v>0</v>
      </c>
      <c r="L603">
        <f>tblTargetStatus[[#This Row],[TotalDependencies]]-tblTargetStatus[[#This Row],[CompletedDependencies]]</f>
        <v>1</v>
      </c>
      <c r="M603" t="str" cm="1">
        <f t="array" ref="M6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building.workshop.maxed</v>
      </c>
      <c r="N603" t="str">
        <f>IF(tblTargetStatus[[#This Row],[FirstMissingDependencyID]]="","",_xlfn.XLOOKUP(tblTargetStatus[[#This Row],[FirstMissingDependencyID]],tblTargets[TargetID],tblTargets[DisplayName],tblTargetStatus[[#This Row],[FirstMissingDependencyID]]))</f>
        <v>workshop maxed</v>
      </c>
      <c r="O603" s="2" t="str" cm="1">
        <f t="array" ref="O6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blueprint,700 coin,30 gears,10 msteel,3 ruby</v>
      </c>
      <c r="P603" t="str">
        <f>IF(tblTargetStatus[[#This Row],[FirstMissingDependencyID]]="","",_xlfn.XLOOKUP(tblTargetStatus[[#This Row],[FirstMissingDependencyID]],tblTargetStatus[TargetID],tblTargetStatus[Status],""))</f>
        <v>BLOCKED</v>
      </c>
      <c r="Q603" t="str">
        <f>IF(
 tblTargetStatus[[#This Row],[Status]]&lt;&gt;"BLOCKED",
 tblTargetStatus[[#This Row],[Status]],
 IF(
  AND(
   tblTargetStatus[[#This Row],[MissingDependencies]]=1,
   tblTargetStatus[[#This Row],[FirstMissingStatus]]="READY"
  ),
  "ONE AWAY",
  "BLOCKED"
 )
)</f>
        <v>BLOCKED</v>
      </c>
      <c r="R603">
        <f>IF(
 OR(
  tblTargetStatus[[#This Row],[StateType]]="CHARACTER",
  RIGHT(tblTargetStatus[[#This Row],[TargetID]],6)=".maxed"
 ),
 0,
 _xlfn.LET(
  _xlpm.sort,
   _xlfn.XLOOKUP(
    tblTargetStatus[[#This Row],[TargetID]],
    tblChecklist[TargetID],
    tblChecklist[PlayerSort],
    0
   ),
  IF(_xlpm.sort=0,500,_xlpm.sort)
 )
)</f>
        <v>500</v>
      </c>
      <c r="S603" t="str" cm="1">
        <f t="array" ref="S60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Field - Seed Drill, Workshop - Mechanical Spider, Workshop - Steamobile</v>
      </c>
      <c r="T603" t="str">
        <f>_xlfn.XLOOKUP(tblTargetStatus[[#This Row],[TargetID]],tblTargets[TargetID],tblTargets[CompletionMethod],"")</f>
        <v>PLAYER</v>
      </c>
      <c r="U603" t="b">
        <f>COUNTIF(
    tblCost[TargetID],
    tblTargetStatus[[#This Row],[TargetID]]
)&gt;0</f>
        <v>1</v>
      </c>
      <c r="V603" s="81">
        <f>IF(tblTargetStatus[[#This Row],[HasCost]]=FALSE,
"N/A",
_xlfn.XLOOKUP(
tblTargetStatus[[#This Row],[TargetID]],
tblCost[TargetID],
tblCost[FundingPercent],
""
)
)</f>
        <v>0</v>
      </c>
      <c r="W603">
        <f>IF(
COUNTIF(tblCost[TargetID],tblTargetStatus[[#This Row],[TargetID]])=0,
"",
_xlfn.XLOOKUP(
tblTargetStatus[[#This Row],[TargetID]],
tblCost[TargetID],
tblCost[RemainingRequirements],
""
)
)</f>
        <v>5</v>
      </c>
      <c r="X603" s="79" t="b">
        <f>IF(tblTargetStatus[[#This Row],[HasCost]]=FALSE,"N/A",_xlfn.XLOOKUP(
tblTargetStatus[[#This Row],[TargetID]],
tblCost[TargetID],
tblCost[TargetFunded],
TRUE
))</f>
        <v>0</v>
      </c>
      <c r="Y603" t="str" cm="1">
        <f t="array" ref="Y603">_xlfn.TEXTJOIN(
", ",
TRUE,
_xlfn._xlws.FILTER(
tblCost[ResourceID]&amp;": "&amp;tblCost[QuantityRequired],
(tblCost[TargetID]=tblTargetStatus[[#This Row],[TargetID]])*
(tblCost[PlayerPaid]=FALSE),
""
)
)</f>
        <v>blueprint: 30, coin: 700, gears: 30, msteel: 10, ruby: 3</v>
      </c>
      <c r="Z6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3" t="str" cm="1">
        <f t="array" ref="AA60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04" spans="1:27">
      <c r="A604" t="s">
        <v>2254</v>
      </c>
      <c r="B604" t="str">
        <f>_xlfn.XLOOKUP(tblTargetStatus[[#This Row],[TargetID]],tblTargets[TargetID],tblTargets[DisplayName],"")</f>
        <v>Workshop - Shield For A Hero Lvl 1</v>
      </c>
      <c r="C604" t="str">
        <f>IF(tblTargetStatus[[#This Row],[PlayerCompleted]],"COMPLETED",IF(tblTargetStatus[[#This Row],[MissingDependencies]]=0,"READY","BLOCKED"))</f>
        <v>BLOCKED</v>
      </c>
      <c r="D6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4" t="str">
        <f>_xlfn.XLOOKUP(tblTargetStatus[[#This Row],[TargetID]],tblTargets[TargetID],tblTargets[TargetType],"")</f>
        <v>TECH</v>
      </c>
      <c r="F604" t="str">
        <f>_xlfn.XLOOKUP(tblTargetStatus[[#This Row],[TargetID]],tblTargets[TargetID],tblTargets[StateType])</f>
        <v/>
      </c>
      <c r="G604">
        <f>_xlfn.LET(
_xlpm.id,tblTargetStatus[[#This Row],[TargetID]],
_xlpm.depCount,COUNTIF(tblDependencies[TargetID],_xlpm.id),
_xlpm.objCount,COUNTIF(tblQuestObjectives[QuestTargetID],_xlpm.id),
_xlpm.depCount+_xlpm.objCount
)</f>
        <v>1</v>
      </c>
      <c r="H604">
        <f>tblTargetStatus[[#This Row],[DependencyCount]]</f>
        <v>1</v>
      </c>
      <c r="I604" cm="1">
        <f t="array" ref="I6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4">
        <f>tblTargetStatus[[#This Row],[CompletedDependencyCount]]</f>
        <v>0</v>
      </c>
      <c r="K604" t="b">
        <f>tblTargetStatus[[#This Row],[CompletedDependencies]]=tblTargetStatus[[#This Row],[TotalDependencies]]</f>
        <v>0</v>
      </c>
      <c r="L604">
        <f>tblTargetStatus[[#This Row],[TotalDependencies]]-tblTargetStatus[[#This Row],[CompletedDependencies]]</f>
        <v>1</v>
      </c>
      <c r="M604" t="str" cm="1">
        <f t="array" ref="M6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building.workshop.maxed</v>
      </c>
      <c r="N604" t="str">
        <f>IF(tblTargetStatus[[#This Row],[FirstMissingDependencyID]]="","",_xlfn.XLOOKUP(tblTargetStatus[[#This Row],[FirstMissingDependencyID]],tblTargets[TargetID],tblTargets[DisplayName],tblTargetStatus[[#This Row],[FirstMissingDependencyID]]))</f>
        <v>workshop maxed</v>
      </c>
      <c r="O604" s="2" t="str" cm="1">
        <f t="array" ref="O6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beam,300 coin,40 miron,20 page,2 ruby</v>
      </c>
      <c r="P604" t="str">
        <f>IF(tblTargetStatus[[#This Row],[FirstMissingDependencyID]]="","",_xlfn.XLOOKUP(tblTargetStatus[[#This Row],[FirstMissingDependencyID]],tblTargetStatus[TargetID],tblTargetStatus[Status],""))</f>
        <v>BLOCKED</v>
      </c>
      <c r="Q604" t="str">
        <f>IF(
 tblTargetStatus[[#This Row],[Status]]&lt;&gt;"BLOCKED",
 tblTargetStatus[[#This Row],[Status]],
 IF(
  AND(
   tblTargetStatus[[#This Row],[MissingDependencies]]=1,
   tblTargetStatus[[#This Row],[FirstMissingStatus]]="READY"
  ),
  "ONE AWAY",
  "BLOCKED"
 )
)</f>
        <v>BLOCKED</v>
      </c>
      <c r="R604">
        <f>IF(
 OR(
  tblTargetStatus[[#This Row],[StateType]]="CHARACTER",
  RIGHT(tblTargetStatus[[#This Row],[TargetID]],6)=".maxed"
 ),
 0,
 _xlfn.LET(
  _xlpm.sort,
   _xlfn.XLOOKUP(
    tblTargetStatus[[#This Row],[TargetID]],
    tblChecklist[TargetID],
    tblChecklist[PlayerSort],
    0
   ),
  IF(_xlpm.sort=0,500,_xlpm.sort)
 )
)</f>
        <v>500</v>
      </c>
      <c r="S604" t="str" cm="1">
        <f t="array" ref="S60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 Shield For A Hero Lvl 2, Workshop - Strong Glue</v>
      </c>
      <c r="T604" t="str">
        <f>_xlfn.XLOOKUP(tblTargetStatus[[#This Row],[TargetID]],tblTargets[TargetID],tblTargets[CompletionMethod],"")</f>
        <v>PLAYER</v>
      </c>
      <c r="U604" t="b">
        <f>COUNTIF(
    tblCost[TargetID],
    tblTargetStatus[[#This Row],[TargetID]]
)&gt;0</f>
        <v>1</v>
      </c>
      <c r="V604" s="81">
        <f>IF(tblTargetStatus[[#This Row],[HasCost]]=FALSE,
"N/A",
_xlfn.XLOOKUP(
tblTargetStatus[[#This Row],[TargetID]],
tblCost[TargetID],
tblCost[FundingPercent],
""
)
)</f>
        <v>0</v>
      </c>
      <c r="W604">
        <f>IF(
COUNTIF(tblCost[TargetID],tblTargetStatus[[#This Row],[TargetID]])=0,
"",
_xlfn.XLOOKUP(
tblTargetStatus[[#This Row],[TargetID]],
tblCost[TargetID],
tblCost[RemainingRequirements],
""
)
)</f>
        <v>5</v>
      </c>
      <c r="X604" s="79" t="b">
        <f>IF(tblTargetStatus[[#This Row],[HasCost]]=FALSE,"N/A",_xlfn.XLOOKUP(
tblTargetStatus[[#This Row],[TargetID]],
tblCost[TargetID],
tblCost[TargetFunded],
TRUE
))</f>
        <v>0</v>
      </c>
      <c r="Y604" t="str" cm="1">
        <f t="array" ref="Y604">_xlfn.TEXTJOIN(
", ",
TRUE,
_xlfn._xlws.FILTER(
tblCost[ResourceID]&amp;": "&amp;tblCost[QuantityRequired],
(tblCost[TargetID]=tblTargetStatus[[#This Row],[TargetID]])*
(tblCost[PlayerPaid]=FALSE),
""
)
)</f>
        <v>beam: 50, coin: 300, miron: 40, page: 20, ruby: 2</v>
      </c>
      <c r="Z6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4" t="str" cm="1">
        <f t="array" ref="AA60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05" spans="1:27">
      <c r="A605" t="s">
        <v>2256</v>
      </c>
      <c r="B605" t="str">
        <f>_xlfn.XLOOKUP(tblTargetStatus[[#This Row],[TargetID]],tblTargets[TargetID],tblTargets[DisplayName],"")</f>
        <v>Workshop - Shield For A Hero Lvl 2</v>
      </c>
      <c r="C605" t="str">
        <f>IF(tblTargetStatus[[#This Row],[PlayerCompleted]],"COMPLETED",IF(tblTargetStatus[[#This Row],[MissingDependencies]]=0,"READY","BLOCKED"))</f>
        <v>BLOCKED</v>
      </c>
      <c r="D6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5" t="str">
        <f>_xlfn.XLOOKUP(tblTargetStatus[[#This Row],[TargetID]],tblTargets[TargetID],tblTargets[TargetType],"")</f>
        <v>TECH</v>
      </c>
      <c r="F605" t="str">
        <f>_xlfn.XLOOKUP(tblTargetStatus[[#This Row],[TargetID]],tblTargets[TargetID],tblTargets[StateType])</f>
        <v/>
      </c>
      <c r="G605">
        <f>_xlfn.LET(
_xlpm.id,tblTargetStatus[[#This Row],[TargetID]],
_xlpm.depCount,COUNTIF(tblDependencies[TargetID],_xlpm.id),
_xlpm.objCount,COUNTIF(tblQuestObjectives[QuestTargetID],_xlpm.id),
_xlpm.depCount+_xlpm.objCount
)</f>
        <v>2</v>
      </c>
      <c r="H605">
        <f>tblTargetStatus[[#This Row],[DependencyCount]]</f>
        <v>2</v>
      </c>
      <c r="I605" cm="1">
        <f t="array" ref="I6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5">
        <f>tblTargetStatus[[#This Row],[CompletedDependencyCount]]</f>
        <v>0</v>
      </c>
      <c r="K605" t="b">
        <f>tblTargetStatus[[#This Row],[CompletedDependencies]]=tblTargetStatus[[#This Row],[TotalDependencies]]</f>
        <v>0</v>
      </c>
      <c r="L605">
        <f>tblTargetStatus[[#This Row],[TotalDependencies]]-tblTargetStatus[[#This Row],[CompletedDependencies]]</f>
        <v>2</v>
      </c>
      <c r="M605" t="str" cm="1">
        <f t="array" ref="M6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tech.workshop.shield_for_a_hero_lvl_1</v>
      </c>
      <c r="N605" t="str">
        <f>IF(tblTargetStatus[[#This Row],[FirstMissingDependencyID]]="","",_xlfn.XLOOKUP(tblTargetStatus[[#This Row],[FirstMissingDependencyID]],tblTargets[TargetID],tblTargets[DisplayName],tblTargetStatus[[#This Row],[FirstMissingDependencyID]]))</f>
        <v>Workshop - Shield For A Hero Lvl 1</v>
      </c>
      <c r="O605" t="str" cm="1">
        <f t="array" ref="O6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blueprint,500 coin,40 msteel,100 plank,3 ruby</v>
      </c>
      <c r="P605" t="str">
        <f>IF(tblTargetStatus[[#This Row],[FirstMissingDependencyID]]="","",_xlfn.XLOOKUP(tblTargetStatus[[#This Row],[FirstMissingDependencyID]],tblTargetStatus[TargetID],tblTargetStatus[Status],""))</f>
        <v>BLOCKED</v>
      </c>
      <c r="Q605" t="str">
        <f>IF(
 tblTargetStatus[[#This Row],[Status]]&lt;&gt;"BLOCKED",
 tblTargetStatus[[#This Row],[Status]],
 IF(
  AND(
   tblTargetStatus[[#This Row],[MissingDependencies]]=1,
   tblTargetStatus[[#This Row],[FirstMissingStatus]]="READY"
  ),
  "ONE AWAY",
  "BLOCKED"
 )
)</f>
        <v>BLOCKED</v>
      </c>
      <c r="R605">
        <f>IF(
 OR(
  tblTargetStatus[[#This Row],[StateType]]="CHARACTER",
  RIGHT(tblTargetStatus[[#This Row],[TargetID]],6)=".maxed"
 ),
 0,
 _xlfn.LET(
  _xlpm.sort,
   _xlfn.XLOOKUP(
    tblTargetStatus[[#This Row],[TargetID]],
    tblChecklist[TargetID],
    tblChecklist[PlayerSort],
    0
   ),
  IF(_xlpm.sort=0,500,_xlpm.sort)
 )
)</f>
        <v>500</v>
      </c>
      <c r="S605" t="str" cm="1">
        <f t="array" ref="S60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 Shield For A Hero Lvl 3</v>
      </c>
      <c r="T605" t="str">
        <f>_xlfn.XLOOKUP(tblTargetStatus[[#This Row],[TargetID]],tblTargets[TargetID],tblTargets[CompletionMethod],"")</f>
        <v>PLAYER</v>
      </c>
      <c r="U605" t="b">
        <f>COUNTIF(
    tblCost[TargetID],
    tblTargetStatus[[#This Row],[TargetID]]
)&gt;0</f>
        <v>1</v>
      </c>
      <c r="V605" s="81">
        <f>IF(tblTargetStatus[[#This Row],[HasCost]]=FALSE,
"N/A",
_xlfn.XLOOKUP(
tblTargetStatus[[#This Row],[TargetID]],
tblCost[TargetID],
tblCost[FundingPercent],
""
)
)</f>
        <v>0</v>
      </c>
      <c r="W605">
        <f>IF(
COUNTIF(tblCost[TargetID],tblTargetStatus[[#This Row],[TargetID]])=0,
"",
_xlfn.XLOOKUP(
tblTargetStatus[[#This Row],[TargetID]],
tblCost[TargetID],
tblCost[RemainingRequirements],
""
)
)</f>
        <v>5</v>
      </c>
      <c r="X605" s="79" t="b">
        <f>IF(tblTargetStatus[[#This Row],[HasCost]]=FALSE,"N/A",_xlfn.XLOOKUP(
tblTargetStatus[[#This Row],[TargetID]],
tblCost[TargetID],
tblCost[TargetFunded],
TRUE
))</f>
        <v>0</v>
      </c>
      <c r="Y605" t="str" cm="1">
        <f t="array" ref="Y605">_xlfn.TEXTJOIN(
", ",
TRUE,
_xlfn._xlws.FILTER(
tblCost[ResourceID]&amp;": "&amp;tblCost[QuantityRequired],
(tblCost[TargetID]=tblTargetStatus[[#This Row],[TargetID]])*
(tblCost[PlayerPaid]=FALSE),
""
)
)</f>
        <v>blueprint: 15, coin: 500, msteel: 40, plank: 100, ruby: 3</v>
      </c>
      <c r="Z6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5" t="str" cm="1">
        <f t="array" ref="AA60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06" spans="1:27">
      <c r="A606" t="s">
        <v>2258</v>
      </c>
      <c r="B606" t="str">
        <f>_xlfn.XLOOKUP(tblTargetStatus[[#This Row],[TargetID]],tblTargets[TargetID],tblTargets[DisplayName],"")</f>
        <v>Workshop - Shield For A Hero Lvl 3</v>
      </c>
      <c r="C606" t="str">
        <f>IF(tblTargetStatus[[#This Row],[PlayerCompleted]],"COMPLETED",IF(tblTargetStatus[[#This Row],[MissingDependencies]]=0,"READY","BLOCKED"))</f>
        <v>BLOCKED</v>
      </c>
      <c r="D6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6" t="str">
        <f>_xlfn.XLOOKUP(tblTargetStatus[[#This Row],[TargetID]],tblTargets[TargetID],tblTargets[TargetType],"")</f>
        <v>TECH</v>
      </c>
      <c r="F606" t="str">
        <f>_xlfn.XLOOKUP(tblTargetStatus[[#This Row],[TargetID]],tblTargets[TargetID],tblTargets[StateType])</f>
        <v/>
      </c>
      <c r="G606">
        <f>_xlfn.LET(
_xlpm.id,tblTargetStatus[[#This Row],[TargetID]],
_xlpm.depCount,COUNTIF(tblDependencies[TargetID],_xlpm.id),
_xlpm.objCount,COUNTIF(tblQuestObjectives[QuestTargetID],_xlpm.id),
_xlpm.depCount+_xlpm.objCount
)</f>
        <v>2</v>
      </c>
      <c r="H606">
        <f>tblTargetStatus[[#This Row],[DependencyCount]]</f>
        <v>2</v>
      </c>
      <c r="I606" cm="1">
        <f t="array" ref="I6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6">
        <f>tblTargetStatus[[#This Row],[CompletedDependencyCount]]</f>
        <v>0</v>
      </c>
      <c r="K606" t="b">
        <f>tblTargetStatus[[#This Row],[CompletedDependencies]]=tblTargetStatus[[#This Row],[TotalDependencies]]</f>
        <v>0</v>
      </c>
      <c r="L606">
        <f>tblTargetStatus[[#This Row],[TotalDependencies]]-tblTargetStatus[[#This Row],[CompletedDependencies]]</f>
        <v>2</v>
      </c>
      <c r="M606" t="str" cm="1">
        <f t="array" ref="M6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tech.workshop.shield_for_a_hero_lvl_2</v>
      </c>
      <c r="N606" t="str">
        <f>IF(tblTargetStatus[[#This Row],[FirstMissingDependencyID]]="","",_xlfn.XLOOKUP(tblTargetStatus[[#This Row],[FirstMissingDependencyID]],tblTargets[TargetID],tblTargets[DisplayName],tblTargetStatus[[#This Row],[FirstMissingDependencyID]]))</f>
        <v>Workshop - Shield For A Hero Lvl 2</v>
      </c>
      <c r="O606" t="str" cm="1">
        <f t="array" ref="O6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blueprint,1000 coin,60 msteel,200 plank,5 ruby</v>
      </c>
      <c r="P606" t="str">
        <f>IF(tblTargetStatus[[#This Row],[FirstMissingDependencyID]]="","",_xlfn.XLOOKUP(tblTargetStatus[[#This Row],[FirstMissingDependencyID]],tblTargetStatus[TargetID],tblTargetStatus[Status],""))</f>
        <v>BLOCKED</v>
      </c>
      <c r="Q606" t="str">
        <f>IF(
 tblTargetStatus[[#This Row],[Status]]&lt;&gt;"BLOCKED",
 tblTargetStatus[[#This Row],[Status]],
 IF(
  AND(
   tblTargetStatus[[#This Row],[MissingDependencies]]=1,
   tblTargetStatus[[#This Row],[FirstMissingStatus]]="READY"
  ),
  "ONE AWAY",
  "BLOCKED"
 )
)</f>
        <v>BLOCKED</v>
      </c>
      <c r="R606">
        <f>IF(
 OR(
  tblTargetStatus[[#This Row],[StateType]]="CHARACTER",
  RIGHT(tblTargetStatus[[#This Row],[TargetID]],6)=".maxed"
 ),
 0,
 _xlfn.LET(
  _xlpm.sort,
   _xlfn.XLOOKUP(
    tblTargetStatus[[#This Row],[TargetID]],
    tblChecklist[TargetID],
    tblChecklist[PlayerSort],
    0
   ),
  IF(_xlpm.sort=0,500,_xlpm.sort)
 )
)</f>
        <v>500</v>
      </c>
      <c r="S606" t="str" cm="1">
        <f t="array" ref="S60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Workshop - Shield For A Hero Lvl 4</v>
      </c>
      <c r="T606" t="str">
        <f>_xlfn.XLOOKUP(tblTargetStatus[[#This Row],[TargetID]],tblTargets[TargetID],tblTargets[CompletionMethod],"")</f>
        <v>PLAYER</v>
      </c>
      <c r="U606" t="b">
        <f>COUNTIF(
    tblCost[TargetID],
    tblTargetStatus[[#This Row],[TargetID]]
)&gt;0</f>
        <v>1</v>
      </c>
      <c r="V606" s="81">
        <f>IF(tblTargetStatus[[#This Row],[HasCost]]=FALSE,
"N/A",
_xlfn.XLOOKUP(
tblTargetStatus[[#This Row],[TargetID]],
tblCost[TargetID],
tblCost[FundingPercent],
""
)
)</f>
        <v>0</v>
      </c>
      <c r="W606">
        <f>IF(
COUNTIF(tblCost[TargetID],tblTargetStatus[[#This Row],[TargetID]])=0,
"",
_xlfn.XLOOKUP(
tblTargetStatus[[#This Row],[TargetID]],
tblCost[TargetID],
tblCost[RemainingRequirements],
""
)
)</f>
        <v>5</v>
      </c>
      <c r="X606" s="79" t="b">
        <f>IF(tblTargetStatus[[#This Row],[HasCost]]=FALSE,"N/A",_xlfn.XLOOKUP(
tblTargetStatus[[#This Row],[TargetID]],
tblCost[TargetID],
tblCost[TargetFunded],
TRUE
))</f>
        <v>0</v>
      </c>
      <c r="Y606" t="str" cm="1">
        <f t="array" ref="Y606">_xlfn.TEXTJOIN(
", ",
TRUE,
_xlfn._xlws.FILTER(
tblCost[ResourceID]&amp;": "&amp;tblCost[QuantityRequired],
(tblCost[TargetID]=tblTargetStatus[[#This Row],[TargetID]])*
(tblCost[PlayerPaid]=FALSE),
""
)
)</f>
        <v>blueprint: 20, coin: 1000, msteel: 60, plank: 200, ruby: 5</v>
      </c>
      <c r="Z6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6" t="str" cm="1">
        <f t="array" ref="AA60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07" spans="1:27">
      <c r="A607" t="s">
        <v>2260</v>
      </c>
      <c r="B607" t="str">
        <f>_xlfn.XLOOKUP(tblTargetStatus[[#This Row],[TargetID]],tblTargets[TargetID],tblTargets[DisplayName],"")</f>
        <v>Workshop - Shield For A Hero Lvl 4</v>
      </c>
      <c r="C607" t="str">
        <f>IF(tblTargetStatus[[#This Row],[PlayerCompleted]],"COMPLETED",IF(tblTargetStatus[[#This Row],[MissingDependencies]]=0,"READY","BLOCKED"))</f>
        <v>BLOCKED</v>
      </c>
      <c r="D6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7" t="str">
        <f>_xlfn.XLOOKUP(tblTargetStatus[[#This Row],[TargetID]],tblTargets[TargetID],tblTargets[TargetType],"")</f>
        <v>TECH</v>
      </c>
      <c r="F607" t="str">
        <f>_xlfn.XLOOKUP(tblTargetStatus[[#This Row],[TargetID]],tblTargets[TargetID],tblTargets[StateType])</f>
        <v/>
      </c>
      <c r="G607">
        <f>_xlfn.LET(
_xlpm.id,tblTargetStatus[[#This Row],[TargetID]],
_xlpm.depCount,COUNTIF(tblDependencies[TargetID],_xlpm.id),
_xlpm.objCount,COUNTIF(tblQuestObjectives[QuestTargetID],_xlpm.id),
_xlpm.depCount+_xlpm.objCount
)</f>
        <v>3</v>
      </c>
      <c r="H607">
        <f>tblTargetStatus[[#This Row],[DependencyCount]]</f>
        <v>3</v>
      </c>
      <c r="I607" cm="1">
        <f t="array" ref="I6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7">
        <f>tblTargetStatus[[#This Row],[CompletedDependencyCount]]</f>
        <v>0</v>
      </c>
      <c r="K607" t="b">
        <f>tblTargetStatus[[#This Row],[CompletedDependencies]]=tblTargetStatus[[#This Row],[TotalDependencies]]</f>
        <v>0</v>
      </c>
      <c r="L607">
        <f>tblTargetStatus[[#This Row],[TotalDependencies]]-tblTargetStatus[[#This Row],[CompletedDependencies]]</f>
        <v>3</v>
      </c>
      <c r="M607" t="str" cm="1">
        <f t="array" ref="M6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tech.workshop.shield_for_a_hero_lvl_3</v>
      </c>
      <c r="N607" t="str">
        <f>IF(tblTargetStatus[[#This Row],[FirstMissingDependencyID]]="","",_xlfn.XLOOKUP(tblTargetStatus[[#This Row],[FirstMissingDependencyID]],tblTargets[TargetID],tblTargets[DisplayName],tblTargetStatus[[#This Row],[FirstMissingDependencyID]]))</f>
        <v>Workshop - Shield For A Hero Lvl 3</v>
      </c>
      <c r="O607" t="str" cm="1">
        <f t="array" ref="O6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25 blueprint,10 catalyst,30 chemicals,1000 coin,15 mechanism,5 ruby,3 shield3</v>
      </c>
      <c r="P607" t="str">
        <f>IF(tblTargetStatus[[#This Row],[FirstMissingDependencyID]]="","",_xlfn.XLOOKUP(tblTargetStatus[[#This Row],[FirstMissingDependencyID]],tblTargetStatus[TargetID],tblTargetStatus[Status],""))</f>
        <v>BLOCKED</v>
      </c>
      <c r="Q607" t="str">
        <f>IF(
 tblTargetStatus[[#This Row],[Status]]&lt;&gt;"BLOCKED",
 tblTargetStatus[[#This Row],[Status]],
 IF(
  AND(
   tblTargetStatus[[#This Row],[MissingDependencies]]=1,
   tblTargetStatus[[#This Row],[FirstMissingStatus]]="READY"
  ),
  "ONE AWAY",
  "BLOCKED"
 )
)</f>
        <v>BLOCKED</v>
      </c>
      <c r="R607">
        <f>IF(
 OR(
  tblTargetStatus[[#This Row],[StateType]]="CHARACTER",
  RIGHT(tblTargetStatus[[#This Row],[TargetID]],6)=".maxed"
 ),
 0,
 _xlfn.LET(
  _xlpm.sort,
   _xlfn.XLOOKUP(
    tblTargetStatus[[#This Row],[TargetID]],
    tblChecklist[TargetID],
    tblChecklist[PlayerSort],
    0
   ),
  IF(_xlpm.sort=0,500,_xlpm.sort)
 )
)</f>
        <v>500</v>
      </c>
      <c r="S607" t="str" cm="1">
        <f t="array" ref="S60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1 Accepted, Workshop - Shield For A Hero Lvl 4+</v>
      </c>
      <c r="T607" t="str">
        <f>_xlfn.XLOOKUP(tblTargetStatus[[#This Row],[TargetID]],tblTargets[TargetID],tblTargets[CompletionMethod],"")</f>
        <v>PLAYER</v>
      </c>
      <c r="U607" t="b">
        <f>COUNTIF(
    tblCost[TargetID],
    tblTargetStatus[[#This Row],[TargetID]]
)&gt;0</f>
        <v>1</v>
      </c>
      <c r="V607" s="81">
        <f>IF(tblTargetStatus[[#This Row],[HasCost]]=FALSE,
"N/A",
_xlfn.XLOOKUP(
tblTargetStatus[[#This Row],[TargetID]],
tblCost[TargetID],
tblCost[FundingPercent],
""
)
)</f>
        <v>0</v>
      </c>
      <c r="W607">
        <f>IF(
COUNTIF(tblCost[TargetID],tblTargetStatus[[#This Row],[TargetID]])=0,
"",
_xlfn.XLOOKUP(
tblTargetStatus[[#This Row],[TargetID]],
tblCost[TargetID],
tblCost[RemainingRequirements],
""
)
)</f>
        <v>7</v>
      </c>
      <c r="X607" s="79" t="b">
        <f>IF(tblTargetStatus[[#This Row],[HasCost]]=FALSE,"N/A",_xlfn.XLOOKUP(
tblTargetStatus[[#This Row],[TargetID]],
tblCost[TargetID],
tblCost[TargetFunded],
TRUE
))</f>
        <v>0</v>
      </c>
      <c r="Y607" t="str" cm="1">
        <f t="array" ref="Y607">_xlfn.TEXTJOIN(
", ",
TRUE,
_xlfn._xlws.FILTER(
tblCost[ResourceID]&amp;": "&amp;tblCost[QuantityRequired],
(tblCost[TargetID]=tblTargetStatus[[#This Row],[TargetID]])*
(tblCost[PlayerPaid]=FALSE),
""
)
)</f>
        <v>blueprint: 25, catalyst: 10, chemicals: 30, coin: 1000, mechanism: 15, ruby: 5, shield3: 3</v>
      </c>
      <c r="Z6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7" t="str" cm="1">
        <f t="array" ref="AA60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1</v>
      </c>
    </row>
    <row r="608" spans="1:27">
      <c r="A608" t="s">
        <v>2262</v>
      </c>
      <c r="B608" t="str">
        <f>_xlfn.XLOOKUP(tblTargetStatus[[#This Row],[TargetID]],tblTargets[TargetID],tblTargets[DisplayName],"")</f>
        <v>Workshop - Shield For A Hero Lvl 4+</v>
      </c>
      <c r="C608" t="str">
        <f>IF(tblTargetStatus[[#This Row],[PlayerCompleted]],"COMPLETED",IF(tblTargetStatus[[#This Row],[MissingDependencies]]=0,"READY","BLOCKED"))</f>
        <v>BLOCKED</v>
      </c>
      <c r="D6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8" t="str">
        <f>_xlfn.XLOOKUP(tblTargetStatus[[#This Row],[TargetID]],tblTargets[TargetID],tblTargets[TargetType],"")</f>
        <v>TECH</v>
      </c>
      <c r="F608" t="str">
        <f>_xlfn.XLOOKUP(tblTargetStatus[[#This Row],[TargetID]],tblTargets[TargetID],tblTargets[StateType])</f>
        <v/>
      </c>
      <c r="G608">
        <f>_xlfn.LET(
_xlpm.id,tblTargetStatus[[#This Row],[TargetID]],
_xlpm.depCount,COUNTIF(tblDependencies[TargetID],_xlpm.id),
_xlpm.objCount,COUNTIF(tblQuestObjectives[QuestTargetID],_xlpm.id),
_xlpm.depCount+_xlpm.objCount
)</f>
        <v>3</v>
      </c>
      <c r="H608">
        <f>tblTargetStatus[[#This Row],[DependencyCount]]</f>
        <v>3</v>
      </c>
      <c r="I608" cm="1">
        <f t="array" ref="I6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8">
        <f>tblTargetStatus[[#This Row],[CompletedDependencyCount]]</f>
        <v>0</v>
      </c>
      <c r="K608" t="b">
        <f>tblTargetStatus[[#This Row],[CompletedDependencies]]=tblTargetStatus[[#This Row],[TotalDependencies]]</f>
        <v>0</v>
      </c>
      <c r="L608">
        <f>tblTargetStatus[[#This Row],[TotalDependencies]]-tblTargetStatus[[#This Row],[CompletedDependencies]]</f>
        <v>3</v>
      </c>
      <c r="M608" t="str" cm="1">
        <f t="array" ref="M6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tech.workshop.shield_for_a_hero_lvl_4</v>
      </c>
      <c r="N608" t="str">
        <f>IF(tblTargetStatus[[#This Row],[FirstMissingDependencyID]]="","",_xlfn.XLOOKUP(tblTargetStatus[[#This Row],[FirstMissingDependencyID]],tblTargets[TargetID],tblTargets[DisplayName],tblTargetStatus[[#This Row],[FirstMissingDependencyID]]))</f>
        <v>Workshop - Shield For A Hero Lvl 4</v>
      </c>
      <c r="O608" t="str" cm="1">
        <f t="array" ref="O6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apy,20 catalyst,1000 coin,25 greencrystal,10 grimoire,10 quartz,1 reddiamond,5 ruby,1 shield4</v>
      </c>
      <c r="P608" t="str">
        <f>IF(tblTargetStatus[[#This Row],[FirstMissingDependencyID]]="","",_xlfn.XLOOKUP(tblTargetStatus[[#This Row],[FirstMissingDependencyID]],tblTargetStatus[TargetID],tblTargetStatus[Status],""))</f>
        <v>BLOCKED</v>
      </c>
      <c r="Q608" t="str">
        <f>IF(
 tblTargetStatus[[#This Row],[Status]]&lt;&gt;"BLOCKED",
 tblTargetStatus[[#This Row],[Status]],
 IF(
  AND(
   tblTargetStatus[[#This Row],[MissingDependencies]]=1,
   tblTargetStatus[[#This Row],[FirstMissingStatus]]="READY"
  ),
  "ONE AWAY",
  "BLOCKED"
 )
)</f>
        <v>BLOCKED</v>
      </c>
      <c r="R608">
        <f>IF(
 OR(
  tblTargetStatus[[#This Row],[StateType]]="CHARACTER",
  RIGHT(tblTargetStatus[[#This Row],[TargetID]],6)=".maxed"
 ),
 0,
 _xlfn.LET(
  _xlpm.sort,
   _xlfn.XLOOKUP(
    tblTargetStatus[[#This Row],[TargetID]],
    tblChecklist[TargetID],
    tblChecklist[PlayerSort],
    0
   ),
  IF(_xlpm.sort=0,500,_xlpm.sort)
 )
)</f>
        <v>500</v>
      </c>
      <c r="S608" t="str" cm="1">
        <f t="array" ref="S60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Craft Shield 4+</v>
      </c>
      <c r="T608" t="str">
        <f>_xlfn.XLOOKUP(tblTargetStatus[[#This Row],[TargetID]],tblTargets[TargetID],tblTargets[CompletionMethod],"")</f>
        <v>PLAYER</v>
      </c>
      <c r="U608" t="b">
        <f>COUNTIF(
    tblCost[TargetID],
    tblTargetStatus[[#This Row],[TargetID]]
)&gt;0</f>
        <v>1</v>
      </c>
      <c r="V608" s="81">
        <f>IF(tblTargetStatus[[#This Row],[HasCost]]=FALSE,
"N/A",
_xlfn.XLOOKUP(
tblTargetStatus[[#This Row],[TargetID]],
tblCost[TargetID],
tblCost[FundingPercent],
""
)
)</f>
        <v>0</v>
      </c>
      <c r="W608">
        <f>IF(
COUNTIF(tblCost[TargetID],tblTargetStatus[[#This Row],[TargetID]])=0,
"",
_xlfn.XLOOKUP(
tblTargetStatus[[#This Row],[TargetID]],
tblCost[TargetID],
tblCost[RemainingRequirements],
""
)
)</f>
        <v>9</v>
      </c>
      <c r="X608" s="79" t="b">
        <f>IF(tblTargetStatus[[#This Row],[HasCost]]=FALSE,"N/A",_xlfn.XLOOKUP(
tblTargetStatus[[#This Row],[TargetID]],
tblCost[TargetID],
tblCost[TargetFunded],
TRUE
))</f>
        <v>0</v>
      </c>
      <c r="Y608" t="str" cm="1">
        <f t="array" ref="Y608">_xlfn.TEXTJOIN(
", ",
TRUE,
_xlfn._xlws.FILTER(
tblCost[ResourceID]&amp;": "&amp;tblCost[QuantityRequired],
(tblCost[TargetID]=tblTargetStatus[[#This Row],[TargetID]])*
(tblCost[PlayerPaid]=FALSE),
""
)
)</f>
        <v>apy: 20, catalyst: 20, coin: 1000, greencrystal: 25, grimoire: 10, quartz: 10, reddiamond: 1, ruby: 5, shield4: 1</v>
      </c>
      <c r="Z6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8" t="str" cm="1">
        <f t="array" ref="AA60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09" spans="1:27">
      <c r="A609" t="s">
        <v>2272</v>
      </c>
      <c r="B609" t="str">
        <f>_xlfn.XLOOKUP(tblTargetStatus[[#This Row],[TargetID]],tblTargets[TargetID],tblTargets[DisplayName],"")</f>
        <v>Workshop - Steamobile</v>
      </c>
      <c r="C609" t="str">
        <f>IF(tblTargetStatus[[#This Row],[PlayerCompleted]],"COMPLETED",IF(tblTargetStatus[[#This Row],[MissingDependencies]]=0,"READY","BLOCKED"))</f>
        <v>BLOCKED</v>
      </c>
      <c r="D6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9" t="str">
        <f>_xlfn.XLOOKUP(tblTargetStatus[[#This Row],[TargetID]],tblTargets[TargetID],tblTargets[TargetType],"")</f>
        <v>TECH</v>
      </c>
      <c r="F609" t="str">
        <f>_xlfn.XLOOKUP(tblTargetStatus[[#This Row],[TargetID]],tblTargets[TargetID],tblTargets[StateType])</f>
        <v/>
      </c>
      <c r="G609">
        <f>_xlfn.LET(
_xlpm.id,tblTargetStatus[[#This Row],[TargetID]],
_xlpm.depCount,COUNTIF(tblDependencies[TargetID],_xlpm.id),
_xlpm.objCount,COUNTIF(tblQuestObjectives[QuestTargetID],_xlpm.id),
_xlpm.depCount+_xlpm.objCount
)</f>
        <v>2</v>
      </c>
      <c r="H609">
        <f>tblTargetStatus[[#This Row],[DependencyCount]]</f>
        <v>2</v>
      </c>
      <c r="I609" cm="1">
        <f t="array" ref="I6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9">
        <f>tblTargetStatus[[#This Row],[CompletedDependencyCount]]</f>
        <v>0</v>
      </c>
      <c r="K609" t="b">
        <f>tblTargetStatus[[#This Row],[CompletedDependencies]]=tblTargetStatus[[#This Row],[TotalDependencies]]</f>
        <v>0</v>
      </c>
      <c r="L609">
        <f>tblTargetStatus[[#This Row],[TotalDependencies]]-tblTargetStatus[[#This Row],[CompletedDependencies]]</f>
        <v>2</v>
      </c>
      <c r="M609" t="str" cm="1">
        <f t="array" ref="M6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tech.workshop.mechanism</v>
      </c>
      <c r="N609" t="str">
        <f>IF(tblTargetStatus[[#This Row],[FirstMissingDependencyID]]="","",_xlfn.XLOOKUP(tblTargetStatus[[#This Row],[FirstMissingDependencyID]],tblTargets[TargetID],tblTargets[DisplayName],tblTargetStatus[[#This Row],[FirstMissingDependencyID]]))</f>
        <v>Workshop - Mechanism</v>
      </c>
      <c r="O609" t="str" cm="1">
        <f t="array" ref="O6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coin,15 mechanism,30 msteel,7 ruby</v>
      </c>
      <c r="P609" t="str">
        <f>IF(tblTargetStatus[[#This Row],[FirstMissingDependencyID]]="","",_xlfn.XLOOKUP(tblTargetStatus[[#This Row],[FirstMissingDependencyID]],tblTargetStatus[TargetID],tblTargetStatus[Status],""))</f>
        <v>BLOCKED</v>
      </c>
      <c r="Q609" t="str">
        <f>IF(
 tblTargetStatus[[#This Row],[Status]]&lt;&gt;"BLOCKED",
 tblTargetStatus[[#This Row],[Status]],
 IF(
  AND(
   tblTargetStatus[[#This Row],[MissingDependencies]]=1,
   tblTargetStatus[[#This Row],[FirstMissingStatus]]="READY"
  ),
  "ONE AWAY",
  "BLOCKED"
 )
)</f>
        <v>BLOCKED</v>
      </c>
      <c r="R609">
        <f>IF(
 OR(
  tblTargetStatus[[#This Row],[StateType]]="CHARACTER",
  RIGHT(tblTargetStatus[[#This Row],[TargetID]],6)=".maxed"
 ),
 0,
 _xlfn.LET(
  _xlpm.sort,
   _xlfn.XLOOKUP(
    tblTargetStatus[[#This Row],[TargetID]],
    tblChecklist[TargetID],
    tblChecklist[PlayerSort],
    0
   ),
  IF(_xlpm.sort=0,500,_xlpm.sort)
 )
)</f>
        <v>500</v>
      </c>
      <c r="S609" t="str" cm="1">
        <f t="array" ref="S60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Field - Combine Harvester</v>
      </c>
      <c r="T609" t="str">
        <f>_xlfn.XLOOKUP(tblTargetStatus[[#This Row],[TargetID]],tblTargets[TargetID],tblTargets[CompletionMethod],"")</f>
        <v>PLAYER</v>
      </c>
      <c r="U609" t="b">
        <f>COUNTIF(
    tblCost[TargetID],
    tblTargetStatus[[#This Row],[TargetID]]
)&gt;0</f>
        <v>1</v>
      </c>
      <c r="V609" s="81">
        <f>IF(tblTargetStatus[[#This Row],[HasCost]]=FALSE,
"N/A",
_xlfn.XLOOKUP(
tblTargetStatus[[#This Row],[TargetID]],
tblCost[TargetID],
tblCost[FundingPercent],
""
)
)</f>
        <v>0</v>
      </c>
      <c r="W609">
        <f>IF(
COUNTIF(tblCost[TargetID],tblTargetStatus[[#This Row],[TargetID]])=0,
"",
_xlfn.XLOOKUP(
tblTargetStatus[[#This Row],[TargetID]],
tblCost[TargetID],
tblCost[RemainingRequirements],
""
)
)</f>
        <v>5</v>
      </c>
      <c r="X609" s="79" t="b">
        <f>IF(tblTargetStatus[[#This Row],[HasCost]]=FALSE,"N/A",_xlfn.XLOOKUP(
tblTargetStatus[[#This Row],[TargetID]],
tblCost[TargetID],
tblCost[TargetFunded],
TRUE
))</f>
        <v>0</v>
      </c>
      <c r="Y609" t="str" cm="1">
        <f t="array" ref="Y609">_xlfn.TEXTJOIN(
", ",
TRUE,
_xlfn._xlws.FILTER(
tblCost[ResourceID]&amp;": "&amp;tblCost[QuantityRequired],
(tblCost[TargetID]=tblTargetStatus[[#This Row],[TargetID]])*
(tblCost[PlayerPaid]=FALSE),
""
)
)</f>
        <v>blueprint: 30, coin: 1500, mechanism: 15, msteel: 30, ruby: 7</v>
      </c>
      <c r="Z6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9" t="str" cm="1">
        <f t="array" ref="AA60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0" spans="1:27">
      <c r="A610" t="s">
        <v>2264</v>
      </c>
      <c r="B610" t="str">
        <f>_xlfn.XLOOKUP(tblTargetStatus[[#This Row],[TargetID]],tblTargets[TargetID],tblTargets[DisplayName],"")</f>
        <v>Workshop - Strong Glue</v>
      </c>
      <c r="C610" t="str">
        <f>IF(tblTargetStatus[[#This Row],[PlayerCompleted]],"COMPLETED",IF(tblTargetStatus[[#This Row],[MissingDependencies]]=0,"READY","BLOCKED"))</f>
        <v>BLOCKED</v>
      </c>
      <c r="D6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0" t="str">
        <f>_xlfn.XLOOKUP(tblTargetStatus[[#This Row],[TargetID]],tblTargets[TargetID],tblTargets[TargetType],"")</f>
        <v>TECH</v>
      </c>
      <c r="F610" t="str">
        <f>_xlfn.XLOOKUP(tblTargetStatus[[#This Row],[TargetID]],tblTargets[TargetID],tblTargets[StateType])</f>
        <v/>
      </c>
      <c r="G610">
        <f>_xlfn.LET(
_xlpm.id,tblTargetStatus[[#This Row],[TargetID]],
_xlpm.depCount,COUNTIF(tblDependencies[TargetID],_xlpm.id),
_xlpm.objCount,COUNTIF(tblQuestObjectives[QuestTargetID],_xlpm.id),
_xlpm.depCount+_xlpm.objCount
)</f>
        <v>2</v>
      </c>
      <c r="H610">
        <f>tblTargetStatus[[#This Row],[DependencyCount]]</f>
        <v>2</v>
      </c>
      <c r="I610" cm="1">
        <f t="array" ref="I6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0">
        <f>tblTargetStatus[[#This Row],[CompletedDependencyCount]]</f>
        <v>0</v>
      </c>
      <c r="K610" t="b">
        <f>tblTargetStatus[[#This Row],[CompletedDependencies]]=tblTargetStatus[[#This Row],[TotalDependencies]]</f>
        <v>0</v>
      </c>
      <c r="L610">
        <f>tblTargetStatus[[#This Row],[TotalDependencies]]-tblTargetStatus[[#This Row],[CompletedDependencies]]</f>
        <v>2</v>
      </c>
      <c r="M610" t="str" cm="1">
        <f t="array" ref="M6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tech.workshop.shield_for_a_hero_lvl_1</v>
      </c>
      <c r="N610" t="str">
        <f>IF(tblTargetStatus[[#This Row],[FirstMissingDependencyID]]="","",_xlfn.XLOOKUP(tblTargetStatus[[#This Row],[FirstMissingDependencyID]],tblTargets[TargetID],tblTargets[DisplayName],tblTargetStatus[[#This Row],[FirstMissingDependencyID]]))</f>
        <v>Workshop - Shield For A Hero Lvl 1</v>
      </c>
      <c r="O610" t="str" cm="1">
        <f t="array" ref="O6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blueprint,500 coin,10 honey,15 reagent,2 ruby</v>
      </c>
      <c r="P610" t="str">
        <f>IF(tblTargetStatus[[#This Row],[FirstMissingDependencyID]]="","",_xlfn.XLOOKUP(tblTargetStatus[[#This Row],[FirstMissingDependencyID]],tblTargetStatus[TargetID],tblTargetStatus[Status],""))</f>
        <v>BLOCKED</v>
      </c>
      <c r="Q610" t="str">
        <f>IF(
 tblTargetStatus[[#This Row],[Status]]&lt;&gt;"BLOCKED",
 tblTargetStatus[[#This Row],[Status]],
 IF(
  AND(
   tblTargetStatus[[#This Row],[MissingDependencies]]=1,
   tblTargetStatus[[#This Row],[FirstMissingStatus]]="READY"
  ),
  "ONE AWAY",
  "BLOCKED"
 )
)</f>
        <v>BLOCKED</v>
      </c>
      <c r="R610">
        <f>IF(
 OR(
  tblTargetStatus[[#This Row],[StateType]]="CHARACTER",
  RIGHT(tblTargetStatus[[#This Row],[TargetID]],6)=".maxed"
 ),
 0,
 _xlfn.LET(
  _xlpm.sort,
   _xlfn.XLOOKUP(
    tblTargetStatus[[#This Row],[TargetID]],
    tblChecklist[TargetID],
    tblChecklist[PlayerSort],
    0
   ),
  IF(_xlpm.sort=0,500,_xlpm.sort)
 )
)</f>
        <v>500</v>
      </c>
      <c r="S610" t="str" cm="1">
        <f t="array" ref="S610">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610" t="str">
        <f>_xlfn.XLOOKUP(tblTargetStatus[[#This Row],[TargetID]],tblTargets[TargetID],tblTargets[CompletionMethod],"")</f>
        <v>PLAYER</v>
      </c>
      <c r="U610" t="b">
        <f>COUNTIF(
    tblCost[TargetID],
    tblTargetStatus[[#This Row],[TargetID]]
)&gt;0</f>
        <v>1</v>
      </c>
      <c r="V610" s="81">
        <f>IF(tblTargetStatus[[#This Row],[HasCost]]=FALSE,
"N/A",
_xlfn.XLOOKUP(
tblTargetStatus[[#This Row],[TargetID]],
tblCost[TargetID],
tblCost[FundingPercent],
""
)
)</f>
        <v>0</v>
      </c>
      <c r="W610">
        <f>IF(
COUNTIF(tblCost[TargetID],tblTargetStatus[[#This Row],[TargetID]])=0,
"",
_xlfn.XLOOKUP(
tblTargetStatus[[#This Row],[TargetID]],
tblCost[TargetID],
tblCost[RemainingRequirements],
""
)
)</f>
        <v>5</v>
      </c>
      <c r="X610" s="79" t="b">
        <f>IF(tblTargetStatus[[#This Row],[HasCost]]=FALSE,"N/A",_xlfn.XLOOKUP(
tblTargetStatus[[#This Row],[TargetID]],
tblCost[TargetID],
tblCost[TargetFunded],
TRUE
))</f>
        <v>0</v>
      </c>
      <c r="Y610" t="str" cm="1">
        <f t="array" ref="Y610">_xlfn.TEXTJOIN(
", ",
TRUE,
_xlfn._xlws.FILTER(
tblCost[ResourceID]&amp;": "&amp;tblCost[QuantityRequired],
(tblCost[TargetID]=tblTargetStatus[[#This Row],[TargetID]])*
(tblCost[PlayerPaid]=FALSE),
""
)
)</f>
        <v>blueprint: 15, coin: 500, honey: 10, reagent: 15, ruby: 2</v>
      </c>
      <c r="Z6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0" t="str" cm="1">
        <f t="array" ref="AA610">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1" spans="1:27" ht="29">
      <c r="A611" t="s">
        <v>2252</v>
      </c>
      <c r="B611" t="str">
        <f>_xlfn.XLOOKUP(tblTargetStatus[[#This Row],[TargetID]],tblTargets[TargetID],tblTargets[DisplayName],"")</f>
        <v>Workshop - Throwing Net</v>
      </c>
      <c r="C611" t="str">
        <f>IF(tblTargetStatus[[#This Row],[PlayerCompleted]],"COMPLETED",IF(tblTargetStatus[[#This Row],[MissingDependencies]]=0,"READY","BLOCKED"))</f>
        <v>BLOCKED</v>
      </c>
      <c r="D6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1" t="str">
        <f>_xlfn.XLOOKUP(tblTargetStatus[[#This Row],[TargetID]],tblTargets[TargetID],tblTargets[TargetType],"")</f>
        <v>TECH</v>
      </c>
      <c r="F611" t="str">
        <f>_xlfn.XLOOKUP(tblTargetStatus[[#This Row],[TargetID]],tblTargets[TargetID],tblTargets[StateType])</f>
        <v/>
      </c>
      <c r="G611">
        <f>_xlfn.LET(
_xlpm.id,tblTargetStatus[[#This Row],[TargetID]],
_xlpm.depCount,COUNTIF(tblDependencies[TargetID],_xlpm.id),
_xlpm.objCount,COUNTIF(tblQuestObjectives[QuestTargetID],_xlpm.id),
_xlpm.depCount+_xlpm.objCount
)</f>
        <v>1</v>
      </c>
      <c r="H611">
        <f>tblTargetStatus[[#This Row],[DependencyCount]]</f>
        <v>1</v>
      </c>
      <c r="I611" cm="1">
        <f t="array" ref="I6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1">
        <f>tblTargetStatus[[#This Row],[CompletedDependencyCount]]</f>
        <v>0</v>
      </c>
      <c r="K611" t="b">
        <f>tblTargetStatus[[#This Row],[CompletedDependencies]]=tblTargetStatus[[#This Row],[TotalDependencies]]</f>
        <v>0</v>
      </c>
      <c r="L611">
        <f>tblTargetStatus[[#This Row],[TotalDependencies]]-tblTargetStatus[[#This Row],[CompletedDependencies]]</f>
        <v>1</v>
      </c>
      <c r="M611" t="str" cm="1">
        <f t="array" ref="M6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building.workshop.maxed</v>
      </c>
      <c r="N611" t="str">
        <f>IF(tblTargetStatus[[#This Row],[FirstMissingDependencyID]]="","",_xlfn.XLOOKUP(tblTargetStatus[[#This Row],[FirstMissingDependencyID]],tblTargets[TargetID],tblTargets[DisplayName],tblTargetStatus[[#This Row],[FirstMissingDependencyID]]))</f>
        <v>workshop maxed</v>
      </c>
      <c r="O611" s="2" t="str" cm="1">
        <f t="array" ref="O6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beam,300 coin,10 page,2 ruby,10 stone,10 thread</v>
      </c>
      <c r="P611" t="str">
        <f>IF(tblTargetStatus[[#This Row],[FirstMissingDependencyID]]="","",_xlfn.XLOOKUP(tblTargetStatus[[#This Row],[FirstMissingDependencyID]],tblTargetStatus[TargetID],tblTargetStatus[Status],""))</f>
        <v>BLOCKED</v>
      </c>
      <c r="Q611" t="str">
        <f>IF(
 tblTargetStatus[[#This Row],[Status]]&lt;&gt;"BLOCKED",
 tblTargetStatus[[#This Row],[Status]],
 IF(
  AND(
   tblTargetStatus[[#This Row],[MissingDependencies]]=1,
   tblTargetStatus[[#This Row],[FirstMissingStatus]]="READY"
  ),
  "ONE AWAY",
  "BLOCKED"
 )
)</f>
        <v>BLOCKED</v>
      </c>
      <c r="R611">
        <f>IF(
 OR(
  tblTargetStatus[[#This Row],[StateType]]="CHARACTER",
  RIGHT(tblTargetStatus[[#This Row],[TargetID]],6)=".maxed"
 ),
 0,
 _xlfn.LET(
  _xlpm.sort,
   _xlfn.XLOOKUP(
    tblTargetStatus[[#This Row],[TargetID]],
    tblChecklist[TargetID],
    tblChecklist[PlayerSort],
    0
   ),
  IF(_xlpm.sort=0,500,_xlpm.sort)
 )
)</f>
        <v>500</v>
      </c>
      <c r="S611" t="str" cm="1">
        <f t="array" ref="S611">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611" t="str">
        <f>_xlfn.XLOOKUP(tblTargetStatus[[#This Row],[TargetID]],tblTargets[TargetID],tblTargets[CompletionMethod],"")</f>
        <v>PLAYER</v>
      </c>
      <c r="U611" t="b">
        <f>COUNTIF(
    tblCost[TargetID],
    tblTargetStatus[[#This Row],[TargetID]]
)&gt;0</f>
        <v>1</v>
      </c>
      <c r="V611" s="81">
        <f>IF(tblTargetStatus[[#This Row],[HasCost]]=FALSE,
"N/A",
_xlfn.XLOOKUP(
tblTargetStatus[[#This Row],[TargetID]],
tblCost[TargetID],
tblCost[FundingPercent],
""
)
)</f>
        <v>0</v>
      </c>
      <c r="W611">
        <f>IF(
COUNTIF(tblCost[TargetID],tblTargetStatus[[#This Row],[TargetID]])=0,
"",
_xlfn.XLOOKUP(
tblTargetStatus[[#This Row],[TargetID]],
tblCost[TargetID],
tblCost[RemainingRequirements],
""
)
)</f>
        <v>6</v>
      </c>
      <c r="X611" s="79" t="b">
        <f>IF(tblTargetStatus[[#This Row],[HasCost]]=FALSE,"N/A",_xlfn.XLOOKUP(
tblTargetStatus[[#This Row],[TargetID]],
tblCost[TargetID],
tblCost[TargetFunded],
TRUE
))</f>
        <v>0</v>
      </c>
      <c r="Y611" t="str" cm="1">
        <f t="array" ref="Y611">_xlfn.TEXTJOIN(
", ",
TRUE,
_xlfn._xlws.FILTER(
tblCost[ResourceID]&amp;": "&amp;tblCost[QuantityRequired],
(tblCost[TargetID]=tblTargetStatus[[#This Row],[TargetID]])*
(tblCost[PlayerPaid]=FALSE),
""
)
)</f>
        <v>beam: 40, coin: 300, page: 10, ruby: 2, stone: 10, thread: 10</v>
      </c>
      <c r="Z6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1" t="str" cm="1">
        <f t="array" ref="AA611">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2" spans="1:27">
      <c r="A612" t="s">
        <v>2274</v>
      </c>
      <c r="B612" t="str">
        <f>_xlfn.XLOOKUP(tblTargetStatus[[#This Row],[TargetID]],tblTargets[TargetID],tblTargets[DisplayName],"")</f>
        <v>Workshop - Zen Fountain</v>
      </c>
      <c r="C612" t="str">
        <f>IF(tblTargetStatus[[#This Row],[PlayerCompleted]],"COMPLETED",IF(tblTargetStatus[[#This Row],[MissingDependencies]]=0,"READY","BLOCKED"))</f>
        <v>BLOCKED</v>
      </c>
      <c r="D6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2" t="str">
        <f>_xlfn.XLOOKUP(tblTargetStatus[[#This Row],[TargetID]],tblTargets[TargetID],tblTargets[TargetType],"")</f>
        <v>TECH</v>
      </c>
      <c r="F612" t="str">
        <f>_xlfn.XLOOKUP(tblTargetStatus[[#This Row],[TargetID]],tblTargets[TargetID],tblTargets[StateType])</f>
        <v/>
      </c>
      <c r="G612">
        <f>_xlfn.LET(
_xlpm.id,tblTargetStatus[[#This Row],[TargetID]],
_xlpm.depCount,COUNTIF(tblDependencies[TargetID],_xlpm.id),
_xlpm.objCount,COUNTIF(tblQuestObjectives[QuestTargetID],_xlpm.id),
_xlpm.depCount+_xlpm.objCount
)</f>
        <v>2</v>
      </c>
      <c r="H612">
        <f>tblTargetStatus[[#This Row],[DependencyCount]]</f>
        <v>2</v>
      </c>
      <c r="I612" cm="1">
        <f t="array" ref="I6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2">
        <f>tblTargetStatus[[#This Row],[CompletedDependencyCount]]</f>
        <v>0</v>
      </c>
      <c r="K612" t="b">
        <f>tblTargetStatus[[#This Row],[CompletedDependencies]]=tblTargetStatus[[#This Row],[TotalDependencies]]</f>
        <v>0</v>
      </c>
      <c r="L612">
        <f>tblTargetStatus[[#This Row],[TotalDependencies]]-tblTargetStatus[[#This Row],[CompletedDependencies]]</f>
        <v>2</v>
      </c>
      <c r="M612" t="str" cm="1">
        <f t="array" ref="M6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quest.the_ordinary_days_of_an_adventurer_chapter_2.finished</v>
      </c>
      <c r="N612" t="str">
        <f>IF(tblTargetStatus[[#This Row],[FirstMissingDependencyID]]="","",_xlfn.XLOOKUP(tblTargetStatus[[#This Row],[FirstMissingDependencyID]],tblTargets[TargetID],tblTargets[DisplayName],tblTargetStatus[[#This Row],[FirstMissingDependencyID]]))</f>
        <v>The Ordinary Days of an Adventurer Chapter 2 Finished</v>
      </c>
      <c r="O612" t="str" cm="1">
        <f t="array" ref="O6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bamboo,1000 coin,10 grimoire,5 ruby,100 stone,20 thread</v>
      </c>
      <c r="P612" t="str">
        <f>IF(tblTargetStatus[[#This Row],[FirstMissingDependencyID]]="","",_xlfn.XLOOKUP(tblTargetStatus[[#This Row],[FirstMissingDependencyID]],tblTargetStatus[TargetID],tblTargetStatus[Status],""))</f>
        <v>BLOCKED</v>
      </c>
      <c r="Q612" t="str">
        <f>IF(
 tblTargetStatus[[#This Row],[Status]]&lt;&gt;"BLOCKED",
 tblTargetStatus[[#This Row],[Status]],
 IF(
  AND(
   tblTargetStatus[[#This Row],[MissingDependencies]]=1,
   tblTargetStatus[[#This Row],[FirstMissingStatus]]="READY"
  ),
  "ONE AWAY",
  "BLOCKED"
 )
)</f>
        <v>BLOCKED</v>
      </c>
      <c r="R612">
        <f>IF(
 OR(
  tblTargetStatus[[#This Row],[StateType]]="CHARACTER",
  RIGHT(tblTargetStatus[[#This Row],[TargetID]],6)=".maxed"
 ),
 0,
 _xlfn.LET(
  _xlpm.sort,
   _xlfn.XLOOKUP(
    tblTargetStatus[[#This Row],[TargetID]],
    tblChecklist[TargetID],
    tblChecklist[PlayerSort],
    0
   ),
  IF(_xlpm.sort=0,500,_xlpm.sort)
 )
)</f>
        <v>500</v>
      </c>
      <c r="S612" t="str" cm="1">
        <f t="array" ref="S612">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
      </c>
      <c r="T612" t="str">
        <f>_xlfn.XLOOKUP(tblTargetStatus[[#This Row],[TargetID]],tblTargets[TargetID],tblTargets[CompletionMethod],"")</f>
        <v>PLAYER</v>
      </c>
      <c r="U612" t="b">
        <f>COUNTIF(
    tblCost[TargetID],
    tblTargetStatus[[#This Row],[TargetID]]
)&gt;0</f>
        <v>1</v>
      </c>
      <c r="V612" s="81">
        <f>IF(tblTargetStatus[[#This Row],[HasCost]]=FALSE,
"N/A",
_xlfn.XLOOKUP(
tblTargetStatus[[#This Row],[TargetID]],
tblCost[TargetID],
tblCost[FundingPercent],
""
)
)</f>
        <v>0</v>
      </c>
      <c r="W612">
        <f>IF(
COUNTIF(tblCost[TargetID],tblTargetStatus[[#This Row],[TargetID]])=0,
"",
_xlfn.XLOOKUP(
tblTargetStatus[[#This Row],[TargetID]],
tblCost[TargetID],
tblCost[RemainingRequirements],
""
)
)</f>
        <v>6</v>
      </c>
      <c r="X612" s="79" t="b">
        <f>IF(tblTargetStatus[[#This Row],[HasCost]]=FALSE,"N/A",_xlfn.XLOOKUP(
tblTargetStatus[[#This Row],[TargetID]],
tblCost[TargetID],
tblCost[TargetFunded],
TRUE
))</f>
        <v>0</v>
      </c>
      <c r="Y612" t="str" cm="1">
        <f t="array" ref="Y612">_xlfn.TEXTJOIN(
", ",
TRUE,
_xlfn._xlws.FILTER(
tblCost[ResourceID]&amp;": "&amp;tblCost[QuantityRequired],
(tblCost[TargetID]=tblTargetStatus[[#This Row],[TargetID]])*
(tblCost[PlayerPaid]=FALSE),
""
)
)</f>
        <v>bamboo: 30, coin: 1000, grimoire: 10, ruby: 5, stone: 100, thread: 20</v>
      </c>
      <c r="Z6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2" t="str" cm="1">
        <f t="array" ref="AA612">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3" spans="1:27">
      <c r="A613" t="s">
        <v>6251</v>
      </c>
      <c r="B613" t="str">
        <f>_xlfn.XLOOKUP(tblTargetStatus[[#This Row],[TargetID]],tblTargets[TargetID],tblTargets[DisplayName],"")</f>
        <v xml:space="preserve">Complete Dungeon 5C second </v>
      </c>
      <c r="C613" t="str">
        <f>IF(tblTargetStatus[[#This Row],[PlayerCompleted]],"COMPLETED",IF(tblTargetStatus[[#This Row],[MissingDependencies]]=0,"READY","BLOCKED"))</f>
        <v>BLOCKED</v>
      </c>
      <c r="D6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3" t="str">
        <f>_xlfn.XLOOKUP(tblTargetStatus[[#This Row],[TargetID]],tblTargets[TargetID],tblTargets[TargetType],"")</f>
        <v>STATE</v>
      </c>
      <c r="F613" t="str">
        <f>_xlfn.XLOOKUP(tblTargetStatus[[#This Row],[TargetID]],tblTargets[TargetID],tblTargets[StateType])</f>
        <v>COMPLETE</v>
      </c>
      <c r="G613">
        <f>_xlfn.LET(
_xlpm.id,tblTargetStatus[[#This Row],[TargetID]],
_xlpm.depCount,COUNTIF(tblDependencies[TargetID],_xlpm.id),
_xlpm.objCount,COUNTIF(tblQuestObjectives[QuestTargetID],_xlpm.id),
_xlpm.depCount+_xlpm.objCount
)</f>
        <v>1</v>
      </c>
      <c r="H613">
        <f>tblTargetStatus[[#This Row],[DependencyCount]]</f>
        <v>1</v>
      </c>
      <c r="I613" cm="1">
        <f t="array" ref="I6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3">
        <f>tblTargetStatus[[#This Row],[CompletedDependencyCount]]</f>
        <v>0</v>
      </c>
      <c r="K613" t="b">
        <f>tblTargetStatus[[#This Row],[CompletedDependencies]]=tblTargetStatus[[#This Row],[TotalDependencies]]</f>
        <v>0</v>
      </c>
      <c r="L613">
        <f>tblTargetStatus[[#This Row],[TotalDependencies]]-tblTargetStatus[[#This Row],[CompletedDependencies]]</f>
        <v>1</v>
      </c>
      <c r="M613" t="str" cm="1">
        <f t="array" ref="M6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quest.undead_revenge.accepted</v>
      </c>
      <c r="N613" t="str">
        <f>IF(tblTargetStatus[[#This Row],[FirstMissingDependencyID]]="","",_xlfn.XLOOKUP(tblTargetStatus[[#This Row],[FirstMissingDependencyID]],tblTargets[TargetID],tblTargets[DisplayName],tblTargetStatus[[#This Row],[FirstMissingDependencyID]]))</f>
        <v>Undead Revenge Accepted</v>
      </c>
      <c r="O613" t="str" cm="1">
        <f t="array" ref="O6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3" s="2" t="str">
        <f>IF(tblTargetStatus[[#This Row],[FirstMissingDependencyID]]="","",_xlfn.XLOOKUP(tblTargetStatus[[#This Row],[FirstMissingDependencyID]],tblTargetStatus[TargetID],tblTargetStatus[Status],""))</f>
        <v>BLOCKED</v>
      </c>
      <c r="Q613" t="str">
        <f>IF(
 tblTargetStatus[[#This Row],[Status]]&lt;&gt;"BLOCKED",
 tblTargetStatus[[#This Row],[Status]],
 IF(
  AND(
   tblTargetStatus[[#This Row],[MissingDependencies]]=1,
   tblTargetStatus[[#This Row],[FirstMissingStatus]]="READY"
  ),
  "ONE AWAY",
  "BLOCKED"
 )
)</f>
        <v>BLOCKED</v>
      </c>
      <c r="R613">
        <f>IF(
 OR(
  tblTargetStatus[[#This Row],[StateType]]="CHARACTER",
  RIGHT(tblTargetStatus[[#This Row],[TargetID]],6)=".maxed"
 ),
 0,
 _xlfn.LET(
  _xlpm.sort,
   _xlfn.XLOOKUP(
    tblTargetStatus[[#This Row],[TargetID]],
    tblChecklist[TargetID],
    tblChecklist[PlayerSort],
    0
   ),
  IF(_xlpm.sort=0,500,_xlpm.sort)
 )
)</f>
        <v>500</v>
      </c>
      <c r="S613" t="str" cm="1">
        <f t="array" ref="S613">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Undead Revenge Finished</v>
      </c>
      <c r="T613" t="str">
        <f>_xlfn.XLOOKUP(tblTargetStatus[[#This Row],[TargetID]],tblTargets[TargetID],tblTargets[CompletionMethod],"")</f>
        <v>PLAYER</v>
      </c>
      <c r="U613" t="b">
        <f>COUNTIF(
    tblCost[TargetID],
    tblTargetStatus[[#This Row],[TargetID]]
)&gt;0</f>
        <v>0</v>
      </c>
      <c r="V613" s="81" t="str">
        <f>IF(tblTargetStatus[[#This Row],[HasCost]]=FALSE,
"N/A",
_xlfn.XLOOKUP(
tblTargetStatus[[#This Row],[TargetID]],
tblCost[TargetID],
tblCost[FundingPercent],
""
)
)</f>
        <v>N/A</v>
      </c>
      <c r="W613" t="str">
        <f>IF(
COUNTIF(tblCost[TargetID],tblTargetStatus[[#This Row],[TargetID]])=0,
"",
_xlfn.XLOOKUP(
tblTargetStatus[[#This Row],[TargetID]],
tblCost[TargetID],
tblCost[RemainingRequirements],
""
)
)</f>
        <v/>
      </c>
      <c r="X613" s="79" t="str">
        <f>IF(tblTargetStatus[[#This Row],[HasCost]]=FALSE,"N/A",_xlfn.XLOOKUP(
tblTargetStatus[[#This Row],[TargetID]],
tblCost[TargetID],
tblCost[TargetFunded],
TRUE
))</f>
        <v>N/A</v>
      </c>
      <c r="Y613" t="str" cm="1">
        <f t="array" ref="Y613">_xlfn.TEXTJOIN(
", ",
TRUE,
_xlfn._xlws.FILTER(
tblCost[ResourceID]&amp;": "&amp;tblCost[QuantityRequired],
(tblCost[TargetID]=tblTargetStatus[[#This Row],[TargetID]])*
(tblCost[PlayerPaid]=FALSE),
""
)
)</f>
        <v/>
      </c>
      <c r="Z6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3" t="str" cm="1">
        <f t="array" ref="AA613">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4" spans="1:27">
      <c r="A614" t="s">
        <v>6253</v>
      </c>
      <c r="B614" t="str">
        <f>_xlfn.XLOOKUP(tblTargetStatus[[#This Row],[TargetID]],tblTargets[TargetID],tblTargets[DisplayName],"")</f>
        <v>Obtain Pirate hat</v>
      </c>
      <c r="C614" t="str">
        <f>IF(tblTargetStatus[[#This Row],[PlayerCompleted]],"COMPLETED",IF(tblTargetStatus[[#This Row],[MissingDependencies]]=0,"READY","BLOCKED"))</f>
        <v>BLOCKED</v>
      </c>
      <c r="D6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4" t="str">
        <f>_xlfn.XLOOKUP(tblTargetStatus[[#This Row],[TargetID]],tblTargets[TargetID],tblTargets[TargetType],"")</f>
        <v>STATE</v>
      </c>
      <c r="F614" t="str">
        <f>_xlfn.XLOOKUP(tblTargetStatus[[#This Row],[TargetID]],tblTargets[TargetID],tblTargets[StateType])</f>
        <v>OBTAIN</v>
      </c>
      <c r="G614">
        <f>_xlfn.LET(
_xlpm.id,tblTargetStatus[[#This Row],[TargetID]],
_xlpm.depCount,COUNTIF(tblDependencies[TargetID],_xlpm.id),
_xlpm.objCount,COUNTIF(tblQuestObjectives[QuestTargetID],_xlpm.id),
_xlpm.depCount+_xlpm.objCount
)</f>
        <v>1</v>
      </c>
      <c r="H614">
        <f>tblTargetStatus[[#This Row],[DependencyCount]]</f>
        <v>1</v>
      </c>
      <c r="I614" cm="1">
        <f t="array" ref="I6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4">
        <f>tblTargetStatus[[#This Row],[CompletedDependencyCount]]</f>
        <v>0</v>
      </c>
      <c r="K614" t="b">
        <f>tblTargetStatus[[#This Row],[CompletedDependencies]]=tblTargetStatus[[#This Row],[TotalDependencies]]</f>
        <v>0</v>
      </c>
      <c r="L614">
        <f>tblTargetStatus[[#This Row],[TotalDependencies]]-tblTargetStatus[[#This Row],[CompletedDependencies]]</f>
        <v>1</v>
      </c>
      <c r="M614" t="str" cm="1">
        <f t="array" ref="M6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state.obtain_smugglers_map_100_beans</v>
      </c>
      <c r="N614" t="str">
        <f>IF(tblTargetStatus[[#This Row],[FirstMissingDependencyID]]="","",_xlfn.XLOOKUP(tblTargetStatus[[#This Row],[FirstMissingDependencyID]],tblTargets[TargetID],tblTargets[DisplayName],tblTargetStatus[[#This Row],[FirstMissingDependencyID]]))</f>
        <v>Purchase Smuggler's map for 100 coffee beans</v>
      </c>
      <c r="O614" t="str" cm="1">
        <f t="array" ref="O6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4" s="2" t="str">
        <f>IF(tblTargetStatus[[#This Row],[FirstMissingDependencyID]]="","",_xlfn.XLOOKUP(tblTargetStatus[[#This Row],[FirstMissingDependencyID]],tblTargetStatus[TargetID],tblTargetStatus[Status],""))</f>
        <v>BLOCKED</v>
      </c>
      <c r="Q614" t="str">
        <f>IF(
 tblTargetStatus[[#This Row],[Status]]&lt;&gt;"BLOCKED",
 tblTargetStatus[[#This Row],[Status]],
 IF(
  AND(
   tblTargetStatus[[#This Row],[MissingDependencies]]=1,
   tblTargetStatus[[#This Row],[FirstMissingStatus]]="READY"
  ),
  "ONE AWAY",
  "BLOCKED"
 )
)</f>
        <v>BLOCKED</v>
      </c>
      <c r="R614">
        <f>IF(
 OR(
  tblTargetStatus[[#This Row],[StateType]]="CHARACTER",
  RIGHT(tblTargetStatus[[#This Row],[TargetID]],6)=".maxed"
 ),
 0,
 _xlfn.LET(
  _xlpm.sort,
   _xlfn.XLOOKUP(
    tblTargetStatus[[#This Row],[TargetID]],
    tblChecklist[TargetID],
    tblChecklist[PlayerSort],
    0
   ),
  IF(_xlpm.sort=0,500,_xlpm.sort)
 )
)</f>
        <v>500</v>
      </c>
      <c r="S614" t="str" cm="1">
        <f t="array" ref="S614">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3 Finished</v>
      </c>
      <c r="T614" t="str">
        <f>_xlfn.XLOOKUP(tblTargetStatus[[#This Row],[TargetID]],tblTargets[TargetID],tblTargets[CompletionMethod],"")</f>
        <v>PLAYER</v>
      </c>
      <c r="U614" t="b">
        <f>COUNTIF(
    tblCost[TargetID],
    tblTargetStatus[[#This Row],[TargetID]]
)&gt;0</f>
        <v>0</v>
      </c>
      <c r="V614" s="81" t="str">
        <f>IF(tblTargetStatus[[#This Row],[HasCost]]=FALSE,
"N/A",
_xlfn.XLOOKUP(
tblTargetStatus[[#This Row],[TargetID]],
tblCost[TargetID],
tblCost[FundingPercent],
""
)
)</f>
        <v>N/A</v>
      </c>
      <c r="W614" t="str">
        <f>IF(
COUNTIF(tblCost[TargetID],tblTargetStatus[[#This Row],[TargetID]])=0,
"",
_xlfn.XLOOKUP(
tblTargetStatus[[#This Row],[TargetID]],
tblCost[TargetID],
tblCost[RemainingRequirements],
""
)
)</f>
        <v/>
      </c>
      <c r="X614" s="79" t="str">
        <f>IF(tblTargetStatus[[#This Row],[HasCost]]=FALSE,"N/A",_xlfn.XLOOKUP(
tblTargetStatus[[#This Row],[TargetID]],
tblCost[TargetID],
tblCost[TargetFunded],
TRUE
))</f>
        <v>N/A</v>
      </c>
      <c r="Y614" t="str" cm="1">
        <f t="array" ref="Y614">_xlfn.TEXTJOIN(
", ",
TRUE,
_xlfn._xlws.FILTER(
tblCost[ResourceID]&amp;": "&amp;tblCost[QuantityRequired],
(tblCost[TargetID]=tblTargetStatus[[#This Row],[TargetID]])*
(tblCost[PlayerPaid]=FALSE),
""
)
)</f>
        <v/>
      </c>
      <c r="Z6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4" t="str" cm="1">
        <f t="array" ref="AA614">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5" spans="1:27">
      <c r="A615" t="s">
        <v>6255</v>
      </c>
      <c r="B615" t="str">
        <f>_xlfn.XLOOKUP(tblTargetStatus[[#This Row],[TargetID]],tblTargets[TargetID],tblTargets[DisplayName],"")</f>
        <v>Obtain Black Pearl</v>
      </c>
      <c r="C615" t="str">
        <f>IF(tblTargetStatus[[#This Row],[PlayerCompleted]],"COMPLETED",IF(tblTargetStatus[[#This Row],[MissingDependencies]]=0,"READY","BLOCKED"))</f>
        <v>BLOCKED</v>
      </c>
      <c r="D6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5" t="str">
        <f>_xlfn.XLOOKUP(tblTargetStatus[[#This Row],[TargetID]],tblTargets[TargetID],tblTargets[TargetType],"")</f>
        <v>STATE</v>
      </c>
      <c r="F615" t="str">
        <f>_xlfn.XLOOKUP(tblTargetStatus[[#This Row],[TargetID]],tblTargets[TargetID],tblTargets[StateType])</f>
        <v>OBTAIN</v>
      </c>
      <c r="G615">
        <f>_xlfn.LET(
_xlpm.id,tblTargetStatus[[#This Row],[TargetID]],
_xlpm.depCount,COUNTIF(tblDependencies[TargetID],_xlpm.id),
_xlpm.objCount,COUNTIF(tblQuestObjectives[QuestTargetID],_xlpm.id),
_xlpm.depCount+_xlpm.objCount
)</f>
        <v>1</v>
      </c>
      <c r="H615">
        <f>tblTargetStatus[[#This Row],[DependencyCount]]</f>
        <v>1</v>
      </c>
      <c r="I615" cm="1">
        <f t="array" ref="I6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5">
        <f>tblTargetStatus[[#This Row],[CompletedDependencyCount]]</f>
        <v>0</v>
      </c>
      <c r="K615" t="b">
        <f>tblTargetStatus[[#This Row],[CompletedDependencies]]=tblTargetStatus[[#This Row],[TotalDependencies]]</f>
        <v>0</v>
      </c>
      <c r="L615">
        <f>tblTargetStatus[[#This Row],[TotalDependencies]]-tblTargetStatus[[#This Row],[CompletedDependencies]]</f>
        <v>1</v>
      </c>
      <c r="M615" t="str" cm="1">
        <f t="array" ref="M6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state.obtain_smugglers_map_15_pearl</v>
      </c>
      <c r="N615" t="str">
        <f>IF(tblTargetStatus[[#This Row],[FirstMissingDependencyID]]="","",_xlfn.XLOOKUP(tblTargetStatus[[#This Row],[FirstMissingDependencyID]],tblTargets[TargetID],tblTargets[DisplayName],tblTargetStatus[[#This Row],[FirstMissingDependencyID]]))</f>
        <v>Purchase Smuggler's map for 15 pearl</v>
      </c>
      <c r="O615" t="str" cm="1">
        <f t="array" ref="O6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5" s="2" t="str">
        <f>IF(tblTargetStatus[[#This Row],[FirstMissingDependencyID]]="","",_xlfn.XLOOKUP(tblTargetStatus[[#This Row],[FirstMissingDependencyID]],tblTargetStatus[TargetID],tblTargetStatus[Status],""))</f>
        <v>BLOCKED</v>
      </c>
      <c r="Q615" t="str">
        <f>IF(
 tblTargetStatus[[#This Row],[Status]]&lt;&gt;"BLOCKED",
 tblTargetStatus[[#This Row],[Status]],
 IF(
  AND(
   tblTargetStatus[[#This Row],[MissingDependencies]]=1,
   tblTargetStatus[[#This Row],[FirstMissingStatus]]="READY"
  ),
  "ONE AWAY",
  "BLOCKED"
 )
)</f>
        <v>BLOCKED</v>
      </c>
      <c r="R615">
        <f>IF(
 OR(
  tblTargetStatus[[#This Row],[StateType]]="CHARACTER",
  RIGHT(tblTargetStatus[[#This Row],[TargetID]],6)=".maxed"
 ),
 0,
 _xlfn.LET(
  _xlpm.sort,
   _xlfn.XLOOKUP(
    tblTargetStatus[[#This Row],[TargetID]],
    tblChecklist[TargetID],
    tblChecklist[PlayerSort],
    0
   ),
  IF(_xlpm.sort=0,500,_xlpm.sort)
 )
)</f>
        <v>500</v>
      </c>
      <c r="S615" t="str" cm="1">
        <f t="array" ref="S615">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5 Finished</v>
      </c>
      <c r="T615" t="str">
        <f>_xlfn.XLOOKUP(tblTargetStatus[[#This Row],[TargetID]],tblTargets[TargetID],tblTargets[CompletionMethod],"")</f>
        <v>PLAYER</v>
      </c>
      <c r="U615" t="b">
        <f>COUNTIF(
    tblCost[TargetID],
    tblTargetStatus[[#This Row],[TargetID]]
)&gt;0</f>
        <v>0</v>
      </c>
      <c r="V615" s="81" t="str">
        <f>IF(tblTargetStatus[[#This Row],[HasCost]]=FALSE,
"N/A",
_xlfn.XLOOKUP(
tblTargetStatus[[#This Row],[TargetID]],
tblCost[TargetID],
tblCost[FundingPercent],
""
)
)</f>
        <v>N/A</v>
      </c>
      <c r="W615" t="str">
        <f>IF(
COUNTIF(tblCost[TargetID],tblTargetStatus[[#This Row],[TargetID]])=0,
"",
_xlfn.XLOOKUP(
tblTargetStatus[[#This Row],[TargetID]],
tblCost[TargetID],
tblCost[RemainingRequirements],
""
)
)</f>
        <v/>
      </c>
      <c r="X615" s="79" t="str">
        <f>IF(tblTargetStatus[[#This Row],[HasCost]]=FALSE,"N/A",_xlfn.XLOOKUP(
tblTargetStatus[[#This Row],[TargetID]],
tblCost[TargetID],
tblCost[TargetFunded],
TRUE
))</f>
        <v>N/A</v>
      </c>
      <c r="Y615" t="str" cm="1">
        <f t="array" ref="Y615">_xlfn.TEXTJOIN(
", ",
TRUE,
_xlfn._xlws.FILTER(
tblCost[ResourceID]&amp;": "&amp;tblCost[QuantityRequired],
(tblCost[TargetID]=tblTargetStatus[[#This Row],[TargetID]])*
(tblCost[PlayerPaid]=FALSE),
""
)
)</f>
        <v/>
      </c>
      <c r="Z6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5" t="str" cm="1">
        <f t="array" ref="AA615">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6" spans="1:27">
      <c r="A616" t="s">
        <v>6257</v>
      </c>
      <c r="B616" t="str">
        <f>_xlfn.XLOOKUP(tblTargetStatus[[#This Row],[TargetID]],tblTargets[TargetID],tblTargets[DisplayName],"")</f>
        <v>Obtain Shogun's Mortar</v>
      </c>
      <c r="C616" t="str">
        <f>IF(tblTargetStatus[[#This Row],[PlayerCompleted]],"COMPLETED",IF(tblTargetStatus[[#This Row],[MissingDependencies]]=0,"READY","BLOCKED"))</f>
        <v>BLOCKED</v>
      </c>
      <c r="D6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6" t="str">
        <f>_xlfn.XLOOKUP(tblTargetStatus[[#This Row],[TargetID]],tblTargets[TargetID],tblTargets[TargetType],"")</f>
        <v>STATE</v>
      </c>
      <c r="F616" t="str">
        <f>_xlfn.XLOOKUP(tblTargetStatus[[#This Row],[TargetID]],tblTargets[TargetID],tblTargets[StateType])</f>
        <v>OBTAIN</v>
      </c>
      <c r="G616">
        <f>_xlfn.LET(
_xlpm.id,tblTargetStatus[[#This Row],[TargetID]],
_xlpm.depCount,COUNTIF(tblDependencies[TargetID],_xlpm.id),
_xlpm.objCount,COUNTIF(tblQuestObjectives[QuestTargetID],_xlpm.id),
_xlpm.depCount+_xlpm.objCount
)</f>
        <v>1</v>
      </c>
      <c r="H616">
        <f>tblTargetStatus[[#This Row],[DependencyCount]]</f>
        <v>1</v>
      </c>
      <c r="I616" cm="1">
        <f t="array" ref="I6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6">
        <f>tblTargetStatus[[#This Row],[CompletedDependencyCount]]</f>
        <v>0</v>
      </c>
      <c r="K616" t="b">
        <f>tblTargetStatus[[#This Row],[CompletedDependencies]]=tblTargetStatus[[#This Row],[TotalDependencies]]</f>
        <v>0</v>
      </c>
      <c r="L616">
        <f>tblTargetStatus[[#This Row],[TotalDependencies]]-tblTargetStatus[[#This Row],[CompletedDependencies]]</f>
        <v>1</v>
      </c>
      <c r="M616" t="str" cm="1">
        <f t="array" ref="M6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state.obtain_map4</v>
      </c>
      <c r="N616" t="str">
        <f>IF(tblTargetStatus[[#This Row],[FirstMissingDependencyID]]="","",_xlfn.XLOOKUP(tblTargetStatus[[#This Row],[FirstMissingDependencyID]],tblTargets[TargetID],tblTargets[DisplayName],tblTargetStatus[[#This Row],[FirstMissingDependencyID]]))</f>
        <v>Craft level 4 map</v>
      </c>
      <c r="O616" t="str" cm="1">
        <f t="array" ref="O6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6" s="2" t="str">
        <f>IF(tblTargetStatus[[#This Row],[FirstMissingDependencyID]]="","",_xlfn.XLOOKUP(tblTargetStatus[[#This Row],[FirstMissingDependencyID]],tblTargetStatus[TargetID],tblTargetStatus[Status],""))</f>
        <v>BLOCKED</v>
      </c>
      <c r="Q616" t="str">
        <f>IF(
 tblTargetStatus[[#This Row],[Status]]&lt;&gt;"BLOCKED",
 tblTargetStatus[[#This Row],[Status]],
 IF(
  AND(
   tblTargetStatus[[#This Row],[MissingDependencies]]=1,
   tblTargetStatus[[#This Row],[FirstMissingStatus]]="READY"
  ),
  "ONE AWAY",
  "BLOCKED"
 )
)</f>
        <v>BLOCKED</v>
      </c>
      <c r="R616">
        <f>IF(
 OR(
  tblTargetStatus[[#This Row],[StateType]]="CHARACTER",
  RIGHT(tblTargetStatus[[#This Row],[TargetID]],6)=".maxed"
 ),
 0,
 _xlfn.LET(
  _xlpm.sort,
   _xlfn.XLOOKUP(
    tblTargetStatus[[#This Row],[TargetID]],
    tblChecklist[TargetID],
    tblChecklist[PlayerSort],
    0
   ),
  IF(_xlpm.sort=0,500,_xlpm.sort)
 )
)</f>
        <v>500</v>
      </c>
      <c r="S616" t="str" cm="1">
        <f t="array" ref="S616">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Shogun's Katana Chapter 6 Finished</v>
      </c>
      <c r="T616" t="str">
        <f>_xlfn.XLOOKUP(tblTargetStatus[[#This Row],[TargetID]],tblTargets[TargetID],tblTargets[CompletionMethod],"")</f>
        <v>PLAYER</v>
      </c>
      <c r="U616" t="b">
        <f>COUNTIF(
    tblCost[TargetID],
    tblTargetStatus[[#This Row],[TargetID]]
)&gt;0</f>
        <v>0</v>
      </c>
      <c r="V616" s="81" t="str">
        <f>IF(tblTargetStatus[[#This Row],[HasCost]]=FALSE,
"N/A",
_xlfn.XLOOKUP(
tblTargetStatus[[#This Row],[TargetID]],
tblCost[TargetID],
tblCost[FundingPercent],
""
)
)</f>
        <v>N/A</v>
      </c>
      <c r="W616" t="str">
        <f>IF(
COUNTIF(tblCost[TargetID],tblTargetStatus[[#This Row],[TargetID]])=0,
"",
_xlfn.XLOOKUP(
tblTargetStatus[[#This Row],[TargetID]],
tblCost[TargetID],
tblCost[RemainingRequirements],
""
)
)</f>
        <v/>
      </c>
      <c r="X616" s="79" t="str">
        <f>IF(tblTargetStatus[[#This Row],[HasCost]]=FALSE,"N/A",_xlfn.XLOOKUP(
tblTargetStatus[[#This Row],[TargetID]],
tblCost[TargetID],
tblCost[TargetFunded],
TRUE
))</f>
        <v>N/A</v>
      </c>
      <c r="Y616" t="str" cm="1">
        <f t="array" ref="Y616">_xlfn.TEXTJOIN(
", ",
TRUE,
_xlfn._xlws.FILTER(
tblCost[ResourceID]&amp;": "&amp;tblCost[QuantityRequired],
(tblCost[TargetID]=tblTargetStatus[[#This Row],[TargetID]])*
(tblCost[PlayerPaid]=FALSE),
""
)
)</f>
        <v/>
      </c>
      <c r="Z6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6" t="str" cm="1">
        <f t="array" ref="AA616">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7" spans="1:27">
      <c r="A617" t="s">
        <v>6262</v>
      </c>
      <c r="B617" t="str">
        <f>_xlfn.XLOOKUP(tblTargetStatus[[#This Row],[TargetID]],tblTargets[TargetID],tblTargets[DisplayName],"")</f>
        <v>Complete Dungeon 1A</v>
      </c>
      <c r="C617" t="str">
        <f>IF(tblTargetStatus[[#This Row],[PlayerCompleted]],"COMPLETED",IF(tblTargetStatus[[#This Row],[MissingDependencies]]=0,"READY","BLOCKED"))</f>
        <v>BLOCKED</v>
      </c>
      <c r="D6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7" t="str">
        <f>_xlfn.XLOOKUP(tblTargetStatus[[#This Row],[TargetID]],tblTargets[TargetID],tblTargets[TargetType],"")</f>
        <v>STATE</v>
      </c>
      <c r="F617" t="str">
        <f>_xlfn.XLOOKUP(tblTargetStatus[[#This Row],[TargetID]],tblTargets[TargetID],tblTargets[StateType])</f>
        <v>COMPLETE</v>
      </c>
      <c r="G617">
        <f>_xlfn.LET(
_xlpm.id,tblTargetStatus[[#This Row],[TargetID]],
_xlpm.depCount,COUNTIF(tblDependencies[TargetID],_xlpm.id),
_xlpm.objCount,COUNTIF(tblQuestObjectives[QuestTargetID],_xlpm.id),
_xlpm.depCount+_xlpm.objCount
)</f>
        <v>1</v>
      </c>
      <c r="H617">
        <f>tblTargetStatus[[#This Row],[DependencyCount]]</f>
        <v>1</v>
      </c>
      <c r="I617" cm="1">
        <f t="array" ref="I6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7">
        <f>tblTargetStatus[[#This Row],[CompletedDependencyCount]]</f>
        <v>0</v>
      </c>
      <c r="K617" t="b">
        <f>tblTargetStatus[[#This Row],[CompletedDependencies]]=tblTargetStatus[[#This Row],[TotalDependencies]]</f>
        <v>0</v>
      </c>
      <c r="L617">
        <f>tblTargetStatus[[#This Row],[TotalDependencies]]-tblTargetStatus[[#This Row],[CompletedDependencies]]</f>
        <v>1</v>
      </c>
      <c r="M617" t="str" cm="1">
        <f t="array" ref="M6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building.dungeon@1</v>
      </c>
      <c r="N617" t="str">
        <f>IF(tblTargetStatus[[#This Row],[FirstMissingDependencyID]]="","",_xlfn.XLOOKUP(tblTargetStatus[[#This Row],[FirstMissingDependencyID]],tblTargets[TargetID],tblTargets[DisplayName],tblTargetStatus[[#This Row],[FirstMissingDependencyID]]))</f>
        <v>Dungeon Lv 1</v>
      </c>
      <c r="O617" t="str" cm="1">
        <f t="array" ref="O6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7" s="2" t="str">
        <f>IF(tblTargetStatus[[#This Row],[FirstMissingDependencyID]]="","",_xlfn.XLOOKUP(tblTargetStatus[[#This Row],[FirstMissingDependencyID]],tblTargetStatus[TargetID],tblTargetStatus[Status],""))</f>
        <v>BLOCKED</v>
      </c>
      <c r="Q617" t="str">
        <f>IF(
 tblTargetStatus[[#This Row],[Status]]&lt;&gt;"BLOCKED",
 tblTargetStatus[[#This Row],[Status]],
 IF(
  AND(
   tblTargetStatus[[#This Row],[MissingDependencies]]=1,
   tblTargetStatus[[#This Row],[FirstMissingStatus]]="READY"
  ),
  "ONE AWAY",
  "BLOCKED"
 )
)</f>
        <v>BLOCKED</v>
      </c>
      <c r="R617">
        <f>IF(
 OR(
  tblTargetStatus[[#This Row],[StateType]]="CHARACTER",
  RIGHT(tblTargetStatus[[#This Row],[TargetID]],6)=".maxed"
 ),
 0,
 _xlfn.LET(
  _xlpm.sort,
   _xlfn.XLOOKUP(
    tblTargetStatus[[#This Row],[TargetID]],
    tblChecklist[TargetID],
    tblChecklist[PlayerSort],
    0
   ),
  IF(_xlpm.sort=0,500,_xlpm.sort)
 )
)</f>
        <v>500</v>
      </c>
      <c r="S617" t="str" cm="1">
        <f t="array" ref="S617">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Quest for Knowledge Chapter 1 Finished</v>
      </c>
      <c r="T617" t="str">
        <f>_xlfn.XLOOKUP(tblTargetStatus[[#This Row],[TargetID]],tblTargets[TargetID],tblTargets[CompletionMethod],"")</f>
        <v>PLAYER</v>
      </c>
      <c r="U617" t="b">
        <f>COUNTIF(
    tblCost[TargetID],
    tblTargetStatus[[#This Row],[TargetID]]
)&gt;0</f>
        <v>0</v>
      </c>
      <c r="V617" s="81" t="str">
        <f>IF(tblTargetStatus[[#This Row],[HasCost]]=FALSE,
"N/A",
_xlfn.XLOOKUP(
tblTargetStatus[[#This Row],[TargetID]],
tblCost[TargetID],
tblCost[FundingPercent],
""
)
)</f>
        <v>N/A</v>
      </c>
      <c r="W617" t="str">
        <f>IF(
COUNTIF(tblCost[TargetID],tblTargetStatus[[#This Row],[TargetID]])=0,
"",
_xlfn.XLOOKUP(
tblTargetStatus[[#This Row],[TargetID]],
tblCost[TargetID],
tblCost[RemainingRequirements],
""
)
)</f>
        <v/>
      </c>
      <c r="X617" s="79" t="str">
        <f>IF(tblTargetStatus[[#This Row],[HasCost]]=FALSE,"N/A",_xlfn.XLOOKUP(
tblTargetStatus[[#This Row],[TargetID]],
tblCost[TargetID],
tblCost[TargetFunded],
TRUE
))</f>
        <v>N/A</v>
      </c>
      <c r="Y617" t="str" cm="1">
        <f t="array" ref="Y617">_xlfn.TEXTJOIN(
", ",
TRUE,
_xlfn._xlws.FILTER(
tblCost[ResourceID]&amp;": "&amp;tblCost[QuantityRequired],
(tblCost[TargetID]=tblTargetStatus[[#This Row],[TargetID]])*
(tblCost[PlayerPaid]=FALSE),
""
)
)</f>
        <v/>
      </c>
      <c r="Z6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7" t="str" cm="1">
        <f t="array" ref="AA617">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8" spans="1:27">
      <c r="A618" t="s">
        <v>6264</v>
      </c>
      <c r="B618" t="str">
        <f>_xlfn.XLOOKUP(tblTargetStatus[[#This Row],[TargetID]],tblTargets[TargetID],tblTargets[DisplayName],"")</f>
        <v>Complete Dungeon 6D</v>
      </c>
      <c r="C618" t="str">
        <f>IF(tblTargetStatus[[#This Row],[PlayerCompleted]],"COMPLETED",IF(tblTargetStatus[[#This Row],[MissingDependencies]]=0,"READY","BLOCKED"))</f>
        <v>BLOCKED</v>
      </c>
      <c r="D6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8" t="str">
        <f>_xlfn.XLOOKUP(tblTargetStatus[[#This Row],[TargetID]],tblTargets[TargetID],tblTargets[TargetType],"")</f>
        <v>STATE</v>
      </c>
      <c r="F618" t="str">
        <f>_xlfn.XLOOKUP(tblTargetStatus[[#This Row],[TargetID]],tblTargets[TargetID],tblTargets[StateType])</f>
        <v>COMPLETE</v>
      </c>
      <c r="G618">
        <f>_xlfn.LET(
_xlpm.id,tblTargetStatus[[#This Row],[TargetID]],
_xlpm.depCount,COUNTIF(tblDependencies[TargetID],_xlpm.id),
_xlpm.objCount,COUNTIF(tblQuestObjectives[QuestTargetID],_xlpm.id),
_xlpm.depCount+_xlpm.objCount
)</f>
        <v>1</v>
      </c>
      <c r="H618">
        <f>tblTargetStatus[[#This Row],[DependencyCount]]</f>
        <v>1</v>
      </c>
      <c r="I618" cm="1">
        <f t="array" ref="I6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8">
        <f>tblTargetStatus[[#This Row],[CompletedDependencyCount]]</f>
        <v>0</v>
      </c>
      <c r="K618" t="b">
        <f>tblTargetStatus[[#This Row],[CompletedDependencies]]=tblTargetStatus[[#This Row],[TotalDependencies]]</f>
        <v>0</v>
      </c>
      <c r="L618">
        <f>tblTargetStatus[[#This Row],[TotalDependencies]]-tblTargetStatus[[#This Row],[CompletedDependencies]]</f>
        <v>1</v>
      </c>
      <c r="M618" t="str" cm="1">
        <f t="array" ref="M6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quest.ahead_of_time_chapter_3.accepted</v>
      </c>
      <c r="N618" t="str">
        <f>IF(tblTargetStatus[[#This Row],[FirstMissingDependencyID]]="","",_xlfn.XLOOKUP(tblTargetStatus[[#This Row],[FirstMissingDependencyID]],tblTargets[TargetID],tblTargets[DisplayName],tblTargetStatus[[#This Row],[FirstMissingDependencyID]]))</f>
        <v>Ahead of Time Chapter 3 Accepted</v>
      </c>
      <c r="O618" t="str" cm="1">
        <f t="array" ref="O6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8" s="2" t="str">
        <f>IF(tblTargetStatus[[#This Row],[FirstMissingDependencyID]]="","",_xlfn.XLOOKUP(tblTargetStatus[[#This Row],[FirstMissingDependencyID]],tblTargetStatus[TargetID],tblTargetStatus[Status],""))</f>
        <v>BLOCKED</v>
      </c>
      <c r="Q618" t="str">
        <f>IF(
 tblTargetStatus[[#This Row],[Status]]&lt;&gt;"BLOCKED",
 tblTargetStatus[[#This Row],[Status]],
 IF(
  AND(
   tblTargetStatus[[#This Row],[MissingDependencies]]=1,
   tblTargetStatus[[#This Row],[FirstMissingStatus]]="READY"
  ),
  "ONE AWAY",
  "BLOCKED"
 )
)</f>
        <v>BLOCKED</v>
      </c>
      <c r="R618">
        <f>IF(
 OR(
  tblTargetStatus[[#This Row],[StateType]]="CHARACTER",
  RIGHT(tblTargetStatus[[#This Row],[TargetID]],6)=".maxed"
 ),
 0,
 _xlfn.LET(
  _xlpm.sort,
   _xlfn.XLOOKUP(
    tblTargetStatus[[#This Row],[TargetID]],
    tblChecklist[TargetID],
    tblChecklist[PlayerSort],
    0
   ),
  IF(_xlpm.sort=0,500,_xlpm.sort)
 )
)</f>
        <v>500</v>
      </c>
      <c r="S618" t="str" cm="1">
        <f t="array" ref="S618">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Ahead of Time Chapter 3 Finished</v>
      </c>
      <c r="T618" t="str">
        <f>_xlfn.XLOOKUP(tblTargetStatus[[#This Row],[TargetID]],tblTargets[TargetID],tblTargets[CompletionMethod],"")</f>
        <v>PLAYER</v>
      </c>
      <c r="U618" t="b">
        <f>COUNTIF(
    tblCost[TargetID],
    tblTargetStatus[[#This Row],[TargetID]]
)&gt;0</f>
        <v>0</v>
      </c>
      <c r="V618" s="81" t="str">
        <f>IF(tblTargetStatus[[#This Row],[HasCost]]=FALSE,
"N/A",
_xlfn.XLOOKUP(
tblTargetStatus[[#This Row],[TargetID]],
tblCost[TargetID],
tblCost[FundingPercent],
""
)
)</f>
        <v>N/A</v>
      </c>
      <c r="W618" t="str">
        <f>IF(
COUNTIF(tblCost[TargetID],tblTargetStatus[[#This Row],[TargetID]])=0,
"",
_xlfn.XLOOKUP(
tblTargetStatus[[#This Row],[TargetID]],
tblCost[TargetID],
tblCost[RemainingRequirements],
""
)
)</f>
        <v/>
      </c>
      <c r="X618" s="79" t="str">
        <f>IF(tblTargetStatus[[#This Row],[HasCost]]=FALSE,"N/A",_xlfn.XLOOKUP(
tblTargetStatus[[#This Row],[TargetID]],
tblCost[TargetID],
tblCost[TargetFunded],
TRUE
))</f>
        <v>N/A</v>
      </c>
      <c r="Y618" t="str" cm="1">
        <f t="array" ref="Y618">_xlfn.TEXTJOIN(
", ",
TRUE,
_xlfn._xlws.FILTER(
tblCost[ResourceID]&amp;": "&amp;tblCost[QuantityRequired],
(tblCost[TargetID]=tblTargetStatus[[#This Row],[TargetID]])*
(tblCost[PlayerPaid]=FALSE),
""
)
)</f>
        <v/>
      </c>
      <c r="Z6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8" t="str" cm="1">
        <f t="array" ref="AA618">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
      </c>
    </row>
    <row r="619" spans="1:27">
      <c r="A619" t="s">
        <v>6267</v>
      </c>
      <c r="B619" t="str">
        <f>_xlfn.XLOOKUP(tblTargetStatus[[#This Row],[TargetID]],tblTargets[TargetID],tblTargets[DisplayName],"")</f>
        <v>Meet Dark Lady@6B second time</v>
      </c>
      <c r="C619" t="str">
        <f>IF(tblTargetStatus[[#This Row],[PlayerCompleted]],"COMPLETED",IF(tblTargetStatus[[#This Row],[MissingDependencies]]=0,"READY","BLOCKED"))</f>
        <v>BLOCKED</v>
      </c>
      <c r="D6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9" t="str">
        <f>_xlfn.XLOOKUP(tblTargetStatus[[#This Row],[TargetID]],tblTargets[TargetID],tblTargets[TargetType],"")</f>
        <v>STATE</v>
      </c>
      <c r="F619" t="str">
        <f>_xlfn.XLOOKUP(tblTargetStatus[[#This Row],[TargetID]],tblTargets[TargetID],tblTargets[StateType])</f>
        <v>MEET</v>
      </c>
      <c r="G619">
        <f>_xlfn.LET(
_xlpm.id,tblTargetStatus[[#This Row],[TargetID]],
_xlpm.depCount,COUNTIF(tblDependencies[TargetID],_xlpm.id),
_xlpm.objCount,COUNTIF(tblQuestObjectives[QuestTargetID],_xlpm.id),
_xlpm.depCount+_xlpm.objCount
)</f>
        <v>1</v>
      </c>
      <c r="H619">
        <f>tblTargetStatus[[#This Row],[DependencyCount]]</f>
        <v>1</v>
      </c>
      <c r="I619" cm="1">
        <f t="array" ref="I6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9">
        <f>tblTargetStatus[[#This Row],[CompletedDependencyCount]]</f>
        <v>0</v>
      </c>
      <c r="K619" t="b">
        <f>tblTargetStatus[[#This Row],[CompletedDependencies]]=tblTargetStatus[[#This Row],[TotalDependencies]]</f>
        <v>0</v>
      </c>
      <c r="L619">
        <f>tblTargetStatus[[#This Row],[TotalDependencies]]-tblTargetStatus[[#This Row],[CompletedDependencies]]</f>
        <v>1</v>
      </c>
      <c r="M619" t="str" cm="1">
        <f t="array" ref="M6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quest.the_ordinary_days_of_an_adventurer_chapter_7.finished</v>
      </c>
      <c r="N619" t="str">
        <f>IF(tblTargetStatus[[#This Row],[FirstMissingDependencyID]]="","",_xlfn.XLOOKUP(tblTargetStatus[[#This Row],[FirstMissingDependencyID]],tblTargets[TargetID],tblTargets[DisplayName],tblTargetStatus[[#This Row],[FirstMissingDependencyID]]))</f>
        <v>The Ordinary Days of an Adventurer Chapter 7 Finished</v>
      </c>
      <c r="O619" t="str" cm="1">
        <f t="array" ref="O6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9" s="2" t="str">
        <f>IF(tblTargetStatus[[#This Row],[FirstMissingDependencyID]]="","",_xlfn.XLOOKUP(tblTargetStatus[[#This Row],[FirstMissingDependencyID]],tblTargetStatus[TargetID],tblTargetStatus[Status],""))</f>
        <v>BLOCKED</v>
      </c>
      <c r="Q619" t="str">
        <f>IF(
 tblTargetStatus[[#This Row],[Status]]&lt;&gt;"BLOCKED",
 tblTargetStatus[[#This Row],[Status]],
 IF(
  AND(
   tblTargetStatus[[#This Row],[MissingDependencies]]=1,
   tblTargetStatus[[#This Row],[FirstMissingStatus]]="READY"
  ),
  "ONE AWAY",
  "BLOCKED"
 )
)</f>
        <v>BLOCKED</v>
      </c>
      <c r="R619">
        <f>IF(
 OR(
  tblTargetStatus[[#This Row],[StateType]]="CHARACTER",
  RIGHT(tblTargetStatus[[#This Row],[TargetID]],6)=".maxed"
 ),
 0,
 _xlfn.LET(
  _xlpm.sort,
   _xlfn.XLOOKUP(
    tblTargetStatus[[#This Row],[TargetID]],
    tblChecklist[TargetID],
    tblChecklist[PlayerSort],
    0
   ),
  IF(_xlpm.sort=0,500,_xlpm.sort)
 )
)</f>
        <v>500</v>
      </c>
      <c r="S619" t="str" cm="1">
        <f t="array" ref="S619">_xlfn.LET(
 _xlpm.id,tblTargetStatus[[#This Row],[TargetID]],
 _xlpm.successorIDs,
  _xlfn.UNIQUE(
   _xlfn.VSTACK(
    _xlfn._xlws.FILTER(
     tblDependencies[TargetID],
     tblDependencies[DependencyID]=_xlpm.id,
     ""
    ),
    _xlfn._xlws.FILTER(
     tblQuestObjectives[QuestTargetID],
     tblQuestObjectives[ObjectiveID]=_xlpm.id,
     ""
    )
   )
  ),
 _xlpm.cleanIDs,
  _xlfn._xlws.FILTER(_xlpm.successorIDs,_xlpm.successorIDs&lt;&gt;"",""),
 _xlpm.names,
  _xlfn.MAP(
   _xlpm.cleanIDs,
   _xlfn.LAMBDA(_xlpm.s,
    _xlfn.XLOOKUP(
     _xlpm.s,
     tblTargets[TargetID],
     tblTargets[DisplayName],
     _xlpm.s
    )
   )
  ),
 IFERROR(_xlfn.TEXTJOIN(", ",TRUE,_xlpm.names),"")
)</f>
        <v>The Ordinary Days of an Adventurer Chapter 8 Accepted</v>
      </c>
      <c r="T619" t="str">
        <f>_xlfn.XLOOKUP(tblTargetStatus[[#This Row],[TargetID]],tblTargets[TargetID],tblTargets[CompletionMethod],"")</f>
        <v>PLAYER</v>
      </c>
      <c r="U619" t="b">
        <f>COUNTIF(
    tblCost[TargetID],
    tblTargetStatus[[#This Row],[TargetID]]
)&gt;0</f>
        <v>0</v>
      </c>
      <c r="V619" s="81" t="str">
        <f>IF(tblTargetStatus[[#This Row],[HasCost]]=FALSE,
"N/A",
_xlfn.XLOOKUP(
tblTargetStatus[[#This Row],[TargetID]],
tblCost[TargetID],
tblCost[FundingPercent],
""
)
)</f>
        <v>N/A</v>
      </c>
      <c r="W619" t="str">
        <f>IF(
COUNTIF(tblCost[TargetID],tblTargetStatus[[#This Row],[TargetID]])=0,
"",
_xlfn.XLOOKUP(
tblTargetStatus[[#This Row],[TargetID]],
tblCost[TargetID],
tblCost[RemainingRequirements],
""
)
)</f>
        <v/>
      </c>
      <c r="X619" s="79" t="str">
        <f>IF(tblTargetStatus[[#This Row],[HasCost]]=FALSE,"N/A",_xlfn.XLOOKUP(
tblTargetStatus[[#This Row],[TargetID]],
tblCost[TargetID],
tblCost[TargetFunded],
TRUE
))</f>
        <v>N/A</v>
      </c>
      <c r="Y619" t="str" cm="1">
        <f t="array" ref="Y619">_xlfn.TEXTJOIN(
", ",
TRUE,
_xlfn._xlws.FILTER(
tblCost[ResourceID]&amp;": "&amp;tblCost[QuantityRequired],
(tblCost[TargetID]=tblTargetStatus[[#This Row],[TargetID]])*
(tblCost[PlayerPaid]=FALSE),
""
)
)</f>
        <v/>
      </c>
      <c r="Z6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9" t="str" cm="1">
        <f t="array" ref="AA619">_xlfn.LET(
 _xlpm.id,tblTargetStatus[[#This Row],[TargetID]],
 _xlpm.successorIDs,
  _xlfn.UNIQUE(
   _xlfn.VSTACK(
    _xlfn._xlws.FILTER(
     tblDependencies[TargetID],
     (tblDependencies[DependencyID]=_xlpm.id)*
     (RIGHT(tblDependencies[TargetID],9)=".accepted"),
     ""
    ),
    _xlfn._xlws.FILTER(
     tblQuestObjectives[QuestTargetID],
     (tblQuestObjectives[ObjectiveID]=_xlpm.id)*
     (RIGHT(tblQuestObjectives[QuestTargetID],9)=".accepted"),
     ""
    )
   )
  ),
 _xlpm.cleanIDs,
  _xlfn._xlws.FILTER(_xlpm.successorIDs,_xlpm.successorIDs&lt;&gt;"",""),
 _xlpm.pendingIDs,
  _xlfn._xlws.FILTER(
   _xlpm.cleanIDs,
   _xlfn.MAP(
    _xlpm.cleanIDs,
    _xlfn.LAMBDA(_xlpm.s,
     _xlfn.XLOOKUP(
      _xlpm.s,
      tblTargetStatus[TargetID],
      tblTargetStatus[PlayerCompleted],
      FALSE
     )=FALSE
    )
   ),
   ""
  ),
 _xlpm.names,
  _xlfn.MAP(
   _xlpm.pendingIDs,
   _xlfn.LAMBDA(_xlpm.p,
    SUBSTITUTE(
     _xlfn.XLOOKUP(
      _xlpm.p,
      tblTargetStatus[TargetID],
      tblTargetStatus[DisplayName],
      _xlpm.p
     ),
     " Accepted",
     ""
    )
   )
  ),
 IFERROR(_xlfn.TEXTJOIN(", ",TRUE,_xlpm.names),"")
)</f>
        <v>The Ordinary Days of an Adventurer Chapter 8</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BC21-3B3D-4E14-A399-19967A8D342A}">
  <sheetPr>
    <tabColor rgb="FFFFFF00"/>
  </sheetPr>
  <dimension ref="A1:M2012"/>
  <sheetViews>
    <sheetView topLeftCell="A1958" workbookViewId="0">
      <selection activeCell="H2012" sqref="H2012"/>
    </sheetView>
  </sheetViews>
  <sheetFormatPr defaultRowHeight="14.5"/>
  <cols>
    <col min="1" max="1" width="51.26953125" customWidth="1"/>
    <col min="2" max="2" width="49.90625" bestFit="1" customWidth="1"/>
    <col min="3" max="3" width="36.26953125" bestFit="1" customWidth="1"/>
    <col min="4" max="4" width="12.6328125" bestFit="1" customWidth="1"/>
    <col min="5" max="5" width="13.26953125" bestFit="1" customWidth="1"/>
    <col min="6" max="6" width="14.08984375" style="61" bestFit="1" customWidth="1"/>
    <col min="7" max="7" width="14.26953125" bestFit="1" customWidth="1"/>
    <col min="8" max="8" width="20" bestFit="1" customWidth="1"/>
    <col min="9" max="9" width="21.08984375" bestFit="1" customWidth="1"/>
    <col min="10" max="10" width="25.7265625" bestFit="1" customWidth="1"/>
    <col min="11" max="11" width="25.1796875" bestFit="1" customWidth="1"/>
    <col min="12" max="12" width="15.08984375" bestFit="1" customWidth="1"/>
    <col min="13" max="13" width="16.90625" style="42" bestFit="1" customWidth="1"/>
  </cols>
  <sheetData>
    <row r="1" spans="1:13">
      <c r="A1" t="s">
        <v>3651</v>
      </c>
      <c r="B1" t="s">
        <v>2090</v>
      </c>
      <c r="C1" t="s">
        <v>8</v>
      </c>
      <c r="D1" t="s">
        <v>2091</v>
      </c>
      <c r="E1" t="s">
        <v>3649</v>
      </c>
      <c r="F1" s="61" t="s">
        <v>3658</v>
      </c>
      <c r="G1" t="s">
        <v>3650</v>
      </c>
      <c r="H1" t="s">
        <v>5486</v>
      </c>
      <c r="I1" t="s">
        <v>5487</v>
      </c>
      <c r="J1" t="s">
        <v>5488</v>
      </c>
      <c r="K1" t="s">
        <v>5489</v>
      </c>
      <c r="L1" t="s">
        <v>5490</v>
      </c>
      <c r="M1" s="44" t="s">
        <v>5491</v>
      </c>
    </row>
    <row r="2" spans="1:13">
      <c r="A2" s="41" t="s">
        <v>3659</v>
      </c>
      <c r="B2" s="41" t="str">
        <f>_xlfn.TEXTAFTER(_xlfn.TEXTBEFORE(tblCost[[#This Row],[RequirementID]],".",-2),"cost.")</f>
        <v>building.airship@1</v>
      </c>
      <c r="C2" s="41" t="str">
        <f>_xlfn.XLOOKUP(tblCost[[#This Row],[TargetID]],tblTargets[TargetID],tblTargets[DisplayName],"")</f>
        <v>Airship Lv 1</v>
      </c>
      <c r="D2" s="41" t="str">
        <f>_xlfn.XLOOKUP(tblCost[[#This Row],[TargetID]],tblTargets[TargetID],tblTargets[TargetType],"")</f>
        <v>BUILDING</v>
      </c>
      <c r="E2" s="41" t="s">
        <v>708</v>
      </c>
      <c r="F2" s="62" t="str">
        <f>RIGHT(tblCost[[#This Row],[RequirementID]],1)</f>
        <v>1</v>
      </c>
      <c r="G2" s="41">
        <v>10</v>
      </c>
      <c r="H2" t="b">
        <f>COUNTIFS(tblCostChecklist[RequirementID],tblCost[[#This Row],[RequirementID]],tblCostChecklist[PlayerPaid],TRUE)&gt;0</f>
        <v>0</v>
      </c>
      <c r="I2" s="41">
        <f>COUNTIF(tblCost[TargetID],tblCost[[#This Row],[TargetID]])</f>
        <v>8</v>
      </c>
      <c r="J2" s="41">
        <f>COUNTIFS(tblCost[TargetID],tblCost[[#This Row],[TargetID]],tblCost[PlayerPaid],TRUE)</f>
        <v>0</v>
      </c>
      <c r="K2" s="41">
        <f>tblCost[[#This Row],[TargetRequirements]]-tblCost[[#This Row],[CompletedRequirements]]</f>
        <v>8</v>
      </c>
      <c r="L2" s="41" t="b">
        <f>tblCost[[#This Row],[RemainingRequirements]]=0</f>
        <v>0</v>
      </c>
      <c r="M2" s="43">
        <f>IF(tblCost[[#This Row],[TargetRequirements]]=0,0,tblCost[[#This Row],[CompletedRequirements]]/tblCost[[#This Row],[TargetRequirements]])</f>
        <v>0</v>
      </c>
    </row>
    <row r="3" spans="1:13">
      <c r="A3" s="41" t="s">
        <v>3660</v>
      </c>
      <c r="B3" s="41" t="str">
        <f>_xlfn.TEXTAFTER(_xlfn.TEXTBEFORE(tblCost[[#This Row],[RequirementID]],".",-2),"cost.")</f>
        <v>building.airship@1</v>
      </c>
      <c r="C3" s="41" t="str">
        <f>_xlfn.XLOOKUP(tblCost[[#This Row],[TargetID]],tblTargets[TargetID],tblTargets[DisplayName],"")</f>
        <v>Airship Lv 1</v>
      </c>
      <c r="D3" s="41" t="str">
        <f>_xlfn.XLOOKUP(tblCost[[#This Row],[TargetID]],tblTargets[TargetID],tblTargets[TargetType],"")</f>
        <v>BUILDING</v>
      </c>
      <c r="E3" s="41" t="s">
        <v>666</v>
      </c>
      <c r="F3" s="62" t="str">
        <f>RIGHT(tblCost[[#This Row],[RequirementID]],1)</f>
        <v>1</v>
      </c>
      <c r="G3" s="41">
        <v>2000</v>
      </c>
      <c r="H3" t="b">
        <f>COUNTIFS(tblCostChecklist[RequirementID],tblCost[[#This Row],[RequirementID]],tblCostChecklist[PlayerPaid],TRUE)&gt;0</f>
        <v>0</v>
      </c>
      <c r="I3" s="41">
        <f>COUNTIF(tblCost[TargetID],tblCost[[#This Row],[TargetID]])</f>
        <v>8</v>
      </c>
      <c r="J3" s="41">
        <f>COUNTIFS(tblCost[TargetID],tblCost[[#This Row],[TargetID]],tblCost[PlayerPaid],TRUE)</f>
        <v>0</v>
      </c>
      <c r="K3" s="41">
        <f>tblCost[[#This Row],[TargetRequirements]]-tblCost[[#This Row],[CompletedRequirements]]</f>
        <v>8</v>
      </c>
      <c r="L3" s="41" t="b">
        <f>tblCost[[#This Row],[RemainingRequirements]]=0</f>
        <v>0</v>
      </c>
      <c r="M3" s="43">
        <f>IF(tblCost[[#This Row],[TargetRequirements]]=0,0,tblCost[[#This Row],[CompletedRequirements]]/tblCost[[#This Row],[TargetRequirements]])</f>
        <v>0</v>
      </c>
    </row>
    <row r="4" spans="1:13">
      <c r="A4" s="41" t="s">
        <v>3661</v>
      </c>
      <c r="B4" s="41" t="str">
        <f>_xlfn.TEXTAFTER(_xlfn.TEXTBEFORE(tblCost[[#This Row],[RequirementID]],".",-2),"cost.")</f>
        <v>building.airship@1</v>
      </c>
      <c r="C4" s="41" t="str">
        <f>_xlfn.XLOOKUP(tblCost[[#This Row],[TargetID]],tblTargets[TargetID],tblTargets[DisplayName],"")</f>
        <v>Airship Lv 1</v>
      </c>
      <c r="D4" s="41" t="str">
        <f>_xlfn.XLOOKUP(tblCost[[#This Row],[TargetID]],tblTargets[TargetID],tblTargets[TargetType],"")</f>
        <v>BUILDING</v>
      </c>
      <c r="E4" s="41" t="s">
        <v>711</v>
      </c>
      <c r="F4" s="62" t="str">
        <f>RIGHT(tblCost[[#This Row],[RequirementID]],1)</f>
        <v>1</v>
      </c>
      <c r="G4" s="41">
        <v>120</v>
      </c>
      <c r="H4" t="b">
        <f>COUNTIFS(tblCostChecklist[RequirementID],tblCost[[#This Row],[RequirementID]],tblCostChecklist[PlayerPaid],TRUE)&gt;0</f>
        <v>0</v>
      </c>
      <c r="I4" s="41">
        <f>COUNTIF(tblCost[TargetID],tblCost[[#This Row],[TargetID]])</f>
        <v>8</v>
      </c>
      <c r="J4" s="41">
        <f>COUNTIFS(tblCost[TargetID],tblCost[[#This Row],[TargetID]],tblCost[PlayerPaid],TRUE)</f>
        <v>0</v>
      </c>
      <c r="K4" s="41">
        <f>tblCost[[#This Row],[TargetRequirements]]-tblCost[[#This Row],[CompletedRequirements]]</f>
        <v>8</v>
      </c>
      <c r="L4" s="41" t="b">
        <f>tblCost[[#This Row],[RemainingRequirements]]=0</f>
        <v>0</v>
      </c>
      <c r="M4" s="43">
        <f>IF(tblCost[[#This Row],[TargetRequirements]]=0,0,tblCost[[#This Row],[CompletedRequirements]]/tblCost[[#This Row],[TargetRequirements]])</f>
        <v>0</v>
      </c>
    </row>
    <row r="5" spans="1:13">
      <c r="A5" s="41" t="s">
        <v>3662</v>
      </c>
      <c r="B5" s="41" t="str">
        <f>_xlfn.TEXTAFTER(_xlfn.TEXTBEFORE(tblCost[[#This Row],[RequirementID]],".",-2),"cost.")</f>
        <v>building.airship@1</v>
      </c>
      <c r="C5" s="41" t="str">
        <f>_xlfn.XLOOKUP(tblCost[[#This Row],[TargetID]],tblTargets[TargetID],tblTargets[DisplayName],"")</f>
        <v>Airship Lv 1</v>
      </c>
      <c r="D5" s="41" t="str">
        <f>_xlfn.XLOOKUP(tblCost[[#This Row],[TargetID]],tblTargets[TargetID],tblTargets[TargetType],"")</f>
        <v>BUILDING</v>
      </c>
      <c r="E5" s="41" t="s">
        <v>719</v>
      </c>
      <c r="F5" s="62" t="str">
        <f>RIGHT(tblCost[[#This Row],[RequirementID]],1)</f>
        <v>1</v>
      </c>
      <c r="G5" s="41">
        <v>20</v>
      </c>
      <c r="H5" t="b">
        <f>COUNTIFS(tblCostChecklist[RequirementID],tblCost[[#This Row],[RequirementID]],tblCostChecklist[PlayerPaid],TRUE)&gt;0</f>
        <v>0</v>
      </c>
      <c r="I5" s="41">
        <f>COUNTIF(tblCost[TargetID],tblCost[[#This Row],[TargetID]])</f>
        <v>8</v>
      </c>
      <c r="J5" s="41">
        <f>COUNTIFS(tblCost[TargetID],tblCost[[#This Row],[TargetID]],tblCost[PlayerPaid],TRUE)</f>
        <v>0</v>
      </c>
      <c r="K5" s="41">
        <f>tblCost[[#This Row],[TargetRequirements]]-tblCost[[#This Row],[CompletedRequirements]]</f>
        <v>8</v>
      </c>
      <c r="L5" s="41" t="b">
        <f>tblCost[[#This Row],[RemainingRequirements]]=0</f>
        <v>0</v>
      </c>
      <c r="M5" s="43">
        <f>IF(tblCost[[#This Row],[TargetRequirements]]=0,0,tblCost[[#This Row],[CompletedRequirements]]/tblCost[[#This Row],[TargetRequirements]])</f>
        <v>0</v>
      </c>
    </row>
    <row r="6" spans="1:13">
      <c r="A6" s="41" t="s">
        <v>3663</v>
      </c>
      <c r="B6" s="41" t="str">
        <f>_xlfn.TEXTAFTER(_xlfn.TEXTBEFORE(tblCost[[#This Row],[RequirementID]],".",-2),"cost.")</f>
        <v>building.airship@1</v>
      </c>
      <c r="C6" s="41" t="str">
        <f>_xlfn.XLOOKUP(tblCost[[#This Row],[TargetID]],tblTargets[TargetID],tblTargets[DisplayName],"")</f>
        <v>Airship Lv 1</v>
      </c>
      <c r="D6" s="41" t="str">
        <f>_xlfn.XLOOKUP(tblCost[[#This Row],[TargetID]],tblTargets[TargetID],tblTargets[TargetType],"")</f>
        <v>BUILDING</v>
      </c>
      <c r="E6" s="41" t="s">
        <v>664</v>
      </c>
      <c r="F6" s="62" t="str">
        <f>RIGHT(tblCost[[#This Row],[RequirementID]],1)</f>
        <v>1</v>
      </c>
      <c r="G6" s="41">
        <v>200</v>
      </c>
      <c r="H6" t="b">
        <f>COUNTIFS(tblCostChecklist[RequirementID],tblCost[[#This Row],[RequirementID]],tblCostChecklist[PlayerPaid],TRUE)&gt;0</f>
        <v>0</v>
      </c>
      <c r="I6" s="41">
        <f>COUNTIF(tblCost[TargetID],tblCost[[#This Row],[TargetID]])</f>
        <v>8</v>
      </c>
      <c r="J6" s="41">
        <f>COUNTIFS(tblCost[TargetID],tblCost[[#This Row],[TargetID]],tblCost[PlayerPaid],TRUE)</f>
        <v>0</v>
      </c>
      <c r="K6" s="41">
        <f>tblCost[[#This Row],[TargetRequirements]]-tblCost[[#This Row],[CompletedRequirements]]</f>
        <v>8</v>
      </c>
      <c r="L6" s="41" t="b">
        <f>tblCost[[#This Row],[RemainingRequirements]]=0</f>
        <v>0</v>
      </c>
      <c r="M6" s="43">
        <f>IF(tblCost[[#This Row],[TargetRequirements]]=0,0,tblCost[[#This Row],[CompletedRequirements]]/tblCost[[#This Row],[TargetRequirements]])</f>
        <v>0</v>
      </c>
    </row>
    <row r="7" spans="1:13">
      <c r="A7" s="41" t="s">
        <v>3664</v>
      </c>
      <c r="B7" s="41" t="str">
        <f>_xlfn.TEXTAFTER(_xlfn.TEXTBEFORE(tblCost[[#This Row],[RequirementID]],".",-2),"cost.")</f>
        <v>building.airship@1</v>
      </c>
      <c r="C7" s="41" t="str">
        <f>_xlfn.XLOOKUP(tblCost[[#This Row],[TargetID]],tblTargets[TargetID],tblTargets[DisplayName],"")</f>
        <v>Airship Lv 1</v>
      </c>
      <c r="D7" s="41" t="str">
        <f>_xlfn.XLOOKUP(tblCost[[#This Row],[TargetID]],tblTargets[TargetID],tblTargets[TargetType],"")</f>
        <v>BUILDING</v>
      </c>
      <c r="E7" s="41" t="s">
        <v>705</v>
      </c>
      <c r="F7" s="62" t="str">
        <f>RIGHT(tblCost[[#This Row],[RequirementID]],1)</f>
        <v>1</v>
      </c>
      <c r="G7" s="41">
        <v>20</v>
      </c>
      <c r="H7" t="b">
        <f>COUNTIFS(tblCostChecklist[RequirementID],tblCost[[#This Row],[RequirementID]],tblCostChecklist[PlayerPaid],TRUE)&gt;0</f>
        <v>0</v>
      </c>
      <c r="I7" s="41">
        <f>COUNTIF(tblCost[TargetID],tblCost[[#This Row],[TargetID]])</f>
        <v>8</v>
      </c>
      <c r="J7" s="41">
        <f>COUNTIFS(tblCost[TargetID],tblCost[[#This Row],[TargetID]],tblCost[PlayerPaid],TRUE)</f>
        <v>0</v>
      </c>
      <c r="K7" s="41">
        <f>tblCost[[#This Row],[TargetRequirements]]-tblCost[[#This Row],[CompletedRequirements]]</f>
        <v>8</v>
      </c>
      <c r="L7" s="41" t="b">
        <f>tblCost[[#This Row],[RemainingRequirements]]=0</f>
        <v>0</v>
      </c>
      <c r="M7" s="43">
        <f>IF(tblCost[[#This Row],[TargetRequirements]]=0,0,tblCost[[#This Row],[CompletedRequirements]]/tblCost[[#This Row],[TargetRequirements]])</f>
        <v>0</v>
      </c>
    </row>
    <row r="8" spans="1:13">
      <c r="A8" s="41" t="s">
        <v>3665</v>
      </c>
      <c r="B8" s="41" t="str">
        <f>_xlfn.TEXTAFTER(_xlfn.TEXTBEFORE(tblCost[[#This Row],[RequirementID]],".",-2),"cost.")</f>
        <v>building.airship@1</v>
      </c>
      <c r="C8" s="41" t="str">
        <f>_xlfn.XLOOKUP(tblCost[[#This Row],[TargetID]],tblTargets[TargetID],tblTargets[DisplayName],"")</f>
        <v>Airship Lv 1</v>
      </c>
      <c r="D8" s="41" t="str">
        <f>_xlfn.XLOOKUP(tblCost[[#This Row],[TargetID]],tblTargets[TargetID],tblTargets[TargetType],"")</f>
        <v>BUILDING</v>
      </c>
      <c r="E8" s="41" t="s">
        <v>690</v>
      </c>
      <c r="F8" s="62" t="str">
        <f>RIGHT(tblCost[[#This Row],[RequirementID]],1)</f>
        <v>1</v>
      </c>
      <c r="G8" s="41">
        <v>50</v>
      </c>
      <c r="H8" t="b">
        <f>COUNTIFS(tblCostChecklist[RequirementID],tblCost[[#This Row],[RequirementID]],tblCostChecklist[PlayerPaid],TRUE)&gt;0</f>
        <v>0</v>
      </c>
      <c r="I8" s="41">
        <f>COUNTIF(tblCost[TargetID],tblCost[[#This Row],[TargetID]])</f>
        <v>8</v>
      </c>
      <c r="J8" s="41">
        <f>COUNTIFS(tblCost[TargetID],tblCost[[#This Row],[TargetID]],tblCost[PlayerPaid],TRUE)</f>
        <v>0</v>
      </c>
      <c r="K8" s="41">
        <f>tblCost[[#This Row],[TargetRequirements]]-tblCost[[#This Row],[CompletedRequirements]]</f>
        <v>8</v>
      </c>
      <c r="L8" s="41" t="b">
        <f>tblCost[[#This Row],[RemainingRequirements]]=0</f>
        <v>0</v>
      </c>
      <c r="M8" s="43">
        <f>IF(tblCost[[#This Row],[TargetRequirements]]=0,0,tblCost[[#This Row],[CompletedRequirements]]/tblCost[[#This Row],[TargetRequirements]])</f>
        <v>0</v>
      </c>
    </row>
    <row r="9" spans="1:13">
      <c r="A9" s="41" t="s">
        <v>3666</v>
      </c>
      <c r="B9" s="41" t="str">
        <f>_xlfn.TEXTAFTER(_xlfn.TEXTBEFORE(tblCost[[#This Row],[RequirementID]],".",-2),"cost.")</f>
        <v>building.airship@1</v>
      </c>
      <c r="C9" s="41" t="str">
        <f>_xlfn.XLOOKUP(tblCost[[#This Row],[TargetID]],tblTargets[TargetID],tblTargets[DisplayName],"")</f>
        <v>Airship Lv 1</v>
      </c>
      <c r="D9" s="41" t="str">
        <f>_xlfn.XLOOKUP(tblCost[[#This Row],[TargetID]],tblTargets[TargetID],tblTargets[TargetType],"")</f>
        <v>BUILDING</v>
      </c>
      <c r="E9" s="41" t="s">
        <v>696</v>
      </c>
      <c r="F9" s="62" t="str">
        <f>RIGHT(tblCost[[#This Row],[RequirementID]],1)</f>
        <v>1</v>
      </c>
      <c r="G9" s="41">
        <v>40</v>
      </c>
      <c r="H9" t="b">
        <f>COUNTIFS(tblCostChecklist[RequirementID],tblCost[[#This Row],[RequirementID]],tblCostChecklist[PlayerPaid],TRUE)&gt;0</f>
        <v>0</v>
      </c>
      <c r="I9" s="41">
        <f>COUNTIF(tblCost[TargetID],tblCost[[#This Row],[TargetID]])</f>
        <v>8</v>
      </c>
      <c r="J9" s="41">
        <f>COUNTIFS(tblCost[TargetID],tblCost[[#This Row],[TargetID]],tblCost[PlayerPaid],TRUE)</f>
        <v>0</v>
      </c>
      <c r="K9" s="41">
        <f>tblCost[[#This Row],[TargetRequirements]]-tblCost[[#This Row],[CompletedRequirements]]</f>
        <v>8</v>
      </c>
      <c r="L9" s="41" t="b">
        <f>tblCost[[#This Row],[RemainingRequirements]]=0</f>
        <v>0</v>
      </c>
      <c r="M9" s="43">
        <f>IF(tblCost[[#This Row],[TargetRequirements]]=0,0,tblCost[[#This Row],[CompletedRequirements]]/tblCost[[#This Row],[TargetRequirements]])</f>
        <v>0</v>
      </c>
    </row>
    <row r="10" spans="1:13">
      <c r="A10" s="41" t="s">
        <v>3667</v>
      </c>
      <c r="B10" s="41" t="str">
        <f>_xlfn.TEXTAFTER(_xlfn.TEXTBEFORE(tblCost[[#This Row],[RequirementID]],".",-2),"cost.")</f>
        <v>building.airship@2</v>
      </c>
      <c r="C10" s="41" t="str">
        <f>_xlfn.XLOOKUP(tblCost[[#This Row],[TargetID]],tblTargets[TargetID],tblTargets[DisplayName],"")</f>
        <v>Airship Lv 2</v>
      </c>
      <c r="D10" s="41" t="str">
        <f>_xlfn.XLOOKUP(tblCost[[#This Row],[TargetID]],tblTargets[TargetID],tblTargets[TargetType],"")</f>
        <v>BUILDING</v>
      </c>
      <c r="E10" s="41" t="s">
        <v>708</v>
      </c>
      <c r="F10" s="62" t="str">
        <f>RIGHT(tblCost[[#This Row],[RequirementID]],1)</f>
        <v>1</v>
      </c>
      <c r="G10" s="41">
        <v>12</v>
      </c>
      <c r="H10" t="b">
        <f>COUNTIFS(tblCostChecklist[RequirementID],tblCost[[#This Row],[RequirementID]],tblCostChecklist[PlayerPaid],TRUE)&gt;0</f>
        <v>0</v>
      </c>
      <c r="I10" s="41">
        <f>COUNTIF(tblCost[TargetID],tblCost[[#This Row],[TargetID]])</f>
        <v>7</v>
      </c>
      <c r="J10" s="41">
        <f>COUNTIFS(tblCost[TargetID],tblCost[[#This Row],[TargetID]],tblCost[PlayerPaid],TRUE)</f>
        <v>0</v>
      </c>
      <c r="K10" s="41">
        <f>tblCost[[#This Row],[TargetRequirements]]-tblCost[[#This Row],[CompletedRequirements]]</f>
        <v>7</v>
      </c>
      <c r="L10" s="41" t="b">
        <f>tblCost[[#This Row],[RemainingRequirements]]=0</f>
        <v>0</v>
      </c>
      <c r="M10" s="43">
        <f>IF(tblCost[[#This Row],[TargetRequirements]]=0,0,tblCost[[#This Row],[CompletedRequirements]]/tblCost[[#This Row],[TargetRequirements]])</f>
        <v>0</v>
      </c>
    </row>
    <row r="11" spans="1:13">
      <c r="A11" s="41" t="s">
        <v>3668</v>
      </c>
      <c r="B11" s="41" t="str">
        <f>_xlfn.TEXTAFTER(_xlfn.TEXTBEFORE(tblCost[[#This Row],[RequirementID]],".",-2),"cost.")</f>
        <v>building.airship@2</v>
      </c>
      <c r="C11" s="41" t="str">
        <f>_xlfn.XLOOKUP(tblCost[[#This Row],[TargetID]],tblTargets[TargetID],tblTargets[DisplayName],"")</f>
        <v>Airship Lv 2</v>
      </c>
      <c r="D11" s="41" t="str">
        <f>_xlfn.XLOOKUP(tblCost[[#This Row],[TargetID]],tblTargets[TargetID],tblTargets[TargetType],"")</f>
        <v>BUILDING</v>
      </c>
      <c r="E11" s="41" t="s">
        <v>666</v>
      </c>
      <c r="F11" s="62" t="str">
        <f>RIGHT(tblCost[[#This Row],[RequirementID]],1)</f>
        <v>1</v>
      </c>
      <c r="G11" s="41">
        <v>3000</v>
      </c>
      <c r="H11" t="b">
        <f>COUNTIFS(tblCostChecklist[RequirementID],tblCost[[#This Row],[RequirementID]],tblCostChecklist[PlayerPaid],TRUE)&gt;0</f>
        <v>0</v>
      </c>
      <c r="I11" s="41">
        <f>COUNTIF(tblCost[TargetID],tblCost[[#This Row],[TargetID]])</f>
        <v>7</v>
      </c>
      <c r="J11" s="41">
        <f>COUNTIFS(tblCost[TargetID],tblCost[[#This Row],[TargetID]],tblCost[PlayerPaid],TRUE)</f>
        <v>0</v>
      </c>
      <c r="K11" s="41">
        <f>tblCost[[#This Row],[TargetRequirements]]-tblCost[[#This Row],[CompletedRequirements]]</f>
        <v>7</v>
      </c>
      <c r="L11" s="41" t="b">
        <f>tblCost[[#This Row],[RemainingRequirements]]=0</f>
        <v>0</v>
      </c>
      <c r="M11" s="43">
        <f>IF(tblCost[[#This Row],[TargetRequirements]]=0,0,tblCost[[#This Row],[CompletedRequirements]]/tblCost[[#This Row],[TargetRequirements]])</f>
        <v>0</v>
      </c>
    </row>
    <row r="12" spans="1:13">
      <c r="A12" s="41" t="s">
        <v>3669</v>
      </c>
      <c r="B12" s="41" t="str">
        <f>_xlfn.TEXTAFTER(_xlfn.TEXTBEFORE(tblCost[[#This Row],[RequirementID]],".",-2),"cost.")</f>
        <v>building.airship@2</v>
      </c>
      <c r="C12" s="41" t="str">
        <f>_xlfn.XLOOKUP(tblCost[[#This Row],[TargetID]],tblTargets[TargetID],tblTargets[DisplayName],"")</f>
        <v>Airship Lv 2</v>
      </c>
      <c r="D12" s="41" t="str">
        <f>_xlfn.XLOOKUP(tblCost[[#This Row],[TargetID]],tblTargets[TargetID],tblTargets[TargetType],"")</f>
        <v>BUILDING</v>
      </c>
      <c r="E12" s="41" t="s">
        <v>701</v>
      </c>
      <c r="F12" s="62" t="str">
        <f>RIGHT(tblCost[[#This Row],[RequirementID]],1)</f>
        <v>1</v>
      </c>
      <c r="G12" s="41">
        <v>60</v>
      </c>
      <c r="H12" t="b">
        <f>COUNTIFS(tblCostChecklist[RequirementID],tblCost[[#This Row],[RequirementID]],tblCostChecklist[PlayerPaid],TRUE)&gt;0</f>
        <v>0</v>
      </c>
      <c r="I12" s="41">
        <f>COUNTIF(tblCost[TargetID],tblCost[[#This Row],[TargetID]])</f>
        <v>7</v>
      </c>
      <c r="J12" s="41">
        <f>COUNTIFS(tblCost[TargetID],tblCost[[#This Row],[TargetID]],tblCost[PlayerPaid],TRUE)</f>
        <v>0</v>
      </c>
      <c r="K12" s="41">
        <f>tblCost[[#This Row],[TargetRequirements]]-tblCost[[#This Row],[CompletedRequirements]]</f>
        <v>7</v>
      </c>
      <c r="L12" s="41" t="b">
        <f>tblCost[[#This Row],[RemainingRequirements]]=0</f>
        <v>0</v>
      </c>
      <c r="M12" s="43">
        <f>IF(tblCost[[#This Row],[TargetRequirements]]=0,0,tblCost[[#This Row],[CompletedRequirements]]/tblCost[[#This Row],[TargetRequirements]])</f>
        <v>0</v>
      </c>
    </row>
    <row r="13" spans="1:13">
      <c r="A13" s="41" t="s">
        <v>3670</v>
      </c>
      <c r="B13" s="41" t="str">
        <f>_xlfn.TEXTAFTER(_xlfn.TEXTBEFORE(tblCost[[#This Row],[RequirementID]],".",-2),"cost.")</f>
        <v>building.airship@2</v>
      </c>
      <c r="C13" s="41" t="str">
        <f>_xlfn.XLOOKUP(tblCost[[#This Row],[TargetID]],tblTargets[TargetID],tblTargets[DisplayName],"")</f>
        <v>Airship Lv 2</v>
      </c>
      <c r="D13" s="41" t="str">
        <f>_xlfn.XLOOKUP(tblCost[[#This Row],[TargetID]],tblTargets[TargetID],tblTargets[TargetType],"")</f>
        <v>BUILDING</v>
      </c>
      <c r="E13" s="41" t="s">
        <v>711</v>
      </c>
      <c r="F13" s="62" t="str">
        <f>RIGHT(tblCost[[#This Row],[RequirementID]],1)</f>
        <v>1</v>
      </c>
      <c r="G13" s="41">
        <v>100</v>
      </c>
      <c r="H13" t="b">
        <f>COUNTIFS(tblCostChecklist[RequirementID],tblCost[[#This Row],[RequirementID]],tblCostChecklist[PlayerPaid],TRUE)&gt;0</f>
        <v>0</v>
      </c>
      <c r="I13" s="41">
        <f>COUNTIF(tblCost[TargetID],tblCost[[#This Row],[TargetID]])</f>
        <v>7</v>
      </c>
      <c r="J13" s="41">
        <f>COUNTIFS(tblCost[TargetID],tblCost[[#This Row],[TargetID]],tblCost[PlayerPaid],TRUE)</f>
        <v>0</v>
      </c>
      <c r="K13" s="41">
        <f>tblCost[[#This Row],[TargetRequirements]]-tblCost[[#This Row],[CompletedRequirements]]</f>
        <v>7</v>
      </c>
      <c r="L13" s="41" t="b">
        <f>tblCost[[#This Row],[RemainingRequirements]]=0</f>
        <v>0</v>
      </c>
      <c r="M13" s="43">
        <f>IF(tblCost[[#This Row],[TargetRequirements]]=0,0,tblCost[[#This Row],[CompletedRequirements]]/tblCost[[#This Row],[TargetRequirements]])</f>
        <v>0</v>
      </c>
    </row>
    <row r="14" spans="1:13">
      <c r="A14" s="41" t="s">
        <v>3671</v>
      </c>
      <c r="B14" s="41" t="str">
        <f>_xlfn.TEXTAFTER(_xlfn.TEXTBEFORE(tblCost[[#This Row],[RequirementID]],".",-2),"cost.")</f>
        <v>building.airship@2</v>
      </c>
      <c r="C14" s="41" t="str">
        <f>_xlfn.XLOOKUP(tblCost[[#This Row],[TargetID]],tblTargets[TargetID],tblTargets[DisplayName],"")</f>
        <v>Airship Lv 2</v>
      </c>
      <c r="D14" s="41" t="str">
        <f>_xlfn.XLOOKUP(tblCost[[#This Row],[TargetID]],tblTargets[TargetID],tblTargets[TargetType],"")</f>
        <v>BUILDING</v>
      </c>
      <c r="E14" s="41" t="s">
        <v>673</v>
      </c>
      <c r="F14" s="62" t="str">
        <f>RIGHT(tblCost[[#This Row],[RequirementID]],1)</f>
        <v>1</v>
      </c>
      <c r="G14" s="41">
        <v>20</v>
      </c>
      <c r="H14" t="b">
        <f>COUNTIFS(tblCostChecklist[RequirementID],tblCost[[#This Row],[RequirementID]],tblCostChecklist[PlayerPaid],TRUE)&gt;0</f>
        <v>0</v>
      </c>
      <c r="I14" s="41">
        <f>COUNTIF(tblCost[TargetID],tblCost[[#This Row],[TargetID]])</f>
        <v>7</v>
      </c>
      <c r="J14" s="41">
        <f>COUNTIFS(tblCost[TargetID],tblCost[[#This Row],[TargetID]],tblCost[PlayerPaid],TRUE)</f>
        <v>0</v>
      </c>
      <c r="K14" s="41">
        <f>tblCost[[#This Row],[TargetRequirements]]-tblCost[[#This Row],[CompletedRequirements]]</f>
        <v>7</v>
      </c>
      <c r="L14" s="41" t="b">
        <f>tblCost[[#This Row],[RemainingRequirements]]=0</f>
        <v>0</v>
      </c>
      <c r="M14" s="43">
        <f>IF(tblCost[[#This Row],[TargetRequirements]]=0,0,tblCost[[#This Row],[CompletedRequirements]]/tblCost[[#This Row],[TargetRequirements]])</f>
        <v>0</v>
      </c>
    </row>
    <row r="15" spans="1:13">
      <c r="A15" s="41" t="s">
        <v>3672</v>
      </c>
      <c r="B15" s="41" t="str">
        <f>_xlfn.TEXTAFTER(_xlfn.TEXTBEFORE(tblCost[[#This Row],[RequirementID]],".",-2),"cost.")</f>
        <v>building.airship@2</v>
      </c>
      <c r="C15" s="41" t="str">
        <f>_xlfn.XLOOKUP(tblCost[[#This Row],[TargetID]],tblTargets[TargetID],tblTargets[DisplayName],"")</f>
        <v>Airship Lv 2</v>
      </c>
      <c r="D15" s="41" t="str">
        <f>_xlfn.XLOOKUP(tblCost[[#This Row],[TargetID]],tblTargets[TargetID],tblTargets[TargetType],"")</f>
        <v>BUILDING</v>
      </c>
      <c r="E15" s="41" t="s">
        <v>671</v>
      </c>
      <c r="F15" s="62" t="str">
        <f>RIGHT(tblCost[[#This Row],[RequirementID]],1)</f>
        <v>1</v>
      </c>
      <c r="G15" s="41">
        <v>50</v>
      </c>
      <c r="H15" t="b">
        <f>COUNTIFS(tblCostChecklist[RequirementID],tblCost[[#This Row],[RequirementID]],tblCostChecklist[PlayerPaid],TRUE)&gt;0</f>
        <v>0</v>
      </c>
      <c r="I15" s="41">
        <f>COUNTIF(tblCost[TargetID],tblCost[[#This Row],[TargetID]])</f>
        <v>7</v>
      </c>
      <c r="J15" s="41">
        <f>COUNTIFS(tblCost[TargetID],tblCost[[#This Row],[TargetID]],tblCost[PlayerPaid],TRUE)</f>
        <v>0</v>
      </c>
      <c r="K15" s="41">
        <f>tblCost[[#This Row],[TargetRequirements]]-tblCost[[#This Row],[CompletedRequirements]]</f>
        <v>7</v>
      </c>
      <c r="L15" s="41" t="b">
        <f>tblCost[[#This Row],[RemainingRequirements]]=0</f>
        <v>0</v>
      </c>
      <c r="M15" s="43">
        <f>IF(tblCost[[#This Row],[TargetRequirements]]=0,0,tblCost[[#This Row],[CompletedRequirements]]/tblCost[[#This Row],[TargetRequirements]])</f>
        <v>0</v>
      </c>
    </row>
    <row r="16" spans="1:13">
      <c r="A16" s="41" t="s">
        <v>3673</v>
      </c>
      <c r="B16" s="41" t="str">
        <f>_xlfn.TEXTAFTER(_xlfn.TEXTBEFORE(tblCost[[#This Row],[RequirementID]],".",-2),"cost.")</f>
        <v>building.airship@2</v>
      </c>
      <c r="C16" s="41" t="str">
        <f>_xlfn.XLOOKUP(tblCost[[#This Row],[TargetID]],tblTargets[TargetID],tblTargets[DisplayName],"")</f>
        <v>Airship Lv 2</v>
      </c>
      <c r="D16" s="41" t="str">
        <f>_xlfn.XLOOKUP(tblCost[[#This Row],[TargetID]],tblTargets[TargetID],tblTargets[TargetType],"")</f>
        <v>BUILDING</v>
      </c>
      <c r="E16" s="41" t="s">
        <v>719</v>
      </c>
      <c r="F16" s="62" t="str">
        <f>RIGHT(tblCost[[#This Row],[RequirementID]],1)</f>
        <v>1</v>
      </c>
      <c r="G16" s="41">
        <v>10</v>
      </c>
      <c r="H16" t="b">
        <f>COUNTIFS(tblCostChecklist[RequirementID],tblCost[[#This Row],[RequirementID]],tblCostChecklist[PlayerPaid],TRUE)&gt;0</f>
        <v>0</v>
      </c>
      <c r="I16" s="41">
        <f>COUNTIF(tblCost[TargetID],tblCost[[#This Row],[TargetID]])</f>
        <v>7</v>
      </c>
      <c r="J16" s="41">
        <f>COUNTIFS(tblCost[TargetID],tblCost[[#This Row],[TargetID]],tblCost[PlayerPaid],TRUE)</f>
        <v>0</v>
      </c>
      <c r="K16" s="41">
        <f>tblCost[[#This Row],[TargetRequirements]]-tblCost[[#This Row],[CompletedRequirements]]</f>
        <v>7</v>
      </c>
      <c r="L16" s="41" t="b">
        <f>tblCost[[#This Row],[RemainingRequirements]]=0</f>
        <v>0</v>
      </c>
      <c r="M16" s="43">
        <f>IF(tblCost[[#This Row],[TargetRequirements]]=0,0,tblCost[[#This Row],[CompletedRequirements]]/tblCost[[#This Row],[TargetRequirements]])</f>
        <v>0</v>
      </c>
    </row>
    <row r="17" spans="1:13">
      <c r="A17" s="41" t="s">
        <v>3674</v>
      </c>
      <c r="B17" s="41" t="str">
        <f>_xlfn.TEXTAFTER(_xlfn.TEXTBEFORE(tblCost[[#This Row],[RequirementID]],".",-2),"cost.")</f>
        <v>building.alchemists_hut@1</v>
      </c>
      <c r="C17" s="41" t="str">
        <f>_xlfn.XLOOKUP(tblCost[[#This Row],[TargetID]],tblTargets[TargetID],tblTargets[DisplayName],"")</f>
        <v>Alchemist's Hut Lv 1</v>
      </c>
      <c r="D17" s="41" t="str">
        <f>_xlfn.XLOOKUP(tblCost[[#This Row],[TargetID]],tblTargets[TargetID],tblTargets[TargetType],"")</f>
        <v>BUILDING</v>
      </c>
      <c r="E17" s="41" t="s">
        <v>708</v>
      </c>
      <c r="F17" s="62" t="str">
        <f>RIGHT(tblCost[[#This Row],[RequirementID]],1)</f>
        <v>1</v>
      </c>
      <c r="G17" s="41">
        <v>1</v>
      </c>
      <c r="H17" t="b">
        <f>COUNTIFS(tblCostChecklist[RequirementID],tblCost[[#This Row],[RequirementID]],tblCostChecklist[PlayerPaid],TRUE)&gt;0</f>
        <v>0</v>
      </c>
      <c r="I17" s="41">
        <f>COUNTIF(tblCost[TargetID],tblCost[[#This Row],[TargetID]])</f>
        <v>4</v>
      </c>
      <c r="J17" s="41">
        <f>COUNTIFS(tblCost[TargetID],tblCost[[#This Row],[TargetID]],tblCost[PlayerPaid],TRUE)</f>
        <v>0</v>
      </c>
      <c r="K17" s="41">
        <f>tblCost[[#This Row],[TargetRequirements]]-tblCost[[#This Row],[CompletedRequirements]]</f>
        <v>4</v>
      </c>
      <c r="L17" s="41" t="b">
        <f>tblCost[[#This Row],[RemainingRequirements]]=0</f>
        <v>0</v>
      </c>
      <c r="M17" s="43">
        <f>IF(tblCost[[#This Row],[TargetRequirements]]=0,0,tblCost[[#This Row],[CompletedRequirements]]/tblCost[[#This Row],[TargetRequirements]])</f>
        <v>0</v>
      </c>
    </row>
    <row r="18" spans="1:13">
      <c r="A18" s="41" t="s">
        <v>3675</v>
      </c>
      <c r="B18" s="41" t="str">
        <f>_xlfn.TEXTAFTER(_xlfn.TEXTBEFORE(tblCost[[#This Row],[RequirementID]],".",-2),"cost.")</f>
        <v>building.alchemists_hut@1</v>
      </c>
      <c r="C18" s="41" t="str">
        <f>_xlfn.XLOOKUP(tblCost[[#This Row],[TargetID]],tblTargets[TargetID],tblTargets[DisplayName],"")</f>
        <v>Alchemist's Hut Lv 1</v>
      </c>
      <c r="D18" s="41" t="str">
        <f>_xlfn.XLOOKUP(tblCost[[#This Row],[TargetID]],tblTargets[TargetID],tblTargets[TargetType],"")</f>
        <v>BUILDING</v>
      </c>
      <c r="E18" s="41" t="s">
        <v>666</v>
      </c>
      <c r="F18" s="62" t="str">
        <f>RIGHT(tblCost[[#This Row],[RequirementID]],1)</f>
        <v>1</v>
      </c>
      <c r="G18" s="41">
        <v>140</v>
      </c>
      <c r="H18" t="b">
        <f>COUNTIFS(tblCostChecklist[RequirementID],tblCost[[#This Row],[RequirementID]],tblCostChecklist[PlayerPaid],TRUE)&gt;0</f>
        <v>0</v>
      </c>
      <c r="I18" s="41">
        <f>COUNTIF(tblCost[TargetID],tblCost[[#This Row],[TargetID]])</f>
        <v>4</v>
      </c>
      <c r="J18" s="41">
        <f>COUNTIFS(tblCost[TargetID],tblCost[[#This Row],[TargetID]],tblCost[PlayerPaid],TRUE)</f>
        <v>0</v>
      </c>
      <c r="K18" s="41">
        <f>tblCost[[#This Row],[TargetRequirements]]-tblCost[[#This Row],[CompletedRequirements]]</f>
        <v>4</v>
      </c>
      <c r="L18" s="41" t="b">
        <f>tblCost[[#This Row],[RemainingRequirements]]=0</f>
        <v>0</v>
      </c>
      <c r="M18" s="43">
        <f>IF(tblCost[[#This Row],[TargetRequirements]]=0,0,tblCost[[#This Row],[CompletedRequirements]]/tblCost[[#This Row],[TargetRequirements]])</f>
        <v>0</v>
      </c>
    </row>
    <row r="19" spans="1:13">
      <c r="A19" s="41" t="s">
        <v>3676</v>
      </c>
      <c r="B19" s="41" t="str">
        <f>_xlfn.TEXTAFTER(_xlfn.TEXTBEFORE(tblCost[[#This Row],[RequirementID]],".",-2),"cost.")</f>
        <v>building.alchemists_hut@1</v>
      </c>
      <c r="C19" s="41" t="str">
        <f>_xlfn.XLOOKUP(tblCost[[#This Row],[TargetID]],tblTargets[TargetID],tblTargets[DisplayName],"")</f>
        <v>Alchemist's Hut Lv 1</v>
      </c>
      <c r="D19" s="41" t="str">
        <f>_xlfn.XLOOKUP(tblCost[[#This Row],[TargetID]],tblTargets[TargetID],tblTargets[TargetType],"")</f>
        <v>BUILDING</v>
      </c>
      <c r="E19" s="41" t="s">
        <v>723</v>
      </c>
      <c r="F19" s="62" t="str">
        <f>RIGHT(tblCost[[#This Row],[RequirementID]],1)</f>
        <v>1</v>
      </c>
      <c r="G19" s="41">
        <v>70</v>
      </c>
      <c r="H19" t="b">
        <f>COUNTIFS(tblCostChecklist[RequirementID],tblCost[[#This Row],[RequirementID]],tblCostChecklist[PlayerPaid],TRUE)&gt;0</f>
        <v>0</v>
      </c>
      <c r="I19" s="41">
        <f>COUNTIF(tblCost[TargetID],tblCost[[#This Row],[TargetID]])</f>
        <v>4</v>
      </c>
      <c r="J19" s="41">
        <f>COUNTIFS(tblCost[TargetID],tblCost[[#This Row],[TargetID]],tblCost[PlayerPaid],TRUE)</f>
        <v>0</v>
      </c>
      <c r="K19" s="41">
        <f>tblCost[[#This Row],[TargetRequirements]]-tblCost[[#This Row],[CompletedRequirements]]</f>
        <v>4</v>
      </c>
      <c r="L19" s="41" t="b">
        <f>tblCost[[#This Row],[RemainingRequirements]]=0</f>
        <v>0</v>
      </c>
      <c r="M19" s="43">
        <f>IF(tblCost[[#This Row],[TargetRequirements]]=0,0,tblCost[[#This Row],[CompletedRequirements]]/tblCost[[#This Row],[TargetRequirements]])</f>
        <v>0</v>
      </c>
    </row>
    <row r="20" spans="1:13">
      <c r="A20" s="41" t="s">
        <v>3677</v>
      </c>
      <c r="B20" s="41" t="str">
        <f>_xlfn.TEXTAFTER(_xlfn.TEXTBEFORE(tblCost[[#This Row],[RequirementID]],".",-2),"cost.")</f>
        <v>building.alchemists_hut@1</v>
      </c>
      <c r="C20" s="41" t="str">
        <f>_xlfn.XLOOKUP(tblCost[[#This Row],[TargetID]],tblTargets[TargetID],tblTargets[DisplayName],"")</f>
        <v>Alchemist's Hut Lv 1</v>
      </c>
      <c r="D20" s="41" t="str">
        <f>_xlfn.XLOOKUP(tblCost[[#This Row],[TargetID]],tblTargets[TargetID],tblTargets[TargetType],"")</f>
        <v>BUILDING</v>
      </c>
      <c r="E20" s="41" t="s">
        <v>717</v>
      </c>
      <c r="F20" s="62" t="str">
        <f>RIGHT(tblCost[[#This Row],[RequirementID]],1)</f>
        <v>1</v>
      </c>
      <c r="G20" s="41">
        <v>70</v>
      </c>
      <c r="H20" t="b">
        <f>COUNTIFS(tblCostChecklist[RequirementID],tblCost[[#This Row],[RequirementID]],tblCostChecklist[PlayerPaid],TRUE)&gt;0</f>
        <v>0</v>
      </c>
      <c r="I20" s="41">
        <f>COUNTIF(tblCost[TargetID],tblCost[[#This Row],[TargetID]])</f>
        <v>4</v>
      </c>
      <c r="J20" s="41">
        <f>COUNTIFS(tblCost[TargetID],tblCost[[#This Row],[TargetID]],tblCost[PlayerPaid],TRUE)</f>
        <v>0</v>
      </c>
      <c r="K20" s="41">
        <f>tblCost[[#This Row],[TargetRequirements]]-tblCost[[#This Row],[CompletedRequirements]]</f>
        <v>4</v>
      </c>
      <c r="L20" s="41" t="b">
        <f>tblCost[[#This Row],[RemainingRequirements]]=0</f>
        <v>0</v>
      </c>
      <c r="M20" s="43">
        <f>IF(tblCost[[#This Row],[TargetRequirements]]=0,0,tblCost[[#This Row],[CompletedRequirements]]/tblCost[[#This Row],[TargetRequirements]])</f>
        <v>0</v>
      </c>
    </row>
    <row r="21" spans="1:13">
      <c r="A21" s="41" t="s">
        <v>3678</v>
      </c>
      <c r="B21" s="41" t="str">
        <f>_xlfn.TEXTAFTER(_xlfn.TEXTBEFORE(tblCost[[#This Row],[RequirementID]],".",-2),"cost.")</f>
        <v>building.alchemists_hut@2</v>
      </c>
      <c r="C21" s="41" t="str">
        <f>_xlfn.XLOOKUP(tblCost[[#This Row],[TargetID]],tblTargets[TargetID],tblTargets[DisplayName],"")</f>
        <v>Alchemist's Hut Lv 2</v>
      </c>
      <c r="D21" s="41" t="str">
        <f>_xlfn.XLOOKUP(tblCost[[#This Row],[TargetID]],tblTargets[TargetID],tblTargets[TargetType],"")</f>
        <v>BUILDING</v>
      </c>
      <c r="E21" s="41" t="s">
        <v>708</v>
      </c>
      <c r="F21" s="62" t="str">
        <f>RIGHT(tblCost[[#This Row],[RequirementID]],1)</f>
        <v>1</v>
      </c>
      <c r="G21" s="41">
        <v>2</v>
      </c>
      <c r="H21" t="b">
        <f>COUNTIFS(tblCostChecklist[RequirementID],tblCost[[#This Row],[RequirementID]],tblCostChecklist[PlayerPaid],TRUE)&gt;0</f>
        <v>0</v>
      </c>
      <c r="I21" s="41">
        <f>COUNTIF(tblCost[TargetID],tblCost[[#This Row],[TargetID]])</f>
        <v>5</v>
      </c>
      <c r="J21" s="41">
        <f>COUNTIFS(tblCost[TargetID],tblCost[[#This Row],[TargetID]],tblCost[PlayerPaid],TRUE)</f>
        <v>0</v>
      </c>
      <c r="K21" s="41">
        <f>tblCost[[#This Row],[TargetRequirements]]-tblCost[[#This Row],[CompletedRequirements]]</f>
        <v>5</v>
      </c>
      <c r="L21" s="41" t="b">
        <f>tblCost[[#This Row],[RemainingRequirements]]=0</f>
        <v>0</v>
      </c>
      <c r="M21" s="43">
        <f>IF(tblCost[[#This Row],[TargetRequirements]]=0,0,tblCost[[#This Row],[CompletedRequirements]]/tblCost[[#This Row],[TargetRequirements]])</f>
        <v>0</v>
      </c>
    </row>
    <row r="22" spans="1:13">
      <c r="A22" s="41" t="s">
        <v>3679</v>
      </c>
      <c r="B22" s="41" t="str">
        <f>_xlfn.TEXTAFTER(_xlfn.TEXTBEFORE(tblCost[[#This Row],[RequirementID]],".",-2),"cost.")</f>
        <v>building.alchemists_hut@2</v>
      </c>
      <c r="C22" s="41" t="str">
        <f>_xlfn.XLOOKUP(tblCost[[#This Row],[TargetID]],tblTargets[TargetID],tblTargets[DisplayName],"")</f>
        <v>Alchemist's Hut Lv 2</v>
      </c>
      <c r="D22" s="41" t="str">
        <f>_xlfn.XLOOKUP(tblCost[[#This Row],[TargetID]],tblTargets[TargetID],tblTargets[TargetType],"")</f>
        <v>BUILDING</v>
      </c>
      <c r="E22" s="41" t="s">
        <v>666</v>
      </c>
      <c r="F22" s="62" t="str">
        <f>RIGHT(tblCost[[#This Row],[RequirementID]],1)</f>
        <v>1</v>
      </c>
      <c r="G22" s="41">
        <v>200</v>
      </c>
      <c r="H22" t="b">
        <f>COUNTIFS(tblCostChecklist[RequirementID],tblCost[[#This Row],[RequirementID]],tblCostChecklist[PlayerPaid],TRUE)&gt;0</f>
        <v>0</v>
      </c>
      <c r="I22" s="41">
        <f>COUNTIF(tblCost[TargetID],tblCost[[#This Row],[TargetID]])</f>
        <v>5</v>
      </c>
      <c r="J22" s="41">
        <f>COUNTIFS(tblCost[TargetID],tblCost[[#This Row],[TargetID]],tblCost[PlayerPaid],TRUE)</f>
        <v>0</v>
      </c>
      <c r="K22" s="41">
        <f>tblCost[[#This Row],[TargetRequirements]]-tblCost[[#This Row],[CompletedRequirements]]</f>
        <v>5</v>
      </c>
      <c r="L22" s="41" t="b">
        <f>tblCost[[#This Row],[RemainingRequirements]]=0</f>
        <v>0</v>
      </c>
      <c r="M22" s="43">
        <f>IF(tblCost[[#This Row],[TargetRequirements]]=0,0,tblCost[[#This Row],[CompletedRequirements]]/tblCost[[#This Row],[TargetRequirements]])</f>
        <v>0</v>
      </c>
    </row>
    <row r="23" spans="1:13">
      <c r="A23" s="41" t="s">
        <v>3680</v>
      </c>
      <c r="B23" s="41" t="str">
        <f>_xlfn.TEXTAFTER(_xlfn.TEXTBEFORE(tblCost[[#This Row],[RequirementID]],".",-2),"cost.")</f>
        <v>building.alchemists_hut@2</v>
      </c>
      <c r="C23" s="41" t="str">
        <f>_xlfn.XLOOKUP(tblCost[[#This Row],[TargetID]],tblTargets[TargetID],tblTargets[DisplayName],"")</f>
        <v>Alchemist's Hut Lv 2</v>
      </c>
      <c r="D23" s="41" t="str">
        <f>_xlfn.XLOOKUP(tblCost[[#This Row],[TargetID]],tblTargets[TargetID],tblTargets[TargetType],"")</f>
        <v>BUILDING</v>
      </c>
      <c r="E23" s="41" t="s">
        <v>723</v>
      </c>
      <c r="F23" s="62" t="str">
        <f>RIGHT(tblCost[[#This Row],[RequirementID]],1)</f>
        <v>1</v>
      </c>
      <c r="G23" s="41">
        <v>100</v>
      </c>
      <c r="H23" t="b">
        <f>COUNTIFS(tblCostChecklist[RequirementID],tblCost[[#This Row],[RequirementID]],tblCostChecklist[PlayerPaid],TRUE)&gt;0</f>
        <v>0</v>
      </c>
      <c r="I23" s="41">
        <f>COUNTIF(tblCost[TargetID],tblCost[[#This Row],[TargetID]])</f>
        <v>5</v>
      </c>
      <c r="J23" s="41">
        <f>COUNTIFS(tblCost[TargetID],tblCost[[#This Row],[TargetID]],tblCost[PlayerPaid],TRUE)</f>
        <v>0</v>
      </c>
      <c r="K23" s="41">
        <f>tblCost[[#This Row],[TargetRequirements]]-tblCost[[#This Row],[CompletedRequirements]]</f>
        <v>5</v>
      </c>
      <c r="L23" s="41" t="b">
        <f>tblCost[[#This Row],[RemainingRequirements]]=0</f>
        <v>0</v>
      </c>
      <c r="M23" s="43">
        <f>IF(tblCost[[#This Row],[TargetRequirements]]=0,0,tblCost[[#This Row],[CompletedRequirements]]/tblCost[[#This Row],[TargetRequirements]])</f>
        <v>0</v>
      </c>
    </row>
    <row r="24" spans="1:13">
      <c r="A24" s="41" t="s">
        <v>3681</v>
      </c>
      <c r="B24" s="41" t="str">
        <f>_xlfn.TEXTAFTER(_xlfn.TEXTBEFORE(tblCost[[#This Row],[RequirementID]],".",-2),"cost.")</f>
        <v>building.alchemists_hut@2</v>
      </c>
      <c r="C24" s="41" t="str">
        <f>_xlfn.XLOOKUP(tblCost[[#This Row],[TargetID]],tblTargets[TargetID],tblTargets[DisplayName],"")</f>
        <v>Alchemist's Hut Lv 2</v>
      </c>
      <c r="D24" s="41" t="str">
        <f>_xlfn.XLOOKUP(tblCost[[#This Row],[TargetID]],tblTargets[TargetID],tblTargets[TargetType],"")</f>
        <v>BUILDING</v>
      </c>
      <c r="E24" s="41" t="s">
        <v>717</v>
      </c>
      <c r="F24" s="62" t="str">
        <f>RIGHT(tblCost[[#This Row],[RequirementID]],1)</f>
        <v>1</v>
      </c>
      <c r="G24" s="41">
        <v>100</v>
      </c>
      <c r="H24" t="b">
        <f>COUNTIFS(tblCostChecklist[RequirementID],tblCost[[#This Row],[RequirementID]],tblCostChecklist[PlayerPaid],TRUE)&gt;0</f>
        <v>0</v>
      </c>
      <c r="I24" s="41">
        <f>COUNTIF(tblCost[TargetID],tblCost[[#This Row],[TargetID]])</f>
        <v>5</v>
      </c>
      <c r="J24" s="41">
        <f>COUNTIFS(tblCost[TargetID],tblCost[[#This Row],[TargetID]],tblCost[PlayerPaid],TRUE)</f>
        <v>0</v>
      </c>
      <c r="K24" s="41">
        <f>tblCost[[#This Row],[TargetRequirements]]-tblCost[[#This Row],[CompletedRequirements]]</f>
        <v>5</v>
      </c>
      <c r="L24" s="41" t="b">
        <f>tblCost[[#This Row],[RemainingRequirements]]=0</f>
        <v>0</v>
      </c>
      <c r="M24" s="43">
        <f>IF(tblCost[[#This Row],[TargetRequirements]]=0,0,tblCost[[#This Row],[CompletedRequirements]]/tblCost[[#This Row],[TargetRequirements]])</f>
        <v>0</v>
      </c>
    </row>
    <row r="25" spans="1:13">
      <c r="A25" s="41" t="s">
        <v>3682</v>
      </c>
      <c r="B25" s="41" t="str">
        <f>_xlfn.TEXTAFTER(_xlfn.TEXTBEFORE(tblCost[[#This Row],[RequirementID]],".",-2),"cost.")</f>
        <v>building.alchemists_hut@2</v>
      </c>
      <c r="C25" s="41" t="str">
        <f>_xlfn.XLOOKUP(tblCost[[#This Row],[TargetID]],tblTargets[TargetID],tblTargets[DisplayName],"")</f>
        <v>Alchemist's Hut Lv 2</v>
      </c>
      <c r="D25" s="41" t="str">
        <f>_xlfn.XLOOKUP(tblCost[[#This Row],[TargetID]],tblTargets[TargetID],tblTargets[TargetType],"")</f>
        <v>BUILDING</v>
      </c>
      <c r="E25" s="41" t="s">
        <v>664</v>
      </c>
      <c r="F25" s="62" t="str">
        <f>RIGHT(tblCost[[#This Row],[RequirementID]],1)</f>
        <v>1</v>
      </c>
      <c r="G25" s="41">
        <v>20</v>
      </c>
      <c r="H25" t="b">
        <f>COUNTIFS(tblCostChecklist[RequirementID],tblCost[[#This Row],[RequirementID]],tblCostChecklist[PlayerPaid],TRUE)&gt;0</f>
        <v>0</v>
      </c>
      <c r="I25" s="41">
        <f>COUNTIF(tblCost[TargetID],tblCost[[#This Row],[TargetID]])</f>
        <v>5</v>
      </c>
      <c r="J25" s="41">
        <f>COUNTIFS(tblCost[TargetID],tblCost[[#This Row],[TargetID]],tblCost[PlayerPaid],TRUE)</f>
        <v>0</v>
      </c>
      <c r="K25" s="41">
        <f>tblCost[[#This Row],[TargetRequirements]]-tblCost[[#This Row],[CompletedRequirements]]</f>
        <v>5</v>
      </c>
      <c r="L25" s="41" t="b">
        <f>tblCost[[#This Row],[RemainingRequirements]]=0</f>
        <v>0</v>
      </c>
      <c r="M25" s="43">
        <f>IF(tblCost[[#This Row],[TargetRequirements]]=0,0,tblCost[[#This Row],[CompletedRequirements]]/tblCost[[#This Row],[TargetRequirements]])</f>
        <v>0</v>
      </c>
    </row>
    <row r="26" spans="1:13">
      <c r="A26" s="41" t="s">
        <v>3683</v>
      </c>
      <c r="B26" s="41" t="str">
        <f>_xlfn.TEXTAFTER(_xlfn.TEXTBEFORE(tblCost[[#This Row],[RequirementID]],".",-2),"cost.")</f>
        <v>building.alchemists_hut@3</v>
      </c>
      <c r="C26" s="41" t="str">
        <f>_xlfn.XLOOKUP(tblCost[[#This Row],[TargetID]],tblTargets[TargetID],tblTargets[DisplayName],"")</f>
        <v>Alchemist's Hut Lv 3</v>
      </c>
      <c r="D26" s="41" t="str">
        <f>_xlfn.XLOOKUP(tblCost[[#This Row],[TargetID]],tblTargets[TargetID],tblTargets[TargetType],"")</f>
        <v>BUILDING</v>
      </c>
      <c r="E26" s="41" t="s">
        <v>708</v>
      </c>
      <c r="F26" s="62" t="str">
        <f>RIGHT(tblCost[[#This Row],[RequirementID]],1)</f>
        <v>1</v>
      </c>
      <c r="G26" s="41">
        <v>3</v>
      </c>
      <c r="H26" t="b">
        <f>COUNTIFS(tblCostChecklist[RequirementID],tblCost[[#This Row],[RequirementID]],tblCostChecklist[PlayerPaid],TRUE)&gt;0</f>
        <v>0</v>
      </c>
      <c r="I26" s="41">
        <f>COUNTIF(tblCost[TargetID],tblCost[[#This Row],[TargetID]])</f>
        <v>6</v>
      </c>
      <c r="J26" s="41">
        <f>COUNTIFS(tblCost[TargetID],tblCost[[#This Row],[TargetID]],tblCost[PlayerPaid],TRUE)</f>
        <v>0</v>
      </c>
      <c r="K26" s="41">
        <f>tblCost[[#This Row],[TargetRequirements]]-tblCost[[#This Row],[CompletedRequirements]]</f>
        <v>6</v>
      </c>
      <c r="L26" s="41" t="b">
        <f>tblCost[[#This Row],[RemainingRequirements]]=0</f>
        <v>0</v>
      </c>
      <c r="M26" s="43">
        <f>IF(tblCost[[#This Row],[TargetRequirements]]=0,0,tblCost[[#This Row],[CompletedRequirements]]/tblCost[[#This Row],[TargetRequirements]])</f>
        <v>0</v>
      </c>
    </row>
    <row r="27" spans="1:13">
      <c r="A27" s="41" t="s">
        <v>3684</v>
      </c>
      <c r="B27" s="41" t="str">
        <f>_xlfn.TEXTAFTER(_xlfn.TEXTBEFORE(tblCost[[#This Row],[RequirementID]],".",-2),"cost.")</f>
        <v>building.alchemists_hut@3</v>
      </c>
      <c r="C27" s="41" t="str">
        <f>_xlfn.XLOOKUP(tblCost[[#This Row],[TargetID]],tblTargets[TargetID],tblTargets[DisplayName],"")</f>
        <v>Alchemist's Hut Lv 3</v>
      </c>
      <c r="D27" s="41" t="str">
        <f>_xlfn.XLOOKUP(tblCost[[#This Row],[TargetID]],tblTargets[TargetID],tblTargets[TargetType],"")</f>
        <v>BUILDING</v>
      </c>
      <c r="E27" s="41" t="s">
        <v>666</v>
      </c>
      <c r="F27" s="62" t="str">
        <f>RIGHT(tblCost[[#This Row],[RequirementID]],1)</f>
        <v>1</v>
      </c>
      <c r="G27" s="41">
        <v>300</v>
      </c>
      <c r="H27" t="b">
        <f>COUNTIFS(tblCostChecklist[RequirementID],tblCost[[#This Row],[RequirementID]],tblCostChecklist[PlayerPaid],TRUE)&gt;0</f>
        <v>0</v>
      </c>
      <c r="I27" s="41">
        <f>COUNTIF(tblCost[TargetID],tblCost[[#This Row],[TargetID]])</f>
        <v>6</v>
      </c>
      <c r="J27" s="41">
        <f>COUNTIFS(tblCost[TargetID],tblCost[[#This Row],[TargetID]],tblCost[PlayerPaid],TRUE)</f>
        <v>0</v>
      </c>
      <c r="K27" s="41">
        <f>tblCost[[#This Row],[TargetRequirements]]-tblCost[[#This Row],[CompletedRequirements]]</f>
        <v>6</v>
      </c>
      <c r="L27" s="41" t="b">
        <f>tblCost[[#This Row],[RemainingRequirements]]=0</f>
        <v>0</v>
      </c>
      <c r="M27" s="43">
        <f>IF(tblCost[[#This Row],[TargetRequirements]]=0,0,tblCost[[#This Row],[CompletedRequirements]]/tblCost[[#This Row],[TargetRequirements]])</f>
        <v>0</v>
      </c>
    </row>
    <row r="28" spans="1:13">
      <c r="A28" s="41" t="s">
        <v>3685</v>
      </c>
      <c r="B28" s="41" t="str">
        <f>_xlfn.TEXTAFTER(_xlfn.TEXTBEFORE(tblCost[[#This Row],[RequirementID]],".",-2),"cost.")</f>
        <v>building.alchemists_hut@3</v>
      </c>
      <c r="C28" s="41" t="str">
        <f>_xlfn.XLOOKUP(tblCost[[#This Row],[TargetID]],tblTargets[TargetID],tblTargets[DisplayName],"")</f>
        <v>Alchemist's Hut Lv 3</v>
      </c>
      <c r="D28" s="41" t="str">
        <f>_xlfn.XLOOKUP(tblCost[[#This Row],[TargetID]],tblTargets[TargetID],tblTargets[TargetType],"")</f>
        <v>BUILDING</v>
      </c>
      <c r="E28" s="41" t="s">
        <v>658</v>
      </c>
      <c r="F28" s="62" t="str">
        <f>RIGHT(tblCost[[#This Row],[RequirementID]],1)</f>
        <v>1</v>
      </c>
      <c r="G28" s="41">
        <v>300</v>
      </c>
      <c r="H28" t="b">
        <f>COUNTIFS(tblCostChecklist[RequirementID],tblCost[[#This Row],[RequirementID]],tblCostChecklist[PlayerPaid],TRUE)&gt;0</f>
        <v>0</v>
      </c>
      <c r="I28" s="41">
        <f>COUNTIF(tblCost[TargetID],tblCost[[#This Row],[TargetID]])</f>
        <v>6</v>
      </c>
      <c r="J28" s="41">
        <f>COUNTIFS(tblCost[TargetID],tblCost[[#This Row],[TargetID]],tblCost[PlayerPaid],TRUE)</f>
        <v>0</v>
      </c>
      <c r="K28" s="41">
        <f>tblCost[[#This Row],[TargetRequirements]]-tblCost[[#This Row],[CompletedRequirements]]</f>
        <v>6</v>
      </c>
      <c r="L28" s="41" t="b">
        <f>tblCost[[#This Row],[RemainingRequirements]]=0</f>
        <v>0</v>
      </c>
      <c r="M28" s="43">
        <f>IF(tblCost[[#This Row],[TargetRequirements]]=0,0,tblCost[[#This Row],[CompletedRequirements]]/tblCost[[#This Row],[TargetRequirements]])</f>
        <v>0</v>
      </c>
    </row>
    <row r="29" spans="1:13">
      <c r="A29" s="41" t="s">
        <v>3686</v>
      </c>
      <c r="B29" s="41" t="str">
        <f>_xlfn.TEXTAFTER(_xlfn.TEXTBEFORE(tblCost[[#This Row],[RequirementID]],".",-2),"cost.")</f>
        <v>building.alchemists_hut@3</v>
      </c>
      <c r="C29" s="41" t="str">
        <f>_xlfn.XLOOKUP(tblCost[[#This Row],[TargetID]],tblTargets[TargetID],tblTargets[DisplayName],"")</f>
        <v>Alchemist's Hut Lv 3</v>
      </c>
      <c r="D29" s="41" t="str">
        <f>_xlfn.XLOOKUP(tblCost[[#This Row],[TargetID]],tblTargets[TargetID],tblTargets[TargetType],"")</f>
        <v>BUILDING</v>
      </c>
      <c r="E29" s="41" t="s">
        <v>717</v>
      </c>
      <c r="F29" s="62" t="str">
        <f>RIGHT(tblCost[[#This Row],[RequirementID]],1)</f>
        <v>1</v>
      </c>
      <c r="G29" s="41">
        <v>150</v>
      </c>
      <c r="H29" t="b">
        <f>COUNTIFS(tblCostChecklist[RequirementID],tblCost[[#This Row],[RequirementID]],tblCostChecklist[PlayerPaid],TRUE)&gt;0</f>
        <v>0</v>
      </c>
      <c r="I29" s="41">
        <f>COUNTIF(tblCost[TargetID],tblCost[[#This Row],[TargetID]])</f>
        <v>6</v>
      </c>
      <c r="J29" s="41">
        <f>COUNTIFS(tblCost[TargetID],tblCost[[#This Row],[TargetID]],tblCost[PlayerPaid],TRUE)</f>
        <v>0</v>
      </c>
      <c r="K29" s="41">
        <f>tblCost[[#This Row],[TargetRequirements]]-tblCost[[#This Row],[CompletedRequirements]]</f>
        <v>6</v>
      </c>
      <c r="L29" s="41" t="b">
        <f>tblCost[[#This Row],[RemainingRequirements]]=0</f>
        <v>0</v>
      </c>
      <c r="M29" s="43">
        <f>IF(tblCost[[#This Row],[TargetRequirements]]=0,0,tblCost[[#This Row],[CompletedRequirements]]/tblCost[[#This Row],[TargetRequirements]])</f>
        <v>0</v>
      </c>
    </row>
    <row r="30" spans="1:13">
      <c r="A30" s="41" t="s">
        <v>3687</v>
      </c>
      <c r="B30" s="41" t="str">
        <f>_xlfn.TEXTAFTER(_xlfn.TEXTBEFORE(tblCost[[#This Row],[RequirementID]],".",-2),"cost.")</f>
        <v>building.alchemists_hut@3</v>
      </c>
      <c r="C30" s="41" t="str">
        <f>_xlfn.XLOOKUP(tblCost[[#This Row],[TargetID]],tblTargets[TargetID],tblTargets[DisplayName],"")</f>
        <v>Alchemist's Hut Lv 3</v>
      </c>
      <c r="D30" s="41" t="str">
        <f>_xlfn.XLOOKUP(tblCost[[#This Row],[TargetID]],tblTargets[TargetID],tblTargets[TargetType],"")</f>
        <v>BUILDING</v>
      </c>
      <c r="E30" s="41" t="s">
        <v>664</v>
      </c>
      <c r="F30" s="62" t="str">
        <f>RIGHT(tblCost[[#This Row],[RequirementID]],1)</f>
        <v>1</v>
      </c>
      <c r="G30" s="41">
        <v>40</v>
      </c>
      <c r="H30" t="b">
        <f>COUNTIFS(tblCostChecklist[RequirementID],tblCost[[#This Row],[RequirementID]],tblCostChecklist[PlayerPaid],TRUE)&gt;0</f>
        <v>0</v>
      </c>
      <c r="I30" s="41">
        <f>COUNTIF(tblCost[TargetID],tblCost[[#This Row],[TargetID]])</f>
        <v>6</v>
      </c>
      <c r="J30" s="41">
        <f>COUNTIFS(tblCost[TargetID],tblCost[[#This Row],[TargetID]],tblCost[PlayerPaid],TRUE)</f>
        <v>0</v>
      </c>
      <c r="K30" s="41">
        <f>tblCost[[#This Row],[TargetRequirements]]-tblCost[[#This Row],[CompletedRequirements]]</f>
        <v>6</v>
      </c>
      <c r="L30" s="41" t="b">
        <f>tblCost[[#This Row],[RemainingRequirements]]=0</f>
        <v>0</v>
      </c>
      <c r="M30" s="43">
        <f>IF(tblCost[[#This Row],[TargetRequirements]]=0,0,tblCost[[#This Row],[CompletedRequirements]]/tblCost[[#This Row],[TargetRequirements]])</f>
        <v>0</v>
      </c>
    </row>
    <row r="31" spans="1:13">
      <c r="A31" s="41" t="s">
        <v>3688</v>
      </c>
      <c r="B31" s="41" t="str">
        <f>_xlfn.TEXTAFTER(_xlfn.TEXTBEFORE(tblCost[[#This Row],[RequirementID]],".",-2),"cost.")</f>
        <v>building.alchemists_hut@3</v>
      </c>
      <c r="C31" s="41" t="str">
        <f>_xlfn.XLOOKUP(tblCost[[#This Row],[TargetID]],tblTargets[TargetID],tblTargets[DisplayName],"")</f>
        <v>Alchemist's Hut Lv 3</v>
      </c>
      <c r="D31" s="41" t="str">
        <f>_xlfn.XLOOKUP(tblCost[[#This Row],[TargetID]],tblTargets[TargetID],tblTargets[TargetType],"")</f>
        <v>BUILDING</v>
      </c>
      <c r="E31" s="41" t="s">
        <v>663</v>
      </c>
      <c r="F31" s="62" t="str">
        <f>RIGHT(tblCost[[#This Row],[RequirementID]],1)</f>
        <v>1</v>
      </c>
      <c r="G31" s="41">
        <v>40</v>
      </c>
      <c r="H31" t="b">
        <f>COUNTIFS(tblCostChecklist[RequirementID],tblCost[[#This Row],[RequirementID]],tblCostChecklist[PlayerPaid],TRUE)&gt;0</f>
        <v>0</v>
      </c>
      <c r="I31" s="41">
        <f>COUNTIF(tblCost[TargetID],tblCost[[#This Row],[TargetID]])</f>
        <v>6</v>
      </c>
      <c r="J31" s="41">
        <f>COUNTIFS(tblCost[TargetID],tblCost[[#This Row],[TargetID]],tblCost[PlayerPaid],TRUE)</f>
        <v>0</v>
      </c>
      <c r="K31" s="41">
        <f>tblCost[[#This Row],[TargetRequirements]]-tblCost[[#This Row],[CompletedRequirements]]</f>
        <v>6</v>
      </c>
      <c r="L31" s="41" t="b">
        <f>tblCost[[#This Row],[RemainingRequirements]]=0</f>
        <v>0</v>
      </c>
      <c r="M31" s="43">
        <f>IF(tblCost[[#This Row],[TargetRequirements]]=0,0,tblCost[[#This Row],[CompletedRequirements]]/tblCost[[#This Row],[TargetRequirements]])</f>
        <v>0</v>
      </c>
    </row>
    <row r="32" spans="1:13">
      <c r="A32" s="41" t="s">
        <v>3689</v>
      </c>
      <c r="B32" s="41" t="str">
        <f>_xlfn.TEXTAFTER(_xlfn.TEXTBEFORE(tblCost[[#This Row],[RequirementID]],".",-2),"cost.")</f>
        <v>building.alchemists_hut@4</v>
      </c>
      <c r="C32" s="41" t="str">
        <f>_xlfn.XLOOKUP(tblCost[[#This Row],[TargetID]],tblTargets[TargetID],tblTargets[DisplayName],"")</f>
        <v>Alchemist's Hut Lv 4</v>
      </c>
      <c r="D32" s="41" t="str">
        <f>_xlfn.XLOOKUP(tblCost[[#This Row],[TargetID]],tblTargets[TargetID],tblTargets[TargetType],"")</f>
        <v>BUILDING</v>
      </c>
      <c r="E32" s="41" t="s">
        <v>708</v>
      </c>
      <c r="F32" s="62" t="str">
        <f>RIGHT(tblCost[[#This Row],[RequirementID]],1)</f>
        <v>1</v>
      </c>
      <c r="G32" s="41">
        <v>4</v>
      </c>
      <c r="H32" t="b">
        <f>COUNTIFS(tblCostChecklist[RequirementID],tblCost[[#This Row],[RequirementID]],tblCostChecklist[PlayerPaid],TRUE)&gt;0</f>
        <v>0</v>
      </c>
      <c r="I32" s="41">
        <f>COUNTIF(tblCost[TargetID],tblCost[[#This Row],[TargetID]])</f>
        <v>5</v>
      </c>
      <c r="J32" s="41">
        <f>COUNTIFS(tblCost[TargetID],tblCost[[#This Row],[TargetID]],tblCost[PlayerPaid],TRUE)</f>
        <v>0</v>
      </c>
      <c r="K32" s="41">
        <f>tblCost[[#This Row],[TargetRequirements]]-tblCost[[#This Row],[CompletedRequirements]]</f>
        <v>5</v>
      </c>
      <c r="L32" s="41" t="b">
        <f>tblCost[[#This Row],[RemainingRequirements]]=0</f>
        <v>0</v>
      </c>
      <c r="M32" s="43">
        <f>IF(tblCost[[#This Row],[TargetRequirements]]=0,0,tblCost[[#This Row],[CompletedRequirements]]/tblCost[[#This Row],[TargetRequirements]])</f>
        <v>0</v>
      </c>
    </row>
    <row r="33" spans="1:13">
      <c r="A33" s="41" t="s">
        <v>3690</v>
      </c>
      <c r="B33" s="41" t="str">
        <f>_xlfn.TEXTAFTER(_xlfn.TEXTBEFORE(tblCost[[#This Row],[RequirementID]],".",-2),"cost.")</f>
        <v>building.alchemists_hut@4</v>
      </c>
      <c r="C33" s="41" t="str">
        <f>_xlfn.XLOOKUP(tblCost[[#This Row],[TargetID]],tblTargets[TargetID],tblTargets[DisplayName],"")</f>
        <v>Alchemist's Hut Lv 4</v>
      </c>
      <c r="D33" s="41" t="str">
        <f>_xlfn.XLOOKUP(tblCost[[#This Row],[TargetID]],tblTargets[TargetID],tblTargets[TargetType],"")</f>
        <v>BUILDING</v>
      </c>
      <c r="E33" s="41" t="s">
        <v>666</v>
      </c>
      <c r="F33" s="62" t="str">
        <f>RIGHT(tblCost[[#This Row],[RequirementID]],1)</f>
        <v>1</v>
      </c>
      <c r="G33" s="41">
        <v>400</v>
      </c>
      <c r="H33" t="b">
        <f>COUNTIFS(tblCostChecklist[RequirementID],tblCost[[#This Row],[RequirementID]],tblCostChecklist[PlayerPaid],TRUE)&gt;0</f>
        <v>0</v>
      </c>
      <c r="I33" s="41">
        <f>COUNTIF(tblCost[TargetID],tblCost[[#This Row],[TargetID]])</f>
        <v>5</v>
      </c>
      <c r="J33" s="41">
        <f>COUNTIFS(tblCost[TargetID],tblCost[[#This Row],[TargetID]],tblCost[PlayerPaid],TRUE)</f>
        <v>0</v>
      </c>
      <c r="K33" s="41">
        <f>tblCost[[#This Row],[TargetRequirements]]-tblCost[[#This Row],[CompletedRequirements]]</f>
        <v>5</v>
      </c>
      <c r="L33" s="41" t="b">
        <f>tblCost[[#This Row],[RemainingRequirements]]=0</f>
        <v>0</v>
      </c>
      <c r="M33" s="43">
        <f>IF(tblCost[[#This Row],[TargetRequirements]]=0,0,tblCost[[#This Row],[CompletedRequirements]]/tblCost[[#This Row],[TargetRequirements]])</f>
        <v>0</v>
      </c>
    </row>
    <row r="34" spans="1:13">
      <c r="A34" s="41" t="s">
        <v>3691</v>
      </c>
      <c r="B34" s="41" t="str">
        <f>_xlfn.TEXTAFTER(_xlfn.TEXTBEFORE(tblCost[[#This Row],[RequirementID]],".",-2),"cost.")</f>
        <v>building.alchemists_hut@4</v>
      </c>
      <c r="C34" s="41" t="str">
        <f>_xlfn.XLOOKUP(tblCost[[#This Row],[TargetID]],tblTargets[TargetID],tblTargets[DisplayName],"")</f>
        <v>Alchemist's Hut Lv 4</v>
      </c>
      <c r="D34" s="41" t="str">
        <f>_xlfn.XLOOKUP(tblCost[[#This Row],[TargetID]],tblTargets[TargetID],tblTargets[TargetType],"")</f>
        <v>BUILDING</v>
      </c>
      <c r="E34" s="41" t="s">
        <v>658</v>
      </c>
      <c r="F34" s="62" t="str">
        <f>RIGHT(tblCost[[#This Row],[RequirementID]],1)</f>
        <v>1</v>
      </c>
      <c r="G34" s="41">
        <v>400</v>
      </c>
      <c r="H34" t="b">
        <f>COUNTIFS(tblCostChecklist[RequirementID],tblCost[[#This Row],[RequirementID]],tblCostChecklist[PlayerPaid],TRUE)&gt;0</f>
        <v>0</v>
      </c>
      <c r="I34" s="41">
        <f>COUNTIF(tblCost[TargetID],tblCost[[#This Row],[TargetID]])</f>
        <v>5</v>
      </c>
      <c r="J34" s="41">
        <f>COUNTIFS(tblCost[TargetID],tblCost[[#This Row],[TargetID]],tblCost[PlayerPaid],TRUE)</f>
        <v>0</v>
      </c>
      <c r="K34" s="41">
        <f>tblCost[[#This Row],[TargetRequirements]]-tblCost[[#This Row],[CompletedRequirements]]</f>
        <v>5</v>
      </c>
      <c r="L34" s="41" t="b">
        <f>tblCost[[#This Row],[RemainingRequirements]]=0</f>
        <v>0</v>
      </c>
      <c r="M34" s="43">
        <f>IF(tblCost[[#This Row],[TargetRequirements]]=0,0,tblCost[[#This Row],[CompletedRequirements]]/tblCost[[#This Row],[TargetRequirements]])</f>
        <v>0</v>
      </c>
    </row>
    <row r="35" spans="1:13">
      <c r="A35" s="41" t="s">
        <v>3692</v>
      </c>
      <c r="B35" s="41" t="str">
        <f>_xlfn.TEXTAFTER(_xlfn.TEXTBEFORE(tblCost[[#This Row],[RequirementID]],".",-2),"cost.")</f>
        <v>building.alchemists_hut@4</v>
      </c>
      <c r="C35" s="41" t="str">
        <f>_xlfn.XLOOKUP(tblCost[[#This Row],[TargetID]],tblTargets[TargetID],tblTargets[DisplayName],"")</f>
        <v>Alchemist's Hut Lv 4</v>
      </c>
      <c r="D35" s="41" t="str">
        <f>_xlfn.XLOOKUP(tblCost[[#This Row],[TargetID]],tblTargets[TargetID],tblTargets[TargetType],"")</f>
        <v>BUILDING</v>
      </c>
      <c r="E35" s="41" t="s">
        <v>717</v>
      </c>
      <c r="F35" s="62" t="str">
        <f>RIGHT(tblCost[[#This Row],[RequirementID]],1)</f>
        <v>1</v>
      </c>
      <c r="G35" s="41">
        <v>200</v>
      </c>
      <c r="H35" t="b">
        <f>COUNTIFS(tblCostChecklist[RequirementID],tblCost[[#This Row],[RequirementID]],tblCostChecklist[PlayerPaid],TRUE)&gt;0</f>
        <v>0</v>
      </c>
      <c r="I35" s="41">
        <f>COUNTIF(tblCost[TargetID],tblCost[[#This Row],[TargetID]])</f>
        <v>5</v>
      </c>
      <c r="J35" s="41">
        <f>COUNTIFS(tblCost[TargetID],tblCost[[#This Row],[TargetID]],tblCost[PlayerPaid],TRUE)</f>
        <v>0</v>
      </c>
      <c r="K35" s="41">
        <f>tblCost[[#This Row],[TargetRequirements]]-tblCost[[#This Row],[CompletedRequirements]]</f>
        <v>5</v>
      </c>
      <c r="L35" s="41" t="b">
        <f>tblCost[[#This Row],[RemainingRequirements]]=0</f>
        <v>0</v>
      </c>
      <c r="M35" s="43">
        <f>IF(tblCost[[#This Row],[TargetRequirements]]=0,0,tblCost[[#This Row],[CompletedRequirements]]/tblCost[[#This Row],[TargetRequirements]])</f>
        <v>0</v>
      </c>
    </row>
    <row r="36" spans="1:13">
      <c r="A36" s="41" t="s">
        <v>3693</v>
      </c>
      <c r="B36" s="41" t="str">
        <f>_xlfn.TEXTAFTER(_xlfn.TEXTBEFORE(tblCost[[#This Row],[RequirementID]],".",-2),"cost.")</f>
        <v>building.alchemists_hut@4</v>
      </c>
      <c r="C36" s="41" t="str">
        <f>_xlfn.XLOOKUP(tblCost[[#This Row],[TargetID]],tblTargets[TargetID],tblTargets[DisplayName],"")</f>
        <v>Alchemist's Hut Lv 4</v>
      </c>
      <c r="D36" s="41" t="str">
        <f>_xlfn.XLOOKUP(tblCost[[#This Row],[TargetID]],tblTargets[TargetID],tblTargets[TargetType],"")</f>
        <v>BUILDING</v>
      </c>
      <c r="E36" s="41" t="s">
        <v>678</v>
      </c>
      <c r="F36" s="62" t="str">
        <f>RIGHT(tblCost[[#This Row],[RequirementID]],1)</f>
        <v>1</v>
      </c>
      <c r="G36" s="41">
        <v>40</v>
      </c>
      <c r="H36" t="b">
        <f>COUNTIFS(tblCostChecklist[RequirementID],tblCost[[#This Row],[RequirementID]],tblCostChecklist[PlayerPaid],TRUE)&gt;0</f>
        <v>0</v>
      </c>
      <c r="I36" s="41">
        <f>COUNTIF(tblCost[TargetID],tblCost[[#This Row],[TargetID]])</f>
        <v>5</v>
      </c>
      <c r="J36" s="41">
        <f>COUNTIFS(tblCost[TargetID],tblCost[[#This Row],[TargetID]],tblCost[PlayerPaid],TRUE)</f>
        <v>0</v>
      </c>
      <c r="K36" s="41">
        <f>tblCost[[#This Row],[TargetRequirements]]-tblCost[[#This Row],[CompletedRequirements]]</f>
        <v>5</v>
      </c>
      <c r="L36" s="41" t="b">
        <f>tblCost[[#This Row],[RemainingRequirements]]=0</f>
        <v>0</v>
      </c>
      <c r="M36" s="43">
        <f>IF(tblCost[[#This Row],[TargetRequirements]]=0,0,tblCost[[#This Row],[CompletedRequirements]]/tblCost[[#This Row],[TargetRequirements]])</f>
        <v>0</v>
      </c>
    </row>
    <row r="37" spans="1:13">
      <c r="A37" s="41" t="s">
        <v>3694</v>
      </c>
      <c r="B37" s="41" t="str">
        <f>_xlfn.TEXTAFTER(_xlfn.TEXTBEFORE(tblCost[[#This Row],[RequirementID]],".",-2),"cost.")</f>
        <v>building.alchemists_hut@5</v>
      </c>
      <c r="C37" s="41" t="str">
        <f>_xlfn.XLOOKUP(tblCost[[#This Row],[TargetID]],tblTargets[TargetID],tblTargets[DisplayName],"")</f>
        <v>Alchemist's Hut Lv 5</v>
      </c>
      <c r="D37" s="41" t="str">
        <f>_xlfn.XLOOKUP(tblCost[[#This Row],[TargetID]],tblTargets[TargetID],tblTargets[TargetType],"")</f>
        <v>BUILDING</v>
      </c>
      <c r="E37" s="41" t="s">
        <v>708</v>
      </c>
      <c r="F37" s="62" t="str">
        <f>RIGHT(tblCost[[#This Row],[RequirementID]],1)</f>
        <v>1</v>
      </c>
      <c r="G37" s="41">
        <v>5</v>
      </c>
      <c r="H37" t="b">
        <f>COUNTIFS(tblCostChecklist[RequirementID],tblCost[[#This Row],[RequirementID]],tblCostChecklist[PlayerPaid],TRUE)&gt;0</f>
        <v>0</v>
      </c>
      <c r="I37" s="41">
        <f>COUNTIF(tblCost[TargetID],tblCost[[#This Row],[TargetID]])</f>
        <v>5</v>
      </c>
      <c r="J37" s="41">
        <f>COUNTIFS(tblCost[TargetID],tblCost[[#This Row],[TargetID]],tblCost[PlayerPaid],TRUE)</f>
        <v>0</v>
      </c>
      <c r="K37" s="41">
        <f>tblCost[[#This Row],[TargetRequirements]]-tblCost[[#This Row],[CompletedRequirements]]</f>
        <v>5</v>
      </c>
      <c r="L37" s="41" t="b">
        <f>tblCost[[#This Row],[RemainingRequirements]]=0</f>
        <v>0</v>
      </c>
      <c r="M37" s="43">
        <f>IF(tblCost[[#This Row],[TargetRequirements]]=0,0,tblCost[[#This Row],[CompletedRequirements]]/tblCost[[#This Row],[TargetRequirements]])</f>
        <v>0</v>
      </c>
    </row>
    <row r="38" spans="1:13">
      <c r="A38" s="41" t="s">
        <v>3695</v>
      </c>
      <c r="B38" s="41" t="str">
        <f>_xlfn.TEXTAFTER(_xlfn.TEXTBEFORE(tblCost[[#This Row],[RequirementID]],".",-2),"cost.")</f>
        <v>building.alchemists_hut@5</v>
      </c>
      <c r="C38" s="41" t="str">
        <f>_xlfn.XLOOKUP(tblCost[[#This Row],[TargetID]],tblTargets[TargetID],tblTargets[DisplayName],"")</f>
        <v>Alchemist's Hut Lv 5</v>
      </c>
      <c r="D38" s="41" t="str">
        <f>_xlfn.XLOOKUP(tblCost[[#This Row],[TargetID]],tblTargets[TargetID],tblTargets[TargetType],"")</f>
        <v>BUILDING</v>
      </c>
      <c r="E38" s="41" t="s">
        <v>666</v>
      </c>
      <c r="F38" s="62" t="str">
        <f>RIGHT(tblCost[[#This Row],[RequirementID]],1)</f>
        <v>1</v>
      </c>
      <c r="G38" s="41">
        <v>500</v>
      </c>
      <c r="H38" t="b">
        <f>COUNTIFS(tblCostChecklist[RequirementID],tblCost[[#This Row],[RequirementID]],tblCostChecklist[PlayerPaid],TRUE)&gt;0</f>
        <v>0</v>
      </c>
      <c r="I38" s="41">
        <f>COUNTIF(tblCost[TargetID],tblCost[[#This Row],[TargetID]])</f>
        <v>5</v>
      </c>
      <c r="J38" s="41">
        <f>COUNTIFS(tblCost[TargetID],tblCost[[#This Row],[TargetID]],tblCost[PlayerPaid],TRUE)</f>
        <v>0</v>
      </c>
      <c r="K38" s="41">
        <f>tblCost[[#This Row],[TargetRequirements]]-tblCost[[#This Row],[CompletedRequirements]]</f>
        <v>5</v>
      </c>
      <c r="L38" s="41" t="b">
        <f>tblCost[[#This Row],[RemainingRequirements]]=0</f>
        <v>0</v>
      </c>
      <c r="M38" s="43">
        <f>IF(tblCost[[#This Row],[TargetRequirements]]=0,0,tblCost[[#This Row],[CompletedRequirements]]/tblCost[[#This Row],[TargetRequirements]])</f>
        <v>0</v>
      </c>
    </row>
    <row r="39" spans="1:13">
      <c r="A39" s="41" t="s">
        <v>3696</v>
      </c>
      <c r="B39" s="41" t="str">
        <f>_xlfn.TEXTAFTER(_xlfn.TEXTBEFORE(tblCost[[#This Row],[RequirementID]],".",-2),"cost.")</f>
        <v>building.alchemists_hut@5</v>
      </c>
      <c r="C39" s="41" t="str">
        <f>_xlfn.XLOOKUP(tblCost[[#This Row],[TargetID]],tblTargets[TargetID],tblTargets[DisplayName],"")</f>
        <v>Alchemist's Hut Lv 5</v>
      </c>
      <c r="D39" s="41" t="str">
        <f>_xlfn.XLOOKUP(tblCost[[#This Row],[TargetID]],tblTargets[TargetID],tblTargets[TargetType],"")</f>
        <v>BUILDING</v>
      </c>
      <c r="E39" s="41" t="s">
        <v>658</v>
      </c>
      <c r="F39" s="62" t="str">
        <f>RIGHT(tblCost[[#This Row],[RequirementID]],1)</f>
        <v>1</v>
      </c>
      <c r="G39" s="41">
        <v>440</v>
      </c>
      <c r="H39" t="b">
        <f>COUNTIFS(tblCostChecklist[RequirementID],tblCost[[#This Row],[RequirementID]],tblCostChecklist[PlayerPaid],TRUE)&gt;0</f>
        <v>0</v>
      </c>
      <c r="I39" s="41">
        <f>COUNTIF(tblCost[TargetID],tblCost[[#This Row],[TargetID]])</f>
        <v>5</v>
      </c>
      <c r="J39" s="41">
        <f>COUNTIFS(tblCost[TargetID],tblCost[[#This Row],[TargetID]],tblCost[PlayerPaid],TRUE)</f>
        <v>0</v>
      </c>
      <c r="K39" s="41">
        <f>tblCost[[#This Row],[TargetRequirements]]-tblCost[[#This Row],[CompletedRequirements]]</f>
        <v>5</v>
      </c>
      <c r="L39" s="41" t="b">
        <f>tblCost[[#This Row],[RemainingRequirements]]=0</f>
        <v>0</v>
      </c>
      <c r="M39" s="43">
        <f>IF(tblCost[[#This Row],[TargetRequirements]]=0,0,tblCost[[#This Row],[CompletedRequirements]]/tblCost[[#This Row],[TargetRequirements]])</f>
        <v>0</v>
      </c>
    </row>
    <row r="40" spans="1:13">
      <c r="A40" s="41" t="s">
        <v>3697</v>
      </c>
      <c r="B40" s="41" t="str">
        <f>_xlfn.TEXTAFTER(_xlfn.TEXTBEFORE(tblCost[[#This Row],[RequirementID]],".",-2),"cost.")</f>
        <v>building.alchemists_hut@5</v>
      </c>
      <c r="C40" s="41" t="str">
        <f>_xlfn.XLOOKUP(tblCost[[#This Row],[TargetID]],tblTargets[TargetID],tblTargets[DisplayName],"")</f>
        <v>Alchemist's Hut Lv 5</v>
      </c>
      <c r="D40" s="41" t="str">
        <f>_xlfn.XLOOKUP(tblCost[[#This Row],[TargetID]],tblTargets[TargetID],tblTargets[TargetType],"")</f>
        <v>BUILDING</v>
      </c>
      <c r="E40" s="41" t="s">
        <v>717</v>
      </c>
      <c r="F40" s="62" t="str">
        <f>RIGHT(tblCost[[#This Row],[RequirementID]],1)</f>
        <v>1</v>
      </c>
      <c r="G40" s="41">
        <v>220</v>
      </c>
      <c r="H40" t="b">
        <f>COUNTIFS(tblCostChecklist[RequirementID],tblCost[[#This Row],[RequirementID]],tblCostChecklist[PlayerPaid],TRUE)&gt;0</f>
        <v>0</v>
      </c>
      <c r="I40" s="41">
        <f>COUNTIF(tblCost[TargetID],tblCost[[#This Row],[TargetID]])</f>
        <v>5</v>
      </c>
      <c r="J40" s="41">
        <f>COUNTIFS(tblCost[TargetID],tblCost[[#This Row],[TargetID]],tblCost[PlayerPaid],TRUE)</f>
        <v>0</v>
      </c>
      <c r="K40" s="41">
        <f>tblCost[[#This Row],[TargetRequirements]]-tblCost[[#This Row],[CompletedRequirements]]</f>
        <v>5</v>
      </c>
      <c r="L40" s="41" t="b">
        <f>tblCost[[#This Row],[RemainingRequirements]]=0</f>
        <v>0</v>
      </c>
      <c r="M40" s="43">
        <f>IF(tblCost[[#This Row],[TargetRequirements]]=0,0,tblCost[[#This Row],[CompletedRequirements]]/tblCost[[#This Row],[TargetRequirements]])</f>
        <v>0</v>
      </c>
    </row>
    <row r="41" spans="1:13">
      <c r="A41" s="41" t="s">
        <v>3698</v>
      </c>
      <c r="B41" s="41" t="str">
        <f>_xlfn.TEXTAFTER(_xlfn.TEXTBEFORE(tblCost[[#This Row],[RequirementID]],".",-2),"cost.")</f>
        <v>building.alchemists_hut@5</v>
      </c>
      <c r="C41" s="41" t="str">
        <f>_xlfn.XLOOKUP(tblCost[[#This Row],[TargetID]],tblTargets[TargetID],tblTargets[DisplayName],"")</f>
        <v>Alchemist's Hut Lv 5</v>
      </c>
      <c r="D41" s="41" t="str">
        <f>_xlfn.XLOOKUP(tblCost[[#This Row],[TargetID]],tblTargets[TargetID],tblTargets[TargetType],"")</f>
        <v>BUILDING</v>
      </c>
      <c r="E41" s="41" t="s">
        <v>678</v>
      </c>
      <c r="F41" s="62" t="str">
        <f>RIGHT(tblCost[[#This Row],[RequirementID]],1)</f>
        <v>1</v>
      </c>
      <c r="G41" s="41">
        <v>80</v>
      </c>
      <c r="H41" t="b">
        <f>COUNTIFS(tblCostChecklist[RequirementID],tblCost[[#This Row],[RequirementID]],tblCostChecklist[PlayerPaid],TRUE)&gt;0</f>
        <v>0</v>
      </c>
      <c r="I41" s="41">
        <f>COUNTIF(tblCost[TargetID],tblCost[[#This Row],[TargetID]])</f>
        <v>5</v>
      </c>
      <c r="J41" s="41">
        <f>COUNTIFS(tblCost[TargetID],tblCost[[#This Row],[TargetID]],tblCost[PlayerPaid],TRUE)</f>
        <v>0</v>
      </c>
      <c r="K41" s="41">
        <f>tblCost[[#This Row],[TargetRequirements]]-tblCost[[#This Row],[CompletedRequirements]]</f>
        <v>5</v>
      </c>
      <c r="L41" s="41" t="b">
        <f>tblCost[[#This Row],[RemainingRequirements]]=0</f>
        <v>0</v>
      </c>
      <c r="M41" s="43">
        <f>IF(tblCost[[#This Row],[TargetRequirements]]=0,0,tblCost[[#This Row],[CompletedRequirements]]/tblCost[[#This Row],[TargetRequirements]])</f>
        <v>0</v>
      </c>
    </row>
    <row r="42" spans="1:13">
      <c r="A42" s="41" t="s">
        <v>3699</v>
      </c>
      <c r="B42" s="41" t="str">
        <f>_xlfn.TEXTAFTER(_xlfn.TEXTBEFORE(tblCost[[#This Row],[RequirementID]],".",-2),"cost.")</f>
        <v>building.alchemists_hut@6</v>
      </c>
      <c r="C42" s="41" t="str">
        <f>_xlfn.XLOOKUP(tblCost[[#This Row],[TargetID]],tblTargets[TargetID],tblTargets[DisplayName],"")</f>
        <v>Alchemist's Hut Lv 6</v>
      </c>
      <c r="D42" s="41" t="str">
        <f>_xlfn.XLOOKUP(tblCost[[#This Row],[TargetID]],tblTargets[TargetID],tblTargets[TargetType],"")</f>
        <v>BUILDING</v>
      </c>
      <c r="E42" s="41" t="s">
        <v>708</v>
      </c>
      <c r="F42" s="62" t="str">
        <f>RIGHT(tblCost[[#This Row],[RequirementID]],1)</f>
        <v>1</v>
      </c>
      <c r="G42" s="41">
        <v>6</v>
      </c>
      <c r="H42" t="b">
        <f>COUNTIFS(tblCostChecklist[RequirementID],tblCost[[#This Row],[RequirementID]],tblCostChecklist[PlayerPaid],TRUE)&gt;0</f>
        <v>0</v>
      </c>
      <c r="I42" s="41">
        <f>COUNTIF(tblCost[TargetID],tblCost[[#This Row],[TargetID]])</f>
        <v>6</v>
      </c>
      <c r="J42" s="41">
        <f>COUNTIFS(tblCost[TargetID],tblCost[[#This Row],[TargetID]],tblCost[PlayerPaid],TRUE)</f>
        <v>0</v>
      </c>
      <c r="K42" s="41">
        <f>tblCost[[#This Row],[TargetRequirements]]-tblCost[[#This Row],[CompletedRequirements]]</f>
        <v>6</v>
      </c>
      <c r="L42" s="41" t="b">
        <f>tblCost[[#This Row],[RemainingRequirements]]=0</f>
        <v>0</v>
      </c>
      <c r="M42" s="43">
        <f>IF(tblCost[[#This Row],[TargetRequirements]]=0,0,tblCost[[#This Row],[CompletedRequirements]]/tblCost[[#This Row],[TargetRequirements]])</f>
        <v>0</v>
      </c>
    </row>
    <row r="43" spans="1:13">
      <c r="A43" s="41" t="s">
        <v>3700</v>
      </c>
      <c r="B43" s="41" t="str">
        <f>_xlfn.TEXTAFTER(_xlfn.TEXTBEFORE(tblCost[[#This Row],[RequirementID]],".",-2),"cost.")</f>
        <v>building.alchemists_hut@6</v>
      </c>
      <c r="C43" s="41" t="str">
        <f>_xlfn.XLOOKUP(tblCost[[#This Row],[TargetID]],tblTargets[TargetID],tblTargets[DisplayName],"")</f>
        <v>Alchemist's Hut Lv 6</v>
      </c>
      <c r="D43" s="41" t="str">
        <f>_xlfn.XLOOKUP(tblCost[[#This Row],[TargetID]],tblTargets[TargetID],tblTargets[TargetType],"")</f>
        <v>BUILDING</v>
      </c>
      <c r="E43" s="41" t="s">
        <v>666</v>
      </c>
      <c r="F43" s="62" t="str">
        <f>RIGHT(tblCost[[#This Row],[RequirementID]],1)</f>
        <v>1</v>
      </c>
      <c r="G43" s="41">
        <v>1000</v>
      </c>
      <c r="H43" t="b">
        <f>COUNTIFS(tblCostChecklist[RequirementID],tblCost[[#This Row],[RequirementID]],tblCostChecklist[PlayerPaid],TRUE)&gt;0</f>
        <v>0</v>
      </c>
      <c r="I43" s="41">
        <f>COUNTIF(tblCost[TargetID],tblCost[[#This Row],[TargetID]])</f>
        <v>6</v>
      </c>
      <c r="J43" s="41">
        <f>COUNTIFS(tblCost[TargetID],tblCost[[#This Row],[TargetID]],tblCost[PlayerPaid],TRUE)</f>
        <v>0</v>
      </c>
      <c r="K43" s="41">
        <f>tblCost[[#This Row],[TargetRequirements]]-tblCost[[#This Row],[CompletedRequirements]]</f>
        <v>6</v>
      </c>
      <c r="L43" s="41" t="b">
        <f>tblCost[[#This Row],[RemainingRequirements]]=0</f>
        <v>0</v>
      </c>
      <c r="M43" s="43">
        <f>IF(tblCost[[#This Row],[TargetRequirements]]=0,0,tblCost[[#This Row],[CompletedRequirements]]/tblCost[[#This Row],[TargetRequirements]])</f>
        <v>0</v>
      </c>
    </row>
    <row r="44" spans="1:13">
      <c r="A44" s="41" t="s">
        <v>3701</v>
      </c>
      <c r="B44" s="41" t="str">
        <f>_xlfn.TEXTAFTER(_xlfn.TEXTBEFORE(tblCost[[#This Row],[RequirementID]],".",-2),"cost.")</f>
        <v>building.alchemists_hut@6</v>
      </c>
      <c r="C44" s="41" t="str">
        <f>_xlfn.XLOOKUP(tblCost[[#This Row],[TargetID]],tblTargets[TargetID],tblTargets[DisplayName],"")</f>
        <v>Alchemist's Hut Lv 6</v>
      </c>
      <c r="D44" s="41" t="str">
        <f>_xlfn.XLOOKUP(tblCost[[#This Row],[TargetID]],tblTargets[TargetID],tblTargets[TargetType],"")</f>
        <v>BUILDING</v>
      </c>
      <c r="E44" s="41" t="s">
        <v>658</v>
      </c>
      <c r="F44" s="62" t="str">
        <f>RIGHT(tblCost[[#This Row],[RequirementID]],1)</f>
        <v>1</v>
      </c>
      <c r="G44" s="41">
        <v>800</v>
      </c>
      <c r="H44" t="b">
        <f>COUNTIFS(tblCostChecklist[RequirementID],tblCost[[#This Row],[RequirementID]],tblCostChecklist[PlayerPaid],TRUE)&gt;0</f>
        <v>0</v>
      </c>
      <c r="I44" s="41">
        <f>COUNTIF(tblCost[TargetID],tblCost[[#This Row],[TargetID]])</f>
        <v>6</v>
      </c>
      <c r="J44" s="41">
        <f>COUNTIFS(tblCost[TargetID],tblCost[[#This Row],[TargetID]],tblCost[PlayerPaid],TRUE)</f>
        <v>0</v>
      </c>
      <c r="K44" s="41">
        <f>tblCost[[#This Row],[TargetRequirements]]-tblCost[[#This Row],[CompletedRequirements]]</f>
        <v>6</v>
      </c>
      <c r="L44" s="41" t="b">
        <f>tblCost[[#This Row],[RemainingRequirements]]=0</f>
        <v>0</v>
      </c>
      <c r="M44" s="43">
        <f>IF(tblCost[[#This Row],[TargetRequirements]]=0,0,tblCost[[#This Row],[CompletedRequirements]]/tblCost[[#This Row],[TargetRequirements]])</f>
        <v>0</v>
      </c>
    </row>
    <row r="45" spans="1:13">
      <c r="A45" s="41" t="s">
        <v>3702</v>
      </c>
      <c r="B45" s="41" t="str">
        <f>_xlfn.TEXTAFTER(_xlfn.TEXTBEFORE(tblCost[[#This Row],[RequirementID]],".",-2),"cost.")</f>
        <v>building.alchemists_hut@6</v>
      </c>
      <c r="C45" s="41" t="str">
        <f>_xlfn.XLOOKUP(tblCost[[#This Row],[TargetID]],tblTargets[TargetID],tblTargets[DisplayName],"")</f>
        <v>Alchemist's Hut Lv 6</v>
      </c>
      <c r="D45" s="41" t="str">
        <f>_xlfn.XLOOKUP(tblCost[[#This Row],[TargetID]],tblTargets[TargetID],tblTargets[TargetType],"")</f>
        <v>BUILDING</v>
      </c>
      <c r="E45" s="41" t="s">
        <v>717</v>
      </c>
      <c r="F45" s="62" t="str">
        <f>RIGHT(tblCost[[#This Row],[RequirementID]],1)</f>
        <v>1</v>
      </c>
      <c r="G45" s="41">
        <v>400</v>
      </c>
      <c r="H45" t="b">
        <f>COUNTIFS(tblCostChecklist[RequirementID],tblCost[[#This Row],[RequirementID]],tblCostChecklist[PlayerPaid],TRUE)&gt;0</f>
        <v>0</v>
      </c>
      <c r="I45" s="41">
        <f>COUNTIF(tblCost[TargetID],tblCost[[#This Row],[TargetID]])</f>
        <v>6</v>
      </c>
      <c r="J45" s="41">
        <f>COUNTIFS(tblCost[TargetID],tblCost[[#This Row],[TargetID]],tblCost[PlayerPaid],TRUE)</f>
        <v>0</v>
      </c>
      <c r="K45" s="41">
        <f>tblCost[[#This Row],[TargetRequirements]]-tblCost[[#This Row],[CompletedRequirements]]</f>
        <v>6</v>
      </c>
      <c r="L45" s="41" t="b">
        <f>tblCost[[#This Row],[RemainingRequirements]]=0</f>
        <v>0</v>
      </c>
      <c r="M45" s="43">
        <f>IF(tblCost[[#This Row],[TargetRequirements]]=0,0,tblCost[[#This Row],[CompletedRequirements]]/tblCost[[#This Row],[TargetRequirements]])</f>
        <v>0</v>
      </c>
    </row>
    <row r="46" spans="1:13">
      <c r="A46" s="41" t="s">
        <v>3703</v>
      </c>
      <c r="B46" s="41" t="str">
        <f>_xlfn.TEXTAFTER(_xlfn.TEXTBEFORE(tblCost[[#This Row],[RequirementID]],".",-2),"cost.")</f>
        <v>building.alchemists_hut@6</v>
      </c>
      <c r="C46" s="41" t="str">
        <f>_xlfn.XLOOKUP(tblCost[[#This Row],[TargetID]],tblTargets[TargetID],tblTargets[DisplayName],"")</f>
        <v>Alchemist's Hut Lv 6</v>
      </c>
      <c r="D46" s="41" t="str">
        <f>_xlfn.XLOOKUP(tblCost[[#This Row],[TargetID]],tblTargets[TargetID],tblTargets[TargetType],"")</f>
        <v>BUILDING</v>
      </c>
      <c r="E46" s="41" t="s">
        <v>664</v>
      </c>
      <c r="F46" s="62" t="str">
        <f>RIGHT(tblCost[[#This Row],[RequirementID]],1)</f>
        <v>1</v>
      </c>
      <c r="G46" s="41">
        <v>200</v>
      </c>
      <c r="H46" t="b">
        <f>COUNTIFS(tblCostChecklist[RequirementID],tblCost[[#This Row],[RequirementID]],tblCostChecklist[PlayerPaid],TRUE)&gt;0</f>
        <v>0</v>
      </c>
      <c r="I46" s="41">
        <f>COUNTIF(tblCost[TargetID],tblCost[[#This Row],[TargetID]])</f>
        <v>6</v>
      </c>
      <c r="J46" s="41">
        <f>COUNTIFS(tblCost[TargetID],tblCost[[#This Row],[TargetID]],tblCost[PlayerPaid],TRUE)</f>
        <v>0</v>
      </c>
      <c r="K46" s="41">
        <f>tblCost[[#This Row],[TargetRequirements]]-tblCost[[#This Row],[CompletedRequirements]]</f>
        <v>6</v>
      </c>
      <c r="L46" s="41" t="b">
        <f>tblCost[[#This Row],[RemainingRequirements]]=0</f>
        <v>0</v>
      </c>
      <c r="M46" s="43">
        <f>IF(tblCost[[#This Row],[TargetRequirements]]=0,0,tblCost[[#This Row],[CompletedRequirements]]/tblCost[[#This Row],[TargetRequirements]])</f>
        <v>0</v>
      </c>
    </row>
    <row r="47" spans="1:13">
      <c r="A47" s="41" t="s">
        <v>3704</v>
      </c>
      <c r="B47" s="41" t="str">
        <f>_xlfn.TEXTAFTER(_xlfn.TEXTBEFORE(tblCost[[#This Row],[RequirementID]],".",-2),"cost.")</f>
        <v>building.alchemists_hut@6</v>
      </c>
      <c r="C47" s="41" t="str">
        <f>_xlfn.XLOOKUP(tblCost[[#This Row],[TargetID]],tblTargets[TargetID],tblTargets[DisplayName],"")</f>
        <v>Alchemist's Hut Lv 6</v>
      </c>
      <c r="D47" s="41" t="str">
        <f>_xlfn.XLOOKUP(tblCost[[#This Row],[TargetID]],tblTargets[TargetID],tblTargets[TargetType],"")</f>
        <v>BUILDING</v>
      </c>
      <c r="E47" s="41" t="s">
        <v>674</v>
      </c>
      <c r="F47" s="62" t="str">
        <f>RIGHT(tblCost[[#This Row],[RequirementID]],1)</f>
        <v>1</v>
      </c>
      <c r="G47" s="41">
        <v>50</v>
      </c>
      <c r="H47" t="b">
        <f>COUNTIFS(tblCostChecklist[RequirementID],tblCost[[#This Row],[RequirementID]],tblCostChecklist[PlayerPaid],TRUE)&gt;0</f>
        <v>0</v>
      </c>
      <c r="I47" s="41">
        <f>COUNTIF(tblCost[TargetID],tblCost[[#This Row],[TargetID]])</f>
        <v>6</v>
      </c>
      <c r="J47" s="41">
        <f>COUNTIFS(tblCost[TargetID],tblCost[[#This Row],[TargetID]],tblCost[PlayerPaid],TRUE)</f>
        <v>0</v>
      </c>
      <c r="K47" s="41">
        <f>tblCost[[#This Row],[TargetRequirements]]-tblCost[[#This Row],[CompletedRequirements]]</f>
        <v>6</v>
      </c>
      <c r="L47" s="41" t="b">
        <f>tblCost[[#This Row],[RemainingRequirements]]=0</f>
        <v>0</v>
      </c>
      <c r="M47" s="43">
        <f>IF(tblCost[[#This Row],[TargetRequirements]]=0,0,tblCost[[#This Row],[CompletedRequirements]]/tblCost[[#This Row],[TargetRequirements]])</f>
        <v>0</v>
      </c>
    </row>
    <row r="48" spans="1:13">
      <c r="A48" s="41" t="s">
        <v>3705</v>
      </c>
      <c r="B48" s="41" t="str">
        <f>_xlfn.TEXTAFTER(_xlfn.TEXTBEFORE(tblCost[[#This Row],[RequirementID]],".",-2),"cost.")</f>
        <v>building.bonsai@1</v>
      </c>
      <c r="C48" s="41" t="str">
        <f>_xlfn.XLOOKUP(tblCost[[#This Row],[TargetID]],tblTargets[TargetID],tblTargets[DisplayName],"")</f>
        <v>Bonsai Lv 1</v>
      </c>
      <c r="D48" s="41" t="str">
        <f>_xlfn.XLOOKUP(tblCost[[#This Row],[TargetID]],tblTargets[TargetID],tblTargets[TargetType],"")</f>
        <v>BUILDING</v>
      </c>
      <c r="E48" s="41" t="s">
        <v>708</v>
      </c>
      <c r="F48" s="62" t="str">
        <f>RIGHT(tblCost[[#This Row],[RequirementID]],1)</f>
        <v>1</v>
      </c>
      <c r="G48" s="41">
        <v>3</v>
      </c>
      <c r="H48" t="b">
        <f>COUNTIFS(tblCostChecklist[RequirementID],tblCost[[#This Row],[RequirementID]],tblCostChecklist[PlayerPaid],TRUE)&gt;0</f>
        <v>0</v>
      </c>
      <c r="I48" s="41">
        <f>COUNTIF(tblCost[TargetID],tblCost[[#This Row],[TargetID]])</f>
        <v>4</v>
      </c>
      <c r="J48" s="41">
        <f>COUNTIFS(tblCost[TargetID],tblCost[[#This Row],[TargetID]],tblCost[PlayerPaid],TRUE)</f>
        <v>0</v>
      </c>
      <c r="K48" s="41">
        <f>tblCost[[#This Row],[TargetRequirements]]-tblCost[[#This Row],[CompletedRequirements]]</f>
        <v>4</v>
      </c>
      <c r="L48" s="41" t="b">
        <f>tblCost[[#This Row],[RemainingRequirements]]=0</f>
        <v>0</v>
      </c>
      <c r="M48" s="43">
        <f>IF(tblCost[[#This Row],[TargetRequirements]]=0,0,tblCost[[#This Row],[CompletedRequirements]]/tblCost[[#This Row],[TargetRequirements]])</f>
        <v>0</v>
      </c>
    </row>
    <row r="49" spans="1:13">
      <c r="A49" s="41" t="s">
        <v>3706</v>
      </c>
      <c r="B49" s="41" t="str">
        <f>_xlfn.TEXTAFTER(_xlfn.TEXTBEFORE(tblCost[[#This Row],[RequirementID]],".",-2),"cost.")</f>
        <v>building.bonsai@1</v>
      </c>
      <c r="C49" s="41" t="str">
        <f>_xlfn.XLOOKUP(tblCost[[#This Row],[TargetID]],tblTargets[TargetID],tblTargets[DisplayName],"")</f>
        <v>Bonsai Lv 1</v>
      </c>
      <c r="D49" s="41" t="str">
        <f>_xlfn.XLOOKUP(tblCost[[#This Row],[TargetID]],tblTargets[TargetID],tblTargets[TargetType],"")</f>
        <v>BUILDING</v>
      </c>
      <c r="E49" s="41" t="s">
        <v>666</v>
      </c>
      <c r="F49" s="62" t="str">
        <f>RIGHT(tblCost[[#This Row],[RequirementID]],1)</f>
        <v>1</v>
      </c>
      <c r="G49" s="41">
        <v>500</v>
      </c>
      <c r="H49" t="b">
        <f>COUNTIFS(tblCostChecklist[RequirementID],tblCost[[#This Row],[RequirementID]],tblCostChecklist[PlayerPaid],TRUE)&gt;0</f>
        <v>0</v>
      </c>
      <c r="I49" s="41">
        <f>COUNTIF(tblCost[TargetID],tblCost[[#This Row],[TargetID]])</f>
        <v>4</v>
      </c>
      <c r="J49" s="41">
        <f>COUNTIFS(tblCost[TargetID],tblCost[[#This Row],[TargetID]],tblCost[PlayerPaid],TRUE)</f>
        <v>0</v>
      </c>
      <c r="K49" s="41">
        <f>tblCost[[#This Row],[TargetRequirements]]-tblCost[[#This Row],[CompletedRequirements]]</f>
        <v>4</v>
      </c>
      <c r="L49" s="41" t="b">
        <f>tblCost[[#This Row],[RemainingRequirements]]=0</f>
        <v>0</v>
      </c>
      <c r="M49" s="43">
        <f>IF(tblCost[[#This Row],[TargetRequirements]]=0,0,tblCost[[#This Row],[CompletedRequirements]]/tblCost[[#This Row],[TargetRequirements]])</f>
        <v>0</v>
      </c>
    </row>
    <row r="50" spans="1:13">
      <c r="A50" s="41" t="s">
        <v>3707</v>
      </c>
      <c r="B50" s="41" t="str">
        <f>_xlfn.TEXTAFTER(_xlfn.TEXTBEFORE(tblCost[[#This Row],[RequirementID]],".",-2),"cost.")</f>
        <v>building.bonsai@1</v>
      </c>
      <c r="C50" s="41" t="str">
        <f>_xlfn.XLOOKUP(tblCost[[#This Row],[TargetID]],tblTargets[TargetID],tblTargets[DisplayName],"")</f>
        <v>Bonsai Lv 1</v>
      </c>
      <c r="D50" s="41" t="str">
        <f>_xlfn.XLOOKUP(tblCost[[#This Row],[TargetID]],tblTargets[TargetID],tblTargets[TargetType],"")</f>
        <v>BUILDING</v>
      </c>
      <c r="E50" s="41" t="s">
        <v>701</v>
      </c>
      <c r="F50" s="62" t="str">
        <f>RIGHT(tblCost[[#This Row],[RequirementID]],1)</f>
        <v>1</v>
      </c>
      <c r="G50" s="41">
        <v>500</v>
      </c>
      <c r="H50" t="b">
        <f>COUNTIFS(tblCostChecklist[RequirementID],tblCost[[#This Row],[RequirementID]],tblCostChecklist[PlayerPaid],TRUE)&gt;0</f>
        <v>0</v>
      </c>
      <c r="I50" s="41">
        <f>COUNTIF(tblCost[TargetID],tblCost[[#This Row],[TargetID]])</f>
        <v>4</v>
      </c>
      <c r="J50" s="41">
        <f>COUNTIFS(tblCost[TargetID],tblCost[[#This Row],[TargetID]],tblCost[PlayerPaid],TRUE)</f>
        <v>0</v>
      </c>
      <c r="K50" s="41">
        <f>tblCost[[#This Row],[TargetRequirements]]-tblCost[[#This Row],[CompletedRequirements]]</f>
        <v>4</v>
      </c>
      <c r="L50" s="41" t="b">
        <f>tblCost[[#This Row],[RemainingRequirements]]=0</f>
        <v>0</v>
      </c>
      <c r="M50" s="43">
        <f>IF(tblCost[[#This Row],[TargetRequirements]]=0,0,tblCost[[#This Row],[CompletedRequirements]]/tblCost[[#This Row],[TargetRequirements]])</f>
        <v>0</v>
      </c>
    </row>
    <row r="51" spans="1:13">
      <c r="A51" s="41" t="s">
        <v>3708</v>
      </c>
      <c r="B51" s="41" t="str">
        <f>_xlfn.TEXTAFTER(_xlfn.TEXTBEFORE(tblCost[[#This Row],[RequirementID]],".",-2),"cost.")</f>
        <v>building.bonsai@1</v>
      </c>
      <c r="C51" s="41" t="str">
        <f>_xlfn.XLOOKUP(tblCost[[#This Row],[TargetID]],tblTargets[TargetID],tblTargets[DisplayName],"")</f>
        <v>Bonsai Lv 1</v>
      </c>
      <c r="D51" s="41" t="str">
        <f>_xlfn.XLOOKUP(tblCost[[#This Row],[TargetID]],tblTargets[TargetID],tblTargets[TargetType],"")</f>
        <v>BUILDING</v>
      </c>
      <c r="E51" s="41" t="s">
        <v>659</v>
      </c>
      <c r="F51" s="62" t="str">
        <f>RIGHT(tblCost[[#This Row],[RequirementID]],1)</f>
        <v>1</v>
      </c>
      <c r="G51" s="41">
        <v>120</v>
      </c>
      <c r="H51" t="b">
        <f>COUNTIFS(tblCostChecklist[RequirementID],tblCost[[#This Row],[RequirementID]],tblCostChecklist[PlayerPaid],TRUE)&gt;0</f>
        <v>0</v>
      </c>
      <c r="I51" s="41">
        <f>COUNTIF(tblCost[TargetID],tblCost[[#This Row],[TargetID]])</f>
        <v>4</v>
      </c>
      <c r="J51" s="41">
        <f>COUNTIFS(tblCost[TargetID],tblCost[[#This Row],[TargetID]],tblCost[PlayerPaid],TRUE)</f>
        <v>0</v>
      </c>
      <c r="K51" s="41">
        <f>tblCost[[#This Row],[TargetRequirements]]-tblCost[[#This Row],[CompletedRequirements]]</f>
        <v>4</v>
      </c>
      <c r="L51" s="41" t="b">
        <f>tblCost[[#This Row],[RemainingRequirements]]=0</f>
        <v>0</v>
      </c>
      <c r="M51" s="43">
        <f>IF(tblCost[[#This Row],[TargetRequirements]]=0,0,tblCost[[#This Row],[CompletedRequirements]]/tblCost[[#This Row],[TargetRequirements]])</f>
        <v>0</v>
      </c>
    </row>
    <row r="52" spans="1:13">
      <c r="A52" s="41" t="s">
        <v>3709</v>
      </c>
      <c r="B52" s="41" t="str">
        <f>_xlfn.TEXTAFTER(_xlfn.TEXTBEFORE(tblCost[[#This Row],[RequirementID]],".",-2),"cost.")</f>
        <v>building.bonsai@2</v>
      </c>
      <c r="C52" s="41" t="str">
        <f>_xlfn.XLOOKUP(tblCost[[#This Row],[TargetID]],tblTargets[TargetID],tblTargets[DisplayName],"")</f>
        <v>Bonsai Lv 2</v>
      </c>
      <c r="D52" s="41" t="str">
        <f>_xlfn.XLOOKUP(tblCost[[#This Row],[TargetID]],tblTargets[TargetID],tblTargets[TargetType],"")</f>
        <v>BUILDING</v>
      </c>
      <c r="E52" s="41" t="s">
        <v>708</v>
      </c>
      <c r="F52" s="62" t="str">
        <f>RIGHT(tblCost[[#This Row],[RequirementID]],1)</f>
        <v>1</v>
      </c>
      <c r="G52" s="41">
        <v>5</v>
      </c>
      <c r="H52" t="b">
        <f>COUNTIFS(tblCostChecklist[RequirementID],tblCost[[#This Row],[RequirementID]],tblCostChecklist[PlayerPaid],TRUE)&gt;0</f>
        <v>0</v>
      </c>
      <c r="I52" s="41">
        <f>COUNTIF(tblCost[TargetID],tblCost[[#This Row],[TargetID]])</f>
        <v>5</v>
      </c>
      <c r="J52" s="41">
        <f>COUNTIFS(tblCost[TargetID],tblCost[[#This Row],[TargetID]],tblCost[PlayerPaid],TRUE)</f>
        <v>0</v>
      </c>
      <c r="K52" s="41">
        <f>tblCost[[#This Row],[TargetRequirements]]-tblCost[[#This Row],[CompletedRequirements]]</f>
        <v>5</v>
      </c>
      <c r="L52" s="41" t="b">
        <f>tblCost[[#This Row],[RemainingRequirements]]=0</f>
        <v>0</v>
      </c>
      <c r="M52" s="43">
        <f>IF(tblCost[[#This Row],[TargetRequirements]]=0,0,tblCost[[#This Row],[CompletedRequirements]]/tblCost[[#This Row],[TargetRequirements]])</f>
        <v>0</v>
      </c>
    </row>
    <row r="53" spans="1:13">
      <c r="A53" s="41" t="s">
        <v>3710</v>
      </c>
      <c r="B53" s="41" t="str">
        <f>_xlfn.TEXTAFTER(_xlfn.TEXTBEFORE(tblCost[[#This Row],[RequirementID]],".",-2),"cost.")</f>
        <v>building.bonsai@2</v>
      </c>
      <c r="C53" s="41" t="str">
        <f>_xlfn.XLOOKUP(tblCost[[#This Row],[TargetID]],tblTargets[TargetID],tblTargets[DisplayName],"")</f>
        <v>Bonsai Lv 2</v>
      </c>
      <c r="D53" s="41" t="str">
        <f>_xlfn.XLOOKUP(tblCost[[#This Row],[TargetID]],tblTargets[TargetID],tblTargets[TargetType],"")</f>
        <v>BUILDING</v>
      </c>
      <c r="E53" s="41" t="s">
        <v>666</v>
      </c>
      <c r="F53" s="62" t="str">
        <f>RIGHT(tblCost[[#This Row],[RequirementID]],1)</f>
        <v>1</v>
      </c>
      <c r="G53" s="41">
        <v>800</v>
      </c>
      <c r="H53" t="b">
        <f>COUNTIFS(tblCostChecklist[RequirementID],tblCost[[#This Row],[RequirementID]],tblCostChecklist[PlayerPaid],TRUE)&gt;0</f>
        <v>0</v>
      </c>
      <c r="I53" s="41">
        <f>COUNTIF(tblCost[TargetID],tblCost[[#This Row],[TargetID]])</f>
        <v>5</v>
      </c>
      <c r="J53" s="41">
        <f>COUNTIFS(tblCost[TargetID],tblCost[[#This Row],[TargetID]],tblCost[PlayerPaid],TRUE)</f>
        <v>0</v>
      </c>
      <c r="K53" s="41">
        <f>tblCost[[#This Row],[TargetRequirements]]-tblCost[[#This Row],[CompletedRequirements]]</f>
        <v>5</v>
      </c>
      <c r="L53" s="41" t="b">
        <f>tblCost[[#This Row],[RemainingRequirements]]=0</f>
        <v>0</v>
      </c>
      <c r="M53" s="43">
        <f>IF(tblCost[[#This Row],[TargetRequirements]]=0,0,tblCost[[#This Row],[CompletedRequirements]]/tblCost[[#This Row],[TargetRequirements]])</f>
        <v>0</v>
      </c>
    </row>
    <row r="54" spans="1:13">
      <c r="A54" s="41" t="s">
        <v>3711</v>
      </c>
      <c r="B54" s="41" t="str">
        <f>_xlfn.TEXTAFTER(_xlfn.TEXTBEFORE(tblCost[[#This Row],[RequirementID]],".",-2),"cost.")</f>
        <v>building.bonsai@2</v>
      </c>
      <c r="C54" s="41" t="str">
        <f>_xlfn.XLOOKUP(tblCost[[#This Row],[TargetID]],tblTargets[TargetID],tblTargets[DisplayName],"")</f>
        <v>Bonsai Lv 2</v>
      </c>
      <c r="D54" s="41" t="str">
        <f>_xlfn.XLOOKUP(tblCost[[#This Row],[TargetID]],tblTargets[TargetID],tblTargets[TargetType],"")</f>
        <v>BUILDING</v>
      </c>
      <c r="E54" s="41" t="s">
        <v>701</v>
      </c>
      <c r="F54" s="62" t="str">
        <f>RIGHT(tblCost[[#This Row],[RequirementID]],1)</f>
        <v>1</v>
      </c>
      <c r="G54" s="41">
        <v>600</v>
      </c>
      <c r="H54" t="b">
        <f>COUNTIFS(tblCostChecklist[RequirementID],tblCost[[#This Row],[RequirementID]],tblCostChecklist[PlayerPaid],TRUE)&gt;0</f>
        <v>0</v>
      </c>
      <c r="I54" s="41">
        <f>COUNTIF(tblCost[TargetID],tblCost[[#This Row],[TargetID]])</f>
        <v>5</v>
      </c>
      <c r="J54" s="41">
        <f>COUNTIFS(tblCost[TargetID],tblCost[[#This Row],[TargetID]],tblCost[PlayerPaid],TRUE)</f>
        <v>0</v>
      </c>
      <c r="K54" s="41">
        <f>tblCost[[#This Row],[TargetRequirements]]-tblCost[[#This Row],[CompletedRequirements]]</f>
        <v>5</v>
      </c>
      <c r="L54" s="41" t="b">
        <f>tblCost[[#This Row],[RemainingRequirements]]=0</f>
        <v>0</v>
      </c>
      <c r="M54" s="43">
        <f>IF(tblCost[[#This Row],[TargetRequirements]]=0,0,tblCost[[#This Row],[CompletedRequirements]]/tblCost[[#This Row],[TargetRequirements]])</f>
        <v>0</v>
      </c>
    </row>
    <row r="55" spans="1:13">
      <c r="A55" s="41" t="s">
        <v>3712</v>
      </c>
      <c r="B55" s="41" t="str">
        <f>_xlfn.TEXTAFTER(_xlfn.TEXTBEFORE(tblCost[[#This Row],[RequirementID]],".",-2),"cost.")</f>
        <v>building.bonsai@2</v>
      </c>
      <c r="C55" s="41" t="str">
        <f>_xlfn.XLOOKUP(tblCost[[#This Row],[TargetID]],tblTargets[TargetID],tblTargets[DisplayName],"")</f>
        <v>Bonsai Lv 2</v>
      </c>
      <c r="D55" s="41" t="str">
        <f>_xlfn.XLOOKUP(tblCost[[#This Row],[TargetID]],tblTargets[TargetID],tblTargets[TargetType],"")</f>
        <v>BUILDING</v>
      </c>
      <c r="E55" s="41" t="s">
        <v>659</v>
      </c>
      <c r="F55" s="62" t="str">
        <f>RIGHT(tblCost[[#This Row],[RequirementID]],1)</f>
        <v>1</v>
      </c>
      <c r="G55" s="41">
        <v>240</v>
      </c>
      <c r="H55" t="b">
        <f>COUNTIFS(tblCostChecklist[RequirementID],tblCost[[#This Row],[RequirementID]],tblCostChecklist[PlayerPaid],TRUE)&gt;0</f>
        <v>0</v>
      </c>
      <c r="I55" s="41">
        <f>COUNTIF(tblCost[TargetID],tblCost[[#This Row],[TargetID]])</f>
        <v>5</v>
      </c>
      <c r="J55" s="41">
        <f>COUNTIFS(tblCost[TargetID],tblCost[[#This Row],[TargetID]],tblCost[PlayerPaid],TRUE)</f>
        <v>0</v>
      </c>
      <c r="K55" s="41">
        <f>tblCost[[#This Row],[TargetRequirements]]-tblCost[[#This Row],[CompletedRequirements]]</f>
        <v>5</v>
      </c>
      <c r="L55" s="41" t="b">
        <f>tblCost[[#This Row],[RemainingRequirements]]=0</f>
        <v>0</v>
      </c>
      <c r="M55" s="43">
        <f>IF(tblCost[[#This Row],[TargetRequirements]]=0,0,tblCost[[#This Row],[CompletedRequirements]]/tblCost[[#This Row],[TargetRequirements]])</f>
        <v>0</v>
      </c>
    </row>
    <row r="56" spans="1:13">
      <c r="A56" s="41" t="s">
        <v>3713</v>
      </c>
      <c r="B56" s="41" t="str">
        <f>_xlfn.TEXTAFTER(_xlfn.TEXTBEFORE(tblCost[[#This Row],[RequirementID]],".",-2),"cost.")</f>
        <v>building.bonsai@2</v>
      </c>
      <c r="C56" s="41" t="str">
        <f>_xlfn.XLOOKUP(tblCost[[#This Row],[TargetID]],tblTargets[TargetID],tblTargets[DisplayName],"")</f>
        <v>Bonsai Lv 2</v>
      </c>
      <c r="D56" s="41" t="str">
        <f>_xlfn.XLOOKUP(tblCost[[#This Row],[TargetID]],tblTargets[TargetID],tblTargets[TargetType],"")</f>
        <v>BUILDING</v>
      </c>
      <c r="E56" s="41" t="s">
        <v>664</v>
      </c>
      <c r="F56" s="62" t="str">
        <f>RIGHT(tblCost[[#This Row],[RequirementID]],1)</f>
        <v>1</v>
      </c>
      <c r="G56" s="41">
        <v>150</v>
      </c>
      <c r="H56" t="b">
        <f>COUNTIFS(tblCostChecklist[RequirementID],tblCost[[#This Row],[RequirementID]],tblCostChecklist[PlayerPaid],TRUE)&gt;0</f>
        <v>0</v>
      </c>
      <c r="I56" s="41">
        <f>COUNTIF(tblCost[TargetID],tblCost[[#This Row],[TargetID]])</f>
        <v>5</v>
      </c>
      <c r="J56" s="41">
        <f>COUNTIFS(tblCost[TargetID],tblCost[[#This Row],[TargetID]],tblCost[PlayerPaid],TRUE)</f>
        <v>0</v>
      </c>
      <c r="K56" s="41">
        <f>tblCost[[#This Row],[TargetRequirements]]-tblCost[[#This Row],[CompletedRequirements]]</f>
        <v>5</v>
      </c>
      <c r="L56" s="41" t="b">
        <f>tblCost[[#This Row],[RemainingRequirements]]=0</f>
        <v>0</v>
      </c>
      <c r="M56" s="43">
        <f>IF(tblCost[[#This Row],[TargetRequirements]]=0,0,tblCost[[#This Row],[CompletedRequirements]]/tblCost[[#This Row],[TargetRequirements]])</f>
        <v>0</v>
      </c>
    </row>
    <row r="57" spans="1:13">
      <c r="A57" s="41" t="s">
        <v>3714</v>
      </c>
      <c r="B57" s="41" t="str">
        <f>_xlfn.TEXTAFTER(_xlfn.TEXTBEFORE(tblCost[[#This Row],[RequirementID]],".",-2),"cost.")</f>
        <v>building.bridge@1</v>
      </c>
      <c r="C57" s="41" t="str">
        <f>_xlfn.XLOOKUP(tblCost[[#This Row],[TargetID]],tblTargets[TargetID],tblTargets[DisplayName],"")</f>
        <v>Bridge Lv 1</v>
      </c>
      <c r="D57" s="41" t="str">
        <f>_xlfn.XLOOKUP(tblCost[[#This Row],[TargetID]],tblTargets[TargetID],tblTargets[TargetType],"")</f>
        <v>BUILDING</v>
      </c>
      <c r="E57" s="41" t="s">
        <v>708</v>
      </c>
      <c r="F57" s="62" t="str">
        <f>RIGHT(tblCost[[#This Row],[RequirementID]],1)</f>
        <v>1</v>
      </c>
      <c r="G57" s="41">
        <v>4</v>
      </c>
      <c r="H57" t="b">
        <f>COUNTIFS(tblCostChecklist[RequirementID],tblCost[[#This Row],[RequirementID]],tblCostChecklist[PlayerPaid],TRUE)&gt;0</f>
        <v>0</v>
      </c>
      <c r="I57" s="41">
        <f>COUNTIF(tblCost[TargetID],tblCost[[#This Row],[TargetID]])</f>
        <v>6</v>
      </c>
      <c r="J57" s="41">
        <f>COUNTIFS(tblCost[TargetID],tblCost[[#This Row],[TargetID]],tblCost[PlayerPaid],TRUE)</f>
        <v>0</v>
      </c>
      <c r="K57" s="41">
        <f>tblCost[[#This Row],[TargetRequirements]]-tblCost[[#This Row],[CompletedRequirements]]</f>
        <v>6</v>
      </c>
      <c r="L57" s="41" t="b">
        <f>tblCost[[#This Row],[RemainingRequirements]]=0</f>
        <v>0</v>
      </c>
      <c r="M57" s="43">
        <f>IF(tblCost[[#This Row],[TargetRequirements]]=0,0,tblCost[[#This Row],[CompletedRequirements]]/tblCost[[#This Row],[TargetRequirements]])</f>
        <v>0</v>
      </c>
    </row>
    <row r="58" spans="1:13">
      <c r="A58" s="41" t="s">
        <v>3715</v>
      </c>
      <c r="B58" s="41" t="str">
        <f>_xlfn.TEXTAFTER(_xlfn.TEXTBEFORE(tblCost[[#This Row],[RequirementID]],".",-2),"cost.")</f>
        <v>building.bridge@1</v>
      </c>
      <c r="C58" s="41" t="str">
        <f>_xlfn.XLOOKUP(tblCost[[#This Row],[TargetID]],tblTargets[TargetID],tblTargets[DisplayName],"")</f>
        <v>Bridge Lv 1</v>
      </c>
      <c r="D58" s="41" t="str">
        <f>_xlfn.XLOOKUP(tblCost[[#This Row],[TargetID]],tblTargets[TargetID],tblTargets[TargetType],"")</f>
        <v>BUILDING</v>
      </c>
      <c r="E58" s="41" t="s">
        <v>666</v>
      </c>
      <c r="F58" s="62" t="str">
        <f>RIGHT(tblCost[[#This Row],[RequirementID]],1)</f>
        <v>1</v>
      </c>
      <c r="G58" s="41">
        <v>1000</v>
      </c>
      <c r="H58" t="b">
        <f>COUNTIFS(tblCostChecklist[RequirementID],tblCost[[#This Row],[RequirementID]],tblCostChecklist[PlayerPaid],TRUE)&gt;0</f>
        <v>0</v>
      </c>
      <c r="I58" s="41">
        <f>COUNTIF(tblCost[TargetID],tblCost[[#This Row],[TargetID]])</f>
        <v>6</v>
      </c>
      <c r="J58" s="41">
        <f>COUNTIFS(tblCost[TargetID],tblCost[[#This Row],[TargetID]],tblCost[PlayerPaid],TRUE)</f>
        <v>0</v>
      </c>
      <c r="K58" s="41">
        <f>tblCost[[#This Row],[TargetRequirements]]-tblCost[[#This Row],[CompletedRequirements]]</f>
        <v>6</v>
      </c>
      <c r="L58" s="41" t="b">
        <f>tblCost[[#This Row],[RemainingRequirements]]=0</f>
        <v>0</v>
      </c>
      <c r="M58" s="43">
        <f>IF(tblCost[[#This Row],[TargetRequirements]]=0,0,tblCost[[#This Row],[CompletedRequirements]]/tblCost[[#This Row],[TargetRequirements]])</f>
        <v>0</v>
      </c>
    </row>
    <row r="59" spans="1:13">
      <c r="A59" s="41" t="s">
        <v>3716</v>
      </c>
      <c r="B59" s="41" t="str">
        <f>_xlfn.TEXTAFTER(_xlfn.TEXTBEFORE(tblCost[[#This Row],[RequirementID]],".",-2),"cost.")</f>
        <v>building.bridge@1</v>
      </c>
      <c r="C59" s="41" t="str">
        <f>_xlfn.XLOOKUP(tblCost[[#This Row],[TargetID]],tblTargets[TargetID],tblTargets[DisplayName],"")</f>
        <v>Bridge Lv 1</v>
      </c>
      <c r="D59" s="41" t="str">
        <f>_xlfn.XLOOKUP(tblCost[[#This Row],[TargetID]],tblTargets[TargetID],tblTargets[TargetType],"")</f>
        <v>BUILDING</v>
      </c>
      <c r="E59" s="41" t="s">
        <v>658</v>
      </c>
      <c r="F59" s="62" t="str">
        <f>RIGHT(tblCost[[#This Row],[RequirementID]],1)</f>
        <v>1</v>
      </c>
      <c r="G59" s="41">
        <v>400</v>
      </c>
      <c r="H59" t="b">
        <f>COUNTIFS(tblCostChecklist[RequirementID],tblCost[[#This Row],[RequirementID]],tblCostChecklist[PlayerPaid],TRUE)&gt;0</f>
        <v>0</v>
      </c>
      <c r="I59" s="41">
        <f>COUNTIF(tblCost[TargetID],tblCost[[#This Row],[TargetID]])</f>
        <v>6</v>
      </c>
      <c r="J59" s="41">
        <f>COUNTIFS(tblCost[TargetID],tblCost[[#This Row],[TargetID]],tblCost[PlayerPaid],TRUE)</f>
        <v>0</v>
      </c>
      <c r="K59" s="41">
        <f>tblCost[[#This Row],[TargetRequirements]]-tblCost[[#This Row],[CompletedRequirements]]</f>
        <v>6</v>
      </c>
      <c r="L59" s="41" t="b">
        <f>tblCost[[#This Row],[RemainingRequirements]]=0</f>
        <v>0</v>
      </c>
      <c r="M59" s="43">
        <f>IF(tblCost[[#This Row],[TargetRequirements]]=0,0,tblCost[[#This Row],[CompletedRequirements]]/tblCost[[#This Row],[TargetRequirements]])</f>
        <v>0</v>
      </c>
    </row>
    <row r="60" spans="1:13">
      <c r="A60" s="41" t="s">
        <v>3717</v>
      </c>
      <c r="B60" s="41" t="str">
        <f>_xlfn.TEXTAFTER(_xlfn.TEXTBEFORE(tblCost[[#This Row],[RequirementID]],".",-2),"cost.")</f>
        <v>building.bridge@1</v>
      </c>
      <c r="C60" s="41" t="str">
        <f>_xlfn.XLOOKUP(tblCost[[#This Row],[TargetID]],tblTargets[TargetID],tblTargets[DisplayName],"")</f>
        <v>Bridge Lv 1</v>
      </c>
      <c r="D60" s="41" t="str">
        <f>_xlfn.XLOOKUP(tblCost[[#This Row],[TargetID]],tblTargets[TargetID],tblTargets[TargetType],"")</f>
        <v>BUILDING</v>
      </c>
      <c r="E60" s="41" t="s">
        <v>701</v>
      </c>
      <c r="F60" s="62" t="str">
        <f>RIGHT(tblCost[[#This Row],[RequirementID]],1)</f>
        <v>1</v>
      </c>
      <c r="G60" s="41">
        <v>1000</v>
      </c>
      <c r="H60" t="b">
        <f>COUNTIFS(tblCostChecklist[RequirementID],tblCost[[#This Row],[RequirementID]],tblCostChecklist[PlayerPaid],TRUE)&gt;0</f>
        <v>0</v>
      </c>
      <c r="I60" s="41">
        <f>COUNTIF(tblCost[TargetID],tblCost[[#This Row],[TargetID]])</f>
        <v>6</v>
      </c>
      <c r="J60" s="41">
        <f>COUNTIFS(tblCost[TargetID],tblCost[[#This Row],[TargetID]],tblCost[PlayerPaid],TRUE)</f>
        <v>0</v>
      </c>
      <c r="K60" s="41">
        <f>tblCost[[#This Row],[TargetRequirements]]-tblCost[[#This Row],[CompletedRequirements]]</f>
        <v>6</v>
      </c>
      <c r="L60" s="41" t="b">
        <f>tblCost[[#This Row],[RemainingRequirements]]=0</f>
        <v>0</v>
      </c>
      <c r="M60" s="43">
        <f>IF(tblCost[[#This Row],[TargetRequirements]]=0,0,tblCost[[#This Row],[CompletedRequirements]]/tblCost[[#This Row],[TargetRequirements]])</f>
        <v>0</v>
      </c>
    </row>
    <row r="61" spans="1:13">
      <c r="A61" s="41" t="s">
        <v>3718</v>
      </c>
      <c r="B61" s="41" t="str">
        <f>_xlfn.TEXTAFTER(_xlfn.TEXTBEFORE(tblCost[[#This Row],[RequirementID]],".",-2),"cost.")</f>
        <v>building.bridge@1</v>
      </c>
      <c r="C61" s="41" t="str">
        <f>_xlfn.XLOOKUP(tblCost[[#This Row],[TargetID]],tblTargets[TargetID],tblTargets[DisplayName],"")</f>
        <v>Bridge Lv 1</v>
      </c>
      <c r="D61" s="41" t="str">
        <f>_xlfn.XLOOKUP(tblCost[[#This Row],[TargetID]],tblTargets[TargetID],tblTargets[TargetType],"")</f>
        <v>BUILDING</v>
      </c>
      <c r="E61" s="41" t="s">
        <v>717</v>
      </c>
      <c r="F61" s="62" t="str">
        <f>RIGHT(tblCost[[#This Row],[RequirementID]],1)</f>
        <v>1</v>
      </c>
      <c r="G61" s="41">
        <v>400</v>
      </c>
      <c r="H61" t="b">
        <f>COUNTIFS(tblCostChecklist[RequirementID],tblCost[[#This Row],[RequirementID]],tblCostChecklist[PlayerPaid],TRUE)&gt;0</f>
        <v>0</v>
      </c>
      <c r="I61" s="41">
        <f>COUNTIF(tblCost[TargetID],tblCost[[#This Row],[TargetID]])</f>
        <v>6</v>
      </c>
      <c r="J61" s="41">
        <f>COUNTIFS(tblCost[TargetID],tblCost[[#This Row],[TargetID]],tblCost[PlayerPaid],TRUE)</f>
        <v>0</v>
      </c>
      <c r="K61" s="41">
        <f>tblCost[[#This Row],[TargetRequirements]]-tblCost[[#This Row],[CompletedRequirements]]</f>
        <v>6</v>
      </c>
      <c r="L61" s="41" t="b">
        <f>tblCost[[#This Row],[RemainingRequirements]]=0</f>
        <v>0</v>
      </c>
      <c r="M61" s="43">
        <f>IF(tblCost[[#This Row],[TargetRequirements]]=0,0,tblCost[[#This Row],[CompletedRequirements]]/tblCost[[#This Row],[TargetRequirements]])</f>
        <v>0</v>
      </c>
    </row>
    <row r="62" spans="1:13">
      <c r="A62" s="41" t="s">
        <v>3719</v>
      </c>
      <c r="B62" s="41" t="str">
        <f>_xlfn.TEXTAFTER(_xlfn.TEXTBEFORE(tblCost[[#This Row],[RequirementID]],".",-2),"cost.")</f>
        <v>building.bridge@1</v>
      </c>
      <c r="C62" s="41" t="str">
        <f>_xlfn.XLOOKUP(tblCost[[#This Row],[TargetID]],tblTargets[TargetID],tblTargets[DisplayName],"")</f>
        <v>Bridge Lv 1</v>
      </c>
      <c r="D62" s="41" t="str">
        <f>_xlfn.XLOOKUP(tblCost[[#This Row],[TargetID]],tblTargets[TargetID],tblTargets[TargetType],"")</f>
        <v>BUILDING</v>
      </c>
      <c r="E62" s="41" t="s">
        <v>716</v>
      </c>
      <c r="F62" s="62" t="str">
        <f>RIGHT(tblCost[[#This Row],[RequirementID]],1)</f>
        <v>1</v>
      </c>
      <c r="G62" s="41">
        <v>100</v>
      </c>
      <c r="H62" t="b">
        <f>COUNTIFS(tblCostChecklist[RequirementID],tblCost[[#This Row],[RequirementID]],tblCostChecklist[PlayerPaid],TRUE)&gt;0</f>
        <v>0</v>
      </c>
      <c r="I62" s="41">
        <f>COUNTIF(tblCost[TargetID],tblCost[[#This Row],[TargetID]])</f>
        <v>6</v>
      </c>
      <c r="J62" s="41">
        <f>COUNTIFS(tblCost[TargetID],tblCost[[#This Row],[TargetID]],tblCost[PlayerPaid],TRUE)</f>
        <v>0</v>
      </c>
      <c r="K62" s="41">
        <f>tblCost[[#This Row],[TargetRequirements]]-tblCost[[#This Row],[CompletedRequirements]]</f>
        <v>6</v>
      </c>
      <c r="L62" s="41" t="b">
        <f>tblCost[[#This Row],[RemainingRequirements]]=0</f>
        <v>0</v>
      </c>
      <c r="M62" s="43">
        <f>IF(tblCost[[#This Row],[TargetRequirements]]=0,0,tblCost[[#This Row],[CompletedRequirements]]/tblCost[[#This Row],[TargetRequirements]])</f>
        <v>0</v>
      </c>
    </row>
    <row r="63" spans="1:13">
      <c r="A63" s="41" t="s">
        <v>3720</v>
      </c>
      <c r="B63" s="41" t="str">
        <f>_xlfn.TEXTAFTER(_xlfn.TEXTBEFORE(tblCost[[#This Row],[RequirementID]],".",-2),"cost.")</f>
        <v>building.caravan@1</v>
      </c>
      <c r="C63" s="41" t="str">
        <f>_xlfn.XLOOKUP(tblCost[[#This Row],[TargetID]],tblTargets[TargetID],tblTargets[DisplayName],"")</f>
        <v>Caravan Lv 1</v>
      </c>
      <c r="D63" s="41" t="str">
        <f>_xlfn.XLOOKUP(tblCost[[#This Row],[TargetID]],tblTargets[TargetID],tblTargets[TargetType],"")</f>
        <v>BUILDING</v>
      </c>
      <c r="E63" s="41" t="s">
        <v>708</v>
      </c>
      <c r="F63" s="62" t="str">
        <f>RIGHT(tblCost[[#This Row],[RequirementID]],1)</f>
        <v>1</v>
      </c>
      <c r="G63" s="41">
        <v>5</v>
      </c>
      <c r="H63" t="b">
        <f>COUNTIFS(tblCostChecklist[RequirementID],tblCost[[#This Row],[RequirementID]],tblCostChecklist[PlayerPaid],TRUE)&gt;0</f>
        <v>0</v>
      </c>
      <c r="I63" s="41">
        <f>COUNTIF(tblCost[TargetID],tblCost[[#This Row],[TargetID]])</f>
        <v>6</v>
      </c>
      <c r="J63" s="41">
        <f>COUNTIFS(tblCost[TargetID],tblCost[[#This Row],[TargetID]],tblCost[PlayerPaid],TRUE)</f>
        <v>0</v>
      </c>
      <c r="K63" s="41">
        <f>tblCost[[#This Row],[TargetRequirements]]-tblCost[[#This Row],[CompletedRequirements]]</f>
        <v>6</v>
      </c>
      <c r="L63" s="41" t="b">
        <f>tblCost[[#This Row],[RemainingRequirements]]=0</f>
        <v>0</v>
      </c>
      <c r="M63" s="43">
        <f>IF(tblCost[[#This Row],[TargetRequirements]]=0,0,tblCost[[#This Row],[CompletedRequirements]]/tblCost[[#This Row],[TargetRequirements]])</f>
        <v>0</v>
      </c>
    </row>
    <row r="64" spans="1:13">
      <c r="A64" s="41" t="s">
        <v>3721</v>
      </c>
      <c r="B64" s="41" t="str">
        <f>_xlfn.TEXTAFTER(_xlfn.TEXTBEFORE(tblCost[[#This Row],[RequirementID]],".",-2),"cost.")</f>
        <v>building.caravan@1</v>
      </c>
      <c r="C64" s="41" t="str">
        <f>_xlfn.XLOOKUP(tblCost[[#This Row],[TargetID]],tblTargets[TargetID],tblTargets[DisplayName],"")</f>
        <v>Caravan Lv 1</v>
      </c>
      <c r="D64" s="41" t="str">
        <f>_xlfn.XLOOKUP(tblCost[[#This Row],[TargetID]],tblTargets[TargetID],tblTargets[TargetType],"")</f>
        <v>BUILDING</v>
      </c>
      <c r="E64" s="41" t="s">
        <v>666</v>
      </c>
      <c r="F64" s="62" t="str">
        <f>RIGHT(tblCost[[#This Row],[RequirementID]],1)</f>
        <v>1</v>
      </c>
      <c r="G64" s="41">
        <v>1000</v>
      </c>
      <c r="H64" t="b">
        <f>COUNTIFS(tblCostChecklist[RequirementID],tblCost[[#This Row],[RequirementID]],tblCostChecklist[PlayerPaid],TRUE)&gt;0</f>
        <v>0</v>
      </c>
      <c r="I64" s="41">
        <f>COUNTIF(tblCost[TargetID],tblCost[[#This Row],[TargetID]])</f>
        <v>6</v>
      </c>
      <c r="J64" s="41">
        <f>COUNTIFS(tblCost[TargetID],tblCost[[#This Row],[TargetID]],tblCost[PlayerPaid],TRUE)</f>
        <v>0</v>
      </c>
      <c r="K64" s="41">
        <f>tblCost[[#This Row],[TargetRequirements]]-tblCost[[#This Row],[CompletedRequirements]]</f>
        <v>6</v>
      </c>
      <c r="L64" s="41" t="b">
        <f>tblCost[[#This Row],[RemainingRequirements]]=0</f>
        <v>0</v>
      </c>
      <c r="M64" s="43">
        <f>IF(tblCost[[#This Row],[TargetRequirements]]=0,0,tblCost[[#This Row],[CompletedRequirements]]/tblCost[[#This Row],[TargetRequirements]])</f>
        <v>0</v>
      </c>
    </row>
    <row r="65" spans="1:13">
      <c r="A65" s="41" t="s">
        <v>3722</v>
      </c>
      <c r="B65" s="41" t="str">
        <f>_xlfn.TEXTAFTER(_xlfn.TEXTBEFORE(tblCost[[#This Row],[RequirementID]],".",-2),"cost.")</f>
        <v>building.caravan@1</v>
      </c>
      <c r="C65" s="41" t="str">
        <f>_xlfn.XLOOKUP(tblCost[[#This Row],[TargetID]],tblTargets[TargetID],tblTargets[DisplayName],"")</f>
        <v>Caravan Lv 1</v>
      </c>
      <c r="D65" s="41" t="str">
        <f>_xlfn.XLOOKUP(tblCost[[#This Row],[TargetID]],tblTargets[TargetID],tblTargets[TargetType],"")</f>
        <v>BUILDING</v>
      </c>
      <c r="E65" s="41" t="s">
        <v>701</v>
      </c>
      <c r="F65" s="62" t="str">
        <f>RIGHT(tblCost[[#This Row],[RequirementID]],1)</f>
        <v>1</v>
      </c>
      <c r="G65" s="41">
        <v>400</v>
      </c>
      <c r="H65" t="b">
        <f>COUNTIFS(tblCostChecklist[RequirementID],tblCost[[#This Row],[RequirementID]],tblCostChecklist[PlayerPaid],TRUE)&gt;0</f>
        <v>0</v>
      </c>
      <c r="I65" s="41">
        <f>COUNTIF(tblCost[TargetID],tblCost[[#This Row],[TargetID]])</f>
        <v>6</v>
      </c>
      <c r="J65" s="41">
        <f>COUNTIFS(tblCost[TargetID],tblCost[[#This Row],[TargetID]],tblCost[PlayerPaid],TRUE)</f>
        <v>0</v>
      </c>
      <c r="K65" s="41">
        <f>tblCost[[#This Row],[TargetRequirements]]-tblCost[[#This Row],[CompletedRequirements]]</f>
        <v>6</v>
      </c>
      <c r="L65" s="41" t="b">
        <f>tblCost[[#This Row],[RemainingRequirements]]=0</f>
        <v>0</v>
      </c>
      <c r="M65" s="43">
        <f>IF(tblCost[[#This Row],[TargetRequirements]]=0,0,tblCost[[#This Row],[CompletedRequirements]]/tblCost[[#This Row],[TargetRequirements]])</f>
        <v>0</v>
      </c>
    </row>
    <row r="66" spans="1:13">
      <c r="A66" s="41" t="s">
        <v>3723</v>
      </c>
      <c r="B66" s="41" t="str">
        <f>_xlfn.TEXTAFTER(_xlfn.TEXTBEFORE(tblCost[[#This Row],[RequirementID]],".",-2),"cost.")</f>
        <v>building.caravan@1</v>
      </c>
      <c r="C66" s="41" t="str">
        <f>_xlfn.XLOOKUP(tblCost[[#This Row],[TargetID]],tblTargets[TargetID],tblTargets[DisplayName],"")</f>
        <v>Caravan Lv 1</v>
      </c>
      <c r="D66" s="41" t="str">
        <f>_xlfn.XLOOKUP(tblCost[[#This Row],[TargetID]],tblTargets[TargetID],tblTargets[TargetType],"")</f>
        <v>BUILDING</v>
      </c>
      <c r="E66" s="41" t="s">
        <v>717</v>
      </c>
      <c r="F66" s="62" t="str">
        <f>RIGHT(tblCost[[#This Row],[RequirementID]],1)</f>
        <v>1</v>
      </c>
      <c r="G66" s="41">
        <v>200</v>
      </c>
      <c r="H66" t="b">
        <f>COUNTIFS(tblCostChecklist[RequirementID],tblCost[[#This Row],[RequirementID]],tblCostChecklist[PlayerPaid],TRUE)&gt;0</f>
        <v>0</v>
      </c>
      <c r="I66" s="41">
        <f>COUNTIF(tblCost[TargetID],tblCost[[#This Row],[TargetID]])</f>
        <v>6</v>
      </c>
      <c r="J66" s="41">
        <f>COUNTIFS(tblCost[TargetID],tblCost[[#This Row],[TargetID]],tblCost[PlayerPaid],TRUE)</f>
        <v>0</v>
      </c>
      <c r="K66" s="41">
        <f>tblCost[[#This Row],[TargetRequirements]]-tblCost[[#This Row],[CompletedRequirements]]</f>
        <v>6</v>
      </c>
      <c r="L66" s="41" t="b">
        <f>tblCost[[#This Row],[RemainingRequirements]]=0</f>
        <v>0</v>
      </c>
      <c r="M66" s="43">
        <f>IF(tblCost[[#This Row],[TargetRequirements]]=0,0,tblCost[[#This Row],[CompletedRequirements]]/tblCost[[#This Row],[TargetRequirements]])</f>
        <v>0</v>
      </c>
    </row>
    <row r="67" spans="1:13">
      <c r="A67" s="41" t="s">
        <v>3724</v>
      </c>
      <c r="B67" s="41" t="str">
        <f>_xlfn.TEXTAFTER(_xlfn.TEXTBEFORE(tblCost[[#This Row],[RequirementID]],".",-2),"cost.")</f>
        <v>building.caravan@1</v>
      </c>
      <c r="C67" s="41" t="str">
        <f>_xlfn.XLOOKUP(tblCost[[#This Row],[TargetID]],tblTargets[TargetID],tblTargets[DisplayName],"")</f>
        <v>Caravan Lv 1</v>
      </c>
      <c r="D67" s="41" t="str">
        <f>_xlfn.XLOOKUP(tblCost[[#This Row],[TargetID]],tblTargets[TargetID],tblTargets[TargetType],"")</f>
        <v>BUILDING</v>
      </c>
      <c r="E67" s="41" t="s">
        <v>659</v>
      </c>
      <c r="F67" s="62" t="str">
        <f>RIGHT(tblCost[[#This Row],[RequirementID]],1)</f>
        <v>1</v>
      </c>
      <c r="G67" s="41">
        <v>50</v>
      </c>
      <c r="H67" t="b">
        <f>COUNTIFS(tblCostChecklist[RequirementID],tblCost[[#This Row],[RequirementID]],tblCostChecklist[PlayerPaid],TRUE)&gt;0</f>
        <v>0</v>
      </c>
      <c r="I67" s="41">
        <f>COUNTIF(tblCost[TargetID],tblCost[[#This Row],[TargetID]])</f>
        <v>6</v>
      </c>
      <c r="J67" s="41">
        <f>COUNTIFS(tblCost[TargetID],tblCost[[#This Row],[TargetID]],tblCost[PlayerPaid],TRUE)</f>
        <v>0</v>
      </c>
      <c r="K67" s="41">
        <f>tblCost[[#This Row],[TargetRequirements]]-tblCost[[#This Row],[CompletedRequirements]]</f>
        <v>6</v>
      </c>
      <c r="L67" s="41" t="b">
        <f>tblCost[[#This Row],[RemainingRequirements]]=0</f>
        <v>0</v>
      </c>
      <c r="M67" s="43">
        <f>IF(tblCost[[#This Row],[TargetRequirements]]=0,0,tblCost[[#This Row],[CompletedRequirements]]/tblCost[[#This Row],[TargetRequirements]])</f>
        <v>0</v>
      </c>
    </row>
    <row r="68" spans="1:13">
      <c r="A68" s="41" t="s">
        <v>3725</v>
      </c>
      <c r="B68" s="41" t="str">
        <f>_xlfn.TEXTAFTER(_xlfn.TEXTBEFORE(tblCost[[#This Row],[RequirementID]],".",-2),"cost.")</f>
        <v>building.caravan@1</v>
      </c>
      <c r="C68" s="41" t="str">
        <f>_xlfn.XLOOKUP(tblCost[[#This Row],[TargetID]],tblTargets[TargetID],tblTargets[DisplayName],"")</f>
        <v>Caravan Lv 1</v>
      </c>
      <c r="D68" s="41" t="str">
        <f>_xlfn.XLOOKUP(tblCost[[#This Row],[TargetID]],tblTargets[TargetID],tblTargets[TargetType],"")</f>
        <v>BUILDING</v>
      </c>
      <c r="E68" s="41" t="s">
        <v>718</v>
      </c>
      <c r="F68" s="62" t="str">
        <f>RIGHT(tblCost[[#This Row],[RequirementID]],1)</f>
        <v>1</v>
      </c>
      <c r="G68" s="41">
        <v>10</v>
      </c>
      <c r="H68" t="b">
        <f>COUNTIFS(tblCostChecklist[RequirementID],tblCost[[#This Row],[RequirementID]],tblCostChecklist[PlayerPaid],TRUE)&gt;0</f>
        <v>0</v>
      </c>
      <c r="I68" s="41">
        <f>COUNTIF(tblCost[TargetID],tblCost[[#This Row],[TargetID]])</f>
        <v>6</v>
      </c>
      <c r="J68" s="41">
        <f>COUNTIFS(tblCost[TargetID],tblCost[[#This Row],[TargetID]],tblCost[PlayerPaid],TRUE)</f>
        <v>0</v>
      </c>
      <c r="K68" s="41">
        <f>tblCost[[#This Row],[TargetRequirements]]-tblCost[[#This Row],[CompletedRequirements]]</f>
        <v>6</v>
      </c>
      <c r="L68" s="41" t="b">
        <f>tblCost[[#This Row],[RemainingRequirements]]=0</f>
        <v>0</v>
      </c>
      <c r="M68" s="43">
        <f>IF(tblCost[[#This Row],[TargetRequirements]]=0,0,tblCost[[#This Row],[CompletedRequirements]]/tblCost[[#This Row],[TargetRequirements]])</f>
        <v>0</v>
      </c>
    </row>
    <row r="69" spans="1:13">
      <c r="A69" s="41" t="s">
        <v>3726</v>
      </c>
      <c r="B69" s="41" t="str">
        <f>_xlfn.TEXTAFTER(_xlfn.TEXTBEFORE(tblCost[[#This Row],[RequirementID]],".",-2),"cost.")</f>
        <v>building.caravan@2</v>
      </c>
      <c r="C69" s="41" t="str">
        <f>_xlfn.XLOOKUP(tblCost[[#This Row],[TargetID]],tblTargets[TargetID],tblTargets[DisplayName],"")</f>
        <v>Caravan Lv 2</v>
      </c>
      <c r="D69" s="41" t="str">
        <f>_xlfn.XLOOKUP(tblCost[[#This Row],[TargetID]],tblTargets[TargetID],tblTargets[TargetType],"")</f>
        <v>BUILDING</v>
      </c>
      <c r="E69" s="41" t="s">
        <v>708</v>
      </c>
      <c r="F69" s="62" t="str">
        <f>RIGHT(tblCost[[#This Row],[RequirementID]],1)</f>
        <v>1</v>
      </c>
      <c r="G69" s="41">
        <v>7</v>
      </c>
      <c r="H69" t="b">
        <f>COUNTIFS(tblCostChecklist[RequirementID],tblCost[[#This Row],[RequirementID]],tblCostChecklist[PlayerPaid],TRUE)&gt;0</f>
        <v>0</v>
      </c>
      <c r="I69" s="41">
        <f>COUNTIF(tblCost[TargetID],tblCost[[#This Row],[TargetID]])</f>
        <v>6</v>
      </c>
      <c r="J69" s="41">
        <f>COUNTIFS(tblCost[TargetID],tblCost[[#This Row],[TargetID]],tblCost[PlayerPaid],TRUE)</f>
        <v>0</v>
      </c>
      <c r="K69" s="41">
        <f>tblCost[[#This Row],[TargetRequirements]]-tblCost[[#This Row],[CompletedRequirements]]</f>
        <v>6</v>
      </c>
      <c r="L69" s="41" t="b">
        <f>tblCost[[#This Row],[RemainingRequirements]]=0</f>
        <v>0</v>
      </c>
      <c r="M69" s="43">
        <f>IF(tblCost[[#This Row],[TargetRequirements]]=0,0,tblCost[[#This Row],[CompletedRequirements]]/tblCost[[#This Row],[TargetRequirements]])</f>
        <v>0</v>
      </c>
    </row>
    <row r="70" spans="1:13">
      <c r="A70" s="41" t="s">
        <v>3727</v>
      </c>
      <c r="B70" s="41" t="str">
        <f>_xlfn.TEXTAFTER(_xlfn.TEXTBEFORE(tblCost[[#This Row],[RequirementID]],".",-2),"cost.")</f>
        <v>building.caravan@2</v>
      </c>
      <c r="C70" s="41" t="str">
        <f>_xlfn.XLOOKUP(tblCost[[#This Row],[TargetID]],tblTargets[TargetID],tblTargets[DisplayName],"")</f>
        <v>Caravan Lv 2</v>
      </c>
      <c r="D70" s="41" t="str">
        <f>_xlfn.XLOOKUP(tblCost[[#This Row],[TargetID]],tblTargets[TargetID],tblTargets[TargetType],"")</f>
        <v>BUILDING</v>
      </c>
      <c r="E70" s="41" t="s">
        <v>666</v>
      </c>
      <c r="F70" s="62" t="str">
        <f>RIGHT(tblCost[[#This Row],[RequirementID]],1)</f>
        <v>1</v>
      </c>
      <c r="G70" s="41">
        <v>1200</v>
      </c>
      <c r="H70" t="b">
        <f>COUNTIFS(tblCostChecklist[RequirementID],tblCost[[#This Row],[RequirementID]],tblCostChecklist[PlayerPaid],TRUE)&gt;0</f>
        <v>0</v>
      </c>
      <c r="I70" s="41">
        <f>COUNTIF(tblCost[TargetID],tblCost[[#This Row],[TargetID]])</f>
        <v>6</v>
      </c>
      <c r="J70" s="41">
        <f>COUNTIFS(tblCost[TargetID],tblCost[[#This Row],[TargetID]],tblCost[PlayerPaid],TRUE)</f>
        <v>0</v>
      </c>
      <c r="K70" s="41">
        <f>tblCost[[#This Row],[TargetRequirements]]-tblCost[[#This Row],[CompletedRequirements]]</f>
        <v>6</v>
      </c>
      <c r="L70" s="41" t="b">
        <f>tblCost[[#This Row],[RemainingRequirements]]=0</f>
        <v>0</v>
      </c>
      <c r="M70" s="43">
        <f>IF(tblCost[[#This Row],[TargetRequirements]]=0,0,tblCost[[#This Row],[CompletedRequirements]]/tblCost[[#This Row],[TargetRequirements]])</f>
        <v>0</v>
      </c>
    </row>
    <row r="71" spans="1:13">
      <c r="A71" s="41" t="s">
        <v>3728</v>
      </c>
      <c r="B71" s="41" t="str">
        <f>_xlfn.TEXTAFTER(_xlfn.TEXTBEFORE(tblCost[[#This Row],[RequirementID]],".",-2),"cost.")</f>
        <v>building.caravan@2</v>
      </c>
      <c r="C71" s="41" t="str">
        <f>_xlfn.XLOOKUP(tblCost[[#This Row],[TargetID]],tblTargets[TargetID],tblTargets[DisplayName],"")</f>
        <v>Caravan Lv 2</v>
      </c>
      <c r="D71" s="41" t="str">
        <f>_xlfn.XLOOKUP(tblCost[[#This Row],[TargetID]],tblTargets[TargetID],tblTargets[TargetType],"")</f>
        <v>BUILDING</v>
      </c>
      <c r="E71" s="41" t="s">
        <v>701</v>
      </c>
      <c r="F71" s="62" t="str">
        <f>RIGHT(tblCost[[#This Row],[RequirementID]],1)</f>
        <v>1</v>
      </c>
      <c r="G71" s="41">
        <v>600</v>
      </c>
      <c r="H71" t="b">
        <f>COUNTIFS(tblCostChecklist[RequirementID],tblCost[[#This Row],[RequirementID]],tblCostChecklist[PlayerPaid],TRUE)&gt;0</f>
        <v>0</v>
      </c>
      <c r="I71" s="41">
        <f>COUNTIF(tblCost[TargetID],tblCost[[#This Row],[TargetID]])</f>
        <v>6</v>
      </c>
      <c r="J71" s="41">
        <f>COUNTIFS(tblCost[TargetID],tblCost[[#This Row],[TargetID]],tblCost[PlayerPaid],TRUE)</f>
        <v>0</v>
      </c>
      <c r="K71" s="41">
        <f>tblCost[[#This Row],[TargetRequirements]]-tblCost[[#This Row],[CompletedRequirements]]</f>
        <v>6</v>
      </c>
      <c r="L71" s="41" t="b">
        <f>tblCost[[#This Row],[RemainingRequirements]]=0</f>
        <v>0</v>
      </c>
      <c r="M71" s="43">
        <f>IF(tblCost[[#This Row],[TargetRequirements]]=0,0,tblCost[[#This Row],[CompletedRequirements]]/tblCost[[#This Row],[TargetRequirements]])</f>
        <v>0</v>
      </c>
    </row>
    <row r="72" spans="1:13">
      <c r="A72" s="41" t="s">
        <v>3729</v>
      </c>
      <c r="B72" s="41" t="str">
        <f>_xlfn.TEXTAFTER(_xlfn.TEXTBEFORE(tblCost[[#This Row],[RequirementID]],".",-2),"cost.")</f>
        <v>building.caravan@2</v>
      </c>
      <c r="C72" s="41" t="str">
        <f>_xlfn.XLOOKUP(tblCost[[#This Row],[TargetID]],tblTargets[TargetID],tblTargets[DisplayName],"")</f>
        <v>Caravan Lv 2</v>
      </c>
      <c r="D72" s="41" t="str">
        <f>_xlfn.XLOOKUP(tblCost[[#This Row],[TargetID]],tblTargets[TargetID],tblTargets[TargetType],"")</f>
        <v>BUILDING</v>
      </c>
      <c r="E72" s="41" t="s">
        <v>717</v>
      </c>
      <c r="F72" s="62" t="str">
        <f>RIGHT(tblCost[[#This Row],[RequirementID]],1)</f>
        <v>1</v>
      </c>
      <c r="G72" s="41">
        <v>300</v>
      </c>
      <c r="H72" t="b">
        <f>COUNTIFS(tblCostChecklist[RequirementID],tblCost[[#This Row],[RequirementID]],tblCostChecklist[PlayerPaid],TRUE)&gt;0</f>
        <v>0</v>
      </c>
      <c r="I72" s="41">
        <f>COUNTIF(tblCost[TargetID],tblCost[[#This Row],[TargetID]])</f>
        <v>6</v>
      </c>
      <c r="J72" s="41">
        <f>COUNTIFS(tblCost[TargetID],tblCost[[#This Row],[TargetID]],tblCost[PlayerPaid],TRUE)</f>
        <v>0</v>
      </c>
      <c r="K72" s="41">
        <f>tblCost[[#This Row],[TargetRequirements]]-tblCost[[#This Row],[CompletedRequirements]]</f>
        <v>6</v>
      </c>
      <c r="L72" s="41" t="b">
        <f>tblCost[[#This Row],[RemainingRequirements]]=0</f>
        <v>0</v>
      </c>
      <c r="M72" s="43">
        <f>IF(tblCost[[#This Row],[TargetRequirements]]=0,0,tblCost[[#This Row],[CompletedRequirements]]/tblCost[[#This Row],[TargetRequirements]])</f>
        <v>0</v>
      </c>
    </row>
    <row r="73" spans="1:13">
      <c r="A73" s="41" t="s">
        <v>3730</v>
      </c>
      <c r="B73" s="41" t="str">
        <f>_xlfn.TEXTAFTER(_xlfn.TEXTBEFORE(tblCost[[#This Row],[RequirementID]],".",-2),"cost.")</f>
        <v>building.caravan@2</v>
      </c>
      <c r="C73" s="41" t="str">
        <f>_xlfn.XLOOKUP(tblCost[[#This Row],[TargetID]],tblTargets[TargetID],tblTargets[DisplayName],"")</f>
        <v>Caravan Lv 2</v>
      </c>
      <c r="D73" s="41" t="str">
        <f>_xlfn.XLOOKUP(tblCost[[#This Row],[TargetID]],tblTargets[TargetID],tblTargets[TargetType],"")</f>
        <v>BUILDING</v>
      </c>
      <c r="E73" s="41" t="s">
        <v>680</v>
      </c>
      <c r="F73" s="62" t="str">
        <f>RIGHT(tblCost[[#This Row],[RequirementID]],1)</f>
        <v>1</v>
      </c>
      <c r="G73" s="41">
        <v>50</v>
      </c>
      <c r="H73" t="b">
        <f>COUNTIFS(tblCostChecklist[RequirementID],tblCost[[#This Row],[RequirementID]],tblCostChecklist[PlayerPaid],TRUE)&gt;0</f>
        <v>0</v>
      </c>
      <c r="I73" s="41">
        <f>COUNTIF(tblCost[TargetID],tblCost[[#This Row],[TargetID]])</f>
        <v>6</v>
      </c>
      <c r="J73" s="41">
        <f>COUNTIFS(tblCost[TargetID],tblCost[[#This Row],[TargetID]],tblCost[PlayerPaid],TRUE)</f>
        <v>0</v>
      </c>
      <c r="K73" s="41">
        <f>tblCost[[#This Row],[TargetRequirements]]-tblCost[[#This Row],[CompletedRequirements]]</f>
        <v>6</v>
      </c>
      <c r="L73" s="41" t="b">
        <f>tblCost[[#This Row],[RemainingRequirements]]=0</f>
        <v>0</v>
      </c>
      <c r="M73" s="43">
        <f>IF(tblCost[[#This Row],[TargetRequirements]]=0,0,tblCost[[#This Row],[CompletedRequirements]]/tblCost[[#This Row],[TargetRequirements]])</f>
        <v>0</v>
      </c>
    </row>
    <row r="74" spans="1:13">
      <c r="A74" s="41" t="s">
        <v>3731</v>
      </c>
      <c r="B74" s="41" t="str">
        <f>_xlfn.TEXTAFTER(_xlfn.TEXTBEFORE(tblCost[[#This Row],[RequirementID]],".",-2),"cost.")</f>
        <v>building.caravan@2</v>
      </c>
      <c r="C74" s="41" t="str">
        <f>_xlfn.XLOOKUP(tblCost[[#This Row],[TargetID]],tblTargets[TargetID],tblTargets[DisplayName],"")</f>
        <v>Caravan Lv 2</v>
      </c>
      <c r="D74" s="41" t="str">
        <f>_xlfn.XLOOKUP(tblCost[[#This Row],[TargetID]],tblTargets[TargetID],tblTargets[TargetType],"")</f>
        <v>BUILDING</v>
      </c>
      <c r="E74" s="41" t="s">
        <v>671</v>
      </c>
      <c r="F74" s="62" t="str">
        <f>RIGHT(tblCost[[#This Row],[RequirementID]],1)</f>
        <v>1</v>
      </c>
      <c r="G74" s="41">
        <v>50</v>
      </c>
      <c r="H74" t="b">
        <f>COUNTIFS(tblCostChecklist[RequirementID],tblCost[[#This Row],[RequirementID]],tblCostChecklist[PlayerPaid],TRUE)&gt;0</f>
        <v>0</v>
      </c>
      <c r="I74" s="41">
        <f>COUNTIF(tblCost[TargetID],tblCost[[#This Row],[TargetID]])</f>
        <v>6</v>
      </c>
      <c r="J74" s="41">
        <f>COUNTIFS(tblCost[TargetID],tblCost[[#This Row],[TargetID]],tblCost[PlayerPaid],TRUE)</f>
        <v>0</v>
      </c>
      <c r="K74" s="41">
        <f>tblCost[[#This Row],[TargetRequirements]]-tblCost[[#This Row],[CompletedRequirements]]</f>
        <v>6</v>
      </c>
      <c r="L74" s="41" t="b">
        <f>tblCost[[#This Row],[RemainingRequirements]]=0</f>
        <v>0</v>
      </c>
      <c r="M74" s="43">
        <f>IF(tblCost[[#This Row],[TargetRequirements]]=0,0,tblCost[[#This Row],[CompletedRequirements]]/tblCost[[#This Row],[TargetRequirements]])</f>
        <v>0</v>
      </c>
    </row>
    <row r="75" spans="1:13">
      <c r="A75" s="41" t="s">
        <v>3732</v>
      </c>
      <c r="B75" s="41" t="str">
        <f>_xlfn.TEXTAFTER(_xlfn.TEXTBEFORE(tblCost[[#This Row],[RequirementID]],".",-2),"cost.")</f>
        <v>building.caravan@3</v>
      </c>
      <c r="C75" s="41" t="str">
        <f>_xlfn.XLOOKUP(tblCost[[#This Row],[TargetID]],tblTargets[TargetID],tblTargets[DisplayName],"")</f>
        <v>Caravan Lv 3</v>
      </c>
      <c r="D75" s="41" t="str">
        <f>_xlfn.XLOOKUP(tblCost[[#This Row],[TargetID]],tblTargets[TargetID],tblTargets[TargetType],"")</f>
        <v>BUILDING</v>
      </c>
      <c r="E75" s="41" t="s">
        <v>708</v>
      </c>
      <c r="F75" s="62" t="str">
        <f>RIGHT(tblCost[[#This Row],[RequirementID]],1)</f>
        <v>1</v>
      </c>
      <c r="G75" s="41">
        <v>9</v>
      </c>
      <c r="H75" t="b">
        <f>COUNTIFS(tblCostChecklist[RequirementID],tblCost[[#This Row],[RequirementID]],tblCostChecklist[PlayerPaid],TRUE)&gt;0</f>
        <v>0</v>
      </c>
      <c r="I75" s="41">
        <f>COUNTIF(tblCost[TargetID],tblCost[[#This Row],[TargetID]])</f>
        <v>6</v>
      </c>
      <c r="J75" s="41">
        <f>COUNTIFS(tblCost[TargetID],tblCost[[#This Row],[TargetID]],tblCost[PlayerPaid],TRUE)</f>
        <v>0</v>
      </c>
      <c r="K75" s="41">
        <f>tblCost[[#This Row],[TargetRequirements]]-tblCost[[#This Row],[CompletedRequirements]]</f>
        <v>6</v>
      </c>
      <c r="L75" s="41" t="b">
        <f>tblCost[[#This Row],[RemainingRequirements]]=0</f>
        <v>0</v>
      </c>
      <c r="M75" s="43">
        <f>IF(tblCost[[#This Row],[TargetRequirements]]=0,0,tblCost[[#This Row],[CompletedRequirements]]/tblCost[[#This Row],[TargetRequirements]])</f>
        <v>0</v>
      </c>
    </row>
    <row r="76" spans="1:13">
      <c r="A76" s="41" t="s">
        <v>3733</v>
      </c>
      <c r="B76" s="41" t="str">
        <f>_xlfn.TEXTAFTER(_xlfn.TEXTBEFORE(tblCost[[#This Row],[RequirementID]],".",-2),"cost.")</f>
        <v>building.caravan@3</v>
      </c>
      <c r="C76" s="41" t="str">
        <f>_xlfn.XLOOKUP(tblCost[[#This Row],[TargetID]],tblTargets[TargetID],tblTargets[DisplayName],"")</f>
        <v>Caravan Lv 3</v>
      </c>
      <c r="D76" s="41" t="str">
        <f>_xlfn.XLOOKUP(tblCost[[#This Row],[TargetID]],tblTargets[TargetID],tblTargets[TargetType],"")</f>
        <v>BUILDING</v>
      </c>
      <c r="E76" s="41" t="s">
        <v>666</v>
      </c>
      <c r="F76" s="62" t="str">
        <f>RIGHT(tblCost[[#This Row],[RequirementID]],1)</f>
        <v>1</v>
      </c>
      <c r="G76" s="41">
        <v>1500</v>
      </c>
      <c r="H76" t="b">
        <f>COUNTIFS(tblCostChecklist[RequirementID],tblCost[[#This Row],[RequirementID]],tblCostChecklist[PlayerPaid],TRUE)&gt;0</f>
        <v>0</v>
      </c>
      <c r="I76" s="41">
        <f>COUNTIF(tblCost[TargetID],tblCost[[#This Row],[TargetID]])</f>
        <v>6</v>
      </c>
      <c r="J76" s="41">
        <f>COUNTIFS(tblCost[TargetID],tblCost[[#This Row],[TargetID]],tblCost[PlayerPaid],TRUE)</f>
        <v>0</v>
      </c>
      <c r="K76" s="41">
        <f>tblCost[[#This Row],[TargetRequirements]]-tblCost[[#This Row],[CompletedRequirements]]</f>
        <v>6</v>
      </c>
      <c r="L76" s="41" t="b">
        <f>tblCost[[#This Row],[RemainingRequirements]]=0</f>
        <v>0</v>
      </c>
      <c r="M76" s="43">
        <f>IF(tblCost[[#This Row],[TargetRequirements]]=0,0,tblCost[[#This Row],[CompletedRequirements]]/tblCost[[#This Row],[TargetRequirements]])</f>
        <v>0</v>
      </c>
    </row>
    <row r="77" spans="1:13">
      <c r="A77" s="41" t="s">
        <v>3734</v>
      </c>
      <c r="B77" s="41" t="str">
        <f>_xlfn.TEXTAFTER(_xlfn.TEXTBEFORE(tblCost[[#This Row],[RequirementID]],".",-2),"cost.")</f>
        <v>building.caravan@3</v>
      </c>
      <c r="C77" s="41" t="str">
        <f>_xlfn.XLOOKUP(tblCost[[#This Row],[TargetID]],tblTargets[TargetID],tblTargets[DisplayName],"")</f>
        <v>Caravan Lv 3</v>
      </c>
      <c r="D77" s="41" t="str">
        <f>_xlfn.XLOOKUP(tblCost[[#This Row],[TargetID]],tblTargets[TargetID],tblTargets[TargetType],"")</f>
        <v>BUILDING</v>
      </c>
      <c r="E77" s="41" t="s">
        <v>701</v>
      </c>
      <c r="F77" s="62" t="str">
        <f>RIGHT(tblCost[[#This Row],[RequirementID]],1)</f>
        <v>1</v>
      </c>
      <c r="G77" s="41">
        <v>800</v>
      </c>
      <c r="H77" t="b">
        <f>COUNTIFS(tblCostChecklist[RequirementID],tblCost[[#This Row],[RequirementID]],tblCostChecklist[PlayerPaid],TRUE)&gt;0</f>
        <v>0</v>
      </c>
      <c r="I77" s="41">
        <f>COUNTIF(tblCost[TargetID],tblCost[[#This Row],[TargetID]])</f>
        <v>6</v>
      </c>
      <c r="J77" s="41">
        <f>COUNTIFS(tblCost[TargetID],tblCost[[#This Row],[TargetID]],tblCost[PlayerPaid],TRUE)</f>
        <v>0</v>
      </c>
      <c r="K77" s="41">
        <f>tblCost[[#This Row],[TargetRequirements]]-tblCost[[#This Row],[CompletedRequirements]]</f>
        <v>6</v>
      </c>
      <c r="L77" s="41" t="b">
        <f>tblCost[[#This Row],[RemainingRequirements]]=0</f>
        <v>0</v>
      </c>
      <c r="M77" s="43">
        <f>IF(tblCost[[#This Row],[TargetRequirements]]=0,0,tblCost[[#This Row],[CompletedRequirements]]/tblCost[[#This Row],[TargetRequirements]])</f>
        <v>0</v>
      </c>
    </row>
    <row r="78" spans="1:13">
      <c r="A78" s="41" t="s">
        <v>3735</v>
      </c>
      <c r="B78" s="41" t="str">
        <f>_xlfn.TEXTAFTER(_xlfn.TEXTBEFORE(tblCost[[#This Row],[RequirementID]],".",-2),"cost.")</f>
        <v>building.caravan@3</v>
      </c>
      <c r="C78" s="41" t="str">
        <f>_xlfn.XLOOKUP(tblCost[[#This Row],[TargetID]],tblTargets[TargetID],tblTargets[DisplayName],"")</f>
        <v>Caravan Lv 3</v>
      </c>
      <c r="D78" s="41" t="str">
        <f>_xlfn.XLOOKUP(tblCost[[#This Row],[TargetID]],tblTargets[TargetID],tblTargets[TargetType],"")</f>
        <v>BUILDING</v>
      </c>
      <c r="E78" s="41" t="s">
        <v>717</v>
      </c>
      <c r="F78" s="62" t="str">
        <f>RIGHT(tblCost[[#This Row],[RequirementID]],1)</f>
        <v>1</v>
      </c>
      <c r="G78" s="41">
        <v>400</v>
      </c>
      <c r="H78" t="b">
        <f>COUNTIFS(tblCostChecklist[RequirementID],tblCost[[#This Row],[RequirementID]],tblCostChecklist[PlayerPaid],TRUE)&gt;0</f>
        <v>0</v>
      </c>
      <c r="I78" s="41">
        <f>COUNTIF(tblCost[TargetID],tblCost[[#This Row],[TargetID]])</f>
        <v>6</v>
      </c>
      <c r="J78" s="41">
        <f>COUNTIFS(tblCost[TargetID],tblCost[[#This Row],[TargetID]],tblCost[PlayerPaid],TRUE)</f>
        <v>0</v>
      </c>
      <c r="K78" s="41">
        <f>tblCost[[#This Row],[TargetRequirements]]-tblCost[[#This Row],[CompletedRequirements]]</f>
        <v>6</v>
      </c>
      <c r="L78" s="41" t="b">
        <f>tblCost[[#This Row],[RemainingRequirements]]=0</f>
        <v>0</v>
      </c>
      <c r="M78" s="43">
        <f>IF(tblCost[[#This Row],[TargetRequirements]]=0,0,tblCost[[#This Row],[CompletedRequirements]]/tblCost[[#This Row],[TargetRequirements]])</f>
        <v>0</v>
      </c>
    </row>
    <row r="79" spans="1:13">
      <c r="A79" s="41" t="s">
        <v>3736</v>
      </c>
      <c r="B79" s="41" t="str">
        <f>_xlfn.TEXTAFTER(_xlfn.TEXTBEFORE(tblCost[[#This Row],[RequirementID]],".",-2),"cost.")</f>
        <v>building.caravan@3</v>
      </c>
      <c r="C79" s="41" t="str">
        <f>_xlfn.XLOOKUP(tblCost[[#This Row],[TargetID]],tblTargets[TargetID],tblTargets[DisplayName],"")</f>
        <v>Caravan Lv 3</v>
      </c>
      <c r="D79" s="41" t="str">
        <f>_xlfn.XLOOKUP(tblCost[[#This Row],[TargetID]],tblTargets[TargetID],tblTargets[TargetType],"")</f>
        <v>BUILDING</v>
      </c>
      <c r="E79" s="41" t="s">
        <v>697</v>
      </c>
      <c r="F79" s="62" t="str">
        <f>RIGHT(tblCost[[#This Row],[RequirementID]],1)</f>
        <v>1</v>
      </c>
      <c r="G79" s="41">
        <v>20</v>
      </c>
      <c r="H79" t="b">
        <f>COUNTIFS(tblCostChecklist[RequirementID],tblCost[[#This Row],[RequirementID]],tblCostChecklist[PlayerPaid],TRUE)&gt;0</f>
        <v>0</v>
      </c>
      <c r="I79" s="41">
        <f>COUNTIF(tblCost[TargetID],tblCost[[#This Row],[TargetID]])</f>
        <v>6</v>
      </c>
      <c r="J79" s="41">
        <f>COUNTIFS(tblCost[TargetID],tblCost[[#This Row],[TargetID]],tblCost[PlayerPaid],TRUE)</f>
        <v>0</v>
      </c>
      <c r="K79" s="41">
        <f>tblCost[[#This Row],[TargetRequirements]]-tblCost[[#This Row],[CompletedRequirements]]</f>
        <v>6</v>
      </c>
      <c r="L79" s="41" t="b">
        <f>tblCost[[#This Row],[RemainingRequirements]]=0</f>
        <v>0</v>
      </c>
      <c r="M79" s="43">
        <f>IF(tblCost[[#This Row],[TargetRequirements]]=0,0,tblCost[[#This Row],[CompletedRequirements]]/tblCost[[#This Row],[TargetRequirements]])</f>
        <v>0</v>
      </c>
    </row>
    <row r="80" spans="1:13">
      <c r="A80" s="41" t="s">
        <v>3737</v>
      </c>
      <c r="B80" s="41" t="str">
        <f>_xlfn.TEXTAFTER(_xlfn.TEXTBEFORE(tblCost[[#This Row],[RequirementID]],".",-2),"cost.")</f>
        <v>building.caravan@3</v>
      </c>
      <c r="C80" s="41" t="str">
        <f>_xlfn.XLOOKUP(tblCost[[#This Row],[TargetID]],tblTargets[TargetID],tblTargets[DisplayName],"")</f>
        <v>Caravan Lv 3</v>
      </c>
      <c r="D80" s="41" t="str">
        <f>_xlfn.XLOOKUP(tblCost[[#This Row],[TargetID]],tblTargets[TargetID],tblTargets[TargetType],"")</f>
        <v>BUILDING</v>
      </c>
      <c r="E80" s="41" t="s">
        <v>699</v>
      </c>
      <c r="F80" s="62" t="str">
        <f>RIGHT(tblCost[[#This Row],[RequirementID]],1)</f>
        <v>1</v>
      </c>
      <c r="G80" s="41">
        <v>10</v>
      </c>
      <c r="H80" t="b">
        <f>COUNTIFS(tblCostChecklist[RequirementID],tblCost[[#This Row],[RequirementID]],tblCostChecklist[PlayerPaid],TRUE)&gt;0</f>
        <v>0</v>
      </c>
      <c r="I80" s="41">
        <f>COUNTIF(tblCost[TargetID],tblCost[[#This Row],[TargetID]])</f>
        <v>6</v>
      </c>
      <c r="J80" s="41">
        <f>COUNTIFS(tblCost[TargetID],tblCost[[#This Row],[TargetID]],tblCost[PlayerPaid],TRUE)</f>
        <v>0</v>
      </c>
      <c r="K80" s="41">
        <f>tblCost[[#This Row],[TargetRequirements]]-tblCost[[#This Row],[CompletedRequirements]]</f>
        <v>6</v>
      </c>
      <c r="L80" s="41" t="b">
        <f>tblCost[[#This Row],[RemainingRequirements]]=0</f>
        <v>0</v>
      </c>
      <c r="M80" s="43">
        <f>IF(tblCost[[#This Row],[TargetRequirements]]=0,0,tblCost[[#This Row],[CompletedRequirements]]/tblCost[[#This Row],[TargetRequirements]])</f>
        <v>0</v>
      </c>
    </row>
    <row r="81" spans="1:13">
      <c r="A81" s="41" t="s">
        <v>3738</v>
      </c>
      <c r="B81" s="41" t="str">
        <f>_xlfn.TEXTAFTER(_xlfn.TEXTBEFORE(tblCost[[#This Row],[RequirementID]],".",-2),"cost.")</f>
        <v>building.caravan@4</v>
      </c>
      <c r="C81" s="41" t="str">
        <f>_xlfn.XLOOKUP(tblCost[[#This Row],[TargetID]],tblTargets[TargetID],tblTargets[DisplayName],"")</f>
        <v>Caravan Lv 4</v>
      </c>
      <c r="D81" s="41" t="str">
        <f>_xlfn.XLOOKUP(tblCost[[#This Row],[TargetID]],tblTargets[TargetID],tblTargets[TargetType],"")</f>
        <v>BUILDING</v>
      </c>
      <c r="E81" s="41" t="s">
        <v>708</v>
      </c>
      <c r="F81" s="62" t="str">
        <f>RIGHT(tblCost[[#This Row],[RequirementID]],1)</f>
        <v>1</v>
      </c>
      <c r="G81" s="41">
        <v>12</v>
      </c>
      <c r="H81" t="b">
        <f>COUNTIFS(tblCostChecklist[RequirementID],tblCost[[#This Row],[RequirementID]],tblCostChecklist[PlayerPaid],TRUE)&gt;0</f>
        <v>0</v>
      </c>
      <c r="I81" s="41">
        <f>COUNTIF(tblCost[TargetID],tblCost[[#This Row],[TargetID]])</f>
        <v>6</v>
      </c>
      <c r="J81" s="41">
        <f>COUNTIFS(tblCost[TargetID],tblCost[[#This Row],[TargetID]],tblCost[PlayerPaid],TRUE)</f>
        <v>0</v>
      </c>
      <c r="K81" s="41">
        <f>tblCost[[#This Row],[TargetRequirements]]-tblCost[[#This Row],[CompletedRequirements]]</f>
        <v>6</v>
      </c>
      <c r="L81" s="41" t="b">
        <f>tblCost[[#This Row],[RemainingRequirements]]=0</f>
        <v>0</v>
      </c>
      <c r="M81" s="43">
        <f>IF(tblCost[[#This Row],[TargetRequirements]]=0,0,tblCost[[#This Row],[CompletedRequirements]]/tblCost[[#This Row],[TargetRequirements]])</f>
        <v>0</v>
      </c>
    </row>
    <row r="82" spans="1:13">
      <c r="A82" s="41" t="s">
        <v>3739</v>
      </c>
      <c r="B82" s="41" t="str">
        <f>_xlfn.TEXTAFTER(_xlfn.TEXTBEFORE(tblCost[[#This Row],[RequirementID]],".",-2),"cost.")</f>
        <v>building.caravan@4</v>
      </c>
      <c r="C82" s="41" t="str">
        <f>_xlfn.XLOOKUP(tblCost[[#This Row],[TargetID]],tblTargets[TargetID],tblTargets[DisplayName],"")</f>
        <v>Caravan Lv 4</v>
      </c>
      <c r="D82" s="41" t="str">
        <f>_xlfn.XLOOKUP(tblCost[[#This Row],[TargetID]],tblTargets[TargetID],tblTargets[TargetType],"")</f>
        <v>BUILDING</v>
      </c>
      <c r="E82" s="41" t="s">
        <v>666</v>
      </c>
      <c r="F82" s="62" t="str">
        <f>RIGHT(tblCost[[#This Row],[RequirementID]],1)</f>
        <v>1</v>
      </c>
      <c r="G82" s="41">
        <v>2000</v>
      </c>
      <c r="H82" t="b">
        <f>COUNTIFS(tblCostChecklist[RequirementID],tblCost[[#This Row],[RequirementID]],tblCostChecklist[PlayerPaid],TRUE)&gt;0</f>
        <v>0</v>
      </c>
      <c r="I82" s="41">
        <f>COUNTIF(tblCost[TargetID],tblCost[[#This Row],[TargetID]])</f>
        <v>6</v>
      </c>
      <c r="J82" s="41">
        <f>COUNTIFS(tblCost[TargetID],tblCost[[#This Row],[TargetID]],tblCost[PlayerPaid],TRUE)</f>
        <v>0</v>
      </c>
      <c r="K82" s="41">
        <f>tblCost[[#This Row],[TargetRequirements]]-tblCost[[#This Row],[CompletedRequirements]]</f>
        <v>6</v>
      </c>
      <c r="L82" s="41" t="b">
        <f>tblCost[[#This Row],[RemainingRequirements]]=0</f>
        <v>0</v>
      </c>
      <c r="M82" s="43">
        <f>IF(tblCost[[#This Row],[TargetRequirements]]=0,0,tblCost[[#This Row],[CompletedRequirements]]/tblCost[[#This Row],[TargetRequirements]])</f>
        <v>0</v>
      </c>
    </row>
    <row r="83" spans="1:13">
      <c r="A83" s="41" t="s">
        <v>3740</v>
      </c>
      <c r="B83" s="41" t="str">
        <f>_xlfn.TEXTAFTER(_xlfn.TEXTBEFORE(tblCost[[#This Row],[RequirementID]],".",-2),"cost.")</f>
        <v>building.caravan@4</v>
      </c>
      <c r="C83" s="41" t="str">
        <f>_xlfn.XLOOKUP(tblCost[[#This Row],[TargetID]],tblTargets[TargetID],tblTargets[DisplayName],"")</f>
        <v>Caravan Lv 4</v>
      </c>
      <c r="D83" s="41" t="str">
        <f>_xlfn.XLOOKUP(tblCost[[#This Row],[TargetID]],tblTargets[TargetID],tblTargets[TargetType],"")</f>
        <v>BUILDING</v>
      </c>
      <c r="E83" s="41" t="s">
        <v>701</v>
      </c>
      <c r="F83" s="62" t="str">
        <f>RIGHT(tblCost[[#This Row],[RequirementID]],1)</f>
        <v>1</v>
      </c>
      <c r="G83" s="41">
        <v>1000</v>
      </c>
      <c r="H83" t="b">
        <f>COUNTIFS(tblCostChecklist[RequirementID],tblCost[[#This Row],[RequirementID]],tblCostChecklist[PlayerPaid],TRUE)&gt;0</f>
        <v>0</v>
      </c>
      <c r="I83" s="41">
        <f>COUNTIF(tblCost[TargetID],tblCost[[#This Row],[TargetID]])</f>
        <v>6</v>
      </c>
      <c r="J83" s="41">
        <f>COUNTIFS(tblCost[TargetID],tblCost[[#This Row],[TargetID]],tblCost[PlayerPaid],TRUE)</f>
        <v>0</v>
      </c>
      <c r="K83" s="41">
        <f>tblCost[[#This Row],[TargetRequirements]]-tblCost[[#This Row],[CompletedRequirements]]</f>
        <v>6</v>
      </c>
      <c r="L83" s="41" t="b">
        <f>tblCost[[#This Row],[RemainingRequirements]]=0</f>
        <v>0</v>
      </c>
      <c r="M83" s="43">
        <f>IF(tblCost[[#This Row],[TargetRequirements]]=0,0,tblCost[[#This Row],[CompletedRequirements]]/tblCost[[#This Row],[TargetRequirements]])</f>
        <v>0</v>
      </c>
    </row>
    <row r="84" spans="1:13">
      <c r="A84" s="41" t="s">
        <v>3741</v>
      </c>
      <c r="B84" s="41" t="str">
        <f>_xlfn.TEXTAFTER(_xlfn.TEXTBEFORE(tblCost[[#This Row],[RequirementID]],".",-2),"cost.")</f>
        <v>building.caravan@4</v>
      </c>
      <c r="C84" s="41" t="str">
        <f>_xlfn.XLOOKUP(tblCost[[#This Row],[TargetID]],tblTargets[TargetID],tblTargets[DisplayName],"")</f>
        <v>Caravan Lv 4</v>
      </c>
      <c r="D84" s="41" t="str">
        <f>_xlfn.XLOOKUP(tblCost[[#This Row],[TargetID]],tblTargets[TargetID],tblTargets[TargetType],"")</f>
        <v>BUILDING</v>
      </c>
      <c r="E84" s="41" t="s">
        <v>717</v>
      </c>
      <c r="F84" s="62" t="str">
        <f>RIGHT(tblCost[[#This Row],[RequirementID]],1)</f>
        <v>1</v>
      </c>
      <c r="G84" s="41">
        <v>500</v>
      </c>
      <c r="H84" t="b">
        <f>COUNTIFS(tblCostChecklist[RequirementID],tblCost[[#This Row],[RequirementID]],tblCostChecklist[PlayerPaid],TRUE)&gt;0</f>
        <v>0</v>
      </c>
      <c r="I84" s="41">
        <f>COUNTIF(tblCost[TargetID],tblCost[[#This Row],[TargetID]])</f>
        <v>6</v>
      </c>
      <c r="J84" s="41">
        <f>COUNTIFS(tblCost[TargetID],tblCost[[#This Row],[TargetID]],tblCost[PlayerPaid],TRUE)</f>
        <v>0</v>
      </c>
      <c r="K84" s="41">
        <f>tblCost[[#This Row],[TargetRequirements]]-tblCost[[#This Row],[CompletedRequirements]]</f>
        <v>6</v>
      </c>
      <c r="L84" s="41" t="b">
        <f>tblCost[[#This Row],[RemainingRequirements]]=0</f>
        <v>0</v>
      </c>
      <c r="M84" s="43">
        <f>IF(tblCost[[#This Row],[TargetRequirements]]=0,0,tblCost[[#This Row],[CompletedRequirements]]/tblCost[[#This Row],[TargetRequirements]])</f>
        <v>0</v>
      </c>
    </row>
    <row r="85" spans="1:13">
      <c r="A85" s="41" t="s">
        <v>3742</v>
      </c>
      <c r="B85" s="41" t="str">
        <f>_xlfn.TEXTAFTER(_xlfn.TEXTBEFORE(tblCost[[#This Row],[RequirementID]],".",-2),"cost.")</f>
        <v>building.caravan@4</v>
      </c>
      <c r="C85" s="41" t="str">
        <f>_xlfn.XLOOKUP(tblCost[[#This Row],[TargetID]],tblTargets[TargetID],tblTargets[DisplayName],"")</f>
        <v>Caravan Lv 4</v>
      </c>
      <c r="D85" s="41" t="str">
        <f>_xlfn.XLOOKUP(tblCost[[#This Row],[TargetID]],tblTargets[TargetID],tblTargets[TargetType],"")</f>
        <v>BUILDING</v>
      </c>
      <c r="E85" s="41" t="s">
        <v>711</v>
      </c>
      <c r="F85" s="62" t="str">
        <f>RIGHT(tblCost[[#This Row],[RequirementID]],1)</f>
        <v>1</v>
      </c>
      <c r="G85" s="41">
        <v>30</v>
      </c>
      <c r="H85" t="b">
        <f>COUNTIFS(tblCostChecklist[RequirementID],tblCost[[#This Row],[RequirementID]],tblCostChecklist[PlayerPaid],TRUE)&gt;0</f>
        <v>0</v>
      </c>
      <c r="I85" s="41">
        <f>COUNTIF(tblCost[TargetID],tblCost[[#This Row],[TargetID]])</f>
        <v>6</v>
      </c>
      <c r="J85" s="41">
        <f>COUNTIFS(tblCost[TargetID],tblCost[[#This Row],[TargetID]],tblCost[PlayerPaid],TRUE)</f>
        <v>0</v>
      </c>
      <c r="K85" s="41">
        <f>tblCost[[#This Row],[TargetRequirements]]-tblCost[[#This Row],[CompletedRequirements]]</f>
        <v>6</v>
      </c>
      <c r="L85" s="41" t="b">
        <f>tblCost[[#This Row],[RemainingRequirements]]=0</f>
        <v>0</v>
      </c>
      <c r="M85" s="43">
        <f>IF(tblCost[[#This Row],[TargetRequirements]]=0,0,tblCost[[#This Row],[CompletedRequirements]]/tblCost[[#This Row],[TargetRequirements]])</f>
        <v>0</v>
      </c>
    </row>
    <row r="86" spans="1:13">
      <c r="A86" s="41" t="s">
        <v>3743</v>
      </c>
      <c r="B86" s="41" t="str">
        <f>_xlfn.TEXTAFTER(_xlfn.TEXTBEFORE(tblCost[[#This Row],[RequirementID]],".",-2),"cost.")</f>
        <v>building.caravan@4</v>
      </c>
      <c r="C86" s="41" t="str">
        <f>_xlfn.XLOOKUP(tblCost[[#This Row],[TargetID]],tblTargets[TargetID],tblTargets[DisplayName],"")</f>
        <v>Caravan Lv 4</v>
      </c>
      <c r="D86" s="41" t="str">
        <f>_xlfn.XLOOKUP(tblCost[[#This Row],[TargetID]],tblTargets[TargetID],tblTargets[TargetType],"")</f>
        <v>BUILDING</v>
      </c>
      <c r="E86" s="41" t="s">
        <v>715</v>
      </c>
      <c r="F86" s="62" t="str">
        <f>RIGHT(tblCost[[#This Row],[RequirementID]],1)</f>
        <v>1</v>
      </c>
      <c r="G86" s="41">
        <v>5</v>
      </c>
      <c r="H86" t="b">
        <f>COUNTIFS(tblCostChecklist[RequirementID],tblCost[[#This Row],[RequirementID]],tblCostChecklist[PlayerPaid],TRUE)&gt;0</f>
        <v>0</v>
      </c>
      <c r="I86" s="41">
        <f>COUNTIF(tblCost[TargetID],tblCost[[#This Row],[TargetID]])</f>
        <v>6</v>
      </c>
      <c r="J86" s="41">
        <f>COUNTIFS(tblCost[TargetID],tblCost[[#This Row],[TargetID]],tblCost[PlayerPaid],TRUE)</f>
        <v>0</v>
      </c>
      <c r="K86" s="41">
        <f>tblCost[[#This Row],[TargetRequirements]]-tblCost[[#This Row],[CompletedRequirements]]</f>
        <v>6</v>
      </c>
      <c r="L86" s="41" t="b">
        <f>tblCost[[#This Row],[RemainingRequirements]]=0</f>
        <v>0</v>
      </c>
      <c r="M86" s="43">
        <f>IF(tblCost[[#This Row],[TargetRequirements]]=0,0,tblCost[[#This Row],[CompletedRequirements]]/tblCost[[#This Row],[TargetRequirements]])</f>
        <v>0</v>
      </c>
    </row>
    <row r="87" spans="1:13">
      <c r="A87" s="41" t="s">
        <v>3744</v>
      </c>
      <c r="B87" s="41" t="str">
        <f>_xlfn.TEXTAFTER(_xlfn.TEXTBEFORE(tblCost[[#This Row],[RequirementID]],".",-2),"cost.")</f>
        <v>building.chicken@1</v>
      </c>
      <c r="C87" s="41" t="str">
        <f>_xlfn.XLOOKUP(tblCost[[#This Row],[TargetID]],tblTargets[TargetID],tblTargets[DisplayName],"")</f>
        <v>Chicken Lv 1</v>
      </c>
      <c r="D87" s="41" t="str">
        <f>_xlfn.XLOOKUP(tblCost[[#This Row],[TargetID]],tblTargets[TargetID],tblTargets[TargetType],"")</f>
        <v>BUILDING</v>
      </c>
      <c r="E87" s="41" t="s">
        <v>708</v>
      </c>
      <c r="F87" s="62" t="str">
        <f>RIGHT(tblCost[[#This Row],[RequirementID]],1)</f>
        <v>1</v>
      </c>
      <c r="G87" s="41">
        <v>2</v>
      </c>
      <c r="H87" t="b">
        <f>COUNTIFS(tblCostChecklist[RequirementID],tblCost[[#This Row],[RequirementID]],tblCostChecklist[PlayerPaid],TRUE)&gt;0</f>
        <v>0</v>
      </c>
      <c r="I87" s="41">
        <f>COUNTIF(tblCost[TargetID],tblCost[[#This Row],[TargetID]])</f>
        <v>7</v>
      </c>
      <c r="J87" s="41">
        <f>COUNTIFS(tblCost[TargetID],tblCost[[#This Row],[TargetID]],tblCost[PlayerPaid],TRUE)</f>
        <v>0</v>
      </c>
      <c r="K87" s="41">
        <f>tblCost[[#This Row],[TargetRequirements]]-tblCost[[#This Row],[CompletedRequirements]]</f>
        <v>7</v>
      </c>
      <c r="L87" s="41" t="b">
        <f>tblCost[[#This Row],[RemainingRequirements]]=0</f>
        <v>0</v>
      </c>
      <c r="M87" s="43">
        <f>IF(tblCost[[#This Row],[TargetRequirements]]=0,0,tblCost[[#This Row],[CompletedRequirements]]/tblCost[[#This Row],[TargetRequirements]])</f>
        <v>0</v>
      </c>
    </row>
    <row r="88" spans="1:13">
      <c r="A88" s="41" t="s">
        <v>3745</v>
      </c>
      <c r="B88" s="41" t="str">
        <f>_xlfn.TEXTAFTER(_xlfn.TEXTBEFORE(tblCost[[#This Row],[RequirementID]],".",-2),"cost.")</f>
        <v>building.chicken@1</v>
      </c>
      <c r="C88" s="41" t="str">
        <f>_xlfn.XLOOKUP(tblCost[[#This Row],[TargetID]],tblTargets[TargetID],tblTargets[DisplayName],"")</f>
        <v>Chicken Lv 1</v>
      </c>
      <c r="D88" s="41" t="str">
        <f>_xlfn.XLOOKUP(tblCost[[#This Row],[TargetID]],tblTargets[TargetID],tblTargets[TargetType],"")</f>
        <v>BUILDING</v>
      </c>
      <c r="E88" s="41" t="s">
        <v>666</v>
      </c>
      <c r="F88" s="62" t="str">
        <f>RIGHT(tblCost[[#This Row],[RequirementID]],1)</f>
        <v>1</v>
      </c>
      <c r="G88" s="41">
        <v>400</v>
      </c>
      <c r="H88" t="b">
        <f>COUNTIFS(tblCostChecklist[RequirementID],tblCost[[#This Row],[RequirementID]],tblCostChecklist[PlayerPaid],TRUE)&gt;0</f>
        <v>0</v>
      </c>
      <c r="I88" s="41">
        <f>COUNTIF(tblCost[TargetID],tblCost[[#This Row],[TargetID]])</f>
        <v>7</v>
      </c>
      <c r="J88" s="41">
        <f>COUNTIFS(tblCost[TargetID],tblCost[[#This Row],[TargetID]],tblCost[PlayerPaid],TRUE)</f>
        <v>0</v>
      </c>
      <c r="K88" s="41">
        <f>tblCost[[#This Row],[TargetRequirements]]-tblCost[[#This Row],[CompletedRequirements]]</f>
        <v>7</v>
      </c>
      <c r="L88" s="41" t="b">
        <f>tblCost[[#This Row],[RemainingRequirements]]=0</f>
        <v>0</v>
      </c>
      <c r="M88" s="43">
        <f>IF(tblCost[[#This Row],[TargetRequirements]]=0,0,tblCost[[#This Row],[CompletedRequirements]]/tblCost[[#This Row],[TargetRequirements]])</f>
        <v>0</v>
      </c>
    </row>
    <row r="89" spans="1:13">
      <c r="A89" s="41" t="s">
        <v>3746</v>
      </c>
      <c r="B89" s="41" t="str">
        <f>_xlfn.TEXTAFTER(_xlfn.TEXTBEFORE(tblCost[[#This Row],[RequirementID]],".",-2),"cost.")</f>
        <v>building.chicken@1</v>
      </c>
      <c r="C89" s="41" t="str">
        <f>_xlfn.XLOOKUP(tblCost[[#This Row],[TargetID]],tblTargets[TargetID],tblTargets[DisplayName],"")</f>
        <v>Chicken Lv 1</v>
      </c>
      <c r="D89" s="41" t="str">
        <f>_xlfn.XLOOKUP(tblCost[[#This Row],[TargetID]],tblTargets[TargetID],tblTargets[TargetType],"")</f>
        <v>BUILDING</v>
      </c>
      <c r="E89" s="41" t="s">
        <v>658</v>
      </c>
      <c r="F89" s="62" t="str">
        <f>RIGHT(tblCost[[#This Row],[RequirementID]],1)</f>
        <v>1</v>
      </c>
      <c r="G89" s="41">
        <v>400</v>
      </c>
      <c r="H89" t="b">
        <f>COUNTIFS(tblCostChecklist[RequirementID],tblCost[[#This Row],[RequirementID]],tblCostChecklist[PlayerPaid],TRUE)&gt;0</f>
        <v>0</v>
      </c>
      <c r="I89" s="41">
        <f>COUNTIF(tblCost[TargetID],tblCost[[#This Row],[TargetID]])</f>
        <v>7</v>
      </c>
      <c r="J89" s="41">
        <f>COUNTIFS(tblCost[TargetID],tblCost[[#This Row],[TargetID]],tblCost[PlayerPaid],TRUE)</f>
        <v>0</v>
      </c>
      <c r="K89" s="41">
        <f>tblCost[[#This Row],[TargetRequirements]]-tblCost[[#This Row],[CompletedRequirements]]</f>
        <v>7</v>
      </c>
      <c r="L89" s="41" t="b">
        <f>tblCost[[#This Row],[RemainingRequirements]]=0</f>
        <v>0</v>
      </c>
      <c r="M89" s="43">
        <f>IF(tblCost[[#This Row],[TargetRequirements]]=0,0,tblCost[[#This Row],[CompletedRequirements]]/tblCost[[#This Row],[TargetRequirements]])</f>
        <v>0</v>
      </c>
    </row>
    <row r="90" spans="1:13">
      <c r="A90" s="41" t="s">
        <v>3747</v>
      </c>
      <c r="B90" s="41" t="str">
        <f>_xlfn.TEXTAFTER(_xlfn.TEXTBEFORE(tblCost[[#This Row],[RequirementID]],".",-2),"cost.")</f>
        <v>building.chicken@1</v>
      </c>
      <c r="C90" s="41" t="str">
        <f>_xlfn.XLOOKUP(tblCost[[#This Row],[TargetID]],tblTargets[TargetID],tblTargets[DisplayName],"")</f>
        <v>Chicken Lv 1</v>
      </c>
      <c r="D90" s="41" t="str">
        <f>_xlfn.XLOOKUP(tblCost[[#This Row],[TargetID]],tblTargets[TargetID],tblTargets[TargetType],"")</f>
        <v>BUILDING</v>
      </c>
      <c r="E90" s="41" t="s">
        <v>717</v>
      </c>
      <c r="F90" s="62" t="str">
        <f>RIGHT(tblCost[[#This Row],[RequirementID]],1)</f>
        <v>1</v>
      </c>
      <c r="G90" s="41">
        <v>200</v>
      </c>
      <c r="H90" t="b">
        <f>COUNTIFS(tblCostChecklist[RequirementID],tblCost[[#This Row],[RequirementID]],tblCostChecklist[PlayerPaid],TRUE)&gt;0</f>
        <v>0</v>
      </c>
      <c r="I90" s="41">
        <f>COUNTIF(tblCost[TargetID],tblCost[[#This Row],[TargetID]])</f>
        <v>7</v>
      </c>
      <c r="J90" s="41">
        <f>COUNTIFS(tblCost[TargetID],tblCost[[#This Row],[TargetID]],tblCost[PlayerPaid],TRUE)</f>
        <v>0</v>
      </c>
      <c r="K90" s="41">
        <f>tblCost[[#This Row],[TargetRequirements]]-tblCost[[#This Row],[CompletedRequirements]]</f>
        <v>7</v>
      </c>
      <c r="L90" s="41" t="b">
        <f>tblCost[[#This Row],[RemainingRequirements]]=0</f>
        <v>0</v>
      </c>
      <c r="M90" s="43">
        <f>IF(tblCost[[#This Row],[TargetRequirements]]=0,0,tblCost[[#This Row],[CompletedRequirements]]/tblCost[[#This Row],[TargetRequirements]])</f>
        <v>0</v>
      </c>
    </row>
    <row r="91" spans="1:13">
      <c r="A91" s="41" t="s">
        <v>3748</v>
      </c>
      <c r="B91" s="41" t="str">
        <f>_xlfn.TEXTAFTER(_xlfn.TEXTBEFORE(tblCost[[#This Row],[RequirementID]],".",-2),"cost.")</f>
        <v>building.chicken@1</v>
      </c>
      <c r="C91" s="41" t="str">
        <f>_xlfn.XLOOKUP(tblCost[[#This Row],[TargetID]],tblTargets[TargetID],tblTargets[DisplayName],"")</f>
        <v>Chicken Lv 1</v>
      </c>
      <c r="D91" s="41" t="str">
        <f>_xlfn.XLOOKUP(tblCost[[#This Row],[TargetID]],tblTargets[TargetID],tblTargets[TargetType],"")</f>
        <v>BUILDING</v>
      </c>
      <c r="E91" s="41" t="s">
        <v>722</v>
      </c>
      <c r="F91" s="62" t="str">
        <f>RIGHT(tblCost[[#This Row],[RequirementID]],1)</f>
        <v>1</v>
      </c>
      <c r="G91" s="41">
        <v>20</v>
      </c>
      <c r="H91" t="b">
        <f>COUNTIFS(tblCostChecklist[RequirementID],tblCost[[#This Row],[RequirementID]],tblCostChecklist[PlayerPaid],TRUE)&gt;0</f>
        <v>0</v>
      </c>
      <c r="I91" s="41">
        <f>COUNTIF(tblCost[TargetID],tblCost[[#This Row],[TargetID]])</f>
        <v>7</v>
      </c>
      <c r="J91" s="41">
        <f>COUNTIFS(tblCost[TargetID],tblCost[[#This Row],[TargetID]],tblCost[PlayerPaid],TRUE)</f>
        <v>0</v>
      </c>
      <c r="K91" s="41">
        <f>tblCost[[#This Row],[TargetRequirements]]-tblCost[[#This Row],[CompletedRequirements]]</f>
        <v>7</v>
      </c>
      <c r="L91" s="41" t="b">
        <f>tblCost[[#This Row],[RemainingRequirements]]=0</f>
        <v>0</v>
      </c>
      <c r="M91" s="43">
        <f>IF(tblCost[[#This Row],[TargetRequirements]]=0,0,tblCost[[#This Row],[CompletedRequirements]]/tblCost[[#This Row],[TargetRequirements]])</f>
        <v>0</v>
      </c>
    </row>
    <row r="92" spans="1:13">
      <c r="A92" s="41" t="s">
        <v>3749</v>
      </c>
      <c r="B92" s="41" t="str">
        <f>_xlfn.TEXTAFTER(_xlfn.TEXTBEFORE(tblCost[[#This Row],[RequirementID]],".",-2),"cost.")</f>
        <v>building.chicken@1</v>
      </c>
      <c r="C92" s="41" t="str">
        <f>_xlfn.XLOOKUP(tblCost[[#This Row],[TargetID]],tblTargets[TargetID],tblTargets[DisplayName],"")</f>
        <v>Chicken Lv 1</v>
      </c>
      <c r="D92" s="41" t="str">
        <f>_xlfn.XLOOKUP(tblCost[[#This Row],[TargetID]],tblTargets[TargetID],tblTargets[TargetType],"")</f>
        <v>BUILDING</v>
      </c>
      <c r="E92" s="41" t="s">
        <v>719</v>
      </c>
      <c r="F92" s="62" t="str">
        <f>RIGHT(tblCost[[#This Row],[RequirementID]],1)</f>
        <v>1</v>
      </c>
      <c r="G92" s="41">
        <v>10</v>
      </c>
      <c r="H92" t="b">
        <f>COUNTIFS(tblCostChecklist[RequirementID],tblCost[[#This Row],[RequirementID]],tblCostChecklist[PlayerPaid],TRUE)&gt;0</f>
        <v>0</v>
      </c>
      <c r="I92" s="41">
        <f>COUNTIF(tblCost[TargetID],tblCost[[#This Row],[TargetID]])</f>
        <v>7</v>
      </c>
      <c r="J92" s="41">
        <f>COUNTIFS(tblCost[TargetID],tblCost[[#This Row],[TargetID]],tblCost[PlayerPaid],TRUE)</f>
        <v>0</v>
      </c>
      <c r="K92" s="41">
        <f>tblCost[[#This Row],[TargetRequirements]]-tblCost[[#This Row],[CompletedRequirements]]</f>
        <v>7</v>
      </c>
      <c r="L92" s="41" t="b">
        <f>tblCost[[#This Row],[RemainingRequirements]]=0</f>
        <v>0</v>
      </c>
      <c r="M92" s="43">
        <f>IF(tblCost[[#This Row],[TargetRequirements]]=0,0,tblCost[[#This Row],[CompletedRequirements]]/tblCost[[#This Row],[TargetRequirements]])</f>
        <v>0</v>
      </c>
    </row>
    <row r="93" spans="1:13">
      <c r="A93" s="41" t="s">
        <v>3750</v>
      </c>
      <c r="B93" s="41" t="str">
        <f>_xlfn.TEXTAFTER(_xlfn.TEXTBEFORE(tblCost[[#This Row],[RequirementID]],".",-2),"cost.")</f>
        <v>building.chicken@1</v>
      </c>
      <c r="C93" s="41" t="str">
        <f>_xlfn.XLOOKUP(tblCost[[#This Row],[TargetID]],tblTargets[TargetID],tblTargets[DisplayName],"")</f>
        <v>Chicken Lv 1</v>
      </c>
      <c r="D93" s="41" t="str">
        <f>_xlfn.XLOOKUP(tblCost[[#This Row],[TargetID]],tblTargets[TargetID],tblTargets[TargetType],"")</f>
        <v>BUILDING</v>
      </c>
      <c r="E93" s="41" t="s">
        <v>669</v>
      </c>
      <c r="F93" s="62" t="str">
        <f>RIGHT(tblCost[[#This Row],[RequirementID]],1)</f>
        <v>1</v>
      </c>
      <c r="G93" s="41">
        <v>1</v>
      </c>
      <c r="H93" t="b">
        <f>COUNTIFS(tblCostChecklist[RequirementID],tblCost[[#This Row],[RequirementID]],tblCostChecklist[PlayerPaid],TRUE)&gt;0</f>
        <v>0</v>
      </c>
      <c r="I93" s="41">
        <f>COUNTIF(tblCost[TargetID],tblCost[[#This Row],[TargetID]])</f>
        <v>7</v>
      </c>
      <c r="J93" s="41">
        <f>COUNTIFS(tblCost[TargetID],tblCost[[#This Row],[TargetID]],tblCost[PlayerPaid],TRUE)</f>
        <v>0</v>
      </c>
      <c r="K93" s="41">
        <f>tblCost[[#This Row],[TargetRequirements]]-tblCost[[#This Row],[CompletedRequirements]]</f>
        <v>7</v>
      </c>
      <c r="L93" s="41" t="b">
        <f>tblCost[[#This Row],[RemainingRequirements]]=0</f>
        <v>0</v>
      </c>
      <c r="M93" s="43">
        <f>IF(tblCost[[#This Row],[TargetRequirements]]=0,0,tblCost[[#This Row],[CompletedRequirements]]/tblCost[[#This Row],[TargetRequirements]])</f>
        <v>0</v>
      </c>
    </row>
    <row r="94" spans="1:13">
      <c r="A94" s="41" t="s">
        <v>3751</v>
      </c>
      <c r="B94" s="41" t="str">
        <f>_xlfn.TEXTAFTER(_xlfn.TEXTBEFORE(tblCost[[#This Row],[RequirementID]],".",-2),"cost.")</f>
        <v>building.chicken@2</v>
      </c>
      <c r="C94" s="41" t="str">
        <f>_xlfn.XLOOKUP(tblCost[[#This Row],[TargetID]],tblTargets[TargetID],tblTargets[DisplayName],"")</f>
        <v>Chicken Lv 2</v>
      </c>
      <c r="D94" s="41" t="str">
        <f>_xlfn.XLOOKUP(tblCost[[#This Row],[TargetID]],tblTargets[TargetID],tblTargets[TargetType],"")</f>
        <v>BUILDING</v>
      </c>
      <c r="E94" s="41" t="s">
        <v>708</v>
      </c>
      <c r="F94" s="62" t="str">
        <f>RIGHT(tblCost[[#This Row],[RequirementID]],1)</f>
        <v>1</v>
      </c>
      <c r="G94" s="41">
        <v>3</v>
      </c>
      <c r="H94" t="b">
        <f>COUNTIFS(tblCostChecklist[RequirementID],tblCost[[#This Row],[RequirementID]],tblCostChecklist[PlayerPaid],TRUE)&gt;0</f>
        <v>0</v>
      </c>
      <c r="I94" s="41">
        <f>COUNTIF(tblCost[TargetID],tblCost[[#This Row],[TargetID]])</f>
        <v>7</v>
      </c>
      <c r="J94" s="41">
        <f>COUNTIFS(tblCost[TargetID],tblCost[[#This Row],[TargetID]],tblCost[PlayerPaid],TRUE)</f>
        <v>0</v>
      </c>
      <c r="K94" s="41">
        <f>tblCost[[#This Row],[TargetRequirements]]-tblCost[[#This Row],[CompletedRequirements]]</f>
        <v>7</v>
      </c>
      <c r="L94" s="41" t="b">
        <f>tblCost[[#This Row],[RemainingRequirements]]=0</f>
        <v>0</v>
      </c>
      <c r="M94" s="43">
        <f>IF(tblCost[[#This Row],[TargetRequirements]]=0,0,tblCost[[#This Row],[CompletedRequirements]]/tblCost[[#This Row],[TargetRequirements]])</f>
        <v>0</v>
      </c>
    </row>
    <row r="95" spans="1:13">
      <c r="A95" s="41" t="s">
        <v>3752</v>
      </c>
      <c r="B95" s="41" t="str">
        <f>_xlfn.TEXTAFTER(_xlfn.TEXTBEFORE(tblCost[[#This Row],[RequirementID]],".",-2),"cost.")</f>
        <v>building.chicken@2</v>
      </c>
      <c r="C95" s="41" t="str">
        <f>_xlfn.XLOOKUP(tblCost[[#This Row],[TargetID]],tblTargets[TargetID],tblTargets[DisplayName],"")</f>
        <v>Chicken Lv 2</v>
      </c>
      <c r="D95" s="41" t="str">
        <f>_xlfn.XLOOKUP(tblCost[[#This Row],[TargetID]],tblTargets[TargetID],tblTargets[TargetType],"")</f>
        <v>BUILDING</v>
      </c>
      <c r="E95" s="41" t="s">
        <v>666</v>
      </c>
      <c r="F95" s="62" t="str">
        <f>RIGHT(tblCost[[#This Row],[RequirementID]],1)</f>
        <v>1</v>
      </c>
      <c r="G95" s="41">
        <v>600</v>
      </c>
      <c r="H95" t="b">
        <f>COUNTIFS(tblCostChecklist[RequirementID],tblCost[[#This Row],[RequirementID]],tblCostChecklist[PlayerPaid],TRUE)&gt;0</f>
        <v>0</v>
      </c>
      <c r="I95" s="41">
        <f>COUNTIF(tblCost[TargetID],tblCost[[#This Row],[TargetID]])</f>
        <v>7</v>
      </c>
      <c r="J95" s="41">
        <f>COUNTIFS(tblCost[TargetID],tblCost[[#This Row],[TargetID]],tblCost[PlayerPaid],TRUE)</f>
        <v>0</v>
      </c>
      <c r="K95" s="41">
        <f>tblCost[[#This Row],[TargetRequirements]]-tblCost[[#This Row],[CompletedRequirements]]</f>
        <v>7</v>
      </c>
      <c r="L95" s="41" t="b">
        <f>tblCost[[#This Row],[RemainingRequirements]]=0</f>
        <v>0</v>
      </c>
      <c r="M95" s="43">
        <f>IF(tblCost[[#This Row],[TargetRequirements]]=0,0,tblCost[[#This Row],[CompletedRequirements]]/tblCost[[#This Row],[TargetRequirements]])</f>
        <v>0</v>
      </c>
    </row>
    <row r="96" spans="1:13">
      <c r="A96" s="41" t="s">
        <v>3753</v>
      </c>
      <c r="B96" s="41" t="str">
        <f>_xlfn.TEXTAFTER(_xlfn.TEXTBEFORE(tblCost[[#This Row],[RequirementID]],".",-2),"cost.")</f>
        <v>building.chicken@2</v>
      </c>
      <c r="C96" s="41" t="str">
        <f>_xlfn.XLOOKUP(tblCost[[#This Row],[TargetID]],tblTargets[TargetID],tblTargets[DisplayName],"")</f>
        <v>Chicken Lv 2</v>
      </c>
      <c r="D96" s="41" t="str">
        <f>_xlfn.XLOOKUP(tblCost[[#This Row],[TargetID]],tblTargets[TargetID],tblTargets[TargetType],"")</f>
        <v>BUILDING</v>
      </c>
      <c r="E96" s="41" t="s">
        <v>658</v>
      </c>
      <c r="F96" s="62" t="str">
        <f>RIGHT(tblCost[[#This Row],[RequirementID]],1)</f>
        <v>1</v>
      </c>
      <c r="G96" s="41">
        <v>600</v>
      </c>
      <c r="H96" t="b">
        <f>COUNTIFS(tblCostChecklist[RequirementID],tblCost[[#This Row],[RequirementID]],tblCostChecklist[PlayerPaid],TRUE)&gt;0</f>
        <v>0</v>
      </c>
      <c r="I96" s="41">
        <f>COUNTIF(tblCost[TargetID],tblCost[[#This Row],[TargetID]])</f>
        <v>7</v>
      </c>
      <c r="J96" s="41">
        <f>COUNTIFS(tblCost[TargetID],tblCost[[#This Row],[TargetID]],tblCost[PlayerPaid],TRUE)</f>
        <v>0</v>
      </c>
      <c r="K96" s="41">
        <f>tblCost[[#This Row],[TargetRequirements]]-tblCost[[#This Row],[CompletedRequirements]]</f>
        <v>7</v>
      </c>
      <c r="L96" s="41" t="b">
        <f>tblCost[[#This Row],[RemainingRequirements]]=0</f>
        <v>0</v>
      </c>
      <c r="M96" s="43">
        <f>IF(tblCost[[#This Row],[TargetRequirements]]=0,0,tblCost[[#This Row],[CompletedRequirements]]/tblCost[[#This Row],[TargetRequirements]])</f>
        <v>0</v>
      </c>
    </row>
    <row r="97" spans="1:13">
      <c r="A97" s="41" t="s">
        <v>3754</v>
      </c>
      <c r="B97" s="41" t="str">
        <f>_xlfn.TEXTAFTER(_xlfn.TEXTBEFORE(tblCost[[#This Row],[RequirementID]],".",-2),"cost.")</f>
        <v>building.chicken@2</v>
      </c>
      <c r="C97" s="41" t="str">
        <f>_xlfn.XLOOKUP(tblCost[[#This Row],[TargetID]],tblTargets[TargetID],tblTargets[DisplayName],"")</f>
        <v>Chicken Lv 2</v>
      </c>
      <c r="D97" s="41" t="str">
        <f>_xlfn.XLOOKUP(tblCost[[#This Row],[TargetID]],tblTargets[TargetID],tblTargets[TargetType],"")</f>
        <v>BUILDING</v>
      </c>
      <c r="E97" s="41" t="s">
        <v>717</v>
      </c>
      <c r="F97" s="62" t="str">
        <f>RIGHT(tblCost[[#This Row],[RequirementID]],1)</f>
        <v>1</v>
      </c>
      <c r="G97" s="41">
        <v>300</v>
      </c>
      <c r="H97" t="b">
        <f>COUNTIFS(tblCostChecklist[RequirementID],tblCost[[#This Row],[RequirementID]],tblCostChecklist[PlayerPaid],TRUE)&gt;0</f>
        <v>0</v>
      </c>
      <c r="I97" s="41">
        <f>COUNTIF(tblCost[TargetID],tblCost[[#This Row],[TargetID]])</f>
        <v>7</v>
      </c>
      <c r="J97" s="41">
        <f>COUNTIFS(tblCost[TargetID],tblCost[[#This Row],[TargetID]],tblCost[PlayerPaid],TRUE)</f>
        <v>0</v>
      </c>
      <c r="K97" s="41">
        <f>tblCost[[#This Row],[TargetRequirements]]-tblCost[[#This Row],[CompletedRequirements]]</f>
        <v>7</v>
      </c>
      <c r="L97" s="41" t="b">
        <f>tblCost[[#This Row],[RemainingRequirements]]=0</f>
        <v>0</v>
      </c>
      <c r="M97" s="43">
        <f>IF(tblCost[[#This Row],[TargetRequirements]]=0,0,tblCost[[#This Row],[CompletedRequirements]]/tblCost[[#This Row],[TargetRequirements]])</f>
        <v>0</v>
      </c>
    </row>
    <row r="98" spans="1:13">
      <c r="A98" s="41" t="s">
        <v>3755</v>
      </c>
      <c r="B98" s="41" t="str">
        <f>_xlfn.TEXTAFTER(_xlfn.TEXTBEFORE(tblCost[[#This Row],[RequirementID]],".",-2),"cost.")</f>
        <v>building.chicken@2</v>
      </c>
      <c r="C98" s="41" t="str">
        <f>_xlfn.XLOOKUP(tblCost[[#This Row],[TargetID]],tblTargets[TargetID],tblTargets[DisplayName],"")</f>
        <v>Chicken Lv 2</v>
      </c>
      <c r="D98" s="41" t="str">
        <f>_xlfn.XLOOKUP(tblCost[[#This Row],[TargetID]],tblTargets[TargetID],tblTargets[TargetType],"")</f>
        <v>BUILDING</v>
      </c>
      <c r="E98" s="41" t="s">
        <v>722</v>
      </c>
      <c r="F98" s="62" t="str">
        <f>RIGHT(tblCost[[#This Row],[RequirementID]],1)</f>
        <v>1</v>
      </c>
      <c r="G98" s="41">
        <v>20</v>
      </c>
      <c r="H98" t="b">
        <f>COUNTIFS(tblCostChecklist[RequirementID],tblCost[[#This Row],[RequirementID]],tblCostChecklist[PlayerPaid],TRUE)&gt;0</f>
        <v>0</v>
      </c>
      <c r="I98" s="41">
        <f>COUNTIF(tblCost[TargetID],tblCost[[#This Row],[TargetID]])</f>
        <v>7</v>
      </c>
      <c r="J98" s="41">
        <f>COUNTIFS(tblCost[TargetID],tblCost[[#This Row],[TargetID]],tblCost[PlayerPaid],TRUE)</f>
        <v>0</v>
      </c>
      <c r="K98" s="41">
        <f>tblCost[[#This Row],[TargetRequirements]]-tblCost[[#This Row],[CompletedRequirements]]</f>
        <v>7</v>
      </c>
      <c r="L98" s="41" t="b">
        <f>tblCost[[#This Row],[RemainingRequirements]]=0</f>
        <v>0</v>
      </c>
      <c r="M98" s="43">
        <f>IF(tblCost[[#This Row],[TargetRequirements]]=0,0,tblCost[[#This Row],[CompletedRequirements]]/tblCost[[#This Row],[TargetRequirements]])</f>
        <v>0</v>
      </c>
    </row>
    <row r="99" spans="1:13">
      <c r="A99" s="41" t="s">
        <v>3756</v>
      </c>
      <c r="B99" s="41" t="str">
        <f>_xlfn.TEXTAFTER(_xlfn.TEXTBEFORE(tblCost[[#This Row],[RequirementID]],".",-2),"cost.")</f>
        <v>building.chicken@2</v>
      </c>
      <c r="C99" s="41" t="str">
        <f>_xlfn.XLOOKUP(tblCost[[#This Row],[TargetID]],tblTargets[TargetID],tblTargets[DisplayName],"")</f>
        <v>Chicken Lv 2</v>
      </c>
      <c r="D99" s="41" t="str">
        <f>_xlfn.XLOOKUP(tblCost[[#This Row],[TargetID]],tblTargets[TargetID],tblTargets[TargetType],"")</f>
        <v>BUILDING</v>
      </c>
      <c r="E99" s="41" t="s">
        <v>719</v>
      </c>
      <c r="F99" s="62" t="str">
        <f>RIGHT(tblCost[[#This Row],[RequirementID]],1)</f>
        <v>1</v>
      </c>
      <c r="G99" s="41">
        <v>10</v>
      </c>
      <c r="H99" t="b">
        <f>COUNTIFS(tblCostChecklist[RequirementID],tblCost[[#This Row],[RequirementID]],tblCostChecklist[PlayerPaid],TRUE)&gt;0</f>
        <v>0</v>
      </c>
      <c r="I99" s="41">
        <f>COUNTIF(tblCost[TargetID],tblCost[[#This Row],[TargetID]])</f>
        <v>7</v>
      </c>
      <c r="J99" s="41">
        <f>COUNTIFS(tblCost[TargetID],tblCost[[#This Row],[TargetID]],tblCost[PlayerPaid],TRUE)</f>
        <v>0</v>
      </c>
      <c r="K99" s="41">
        <f>tblCost[[#This Row],[TargetRequirements]]-tblCost[[#This Row],[CompletedRequirements]]</f>
        <v>7</v>
      </c>
      <c r="L99" s="41" t="b">
        <f>tblCost[[#This Row],[RemainingRequirements]]=0</f>
        <v>0</v>
      </c>
      <c r="M99" s="43">
        <f>IF(tblCost[[#This Row],[TargetRequirements]]=0,0,tblCost[[#This Row],[CompletedRequirements]]/tblCost[[#This Row],[TargetRequirements]])</f>
        <v>0</v>
      </c>
    </row>
    <row r="100" spans="1:13">
      <c r="A100" s="41" t="s">
        <v>3757</v>
      </c>
      <c r="B100" s="41" t="str">
        <f>_xlfn.TEXTAFTER(_xlfn.TEXTBEFORE(tblCost[[#This Row],[RequirementID]],".",-2),"cost.")</f>
        <v>building.chicken@2</v>
      </c>
      <c r="C100" s="41" t="str">
        <f>_xlfn.XLOOKUP(tblCost[[#This Row],[TargetID]],tblTargets[TargetID],tblTargets[DisplayName],"")</f>
        <v>Chicken Lv 2</v>
      </c>
      <c r="D100" s="41" t="str">
        <f>_xlfn.XLOOKUP(tblCost[[#This Row],[TargetID]],tblTargets[TargetID],tblTargets[TargetType],"")</f>
        <v>BUILDING</v>
      </c>
      <c r="E100" s="41" t="s">
        <v>669</v>
      </c>
      <c r="F100" s="62" t="str">
        <f>RIGHT(tblCost[[#This Row],[RequirementID]],1)</f>
        <v>1</v>
      </c>
      <c r="G100" s="41">
        <v>1</v>
      </c>
      <c r="H100" t="b">
        <f>COUNTIFS(tblCostChecklist[RequirementID],tblCost[[#This Row],[RequirementID]],tblCostChecklist[PlayerPaid],TRUE)&gt;0</f>
        <v>0</v>
      </c>
      <c r="I100" s="41">
        <f>COUNTIF(tblCost[TargetID],tblCost[[#This Row],[TargetID]])</f>
        <v>7</v>
      </c>
      <c r="J100" s="41">
        <f>COUNTIFS(tblCost[TargetID],tblCost[[#This Row],[TargetID]],tblCost[PlayerPaid],TRUE)</f>
        <v>0</v>
      </c>
      <c r="K100" s="41">
        <f>tblCost[[#This Row],[TargetRequirements]]-tblCost[[#This Row],[CompletedRequirements]]</f>
        <v>7</v>
      </c>
      <c r="L100" s="41" t="b">
        <f>tblCost[[#This Row],[RemainingRequirements]]=0</f>
        <v>0</v>
      </c>
      <c r="M100" s="43">
        <f>IF(tblCost[[#This Row],[TargetRequirements]]=0,0,tblCost[[#This Row],[CompletedRequirements]]/tblCost[[#This Row],[TargetRequirements]])</f>
        <v>0</v>
      </c>
    </row>
    <row r="101" spans="1:13">
      <c r="A101" s="41" t="s">
        <v>3758</v>
      </c>
      <c r="B101" s="41" t="str">
        <f>_xlfn.TEXTAFTER(_xlfn.TEXTBEFORE(tblCost[[#This Row],[RequirementID]],".",-2),"cost.")</f>
        <v>building.dairy@1</v>
      </c>
      <c r="C101" s="41" t="str">
        <f>_xlfn.XLOOKUP(tblCost[[#This Row],[TargetID]],tblTargets[TargetID],tblTargets[DisplayName],"")</f>
        <v>Dairy Lv 1</v>
      </c>
      <c r="D101" s="41" t="str">
        <f>_xlfn.XLOOKUP(tblCost[[#This Row],[TargetID]],tblTargets[TargetID],tblTargets[TargetType],"")</f>
        <v>BUILDING</v>
      </c>
      <c r="E101" s="41" t="s">
        <v>708</v>
      </c>
      <c r="F101" s="62" t="str">
        <f>RIGHT(tblCost[[#This Row],[RequirementID]],1)</f>
        <v>1</v>
      </c>
      <c r="G101" s="41">
        <v>5</v>
      </c>
      <c r="H101" t="b">
        <f>COUNTIFS(tblCostChecklist[RequirementID],tblCost[[#This Row],[RequirementID]],tblCostChecklist[PlayerPaid],TRUE)&gt;0</f>
        <v>0</v>
      </c>
      <c r="I101" s="41">
        <f>COUNTIF(tblCost[TargetID],tblCost[[#This Row],[TargetID]])</f>
        <v>9</v>
      </c>
      <c r="J101" s="41">
        <f>COUNTIFS(tblCost[TargetID],tblCost[[#This Row],[TargetID]],tblCost[PlayerPaid],TRUE)</f>
        <v>0</v>
      </c>
      <c r="K101" s="41">
        <f>tblCost[[#This Row],[TargetRequirements]]-tblCost[[#This Row],[CompletedRequirements]]</f>
        <v>9</v>
      </c>
      <c r="L101" s="41" t="b">
        <f>tblCost[[#This Row],[RemainingRequirements]]=0</f>
        <v>0</v>
      </c>
      <c r="M101" s="43">
        <f>IF(tblCost[[#This Row],[TargetRequirements]]=0,0,tblCost[[#This Row],[CompletedRequirements]]/tblCost[[#This Row],[TargetRequirements]])</f>
        <v>0</v>
      </c>
    </row>
    <row r="102" spans="1:13">
      <c r="A102" s="41" t="s">
        <v>3759</v>
      </c>
      <c r="B102" s="41" t="str">
        <f>_xlfn.TEXTAFTER(_xlfn.TEXTBEFORE(tblCost[[#This Row],[RequirementID]],".",-2),"cost.")</f>
        <v>building.dairy@1</v>
      </c>
      <c r="C102" s="41" t="str">
        <f>_xlfn.XLOOKUP(tblCost[[#This Row],[TargetID]],tblTargets[TargetID],tblTargets[DisplayName],"")</f>
        <v>Dairy Lv 1</v>
      </c>
      <c r="D102" s="41" t="str">
        <f>_xlfn.XLOOKUP(tblCost[[#This Row],[TargetID]],tblTargets[TargetID],tblTargets[TargetType],"")</f>
        <v>BUILDING</v>
      </c>
      <c r="E102" s="41" t="s">
        <v>666</v>
      </c>
      <c r="F102" s="62" t="str">
        <f>RIGHT(tblCost[[#This Row],[RequirementID]],1)</f>
        <v>1</v>
      </c>
      <c r="G102" s="41">
        <v>1000</v>
      </c>
      <c r="H102" t="b">
        <f>COUNTIFS(tblCostChecklist[RequirementID],tblCost[[#This Row],[RequirementID]],tblCostChecklist[PlayerPaid],TRUE)&gt;0</f>
        <v>0</v>
      </c>
      <c r="I102" s="41">
        <f>COUNTIF(tblCost[TargetID],tblCost[[#This Row],[TargetID]])</f>
        <v>9</v>
      </c>
      <c r="J102" s="41">
        <f>COUNTIFS(tblCost[TargetID],tblCost[[#This Row],[TargetID]],tblCost[PlayerPaid],TRUE)</f>
        <v>0</v>
      </c>
      <c r="K102" s="41">
        <f>tblCost[[#This Row],[TargetRequirements]]-tblCost[[#This Row],[CompletedRequirements]]</f>
        <v>9</v>
      </c>
      <c r="L102" s="41" t="b">
        <f>tblCost[[#This Row],[RemainingRequirements]]=0</f>
        <v>0</v>
      </c>
      <c r="M102" s="43">
        <f>IF(tblCost[[#This Row],[TargetRequirements]]=0,0,tblCost[[#This Row],[CompletedRequirements]]/tblCost[[#This Row],[TargetRequirements]])</f>
        <v>0</v>
      </c>
    </row>
    <row r="103" spans="1:13">
      <c r="A103" s="41" t="s">
        <v>3760</v>
      </c>
      <c r="B103" s="41" t="str">
        <f>_xlfn.TEXTAFTER(_xlfn.TEXTBEFORE(tblCost[[#This Row],[RequirementID]],".",-2),"cost.")</f>
        <v>building.dairy@1</v>
      </c>
      <c r="C103" s="41" t="str">
        <f>_xlfn.XLOOKUP(tblCost[[#This Row],[TargetID]],tblTargets[TargetID],tblTargets[DisplayName],"")</f>
        <v>Dairy Lv 1</v>
      </c>
      <c r="D103" s="41" t="str">
        <f>_xlfn.XLOOKUP(tblCost[[#This Row],[TargetID]],tblTargets[TargetID],tblTargets[TargetType],"")</f>
        <v>BUILDING</v>
      </c>
      <c r="E103" s="41" t="s">
        <v>658</v>
      </c>
      <c r="F103" s="62" t="str">
        <f>RIGHT(tblCost[[#This Row],[RequirementID]],1)</f>
        <v>1</v>
      </c>
      <c r="G103" s="41">
        <v>700</v>
      </c>
      <c r="H103" t="b">
        <f>COUNTIFS(tblCostChecklist[RequirementID],tblCost[[#This Row],[RequirementID]],tblCostChecklist[PlayerPaid],TRUE)&gt;0</f>
        <v>0</v>
      </c>
      <c r="I103" s="41">
        <f>COUNTIF(tblCost[TargetID],tblCost[[#This Row],[TargetID]])</f>
        <v>9</v>
      </c>
      <c r="J103" s="41">
        <f>COUNTIFS(tblCost[TargetID],tblCost[[#This Row],[TargetID]],tblCost[PlayerPaid],TRUE)</f>
        <v>0</v>
      </c>
      <c r="K103" s="41">
        <f>tblCost[[#This Row],[TargetRequirements]]-tblCost[[#This Row],[CompletedRequirements]]</f>
        <v>9</v>
      </c>
      <c r="L103" s="41" t="b">
        <f>tblCost[[#This Row],[RemainingRequirements]]=0</f>
        <v>0</v>
      </c>
      <c r="M103" s="43">
        <f>IF(tblCost[[#This Row],[TargetRequirements]]=0,0,tblCost[[#This Row],[CompletedRequirements]]/tblCost[[#This Row],[TargetRequirements]])</f>
        <v>0</v>
      </c>
    </row>
    <row r="104" spans="1:13">
      <c r="A104" s="41" t="s">
        <v>3761</v>
      </c>
      <c r="B104" s="41" t="str">
        <f>_xlfn.TEXTAFTER(_xlfn.TEXTBEFORE(tblCost[[#This Row],[RequirementID]],".",-2),"cost.")</f>
        <v>building.dairy@1</v>
      </c>
      <c r="C104" s="41" t="str">
        <f>_xlfn.XLOOKUP(tblCost[[#This Row],[TargetID]],tblTargets[TargetID],tblTargets[DisplayName],"")</f>
        <v>Dairy Lv 1</v>
      </c>
      <c r="D104" s="41" t="str">
        <f>_xlfn.XLOOKUP(tblCost[[#This Row],[TargetID]],tblTargets[TargetID],tblTargets[TargetType],"")</f>
        <v>BUILDING</v>
      </c>
      <c r="E104" s="41" t="s">
        <v>717</v>
      </c>
      <c r="F104" s="62" t="str">
        <f>RIGHT(tblCost[[#This Row],[RequirementID]],1)</f>
        <v>1</v>
      </c>
      <c r="G104" s="41">
        <v>300</v>
      </c>
      <c r="H104" t="b">
        <f>COUNTIFS(tblCostChecklist[RequirementID],tblCost[[#This Row],[RequirementID]],tblCostChecklist[PlayerPaid],TRUE)&gt;0</f>
        <v>0</v>
      </c>
      <c r="I104" s="41">
        <f>COUNTIF(tblCost[TargetID],tblCost[[#This Row],[TargetID]])</f>
        <v>9</v>
      </c>
      <c r="J104" s="41">
        <f>COUNTIFS(tblCost[TargetID],tblCost[[#This Row],[TargetID]],tblCost[PlayerPaid],TRUE)</f>
        <v>0</v>
      </c>
      <c r="K104" s="41">
        <f>tblCost[[#This Row],[TargetRequirements]]-tblCost[[#This Row],[CompletedRequirements]]</f>
        <v>9</v>
      </c>
      <c r="L104" s="41" t="b">
        <f>tblCost[[#This Row],[RemainingRequirements]]=0</f>
        <v>0</v>
      </c>
      <c r="M104" s="43">
        <f>IF(tblCost[[#This Row],[TargetRequirements]]=0,0,tblCost[[#This Row],[CompletedRequirements]]/tblCost[[#This Row],[TargetRequirements]])</f>
        <v>0</v>
      </c>
    </row>
    <row r="105" spans="1:13">
      <c r="A105" s="41" t="s">
        <v>3762</v>
      </c>
      <c r="B105" s="41" t="str">
        <f>_xlfn.TEXTAFTER(_xlfn.TEXTBEFORE(tblCost[[#This Row],[RequirementID]],".",-2),"cost.")</f>
        <v>building.dairy@1</v>
      </c>
      <c r="C105" s="41" t="str">
        <f>_xlfn.XLOOKUP(tblCost[[#This Row],[TargetID]],tblTargets[TargetID],tblTargets[DisplayName],"")</f>
        <v>Dairy Lv 1</v>
      </c>
      <c r="D105" s="41" t="str">
        <f>_xlfn.XLOOKUP(tblCost[[#This Row],[TargetID]],tblTargets[TargetID],tblTargets[TargetType],"")</f>
        <v>BUILDING</v>
      </c>
      <c r="E105" s="41" t="s">
        <v>719</v>
      </c>
      <c r="F105" s="62" t="str">
        <f>RIGHT(tblCost[[#This Row],[RequirementID]],1)</f>
        <v>1</v>
      </c>
      <c r="G105" s="41">
        <v>20</v>
      </c>
      <c r="H105" t="b">
        <f>COUNTIFS(tblCostChecklist[RequirementID],tblCost[[#This Row],[RequirementID]],tblCostChecklist[PlayerPaid],TRUE)&gt;0</f>
        <v>0</v>
      </c>
      <c r="I105" s="41">
        <f>COUNTIF(tblCost[TargetID],tblCost[[#This Row],[TargetID]])</f>
        <v>9</v>
      </c>
      <c r="J105" s="41">
        <f>COUNTIFS(tblCost[TargetID],tblCost[[#This Row],[TargetID]],tblCost[PlayerPaid],TRUE)</f>
        <v>0</v>
      </c>
      <c r="K105" s="41">
        <f>tblCost[[#This Row],[TargetRequirements]]-tblCost[[#This Row],[CompletedRequirements]]</f>
        <v>9</v>
      </c>
      <c r="L105" s="41" t="b">
        <f>tblCost[[#This Row],[RemainingRequirements]]=0</f>
        <v>0</v>
      </c>
      <c r="M105" s="43">
        <f>IF(tblCost[[#This Row],[TargetRequirements]]=0,0,tblCost[[#This Row],[CompletedRequirements]]/tblCost[[#This Row],[TargetRequirements]])</f>
        <v>0</v>
      </c>
    </row>
    <row r="106" spans="1:13">
      <c r="A106" s="41" t="s">
        <v>3763</v>
      </c>
      <c r="B106" s="41" t="str">
        <f>_xlfn.TEXTAFTER(_xlfn.TEXTBEFORE(tblCost[[#This Row],[RequirementID]],".",-2),"cost.")</f>
        <v>building.dairy@1</v>
      </c>
      <c r="C106" s="41" t="str">
        <f>_xlfn.XLOOKUP(tblCost[[#This Row],[TargetID]],tblTargets[TargetID],tblTargets[DisplayName],"")</f>
        <v>Dairy Lv 1</v>
      </c>
      <c r="D106" s="41" t="str">
        <f>_xlfn.XLOOKUP(tblCost[[#This Row],[TargetID]],tblTargets[TargetID],tblTargets[TargetType],"")</f>
        <v>BUILDING</v>
      </c>
      <c r="E106" s="41" t="s">
        <v>674</v>
      </c>
      <c r="F106" s="62" t="str">
        <f>RIGHT(tblCost[[#This Row],[RequirementID]],1)</f>
        <v>1</v>
      </c>
      <c r="G106" s="41">
        <v>40</v>
      </c>
      <c r="H106" t="b">
        <f>COUNTIFS(tblCostChecklist[RequirementID],tblCost[[#This Row],[RequirementID]],tblCostChecklist[PlayerPaid],TRUE)&gt;0</f>
        <v>0</v>
      </c>
      <c r="I106" s="41">
        <f>COUNTIF(tblCost[TargetID],tblCost[[#This Row],[TargetID]])</f>
        <v>9</v>
      </c>
      <c r="J106" s="41">
        <f>COUNTIFS(tblCost[TargetID],tblCost[[#This Row],[TargetID]],tblCost[PlayerPaid],TRUE)</f>
        <v>0</v>
      </c>
      <c r="K106" s="41">
        <f>tblCost[[#This Row],[TargetRequirements]]-tblCost[[#This Row],[CompletedRequirements]]</f>
        <v>9</v>
      </c>
      <c r="L106" s="41" t="b">
        <f>tblCost[[#This Row],[RemainingRequirements]]=0</f>
        <v>0</v>
      </c>
      <c r="M106" s="43">
        <f>IF(tblCost[[#This Row],[TargetRequirements]]=0,0,tblCost[[#This Row],[CompletedRequirements]]/tblCost[[#This Row],[TargetRequirements]])</f>
        <v>0</v>
      </c>
    </row>
    <row r="107" spans="1:13">
      <c r="A107" s="41" t="s">
        <v>3764</v>
      </c>
      <c r="B107" s="41" t="str">
        <f>_xlfn.TEXTAFTER(_xlfn.TEXTBEFORE(tblCost[[#This Row],[RequirementID]],".",-2),"cost.")</f>
        <v>building.dairy@1</v>
      </c>
      <c r="C107" s="41" t="str">
        <f>_xlfn.XLOOKUP(tblCost[[#This Row],[TargetID]],tblTargets[TargetID],tblTargets[DisplayName],"")</f>
        <v>Dairy Lv 1</v>
      </c>
      <c r="D107" s="41" t="str">
        <f>_xlfn.XLOOKUP(tblCost[[#This Row],[TargetID]],tblTargets[TargetID],tblTargets[TargetType],"")</f>
        <v>BUILDING</v>
      </c>
      <c r="E107" s="41" t="s">
        <v>722</v>
      </c>
      <c r="F107" s="62" t="str">
        <f>RIGHT(tblCost[[#This Row],[RequirementID]],1)</f>
        <v>1</v>
      </c>
      <c r="G107" s="41">
        <v>100</v>
      </c>
      <c r="H107" t="b">
        <f>COUNTIFS(tblCostChecklist[RequirementID],tblCost[[#This Row],[RequirementID]],tblCostChecklist[PlayerPaid],TRUE)&gt;0</f>
        <v>0</v>
      </c>
      <c r="I107" s="41">
        <f>COUNTIF(tblCost[TargetID],tblCost[[#This Row],[TargetID]])</f>
        <v>9</v>
      </c>
      <c r="J107" s="41">
        <f>COUNTIFS(tblCost[TargetID],tblCost[[#This Row],[TargetID]],tblCost[PlayerPaid],TRUE)</f>
        <v>0</v>
      </c>
      <c r="K107" s="41">
        <f>tblCost[[#This Row],[TargetRequirements]]-tblCost[[#This Row],[CompletedRequirements]]</f>
        <v>9</v>
      </c>
      <c r="L107" s="41" t="b">
        <f>tblCost[[#This Row],[RemainingRequirements]]=0</f>
        <v>0</v>
      </c>
      <c r="M107" s="43">
        <f>IF(tblCost[[#This Row],[TargetRequirements]]=0,0,tblCost[[#This Row],[CompletedRequirements]]/tblCost[[#This Row],[TargetRequirements]])</f>
        <v>0</v>
      </c>
    </row>
    <row r="108" spans="1:13">
      <c r="A108" s="41" t="s">
        <v>3765</v>
      </c>
      <c r="B108" s="41" t="str">
        <f>_xlfn.TEXTAFTER(_xlfn.TEXTBEFORE(tblCost[[#This Row],[RequirementID]],".",-2),"cost.")</f>
        <v>building.dairy@1</v>
      </c>
      <c r="C108" s="41" t="str">
        <f>_xlfn.XLOOKUP(tblCost[[#This Row],[TargetID]],tblTargets[TargetID],tblTargets[DisplayName],"")</f>
        <v>Dairy Lv 1</v>
      </c>
      <c r="D108" s="41" t="str">
        <f>_xlfn.XLOOKUP(tblCost[[#This Row],[TargetID]],tblTargets[TargetID],tblTargets[TargetType],"")</f>
        <v>BUILDING</v>
      </c>
      <c r="E108" s="41" t="s">
        <v>679</v>
      </c>
      <c r="F108" s="62" t="str">
        <f>RIGHT(tblCost[[#This Row],[RequirementID]],1)</f>
        <v>1</v>
      </c>
      <c r="G108" s="41">
        <v>20</v>
      </c>
      <c r="H108" t="b">
        <f>COUNTIFS(tblCostChecklist[RequirementID],tblCost[[#This Row],[RequirementID]],tblCostChecklist[PlayerPaid],TRUE)&gt;0</f>
        <v>0</v>
      </c>
      <c r="I108" s="41">
        <f>COUNTIF(tblCost[TargetID],tblCost[[#This Row],[TargetID]])</f>
        <v>9</v>
      </c>
      <c r="J108" s="41">
        <f>COUNTIFS(tblCost[TargetID],tblCost[[#This Row],[TargetID]],tblCost[PlayerPaid],TRUE)</f>
        <v>0</v>
      </c>
      <c r="K108" s="41">
        <f>tblCost[[#This Row],[TargetRequirements]]-tblCost[[#This Row],[CompletedRequirements]]</f>
        <v>9</v>
      </c>
      <c r="L108" s="41" t="b">
        <f>tblCost[[#This Row],[RemainingRequirements]]=0</f>
        <v>0</v>
      </c>
      <c r="M108" s="43">
        <f>IF(tblCost[[#This Row],[TargetRequirements]]=0,0,tblCost[[#This Row],[CompletedRequirements]]/tblCost[[#This Row],[TargetRequirements]])</f>
        <v>0</v>
      </c>
    </row>
    <row r="109" spans="1:13">
      <c r="A109" s="41" t="s">
        <v>3766</v>
      </c>
      <c r="B109" s="41" t="str">
        <f>_xlfn.TEXTAFTER(_xlfn.TEXTBEFORE(tblCost[[#This Row],[RequirementID]],".",-2),"cost.")</f>
        <v>building.dairy@1</v>
      </c>
      <c r="C109" s="41" t="str">
        <f>_xlfn.XLOOKUP(tblCost[[#This Row],[TargetID]],tblTargets[TargetID],tblTargets[DisplayName],"")</f>
        <v>Dairy Lv 1</v>
      </c>
      <c r="D109" s="41" t="str">
        <f>_xlfn.XLOOKUP(tblCost[[#This Row],[TargetID]],tblTargets[TargetID],tblTargets[TargetType],"")</f>
        <v>BUILDING</v>
      </c>
      <c r="E109" s="41" t="s">
        <v>675</v>
      </c>
      <c r="F109" s="62" t="str">
        <f>RIGHT(tblCost[[#This Row],[RequirementID]],1)</f>
        <v>1</v>
      </c>
      <c r="G109" s="41">
        <v>1</v>
      </c>
      <c r="H109" t="b">
        <f>COUNTIFS(tblCostChecklist[RequirementID],tblCost[[#This Row],[RequirementID]],tblCostChecklist[PlayerPaid],TRUE)&gt;0</f>
        <v>0</v>
      </c>
      <c r="I109" s="41">
        <f>COUNTIF(tblCost[TargetID],tblCost[[#This Row],[TargetID]])</f>
        <v>9</v>
      </c>
      <c r="J109" s="41">
        <f>COUNTIFS(tblCost[TargetID],tblCost[[#This Row],[TargetID]],tblCost[PlayerPaid],TRUE)</f>
        <v>0</v>
      </c>
      <c r="K109" s="41">
        <f>tblCost[[#This Row],[TargetRequirements]]-tblCost[[#This Row],[CompletedRequirements]]</f>
        <v>9</v>
      </c>
      <c r="L109" s="41" t="b">
        <f>tblCost[[#This Row],[RemainingRequirements]]=0</f>
        <v>0</v>
      </c>
      <c r="M109" s="43">
        <f>IF(tblCost[[#This Row],[TargetRequirements]]=0,0,tblCost[[#This Row],[CompletedRequirements]]/tblCost[[#This Row],[TargetRequirements]])</f>
        <v>0</v>
      </c>
    </row>
    <row r="110" spans="1:13">
      <c r="A110" s="41" t="s">
        <v>3767</v>
      </c>
      <c r="B110" s="41" t="str">
        <f>_xlfn.TEXTAFTER(_xlfn.TEXTBEFORE(tblCost[[#This Row],[RequirementID]],".",-2),"cost.")</f>
        <v>building.dairy@2</v>
      </c>
      <c r="C110" s="41" t="str">
        <f>_xlfn.XLOOKUP(tblCost[[#This Row],[TargetID]],tblTargets[TargetID],tblTargets[DisplayName],"")</f>
        <v>Dairy Lv 2</v>
      </c>
      <c r="D110" s="41" t="str">
        <f>_xlfn.XLOOKUP(tblCost[[#This Row],[TargetID]],tblTargets[TargetID],tblTargets[TargetType],"")</f>
        <v>BUILDING</v>
      </c>
      <c r="E110" s="41" t="s">
        <v>708</v>
      </c>
      <c r="F110" s="62" t="str">
        <f>RIGHT(tblCost[[#This Row],[RequirementID]],1)</f>
        <v>1</v>
      </c>
      <c r="G110" s="41">
        <v>5</v>
      </c>
      <c r="H110" t="b">
        <f>COUNTIFS(tblCostChecklist[RequirementID],tblCost[[#This Row],[RequirementID]],tblCostChecklist[PlayerPaid],TRUE)&gt;0</f>
        <v>0</v>
      </c>
      <c r="I110" s="41">
        <f>COUNTIF(tblCost[TargetID],tblCost[[#This Row],[TargetID]])</f>
        <v>9</v>
      </c>
      <c r="J110" s="41">
        <f>COUNTIFS(tblCost[TargetID],tblCost[[#This Row],[TargetID]],tblCost[PlayerPaid],TRUE)</f>
        <v>0</v>
      </c>
      <c r="K110" s="41">
        <f>tblCost[[#This Row],[TargetRequirements]]-tblCost[[#This Row],[CompletedRequirements]]</f>
        <v>9</v>
      </c>
      <c r="L110" s="41" t="b">
        <f>tblCost[[#This Row],[RemainingRequirements]]=0</f>
        <v>0</v>
      </c>
      <c r="M110" s="43">
        <f>IF(tblCost[[#This Row],[TargetRequirements]]=0,0,tblCost[[#This Row],[CompletedRequirements]]/tblCost[[#This Row],[TargetRequirements]])</f>
        <v>0</v>
      </c>
    </row>
    <row r="111" spans="1:13">
      <c r="A111" s="41" t="s">
        <v>3768</v>
      </c>
      <c r="B111" s="41" t="str">
        <f>_xlfn.TEXTAFTER(_xlfn.TEXTBEFORE(tblCost[[#This Row],[RequirementID]],".",-2),"cost.")</f>
        <v>building.dairy@2</v>
      </c>
      <c r="C111" s="41" t="str">
        <f>_xlfn.XLOOKUP(tblCost[[#This Row],[TargetID]],tblTargets[TargetID],tblTargets[DisplayName],"")</f>
        <v>Dairy Lv 2</v>
      </c>
      <c r="D111" s="41" t="str">
        <f>_xlfn.XLOOKUP(tblCost[[#This Row],[TargetID]],tblTargets[TargetID],tblTargets[TargetType],"")</f>
        <v>BUILDING</v>
      </c>
      <c r="E111" s="41" t="s">
        <v>666</v>
      </c>
      <c r="F111" s="62" t="str">
        <f>RIGHT(tblCost[[#This Row],[RequirementID]],1)</f>
        <v>1</v>
      </c>
      <c r="G111" s="41">
        <v>1000</v>
      </c>
      <c r="H111" t="b">
        <f>COUNTIFS(tblCostChecklist[RequirementID],tblCost[[#This Row],[RequirementID]],tblCostChecklist[PlayerPaid],TRUE)&gt;0</f>
        <v>0</v>
      </c>
      <c r="I111" s="41">
        <f>COUNTIF(tblCost[TargetID],tblCost[[#This Row],[TargetID]])</f>
        <v>9</v>
      </c>
      <c r="J111" s="41">
        <f>COUNTIFS(tblCost[TargetID],tblCost[[#This Row],[TargetID]],tblCost[PlayerPaid],TRUE)</f>
        <v>0</v>
      </c>
      <c r="K111" s="41">
        <f>tblCost[[#This Row],[TargetRequirements]]-tblCost[[#This Row],[CompletedRequirements]]</f>
        <v>9</v>
      </c>
      <c r="L111" s="41" t="b">
        <f>tblCost[[#This Row],[RemainingRequirements]]=0</f>
        <v>0</v>
      </c>
      <c r="M111" s="43">
        <f>IF(tblCost[[#This Row],[TargetRequirements]]=0,0,tblCost[[#This Row],[CompletedRequirements]]/tblCost[[#This Row],[TargetRequirements]])</f>
        <v>0</v>
      </c>
    </row>
    <row r="112" spans="1:13">
      <c r="A112" s="41" t="s">
        <v>3769</v>
      </c>
      <c r="B112" s="41" t="str">
        <f>_xlfn.TEXTAFTER(_xlfn.TEXTBEFORE(tblCost[[#This Row],[RequirementID]],".",-2),"cost.")</f>
        <v>building.dairy@2</v>
      </c>
      <c r="C112" s="41" t="str">
        <f>_xlfn.XLOOKUP(tblCost[[#This Row],[TargetID]],tblTargets[TargetID],tblTargets[DisplayName],"")</f>
        <v>Dairy Lv 2</v>
      </c>
      <c r="D112" s="41" t="str">
        <f>_xlfn.XLOOKUP(tblCost[[#This Row],[TargetID]],tblTargets[TargetID],tblTargets[TargetType],"")</f>
        <v>BUILDING</v>
      </c>
      <c r="E112" s="41" t="s">
        <v>658</v>
      </c>
      <c r="F112" s="62" t="str">
        <f>RIGHT(tblCost[[#This Row],[RequirementID]],1)</f>
        <v>1</v>
      </c>
      <c r="G112" s="41">
        <v>900</v>
      </c>
      <c r="H112" t="b">
        <f>COUNTIFS(tblCostChecklist[RequirementID],tblCost[[#This Row],[RequirementID]],tblCostChecklist[PlayerPaid],TRUE)&gt;0</f>
        <v>0</v>
      </c>
      <c r="I112" s="41">
        <f>COUNTIF(tblCost[TargetID],tblCost[[#This Row],[TargetID]])</f>
        <v>9</v>
      </c>
      <c r="J112" s="41">
        <f>COUNTIFS(tblCost[TargetID],tblCost[[#This Row],[TargetID]],tblCost[PlayerPaid],TRUE)</f>
        <v>0</v>
      </c>
      <c r="K112" s="41">
        <f>tblCost[[#This Row],[TargetRequirements]]-tblCost[[#This Row],[CompletedRequirements]]</f>
        <v>9</v>
      </c>
      <c r="L112" s="41" t="b">
        <f>tblCost[[#This Row],[RemainingRequirements]]=0</f>
        <v>0</v>
      </c>
      <c r="M112" s="43">
        <f>IF(tblCost[[#This Row],[TargetRequirements]]=0,0,tblCost[[#This Row],[CompletedRequirements]]/tblCost[[#This Row],[TargetRequirements]])</f>
        <v>0</v>
      </c>
    </row>
    <row r="113" spans="1:13">
      <c r="A113" s="41" t="s">
        <v>3770</v>
      </c>
      <c r="B113" s="41" t="str">
        <f>_xlfn.TEXTAFTER(_xlfn.TEXTBEFORE(tblCost[[#This Row],[RequirementID]],".",-2),"cost.")</f>
        <v>building.dairy@2</v>
      </c>
      <c r="C113" s="41" t="str">
        <f>_xlfn.XLOOKUP(tblCost[[#This Row],[TargetID]],tblTargets[TargetID],tblTargets[DisplayName],"")</f>
        <v>Dairy Lv 2</v>
      </c>
      <c r="D113" s="41" t="str">
        <f>_xlfn.XLOOKUP(tblCost[[#This Row],[TargetID]],tblTargets[TargetID],tblTargets[TargetType],"")</f>
        <v>BUILDING</v>
      </c>
      <c r="E113" s="41" t="s">
        <v>717</v>
      </c>
      <c r="F113" s="62" t="str">
        <f>RIGHT(tblCost[[#This Row],[RequirementID]],1)</f>
        <v>1</v>
      </c>
      <c r="G113" s="41">
        <v>500</v>
      </c>
      <c r="H113" t="b">
        <f>COUNTIFS(tblCostChecklist[RequirementID],tblCost[[#This Row],[RequirementID]],tblCostChecklist[PlayerPaid],TRUE)&gt;0</f>
        <v>0</v>
      </c>
      <c r="I113" s="41">
        <f>COUNTIF(tblCost[TargetID],tblCost[[#This Row],[TargetID]])</f>
        <v>9</v>
      </c>
      <c r="J113" s="41">
        <f>COUNTIFS(tblCost[TargetID],tblCost[[#This Row],[TargetID]],tblCost[PlayerPaid],TRUE)</f>
        <v>0</v>
      </c>
      <c r="K113" s="41">
        <f>tblCost[[#This Row],[TargetRequirements]]-tblCost[[#This Row],[CompletedRequirements]]</f>
        <v>9</v>
      </c>
      <c r="L113" s="41" t="b">
        <f>tblCost[[#This Row],[RemainingRequirements]]=0</f>
        <v>0</v>
      </c>
      <c r="M113" s="43">
        <f>IF(tblCost[[#This Row],[TargetRequirements]]=0,0,tblCost[[#This Row],[CompletedRequirements]]/tblCost[[#This Row],[TargetRequirements]])</f>
        <v>0</v>
      </c>
    </row>
    <row r="114" spans="1:13">
      <c r="A114" s="41" t="s">
        <v>3771</v>
      </c>
      <c r="B114" s="41" t="str">
        <f>_xlfn.TEXTAFTER(_xlfn.TEXTBEFORE(tblCost[[#This Row],[RequirementID]],".",-2),"cost.")</f>
        <v>building.dairy@2</v>
      </c>
      <c r="C114" s="41" t="str">
        <f>_xlfn.XLOOKUP(tblCost[[#This Row],[TargetID]],tblTargets[TargetID],tblTargets[DisplayName],"")</f>
        <v>Dairy Lv 2</v>
      </c>
      <c r="D114" s="41" t="str">
        <f>_xlfn.XLOOKUP(tblCost[[#This Row],[TargetID]],tblTargets[TargetID],tblTargets[TargetType],"")</f>
        <v>BUILDING</v>
      </c>
      <c r="E114" s="41" t="s">
        <v>719</v>
      </c>
      <c r="F114" s="62" t="str">
        <f>RIGHT(tblCost[[#This Row],[RequirementID]],1)</f>
        <v>1</v>
      </c>
      <c r="G114" s="41">
        <v>30</v>
      </c>
      <c r="H114" t="b">
        <f>COUNTIFS(tblCostChecklist[RequirementID],tblCost[[#This Row],[RequirementID]],tblCostChecklist[PlayerPaid],TRUE)&gt;0</f>
        <v>0</v>
      </c>
      <c r="I114" s="41">
        <f>COUNTIF(tblCost[TargetID],tblCost[[#This Row],[TargetID]])</f>
        <v>9</v>
      </c>
      <c r="J114" s="41">
        <f>COUNTIFS(tblCost[TargetID],tblCost[[#This Row],[TargetID]],tblCost[PlayerPaid],TRUE)</f>
        <v>0</v>
      </c>
      <c r="K114" s="41">
        <f>tblCost[[#This Row],[TargetRequirements]]-tblCost[[#This Row],[CompletedRequirements]]</f>
        <v>9</v>
      </c>
      <c r="L114" s="41" t="b">
        <f>tblCost[[#This Row],[RemainingRequirements]]=0</f>
        <v>0</v>
      </c>
      <c r="M114" s="43">
        <f>IF(tblCost[[#This Row],[TargetRequirements]]=0,0,tblCost[[#This Row],[CompletedRequirements]]/tblCost[[#This Row],[TargetRequirements]])</f>
        <v>0</v>
      </c>
    </row>
    <row r="115" spans="1:13">
      <c r="A115" s="41" t="s">
        <v>3772</v>
      </c>
      <c r="B115" s="41" t="str">
        <f>_xlfn.TEXTAFTER(_xlfn.TEXTBEFORE(tblCost[[#This Row],[RequirementID]],".",-2),"cost.")</f>
        <v>building.dairy@2</v>
      </c>
      <c r="C115" s="41" t="str">
        <f>_xlfn.XLOOKUP(tblCost[[#This Row],[TargetID]],tblTargets[TargetID],tblTargets[DisplayName],"")</f>
        <v>Dairy Lv 2</v>
      </c>
      <c r="D115" s="41" t="str">
        <f>_xlfn.XLOOKUP(tblCost[[#This Row],[TargetID]],tblTargets[TargetID],tblTargets[TargetType],"")</f>
        <v>BUILDING</v>
      </c>
      <c r="E115" s="41" t="s">
        <v>657</v>
      </c>
      <c r="F115" s="62" t="str">
        <f>RIGHT(tblCost[[#This Row],[RequirementID]],1)</f>
        <v>1</v>
      </c>
      <c r="G115" s="41">
        <v>20</v>
      </c>
      <c r="H115" t="b">
        <f>COUNTIFS(tblCostChecklist[RequirementID],tblCost[[#This Row],[RequirementID]],tblCostChecklist[PlayerPaid],TRUE)&gt;0</f>
        <v>0</v>
      </c>
      <c r="I115" s="41">
        <f>COUNTIF(tblCost[TargetID],tblCost[[#This Row],[TargetID]])</f>
        <v>9</v>
      </c>
      <c r="J115" s="41">
        <f>COUNTIFS(tblCost[TargetID],tblCost[[#This Row],[TargetID]],tblCost[PlayerPaid],TRUE)</f>
        <v>0</v>
      </c>
      <c r="K115" s="41">
        <f>tblCost[[#This Row],[TargetRequirements]]-tblCost[[#This Row],[CompletedRequirements]]</f>
        <v>9</v>
      </c>
      <c r="L115" s="41" t="b">
        <f>tblCost[[#This Row],[RemainingRequirements]]=0</f>
        <v>0</v>
      </c>
      <c r="M115" s="43">
        <f>IF(tblCost[[#This Row],[TargetRequirements]]=0,0,tblCost[[#This Row],[CompletedRequirements]]/tblCost[[#This Row],[TargetRequirements]])</f>
        <v>0</v>
      </c>
    </row>
    <row r="116" spans="1:13">
      <c r="A116" s="41" t="s">
        <v>3773</v>
      </c>
      <c r="B116" s="41" t="str">
        <f>_xlfn.TEXTAFTER(_xlfn.TEXTBEFORE(tblCost[[#This Row],[RequirementID]],".",-2),"cost.")</f>
        <v>building.dairy@2</v>
      </c>
      <c r="C116" s="41" t="str">
        <f>_xlfn.XLOOKUP(tblCost[[#This Row],[TargetID]],tblTargets[TargetID],tblTargets[DisplayName],"")</f>
        <v>Dairy Lv 2</v>
      </c>
      <c r="D116" s="41" t="str">
        <f>_xlfn.XLOOKUP(tblCost[[#This Row],[TargetID]],tblTargets[TargetID],tblTargets[TargetType],"")</f>
        <v>BUILDING</v>
      </c>
      <c r="E116" s="41" t="s">
        <v>689</v>
      </c>
      <c r="F116" s="62" t="str">
        <f>RIGHT(tblCost[[#This Row],[RequirementID]],1)</f>
        <v>1</v>
      </c>
      <c r="G116" s="41">
        <v>20</v>
      </c>
      <c r="H116" t="b">
        <f>COUNTIFS(tblCostChecklist[RequirementID],tblCost[[#This Row],[RequirementID]],tblCostChecklist[PlayerPaid],TRUE)&gt;0</f>
        <v>0</v>
      </c>
      <c r="I116" s="41">
        <f>COUNTIF(tblCost[TargetID],tblCost[[#This Row],[TargetID]])</f>
        <v>9</v>
      </c>
      <c r="J116" s="41">
        <f>COUNTIFS(tblCost[TargetID],tblCost[[#This Row],[TargetID]],tblCost[PlayerPaid],TRUE)</f>
        <v>0</v>
      </c>
      <c r="K116" s="41">
        <f>tblCost[[#This Row],[TargetRequirements]]-tblCost[[#This Row],[CompletedRequirements]]</f>
        <v>9</v>
      </c>
      <c r="L116" s="41" t="b">
        <f>tblCost[[#This Row],[RemainingRequirements]]=0</f>
        <v>0</v>
      </c>
      <c r="M116" s="43">
        <f>IF(tblCost[[#This Row],[TargetRequirements]]=0,0,tblCost[[#This Row],[CompletedRequirements]]/tblCost[[#This Row],[TargetRequirements]])</f>
        <v>0</v>
      </c>
    </row>
    <row r="117" spans="1:13">
      <c r="A117" s="41" t="s">
        <v>3774</v>
      </c>
      <c r="B117" s="41" t="str">
        <f>_xlfn.TEXTAFTER(_xlfn.TEXTBEFORE(tblCost[[#This Row],[RequirementID]],".",-2),"cost.")</f>
        <v>building.dairy@2</v>
      </c>
      <c r="C117" s="41" t="str">
        <f>_xlfn.XLOOKUP(tblCost[[#This Row],[TargetID]],tblTargets[TargetID],tblTargets[DisplayName],"")</f>
        <v>Dairy Lv 2</v>
      </c>
      <c r="D117" s="41" t="str">
        <f>_xlfn.XLOOKUP(tblCost[[#This Row],[TargetID]],tblTargets[TargetID],tblTargets[TargetType],"")</f>
        <v>BUILDING</v>
      </c>
      <c r="E117" s="41" t="s">
        <v>670</v>
      </c>
      <c r="F117" s="62" t="str">
        <f>RIGHT(tblCost[[#This Row],[RequirementID]],1)</f>
        <v>1</v>
      </c>
      <c r="G117" s="41">
        <v>10</v>
      </c>
      <c r="H117" t="b">
        <f>COUNTIFS(tblCostChecklist[RequirementID],tblCost[[#This Row],[RequirementID]],tblCostChecklist[PlayerPaid],TRUE)&gt;0</f>
        <v>0</v>
      </c>
      <c r="I117" s="41">
        <f>COUNTIF(tblCost[TargetID],tblCost[[#This Row],[TargetID]])</f>
        <v>9</v>
      </c>
      <c r="J117" s="41">
        <f>COUNTIFS(tblCost[TargetID],tblCost[[#This Row],[TargetID]],tblCost[PlayerPaid],TRUE)</f>
        <v>0</v>
      </c>
      <c r="K117" s="41">
        <f>tblCost[[#This Row],[TargetRequirements]]-tblCost[[#This Row],[CompletedRequirements]]</f>
        <v>9</v>
      </c>
      <c r="L117" s="41" t="b">
        <f>tblCost[[#This Row],[RemainingRequirements]]=0</f>
        <v>0</v>
      </c>
      <c r="M117" s="43">
        <f>IF(tblCost[[#This Row],[TargetRequirements]]=0,0,tblCost[[#This Row],[CompletedRequirements]]/tblCost[[#This Row],[TargetRequirements]])</f>
        <v>0</v>
      </c>
    </row>
    <row r="118" spans="1:13">
      <c r="A118" s="41" t="s">
        <v>3775</v>
      </c>
      <c r="B118" s="41" t="str">
        <f>_xlfn.TEXTAFTER(_xlfn.TEXTBEFORE(tblCost[[#This Row],[RequirementID]],".",-2),"cost.")</f>
        <v>building.dairy@2</v>
      </c>
      <c r="C118" s="41" t="str">
        <f>_xlfn.XLOOKUP(tblCost[[#This Row],[TargetID]],tblTargets[TargetID],tblTargets[DisplayName],"")</f>
        <v>Dairy Lv 2</v>
      </c>
      <c r="D118" s="41" t="str">
        <f>_xlfn.XLOOKUP(tblCost[[#This Row],[TargetID]],tblTargets[TargetID],tblTargets[TargetType],"")</f>
        <v>BUILDING</v>
      </c>
      <c r="E118" s="41" t="s">
        <v>677</v>
      </c>
      <c r="F118" s="62" t="str">
        <f>RIGHT(tblCost[[#This Row],[RequirementID]],1)</f>
        <v>1</v>
      </c>
      <c r="G118" s="41">
        <v>5</v>
      </c>
      <c r="H118" t="b">
        <f>COUNTIFS(tblCostChecklist[RequirementID],tblCost[[#This Row],[RequirementID]],tblCostChecklist[PlayerPaid],TRUE)&gt;0</f>
        <v>0</v>
      </c>
      <c r="I118" s="41">
        <f>COUNTIF(tblCost[TargetID],tblCost[[#This Row],[TargetID]])</f>
        <v>9</v>
      </c>
      <c r="J118" s="41">
        <f>COUNTIFS(tblCost[TargetID],tblCost[[#This Row],[TargetID]],tblCost[PlayerPaid],TRUE)</f>
        <v>0</v>
      </c>
      <c r="K118" s="41">
        <f>tblCost[[#This Row],[TargetRequirements]]-tblCost[[#This Row],[CompletedRequirements]]</f>
        <v>9</v>
      </c>
      <c r="L118" s="41" t="b">
        <f>tblCost[[#This Row],[RemainingRequirements]]=0</f>
        <v>0</v>
      </c>
      <c r="M118" s="43">
        <f>IF(tblCost[[#This Row],[TargetRequirements]]=0,0,tblCost[[#This Row],[CompletedRequirements]]/tblCost[[#This Row],[TargetRequirements]])</f>
        <v>0</v>
      </c>
    </row>
    <row r="119" spans="1:13">
      <c r="A119" s="41" t="s">
        <v>3776</v>
      </c>
      <c r="B119" s="41" t="str">
        <f>_xlfn.TEXTAFTER(_xlfn.TEXTBEFORE(tblCost[[#This Row],[RequirementID]],".",-2),"cost.")</f>
        <v>building.dungeon@1</v>
      </c>
      <c r="C119" s="41" t="str">
        <f>_xlfn.XLOOKUP(tblCost[[#This Row],[TargetID]],tblTargets[TargetID],tblTargets[DisplayName],"")</f>
        <v>Dungeon Lv 1</v>
      </c>
      <c r="D119" s="41" t="str">
        <f>_xlfn.XLOOKUP(tblCost[[#This Row],[TargetID]],tblTargets[TargetID],tblTargets[TargetType],"")</f>
        <v>BUILDING</v>
      </c>
      <c r="E119" s="41" t="s">
        <v>708</v>
      </c>
      <c r="F119" s="62" t="str">
        <f>RIGHT(tblCost[[#This Row],[RequirementID]],1)</f>
        <v>1</v>
      </c>
      <c r="G119" s="41">
        <v>1</v>
      </c>
      <c r="H119" t="b">
        <f>COUNTIFS(tblCostChecklist[RequirementID],tblCost[[#This Row],[RequirementID]],tblCostChecklist[PlayerPaid],TRUE)&gt;0</f>
        <v>0</v>
      </c>
      <c r="I119" s="41">
        <f>COUNTIF(tblCost[TargetID],tblCost[[#This Row],[TargetID]])</f>
        <v>6</v>
      </c>
      <c r="J119" s="41">
        <f>COUNTIFS(tblCost[TargetID],tblCost[[#This Row],[TargetID]],tblCost[PlayerPaid],TRUE)</f>
        <v>0</v>
      </c>
      <c r="K119" s="41">
        <f>tblCost[[#This Row],[TargetRequirements]]-tblCost[[#This Row],[CompletedRequirements]]</f>
        <v>6</v>
      </c>
      <c r="L119" s="41" t="b">
        <f>tblCost[[#This Row],[RemainingRequirements]]=0</f>
        <v>0</v>
      </c>
      <c r="M119" s="43">
        <f>IF(tblCost[[#This Row],[TargetRequirements]]=0,0,tblCost[[#This Row],[CompletedRequirements]]/tblCost[[#This Row],[TargetRequirements]])</f>
        <v>0</v>
      </c>
    </row>
    <row r="120" spans="1:13">
      <c r="A120" s="41" t="s">
        <v>3777</v>
      </c>
      <c r="B120" s="41" t="str">
        <f>_xlfn.TEXTAFTER(_xlfn.TEXTBEFORE(tblCost[[#This Row],[RequirementID]],".",-2),"cost.")</f>
        <v>building.dungeon@1</v>
      </c>
      <c r="C120" s="41" t="str">
        <f>_xlfn.XLOOKUP(tblCost[[#This Row],[TargetID]],tblTargets[TargetID],tblTargets[DisplayName],"")</f>
        <v>Dungeon Lv 1</v>
      </c>
      <c r="D120" s="41" t="str">
        <f>_xlfn.XLOOKUP(tblCost[[#This Row],[TargetID]],tblTargets[TargetID],tblTargets[TargetType],"")</f>
        <v>BUILDING</v>
      </c>
      <c r="E120" s="41" t="s">
        <v>666</v>
      </c>
      <c r="F120" s="62" t="str">
        <f>RIGHT(tblCost[[#This Row],[RequirementID]],1)</f>
        <v>1</v>
      </c>
      <c r="G120" s="41">
        <v>300</v>
      </c>
      <c r="H120" t="b">
        <f>COUNTIFS(tblCostChecklist[RequirementID],tblCost[[#This Row],[RequirementID]],tblCostChecklist[PlayerPaid],TRUE)&gt;0</f>
        <v>0</v>
      </c>
      <c r="I120" s="41">
        <f>COUNTIF(tblCost[TargetID],tblCost[[#This Row],[TargetID]])</f>
        <v>6</v>
      </c>
      <c r="J120" s="41">
        <f>COUNTIFS(tblCost[TargetID],tblCost[[#This Row],[TargetID]],tblCost[PlayerPaid],TRUE)</f>
        <v>0</v>
      </c>
      <c r="K120" s="41">
        <f>tblCost[[#This Row],[TargetRequirements]]-tblCost[[#This Row],[CompletedRequirements]]</f>
        <v>6</v>
      </c>
      <c r="L120" s="41" t="b">
        <f>tblCost[[#This Row],[RemainingRequirements]]=0</f>
        <v>0</v>
      </c>
      <c r="M120" s="43">
        <f>IF(tblCost[[#This Row],[TargetRequirements]]=0,0,tblCost[[#This Row],[CompletedRequirements]]/tblCost[[#This Row],[TargetRequirements]])</f>
        <v>0</v>
      </c>
    </row>
    <row r="121" spans="1:13">
      <c r="A121" s="41" t="s">
        <v>3778</v>
      </c>
      <c r="B121" s="41" t="str">
        <f>_xlfn.TEXTAFTER(_xlfn.TEXTBEFORE(tblCost[[#This Row],[RequirementID]],".",-2),"cost.")</f>
        <v>building.dungeon@1</v>
      </c>
      <c r="C121" s="41" t="str">
        <f>_xlfn.XLOOKUP(tblCost[[#This Row],[TargetID]],tblTargets[TargetID],tblTargets[DisplayName],"")</f>
        <v>Dungeon Lv 1</v>
      </c>
      <c r="D121" s="41" t="str">
        <f>_xlfn.XLOOKUP(tblCost[[#This Row],[TargetID]],tblTargets[TargetID],tblTargets[TargetType],"")</f>
        <v>BUILDING</v>
      </c>
      <c r="E121" s="41" t="s">
        <v>723</v>
      </c>
      <c r="F121" s="62" t="str">
        <f>RIGHT(tblCost[[#This Row],[RequirementID]],1)</f>
        <v>1</v>
      </c>
      <c r="G121" s="41">
        <v>200</v>
      </c>
      <c r="H121" t="b">
        <f>COUNTIFS(tblCostChecklist[RequirementID],tblCost[[#This Row],[RequirementID]],tblCostChecklist[PlayerPaid],TRUE)&gt;0</f>
        <v>0</v>
      </c>
      <c r="I121" s="41">
        <f>COUNTIF(tblCost[TargetID],tblCost[[#This Row],[TargetID]])</f>
        <v>6</v>
      </c>
      <c r="J121" s="41">
        <f>COUNTIFS(tblCost[TargetID],tblCost[[#This Row],[TargetID]],tblCost[PlayerPaid],TRUE)</f>
        <v>0</v>
      </c>
      <c r="K121" s="41">
        <f>tblCost[[#This Row],[TargetRequirements]]-tblCost[[#This Row],[CompletedRequirements]]</f>
        <v>6</v>
      </c>
      <c r="L121" s="41" t="b">
        <f>tblCost[[#This Row],[RemainingRequirements]]=0</f>
        <v>0</v>
      </c>
      <c r="M121" s="43">
        <f>IF(tblCost[[#This Row],[TargetRequirements]]=0,0,tblCost[[#This Row],[CompletedRequirements]]/tblCost[[#This Row],[TargetRequirements]])</f>
        <v>0</v>
      </c>
    </row>
    <row r="122" spans="1:13">
      <c r="A122" s="41" t="s">
        <v>3779</v>
      </c>
      <c r="B122" s="41" t="str">
        <f>_xlfn.TEXTAFTER(_xlfn.TEXTBEFORE(tblCost[[#This Row],[RequirementID]],".",-2),"cost.")</f>
        <v>building.dungeon@1</v>
      </c>
      <c r="C122" s="41" t="str">
        <f>_xlfn.XLOOKUP(tblCost[[#This Row],[TargetID]],tblTargets[TargetID],tblTargets[DisplayName],"")</f>
        <v>Dungeon Lv 1</v>
      </c>
      <c r="D122" s="41" t="str">
        <f>_xlfn.XLOOKUP(tblCost[[#This Row],[TargetID]],tblTargets[TargetID],tblTargets[TargetType],"")</f>
        <v>BUILDING</v>
      </c>
      <c r="E122" s="41" t="s">
        <v>717</v>
      </c>
      <c r="F122" s="62" t="str">
        <f>RIGHT(tblCost[[#This Row],[RequirementID]],1)</f>
        <v>1</v>
      </c>
      <c r="G122" s="41">
        <v>50</v>
      </c>
      <c r="H122" t="b">
        <f>COUNTIFS(tblCostChecklist[RequirementID],tblCost[[#This Row],[RequirementID]],tblCostChecklist[PlayerPaid],TRUE)&gt;0</f>
        <v>0</v>
      </c>
      <c r="I122" s="41">
        <f>COUNTIF(tblCost[TargetID],tblCost[[#This Row],[TargetID]])</f>
        <v>6</v>
      </c>
      <c r="J122" s="41">
        <f>COUNTIFS(tblCost[TargetID],tblCost[[#This Row],[TargetID]],tblCost[PlayerPaid],TRUE)</f>
        <v>0</v>
      </c>
      <c r="K122" s="41">
        <f>tblCost[[#This Row],[TargetRequirements]]-tblCost[[#This Row],[CompletedRequirements]]</f>
        <v>6</v>
      </c>
      <c r="L122" s="41" t="b">
        <f>tblCost[[#This Row],[RemainingRequirements]]=0</f>
        <v>0</v>
      </c>
      <c r="M122" s="43">
        <f>IF(tblCost[[#This Row],[TargetRequirements]]=0,0,tblCost[[#This Row],[CompletedRequirements]]/tblCost[[#This Row],[TargetRequirements]])</f>
        <v>0</v>
      </c>
    </row>
    <row r="123" spans="1:13">
      <c r="A123" s="41" t="s">
        <v>3780</v>
      </c>
      <c r="B123" s="41" t="str">
        <f>_xlfn.TEXTAFTER(_xlfn.TEXTBEFORE(tblCost[[#This Row],[RequirementID]],".",-2),"cost.")</f>
        <v>building.dungeon@1</v>
      </c>
      <c r="C123" s="41" t="str">
        <f>_xlfn.XLOOKUP(tblCost[[#This Row],[TargetID]],tblTargets[TargetID],tblTargets[DisplayName],"")</f>
        <v>Dungeon Lv 1</v>
      </c>
      <c r="D123" s="41" t="str">
        <f>_xlfn.XLOOKUP(tblCost[[#This Row],[TargetID]],tblTargets[TargetID],tblTargets[TargetType],"")</f>
        <v>BUILDING</v>
      </c>
      <c r="E123" s="41" t="s">
        <v>716</v>
      </c>
      <c r="F123" s="62" t="str">
        <f>RIGHT(tblCost[[#This Row],[RequirementID]],1)</f>
        <v>1</v>
      </c>
      <c r="G123" s="41">
        <v>100</v>
      </c>
      <c r="H123" t="b">
        <f>COUNTIFS(tblCostChecklist[RequirementID],tblCost[[#This Row],[RequirementID]],tblCostChecklist[PlayerPaid],TRUE)&gt;0</f>
        <v>0</v>
      </c>
      <c r="I123" s="41">
        <f>COUNTIF(tblCost[TargetID],tblCost[[#This Row],[TargetID]])</f>
        <v>6</v>
      </c>
      <c r="J123" s="41">
        <f>COUNTIFS(tblCost[TargetID],tblCost[[#This Row],[TargetID]],tblCost[PlayerPaid],TRUE)</f>
        <v>0</v>
      </c>
      <c r="K123" s="41">
        <f>tblCost[[#This Row],[TargetRequirements]]-tblCost[[#This Row],[CompletedRequirements]]</f>
        <v>6</v>
      </c>
      <c r="L123" s="41" t="b">
        <f>tblCost[[#This Row],[RemainingRequirements]]=0</f>
        <v>0</v>
      </c>
      <c r="M123" s="43">
        <f>IF(tblCost[[#This Row],[TargetRequirements]]=0,0,tblCost[[#This Row],[CompletedRequirements]]/tblCost[[#This Row],[TargetRequirements]])</f>
        <v>0</v>
      </c>
    </row>
    <row r="124" spans="1:13">
      <c r="A124" s="41" t="s">
        <v>3781</v>
      </c>
      <c r="B124" s="41" t="str">
        <f>_xlfn.TEXTAFTER(_xlfn.TEXTBEFORE(tblCost[[#This Row],[RequirementID]],".",-2),"cost.")</f>
        <v>building.dungeon@1</v>
      </c>
      <c r="C124" s="41" t="str">
        <f>_xlfn.XLOOKUP(tblCost[[#This Row],[TargetID]],tblTargets[TargetID],tblTargets[DisplayName],"")</f>
        <v>Dungeon Lv 1</v>
      </c>
      <c r="D124" s="41" t="str">
        <f>_xlfn.XLOOKUP(tblCost[[#This Row],[TargetID]],tblTargets[TargetID],tblTargets[TargetType],"")</f>
        <v>BUILDING</v>
      </c>
      <c r="E124" s="41" t="s">
        <v>671</v>
      </c>
      <c r="F124" s="62" t="str">
        <f>RIGHT(tblCost[[#This Row],[RequirementID]],1)</f>
        <v>1</v>
      </c>
      <c r="G124" s="41">
        <v>30</v>
      </c>
      <c r="H124" t="b">
        <f>COUNTIFS(tblCostChecklist[RequirementID],tblCost[[#This Row],[RequirementID]],tblCostChecklist[PlayerPaid],TRUE)&gt;0</f>
        <v>0</v>
      </c>
      <c r="I124" s="41">
        <f>COUNTIF(tblCost[TargetID],tblCost[[#This Row],[TargetID]])</f>
        <v>6</v>
      </c>
      <c r="J124" s="41">
        <f>COUNTIFS(tblCost[TargetID],tblCost[[#This Row],[TargetID]],tblCost[PlayerPaid],TRUE)</f>
        <v>0</v>
      </c>
      <c r="K124" s="41">
        <f>tblCost[[#This Row],[TargetRequirements]]-tblCost[[#This Row],[CompletedRequirements]]</f>
        <v>6</v>
      </c>
      <c r="L124" s="41" t="b">
        <f>tblCost[[#This Row],[RemainingRequirements]]=0</f>
        <v>0</v>
      </c>
      <c r="M124" s="43">
        <f>IF(tblCost[[#This Row],[TargetRequirements]]=0,0,tblCost[[#This Row],[CompletedRequirements]]/tblCost[[#This Row],[TargetRequirements]])</f>
        <v>0</v>
      </c>
    </row>
    <row r="125" spans="1:13">
      <c r="A125" s="41" t="s">
        <v>3782</v>
      </c>
      <c r="B125" s="41" t="str">
        <f>_xlfn.TEXTAFTER(_xlfn.TEXTBEFORE(tblCost[[#This Row],[RequirementID]],".",-2),"cost.")</f>
        <v>building.dungeon@2</v>
      </c>
      <c r="C125" s="41" t="str">
        <f>_xlfn.XLOOKUP(tblCost[[#This Row],[TargetID]],tblTargets[TargetID],tblTargets[DisplayName],"")</f>
        <v>Dungeon Lv 2</v>
      </c>
      <c r="D125" s="41" t="str">
        <f>_xlfn.XLOOKUP(tblCost[[#This Row],[TargetID]],tblTargets[TargetID],tblTargets[TargetType],"")</f>
        <v>BUILDING</v>
      </c>
      <c r="E125" s="41" t="s">
        <v>708</v>
      </c>
      <c r="F125" s="62" t="str">
        <f>RIGHT(tblCost[[#This Row],[RequirementID]],1)</f>
        <v>1</v>
      </c>
      <c r="G125" s="41">
        <v>2</v>
      </c>
      <c r="H125" t="b">
        <f>COUNTIFS(tblCostChecklist[RequirementID],tblCost[[#This Row],[RequirementID]],tblCostChecklist[PlayerPaid],TRUE)&gt;0</f>
        <v>0</v>
      </c>
      <c r="I125" s="41">
        <f>COUNTIF(tblCost[TargetID],tblCost[[#This Row],[TargetID]])</f>
        <v>7</v>
      </c>
      <c r="J125" s="41">
        <f>COUNTIFS(tblCost[TargetID],tblCost[[#This Row],[TargetID]],tblCost[PlayerPaid],TRUE)</f>
        <v>0</v>
      </c>
      <c r="K125" s="41">
        <f>tblCost[[#This Row],[TargetRequirements]]-tblCost[[#This Row],[CompletedRequirements]]</f>
        <v>7</v>
      </c>
      <c r="L125" s="41" t="b">
        <f>tblCost[[#This Row],[RemainingRequirements]]=0</f>
        <v>0</v>
      </c>
      <c r="M125" s="43">
        <f>IF(tblCost[[#This Row],[TargetRequirements]]=0,0,tblCost[[#This Row],[CompletedRequirements]]/tblCost[[#This Row],[TargetRequirements]])</f>
        <v>0</v>
      </c>
    </row>
    <row r="126" spans="1:13">
      <c r="A126" s="41" t="s">
        <v>3783</v>
      </c>
      <c r="B126" s="41" t="str">
        <f>_xlfn.TEXTAFTER(_xlfn.TEXTBEFORE(tblCost[[#This Row],[RequirementID]],".",-2),"cost.")</f>
        <v>building.dungeon@2</v>
      </c>
      <c r="C126" s="41" t="str">
        <f>_xlfn.XLOOKUP(tblCost[[#This Row],[TargetID]],tblTargets[TargetID],tblTargets[DisplayName],"")</f>
        <v>Dungeon Lv 2</v>
      </c>
      <c r="D126" s="41" t="str">
        <f>_xlfn.XLOOKUP(tblCost[[#This Row],[TargetID]],tblTargets[TargetID],tblTargets[TargetType],"")</f>
        <v>BUILDING</v>
      </c>
      <c r="E126" s="41" t="s">
        <v>666</v>
      </c>
      <c r="F126" s="62" t="str">
        <f>RIGHT(tblCost[[#This Row],[RequirementID]],1)</f>
        <v>1</v>
      </c>
      <c r="G126" s="41">
        <v>500</v>
      </c>
      <c r="H126" t="b">
        <f>COUNTIFS(tblCostChecklist[RequirementID],tblCost[[#This Row],[RequirementID]],tblCostChecklist[PlayerPaid],TRUE)&gt;0</f>
        <v>0</v>
      </c>
      <c r="I126" s="41">
        <f>COUNTIF(tblCost[TargetID],tblCost[[#This Row],[TargetID]])</f>
        <v>7</v>
      </c>
      <c r="J126" s="41">
        <f>COUNTIFS(tblCost[TargetID],tblCost[[#This Row],[TargetID]],tblCost[PlayerPaid],TRUE)</f>
        <v>0</v>
      </c>
      <c r="K126" s="41">
        <f>tblCost[[#This Row],[TargetRequirements]]-tblCost[[#This Row],[CompletedRequirements]]</f>
        <v>7</v>
      </c>
      <c r="L126" s="41" t="b">
        <f>tblCost[[#This Row],[RemainingRequirements]]=0</f>
        <v>0</v>
      </c>
      <c r="M126" s="43">
        <f>IF(tblCost[[#This Row],[TargetRequirements]]=0,0,tblCost[[#This Row],[CompletedRequirements]]/tblCost[[#This Row],[TargetRequirements]])</f>
        <v>0</v>
      </c>
    </row>
    <row r="127" spans="1:13">
      <c r="A127" s="41" t="s">
        <v>3784</v>
      </c>
      <c r="B127" s="41" t="str">
        <f>_xlfn.TEXTAFTER(_xlfn.TEXTBEFORE(tblCost[[#This Row],[RequirementID]],".",-2),"cost.")</f>
        <v>building.dungeon@2</v>
      </c>
      <c r="C127" s="41" t="str">
        <f>_xlfn.XLOOKUP(tblCost[[#This Row],[TargetID]],tblTargets[TargetID],tblTargets[DisplayName],"")</f>
        <v>Dungeon Lv 2</v>
      </c>
      <c r="D127" s="41" t="str">
        <f>_xlfn.XLOOKUP(tblCost[[#This Row],[TargetID]],tblTargets[TargetID],tblTargets[TargetType],"")</f>
        <v>BUILDING</v>
      </c>
      <c r="E127" s="41" t="s">
        <v>658</v>
      </c>
      <c r="F127" s="62" t="str">
        <f>RIGHT(tblCost[[#This Row],[RequirementID]],1)</f>
        <v>1</v>
      </c>
      <c r="G127" s="41">
        <v>500</v>
      </c>
      <c r="H127" t="b">
        <f>COUNTIFS(tblCostChecklist[RequirementID],tblCost[[#This Row],[RequirementID]],tblCostChecklist[PlayerPaid],TRUE)&gt;0</f>
        <v>0</v>
      </c>
      <c r="I127" s="41">
        <f>COUNTIF(tblCost[TargetID],tblCost[[#This Row],[TargetID]])</f>
        <v>7</v>
      </c>
      <c r="J127" s="41">
        <f>COUNTIFS(tblCost[TargetID],tblCost[[#This Row],[TargetID]],tblCost[PlayerPaid],TRUE)</f>
        <v>0</v>
      </c>
      <c r="K127" s="41">
        <f>tblCost[[#This Row],[TargetRequirements]]-tblCost[[#This Row],[CompletedRequirements]]</f>
        <v>7</v>
      </c>
      <c r="L127" s="41" t="b">
        <f>tblCost[[#This Row],[RemainingRequirements]]=0</f>
        <v>0</v>
      </c>
      <c r="M127" s="43">
        <f>IF(tblCost[[#This Row],[TargetRequirements]]=0,0,tblCost[[#This Row],[CompletedRequirements]]/tblCost[[#This Row],[TargetRequirements]])</f>
        <v>0</v>
      </c>
    </row>
    <row r="128" spans="1:13">
      <c r="A128" s="41" t="s">
        <v>3785</v>
      </c>
      <c r="B128" s="41" t="str">
        <f>_xlfn.TEXTAFTER(_xlfn.TEXTBEFORE(tblCost[[#This Row],[RequirementID]],".",-2),"cost.")</f>
        <v>building.dungeon@2</v>
      </c>
      <c r="C128" s="41" t="str">
        <f>_xlfn.XLOOKUP(tblCost[[#This Row],[TargetID]],tblTargets[TargetID],tblTargets[DisplayName],"")</f>
        <v>Dungeon Lv 2</v>
      </c>
      <c r="D128" s="41" t="str">
        <f>_xlfn.XLOOKUP(tblCost[[#This Row],[TargetID]],tblTargets[TargetID],tblTargets[TargetType],"")</f>
        <v>BUILDING</v>
      </c>
      <c r="E128" s="41" t="s">
        <v>716</v>
      </c>
      <c r="F128" s="62" t="str">
        <f>RIGHT(tblCost[[#This Row],[RequirementID]],1)</f>
        <v>1</v>
      </c>
      <c r="G128" s="41">
        <v>400</v>
      </c>
      <c r="H128" t="b">
        <f>COUNTIFS(tblCostChecklist[RequirementID],tblCost[[#This Row],[RequirementID]],tblCostChecklist[PlayerPaid],TRUE)&gt;0</f>
        <v>0</v>
      </c>
      <c r="I128" s="41">
        <f>COUNTIF(tblCost[TargetID],tblCost[[#This Row],[TargetID]])</f>
        <v>7</v>
      </c>
      <c r="J128" s="41">
        <f>COUNTIFS(tblCost[TargetID],tblCost[[#This Row],[TargetID]],tblCost[PlayerPaid],TRUE)</f>
        <v>0</v>
      </c>
      <c r="K128" s="41">
        <f>tblCost[[#This Row],[TargetRequirements]]-tblCost[[#This Row],[CompletedRequirements]]</f>
        <v>7</v>
      </c>
      <c r="L128" s="41" t="b">
        <f>tblCost[[#This Row],[RemainingRequirements]]=0</f>
        <v>0</v>
      </c>
      <c r="M128" s="43">
        <f>IF(tblCost[[#This Row],[TargetRequirements]]=0,0,tblCost[[#This Row],[CompletedRequirements]]/tblCost[[#This Row],[TargetRequirements]])</f>
        <v>0</v>
      </c>
    </row>
    <row r="129" spans="1:13">
      <c r="A129" s="41" t="s">
        <v>3786</v>
      </c>
      <c r="B129" s="41" t="str">
        <f>_xlfn.TEXTAFTER(_xlfn.TEXTBEFORE(tblCost[[#This Row],[RequirementID]],".",-2),"cost.")</f>
        <v>building.dungeon@2</v>
      </c>
      <c r="C129" s="41" t="str">
        <f>_xlfn.XLOOKUP(tblCost[[#This Row],[TargetID]],tblTargets[TargetID],tblTargets[DisplayName],"")</f>
        <v>Dungeon Lv 2</v>
      </c>
      <c r="D129" s="41" t="str">
        <f>_xlfn.XLOOKUP(tblCost[[#This Row],[TargetID]],tblTargets[TargetID],tblTargets[TargetType],"")</f>
        <v>BUILDING</v>
      </c>
      <c r="E129" s="41" t="s">
        <v>700</v>
      </c>
      <c r="F129" s="62" t="str">
        <f>RIGHT(tblCost[[#This Row],[RequirementID]],1)</f>
        <v>1</v>
      </c>
      <c r="G129" s="41">
        <v>100</v>
      </c>
      <c r="H129" t="b">
        <f>COUNTIFS(tblCostChecklist[RequirementID],tblCost[[#This Row],[RequirementID]],tblCostChecklist[PlayerPaid],TRUE)&gt;0</f>
        <v>0</v>
      </c>
      <c r="I129" s="41">
        <f>COUNTIF(tblCost[TargetID],tblCost[[#This Row],[TargetID]])</f>
        <v>7</v>
      </c>
      <c r="J129" s="41">
        <f>COUNTIFS(tblCost[TargetID],tblCost[[#This Row],[TargetID]],tblCost[PlayerPaid],TRUE)</f>
        <v>0</v>
      </c>
      <c r="K129" s="41">
        <f>tblCost[[#This Row],[TargetRequirements]]-tblCost[[#This Row],[CompletedRequirements]]</f>
        <v>7</v>
      </c>
      <c r="L129" s="41" t="b">
        <f>tblCost[[#This Row],[RemainingRequirements]]=0</f>
        <v>0</v>
      </c>
      <c r="M129" s="43">
        <f>IF(tblCost[[#This Row],[TargetRequirements]]=0,0,tblCost[[#This Row],[CompletedRequirements]]/tblCost[[#This Row],[TargetRequirements]])</f>
        <v>0</v>
      </c>
    </row>
    <row r="130" spans="1:13">
      <c r="A130" s="41" t="s">
        <v>3787</v>
      </c>
      <c r="B130" s="41" t="str">
        <f>_xlfn.TEXTAFTER(_xlfn.TEXTBEFORE(tblCost[[#This Row],[RequirementID]],".",-2),"cost.")</f>
        <v>building.dungeon@2</v>
      </c>
      <c r="C130" s="41" t="str">
        <f>_xlfn.XLOOKUP(tblCost[[#This Row],[TargetID]],tblTargets[TargetID],tblTargets[DisplayName],"")</f>
        <v>Dungeon Lv 2</v>
      </c>
      <c r="D130" s="41" t="str">
        <f>_xlfn.XLOOKUP(tblCost[[#This Row],[TargetID]],tblTargets[TargetID],tblTargets[TargetType],"")</f>
        <v>BUILDING</v>
      </c>
      <c r="E130" s="41" t="s">
        <v>660</v>
      </c>
      <c r="F130" s="62" t="str">
        <f>RIGHT(tblCost[[#This Row],[RequirementID]],1)</f>
        <v>1</v>
      </c>
      <c r="G130" s="41">
        <v>5</v>
      </c>
      <c r="H130" t="b">
        <f>COUNTIFS(tblCostChecklist[RequirementID],tblCost[[#This Row],[RequirementID]],tblCostChecklist[PlayerPaid],TRUE)&gt;0</f>
        <v>0</v>
      </c>
      <c r="I130" s="41">
        <f>COUNTIF(tblCost[TargetID],tblCost[[#This Row],[TargetID]])</f>
        <v>7</v>
      </c>
      <c r="J130" s="41">
        <f>COUNTIFS(tblCost[TargetID],tblCost[[#This Row],[TargetID]],tblCost[PlayerPaid],TRUE)</f>
        <v>0</v>
      </c>
      <c r="K130" s="41">
        <f>tblCost[[#This Row],[TargetRequirements]]-tblCost[[#This Row],[CompletedRequirements]]</f>
        <v>7</v>
      </c>
      <c r="L130" s="41" t="b">
        <f>tblCost[[#This Row],[RemainingRequirements]]=0</f>
        <v>0</v>
      </c>
      <c r="M130" s="43">
        <f>IF(tblCost[[#This Row],[TargetRequirements]]=0,0,tblCost[[#This Row],[CompletedRequirements]]/tblCost[[#This Row],[TargetRequirements]])</f>
        <v>0</v>
      </c>
    </row>
    <row r="131" spans="1:13">
      <c r="A131" s="41" t="s">
        <v>3788</v>
      </c>
      <c r="B131" s="41" t="str">
        <f>_xlfn.TEXTAFTER(_xlfn.TEXTBEFORE(tblCost[[#This Row],[RequirementID]],".",-2),"cost.")</f>
        <v>building.dungeon@2</v>
      </c>
      <c r="C131" s="41" t="str">
        <f>_xlfn.XLOOKUP(tblCost[[#This Row],[TargetID]],tblTargets[TargetID],tblTargets[DisplayName],"")</f>
        <v>Dungeon Lv 2</v>
      </c>
      <c r="D131" s="41" t="str">
        <f>_xlfn.XLOOKUP(tblCost[[#This Row],[TargetID]],tblTargets[TargetID],tblTargets[TargetType],"")</f>
        <v>BUILDING</v>
      </c>
      <c r="E131" s="41" t="s">
        <v>696</v>
      </c>
      <c r="F131" s="62" t="str">
        <f>RIGHT(tblCost[[#This Row],[RequirementID]],1)</f>
        <v>1</v>
      </c>
      <c r="G131" s="41">
        <v>15</v>
      </c>
      <c r="H131" t="b">
        <f>COUNTIFS(tblCostChecklist[RequirementID],tblCost[[#This Row],[RequirementID]],tblCostChecklist[PlayerPaid],TRUE)&gt;0</f>
        <v>0</v>
      </c>
      <c r="I131" s="41">
        <f>COUNTIF(tblCost[TargetID],tblCost[[#This Row],[TargetID]])</f>
        <v>7</v>
      </c>
      <c r="J131" s="41">
        <f>COUNTIFS(tblCost[TargetID],tblCost[[#This Row],[TargetID]],tblCost[PlayerPaid],TRUE)</f>
        <v>0</v>
      </c>
      <c r="K131" s="41">
        <f>tblCost[[#This Row],[TargetRequirements]]-tblCost[[#This Row],[CompletedRequirements]]</f>
        <v>7</v>
      </c>
      <c r="L131" s="41" t="b">
        <f>tblCost[[#This Row],[RemainingRequirements]]=0</f>
        <v>0</v>
      </c>
      <c r="M131" s="43">
        <f>IF(tblCost[[#This Row],[TargetRequirements]]=0,0,tblCost[[#This Row],[CompletedRequirements]]/tblCost[[#This Row],[TargetRequirements]])</f>
        <v>0</v>
      </c>
    </row>
    <row r="132" spans="1:13">
      <c r="A132" s="41" t="s">
        <v>3789</v>
      </c>
      <c r="B132" s="41" t="str">
        <f>_xlfn.TEXTAFTER(_xlfn.TEXTBEFORE(tblCost[[#This Row],[RequirementID]],".",-2),"cost.")</f>
        <v>building.dungeon@3</v>
      </c>
      <c r="C132" s="41" t="str">
        <f>_xlfn.XLOOKUP(tblCost[[#This Row],[TargetID]],tblTargets[TargetID],tblTargets[DisplayName],"")</f>
        <v>Dungeon Lv 3</v>
      </c>
      <c r="D132" s="41" t="str">
        <f>_xlfn.XLOOKUP(tblCost[[#This Row],[TargetID]],tblTargets[TargetID],tblTargets[TargetType],"")</f>
        <v>BUILDING</v>
      </c>
      <c r="E132" s="41" t="s">
        <v>708</v>
      </c>
      <c r="F132" s="62" t="str">
        <f>RIGHT(tblCost[[#This Row],[RequirementID]],1)</f>
        <v>1</v>
      </c>
      <c r="G132" s="41">
        <v>3</v>
      </c>
      <c r="H132" t="b">
        <f>COUNTIFS(tblCostChecklist[RequirementID],tblCost[[#This Row],[RequirementID]],tblCostChecklist[PlayerPaid],TRUE)&gt;0</f>
        <v>0</v>
      </c>
      <c r="I132" s="41">
        <f>COUNTIF(tblCost[TargetID],tblCost[[#This Row],[TargetID]])</f>
        <v>7</v>
      </c>
      <c r="J132" s="41">
        <f>COUNTIFS(tblCost[TargetID],tblCost[[#This Row],[TargetID]],tblCost[PlayerPaid],TRUE)</f>
        <v>0</v>
      </c>
      <c r="K132" s="41">
        <f>tblCost[[#This Row],[TargetRequirements]]-tblCost[[#This Row],[CompletedRequirements]]</f>
        <v>7</v>
      </c>
      <c r="L132" s="41" t="b">
        <f>tblCost[[#This Row],[RemainingRequirements]]=0</f>
        <v>0</v>
      </c>
      <c r="M132" s="43">
        <f>IF(tblCost[[#This Row],[TargetRequirements]]=0,0,tblCost[[#This Row],[CompletedRequirements]]/tblCost[[#This Row],[TargetRequirements]])</f>
        <v>0</v>
      </c>
    </row>
    <row r="133" spans="1:13">
      <c r="A133" s="41" t="s">
        <v>3790</v>
      </c>
      <c r="B133" s="41" t="str">
        <f>_xlfn.TEXTAFTER(_xlfn.TEXTBEFORE(tblCost[[#This Row],[RequirementID]],".",-2),"cost.")</f>
        <v>building.dungeon@3</v>
      </c>
      <c r="C133" s="41" t="str">
        <f>_xlfn.XLOOKUP(tblCost[[#This Row],[TargetID]],tblTargets[TargetID],tblTargets[DisplayName],"")</f>
        <v>Dungeon Lv 3</v>
      </c>
      <c r="D133" s="41" t="str">
        <f>_xlfn.XLOOKUP(tblCost[[#This Row],[TargetID]],tblTargets[TargetID],tblTargets[TargetType],"")</f>
        <v>BUILDING</v>
      </c>
      <c r="E133" s="41" t="s">
        <v>666</v>
      </c>
      <c r="F133" s="62" t="str">
        <f>RIGHT(tblCost[[#This Row],[RequirementID]],1)</f>
        <v>1</v>
      </c>
      <c r="G133" s="41">
        <v>1000</v>
      </c>
      <c r="H133" t="b">
        <f>COUNTIFS(tblCostChecklist[RequirementID],tblCost[[#This Row],[RequirementID]],tblCostChecklist[PlayerPaid],TRUE)&gt;0</f>
        <v>0</v>
      </c>
      <c r="I133" s="41">
        <f>COUNTIF(tblCost[TargetID],tblCost[[#This Row],[TargetID]])</f>
        <v>7</v>
      </c>
      <c r="J133" s="41">
        <f>COUNTIFS(tblCost[TargetID],tblCost[[#This Row],[TargetID]],tblCost[PlayerPaid],TRUE)</f>
        <v>0</v>
      </c>
      <c r="K133" s="41">
        <f>tblCost[[#This Row],[TargetRequirements]]-tblCost[[#This Row],[CompletedRequirements]]</f>
        <v>7</v>
      </c>
      <c r="L133" s="41" t="b">
        <f>tblCost[[#This Row],[RemainingRequirements]]=0</f>
        <v>0</v>
      </c>
      <c r="M133" s="43">
        <f>IF(tblCost[[#This Row],[TargetRequirements]]=0,0,tblCost[[#This Row],[CompletedRequirements]]/tblCost[[#This Row],[TargetRequirements]])</f>
        <v>0</v>
      </c>
    </row>
    <row r="134" spans="1:13">
      <c r="A134" s="41" t="s">
        <v>3791</v>
      </c>
      <c r="B134" s="41" t="str">
        <f>_xlfn.TEXTAFTER(_xlfn.TEXTBEFORE(tblCost[[#This Row],[RequirementID]],".",-2),"cost.")</f>
        <v>building.dungeon@3</v>
      </c>
      <c r="C134" s="41" t="str">
        <f>_xlfn.XLOOKUP(tblCost[[#This Row],[TargetID]],tblTargets[TargetID],tblTargets[DisplayName],"")</f>
        <v>Dungeon Lv 3</v>
      </c>
      <c r="D134" s="41" t="str">
        <f>_xlfn.XLOOKUP(tblCost[[#This Row],[TargetID]],tblTargets[TargetID],tblTargets[TargetType],"")</f>
        <v>BUILDING</v>
      </c>
      <c r="E134" s="41" t="s">
        <v>658</v>
      </c>
      <c r="F134" s="62" t="str">
        <f>RIGHT(tblCost[[#This Row],[RequirementID]],1)</f>
        <v>1</v>
      </c>
      <c r="G134" s="41">
        <v>500</v>
      </c>
      <c r="H134" t="b">
        <f>COUNTIFS(tblCostChecklist[RequirementID],tblCost[[#This Row],[RequirementID]],tblCostChecklist[PlayerPaid],TRUE)&gt;0</f>
        <v>0</v>
      </c>
      <c r="I134" s="41">
        <f>COUNTIF(tblCost[TargetID],tblCost[[#This Row],[TargetID]])</f>
        <v>7</v>
      </c>
      <c r="J134" s="41">
        <f>COUNTIFS(tblCost[TargetID],tblCost[[#This Row],[TargetID]],tblCost[PlayerPaid],TRUE)</f>
        <v>0</v>
      </c>
      <c r="K134" s="41">
        <f>tblCost[[#This Row],[TargetRequirements]]-tblCost[[#This Row],[CompletedRequirements]]</f>
        <v>7</v>
      </c>
      <c r="L134" s="41" t="b">
        <f>tblCost[[#This Row],[RemainingRequirements]]=0</f>
        <v>0</v>
      </c>
      <c r="M134" s="43">
        <f>IF(tblCost[[#This Row],[TargetRequirements]]=0,0,tblCost[[#This Row],[CompletedRequirements]]/tblCost[[#This Row],[TargetRequirements]])</f>
        <v>0</v>
      </c>
    </row>
    <row r="135" spans="1:13">
      <c r="A135" s="41" t="s">
        <v>3792</v>
      </c>
      <c r="B135" s="41" t="str">
        <f>_xlfn.TEXTAFTER(_xlfn.TEXTBEFORE(tblCost[[#This Row],[RequirementID]],".",-2),"cost.")</f>
        <v>building.dungeon@3</v>
      </c>
      <c r="C135" s="41" t="str">
        <f>_xlfn.XLOOKUP(tblCost[[#This Row],[TargetID]],tblTargets[TargetID],tblTargets[DisplayName],"")</f>
        <v>Dungeon Lv 3</v>
      </c>
      <c r="D135" s="41" t="str">
        <f>_xlfn.XLOOKUP(tblCost[[#This Row],[TargetID]],tblTargets[TargetID],tblTargets[TargetType],"")</f>
        <v>BUILDING</v>
      </c>
      <c r="E135" s="41" t="s">
        <v>716</v>
      </c>
      <c r="F135" s="62" t="str">
        <f>RIGHT(tblCost[[#This Row],[RequirementID]],1)</f>
        <v>1</v>
      </c>
      <c r="G135" s="41">
        <v>400</v>
      </c>
      <c r="H135" t="b">
        <f>COUNTIFS(tblCostChecklist[RequirementID],tblCost[[#This Row],[RequirementID]],tblCostChecklist[PlayerPaid],TRUE)&gt;0</f>
        <v>0</v>
      </c>
      <c r="I135" s="41">
        <f>COUNTIF(tblCost[TargetID],tblCost[[#This Row],[TargetID]])</f>
        <v>7</v>
      </c>
      <c r="J135" s="41">
        <f>COUNTIFS(tblCost[TargetID],tblCost[[#This Row],[TargetID]],tblCost[PlayerPaid],TRUE)</f>
        <v>0</v>
      </c>
      <c r="K135" s="41">
        <f>tblCost[[#This Row],[TargetRequirements]]-tblCost[[#This Row],[CompletedRequirements]]</f>
        <v>7</v>
      </c>
      <c r="L135" s="41" t="b">
        <f>tblCost[[#This Row],[RemainingRequirements]]=0</f>
        <v>0</v>
      </c>
      <c r="M135" s="43">
        <f>IF(tblCost[[#This Row],[TargetRequirements]]=0,0,tblCost[[#This Row],[CompletedRequirements]]/tblCost[[#This Row],[TargetRequirements]])</f>
        <v>0</v>
      </c>
    </row>
    <row r="136" spans="1:13">
      <c r="A136" s="41" t="s">
        <v>3793</v>
      </c>
      <c r="B136" s="41" t="str">
        <f>_xlfn.TEXTAFTER(_xlfn.TEXTBEFORE(tblCost[[#This Row],[RequirementID]],".",-2),"cost.")</f>
        <v>building.dungeon@3</v>
      </c>
      <c r="C136" s="41" t="str">
        <f>_xlfn.XLOOKUP(tblCost[[#This Row],[TargetID]],tblTargets[TargetID],tblTargets[DisplayName],"")</f>
        <v>Dungeon Lv 3</v>
      </c>
      <c r="D136" s="41" t="str">
        <f>_xlfn.XLOOKUP(tblCost[[#This Row],[TargetID]],tblTargets[TargetID],tblTargets[TargetType],"")</f>
        <v>BUILDING</v>
      </c>
      <c r="E136" s="41" t="s">
        <v>684</v>
      </c>
      <c r="F136" s="62" t="str">
        <f>RIGHT(tblCost[[#This Row],[RequirementID]],1)</f>
        <v>1</v>
      </c>
      <c r="G136" s="41">
        <v>50</v>
      </c>
      <c r="H136" t="b">
        <f>COUNTIFS(tblCostChecklist[RequirementID],tblCost[[#This Row],[RequirementID]],tblCostChecklist[PlayerPaid],TRUE)&gt;0</f>
        <v>0</v>
      </c>
      <c r="I136" s="41">
        <f>COUNTIF(tblCost[TargetID],tblCost[[#This Row],[TargetID]])</f>
        <v>7</v>
      </c>
      <c r="J136" s="41">
        <f>COUNTIFS(tblCost[TargetID],tblCost[[#This Row],[TargetID]],tblCost[PlayerPaid],TRUE)</f>
        <v>0</v>
      </c>
      <c r="K136" s="41">
        <f>tblCost[[#This Row],[TargetRequirements]]-tblCost[[#This Row],[CompletedRequirements]]</f>
        <v>7</v>
      </c>
      <c r="L136" s="41" t="b">
        <f>tblCost[[#This Row],[RemainingRequirements]]=0</f>
        <v>0</v>
      </c>
      <c r="M136" s="43">
        <f>IF(tblCost[[#This Row],[TargetRequirements]]=0,0,tblCost[[#This Row],[CompletedRequirements]]/tblCost[[#This Row],[TargetRequirements]])</f>
        <v>0</v>
      </c>
    </row>
    <row r="137" spans="1:13">
      <c r="A137" s="41" t="s">
        <v>3794</v>
      </c>
      <c r="B137" s="41" t="str">
        <f>_xlfn.TEXTAFTER(_xlfn.TEXTBEFORE(tblCost[[#This Row],[RequirementID]],".",-2),"cost.")</f>
        <v>building.dungeon@3</v>
      </c>
      <c r="C137" s="41" t="str">
        <f>_xlfn.XLOOKUP(tblCost[[#This Row],[TargetID]],tblTargets[TargetID],tblTargets[DisplayName],"")</f>
        <v>Dungeon Lv 3</v>
      </c>
      <c r="D137" s="41" t="str">
        <f>_xlfn.XLOOKUP(tblCost[[#This Row],[TargetID]],tblTargets[TargetID],tblTargets[TargetType],"")</f>
        <v>BUILDING</v>
      </c>
      <c r="E137" s="41" t="s">
        <v>704</v>
      </c>
      <c r="F137" s="62" t="str">
        <f>RIGHT(tblCost[[#This Row],[RequirementID]],1)</f>
        <v>1</v>
      </c>
      <c r="G137" s="41">
        <v>3</v>
      </c>
      <c r="H137" t="b">
        <f>COUNTIFS(tblCostChecklist[RequirementID],tblCost[[#This Row],[RequirementID]],tblCostChecklist[PlayerPaid],TRUE)&gt;0</f>
        <v>0</v>
      </c>
      <c r="I137" s="41">
        <f>COUNTIF(tblCost[TargetID],tblCost[[#This Row],[TargetID]])</f>
        <v>7</v>
      </c>
      <c r="J137" s="41">
        <f>COUNTIFS(tblCost[TargetID],tblCost[[#This Row],[TargetID]],tblCost[PlayerPaid],TRUE)</f>
        <v>0</v>
      </c>
      <c r="K137" s="41">
        <f>tblCost[[#This Row],[TargetRequirements]]-tblCost[[#This Row],[CompletedRequirements]]</f>
        <v>7</v>
      </c>
      <c r="L137" s="41" t="b">
        <f>tblCost[[#This Row],[RemainingRequirements]]=0</f>
        <v>0</v>
      </c>
      <c r="M137" s="43">
        <f>IF(tblCost[[#This Row],[TargetRequirements]]=0,0,tblCost[[#This Row],[CompletedRequirements]]/tblCost[[#This Row],[TargetRequirements]])</f>
        <v>0</v>
      </c>
    </row>
    <row r="138" spans="1:13">
      <c r="A138" s="41" t="s">
        <v>3795</v>
      </c>
      <c r="B138" s="41" t="str">
        <f>_xlfn.TEXTAFTER(_xlfn.TEXTBEFORE(tblCost[[#This Row],[RequirementID]],".",-2),"cost.")</f>
        <v>building.dungeon@3</v>
      </c>
      <c r="C138" s="41" t="str">
        <f>_xlfn.XLOOKUP(tblCost[[#This Row],[TargetID]],tblTargets[TargetID],tblTargets[DisplayName],"")</f>
        <v>Dungeon Lv 3</v>
      </c>
      <c r="D138" s="41" t="str">
        <f>_xlfn.XLOOKUP(tblCost[[#This Row],[TargetID]],tblTargets[TargetID],tblTargets[TargetType],"")</f>
        <v>BUILDING</v>
      </c>
      <c r="E138" s="41" t="s">
        <v>696</v>
      </c>
      <c r="F138" s="62" t="str">
        <f>RIGHT(tblCost[[#This Row],[RequirementID]],1)</f>
        <v>1</v>
      </c>
      <c r="G138" s="41">
        <v>15</v>
      </c>
      <c r="H138" t="b">
        <f>COUNTIFS(tblCostChecklist[RequirementID],tblCost[[#This Row],[RequirementID]],tblCostChecklist[PlayerPaid],TRUE)&gt;0</f>
        <v>0</v>
      </c>
      <c r="I138" s="41">
        <f>COUNTIF(tblCost[TargetID],tblCost[[#This Row],[TargetID]])</f>
        <v>7</v>
      </c>
      <c r="J138" s="41">
        <f>COUNTIFS(tblCost[TargetID],tblCost[[#This Row],[TargetID]],tblCost[PlayerPaid],TRUE)</f>
        <v>0</v>
      </c>
      <c r="K138" s="41">
        <f>tblCost[[#This Row],[TargetRequirements]]-tblCost[[#This Row],[CompletedRequirements]]</f>
        <v>7</v>
      </c>
      <c r="L138" s="41" t="b">
        <f>tblCost[[#This Row],[RemainingRequirements]]=0</f>
        <v>0</v>
      </c>
      <c r="M138" s="43">
        <f>IF(tblCost[[#This Row],[TargetRequirements]]=0,0,tblCost[[#This Row],[CompletedRequirements]]/tblCost[[#This Row],[TargetRequirements]])</f>
        <v>0</v>
      </c>
    </row>
    <row r="139" spans="1:13">
      <c r="A139" s="41" t="s">
        <v>3796</v>
      </c>
      <c r="B139" s="41" t="str">
        <f>_xlfn.TEXTAFTER(_xlfn.TEXTBEFORE(tblCost[[#This Row],[RequirementID]],".",-2),"cost.")</f>
        <v>building.dungeon@4</v>
      </c>
      <c r="C139" s="41" t="str">
        <f>_xlfn.XLOOKUP(tblCost[[#This Row],[TargetID]],tblTargets[TargetID],tblTargets[DisplayName],"")</f>
        <v>Dungeon Lv 4</v>
      </c>
      <c r="D139" s="41" t="str">
        <f>_xlfn.XLOOKUP(tblCost[[#This Row],[TargetID]],tblTargets[TargetID],tblTargets[TargetType],"")</f>
        <v>BUILDING</v>
      </c>
      <c r="E139" s="41" t="s">
        <v>708</v>
      </c>
      <c r="F139" s="62" t="str">
        <f>RIGHT(tblCost[[#This Row],[RequirementID]],1)</f>
        <v>1</v>
      </c>
      <c r="G139" s="41">
        <v>5</v>
      </c>
      <c r="H139" t="b">
        <f>COUNTIFS(tblCostChecklist[RequirementID],tblCost[[#This Row],[RequirementID]],tblCostChecklist[PlayerPaid],TRUE)&gt;0</f>
        <v>0</v>
      </c>
      <c r="I139" s="41">
        <f>COUNTIF(tblCost[TargetID],tblCost[[#This Row],[TargetID]])</f>
        <v>7</v>
      </c>
      <c r="J139" s="41">
        <f>COUNTIFS(tblCost[TargetID],tblCost[[#This Row],[TargetID]],tblCost[PlayerPaid],TRUE)</f>
        <v>0</v>
      </c>
      <c r="K139" s="41">
        <f>tblCost[[#This Row],[TargetRequirements]]-tblCost[[#This Row],[CompletedRequirements]]</f>
        <v>7</v>
      </c>
      <c r="L139" s="41" t="b">
        <f>tblCost[[#This Row],[RemainingRequirements]]=0</f>
        <v>0</v>
      </c>
      <c r="M139" s="43">
        <f>IF(tblCost[[#This Row],[TargetRequirements]]=0,0,tblCost[[#This Row],[CompletedRequirements]]/tblCost[[#This Row],[TargetRequirements]])</f>
        <v>0</v>
      </c>
    </row>
    <row r="140" spans="1:13">
      <c r="A140" s="41" t="s">
        <v>3797</v>
      </c>
      <c r="B140" s="41" t="str">
        <f>_xlfn.TEXTAFTER(_xlfn.TEXTBEFORE(tblCost[[#This Row],[RequirementID]],".",-2),"cost.")</f>
        <v>building.dungeon@4</v>
      </c>
      <c r="C140" s="41" t="str">
        <f>_xlfn.XLOOKUP(tblCost[[#This Row],[TargetID]],tblTargets[TargetID],tblTargets[DisplayName],"")</f>
        <v>Dungeon Lv 4</v>
      </c>
      <c r="D140" s="41" t="str">
        <f>_xlfn.XLOOKUP(tblCost[[#This Row],[TargetID]],tblTargets[TargetID],tblTargets[TargetType],"")</f>
        <v>BUILDING</v>
      </c>
      <c r="E140" s="41" t="s">
        <v>666</v>
      </c>
      <c r="F140" s="62" t="str">
        <f>RIGHT(tblCost[[#This Row],[RequirementID]],1)</f>
        <v>1</v>
      </c>
      <c r="G140" s="41">
        <v>1500</v>
      </c>
      <c r="H140" t="b">
        <f>COUNTIFS(tblCostChecklist[RequirementID],tblCost[[#This Row],[RequirementID]],tblCostChecklist[PlayerPaid],TRUE)&gt;0</f>
        <v>0</v>
      </c>
      <c r="I140" s="41">
        <f>COUNTIF(tblCost[TargetID],tblCost[[#This Row],[TargetID]])</f>
        <v>7</v>
      </c>
      <c r="J140" s="41">
        <f>COUNTIFS(tblCost[TargetID],tblCost[[#This Row],[TargetID]],tblCost[PlayerPaid],TRUE)</f>
        <v>0</v>
      </c>
      <c r="K140" s="41">
        <f>tblCost[[#This Row],[TargetRequirements]]-tblCost[[#This Row],[CompletedRequirements]]</f>
        <v>7</v>
      </c>
      <c r="L140" s="41" t="b">
        <f>tblCost[[#This Row],[RemainingRequirements]]=0</f>
        <v>0</v>
      </c>
      <c r="M140" s="43">
        <f>IF(tblCost[[#This Row],[TargetRequirements]]=0,0,tblCost[[#This Row],[CompletedRequirements]]/tblCost[[#This Row],[TargetRequirements]])</f>
        <v>0</v>
      </c>
    </row>
    <row r="141" spans="1:13">
      <c r="A141" s="41" t="s">
        <v>3798</v>
      </c>
      <c r="B141" s="41" t="str">
        <f>_xlfn.TEXTAFTER(_xlfn.TEXTBEFORE(tblCost[[#This Row],[RequirementID]],".",-2),"cost.")</f>
        <v>building.dungeon@4</v>
      </c>
      <c r="C141" s="41" t="str">
        <f>_xlfn.XLOOKUP(tblCost[[#This Row],[TargetID]],tblTargets[TargetID],tblTargets[DisplayName],"")</f>
        <v>Dungeon Lv 4</v>
      </c>
      <c r="D141" s="41" t="str">
        <f>_xlfn.XLOOKUP(tblCost[[#This Row],[TargetID]],tblTargets[TargetID],tblTargets[TargetType],"")</f>
        <v>BUILDING</v>
      </c>
      <c r="E141" s="41" t="s">
        <v>658</v>
      </c>
      <c r="F141" s="62" t="str">
        <f>RIGHT(tblCost[[#This Row],[RequirementID]],1)</f>
        <v>1</v>
      </c>
      <c r="G141" s="41">
        <v>750</v>
      </c>
      <c r="H141" t="b">
        <f>COUNTIFS(tblCostChecklist[RequirementID],tblCost[[#This Row],[RequirementID]],tblCostChecklist[PlayerPaid],TRUE)&gt;0</f>
        <v>0</v>
      </c>
      <c r="I141" s="41">
        <f>COUNTIF(tblCost[TargetID],tblCost[[#This Row],[TargetID]])</f>
        <v>7</v>
      </c>
      <c r="J141" s="41">
        <f>COUNTIFS(tblCost[TargetID],tblCost[[#This Row],[TargetID]],tblCost[PlayerPaid],TRUE)</f>
        <v>0</v>
      </c>
      <c r="K141" s="41">
        <f>tblCost[[#This Row],[TargetRequirements]]-tblCost[[#This Row],[CompletedRequirements]]</f>
        <v>7</v>
      </c>
      <c r="L141" s="41" t="b">
        <f>tblCost[[#This Row],[RemainingRequirements]]=0</f>
        <v>0</v>
      </c>
      <c r="M141" s="43">
        <f>IF(tblCost[[#This Row],[TargetRequirements]]=0,0,tblCost[[#This Row],[CompletedRequirements]]/tblCost[[#This Row],[TargetRequirements]])</f>
        <v>0</v>
      </c>
    </row>
    <row r="142" spans="1:13">
      <c r="A142" s="41" t="s">
        <v>3799</v>
      </c>
      <c r="B142" s="41" t="str">
        <f>_xlfn.TEXTAFTER(_xlfn.TEXTBEFORE(tblCost[[#This Row],[RequirementID]],".",-2),"cost.")</f>
        <v>building.dungeon@4</v>
      </c>
      <c r="C142" s="41" t="str">
        <f>_xlfn.XLOOKUP(tblCost[[#This Row],[TargetID]],tblTargets[TargetID],tblTargets[DisplayName],"")</f>
        <v>Dungeon Lv 4</v>
      </c>
      <c r="D142" s="41" t="str">
        <f>_xlfn.XLOOKUP(tblCost[[#This Row],[TargetID]],tblTargets[TargetID],tblTargets[TargetType],"")</f>
        <v>BUILDING</v>
      </c>
      <c r="E142" s="41" t="s">
        <v>695</v>
      </c>
      <c r="F142" s="62" t="str">
        <f>RIGHT(tblCost[[#This Row],[RequirementID]],1)</f>
        <v>1</v>
      </c>
      <c r="G142" s="41">
        <v>30</v>
      </c>
      <c r="H142" t="b">
        <f>COUNTIFS(tblCostChecklist[RequirementID],tblCost[[#This Row],[RequirementID]],tblCostChecklist[PlayerPaid],TRUE)&gt;0</f>
        <v>0</v>
      </c>
      <c r="I142" s="41">
        <f>COUNTIF(tblCost[TargetID],tblCost[[#This Row],[TargetID]])</f>
        <v>7</v>
      </c>
      <c r="J142" s="41">
        <f>COUNTIFS(tblCost[TargetID],tblCost[[#This Row],[TargetID]],tblCost[PlayerPaid],TRUE)</f>
        <v>0</v>
      </c>
      <c r="K142" s="41">
        <f>tblCost[[#This Row],[TargetRequirements]]-tblCost[[#This Row],[CompletedRequirements]]</f>
        <v>7</v>
      </c>
      <c r="L142" s="41" t="b">
        <f>tblCost[[#This Row],[RemainingRequirements]]=0</f>
        <v>0</v>
      </c>
      <c r="M142" s="43">
        <f>IF(tblCost[[#This Row],[TargetRequirements]]=0,0,tblCost[[#This Row],[CompletedRequirements]]/tblCost[[#This Row],[TargetRequirements]])</f>
        <v>0</v>
      </c>
    </row>
    <row r="143" spans="1:13">
      <c r="A143" s="41" t="s">
        <v>3800</v>
      </c>
      <c r="B143" s="41" t="str">
        <f>_xlfn.TEXTAFTER(_xlfn.TEXTBEFORE(tblCost[[#This Row],[RequirementID]],".",-2),"cost.")</f>
        <v>building.dungeon@4</v>
      </c>
      <c r="C143" s="41" t="str">
        <f>_xlfn.XLOOKUP(tblCost[[#This Row],[TargetID]],tblTargets[TargetID],tblTargets[DisplayName],"")</f>
        <v>Dungeon Lv 4</v>
      </c>
      <c r="D143" s="41" t="str">
        <f>_xlfn.XLOOKUP(tblCost[[#This Row],[TargetID]],tblTargets[TargetID],tblTargets[TargetType],"")</f>
        <v>BUILDING</v>
      </c>
      <c r="E143" s="41" t="s">
        <v>665</v>
      </c>
      <c r="F143" s="62" t="str">
        <f>RIGHT(tblCost[[#This Row],[RequirementID]],1)</f>
        <v>1</v>
      </c>
      <c r="G143" s="41">
        <v>5</v>
      </c>
      <c r="H143" t="b">
        <f>COUNTIFS(tblCostChecklist[RequirementID],tblCost[[#This Row],[RequirementID]],tblCostChecklist[PlayerPaid],TRUE)&gt;0</f>
        <v>0</v>
      </c>
      <c r="I143" s="41">
        <f>COUNTIF(tblCost[TargetID],tblCost[[#This Row],[TargetID]])</f>
        <v>7</v>
      </c>
      <c r="J143" s="41">
        <f>COUNTIFS(tblCost[TargetID],tblCost[[#This Row],[TargetID]],tblCost[PlayerPaid],TRUE)</f>
        <v>0</v>
      </c>
      <c r="K143" s="41">
        <f>tblCost[[#This Row],[TargetRequirements]]-tblCost[[#This Row],[CompletedRequirements]]</f>
        <v>7</v>
      </c>
      <c r="L143" s="41" t="b">
        <f>tblCost[[#This Row],[RemainingRequirements]]=0</f>
        <v>0</v>
      </c>
      <c r="M143" s="43">
        <f>IF(tblCost[[#This Row],[TargetRequirements]]=0,0,tblCost[[#This Row],[CompletedRequirements]]/tblCost[[#This Row],[TargetRequirements]])</f>
        <v>0</v>
      </c>
    </row>
    <row r="144" spans="1:13">
      <c r="A144" s="41" t="s">
        <v>3801</v>
      </c>
      <c r="B144" s="41" t="str">
        <f>_xlfn.TEXTAFTER(_xlfn.TEXTBEFORE(tblCost[[#This Row],[RequirementID]],".",-2),"cost.")</f>
        <v>building.dungeon@4</v>
      </c>
      <c r="C144" s="41" t="str">
        <f>_xlfn.XLOOKUP(tblCost[[#This Row],[TargetID]],tblTargets[TargetID],tblTargets[DisplayName],"")</f>
        <v>Dungeon Lv 4</v>
      </c>
      <c r="D144" s="41" t="str">
        <f>_xlfn.XLOOKUP(tblCost[[#This Row],[TargetID]],tblTargets[TargetID],tblTargets[TargetType],"")</f>
        <v>BUILDING</v>
      </c>
      <c r="E144" s="41" t="s">
        <v>702</v>
      </c>
      <c r="F144" s="62" t="str">
        <f>RIGHT(tblCost[[#This Row],[RequirementID]],1)</f>
        <v>1</v>
      </c>
      <c r="G144" s="41">
        <v>20</v>
      </c>
      <c r="H144" t="b">
        <f>COUNTIFS(tblCostChecklist[RequirementID],tblCost[[#This Row],[RequirementID]],tblCostChecklist[PlayerPaid],TRUE)&gt;0</f>
        <v>0</v>
      </c>
      <c r="I144" s="41">
        <f>COUNTIF(tblCost[TargetID],tblCost[[#This Row],[TargetID]])</f>
        <v>7</v>
      </c>
      <c r="J144" s="41">
        <f>COUNTIFS(tblCost[TargetID],tblCost[[#This Row],[TargetID]],tblCost[PlayerPaid],TRUE)</f>
        <v>0</v>
      </c>
      <c r="K144" s="41">
        <f>tblCost[[#This Row],[TargetRequirements]]-tblCost[[#This Row],[CompletedRequirements]]</f>
        <v>7</v>
      </c>
      <c r="L144" s="41" t="b">
        <f>tblCost[[#This Row],[RemainingRequirements]]=0</f>
        <v>0</v>
      </c>
      <c r="M144" s="43">
        <f>IF(tblCost[[#This Row],[TargetRequirements]]=0,0,tblCost[[#This Row],[CompletedRequirements]]/tblCost[[#This Row],[TargetRequirements]])</f>
        <v>0</v>
      </c>
    </row>
    <row r="145" spans="1:13">
      <c r="A145" s="41" t="s">
        <v>3802</v>
      </c>
      <c r="B145" s="41" t="str">
        <f>_xlfn.TEXTAFTER(_xlfn.TEXTBEFORE(tblCost[[#This Row],[RequirementID]],".",-2),"cost.")</f>
        <v>building.dungeon@4</v>
      </c>
      <c r="C145" s="41" t="str">
        <f>_xlfn.XLOOKUP(tblCost[[#This Row],[TargetID]],tblTargets[TargetID],tblTargets[DisplayName],"")</f>
        <v>Dungeon Lv 4</v>
      </c>
      <c r="D145" s="41" t="str">
        <f>_xlfn.XLOOKUP(tblCost[[#This Row],[TargetID]],tblTargets[TargetID],tblTargets[TargetType],"")</f>
        <v>BUILDING</v>
      </c>
      <c r="E145" s="41" t="s">
        <v>696</v>
      </c>
      <c r="F145" s="62" t="str">
        <f>RIGHT(tblCost[[#This Row],[RequirementID]],1)</f>
        <v>1</v>
      </c>
      <c r="G145" s="41">
        <v>20</v>
      </c>
      <c r="H145" t="b">
        <f>COUNTIFS(tblCostChecklist[RequirementID],tblCost[[#This Row],[RequirementID]],tblCostChecklist[PlayerPaid],TRUE)&gt;0</f>
        <v>0</v>
      </c>
      <c r="I145" s="41">
        <f>COUNTIF(tblCost[TargetID],tblCost[[#This Row],[TargetID]])</f>
        <v>7</v>
      </c>
      <c r="J145" s="41">
        <f>COUNTIFS(tblCost[TargetID],tblCost[[#This Row],[TargetID]],tblCost[PlayerPaid],TRUE)</f>
        <v>0</v>
      </c>
      <c r="K145" s="41">
        <f>tblCost[[#This Row],[TargetRequirements]]-tblCost[[#This Row],[CompletedRequirements]]</f>
        <v>7</v>
      </c>
      <c r="L145" s="41" t="b">
        <f>tblCost[[#This Row],[RemainingRequirements]]=0</f>
        <v>0</v>
      </c>
      <c r="M145" s="43">
        <f>IF(tblCost[[#This Row],[TargetRequirements]]=0,0,tblCost[[#This Row],[CompletedRequirements]]/tblCost[[#This Row],[TargetRequirements]])</f>
        <v>0</v>
      </c>
    </row>
    <row r="146" spans="1:13">
      <c r="A146" s="41" t="s">
        <v>3803</v>
      </c>
      <c r="B146" s="41" t="str">
        <f>_xlfn.TEXTAFTER(_xlfn.TEXTBEFORE(tblCost[[#This Row],[RequirementID]],".",-2),"cost.")</f>
        <v>building.dungeon@5</v>
      </c>
      <c r="C146" s="41" t="str">
        <f>_xlfn.XLOOKUP(tblCost[[#This Row],[TargetID]],tblTargets[TargetID],tblTargets[DisplayName],"")</f>
        <v>Dungeon Lv 5</v>
      </c>
      <c r="D146" s="41" t="str">
        <f>_xlfn.XLOOKUP(tblCost[[#This Row],[TargetID]],tblTargets[TargetID],tblTargets[TargetType],"")</f>
        <v>BUILDING</v>
      </c>
      <c r="E146" s="41" t="s">
        <v>708</v>
      </c>
      <c r="F146" s="62" t="str">
        <f>RIGHT(tblCost[[#This Row],[RequirementID]],1)</f>
        <v>1</v>
      </c>
      <c r="G146" s="41">
        <v>7</v>
      </c>
      <c r="H146" t="b">
        <f>COUNTIFS(tblCostChecklist[RequirementID],tblCost[[#This Row],[RequirementID]],tblCostChecklist[PlayerPaid],TRUE)&gt;0</f>
        <v>0</v>
      </c>
      <c r="I146" s="41">
        <f>COUNTIF(tblCost[TargetID],tblCost[[#This Row],[TargetID]])</f>
        <v>6</v>
      </c>
      <c r="J146" s="41">
        <f>COUNTIFS(tblCost[TargetID],tblCost[[#This Row],[TargetID]],tblCost[PlayerPaid],TRUE)</f>
        <v>0</v>
      </c>
      <c r="K146" s="41">
        <f>tblCost[[#This Row],[TargetRequirements]]-tblCost[[#This Row],[CompletedRequirements]]</f>
        <v>6</v>
      </c>
      <c r="L146" s="41" t="b">
        <f>tblCost[[#This Row],[RemainingRequirements]]=0</f>
        <v>0</v>
      </c>
      <c r="M146" s="43">
        <f>IF(tblCost[[#This Row],[TargetRequirements]]=0,0,tblCost[[#This Row],[CompletedRequirements]]/tblCost[[#This Row],[TargetRequirements]])</f>
        <v>0</v>
      </c>
    </row>
    <row r="147" spans="1:13">
      <c r="A147" s="41" t="s">
        <v>3804</v>
      </c>
      <c r="B147" s="41" t="str">
        <f>_xlfn.TEXTAFTER(_xlfn.TEXTBEFORE(tblCost[[#This Row],[RequirementID]],".",-2),"cost.")</f>
        <v>building.dungeon@5</v>
      </c>
      <c r="C147" s="41" t="str">
        <f>_xlfn.XLOOKUP(tblCost[[#This Row],[TargetID]],tblTargets[TargetID],tblTargets[DisplayName],"")</f>
        <v>Dungeon Lv 5</v>
      </c>
      <c r="D147" s="41" t="str">
        <f>_xlfn.XLOOKUP(tblCost[[#This Row],[TargetID]],tblTargets[TargetID],tblTargets[TargetType],"")</f>
        <v>BUILDING</v>
      </c>
      <c r="E147" s="41" t="s">
        <v>666</v>
      </c>
      <c r="F147" s="62" t="str">
        <f>RIGHT(tblCost[[#This Row],[RequirementID]],1)</f>
        <v>1</v>
      </c>
      <c r="G147" s="41">
        <v>2000</v>
      </c>
      <c r="H147" t="b">
        <f>COUNTIFS(tblCostChecklist[RequirementID],tblCost[[#This Row],[RequirementID]],tblCostChecklist[PlayerPaid],TRUE)&gt;0</f>
        <v>0</v>
      </c>
      <c r="I147" s="41">
        <f>COUNTIF(tblCost[TargetID],tblCost[[#This Row],[TargetID]])</f>
        <v>6</v>
      </c>
      <c r="J147" s="41">
        <f>COUNTIFS(tblCost[TargetID],tblCost[[#This Row],[TargetID]],tblCost[PlayerPaid],TRUE)</f>
        <v>0</v>
      </c>
      <c r="K147" s="41">
        <f>tblCost[[#This Row],[TargetRequirements]]-tblCost[[#This Row],[CompletedRequirements]]</f>
        <v>6</v>
      </c>
      <c r="L147" s="41" t="b">
        <f>tblCost[[#This Row],[RemainingRequirements]]=0</f>
        <v>0</v>
      </c>
      <c r="M147" s="43">
        <f>IF(tblCost[[#This Row],[TargetRequirements]]=0,0,tblCost[[#This Row],[CompletedRequirements]]/tblCost[[#This Row],[TargetRequirements]])</f>
        <v>0</v>
      </c>
    </row>
    <row r="148" spans="1:13">
      <c r="A148" s="41" t="s">
        <v>3805</v>
      </c>
      <c r="B148" s="41" t="str">
        <f>_xlfn.TEXTAFTER(_xlfn.TEXTBEFORE(tblCost[[#This Row],[RequirementID]],".",-2),"cost.")</f>
        <v>building.dungeon@5</v>
      </c>
      <c r="C148" s="41" t="str">
        <f>_xlfn.XLOOKUP(tblCost[[#This Row],[TargetID]],tblTargets[TargetID],tblTargets[DisplayName],"")</f>
        <v>Dungeon Lv 5</v>
      </c>
      <c r="D148" s="41" t="str">
        <f>_xlfn.XLOOKUP(tblCost[[#This Row],[TargetID]],tblTargets[TargetID],tblTargets[TargetType],"")</f>
        <v>BUILDING</v>
      </c>
      <c r="E148" s="41" t="s">
        <v>658</v>
      </c>
      <c r="F148" s="62" t="str">
        <f>RIGHT(tblCost[[#This Row],[RequirementID]],1)</f>
        <v>1</v>
      </c>
      <c r="G148" s="41">
        <v>1000</v>
      </c>
      <c r="H148" t="b">
        <f>COUNTIFS(tblCostChecklist[RequirementID],tblCost[[#This Row],[RequirementID]],tblCostChecklist[PlayerPaid],TRUE)&gt;0</f>
        <v>0</v>
      </c>
      <c r="I148" s="41">
        <f>COUNTIF(tblCost[TargetID],tblCost[[#This Row],[TargetID]])</f>
        <v>6</v>
      </c>
      <c r="J148" s="41">
        <f>COUNTIFS(tblCost[TargetID],tblCost[[#This Row],[TargetID]],tblCost[PlayerPaid],TRUE)</f>
        <v>0</v>
      </c>
      <c r="K148" s="41">
        <f>tblCost[[#This Row],[TargetRequirements]]-tblCost[[#This Row],[CompletedRequirements]]</f>
        <v>6</v>
      </c>
      <c r="L148" s="41" t="b">
        <f>tblCost[[#This Row],[RemainingRequirements]]=0</f>
        <v>0</v>
      </c>
      <c r="M148" s="43">
        <f>IF(tblCost[[#This Row],[TargetRequirements]]=0,0,tblCost[[#This Row],[CompletedRequirements]]/tblCost[[#This Row],[TargetRequirements]])</f>
        <v>0</v>
      </c>
    </row>
    <row r="149" spans="1:13">
      <c r="A149" s="41" t="s">
        <v>3806</v>
      </c>
      <c r="B149" s="41" t="str">
        <f>_xlfn.TEXTAFTER(_xlfn.TEXTBEFORE(tblCost[[#This Row],[RequirementID]],".",-2),"cost.")</f>
        <v>building.dungeon@5</v>
      </c>
      <c r="C149" s="41" t="str">
        <f>_xlfn.XLOOKUP(tblCost[[#This Row],[TargetID]],tblTargets[TargetID],tblTargets[DisplayName],"")</f>
        <v>Dungeon Lv 5</v>
      </c>
      <c r="D149" s="41" t="str">
        <f>_xlfn.XLOOKUP(tblCost[[#This Row],[TargetID]],tblTargets[TargetID],tblTargets[TargetType],"")</f>
        <v>BUILDING</v>
      </c>
      <c r="E149" s="41" t="s">
        <v>692</v>
      </c>
      <c r="F149" s="62" t="str">
        <f>RIGHT(tblCost[[#This Row],[RequirementID]],1)</f>
        <v>1</v>
      </c>
      <c r="G149" s="41">
        <v>10</v>
      </c>
      <c r="H149" t="b">
        <f>COUNTIFS(tblCostChecklist[RequirementID],tblCost[[#This Row],[RequirementID]],tblCostChecklist[PlayerPaid],TRUE)&gt;0</f>
        <v>0</v>
      </c>
      <c r="I149" s="41">
        <f>COUNTIF(tblCost[TargetID],tblCost[[#This Row],[TargetID]])</f>
        <v>6</v>
      </c>
      <c r="J149" s="41">
        <f>COUNTIFS(tblCost[TargetID],tblCost[[#This Row],[TargetID]],tblCost[PlayerPaid],TRUE)</f>
        <v>0</v>
      </c>
      <c r="K149" s="41">
        <f>tblCost[[#This Row],[TargetRequirements]]-tblCost[[#This Row],[CompletedRequirements]]</f>
        <v>6</v>
      </c>
      <c r="L149" s="41" t="b">
        <f>tblCost[[#This Row],[RemainingRequirements]]=0</f>
        <v>0</v>
      </c>
      <c r="M149" s="43">
        <f>IF(tblCost[[#This Row],[TargetRequirements]]=0,0,tblCost[[#This Row],[CompletedRequirements]]/tblCost[[#This Row],[TargetRequirements]])</f>
        <v>0</v>
      </c>
    </row>
    <row r="150" spans="1:13">
      <c r="A150" s="41" t="s">
        <v>3807</v>
      </c>
      <c r="B150" s="41" t="str">
        <f>_xlfn.TEXTAFTER(_xlfn.TEXTBEFORE(tblCost[[#This Row],[RequirementID]],".",-2),"cost.")</f>
        <v>building.dungeon@5</v>
      </c>
      <c r="C150" s="41" t="str">
        <f>_xlfn.XLOOKUP(tblCost[[#This Row],[TargetID]],tblTargets[TargetID],tblTargets[DisplayName],"")</f>
        <v>Dungeon Lv 5</v>
      </c>
      <c r="D150" s="41" t="str">
        <f>_xlfn.XLOOKUP(tblCost[[#This Row],[TargetID]],tblTargets[TargetID],tblTargets[TargetType],"")</f>
        <v>BUILDING</v>
      </c>
      <c r="E150" s="41" t="s">
        <v>712</v>
      </c>
      <c r="F150" s="62" t="str">
        <f>RIGHT(tblCost[[#This Row],[RequirementID]],1)</f>
        <v>1</v>
      </c>
      <c r="G150" s="41">
        <v>10</v>
      </c>
      <c r="H150" t="b">
        <f>COUNTIFS(tblCostChecklist[RequirementID],tblCost[[#This Row],[RequirementID]],tblCostChecklist[PlayerPaid],TRUE)&gt;0</f>
        <v>0</v>
      </c>
      <c r="I150" s="41">
        <f>COUNTIF(tblCost[TargetID],tblCost[[#This Row],[TargetID]])</f>
        <v>6</v>
      </c>
      <c r="J150" s="41">
        <f>COUNTIFS(tblCost[TargetID],tblCost[[#This Row],[TargetID]],tblCost[PlayerPaid],TRUE)</f>
        <v>0</v>
      </c>
      <c r="K150" s="41">
        <f>tblCost[[#This Row],[TargetRequirements]]-tblCost[[#This Row],[CompletedRequirements]]</f>
        <v>6</v>
      </c>
      <c r="L150" s="41" t="b">
        <f>tblCost[[#This Row],[RemainingRequirements]]=0</f>
        <v>0</v>
      </c>
      <c r="M150" s="43">
        <f>IF(tblCost[[#This Row],[TargetRequirements]]=0,0,tblCost[[#This Row],[CompletedRequirements]]/tblCost[[#This Row],[TargetRequirements]])</f>
        <v>0</v>
      </c>
    </row>
    <row r="151" spans="1:13">
      <c r="A151" s="41" t="s">
        <v>3808</v>
      </c>
      <c r="B151" s="41" t="str">
        <f>_xlfn.TEXTAFTER(_xlfn.TEXTBEFORE(tblCost[[#This Row],[RequirementID]],".",-2),"cost.")</f>
        <v>building.dungeon@5</v>
      </c>
      <c r="C151" s="41" t="str">
        <f>_xlfn.XLOOKUP(tblCost[[#This Row],[TargetID]],tblTargets[TargetID],tblTargets[DisplayName],"")</f>
        <v>Dungeon Lv 5</v>
      </c>
      <c r="D151" s="41" t="str">
        <f>_xlfn.XLOOKUP(tblCost[[#This Row],[TargetID]],tblTargets[TargetID],tblTargets[TargetType],"")</f>
        <v>BUILDING</v>
      </c>
      <c r="E151" s="41" t="s">
        <v>696</v>
      </c>
      <c r="F151" s="62" t="str">
        <f>RIGHT(tblCost[[#This Row],[RequirementID]],1)</f>
        <v>1</v>
      </c>
      <c r="G151" s="41">
        <v>25</v>
      </c>
      <c r="H151" t="b">
        <f>COUNTIFS(tblCostChecklist[RequirementID],tblCost[[#This Row],[RequirementID]],tblCostChecklist[PlayerPaid],TRUE)&gt;0</f>
        <v>0</v>
      </c>
      <c r="I151" s="41">
        <f>COUNTIF(tblCost[TargetID],tblCost[[#This Row],[TargetID]])</f>
        <v>6</v>
      </c>
      <c r="J151" s="41">
        <f>COUNTIFS(tblCost[TargetID],tblCost[[#This Row],[TargetID]],tblCost[PlayerPaid],TRUE)</f>
        <v>0</v>
      </c>
      <c r="K151" s="41">
        <f>tblCost[[#This Row],[TargetRequirements]]-tblCost[[#This Row],[CompletedRequirements]]</f>
        <v>6</v>
      </c>
      <c r="L151" s="41" t="b">
        <f>tblCost[[#This Row],[RemainingRequirements]]=0</f>
        <v>0</v>
      </c>
      <c r="M151" s="43">
        <f>IF(tblCost[[#This Row],[TargetRequirements]]=0,0,tblCost[[#This Row],[CompletedRequirements]]/tblCost[[#This Row],[TargetRequirements]])</f>
        <v>0</v>
      </c>
    </row>
    <row r="152" spans="1:13">
      <c r="A152" s="41" t="s">
        <v>6061</v>
      </c>
      <c r="B152" s="41" t="str">
        <f>_xlfn.TEXTAFTER(_xlfn.TEXTBEFORE(tblCost[[#This Row],[RequirementID]],".",-2),"cost.")</f>
        <v>citadel.tunnel</v>
      </c>
      <c r="C152" s="41" t="str">
        <f>_xlfn.XLOOKUP(tblCost[[#This Row],[TargetID]],tblTargets[TargetID],tblTargets[DisplayName],"")</f>
        <v>Tunnel</v>
      </c>
      <c r="D152" s="41" t="str">
        <f>_xlfn.XLOOKUP(tblCost[[#This Row],[TargetID]],tblTargets[TargetID],tblTargets[TargetType],"")</f>
        <v>CITADEL</v>
      </c>
      <c r="E152" s="41" t="s">
        <v>708</v>
      </c>
      <c r="F152" s="62" t="str">
        <f>RIGHT(tblCost[[#This Row],[RequirementID]],1)</f>
        <v>1</v>
      </c>
      <c r="G152" s="41">
        <v>5</v>
      </c>
      <c r="H152" t="b">
        <f>COUNTIFS(tblCostChecklist[RequirementID],tblCost[[#This Row],[RequirementID]],tblCostChecklist[PlayerPaid],TRUE)&gt;0</f>
        <v>0</v>
      </c>
      <c r="I152" s="41">
        <f>COUNTIF(tblCost[TargetID],tblCost[[#This Row],[TargetID]])</f>
        <v>9</v>
      </c>
      <c r="J152" s="41">
        <f>COUNTIFS(tblCost[TargetID],tblCost[[#This Row],[TargetID]],tblCost[PlayerPaid],TRUE)</f>
        <v>0</v>
      </c>
      <c r="K152" s="41">
        <f>tblCost[[#This Row],[TargetRequirements]]-tblCost[[#This Row],[CompletedRequirements]]</f>
        <v>9</v>
      </c>
      <c r="L152" s="41" t="b">
        <f>tblCost[[#This Row],[RemainingRequirements]]=0</f>
        <v>0</v>
      </c>
      <c r="M152" s="43">
        <f>IF(tblCost[[#This Row],[TargetRequirements]]=0,0,tblCost[[#This Row],[CompletedRequirements]]/tblCost[[#This Row],[TargetRequirements]])</f>
        <v>0</v>
      </c>
    </row>
    <row r="153" spans="1:13">
      <c r="A153" s="41" t="s">
        <v>6062</v>
      </c>
      <c r="B153" s="41" t="str">
        <f>_xlfn.TEXTAFTER(_xlfn.TEXTBEFORE(tblCost[[#This Row],[RequirementID]],".",-2),"cost.")</f>
        <v>citadel.tunnel</v>
      </c>
      <c r="C153" s="41" t="str">
        <f>_xlfn.XLOOKUP(tblCost[[#This Row],[TargetID]],tblTargets[TargetID],tblTargets[DisplayName],"")</f>
        <v>Tunnel</v>
      </c>
      <c r="D153" s="41" t="str">
        <f>_xlfn.XLOOKUP(tblCost[[#This Row],[TargetID]],tblTargets[TargetID],tblTargets[TargetType],"")</f>
        <v>CITADEL</v>
      </c>
      <c r="E153" s="41" t="s">
        <v>666</v>
      </c>
      <c r="F153" s="62" t="str">
        <f>RIGHT(tblCost[[#This Row],[RequirementID]],1)</f>
        <v>1</v>
      </c>
      <c r="G153" s="41">
        <v>1000</v>
      </c>
      <c r="H153" t="b">
        <f>COUNTIFS(tblCostChecklist[RequirementID],tblCost[[#This Row],[RequirementID]],tblCostChecklist[PlayerPaid],TRUE)&gt;0</f>
        <v>0</v>
      </c>
      <c r="I153" s="41">
        <f>COUNTIF(tblCost[TargetID],tblCost[[#This Row],[TargetID]])</f>
        <v>9</v>
      </c>
      <c r="J153" s="41">
        <f>COUNTIFS(tblCost[TargetID],tblCost[[#This Row],[TargetID]],tblCost[PlayerPaid],TRUE)</f>
        <v>0</v>
      </c>
      <c r="K153" s="41">
        <f>tblCost[[#This Row],[TargetRequirements]]-tblCost[[#This Row],[CompletedRequirements]]</f>
        <v>9</v>
      </c>
      <c r="L153" s="41" t="b">
        <f>tblCost[[#This Row],[RemainingRequirements]]=0</f>
        <v>0</v>
      </c>
      <c r="M153" s="43">
        <f>IF(tblCost[[#This Row],[TargetRequirements]]=0,0,tblCost[[#This Row],[CompletedRequirements]]/tblCost[[#This Row],[TargetRequirements]])</f>
        <v>0</v>
      </c>
    </row>
    <row r="154" spans="1:13">
      <c r="A154" s="41" t="s">
        <v>6063</v>
      </c>
      <c r="B154" s="41" t="str">
        <f>_xlfn.TEXTAFTER(_xlfn.TEXTBEFORE(tblCost[[#This Row],[RequirementID]],".",-2),"cost.")</f>
        <v>citadel.tunnel</v>
      </c>
      <c r="C154" s="41" t="str">
        <f>_xlfn.XLOOKUP(tblCost[[#This Row],[TargetID]],tblTargets[TargetID],tblTargets[DisplayName],"")</f>
        <v>Tunnel</v>
      </c>
      <c r="D154" s="41" t="str">
        <f>_xlfn.XLOOKUP(tblCost[[#This Row],[TargetID]],tblTargets[TargetID],tblTargets[TargetType],"")</f>
        <v>CITADEL</v>
      </c>
      <c r="E154" s="41" t="s">
        <v>658</v>
      </c>
      <c r="F154" s="62" t="str">
        <f>RIGHT(tblCost[[#This Row],[RequirementID]],1)</f>
        <v>1</v>
      </c>
      <c r="G154" s="41">
        <v>8000</v>
      </c>
      <c r="H154" t="b">
        <f>COUNTIFS(tblCostChecklist[RequirementID],tblCost[[#This Row],[RequirementID]],tblCostChecklist[PlayerPaid],TRUE)&gt;0</f>
        <v>0</v>
      </c>
      <c r="I154" s="41">
        <f>COUNTIF(tblCost[TargetID],tblCost[[#This Row],[TargetID]])</f>
        <v>9</v>
      </c>
      <c r="J154" s="41">
        <f>COUNTIFS(tblCost[TargetID],tblCost[[#This Row],[TargetID]],tblCost[PlayerPaid],TRUE)</f>
        <v>0</v>
      </c>
      <c r="K154" s="41">
        <f>tblCost[[#This Row],[TargetRequirements]]-tblCost[[#This Row],[CompletedRequirements]]</f>
        <v>9</v>
      </c>
      <c r="L154" s="41" t="b">
        <f>tblCost[[#This Row],[RemainingRequirements]]=0</f>
        <v>0</v>
      </c>
      <c r="M154" s="43">
        <f>IF(tblCost[[#This Row],[TargetRequirements]]=0,0,tblCost[[#This Row],[CompletedRequirements]]/tblCost[[#This Row],[TargetRequirements]])</f>
        <v>0</v>
      </c>
    </row>
    <row r="155" spans="1:13">
      <c r="A155" s="41" t="s">
        <v>6064</v>
      </c>
      <c r="B155" s="41" t="str">
        <f>_xlfn.TEXTAFTER(_xlfn.TEXTBEFORE(tblCost[[#This Row],[RequirementID]],".",-2),"cost.")</f>
        <v>citadel.tunnel</v>
      </c>
      <c r="C155" s="41" t="str">
        <f>_xlfn.XLOOKUP(tblCost[[#This Row],[TargetID]],tblTargets[TargetID],tblTargets[DisplayName],"")</f>
        <v>Tunnel</v>
      </c>
      <c r="D155" s="41" t="str">
        <f>_xlfn.XLOOKUP(tblCost[[#This Row],[TargetID]],tblTargets[TargetID],tblTargets[TargetType],"")</f>
        <v>CITADEL</v>
      </c>
      <c r="E155" s="41" t="s">
        <v>717</v>
      </c>
      <c r="F155" s="62" t="str">
        <f>RIGHT(tblCost[[#This Row],[RequirementID]],1)</f>
        <v>1</v>
      </c>
      <c r="G155" s="41">
        <v>500</v>
      </c>
      <c r="H155" t="b">
        <f>COUNTIFS(tblCostChecklist[RequirementID],tblCost[[#This Row],[RequirementID]],tblCostChecklist[PlayerPaid],TRUE)&gt;0</f>
        <v>0</v>
      </c>
      <c r="I155" s="41">
        <f>COUNTIF(tblCost[TargetID],tblCost[[#This Row],[TargetID]])</f>
        <v>9</v>
      </c>
      <c r="J155" s="41">
        <f>COUNTIFS(tblCost[TargetID],tblCost[[#This Row],[TargetID]],tblCost[PlayerPaid],TRUE)</f>
        <v>0</v>
      </c>
      <c r="K155" s="41">
        <f>tblCost[[#This Row],[TargetRequirements]]-tblCost[[#This Row],[CompletedRequirements]]</f>
        <v>9</v>
      </c>
      <c r="L155" s="41" t="b">
        <f>tblCost[[#This Row],[RemainingRequirements]]=0</f>
        <v>0</v>
      </c>
      <c r="M155" s="43">
        <f>IF(tblCost[[#This Row],[TargetRequirements]]=0,0,tblCost[[#This Row],[CompletedRequirements]]/tblCost[[#This Row],[TargetRequirements]])</f>
        <v>0</v>
      </c>
    </row>
    <row r="156" spans="1:13">
      <c r="A156" s="41" t="s">
        <v>6065</v>
      </c>
      <c r="B156" s="41" t="str">
        <f>_xlfn.TEXTAFTER(_xlfn.TEXTBEFORE(tblCost[[#This Row],[RequirementID]],".",-2),"cost.")</f>
        <v>citadel.tunnel</v>
      </c>
      <c r="C156" s="41" t="str">
        <f>_xlfn.XLOOKUP(tblCost[[#This Row],[TargetID]],tblTargets[TargetID],tblTargets[DisplayName],"")</f>
        <v>Tunnel</v>
      </c>
      <c r="D156" s="41" t="str">
        <f>_xlfn.XLOOKUP(tblCost[[#This Row],[TargetID]],tblTargets[TargetID],tblTargets[TargetType],"")</f>
        <v>CITADEL</v>
      </c>
      <c r="E156" s="41" t="s">
        <v>716</v>
      </c>
      <c r="F156" s="62" t="str">
        <f>RIGHT(tblCost[[#This Row],[RequirementID]],1)</f>
        <v>1</v>
      </c>
      <c r="G156" s="41">
        <v>1000</v>
      </c>
      <c r="H156" t="b">
        <f>COUNTIFS(tblCostChecklist[RequirementID],tblCost[[#This Row],[RequirementID]],tblCostChecklist[PlayerPaid],TRUE)&gt;0</f>
        <v>0</v>
      </c>
      <c r="I156" s="41">
        <f>COUNTIF(tblCost[TargetID],tblCost[[#This Row],[TargetID]])</f>
        <v>9</v>
      </c>
      <c r="J156" s="41">
        <f>COUNTIFS(tblCost[TargetID],tblCost[[#This Row],[TargetID]],tblCost[PlayerPaid],TRUE)</f>
        <v>0</v>
      </c>
      <c r="K156" s="41">
        <f>tblCost[[#This Row],[TargetRequirements]]-tblCost[[#This Row],[CompletedRequirements]]</f>
        <v>9</v>
      </c>
      <c r="L156" s="41" t="b">
        <f>tblCost[[#This Row],[RemainingRequirements]]=0</f>
        <v>0</v>
      </c>
      <c r="M156" s="43">
        <f>IF(tblCost[[#This Row],[TargetRequirements]]=0,0,tblCost[[#This Row],[CompletedRequirements]]/tblCost[[#This Row],[TargetRequirements]])</f>
        <v>0</v>
      </c>
    </row>
    <row r="157" spans="1:13">
      <c r="A157" s="41" t="s">
        <v>6066</v>
      </c>
      <c r="B157" s="41" t="str">
        <f>_xlfn.TEXTAFTER(_xlfn.TEXTBEFORE(tblCost[[#This Row],[RequirementID]],".",-2),"cost.")</f>
        <v>citadel.tunnel</v>
      </c>
      <c r="C157" s="41" t="str">
        <f>_xlfn.XLOOKUP(tblCost[[#This Row],[TargetID]],tblTargets[TargetID],tblTargets[DisplayName],"")</f>
        <v>Tunnel</v>
      </c>
      <c r="D157" s="41" t="str">
        <f>_xlfn.XLOOKUP(tblCost[[#This Row],[TargetID]],tblTargets[TargetID],tblTargets[TargetType],"")</f>
        <v>CITADEL</v>
      </c>
      <c r="E157" s="41" t="s">
        <v>686</v>
      </c>
      <c r="F157" s="62" t="str">
        <f>RIGHT(tblCost[[#This Row],[RequirementID]],1)</f>
        <v>1</v>
      </c>
      <c r="G157" s="41">
        <v>40</v>
      </c>
      <c r="H157" t="b">
        <f>COUNTIFS(tblCostChecklist[RequirementID],tblCost[[#This Row],[RequirementID]],tblCostChecklist[PlayerPaid],TRUE)&gt;0</f>
        <v>0</v>
      </c>
      <c r="I157" s="41">
        <f>COUNTIF(tblCost[TargetID],tblCost[[#This Row],[TargetID]])</f>
        <v>9</v>
      </c>
      <c r="J157" s="41">
        <f>COUNTIFS(tblCost[TargetID],tblCost[[#This Row],[TargetID]],tblCost[PlayerPaid],TRUE)</f>
        <v>0</v>
      </c>
      <c r="K157" s="41">
        <f>tblCost[[#This Row],[TargetRequirements]]-tblCost[[#This Row],[CompletedRequirements]]</f>
        <v>9</v>
      </c>
      <c r="L157" s="41" t="b">
        <f>tblCost[[#This Row],[RemainingRequirements]]=0</f>
        <v>0</v>
      </c>
      <c r="M157" s="43">
        <f>IF(tblCost[[#This Row],[TargetRequirements]]=0,0,tblCost[[#This Row],[CompletedRequirements]]/tblCost[[#This Row],[TargetRequirements]])</f>
        <v>0</v>
      </c>
    </row>
    <row r="158" spans="1:13">
      <c r="A158" s="41" t="s">
        <v>6067</v>
      </c>
      <c r="B158" s="41" t="str">
        <f>_xlfn.TEXTAFTER(_xlfn.TEXTBEFORE(tblCost[[#This Row],[RequirementID]],".",-2),"cost.")</f>
        <v>citadel.tunnel</v>
      </c>
      <c r="C158" s="41" t="str">
        <f>_xlfn.XLOOKUP(tblCost[[#This Row],[TargetID]],tblTargets[TargetID],tblTargets[DisplayName],"")</f>
        <v>Tunnel</v>
      </c>
      <c r="D158" s="41" t="str">
        <f>_xlfn.XLOOKUP(tblCost[[#This Row],[TargetID]],tblTargets[TargetID],tblTargets[TargetType],"")</f>
        <v>CITADEL</v>
      </c>
      <c r="E158" s="41" t="s">
        <v>700</v>
      </c>
      <c r="F158" s="62" t="str">
        <f>RIGHT(tblCost[[#This Row],[RequirementID]],1)</f>
        <v>1</v>
      </c>
      <c r="G158" s="41">
        <v>100</v>
      </c>
      <c r="H158" t="b">
        <f>COUNTIFS(tblCostChecklist[RequirementID],tblCost[[#This Row],[RequirementID]],tblCostChecklist[PlayerPaid],TRUE)&gt;0</f>
        <v>0</v>
      </c>
      <c r="I158" s="41">
        <f>COUNTIF(tblCost[TargetID],tblCost[[#This Row],[TargetID]])</f>
        <v>9</v>
      </c>
      <c r="J158" s="41">
        <f>COUNTIFS(tblCost[TargetID],tblCost[[#This Row],[TargetID]],tblCost[PlayerPaid],TRUE)</f>
        <v>0</v>
      </c>
      <c r="K158" s="41">
        <f>tblCost[[#This Row],[TargetRequirements]]-tblCost[[#This Row],[CompletedRequirements]]</f>
        <v>9</v>
      </c>
      <c r="L158" s="41" t="b">
        <f>tblCost[[#This Row],[RemainingRequirements]]=0</f>
        <v>0</v>
      </c>
      <c r="M158" s="43">
        <f>IF(tblCost[[#This Row],[TargetRequirements]]=0,0,tblCost[[#This Row],[CompletedRequirements]]/tblCost[[#This Row],[TargetRequirements]])</f>
        <v>0</v>
      </c>
    </row>
    <row r="159" spans="1:13">
      <c r="A159" s="41" t="s">
        <v>6068</v>
      </c>
      <c r="B159" s="41" t="str">
        <f>_xlfn.TEXTAFTER(_xlfn.TEXTBEFORE(tblCost[[#This Row],[RequirementID]],".",-2),"cost.")</f>
        <v>citadel.tunnel</v>
      </c>
      <c r="C159" s="41" t="str">
        <f>_xlfn.XLOOKUP(tblCost[[#This Row],[TargetID]],tblTargets[TargetID],tblTargets[DisplayName],"")</f>
        <v>Tunnel</v>
      </c>
      <c r="D159" s="41" t="str">
        <f>_xlfn.XLOOKUP(tblCost[[#This Row],[TargetID]],tblTargets[TargetID],tblTargets[TargetType],"")</f>
        <v>CITADEL</v>
      </c>
      <c r="E159" s="41" t="s">
        <v>698</v>
      </c>
      <c r="F159" s="62" t="str">
        <f>RIGHT(tblCost[[#This Row],[RequirementID]],1)</f>
        <v>1</v>
      </c>
      <c r="G159" s="41">
        <v>100</v>
      </c>
      <c r="H159" t="b">
        <f>COUNTIFS(tblCostChecklist[RequirementID],tblCost[[#This Row],[RequirementID]],tblCostChecklist[PlayerPaid],TRUE)&gt;0</f>
        <v>0</v>
      </c>
      <c r="I159" s="41">
        <f>COUNTIF(tblCost[TargetID],tblCost[[#This Row],[TargetID]])</f>
        <v>9</v>
      </c>
      <c r="J159" s="41">
        <f>COUNTIFS(tblCost[TargetID],tblCost[[#This Row],[TargetID]],tblCost[PlayerPaid],TRUE)</f>
        <v>0</v>
      </c>
      <c r="K159" s="41">
        <f>tblCost[[#This Row],[TargetRequirements]]-tblCost[[#This Row],[CompletedRequirements]]</f>
        <v>9</v>
      </c>
      <c r="L159" s="41" t="b">
        <f>tblCost[[#This Row],[RemainingRequirements]]=0</f>
        <v>0</v>
      </c>
      <c r="M159" s="43">
        <f>IF(tblCost[[#This Row],[TargetRequirements]]=0,0,tblCost[[#This Row],[CompletedRequirements]]/tblCost[[#This Row],[TargetRequirements]])</f>
        <v>0</v>
      </c>
    </row>
    <row r="160" spans="1:13">
      <c r="A160" s="41" t="s">
        <v>6069</v>
      </c>
      <c r="B160" s="41" t="str">
        <f>_xlfn.TEXTAFTER(_xlfn.TEXTBEFORE(tblCost[[#This Row],[RequirementID]],".",-2),"cost.")</f>
        <v>citadel.tunnel</v>
      </c>
      <c r="C160" s="41" t="str">
        <f>_xlfn.XLOOKUP(tblCost[[#This Row],[TargetID]],tblTargets[TargetID],tblTargets[DisplayName],"")</f>
        <v>Tunnel</v>
      </c>
      <c r="D160" s="41" t="str">
        <f>_xlfn.XLOOKUP(tblCost[[#This Row],[TargetID]],tblTargets[TargetID],tblTargets[TargetType],"")</f>
        <v>CITADEL</v>
      </c>
      <c r="E160" s="41" t="s">
        <v>662</v>
      </c>
      <c r="F160" s="62" t="str">
        <f>RIGHT(tblCost[[#This Row],[RequirementID]],1)</f>
        <v>1</v>
      </c>
      <c r="G160" s="41">
        <v>100</v>
      </c>
      <c r="H160" t="b">
        <f>COUNTIFS(tblCostChecklist[RequirementID],tblCost[[#This Row],[RequirementID]],tblCostChecklist[PlayerPaid],TRUE)&gt;0</f>
        <v>0</v>
      </c>
      <c r="I160" s="41">
        <f>COUNTIF(tblCost[TargetID],tblCost[[#This Row],[TargetID]])</f>
        <v>9</v>
      </c>
      <c r="J160" s="41">
        <f>COUNTIFS(tblCost[TargetID],tblCost[[#This Row],[TargetID]],tblCost[PlayerPaid],TRUE)</f>
        <v>0</v>
      </c>
      <c r="K160" s="41">
        <f>tblCost[[#This Row],[TargetRequirements]]-tblCost[[#This Row],[CompletedRequirements]]</f>
        <v>9</v>
      </c>
      <c r="L160" s="41" t="b">
        <f>tblCost[[#This Row],[RemainingRequirements]]=0</f>
        <v>0</v>
      </c>
      <c r="M160" s="43">
        <f>IF(tblCost[[#This Row],[TargetRequirements]]=0,0,tblCost[[#This Row],[CompletedRequirements]]/tblCost[[#This Row],[TargetRequirements]])</f>
        <v>0</v>
      </c>
    </row>
    <row r="161" spans="1:13">
      <c r="A161" s="41" t="s">
        <v>3809</v>
      </c>
      <c r="B161" s="41" t="str">
        <f>_xlfn.TEXTAFTER(_xlfn.TEXTBEFORE(tblCost[[#This Row],[RequirementID]],".",-2),"cost.")</f>
        <v>building.fermentory@1</v>
      </c>
      <c r="C161" s="41" t="str">
        <f>_xlfn.XLOOKUP(tblCost[[#This Row],[TargetID]],tblTargets[TargetID],tblTargets[DisplayName],"")</f>
        <v>Fermentory Lv 1</v>
      </c>
      <c r="D161" s="41" t="str">
        <f>_xlfn.XLOOKUP(tblCost[[#This Row],[TargetID]],tblTargets[TargetID],tblTargets[TargetType],"")</f>
        <v>BUILDING</v>
      </c>
      <c r="E161" s="41" t="s">
        <v>708</v>
      </c>
      <c r="F161" s="62" t="str">
        <f>RIGHT(tblCost[[#This Row],[RequirementID]],1)</f>
        <v>1</v>
      </c>
      <c r="G161" s="41">
        <v>5</v>
      </c>
      <c r="H161" t="b">
        <f>COUNTIFS(tblCostChecklist[RequirementID],tblCost[[#This Row],[RequirementID]],tblCostChecklist[PlayerPaid],TRUE)&gt;0</f>
        <v>0</v>
      </c>
      <c r="I161" s="41">
        <f>COUNTIF(tblCost[TargetID],tblCost[[#This Row],[TargetID]])</f>
        <v>7</v>
      </c>
      <c r="J161" s="41">
        <f>COUNTIFS(tblCost[TargetID],tblCost[[#This Row],[TargetID]],tblCost[PlayerPaid],TRUE)</f>
        <v>0</v>
      </c>
      <c r="K161" s="41">
        <f>tblCost[[#This Row],[TargetRequirements]]-tblCost[[#This Row],[CompletedRequirements]]</f>
        <v>7</v>
      </c>
      <c r="L161" s="41" t="b">
        <f>tblCost[[#This Row],[RemainingRequirements]]=0</f>
        <v>0</v>
      </c>
      <c r="M161" s="43">
        <f>IF(tblCost[[#This Row],[TargetRequirements]]=0,0,tblCost[[#This Row],[CompletedRequirements]]/tblCost[[#This Row],[TargetRequirements]])</f>
        <v>0</v>
      </c>
    </row>
    <row r="162" spans="1:13">
      <c r="A162" s="41" t="s">
        <v>3810</v>
      </c>
      <c r="B162" s="41" t="str">
        <f>_xlfn.TEXTAFTER(_xlfn.TEXTBEFORE(tblCost[[#This Row],[RequirementID]],".",-2),"cost.")</f>
        <v>building.fermentory@1</v>
      </c>
      <c r="C162" s="41" t="str">
        <f>_xlfn.XLOOKUP(tblCost[[#This Row],[TargetID]],tblTargets[TargetID],tblTargets[DisplayName],"")</f>
        <v>Fermentory Lv 1</v>
      </c>
      <c r="D162" s="41" t="str">
        <f>_xlfn.XLOOKUP(tblCost[[#This Row],[TargetID]],tblTargets[TargetID],tblTargets[TargetType],"")</f>
        <v>BUILDING</v>
      </c>
      <c r="E162" s="41" t="s">
        <v>666</v>
      </c>
      <c r="F162" s="62" t="str">
        <f>RIGHT(tblCost[[#This Row],[RequirementID]],1)</f>
        <v>1</v>
      </c>
      <c r="G162" s="41">
        <v>1000</v>
      </c>
      <c r="H162" t="b">
        <f>COUNTIFS(tblCostChecklist[RequirementID],tblCost[[#This Row],[RequirementID]],tblCostChecklist[PlayerPaid],TRUE)&gt;0</f>
        <v>0</v>
      </c>
      <c r="I162" s="41">
        <f>COUNTIF(tblCost[TargetID],tblCost[[#This Row],[TargetID]])</f>
        <v>7</v>
      </c>
      <c r="J162" s="41">
        <f>COUNTIFS(tblCost[TargetID],tblCost[[#This Row],[TargetID]],tblCost[PlayerPaid],TRUE)</f>
        <v>0</v>
      </c>
      <c r="K162" s="41">
        <f>tblCost[[#This Row],[TargetRequirements]]-tblCost[[#This Row],[CompletedRequirements]]</f>
        <v>7</v>
      </c>
      <c r="L162" s="41" t="b">
        <f>tblCost[[#This Row],[RemainingRequirements]]=0</f>
        <v>0</v>
      </c>
      <c r="M162" s="43">
        <f>IF(tblCost[[#This Row],[TargetRequirements]]=0,0,tblCost[[#This Row],[CompletedRequirements]]/tblCost[[#This Row],[TargetRequirements]])</f>
        <v>0</v>
      </c>
    </row>
    <row r="163" spans="1:13">
      <c r="A163" s="41" t="s">
        <v>3811</v>
      </c>
      <c r="B163" s="41" t="str">
        <f>_xlfn.TEXTAFTER(_xlfn.TEXTBEFORE(tblCost[[#This Row],[RequirementID]],".",-2),"cost.")</f>
        <v>building.fermentory@1</v>
      </c>
      <c r="C163" s="41" t="str">
        <f>_xlfn.XLOOKUP(tblCost[[#This Row],[TargetID]],tblTargets[TargetID],tblTargets[DisplayName],"")</f>
        <v>Fermentory Lv 1</v>
      </c>
      <c r="D163" s="41" t="str">
        <f>_xlfn.XLOOKUP(tblCost[[#This Row],[TargetID]],tblTargets[TargetID],tblTargets[TargetType],"")</f>
        <v>BUILDING</v>
      </c>
      <c r="E163" s="41" t="s">
        <v>658</v>
      </c>
      <c r="F163" s="62" t="str">
        <f>RIGHT(tblCost[[#This Row],[RequirementID]],1)</f>
        <v>1</v>
      </c>
      <c r="G163" s="41">
        <v>700</v>
      </c>
      <c r="H163" t="b">
        <f>COUNTIFS(tblCostChecklist[RequirementID],tblCost[[#This Row],[RequirementID]],tblCostChecklist[PlayerPaid],TRUE)&gt;0</f>
        <v>0</v>
      </c>
      <c r="I163" s="41">
        <f>COUNTIF(tblCost[TargetID],tblCost[[#This Row],[TargetID]])</f>
        <v>7</v>
      </c>
      <c r="J163" s="41">
        <f>COUNTIFS(tblCost[TargetID],tblCost[[#This Row],[TargetID]],tblCost[PlayerPaid],TRUE)</f>
        <v>0</v>
      </c>
      <c r="K163" s="41">
        <f>tblCost[[#This Row],[TargetRequirements]]-tblCost[[#This Row],[CompletedRequirements]]</f>
        <v>7</v>
      </c>
      <c r="L163" s="41" t="b">
        <f>tblCost[[#This Row],[RemainingRequirements]]=0</f>
        <v>0</v>
      </c>
      <c r="M163" s="43">
        <f>IF(tblCost[[#This Row],[TargetRequirements]]=0,0,tblCost[[#This Row],[CompletedRequirements]]/tblCost[[#This Row],[TargetRequirements]])</f>
        <v>0</v>
      </c>
    </row>
    <row r="164" spans="1:13">
      <c r="A164" s="41" t="s">
        <v>3812</v>
      </c>
      <c r="B164" s="41" t="str">
        <f>_xlfn.TEXTAFTER(_xlfn.TEXTBEFORE(tblCost[[#This Row],[RequirementID]],".",-2),"cost.")</f>
        <v>building.fermentory@1</v>
      </c>
      <c r="C164" s="41" t="str">
        <f>_xlfn.XLOOKUP(tblCost[[#This Row],[TargetID]],tblTargets[TargetID],tblTargets[DisplayName],"")</f>
        <v>Fermentory Lv 1</v>
      </c>
      <c r="D164" s="41" t="str">
        <f>_xlfn.XLOOKUP(tblCost[[#This Row],[TargetID]],tblTargets[TargetID],tblTargets[TargetType],"")</f>
        <v>BUILDING</v>
      </c>
      <c r="E164" s="41" t="s">
        <v>717</v>
      </c>
      <c r="F164" s="62" t="str">
        <f>RIGHT(tblCost[[#This Row],[RequirementID]],1)</f>
        <v>1</v>
      </c>
      <c r="G164" s="41">
        <v>700</v>
      </c>
      <c r="H164" t="b">
        <f>COUNTIFS(tblCostChecklist[RequirementID],tblCost[[#This Row],[RequirementID]],tblCostChecklist[PlayerPaid],TRUE)&gt;0</f>
        <v>0</v>
      </c>
      <c r="I164" s="41">
        <f>COUNTIF(tblCost[TargetID],tblCost[[#This Row],[TargetID]])</f>
        <v>7</v>
      </c>
      <c r="J164" s="41">
        <f>COUNTIFS(tblCost[TargetID],tblCost[[#This Row],[TargetID]],tblCost[PlayerPaid],TRUE)</f>
        <v>0</v>
      </c>
      <c r="K164" s="41">
        <f>tblCost[[#This Row],[TargetRequirements]]-tblCost[[#This Row],[CompletedRequirements]]</f>
        <v>7</v>
      </c>
      <c r="L164" s="41" t="b">
        <f>tblCost[[#This Row],[RemainingRequirements]]=0</f>
        <v>0</v>
      </c>
      <c r="M164" s="43">
        <f>IF(tblCost[[#This Row],[TargetRequirements]]=0,0,tblCost[[#This Row],[CompletedRequirements]]/tblCost[[#This Row],[TargetRequirements]])</f>
        <v>0</v>
      </c>
    </row>
    <row r="165" spans="1:13">
      <c r="A165" s="41" t="s">
        <v>3813</v>
      </c>
      <c r="B165" s="41" t="str">
        <f>_xlfn.TEXTAFTER(_xlfn.TEXTBEFORE(tblCost[[#This Row],[RequirementID]],".",-2),"cost.")</f>
        <v>building.fermentory@1</v>
      </c>
      <c r="C165" s="41" t="str">
        <f>_xlfn.XLOOKUP(tblCost[[#This Row],[TargetID]],tblTargets[TargetID],tblTargets[DisplayName],"")</f>
        <v>Fermentory Lv 1</v>
      </c>
      <c r="D165" s="41" t="str">
        <f>_xlfn.XLOOKUP(tblCost[[#This Row],[TargetID]],tblTargets[TargetID],tblTargets[TargetType],"")</f>
        <v>BUILDING</v>
      </c>
      <c r="E165" s="41" t="s">
        <v>716</v>
      </c>
      <c r="F165" s="62" t="str">
        <f>RIGHT(tblCost[[#This Row],[RequirementID]],1)</f>
        <v>1</v>
      </c>
      <c r="G165" s="41">
        <v>300</v>
      </c>
      <c r="H165" t="b">
        <f>COUNTIFS(tblCostChecklist[RequirementID],tblCost[[#This Row],[RequirementID]],tblCostChecklist[PlayerPaid],TRUE)&gt;0</f>
        <v>0</v>
      </c>
      <c r="I165" s="41">
        <f>COUNTIF(tblCost[TargetID],tblCost[[#This Row],[TargetID]])</f>
        <v>7</v>
      </c>
      <c r="J165" s="41">
        <f>COUNTIFS(tblCost[TargetID],tblCost[[#This Row],[TargetID]],tblCost[PlayerPaid],TRUE)</f>
        <v>0</v>
      </c>
      <c r="K165" s="41">
        <f>tblCost[[#This Row],[TargetRequirements]]-tblCost[[#This Row],[CompletedRequirements]]</f>
        <v>7</v>
      </c>
      <c r="L165" s="41" t="b">
        <f>tblCost[[#This Row],[RemainingRequirements]]=0</f>
        <v>0</v>
      </c>
      <c r="M165" s="43">
        <f>IF(tblCost[[#This Row],[TargetRequirements]]=0,0,tblCost[[#This Row],[CompletedRequirements]]/tblCost[[#This Row],[TargetRequirements]])</f>
        <v>0</v>
      </c>
    </row>
    <row r="166" spans="1:13">
      <c r="A166" s="41" t="s">
        <v>3814</v>
      </c>
      <c r="B166" s="41" t="str">
        <f>_xlfn.TEXTAFTER(_xlfn.TEXTBEFORE(tblCost[[#This Row],[RequirementID]],".",-2),"cost.")</f>
        <v>building.fermentory@1</v>
      </c>
      <c r="C166" s="41" t="str">
        <f>_xlfn.XLOOKUP(tblCost[[#This Row],[TargetID]],tblTargets[TargetID],tblTargets[DisplayName],"")</f>
        <v>Fermentory Lv 1</v>
      </c>
      <c r="D166" s="41" t="str">
        <f>_xlfn.XLOOKUP(tblCost[[#This Row],[TargetID]],tblTargets[TargetID],tblTargets[TargetType],"")</f>
        <v>BUILDING</v>
      </c>
      <c r="E166" s="41" t="s">
        <v>714</v>
      </c>
      <c r="F166" s="62" t="str">
        <f>RIGHT(tblCost[[#This Row],[RequirementID]],1)</f>
        <v>1</v>
      </c>
      <c r="G166" s="41">
        <v>50</v>
      </c>
      <c r="H166" t="b">
        <f>COUNTIFS(tblCostChecklist[RequirementID],tblCost[[#This Row],[RequirementID]],tblCostChecklist[PlayerPaid],TRUE)&gt;0</f>
        <v>0</v>
      </c>
      <c r="I166" s="41">
        <f>COUNTIF(tblCost[TargetID],tblCost[[#This Row],[TargetID]])</f>
        <v>7</v>
      </c>
      <c r="J166" s="41">
        <f>COUNTIFS(tblCost[TargetID],tblCost[[#This Row],[TargetID]],tblCost[PlayerPaid],TRUE)</f>
        <v>0</v>
      </c>
      <c r="K166" s="41">
        <f>tblCost[[#This Row],[TargetRequirements]]-tblCost[[#This Row],[CompletedRequirements]]</f>
        <v>7</v>
      </c>
      <c r="L166" s="41" t="b">
        <f>tblCost[[#This Row],[RemainingRequirements]]=0</f>
        <v>0</v>
      </c>
      <c r="M166" s="43">
        <f>IF(tblCost[[#This Row],[TargetRequirements]]=0,0,tblCost[[#This Row],[CompletedRequirements]]/tblCost[[#This Row],[TargetRequirements]])</f>
        <v>0</v>
      </c>
    </row>
    <row r="167" spans="1:13">
      <c r="A167" s="41" t="s">
        <v>3815</v>
      </c>
      <c r="B167" s="41" t="str">
        <f>_xlfn.TEXTAFTER(_xlfn.TEXTBEFORE(tblCost[[#This Row],[RequirementID]],".",-2),"cost.")</f>
        <v>building.fermentory@1</v>
      </c>
      <c r="C167" s="41" t="str">
        <f>_xlfn.XLOOKUP(tblCost[[#This Row],[TargetID]],tblTargets[TargetID],tblTargets[DisplayName],"")</f>
        <v>Fermentory Lv 1</v>
      </c>
      <c r="D167" s="41" t="str">
        <f>_xlfn.XLOOKUP(tblCost[[#This Row],[TargetID]],tblTargets[TargetID],tblTargets[TargetType],"")</f>
        <v>BUILDING</v>
      </c>
      <c r="E167" s="41" t="s">
        <v>696</v>
      </c>
      <c r="F167" s="62" t="str">
        <f>RIGHT(tblCost[[#This Row],[RequirementID]],1)</f>
        <v>1</v>
      </c>
      <c r="G167" s="41">
        <v>30</v>
      </c>
      <c r="H167" t="b">
        <f>COUNTIFS(tblCostChecklist[RequirementID],tblCost[[#This Row],[RequirementID]],tblCostChecklist[PlayerPaid],TRUE)&gt;0</f>
        <v>0</v>
      </c>
      <c r="I167" s="41">
        <f>COUNTIF(tblCost[TargetID],tblCost[[#This Row],[TargetID]])</f>
        <v>7</v>
      </c>
      <c r="J167" s="41">
        <f>COUNTIFS(tblCost[TargetID],tblCost[[#This Row],[TargetID]],tblCost[PlayerPaid],TRUE)</f>
        <v>0</v>
      </c>
      <c r="K167" s="41">
        <f>tblCost[[#This Row],[TargetRequirements]]-tblCost[[#This Row],[CompletedRequirements]]</f>
        <v>7</v>
      </c>
      <c r="L167" s="41" t="b">
        <f>tblCost[[#This Row],[RemainingRequirements]]=0</f>
        <v>0</v>
      </c>
      <c r="M167" s="43">
        <f>IF(tblCost[[#This Row],[TargetRequirements]]=0,0,tblCost[[#This Row],[CompletedRequirements]]/tblCost[[#This Row],[TargetRequirements]])</f>
        <v>0</v>
      </c>
    </row>
    <row r="168" spans="1:13">
      <c r="A168" s="41" t="s">
        <v>3816</v>
      </c>
      <c r="B168" s="41" t="str">
        <f>_xlfn.TEXTAFTER(_xlfn.TEXTBEFORE(tblCost[[#This Row],[RequirementID]],".",-2),"cost.")</f>
        <v>building.fermentory@2</v>
      </c>
      <c r="C168" s="41" t="str">
        <f>_xlfn.XLOOKUP(tblCost[[#This Row],[TargetID]],tblTargets[TargetID],tblTargets[DisplayName],"")</f>
        <v>Fermentory Lv 2</v>
      </c>
      <c r="D168" s="41" t="str">
        <f>_xlfn.XLOOKUP(tblCost[[#This Row],[TargetID]],tblTargets[TargetID],tblTargets[TargetType],"")</f>
        <v>BUILDING</v>
      </c>
      <c r="E168" s="41" t="s">
        <v>708</v>
      </c>
      <c r="F168" s="62" t="str">
        <f>RIGHT(tblCost[[#This Row],[RequirementID]],1)</f>
        <v>1</v>
      </c>
      <c r="G168" s="41">
        <v>5</v>
      </c>
      <c r="H168" t="b">
        <f>COUNTIFS(tblCostChecklist[RequirementID],tblCost[[#This Row],[RequirementID]],tblCostChecklist[PlayerPaid],TRUE)&gt;0</f>
        <v>0</v>
      </c>
      <c r="I168" s="41">
        <f>COUNTIF(tblCost[TargetID],tblCost[[#This Row],[TargetID]])</f>
        <v>8</v>
      </c>
      <c r="J168" s="41">
        <f>COUNTIFS(tblCost[TargetID],tblCost[[#This Row],[TargetID]],tblCost[PlayerPaid],TRUE)</f>
        <v>0</v>
      </c>
      <c r="K168" s="41">
        <f>tblCost[[#This Row],[TargetRequirements]]-tblCost[[#This Row],[CompletedRequirements]]</f>
        <v>8</v>
      </c>
      <c r="L168" s="41" t="b">
        <f>tblCost[[#This Row],[RemainingRequirements]]=0</f>
        <v>0</v>
      </c>
      <c r="M168" s="43">
        <f>IF(tblCost[[#This Row],[TargetRequirements]]=0,0,tblCost[[#This Row],[CompletedRequirements]]/tblCost[[#This Row],[TargetRequirements]])</f>
        <v>0</v>
      </c>
    </row>
    <row r="169" spans="1:13">
      <c r="A169" s="41" t="s">
        <v>3817</v>
      </c>
      <c r="B169" s="41" t="str">
        <f>_xlfn.TEXTAFTER(_xlfn.TEXTBEFORE(tblCost[[#This Row],[RequirementID]],".",-2),"cost.")</f>
        <v>building.fermentory@2</v>
      </c>
      <c r="C169" s="41" t="str">
        <f>_xlfn.XLOOKUP(tblCost[[#This Row],[TargetID]],tblTargets[TargetID],tblTargets[DisplayName],"")</f>
        <v>Fermentory Lv 2</v>
      </c>
      <c r="D169" s="41" t="str">
        <f>_xlfn.XLOOKUP(tblCost[[#This Row],[TargetID]],tblTargets[TargetID],tblTargets[TargetType],"")</f>
        <v>BUILDING</v>
      </c>
      <c r="E169" s="41" t="s">
        <v>666</v>
      </c>
      <c r="F169" s="62" t="str">
        <f>RIGHT(tblCost[[#This Row],[RequirementID]],1)</f>
        <v>1</v>
      </c>
      <c r="G169" s="41">
        <v>1000</v>
      </c>
      <c r="H169" t="b">
        <f>COUNTIFS(tblCostChecklist[RequirementID],tblCost[[#This Row],[RequirementID]],tblCostChecklist[PlayerPaid],TRUE)&gt;0</f>
        <v>0</v>
      </c>
      <c r="I169" s="41">
        <f>COUNTIF(tblCost[TargetID],tblCost[[#This Row],[TargetID]])</f>
        <v>8</v>
      </c>
      <c r="J169" s="41">
        <f>COUNTIFS(tblCost[TargetID],tblCost[[#This Row],[TargetID]],tblCost[PlayerPaid],TRUE)</f>
        <v>0</v>
      </c>
      <c r="K169" s="41">
        <f>tblCost[[#This Row],[TargetRequirements]]-tblCost[[#This Row],[CompletedRequirements]]</f>
        <v>8</v>
      </c>
      <c r="L169" s="41" t="b">
        <f>tblCost[[#This Row],[RemainingRequirements]]=0</f>
        <v>0</v>
      </c>
      <c r="M169" s="43">
        <f>IF(tblCost[[#This Row],[TargetRequirements]]=0,0,tblCost[[#This Row],[CompletedRequirements]]/tblCost[[#This Row],[TargetRequirements]])</f>
        <v>0</v>
      </c>
    </row>
    <row r="170" spans="1:13">
      <c r="A170" s="41" t="s">
        <v>3818</v>
      </c>
      <c r="B170" s="41" t="str">
        <f>_xlfn.TEXTAFTER(_xlfn.TEXTBEFORE(tblCost[[#This Row],[RequirementID]],".",-2),"cost.")</f>
        <v>building.fermentory@2</v>
      </c>
      <c r="C170" s="41" t="str">
        <f>_xlfn.XLOOKUP(tblCost[[#This Row],[TargetID]],tblTargets[TargetID],tblTargets[DisplayName],"")</f>
        <v>Fermentory Lv 2</v>
      </c>
      <c r="D170" s="41" t="str">
        <f>_xlfn.XLOOKUP(tblCost[[#This Row],[TargetID]],tblTargets[TargetID],tblTargets[TargetType],"")</f>
        <v>BUILDING</v>
      </c>
      <c r="E170" s="41" t="s">
        <v>658</v>
      </c>
      <c r="F170" s="62" t="str">
        <f>RIGHT(tblCost[[#This Row],[RequirementID]],1)</f>
        <v>1</v>
      </c>
      <c r="G170" s="41">
        <v>900</v>
      </c>
      <c r="H170" t="b">
        <f>COUNTIFS(tblCostChecklist[RequirementID],tblCost[[#This Row],[RequirementID]],tblCostChecklist[PlayerPaid],TRUE)&gt;0</f>
        <v>0</v>
      </c>
      <c r="I170" s="41">
        <f>COUNTIF(tblCost[TargetID],tblCost[[#This Row],[TargetID]])</f>
        <v>8</v>
      </c>
      <c r="J170" s="41">
        <f>COUNTIFS(tblCost[TargetID],tblCost[[#This Row],[TargetID]],tblCost[PlayerPaid],TRUE)</f>
        <v>0</v>
      </c>
      <c r="K170" s="41">
        <f>tblCost[[#This Row],[TargetRequirements]]-tblCost[[#This Row],[CompletedRequirements]]</f>
        <v>8</v>
      </c>
      <c r="L170" s="41" t="b">
        <f>tblCost[[#This Row],[RemainingRequirements]]=0</f>
        <v>0</v>
      </c>
      <c r="M170" s="43">
        <f>IF(tblCost[[#This Row],[TargetRequirements]]=0,0,tblCost[[#This Row],[CompletedRequirements]]/tblCost[[#This Row],[TargetRequirements]])</f>
        <v>0</v>
      </c>
    </row>
    <row r="171" spans="1:13">
      <c r="A171" s="41" t="s">
        <v>3819</v>
      </c>
      <c r="B171" s="41" t="str">
        <f>_xlfn.TEXTAFTER(_xlfn.TEXTBEFORE(tblCost[[#This Row],[RequirementID]],".",-2),"cost.")</f>
        <v>building.fermentory@2</v>
      </c>
      <c r="C171" s="41" t="str">
        <f>_xlfn.XLOOKUP(tblCost[[#This Row],[TargetID]],tblTargets[TargetID],tblTargets[DisplayName],"")</f>
        <v>Fermentory Lv 2</v>
      </c>
      <c r="D171" s="41" t="str">
        <f>_xlfn.XLOOKUP(tblCost[[#This Row],[TargetID]],tblTargets[TargetID],tblTargets[TargetType],"")</f>
        <v>BUILDING</v>
      </c>
      <c r="E171" s="41" t="s">
        <v>717</v>
      </c>
      <c r="F171" s="62" t="str">
        <f>RIGHT(tblCost[[#This Row],[RequirementID]],1)</f>
        <v>1</v>
      </c>
      <c r="G171" s="41">
        <v>500</v>
      </c>
      <c r="H171" t="b">
        <f>COUNTIFS(tblCostChecklist[RequirementID],tblCost[[#This Row],[RequirementID]],tblCostChecklist[PlayerPaid],TRUE)&gt;0</f>
        <v>0</v>
      </c>
      <c r="I171" s="41">
        <f>COUNTIF(tblCost[TargetID],tblCost[[#This Row],[TargetID]])</f>
        <v>8</v>
      </c>
      <c r="J171" s="41">
        <f>COUNTIFS(tblCost[TargetID],tblCost[[#This Row],[TargetID]],tblCost[PlayerPaid],TRUE)</f>
        <v>0</v>
      </c>
      <c r="K171" s="41">
        <f>tblCost[[#This Row],[TargetRequirements]]-tblCost[[#This Row],[CompletedRequirements]]</f>
        <v>8</v>
      </c>
      <c r="L171" s="41" t="b">
        <f>tblCost[[#This Row],[RemainingRequirements]]=0</f>
        <v>0</v>
      </c>
      <c r="M171" s="43">
        <f>IF(tblCost[[#This Row],[TargetRequirements]]=0,0,tblCost[[#This Row],[CompletedRequirements]]/tblCost[[#This Row],[TargetRequirements]])</f>
        <v>0</v>
      </c>
    </row>
    <row r="172" spans="1:13">
      <c r="A172" s="41" t="s">
        <v>3820</v>
      </c>
      <c r="B172" s="41" t="str">
        <f>_xlfn.TEXTAFTER(_xlfn.TEXTBEFORE(tblCost[[#This Row],[RequirementID]],".",-2),"cost.")</f>
        <v>building.fermentory@2</v>
      </c>
      <c r="C172" s="41" t="str">
        <f>_xlfn.XLOOKUP(tblCost[[#This Row],[TargetID]],tblTargets[TargetID],tblTargets[DisplayName],"")</f>
        <v>Fermentory Lv 2</v>
      </c>
      <c r="D172" s="41" t="str">
        <f>_xlfn.XLOOKUP(tblCost[[#This Row],[TargetID]],tblTargets[TargetID],tblTargets[TargetType],"")</f>
        <v>BUILDING</v>
      </c>
      <c r="E172" s="41" t="s">
        <v>664</v>
      </c>
      <c r="F172" s="62" t="str">
        <f>RIGHT(tblCost[[#This Row],[RequirementID]],1)</f>
        <v>1</v>
      </c>
      <c r="G172" s="41">
        <v>100</v>
      </c>
      <c r="H172" t="b">
        <f>COUNTIFS(tblCostChecklist[RequirementID],tblCost[[#This Row],[RequirementID]],tblCostChecklist[PlayerPaid],TRUE)&gt;0</f>
        <v>0</v>
      </c>
      <c r="I172" s="41">
        <f>COUNTIF(tblCost[TargetID],tblCost[[#This Row],[TargetID]])</f>
        <v>8</v>
      </c>
      <c r="J172" s="41">
        <f>COUNTIFS(tblCost[TargetID],tblCost[[#This Row],[TargetID]],tblCost[PlayerPaid],TRUE)</f>
        <v>0</v>
      </c>
      <c r="K172" s="41">
        <f>tblCost[[#This Row],[TargetRequirements]]-tblCost[[#This Row],[CompletedRequirements]]</f>
        <v>8</v>
      </c>
      <c r="L172" s="41" t="b">
        <f>tblCost[[#This Row],[RemainingRequirements]]=0</f>
        <v>0</v>
      </c>
      <c r="M172" s="43">
        <f>IF(tblCost[[#This Row],[TargetRequirements]]=0,0,tblCost[[#This Row],[CompletedRequirements]]/tblCost[[#This Row],[TargetRequirements]])</f>
        <v>0</v>
      </c>
    </row>
    <row r="173" spans="1:13">
      <c r="A173" s="41" t="s">
        <v>3821</v>
      </c>
      <c r="B173" s="41" t="str">
        <f>_xlfn.TEXTAFTER(_xlfn.TEXTBEFORE(tblCost[[#This Row],[RequirementID]],".",-2),"cost.")</f>
        <v>building.fermentory@2</v>
      </c>
      <c r="C173" s="41" t="str">
        <f>_xlfn.XLOOKUP(tblCost[[#This Row],[TargetID]],tblTargets[TargetID],tblTargets[DisplayName],"")</f>
        <v>Fermentory Lv 2</v>
      </c>
      <c r="D173" s="41" t="str">
        <f>_xlfn.XLOOKUP(tblCost[[#This Row],[TargetID]],tblTargets[TargetID],tblTargets[TargetType],"")</f>
        <v>BUILDING</v>
      </c>
      <c r="E173" s="41" t="s">
        <v>705</v>
      </c>
      <c r="F173" s="62" t="str">
        <f>RIGHT(tblCost[[#This Row],[RequirementID]],1)</f>
        <v>1</v>
      </c>
      <c r="G173" s="41">
        <v>30</v>
      </c>
      <c r="H173" t="b">
        <f>COUNTIFS(tblCostChecklist[RequirementID],tblCost[[#This Row],[RequirementID]],tblCostChecklist[PlayerPaid],TRUE)&gt;0</f>
        <v>0</v>
      </c>
      <c r="I173" s="41">
        <f>COUNTIF(tblCost[TargetID],tblCost[[#This Row],[TargetID]])</f>
        <v>8</v>
      </c>
      <c r="J173" s="41">
        <f>COUNTIFS(tblCost[TargetID],tblCost[[#This Row],[TargetID]],tblCost[PlayerPaid],TRUE)</f>
        <v>0</v>
      </c>
      <c r="K173" s="41">
        <f>tblCost[[#This Row],[TargetRequirements]]-tblCost[[#This Row],[CompletedRequirements]]</f>
        <v>8</v>
      </c>
      <c r="L173" s="41" t="b">
        <f>tblCost[[#This Row],[RemainingRequirements]]=0</f>
        <v>0</v>
      </c>
      <c r="M173" s="43">
        <f>IF(tblCost[[#This Row],[TargetRequirements]]=0,0,tblCost[[#This Row],[CompletedRequirements]]/tblCost[[#This Row],[TargetRequirements]])</f>
        <v>0</v>
      </c>
    </row>
    <row r="174" spans="1:13">
      <c r="A174" s="41" t="s">
        <v>3822</v>
      </c>
      <c r="B174" s="41" t="str">
        <f>_xlfn.TEXTAFTER(_xlfn.TEXTBEFORE(tblCost[[#This Row],[RequirementID]],".",-2),"cost.")</f>
        <v>building.fermentory@2</v>
      </c>
      <c r="C174" s="41" t="str">
        <f>_xlfn.XLOOKUP(tblCost[[#This Row],[TargetID]],tblTargets[TargetID],tblTargets[DisplayName],"")</f>
        <v>Fermentory Lv 2</v>
      </c>
      <c r="D174" s="41" t="str">
        <f>_xlfn.XLOOKUP(tblCost[[#This Row],[TargetID]],tblTargets[TargetID],tblTargets[TargetType],"")</f>
        <v>BUILDING</v>
      </c>
      <c r="E174" s="41" t="s">
        <v>663</v>
      </c>
      <c r="F174" s="62" t="str">
        <f>RIGHT(tblCost[[#This Row],[RequirementID]],1)</f>
        <v>1</v>
      </c>
      <c r="G174" s="41">
        <v>200</v>
      </c>
      <c r="H174" t="b">
        <f>COUNTIFS(tblCostChecklist[RequirementID],tblCost[[#This Row],[RequirementID]],tblCostChecklist[PlayerPaid],TRUE)&gt;0</f>
        <v>0</v>
      </c>
      <c r="I174" s="41">
        <f>COUNTIF(tblCost[TargetID],tblCost[[#This Row],[TargetID]])</f>
        <v>8</v>
      </c>
      <c r="J174" s="41">
        <f>COUNTIFS(tblCost[TargetID],tblCost[[#This Row],[TargetID]],tblCost[PlayerPaid],TRUE)</f>
        <v>0</v>
      </c>
      <c r="K174" s="41">
        <f>tblCost[[#This Row],[TargetRequirements]]-tblCost[[#This Row],[CompletedRequirements]]</f>
        <v>8</v>
      </c>
      <c r="L174" s="41" t="b">
        <f>tblCost[[#This Row],[RemainingRequirements]]=0</f>
        <v>0</v>
      </c>
      <c r="M174" s="43">
        <f>IF(tblCost[[#This Row],[TargetRequirements]]=0,0,tblCost[[#This Row],[CompletedRequirements]]/tblCost[[#This Row],[TargetRequirements]])</f>
        <v>0</v>
      </c>
    </row>
    <row r="175" spans="1:13">
      <c r="A175" s="41" t="s">
        <v>3823</v>
      </c>
      <c r="B175" s="41" t="str">
        <f>_xlfn.TEXTAFTER(_xlfn.TEXTBEFORE(tblCost[[#This Row],[RequirementID]],".",-2),"cost.")</f>
        <v>building.fermentory@2</v>
      </c>
      <c r="C175" s="41" t="str">
        <f>_xlfn.XLOOKUP(tblCost[[#This Row],[TargetID]],tblTargets[TargetID],tblTargets[DisplayName],"")</f>
        <v>Fermentory Lv 2</v>
      </c>
      <c r="D175" s="41" t="str">
        <f>_xlfn.XLOOKUP(tblCost[[#This Row],[TargetID]],tblTargets[TargetID],tblTargets[TargetType],"")</f>
        <v>BUILDING</v>
      </c>
      <c r="E175" s="41" t="s">
        <v>714</v>
      </c>
      <c r="F175" s="62" t="str">
        <f>RIGHT(tblCost[[#This Row],[RequirementID]],1)</f>
        <v>1</v>
      </c>
      <c r="G175" s="41">
        <v>50</v>
      </c>
      <c r="H175" t="b">
        <f>COUNTIFS(tblCostChecklist[RequirementID],tblCost[[#This Row],[RequirementID]],tblCostChecklist[PlayerPaid],TRUE)&gt;0</f>
        <v>0</v>
      </c>
      <c r="I175" s="41">
        <f>COUNTIF(tblCost[TargetID],tblCost[[#This Row],[TargetID]])</f>
        <v>8</v>
      </c>
      <c r="J175" s="41">
        <f>COUNTIFS(tblCost[TargetID],tblCost[[#This Row],[TargetID]],tblCost[PlayerPaid],TRUE)</f>
        <v>0</v>
      </c>
      <c r="K175" s="41">
        <f>tblCost[[#This Row],[TargetRequirements]]-tblCost[[#This Row],[CompletedRequirements]]</f>
        <v>8</v>
      </c>
      <c r="L175" s="41" t="b">
        <f>tblCost[[#This Row],[RemainingRequirements]]=0</f>
        <v>0</v>
      </c>
      <c r="M175" s="43">
        <f>IF(tblCost[[#This Row],[TargetRequirements]]=0,0,tblCost[[#This Row],[CompletedRequirements]]/tblCost[[#This Row],[TargetRequirements]])</f>
        <v>0</v>
      </c>
    </row>
    <row r="176" spans="1:13">
      <c r="A176" s="41" t="s">
        <v>3824</v>
      </c>
      <c r="B176" s="41" t="str">
        <f>_xlfn.TEXTAFTER(_xlfn.TEXTBEFORE(tblCost[[#This Row],[RequirementID]],".",-2),"cost.")</f>
        <v>building.fermentory@3</v>
      </c>
      <c r="C176" s="41" t="str">
        <f>_xlfn.XLOOKUP(tblCost[[#This Row],[TargetID]],tblTargets[TargetID],tblTargets[DisplayName],"")</f>
        <v>Fermentory Lv 3</v>
      </c>
      <c r="D176" s="41" t="str">
        <f>_xlfn.XLOOKUP(tblCost[[#This Row],[TargetID]],tblTargets[TargetID],tblTargets[TargetType],"")</f>
        <v>BUILDING</v>
      </c>
      <c r="E176" s="41" t="s">
        <v>708</v>
      </c>
      <c r="F176" s="62" t="str">
        <f>RIGHT(tblCost[[#This Row],[RequirementID]],1)</f>
        <v>1</v>
      </c>
      <c r="G176" s="41">
        <v>7</v>
      </c>
      <c r="H176" t="b">
        <f>COUNTIFS(tblCostChecklist[RequirementID],tblCost[[#This Row],[RequirementID]],tblCostChecklist[PlayerPaid],TRUE)&gt;0</f>
        <v>0</v>
      </c>
      <c r="I176" s="41">
        <f>COUNTIF(tblCost[TargetID],tblCost[[#This Row],[TargetID]])</f>
        <v>7</v>
      </c>
      <c r="J176" s="41">
        <f>COUNTIFS(tblCost[TargetID],tblCost[[#This Row],[TargetID]],tblCost[PlayerPaid],TRUE)</f>
        <v>0</v>
      </c>
      <c r="K176" s="41">
        <f>tblCost[[#This Row],[TargetRequirements]]-tblCost[[#This Row],[CompletedRequirements]]</f>
        <v>7</v>
      </c>
      <c r="L176" s="41" t="b">
        <f>tblCost[[#This Row],[RemainingRequirements]]=0</f>
        <v>0</v>
      </c>
      <c r="M176" s="43">
        <f>IF(tblCost[[#This Row],[TargetRequirements]]=0,0,tblCost[[#This Row],[CompletedRequirements]]/tblCost[[#This Row],[TargetRequirements]])</f>
        <v>0</v>
      </c>
    </row>
    <row r="177" spans="1:13">
      <c r="A177" s="41" t="s">
        <v>3825</v>
      </c>
      <c r="B177" s="41" t="str">
        <f>_xlfn.TEXTAFTER(_xlfn.TEXTBEFORE(tblCost[[#This Row],[RequirementID]],".",-2),"cost.")</f>
        <v>building.fermentory@3</v>
      </c>
      <c r="C177" s="41" t="str">
        <f>_xlfn.XLOOKUP(tblCost[[#This Row],[TargetID]],tblTargets[TargetID],tblTargets[DisplayName],"")</f>
        <v>Fermentory Lv 3</v>
      </c>
      <c r="D177" s="41" t="str">
        <f>_xlfn.XLOOKUP(tblCost[[#This Row],[TargetID]],tblTargets[TargetID],tblTargets[TargetType],"")</f>
        <v>BUILDING</v>
      </c>
      <c r="E177" s="41" t="s">
        <v>666</v>
      </c>
      <c r="F177" s="62" t="str">
        <f>RIGHT(tblCost[[#This Row],[RequirementID]],1)</f>
        <v>1</v>
      </c>
      <c r="G177" s="41">
        <v>1000</v>
      </c>
      <c r="H177" t="b">
        <f>COUNTIFS(tblCostChecklist[RequirementID],tblCost[[#This Row],[RequirementID]],tblCostChecklist[PlayerPaid],TRUE)&gt;0</f>
        <v>0</v>
      </c>
      <c r="I177" s="41">
        <f>COUNTIF(tblCost[TargetID],tblCost[[#This Row],[TargetID]])</f>
        <v>7</v>
      </c>
      <c r="J177" s="41">
        <f>COUNTIFS(tblCost[TargetID],tblCost[[#This Row],[TargetID]],tblCost[PlayerPaid],TRUE)</f>
        <v>0</v>
      </c>
      <c r="K177" s="41">
        <f>tblCost[[#This Row],[TargetRequirements]]-tblCost[[#This Row],[CompletedRequirements]]</f>
        <v>7</v>
      </c>
      <c r="L177" s="41" t="b">
        <f>tblCost[[#This Row],[RemainingRequirements]]=0</f>
        <v>0</v>
      </c>
      <c r="M177" s="43">
        <f>IF(tblCost[[#This Row],[TargetRequirements]]=0,0,tblCost[[#This Row],[CompletedRequirements]]/tblCost[[#This Row],[TargetRequirements]])</f>
        <v>0</v>
      </c>
    </row>
    <row r="178" spans="1:13">
      <c r="A178" s="41" t="s">
        <v>3826</v>
      </c>
      <c r="B178" s="41" t="str">
        <f>_xlfn.TEXTAFTER(_xlfn.TEXTBEFORE(tblCost[[#This Row],[RequirementID]],".",-2),"cost.")</f>
        <v>building.fermentory@3</v>
      </c>
      <c r="C178" s="41" t="str">
        <f>_xlfn.XLOOKUP(tblCost[[#This Row],[TargetID]],tblTargets[TargetID],tblTargets[DisplayName],"")</f>
        <v>Fermentory Lv 3</v>
      </c>
      <c r="D178" s="41" t="str">
        <f>_xlfn.XLOOKUP(tblCost[[#This Row],[TargetID]],tblTargets[TargetID],tblTargets[TargetType],"")</f>
        <v>BUILDING</v>
      </c>
      <c r="E178" s="41" t="s">
        <v>701</v>
      </c>
      <c r="F178" s="62" t="str">
        <f>RIGHT(tblCost[[#This Row],[RequirementID]],1)</f>
        <v>1</v>
      </c>
      <c r="G178" s="41">
        <v>700</v>
      </c>
      <c r="H178" t="b">
        <f>COUNTIFS(tblCostChecklist[RequirementID],tblCost[[#This Row],[RequirementID]],tblCostChecklist[PlayerPaid],TRUE)&gt;0</f>
        <v>0</v>
      </c>
      <c r="I178" s="41">
        <f>COUNTIF(tblCost[TargetID],tblCost[[#This Row],[TargetID]])</f>
        <v>7</v>
      </c>
      <c r="J178" s="41">
        <f>COUNTIFS(tblCost[TargetID],tblCost[[#This Row],[TargetID]],tblCost[PlayerPaid],TRUE)</f>
        <v>0</v>
      </c>
      <c r="K178" s="41">
        <f>tblCost[[#This Row],[TargetRequirements]]-tblCost[[#This Row],[CompletedRequirements]]</f>
        <v>7</v>
      </c>
      <c r="L178" s="41" t="b">
        <f>tblCost[[#This Row],[RemainingRequirements]]=0</f>
        <v>0</v>
      </c>
      <c r="M178" s="43">
        <f>IF(tblCost[[#This Row],[TargetRequirements]]=0,0,tblCost[[#This Row],[CompletedRequirements]]/tblCost[[#This Row],[TargetRequirements]])</f>
        <v>0</v>
      </c>
    </row>
    <row r="179" spans="1:13">
      <c r="A179" s="41" t="s">
        <v>3827</v>
      </c>
      <c r="B179" s="41" t="str">
        <f>_xlfn.TEXTAFTER(_xlfn.TEXTBEFORE(tblCost[[#This Row],[RequirementID]],".",-2),"cost.")</f>
        <v>building.fermentory@3</v>
      </c>
      <c r="C179" s="41" t="str">
        <f>_xlfn.XLOOKUP(tblCost[[#This Row],[TargetID]],tblTargets[TargetID],tblTargets[DisplayName],"")</f>
        <v>Fermentory Lv 3</v>
      </c>
      <c r="D179" s="41" t="str">
        <f>_xlfn.XLOOKUP(tblCost[[#This Row],[TargetID]],tblTargets[TargetID],tblTargets[TargetType],"")</f>
        <v>BUILDING</v>
      </c>
      <c r="E179" s="41" t="s">
        <v>717</v>
      </c>
      <c r="F179" s="62" t="str">
        <f>RIGHT(tblCost[[#This Row],[RequirementID]],1)</f>
        <v>1</v>
      </c>
      <c r="G179" s="41">
        <v>500</v>
      </c>
      <c r="H179" t="b">
        <f>COUNTIFS(tblCostChecklist[RequirementID],tblCost[[#This Row],[RequirementID]],tblCostChecklist[PlayerPaid],TRUE)&gt;0</f>
        <v>0</v>
      </c>
      <c r="I179" s="41">
        <f>COUNTIF(tblCost[TargetID],tblCost[[#This Row],[TargetID]])</f>
        <v>7</v>
      </c>
      <c r="J179" s="41">
        <f>COUNTIFS(tblCost[TargetID],tblCost[[#This Row],[TargetID]],tblCost[PlayerPaid],TRUE)</f>
        <v>0</v>
      </c>
      <c r="K179" s="41">
        <f>tblCost[[#This Row],[TargetRequirements]]-tblCost[[#This Row],[CompletedRequirements]]</f>
        <v>7</v>
      </c>
      <c r="L179" s="41" t="b">
        <f>tblCost[[#This Row],[RemainingRequirements]]=0</f>
        <v>0</v>
      </c>
      <c r="M179" s="43">
        <f>IF(tblCost[[#This Row],[TargetRequirements]]=0,0,tblCost[[#This Row],[CompletedRequirements]]/tblCost[[#This Row],[TargetRequirements]])</f>
        <v>0</v>
      </c>
    </row>
    <row r="180" spans="1:13">
      <c r="A180" s="41" t="s">
        <v>3828</v>
      </c>
      <c r="B180" s="41" t="str">
        <f>_xlfn.TEXTAFTER(_xlfn.TEXTBEFORE(tblCost[[#This Row],[RequirementID]],".",-2),"cost.")</f>
        <v>building.fermentory@3</v>
      </c>
      <c r="C180" s="41" t="str">
        <f>_xlfn.XLOOKUP(tblCost[[#This Row],[TargetID]],tblTargets[TargetID],tblTargets[DisplayName],"")</f>
        <v>Fermentory Lv 3</v>
      </c>
      <c r="D180" s="41" t="str">
        <f>_xlfn.XLOOKUP(tblCost[[#This Row],[TargetID]],tblTargets[TargetID],tblTargets[TargetType],"")</f>
        <v>BUILDING</v>
      </c>
      <c r="E180" s="41" t="s">
        <v>716</v>
      </c>
      <c r="F180" s="62" t="str">
        <f>RIGHT(tblCost[[#This Row],[RequirementID]],1)</f>
        <v>1</v>
      </c>
      <c r="G180" s="41">
        <v>200</v>
      </c>
      <c r="H180" t="b">
        <f>COUNTIFS(tblCostChecklist[RequirementID],tblCost[[#This Row],[RequirementID]],tblCostChecklist[PlayerPaid],TRUE)&gt;0</f>
        <v>0</v>
      </c>
      <c r="I180" s="41">
        <f>COUNTIF(tblCost[TargetID],tblCost[[#This Row],[TargetID]])</f>
        <v>7</v>
      </c>
      <c r="J180" s="41">
        <f>COUNTIFS(tblCost[TargetID],tblCost[[#This Row],[TargetID]],tblCost[PlayerPaid],TRUE)</f>
        <v>0</v>
      </c>
      <c r="K180" s="41">
        <f>tblCost[[#This Row],[TargetRequirements]]-tblCost[[#This Row],[CompletedRequirements]]</f>
        <v>7</v>
      </c>
      <c r="L180" s="41" t="b">
        <f>tblCost[[#This Row],[RemainingRequirements]]=0</f>
        <v>0</v>
      </c>
      <c r="M180" s="43">
        <f>IF(tblCost[[#This Row],[TargetRequirements]]=0,0,tblCost[[#This Row],[CompletedRequirements]]/tblCost[[#This Row],[TargetRequirements]])</f>
        <v>0</v>
      </c>
    </row>
    <row r="181" spans="1:13">
      <c r="A181" s="41" t="s">
        <v>3829</v>
      </c>
      <c r="B181" s="41" t="str">
        <f>_xlfn.TEXTAFTER(_xlfn.TEXTBEFORE(tblCost[[#This Row],[RequirementID]],".",-2),"cost.")</f>
        <v>building.fermentory@3</v>
      </c>
      <c r="C181" s="41" t="str">
        <f>_xlfn.XLOOKUP(tblCost[[#This Row],[TargetID]],tblTargets[TargetID],tblTargets[DisplayName],"")</f>
        <v>Fermentory Lv 3</v>
      </c>
      <c r="D181" s="41" t="str">
        <f>_xlfn.XLOOKUP(tblCost[[#This Row],[TargetID]],tblTargets[TargetID],tblTargets[TargetType],"")</f>
        <v>BUILDING</v>
      </c>
      <c r="E181" s="41" t="s">
        <v>663</v>
      </c>
      <c r="F181" s="62" t="str">
        <f>RIGHT(tblCost[[#This Row],[RequirementID]],1)</f>
        <v>1</v>
      </c>
      <c r="G181" s="41">
        <v>200</v>
      </c>
      <c r="H181" t="b">
        <f>COUNTIFS(tblCostChecklist[RequirementID],tblCost[[#This Row],[RequirementID]],tblCostChecklist[PlayerPaid],TRUE)&gt;0</f>
        <v>0</v>
      </c>
      <c r="I181" s="41">
        <f>COUNTIF(tblCost[TargetID],tblCost[[#This Row],[TargetID]])</f>
        <v>7</v>
      </c>
      <c r="J181" s="41">
        <f>COUNTIFS(tblCost[TargetID],tblCost[[#This Row],[TargetID]],tblCost[PlayerPaid],TRUE)</f>
        <v>0</v>
      </c>
      <c r="K181" s="41">
        <f>tblCost[[#This Row],[TargetRequirements]]-tblCost[[#This Row],[CompletedRequirements]]</f>
        <v>7</v>
      </c>
      <c r="L181" s="41" t="b">
        <f>tblCost[[#This Row],[RemainingRequirements]]=0</f>
        <v>0</v>
      </c>
      <c r="M181" s="43">
        <f>IF(tblCost[[#This Row],[TargetRequirements]]=0,0,tblCost[[#This Row],[CompletedRequirements]]/tblCost[[#This Row],[TargetRequirements]])</f>
        <v>0</v>
      </c>
    </row>
    <row r="182" spans="1:13">
      <c r="A182" s="41" t="s">
        <v>3830</v>
      </c>
      <c r="B182" s="41" t="str">
        <f>_xlfn.TEXTAFTER(_xlfn.TEXTBEFORE(tblCost[[#This Row],[RequirementID]],".",-2),"cost.")</f>
        <v>building.fermentory@3</v>
      </c>
      <c r="C182" s="41" t="str">
        <f>_xlfn.XLOOKUP(tblCost[[#This Row],[TargetID]],tblTargets[TargetID],tblTargets[DisplayName],"")</f>
        <v>Fermentory Lv 3</v>
      </c>
      <c r="D182" s="41" t="str">
        <f>_xlfn.XLOOKUP(tblCost[[#This Row],[TargetID]],tblTargets[TargetID],tblTargets[TargetType],"")</f>
        <v>BUILDING</v>
      </c>
      <c r="E182" s="41" t="s">
        <v>714</v>
      </c>
      <c r="F182" s="62" t="str">
        <f>RIGHT(tblCost[[#This Row],[RequirementID]],1)</f>
        <v>1</v>
      </c>
      <c r="G182" s="41">
        <v>50</v>
      </c>
      <c r="H182" t="b">
        <f>COUNTIFS(tblCostChecklist[RequirementID],tblCost[[#This Row],[RequirementID]],tblCostChecklist[PlayerPaid],TRUE)&gt;0</f>
        <v>0</v>
      </c>
      <c r="I182" s="41">
        <f>COUNTIF(tblCost[TargetID],tblCost[[#This Row],[TargetID]])</f>
        <v>7</v>
      </c>
      <c r="J182" s="41">
        <f>COUNTIFS(tblCost[TargetID],tblCost[[#This Row],[TargetID]],tblCost[PlayerPaid],TRUE)</f>
        <v>0</v>
      </c>
      <c r="K182" s="41">
        <f>tblCost[[#This Row],[TargetRequirements]]-tblCost[[#This Row],[CompletedRequirements]]</f>
        <v>7</v>
      </c>
      <c r="L182" s="41" t="b">
        <f>tblCost[[#This Row],[RemainingRequirements]]=0</f>
        <v>0</v>
      </c>
      <c r="M182" s="43">
        <f>IF(tblCost[[#This Row],[TargetRequirements]]=0,0,tblCost[[#This Row],[CompletedRequirements]]/tblCost[[#This Row],[TargetRequirements]])</f>
        <v>0</v>
      </c>
    </row>
    <row r="183" spans="1:13">
      <c r="A183" s="41" t="s">
        <v>3831</v>
      </c>
      <c r="B183" s="41" t="str">
        <f>_xlfn.TEXTAFTER(_xlfn.TEXTBEFORE(tblCost[[#This Row],[RequirementID]],".",-2),"cost.")</f>
        <v>building.fermentory@4</v>
      </c>
      <c r="C183" s="41" t="str">
        <f>_xlfn.XLOOKUP(tblCost[[#This Row],[TargetID]],tblTargets[TargetID],tblTargets[DisplayName],"")</f>
        <v>Fermentory Lv 4</v>
      </c>
      <c r="D183" s="41" t="str">
        <f>_xlfn.XLOOKUP(tblCost[[#This Row],[TargetID]],tblTargets[TargetID],tblTargets[TargetType],"")</f>
        <v>BUILDING</v>
      </c>
      <c r="E183" s="41" t="s">
        <v>708</v>
      </c>
      <c r="F183" s="62" t="str">
        <f>RIGHT(tblCost[[#This Row],[RequirementID]],1)</f>
        <v>1</v>
      </c>
      <c r="G183" s="41">
        <v>8</v>
      </c>
      <c r="H183" t="b">
        <f>COUNTIFS(tblCostChecklist[RequirementID],tblCost[[#This Row],[RequirementID]],tblCostChecklist[PlayerPaid],TRUE)&gt;0</f>
        <v>0</v>
      </c>
      <c r="I183" s="41">
        <f>COUNTIF(tblCost[TargetID],tblCost[[#This Row],[TargetID]])</f>
        <v>9</v>
      </c>
      <c r="J183" s="41">
        <f>COUNTIFS(tblCost[TargetID],tblCost[[#This Row],[TargetID]],tblCost[PlayerPaid],TRUE)</f>
        <v>0</v>
      </c>
      <c r="K183" s="41">
        <f>tblCost[[#This Row],[TargetRequirements]]-tblCost[[#This Row],[CompletedRequirements]]</f>
        <v>9</v>
      </c>
      <c r="L183" s="41" t="b">
        <f>tblCost[[#This Row],[RemainingRequirements]]=0</f>
        <v>0</v>
      </c>
      <c r="M183" s="43">
        <f>IF(tblCost[[#This Row],[TargetRequirements]]=0,0,tblCost[[#This Row],[CompletedRequirements]]/tblCost[[#This Row],[TargetRequirements]])</f>
        <v>0</v>
      </c>
    </row>
    <row r="184" spans="1:13">
      <c r="A184" s="41" t="s">
        <v>3832</v>
      </c>
      <c r="B184" s="41" t="str">
        <f>_xlfn.TEXTAFTER(_xlfn.TEXTBEFORE(tblCost[[#This Row],[RequirementID]],".",-2),"cost.")</f>
        <v>building.fermentory@4</v>
      </c>
      <c r="C184" s="41" t="str">
        <f>_xlfn.XLOOKUP(tblCost[[#This Row],[TargetID]],tblTargets[TargetID],tblTargets[DisplayName],"")</f>
        <v>Fermentory Lv 4</v>
      </c>
      <c r="D184" s="41" t="str">
        <f>_xlfn.XLOOKUP(tblCost[[#This Row],[TargetID]],tblTargets[TargetID],tblTargets[TargetType],"")</f>
        <v>BUILDING</v>
      </c>
      <c r="E184" s="41" t="s">
        <v>666</v>
      </c>
      <c r="F184" s="62" t="str">
        <f>RIGHT(tblCost[[#This Row],[RequirementID]],1)</f>
        <v>1</v>
      </c>
      <c r="G184" s="41">
        <v>1000</v>
      </c>
      <c r="H184" t="b">
        <f>COUNTIFS(tblCostChecklist[RequirementID],tblCost[[#This Row],[RequirementID]],tblCostChecklist[PlayerPaid],TRUE)&gt;0</f>
        <v>0</v>
      </c>
      <c r="I184" s="41">
        <f>COUNTIF(tblCost[TargetID],tblCost[[#This Row],[TargetID]])</f>
        <v>9</v>
      </c>
      <c r="J184" s="41">
        <f>COUNTIFS(tblCost[TargetID],tblCost[[#This Row],[TargetID]],tblCost[PlayerPaid],TRUE)</f>
        <v>0</v>
      </c>
      <c r="K184" s="41">
        <f>tblCost[[#This Row],[TargetRequirements]]-tblCost[[#This Row],[CompletedRequirements]]</f>
        <v>9</v>
      </c>
      <c r="L184" s="41" t="b">
        <f>tblCost[[#This Row],[RemainingRequirements]]=0</f>
        <v>0</v>
      </c>
      <c r="M184" s="43">
        <f>IF(tblCost[[#This Row],[TargetRequirements]]=0,0,tblCost[[#This Row],[CompletedRequirements]]/tblCost[[#This Row],[TargetRequirements]])</f>
        <v>0</v>
      </c>
    </row>
    <row r="185" spans="1:13">
      <c r="A185" s="41" t="s">
        <v>3833</v>
      </c>
      <c r="B185" s="41" t="str">
        <f>_xlfn.TEXTAFTER(_xlfn.TEXTBEFORE(tblCost[[#This Row],[RequirementID]],".",-2),"cost.")</f>
        <v>building.fermentory@4</v>
      </c>
      <c r="C185" s="41" t="str">
        <f>_xlfn.XLOOKUP(tblCost[[#This Row],[TargetID]],tblTargets[TargetID],tblTargets[DisplayName],"")</f>
        <v>Fermentory Lv 4</v>
      </c>
      <c r="D185" s="41" t="str">
        <f>_xlfn.XLOOKUP(tblCost[[#This Row],[TargetID]],tblTargets[TargetID],tblTargets[TargetType],"")</f>
        <v>BUILDING</v>
      </c>
      <c r="E185" s="41" t="s">
        <v>701</v>
      </c>
      <c r="F185" s="62" t="str">
        <f>RIGHT(tblCost[[#This Row],[RequirementID]],1)</f>
        <v>1</v>
      </c>
      <c r="G185" s="41">
        <v>900</v>
      </c>
      <c r="H185" t="b">
        <f>COUNTIFS(tblCostChecklist[RequirementID],tblCost[[#This Row],[RequirementID]],tblCostChecklist[PlayerPaid],TRUE)&gt;0</f>
        <v>0</v>
      </c>
      <c r="I185" s="41">
        <f>COUNTIF(tblCost[TargetID],tblCost[[#This Row],[TargetID]])</f>
        <v>9</v>
      </c>
      <c r="J185" s="41">
        <f>COUNTIFS(tblCost[TargetID],tblCost[[#This Row],[TargetID]],tblCost[PlayerPaid],TRUE)</f>
        <v>0</v>
      </c>
      <c r="K185" s="41">
        <f>tblCost[[#This Row],[TargetRequirements]]-tblCost[[#This Row],[CompletedRequirements]]</f>
        <v>9</v>
      </c>
      <c r="L185" s="41" t="b">
        <f>tblCost[[#This Row],[RemainingRequirements]]=0</f>
        <v>0</v>
      </c>
      <c r="M185" s="43">
        <f>IF(tblCost[[#This Row],[TargetRequirements]]=0,0,tblCost[[#This Row],[CompletedRequirements]]/tblCost[[#This Row],[TargetRequirements]])</f>
        <v>0</v>
      </c>
    </row>
    <row r="186" spans="1:13">
      <c r="A186" s="41" t="s">
        <v>3834</v>
      </c>
      <c r="B186" s="41" t="str">
        <f>_xlfn.TEXTAFTER(_xlfn.TEXTBEFORE(tblCost[[#This Row],[RequirementID]],".",-2),"cost.")</f>
        <v>building.fermentory@4</v>
      </c>
      <c r="C186" s="41" t="str">
        <f>_xlfn.XLOOKUP(tblCost[[#This Row],[TargetID]],tblTargets[TargetID],tblTargets[DisplayName],"")</f>
        <v>Fermentory Lv 4</v>
      </c>
      <c r="D186" s="41" t="str">
        <f>_xlfn.XLOOKUP(tblCost[[#This Row],[TargetID]],tblTargets[TargetID],tblTargets[TargetType],"")</f>
        <v>BUILDING</v>
      </c>
      <c r="E186" s="41" t="s">
        <v>717</v>
      </c>
      <c r="F186" s="62" t="str">
        <f>RIGHT(tblCost[[#This Row],[RequirementID]],1)</f>
        <v>1</v>
      </c>
      <c r="G186" s="41">
        <v>500</v>
      </c>
      <c r="H186" t="b">
        <f>COUNTIFS(tblCostChecklist[RequirementID],tblCost[[#This Row],[RequirementID]],tblCostChecklist[PlayerPaid],TRUE)&gt;0</f>
        <v>0</v>
      </c>
      <c r="I186" s="41">
        <f>COUNTIF(tblCost[TargetID],tblCost[[#This Row],[TargetID]])</f>
        <v>9</v>
      </c>
      <c r="J186" s="41">
        <f>COUNTIFS(tblCost[TargetID],tblCost[[#This Row],[TargetID]],tblCost[PlayerPaid],TRUE)</f>
        <v>0</v>
      </c>
      <c r="K186" s="41">
        <f>tblCost[[#This Row],[TargetRequirements]]-tblCost[[#This Row],[CompletedRequirements]]</f>
        <v>9</v>
      </c>
      <c r="L186" s="41" t="b">
        <f>tblCost[[#This Row],[RemainingRequirements]]=0</f>
        <v>0</v>
      </c>
      <c r="M186" s="43">
        <f>IF(tblCost[[#This Row],[TargetRequirements]]=0,0,tblCost[[#This Row],[CompletedRequirements]]/tblCost[[#This Row],[TargetRequirements]])</f>
        <v>0</v>
      </c>
    </row>
    <row r="187" spans="1:13">
      <c r="A187" s="41" t="s">
        <v>3835</v>
      </c>
      <c r="B187" s="41" t="str">
        <f>_xlfn.TEXTAFTER(_xlfn.TEXTBEFORE(tblCost[[#This Row],[RequirementID]],".",-2),"cost.")</f>
        <v>building.fermentory@4</v>
      </c>
      <c r="C187" s="41" t="str">
        <f>_xlfn.XLOOKUP(tblCost[[#This Row],[TargetID]],tblTargets[TargetID],tblTargets[DisplayName],"")</f>
        <v>Fermentory Lv 4</v>
      </c>
      <c r="D187" s="41" t="str">
        <f>_xlfn.XLOOKUP(tblCost[[#This Row],[TargetID]],tblTargets[TargetID],tblTargets[TargetType],"")</f>
        <v>BUILDING</v>
      </c>
      <c r="E187" s="41" t="s">
        <v>716</v>
      </c>
      <c r="F187" s="62" t="str">
        <f>RIGHT(tblCost[[#This Row],[RequirementID]],1)</f>
        <v>1</v>
      </c>
      <c r="G187" s="41">
        <v>300</v>
      </c>
      <c r="H187" t="b">
        <f>COUNTIFS(tblCostChecklist[RequirementID],tblCost[[#This Row],[RequirementID]],tblCostChecklist[PlayerPaid],TRUE)&gt;0</f>
        <v>0</v>
      </c>
      <c r="I187" s="41">
        <f>COUNTIF(tblCost[TargetID],tblCost[[#This Row],[TargetID]])</f>
        <v>9</v>
      </c>
      <c r="J187" s="41">
        <f>COUNTIFS(tblCost[TargetID],tblCost[[#This Row],[TargetID]],tblCost[PlayerPaid],TRUE)</f>
        <v>0</v>
      </c>
      <c r="K187" s="41">
        <f>tblCost[[#This Row],[TargetRequirements]]-tblCost[[#This Row],[CompletedRequirements]]</f>
        <v>9</v>
      </c>
      <c r="L187" s="41" t="b">
        <f>tblCost[[#This Row],[RemainingRequirements]]=0</f>
        <v>0</v>
      </c>
      <c r="M187" s="43">
        <f>IF(tblCost[[#This Row],[TargetRequirements]]=0,0,tblCost[[#This Row],[CompletedRequirements]]/tblCost[[#This Row],[TargetRequirements]])</f>
        <v>0</v>
      </c>
    </row>
    <row r="188" spans="1:13">
      <c r="A188" s="41" t="s">
        <v>3836</v>
      </c>
      <c r="B188" s="41" t="str">
        <f>_xlfn.TEXTAFTER(_xlfn.TEXTBEFORE(tblCost[[#This Row],[RequirementID]],".",-2),"cost.")</f>
        <v>building.fermentory@4</v>
      </c>
      <c r="C188" s="41" t="str">
        <f>_xlfn.XLOOKUP(tblCost[[#This Row],[TargetID]],tblTargets[TargetID],tblTargets[DisplayName],"")</f>
        <v>Fermentory Lv 4</v>
      </c>
      <c r="D188" s="41" t="str">
        <f>_xlfn.XLOOKUP(tblCost[[#This Row],[TargetID]],tblTargets[TargetID],tblTargets[TargetType],"")</f>
        <v>BUILDING</v>
      </c>
      <c r="E188" s="41" t="s">
        <v>707</v>
      </c>
      <c r="F188" s="62" t="str">
        <f>RIGHT(tblCost[[#This Row],[RequirementID]],1)</f>
        <v>1</v>
      </c>
      <c r="G188" s="41">
        <v>50</v>
      </c>
      <c r="H188" t="b">
        <f>COUNTIFS(tblCostChecklist[RequirementID],tblCost[[#This Row],[RequirementID]],tblCostChecklist[PlayerPaid],TRUE)&gt;0</f>
        <v>0</v>
      </c>
      <c r="I188" s="41">
        <f>COUNTIF(tblCost[TargetID],tblCost[[#This Row],[TargetID]])</f>
        <v>9</v>
      </c>
      <c r="J188" s="41">
        <f>COUNTIFS(tblCost[TargetID],tblCost[[#This Row],[TargetID]],tblCost[PlayerPaid],TRUE)</f>
        <v>0</v>
      </c>
      <c r="K188" s="41">
        <f>tblCost[[#This Row],[TargetRequirements]]-tblCost[[#This Row],[CompletedRequirements]]</f>
        <v>9</v>
      </c>
      <c r="L188" s="41" t="b">
        <f>tblCost[[#This Row],[RemainingRequirements]]=0</f>
        <v>0</v>
      </c>
      <c r="M188" s="43">
        <f>IF(tblCost[[#This Row],[TargetRequirements]]=0,0,tblCost[[#This Row],[CompletedRequirements]]/tblCost[[#This Row],[TargetRequirements]])</f>
        <v>0</v>
      </c>
    </row>
    <row r="189" spans="1:13">
      <c r="A189" s="41" t="s">
        <v>3837</v>
      </c>
      <c r="B189" s="41" t="str">
        <f>_xlfn.TEXTAFTER(_xlfn.TEXTBEFORE(tblCost[[#This Row],[RequirementID]],".",-2),"cost.")</f>
        <v>building.fermentory@4</v>
      </c>
      <c r="C189" s="41" t="str">
        <f>_xlfn.XLOOKUP(tblCost[[#This Row],[TargetID]],tblTargets[TargetID],tblTargets[DisplayName],"")</f>
        <v>Fermentory Lv 4</v>
      </c>
      <c r="D189" s="41" t="str">
        <f>_xlfn.XLOOKUP(tblCost[[#This Row],[TargetID]],tblTargets[TargetID],tblTargets[TargetType],"")</f>
        <v>BUILDING</v>
      </c>
      <c r="E189" s="41" t="s">
        <v>722</v>
      </c>
      <c r="F189" s="62" t="str">
        <f>RIGHT(tblCost[[#This Row],[RequirementID]],1)</f>
        <v>1</v>
      </c>
      <c r="G189" s="41">
        <v>50</v>
      </c>
      <c r="H189" t="b">
        <f>COUNTIFS(tblCostChecklist[RequirementID],tblCost[[#This Row],[RequirementID]],tblCostChecklist[PlayerPaid],TRUE)&gt;0</f>
        <v>0</v>
      </c>
      <c r="I189" s="41">
        <f>COUNTIF(tblCost[TargetID],tblCost[[#This Row],[TargetID]])</f>
        <v>9</v>
      </c>
      <c r="J189" s="41">
        <f>COUNTIFS(tblCost[TargetID],tblCost[[#This Row],[TargetID]],tblCost[PlayerPaid],TRUE)</f>
        <v>0</v>
      </c>
      <c r="K189" s="41">
        <f>tblCost[[#This Row],[TargetRequirements]]-tblCost[[#This Row],[CompletedRequirements]]</f>
        <v>9</v>
      </c>
      <c r="L189" s="41" t="b">
        <f>tblCost[[#This Row],[RemainingRequirements]]=0</f>
        <v>0</v>
      </c>
      <c r="M189" s="43">
        <f>IF(tblCost[[#This Row],[TargetRequirements]]=0,0,tblCost[[#This Row],[CompletedRequirements]]/tblCost[[#This Row],[TargetRequirements]])</f>
        <v>0</v>
      </c>
    </row>
    <row r="190" spans="1:13">
      <c r="A190" s="41" t="s">
        <v>3838</v>
      </c>
      <c r="B190" s="41" t="str">
        <f>_xlfn.TEXTAFTER(_xlfn.TEXTBEFORE(tblCost[[#This Row],[RequirementID]],".",-2),"cost.")</f>
        <v>building.fermentory@4</v>
      </c>
      <c r="C190" s="41" t="str">
        <f>_xlfn.XLOOKUP(tblCost[[#This Row],[TargetID]],tblTargets[TargetID],tblTargets[DisplayName],"")</f>
        <v>Fermentory Lv 4</v>
      </c>
      <c r="D190" s="41" t="str">
        <f>_xlfn.XLOOKUP(tblCost[[#This Row],[TargetID]],tblTargets[TargetID],tblTargets[TargetType],"")</f>
        <v>BUILDING</v>
      </c>
      <c r="E190" s="41" t="s">
        <v>714</v>
      </c>
      <c r="F190" s="62" t="str">
        <f>RIGHT(tblCost[[#This Row],[RequirementID]],1)</f>
        <v>1</v>
      </c>
      <c r="G190" s="41">
        <v>50</v>
      </c>
      <c r="H190" t="b">
        <f>COUNTIFS(tblCostChecklist[RequirementID],tblCost[[#This Row],[RequirementID]],tblCostChecklist[PlayerPaid],TRUE)&gt;0</f>
        <v>0</v>
      </c>
      <c r="I190" s="41">
        <f>COUNTIF(tblCost[TargetID],tblCost[[#This Row],[TargetID]])</f>
        <v>9</v>
      </c>
      <c r="J190" s="41">
        <f>COUNTIFS(tblCost[TargetID],tblCost[[#This Row],[TargetID]],tblCost[PlayerPaid],TRUE)</f>
        <v>0</v>
      </c>
      <c r="K190" s="41">
        <f>tblCost[[#This Row],[TargetRequirements]]-tblCost[[#This Row],[CompletedRequirements]]</f>
        <v>9</v>
      </c>
      <c r="L190" s="41" t="b">
        <f>tblCost[[#This Row],[RemainingRequirements]]=0</f>
        <v>0</v>
      </c>
      <c r="M190" s="43">
        <f>IF(tblCost[[#This Row],[TargetRequirements]]=0,0,tblCost[[#This Row],[CompletedRequirements]]/tblCost[[#This Row],[TargetRequirements]])</f>
        <v>0</v>
      </c>
    </row>
    <row r="191" spans="1:13">
      <c r="A191" s="41" t="s">
        <v>3839</v>
      </c>
      <c r="B191" s="41" t="str">
        <f>_xlfn.TEXTAFTER(_xlfn.TEXTBEFORE(tblCost[[#This Row],[RequirementID]],".",-2),"cost.")</f>
        <v>building.fermentory@4</v>
      </c>
      <c r="C191" s="41" t="str">
        <f>_xlfn.XLOOKUP(tblCost[[#This Row],[TargetID]],tblTargets[TargetID],tblTargets[DisplayName],"")</f>
        <v>Fermentory Lv 4</v>
      </c>
      <c r="D191" s="41" t="str">
        <f>_xlfn.XLOOKUP(tblCost[[#This Row],[TargetID]],tblTargets[TargetID],tblTargets[TargetType],"")</f>
        <v>BUILDING</v>
      </c>
      <c r="E191" s="41" t="s">
        <v>713</v>
      </c>
      <c r="F191" s="62" t="str">
        <f>RIGHT(tblCost[[#This Row],[RequirementID]],1)</f>
        <v>1</v>
      </c>
      <c r="G191" s="41">
        <v>10</v>
      </c>
      <c r="H191" t="b">
        <f>COUNTIFS(tblCostChecklist[RequirementID],tblCost[[#This Row],[RequirementID]],tblCostChecklist[PlayerPaid],TRUE)&gt;0</f>
        <v>0</v>
      </c>
      <c r="I191" s="41">
        <f>COUNTIF(tblCost[TargetID],tblCost[[#This Row],[TargetID]])</f>
        <v>9</v>
      </c>
      <c r="J191" s="41">
        <f>COUNTIFS(tblCost[TargetID],tblCost[[#This Row],[TargetID]],tblCost[PlayerPaid],TRUE)</f>
        <v>0</v>
      </c>
      <c r="K191" s="41">
        <f>tblCost[[#This Row],[TargetRequirements]]-tblCost[[#This Row],[CompletedRequirements]]</f>
        <v>9</v>
      </c>
      <c r="L191" s="41" t="b">
        <f>tblCost[[#This Row],[RemainingRequirements]]=0</f>
        <v>0</v>
      </c>
      <c r="M191" s="43">
        <f>IF(tblCost[[#This Row],[TargetRequirements]]=0,0,tblCost[[#This Row],[CompletedRequirements]]/tblCost[[#This Row],[TargetRequirements]])</f>
        <v>0</v>
      </c>
    </row>
    <row r="192" spans="1:13">
      <c r="A192" s="41" t="s">
        <v>3840</v>
      </c>
      <c r="B192" s="41" t="str">
        <f>_xlfn.TEXTAFTER(_xlfn.TEXTBEFORE(tblCost[[#This Row],[RequirementID]],".",-2),"cost.")</f>
        <v>building.fermentory@5</v>
      </c>
      <c r="C192" s="41" t="str">
        <f>_xlfn.XLOOKUP(tblCost[[#This Row],[TargetID]],tblTargets[TargetID],tblTargets[DisplayName],"")</f>
        <v>Fermentory Lv 5</v>
      </c>
      <c r="D192" s="41" t="str">
        <f>_xlfn.XLOOKUP(tblCost[[#This Row],[TargetID]],tblTargets[TargetID],tblTargets[TargetType],"")</f>
        <v>BUILDING</v>
      </c>
      <c r="E192" s="41" t="s">
        <v>708</v>
      </c>
      <c r="F192" s="62" t="str">
        <f>RIGHT(tblCost[[#This Row],[RequirementID]],1)</f>
        <v>1</v>
      </c>
      <c r="G192" s="41">
        <v>9</v>
      </c>
      <c r="H192" t="b">
        <f>COUNTIFS(tblCostChecklist[RequirementID],tblCost[[#This Row],[RequirementID]],tblCostChecklist[PlayerPaid],TRUE)&gt;0</f>
        <v>0</v>
      </c>
      <c r="I192" s="41">
        <f>COUNTIF(tblCost[TargetID],tblCost[[#This Row],[TargetID]])</f>
        <v>8</v>
      </c>
      <c r="J192" s="41">
        <f>COUNTIFS(tblCost[TargetID],tblCost[[#This Row],[TargetID]],tblCost[PlayerPaid],TRUE)</f>
        <v>0</v>
      </c>
      <c r="K192" s="41">
        <f>tblCost[[#This Row],[TargetRequirements]]-tblCost[[#This Row],[CompletedRequirements]]</f>
        <v>8</v>
      </c>
      <c r="L192" s="41" t="b">
        <f>tblCost[[#This Row],[RemainingRequirements]]=0</f>
        <v>0</v>
      </c>
      <c r="M192" s="43">
        <f>IF(tblCost[[#This Row],[TargetRequirements]]=0,0,tblCost[[#This Row],[CompletedRequirements]]/tblCost[[#This Row],[TargetRequirements]])</f>
        <v>0</v>
      </c>
    </row>
    <row r="193" spans="1:13">
      <c r="A193" s="41" t="s">
        <v>3841</v>
      </c>
      <c r="B193" s="41" t="str">
        <f>_xlfn.TEXTAFTER(_xlfn.TEXTBEFORE(tblCost[[#This Row],[RequirementID]],".",-2),"cost.")</f>
        <v>building.fermentory@5</v>
      </c>
      <c r="C193" s="41" t="str">
        <f>_xlfn.XLOOKUP(tblCost[[#This Row],[TargetID]],tblTargets[TargetID],tblTargets[DisplayName],"")</f>
        <v>Fermentory Lv 5</v>
      </c>
      <c r="D193" s="41" t="str">
        <f>_xlfn.XLOOKUP(tblCost[[#This Row],[TargetID]],tblTargets[TargetID],tblTargets[TargetType],"")</f>
        <v>BUILDING</v>
      </c>
      <c r="E193" s="41" t="s">
        <v>666</v>
      </c>
      <c r="F193" s="62" t="str">
        <f>RIGHT(tblCost[[#This Row],[RequirementID]],1)</f>
        <v>1</v>
      </c>
      <c r="G193" s="41">
        <v>1000</v>
      </c>
      <c r="H193" t="b">
        <f>COUNTIFS(tblCostChecklist[RequirementID],tblCost[[#This Row],[RequirementID]],tblCostChecklist[PlayerPaid],TRUE)&gt;0</f>
        <v>0</v>
      </c>
      <c r="I193" s="41">
        <f>COUNTIF(tblCost[TargetID],tblCost[[#This Row],[TargetID]])</f>
        <v>8</v>
      </c>
      <c r="J193" s="41">
        <f>COUNTIFS(tblCost[TargetID],tblCost[[#This Row],[TargetID]],tblCost[PlayerPaid],TRUE)</f>
        <v>0</v>
      </c>
      <c r="K193" s="41">
        <f>tblCost[[#This Row],[TargetRequirements]]-tblCost[[#This Row],[CompletedRequirements]]</f>
        <v>8</v>
      </c>
      <c r="L193" s="41" t="b">
        <f>tblCost[[#This Row],[RemainingRequirements]]=0</f>
        <v>0</v>
      </c>
      <c r="M193" s="43">
        <f>IF(tblCost[[#This Row],[TargetRequirements]]=0,0,tblCost[[#This Row],[CompletedRequirements]]/tblCost[[#This Row],[TargetRequirements]])</f>
        <v>0</v>
      </c>
    </row>
    <row r="194" spans="1:13">
      <c r="A194" s="41" t="s">
        <v>3842</v>
      </c>
      <c r="B194" s="41" t="str">
        <f>_xlfn.TEXTAFTER(_xlfn.TEXTBEFORE(tblCost[[#This Row],[RequirementID]],".",-2),"cost.")</f>
        <v>building.fermentory@5</v>
      </c>
      <c r="C194" s="41" t="str">
        <f>_xlfn.XLOOKUP(tblCost[[#This Row],[TargetID]],tblTargets[TargetID],tblTargets[DisplayName],"")</f>
        <v>Fermentory Lv 5</v>
      </c>
      <c r="D194" s="41" t="str">
        <f>_xlfn.XLOOKUP(tblCost[[#This Row],[TargetID]],tblTargets[TargetID],tblTargets[TargetType],"")</f>
        <v>BUILDING</v>
      </c>
      <c r="E194" s="41" t="s">
        <v>701</v>
      </c>
      <c r="F194" s="62" t="str">
        <f>RIGHT(tblCost[[#This Row],[RequirementID]],1)</f>
        <v>1</v>
      </c>
      <c r="G194" s="41">
        <v>900</v>
      </c>
      <c r="H194" t="b">
        <f>COUNTIFS(tblCostChecklist[RequirementID],tblCost[[#This Row],[RequirementID]],tblCostChecklist[PlayerPaid],TRUE)&gt;0</f>
        <v>0</v>
      </c>
      <c r="I194" s="41">
        <f>COUNTIF(tblCost[TargetID],tblCost[[#This Row],[TargetID]])</f>
        <v>8</v>
      </c>
      <c r="J194" s="41">
        <f>COUNTIFS(tblCost[TargetID],tblCost[[#This Row],[TargetID]],tblCost[PlayerPaid],TRUE)</f>
        <v>0</v>
      </c>
      <c r="K194" s="41">
        <f>tblCost[[#This Row],[TargetRequirements]]-tblCost[[#This Row],[CompletedRequirements]]</f>
        <v>8</v>
      </c>
      <c r="L194" s="41" t="b">
        <f>tblCost[[#This Row],[RemainingRequirements]]=0</f>
        <v>0</v>
      </c>
      <c r="M194" s="43">
        <f>IF(tblCost[[#This Row],[TargetRequirements]]=0,0,tblCost[[#This Row],[CompletedRequirements]]/tblCost[[#This Row],[TargetRequirements]])</f>
        <v>0</v>
      </c>
    </row>
    <row r="195" spans="1:13">
      <c r="A195" s="41" t="s">
        <v>3843</v>
      </c>
      <c r="B195" s="41" t="str">
        <f>_xlfn.TEXTAFTER(_xlfn.TEXTBEFORE(tblCost[[#This Row],[RequirementID]],".",-2),"cost.")</f>
        <v>building.fermentory@5</v>
      </c>
      <c r="C195" s="41" t="str">
        <f>_xlfn.XLOOKUP(tblCost[[#This Row],[TargetID]],tblTargets[TargetID],tblTargets[DisplayName],"")</f>
        <v>Fermentory Lv 5</v>
      </c>
      <c r="D195" s="41" t="str">
        <f>_xlfn.XLOOKUP(tblCost[[#This Row],[TargetID]],tblTargets[TargetID],tblTargets[TargetType],"")</f>
        <v>BUILDING</v>
      </c>
      <c r="E195" s="41" t="s">
        <v>717</v>
      </c>
      <c r="F195" s="62" t="str">
        <f>RIGHT(tblCost[[#This Row],[RequirementID]],1)</f>
        <v>1</v>
      </c>
      <c r="G195" s="41">
        <v>800</v>
      </c>
      <c r="H195" t="b">
        <f>COUNTIFS(tblCostChecklist[RequirementID],tblCost[[#This Row],[RequirementID]],tblCostChecklist[PlayerPaid],TRUE)&gt;0</f>
        <v>0</v>
      </c>
      <c r="I195" s="41">
        <f>COUNTIF(tblCost[TargetID],tblCost[[#This Row],[TargetID]])</f>
        <v>8</v>
      </c>
      <c r="J195" s="41">
        <f>COUNTIFS(tblCost[TargetID],tblCost[[#This Row],[TargetID]],tblCost[PlayerPaid],TRUE)</f>
        <v>0</v>
      </c>
      <c r="K195" s="41">
        <f>tblCost[[#This Row],[TargetRequirements]]-tblCost[[#This Row],[CompletedRequirements]]</f>
        <v>8</v>
      </c>
      <c r="L195" s="41" t="b">
        <f>tblCost[[#This Row],[RemainingRequirements]]=0</f>
        <v>0</v>
      </c>
      <c r="M195" s="43">
        <f>IF(tblCost[[#This Row],[TargetRequirements]]=0,0,tblCost[[#This Row],[CompletedRequirements]]/tblCost[[#This Row],[TargetRequirements]])</f>
        <v>0</v>
      </c>
    </row>
    <row r="196" spans="1:13">
      <c r="A196" s="41" t="s">
        <v>3844</v>
      </c>
      <c r="B196" s="41" t="str">
        <f>_xlfn.TEXTAFTER(_xlfn.TEXTBEFORE(tblCost[[#This Row],[RequirementID]],".",-2),"cost.")</f>
        <v>building.fermentory@5</v>
      </c>
      <c r="C196" s="41" t="str">
        <f>_xlfn.XLOOKUP(tblCost[[#This Row],[TargetID]],tblTargets[TargetID],tblTargets[DisplayName],"")</f>
        <v>Fermentory Lv 5</v>
      </c>
      <c r="D196" s="41" t="str">
        <f>_xlfn.XLOOKUP(tblCost[[#This Row],[TargetID]],tblTargets[TargetID],tblTargets[TargetType],"")</f>
        <v>BUILDING</v>
      </c>
      <c r="E196" s="41" t="s">
        <v>719</v>
      </c>
      <c r="F196" s="62" t="str">
        <f>RIGHT(tblCost[[#This Row],[RequirementID]],1)</f>
        <v>1</v>
      </c>
      <c r="G196" s="41">
        <v>20</v>
      </c>
      <c r="H196" t="b">
        <f>COUNTIFS(tblCostChecklist[RequirementID],tblCost[[#This Row],[RequirementID]],tblCostChecklist[PlayerPaid],TRUE)&gt;0</f>
        <v>0</v>
      </c>
      <c r="I196" s="41">
        <f>COUNTIF(tblCost[TargetID],tblCost[[#This Row],[TargetID]])</f>
        <v>8</v>
      </c>
      <c r="J196" s="41">
        <f>COUNTIFS(tblCost[TargetID],tblCost[[#This Row],[TargetID]],tblCost[PlayerPaid],TRUE)</f>
        <v>0</v>
      </c>
      <c r="K196" s="41">
        <f>tblCost[[#This Row],[TargetRequirements]]-tblCost[[#This Row],[CompletedRequirements]]</f>
        <v>8</v>
      </c>
      <c r="L196" s="41" t="b">
        <f>tblCost[[#This Row],[RemainingRequirements]]=0</f>
        <v>0</v>
      </c>
      <c r="M196" s="43">
        <f>IF(tblCost[[#This Row],[TargetRequirements]]=0,0,tblCost[[#This Row],[CompletedRequirements]]/tblCost[[#This Row],[TargetRequirements]])</f>
        <v>0</v>
      </c>
    </row>
    <row r="197" spans="1:13">
      <c r="A197" s="41" t="s">
        <v>3845</v>
      </c>
      <c r="B197" s="41" t="str">
        <f>_xlfn.TEXTAFTER(_xlfn.TEXTBEFORE(tblCost[[#This Row],[RequirementID]],".",-2),"cost.")</f>
        <v>building.fermentory@5</v>
      </c>
      <c r="C197" s="41" t="str">
        <f>_xlfn.XLOOKUP(tblCost[[#This Row],[TargetID]],tblTargets[TargetID],tblTargets[DisplayName],"")</f>
        <v>Fermentory Lv 5</v>
      </c>
      <c r="D197" s="41" t="str">
        <f>_xlfn.XLOOKUP(tblCost[[#This Row],[TargetID]],tblTargets[TargetID],tblTargets[TargetType],"")</f>
        <v>BUILDING</v>
      </c>
      <c r="E197" s="41" t="s">
        <v>714</v>
      </c>
      <c r="F197" s="62" t="str">
        <f>RIGHT(tblCost[[#This Row],[RequirementID]],1)</f>
        <v>1</v>
      </c>
      <c r="G197" s="41">
        <v>100</v>
      </c>
      <c r="H197" t="b">
        <f>COUNTIFS(tblCostChecklist[RequirementID],tblCost[[#This Row],[RequirementID]],tblCostChecklist[PlayerPaid],TRUE)&gt;0</f>
        <v>0</v>
      </c>
      <c r="I197" s="41">
        <f>COUNTIF(tblCost[TargetID],tblCost[[#This Row],[TargetID]])</f>
        <v>8</v>
      </c>
      <c r="J197" s="41">
        <f>COUNTIFS(tblCost[TargetID],tblCost[[#This Row],[TargetID]],tblCost[PlayerPaid],TRUE)</f>
        <v>0</v>
      </c>
      <c r="K197" s="41">
        <f>tblCost[[#This Row],[TargetRequirements]]-tblCost[[#This Row],[CompletedRequirements]]</f>
        <v>8</v>
      </c>
      <c r="L197" s="41" t="b">
        <f>tblCost[[#This Row],[RemainingRequirements]]=0</f>
        <v>0</v>
      </c>
      <c r="M197" s="43">
        <f>IF(tblCost[[#This Row],[TargetRequirements]]=0,0,tblCost[[#This Row],[CompletedRequirements]]/tblCost[[#This Row],[TargetRequirements]])</f>
        <v>0</v>
      </c>
    </row>
    <row r="198" spans="1:13">
      <c r="A198" s="41" t="s">
        <v>3846</v>
      </c>
      <c r="B198" s="41" t="str">
        <f>_xlfn.TEXTAFTER(_xlfn.TEXTBEFORE(tblCost[[#This Row],[RequirementID]],".",-2),"cost.")</f>
        <v>building.fermentory@5</v>
      </c>
      <c r="C198" s="41" t="str">
        <f>_xlfn.XLOOKUP(tblCost[[#This Row],[TargetID]],tblTargets[TargetID],tblTargets[DisplayName],"")</f>
        <v>Fermentory Lv 5</v>
      </c>
      <c r="D198" s="41" t="str">
        <f>_xlfn.XLOOKUP(tblCost[[#This Row],[TargetID]],tblTargets[TargetID],tblTargets[TargetType],"")</f>
        <v>BUILDING</v>
      </c>
      <c r="E198" s="41" t="s">
        <v>683</v>
      </c>
      <c r="F198" s="62" t="str">
        <f>RIGHT(tblCost[[#This Row],[RequirementID]],1)</f>
        <v>1</v>
      </c>
      <c r="G198" s="41">
        <v>24</v>
      </c>
      <c r="H198" t="b">
        <f>COUNTIFS(tblCostChecklist[RequirementID],tblCost[[#This Row],[RequirementID]],tblCostChecklist[PlayerPaid],TRUE)&gt;0</f>
        <v>0</v>
      </c>
      <c r="I198" s="41">
        <f>COUNTIF(tblCost[TargetID],tblCost[[#This Row],[TargetID]])</f>
        <v>8</v>
      </c>
      <c r="J198" s="41">
        <f>COUNTIFS(tblCost[TargetID],tblCost[[#This Row],[TargetID]],tblCost[PlayerPaid],TRUE)</f>
        <v>0</v>
      </c>
      <c r="K198" s="41">
        <f>tblCost[[#This Row],[TargetRequirements]]-tblCost[[#This Row],[CompletedRequirements]]</f>
        <v>8</v>
      </c>
      <c r="L198" s="41" t="b">
        <f>tblCost[[#This Row],[RemainingRequirements]]=0</f>
        <v>0</v>
      </c>
      <c r="M198" s="43">
        <f>IF(tblCost[[#This Row],[TargetRequirements]]=0,0,tblCost[[#This Row],[CompletedRequirements]]/tblCost[[#This Row],[TargetRequirements]])</f>
        <v>0</v>
      </c>
    </row>
    <row r="199" spans="1:13">
      <c r="A199" s="41" t="s">
        <v>3847</v>
      </c>
      <c r="B199" s="41" t="str">
        <f>_xlfn.TEXTAFTER(_xlfn.TEXTBEFORE(tblCost[[#This Row],[RequirementID]],".",-2),"cost.")</f>
        <v>building.fermentory@5</v>
      </c>
      <c r="C199" s="41" t="str">
        <f>_xlfn.XLOOKUP(tblCost[[#This Row],[TargetID]],tblTargets[TargetID],tblTargets[DisplayName],"")</f>
        <v>Fermentory Lv 5</v>
      </c>
      <c r="D199" s="41" t="str">
        <f>_xlfn.XLOOKUP(tblCost[[#This Row],[TargetID]],tblTargets[TargetID],tblTargets[TargetType],"")</f>
        <v>BUILDING</v>
      </c>
      <c r="E199" s="41" t="s">
        <v>677</v>
      </c>
      <c r="F199" s="62" t="str">
        <f>RIGHT(tblCost[[#This Row],[RequirementID]],1)</f>
        <v>1</v>
      </c>
      <c r="G199" s="41">
        <v>10</v>
      </c>
      <c r="H199" t="b">
        <f>COUNTIFS(tblCostChecklist[RequirementID],tblCost[[#This Row],[RequirementID]],tblCostChecklist[PlayerPaid],TRUE)&gt;0</f>
        <v>0</v>
      </c>
      <c r="I199" s="41">
        <f>COUNTIF(tblCost[TargetID],tblCost[[#This Row],[TargetID]])</f>
        <v>8</v>
      </c>
      <c r="J199" s="41">
        <f>COUNTIFS(tblCost[TargetID],tblCost[[#This Row],[TargetID]],tblCost[PlayerPaid],TRUE)</f>
        <v>0</v>
      </c>
      <c r="K199" s="41">
        <f>tblCost[[#This Row],[TargetRequirements]]-tblCost[[#This Row],[CompletedRequirements]]</f>
        <v>8</v>
      </c>
      <c r="L199" s="41" t="b">
        <f>tblCost[[#This Row],[RemainingRequirements]]=0</f>
        <v>0</v>
      </c>
      <c r="M199" s="43">
        <f>IF(tblCost[[#This Row],[TargetRequirements]]=0,0,tblCost[[#This Row],[CompletedRequirements]]/tblCost[[#This Row],[TargetRequirements]])</f>
        <v>0</v>
      </c>
    </row>
    <row r="200" spans="1:13">
      <c r="A200" s="41" t="s">
        <v>3848</v>
      </c>
      <c r="B200" s="41" t="str">
        <f>_xlfn.TEXTAFTER(_xlfn.TEXTBEFORE(tblCost[[#This Row],[RequirementID]],".",-2),"cost.")</f>
        <v>building.fermentory@6</v>
      </c>
      <c r="C200" s="41" t="str">
        <f>_xlfn.XLOOKUP(tblCost[[#This Row],[TargetID]],tblTargets[TargetID],tblTargets[DisplayName],"")</f>
        <v>Fermentory Lv 6</v>
      </c>
      <c r="D200" s="41" t="str">
        <f>_xlfn.XLOOKUP(tblCost[[#This Row],[TargetID]],tblTargets[TargetID],tblTargets[TargetType],"")</f>
        <v>BUILDING</v>
      </c>
      <c r="E200" s="41" t="s">
        <v>708</v>
      </c>
      <c r="F200" s="62" t="str">
        <f>RIGHT(tblCost[[#This Row],[RequirementID]],1)</f>
        <v>1</v>
      </c>
      <c r="G200" s="41">
        <v>10</v>
      </c>
      <c r="H200" t="b">
        <f>COUNTIFS(tblCostChecklist[RequirementID],tblCost[[#This Row],[RequirementID]],tblCostChecklist[PlayerPaid],TRUE)&gt;0</f>
        <v>0</v>
      </c>
      <c r="I200" s="41">
        <f>COUNTIF(tblCost[TargetID],tblCost[[#This Row],[TargetID]])</f>
        <v>9</v>
      </c>
      <c r="J200" s="41">
        <f>COUNTIFS(tblCost[TargetID],tblCost[[#This Row],[TargetID]],tblCost[PlayerPaid],TRUE)</f>
        <v>0</v>
      </c>
      <c r="K200" s="41">
        <f>tblCost[[#This Row],[TargetRequirements]]-tblCost[[#This Row],[CompletedRequirements]]</f>
        <v>9</v>
      </c>
      <c r="L200" s="41" t="b">
        <f>tblCost[[#This Row],[RemainingRequirements]]=0</f>
        <v>0</v>
      </c>
      <c r="M200" s="43">
        <f>IF(tblCost[[#This Row],[TargetRequirements]]=0,0,tblCost[[#This Row],[CompletedRequirements]]/tblCost[[#This Row],[TargetRequirements]])</f>
        <v>0</v>
      </c>
    </row>
    <row r="201" spans="1:13">
      <c r="A201" s="41" t="s">
        <v>3849</v>
      </c>
      <c r="B201" s="41" t="str">
        <f>_xlfn.TEXTAFTER(_xlfn.TEXTBEFORE(tblCost[[#This Row],[RequirementID]],".",-2),"cost.")</f>
        <v>building.fermentory@6</v>
      </c>
      <c r="C201" s="41" t="str">
        <f>_xlfn.XLOOKUP(tblCost[[#This Row],[TargetID]],tblTargets[TargetID],tblTargets[DisplayName],"")</f>
        <v>Fermentory Lv 6</v>
      </c>
      <c r="D201" s="41" t="str">
        <f>_xlfn.XLOOKUP(tblCost[[#This Row],[TargetID]],tblTargets[TargetID],tblTargets[TargetType],"")</f>
        <v>BUILDING</v>
      </c>
      <c r="E201" s="41" t="s">
        <v>666</v>
      </c>
      <c r="F201" s="62" t="str">
        <f>RIGHT(tblCost[[#This Row],[RequirementID]],1)</f>
        <v>1</v>
      </c>
      <c r="G201" s="41">
        <v>1000</v>
      </c>
      <c r="H201" t="b">
        <f>COUNTIFS(tblCostChecklist[RequirementID],tblCost[[#This Row],[RequirementID]],tblCostChecklist[PlayerPaid],TRUE)&gt;0</f>
        <v>0</v>
      </c>
      <c r="I201" s="41">
        <f>COUNTIF(tblCost[TargetID],tblCost[[#This Row],[TargetID]])</f>
        <v>9</v>
      </c>
      <c r="J201" s="41">
        <f>COUNTIFS(tblCost[TargetID],tblCost[[#This Row],[TargetID]],tblCost[PlayerPaid],TRUE)</f>
        <v>0</v>
      </c>
      <c r="K201" s="41">
        <f>tblCost[[#This Row],[TargetRequirements]]-tblCost[[#This Row],[CompletedRequirements]]</f>
        <v>9</v>
      </c>
      <c r="L201" s="41" t="b">
        <f>tblCost[[#This Row],[RemainingRequirements]]=0</f>
        <v>0</v>
      </c>
      <c r="M201" s="43">
        <f>IF(tblCost[[#This Row],[TargetRequirements]]=0,0,tblCost[[#This Row],[CompletedRequirements]]/tblCost[[#This Row],[TargetRequirements]])</f>
        <v>0</v>
      </c>
    </row>
    <row r="202" spans="1:13">
      <c r="A202" s="41" t="s">
        <v>3850</v>
      </c>
      <c r="B202" s="41" t="str">
        <f>_xlfn.TEXTAFTER(_xlfn.TEXTBEFORE(tblCost[[#This Row],[RequirementID]],".",-2),"cost.")</f>
        <v>building.fermentory@6</v>
      </c>
      <c r="C202" s="41" t="str">
        <f>_xlfn.XLOOKUP(tblCost[[#This Row],[TargetID]],tblTargets[TargetID],tblTargets[DisplayName],"")</f>
        <v>Fermentory Lv 6</v>
      </c>
      <c r="D202" s="41" t="str">
        <f>_xlfn.XLOOKUP(tblCost[[#This Row],[TargetID]],tblTargets[TargetID],tblTargets[TargetType],"")</f>
        <v>BUILDING</v>
      </c>
      <c r="E202" s="41" t="s">
        <v>701</v>
      </c>
      <c r="F202" s="62" t="str">
        <f>RIGHT(tblCost[[#This Row],[RequirementID]],1)</f>
        <v>1</v>
      </c>
      <c r="G202" s="41">
        <v>900</v>
      </c>
      <c r="H202" t="b">
        <f>COUNTIFS(tblCostChecklist[RequirementID],tblCost[[#This Row],[RequirementID]],tblCostChecklist[PlayerPaid],TRUE)&gt;0</f>
        <v>0</v>
      </c>
      <c r="I202" s="41">
        <f>COUNTIF(tblCost[TargetID],tblCost[[#This Row],[TargetID]])</f>
        <v>9</v>
      </c>
      <c r="J202" s="41">
        <f>COUNTIFS(tblCost[TargetID],tblCost[[#This Row],[TargetID]],tblCost[PlayerPaid],TRUE)</f>
        <v>0</v>
      </c>
      <c r="K202" s="41">
        <f>tblCost[[#This Row],[TargetRequirements]]-tblCost[[#This Row],[CompletedRequirements]]</f>
        <v>9</v>
      </c>
      <c r="L202" s="41" t="b">
        <f>tblCost[[#This Row],[RemainingRequirements]]=0</f>
        <v>0</v>
      </c>
      <c r="M202" s="43">
        <f>IF(tblCost[[#This Row],[TargetRequirements]]=0,0,tblCost[[#This Row],[CompletedRequirements]]/tblCost[[#This Row],[TargetRequirements]])</f>
        <v>0</v>
      </c>
    </row>
    <row r="203" spans="1:13">
      <c r="A203" s="41" t="s">
        <v>3851</v>
      </c>
      <c r="B203" s="41" t="str">
        <f>_xlfn.TEXTAFTER(_xlfn.TEXTBEFORE(tblCost[[#This Row],[RequirementID]],".",-2),"cost.")</f>
        <v>building.fermentory@6</v>
      </c>
      <c r="C203" s="41" t="str">
        <f>_xlfn.XLOOKUP(tblCost[[#This Row],[TargetID]],tblTargets[TargetID],tblTargets[DisplayName],"")</f>
        <v>Fermentory Lv 6</v>
      </c>
      <c r="D203" s="41" t="str">
        <f>_xlfn.XLOOKUP(tblCost[[#This Row],[TargetID]],tblTargets[TargetID],tblTargets[TargetType],"")</f>
        <v>BUILDING</v>
      </c>
      <c r="E203" s="41" t="s">
        <v>717</v>
      </c>
      <c r="F203" s="62" t="str">
        <f>RIGHT(tblCost[[#This Row],[RequirementID]],1)</f>
        <v>1</v>
      </c>
      <c r="G203" s="41">
        <v>500</v>
      </c>
      <c r="H203" t="b">
        <f>COUNTIFS(tblCostChecklist[RequirementID],tblCost[[#This Row],[RequirementID]],tblCostChecklist[PlayerPaid],TRUE)&gt;0</f>
        <v>0</v>
      </c>
      <c r="I203" s="41">
        <f>COUNTIF(tblCost[TargetID],tblCost[[#This Row],[TargetID]])</f>
        <v>9</v>
      </c>
      <c r="J203" s="41">
        <f>COUNTIFS(tblCost[TargetID],tblCost[[#This Row],[TargetID]],tblCost[PlayerPaid],TRUE)</f>
        <v>0</v>
      </c>
      <c r="K203" s="41">
        <f>tblCost[[#This Row],[TargetRequirements]]-tblCost[[#This Row],[CompletedRequirements]]</f>
        <v>9</v>
      </c>
      <c r="L203" s="41" t="b">
        <f>tblCost[[#This Row],[RemainingRequirements]]=0</f>
        <v>0</v>
      </c>
      <c r="M203" s="43">
        <f>IF(tblCost[[#This Row],[TargetRequirements]]=0,0,tblCost[[#This Row],[CompletedRequirements]]/tblCost[[#This Row],[TargetRequirements]])</f>
        <v>0</v>
      </c>
    </row>
    <row r="204" spans="1:13">
      <c r="A204" s="41" t="s">
        <v>3852</v>
      </c>
      <c r="B204" s="41" t="str">
        <f>_xlfn.TEXTAFTER(_xlfn.TEXTBEFORE(tblCost[[#This Row],[RequirementID]],".",-2),"cost.")</f>
        <v>building.fermentory@6</v>
      </c>
      <c r="C204" s="41" t="str">
        <f>_xlfn.XLOOKUP(tblCost[[#This Row],[TargetID]],tblTargets[TargetID],tblTargets[DisplayName],"")</f>
        <v>Fermentory Lv 6</v>
      </c>
      <c r="D204" s="41" t="str">
        <f>_xlfn.XLOOKUP(tblCost[[#This Row],[TargetID]],tblTargets[TargetID],tblTargets[TargetType],"")</f>
        <v>BUILDING</v>
      </c>
      <c r="E204" s="41" t="s">
        <v>697</v>
      </c>
      <c r="F204" s="62" t="str">
        <f>RIGHT(tblCost[[#This Row],[RequirementID]],1)</f>
        <v>1</v>
      </c>
      <c r="G204" s="41">
        <v>40</v>
      </c>
      <c r="H204" t="b">
        <f>COUNTIFS(tblCostChecklist[RequirementID],tblCost[[#This Row],[RequirementID]],tblCostChecklist[PlayerPaid],TRUE)&gt;0</f>
        <v>0</v>
      </c>
      <c r="I204" s="41">
        <f>COUNTIF(tblCost[TargetID],tblCost[[#This Row],[TargetID]])</f>
        <v>9</v>
      </c>
      <c r="J204" s="41">
        <f>COUNTIFS(tblCost[TargetID],tblCost[[#This Row],[TargetID]],tblCost[PlayerPaid],TRUE)</f>
        <v>0</v>
      </c>
      <c r="K204" s="41">
        <f>tblCost[[#This Row],[TargetRequirements]]-tblCost[[#This Row],[CompletedRequirements]]</f>
        <v>9</v>
      </c>
      <c r="L204" s="41" t="b">
        <f>tblCost[[#This Row],[RemainingRequirements]]=0</f>
        <v>0</v>
      </c>
      <c r="M204" s="43">
        <f>IF(tblCost[[#This Row],[TargetRequirements]]=0,0,tblCost[[#This Row],[CompletedRequirements]]/tblCost[[#This Row],[TargetRequirements]])</f>
        <v>0</v>
      </c>
    </row>
    <row r="205" spans="1:13">
      <c r="A205" s="41" t="s">
        <v>3853</v>
      </c>
      <c r="B205" s="41" t="str">
        <f>_xlfn.TEXTAFTER(_xlfn.TEXTBEFORE(tblCost[[#This Row],[RequirementID]],".",-2),"cost.")</f>
        <v>building.fermentory@6</v>
      </c>
      <c r="C205" s="41" t="str">
        <f>_xlfn.XLOOKUP(tblCost[[#This Row],[TargetID]],tblTargets[TargetID],tblTargets[DisplayName],"")</f>
        <v>Fermentory Lv 6</v>
      </c>
      <c r="D205" s="41" t="str">
        <f>_xlfn.XLOOKUP(tblCost[[#This Row],[TargetID]],tblTargets[TargetID],tblTargets[TargetType],"")</f>
        <v>BUILDING</v>
      </c>
      <c r="E205" s="41" t="s">
        <v>674</v>
      </c>
      <c r="F205" s="62" t="str">
        <f>RIGHT(tblCost[[#This Row],[RequirementID]],1)</f>
        <v>1</v>
      </c>
      <c r="G205" s="41">
        <v>30</v>
      </c>
      <c r="H205" t="b">
        <f>COUNTIFS(tblCostChecklist[RequirementID],tblCost[[#This Row],[RequirementID]],tblCostChecklist[PlayerPaid],TRUE)&gt;0</f>
        <v>0</v>
      </c>
      <c r="I205" s="41">
        <f>COUNTIF(tblCost[TargetID],tblCost[[#This Row],[TargetID]])</f>
        <v>9</v>
      </c>
      <c r="J205" s="41">
        <f>COUNTIFS(tblCost[TargetID],tblCost[[#This Row],[TargetID]],tblCost[PlayerPaid],TRUE)</f>
        <v>0</v>
      </c>
      <c r="K205" s="41">
        <f>tblCost[[#This Row],[TargetRequirements]]-tblCost[[#This Row],[CompletedRequirements]]</f>
        <v>9</v>
      </c>
      <c r="L205" s="41" t="b">
        <f>tblCost[[#This Row],[RemainingRequirements]]=0</f>
        <v>0</v>
      </c>
      <c r="M205" s="43">
        <f>IF(tblCost[[#This Row],[TargetRequirements]]=0,0,tblCost[[#This Row],[CompletedRequirements]]/tblCost[[#This Row],[TargetRequirements]])</f>
        <v>0</v>
      </c>
    </row>
    <row r="206" spans="1:13">
      <c r="A206" s="41" t="s">
        <v>3854</v>
      </c>
      <c r="B206" s="41" t="str">
        <f>_xlfn.TEXTAFTER(_xlfn.TEXTBEFORE(tblCost[[#This Row],[RequirementID]],".",-2),"cost.")</f>
        <v>building.fermentory@6</v>
      </c>
      <c r="C206" s="41" t="str">
        <f>_xlfn.XLOOKUP(tblCost[[#This Row],[TargetID]],tblTargets[TargetID],tblTargets[DisplayName],"")</f>
        <v>Fermentory Lv 6</v>
      </c>
      <c r="D206" s="41" t="str">
        <f>_xlfn.XLOOKUP(tblCost[[#This Row],[TargetID]],tblTargets[TargetID],tblTargets[TargetType],"")</f>
        <v>BUILDING</v>
      </c>
      <c r="E206" s="41" t="s">
        <v>683</v>
      </c>
      <c r="F206" s="62" t="str">
        <f>RIGHT(tblCost[[#This Row],[RequirementID]],1)</f>
        <v>1</v>
      </c>
      <c r="G206" s="41">
        <v>24</v>
      </c>
      <c r="H206" t="b">
        <f>COUNTIFS(tblCostChecklist[RequirementID],tblCost[[#This Row],[RequirementID]],tblCostChecklist[PlayerPaid],TRUE)&gt;0</f>
        <v>0</v>
      </c>
      <c r="I206" s="41">
        <f>COUNTIF(tblCost[TargetID],tblCost[[#This Row],[TargetID]])</f>
        <v>9</v>
      </c>
      <c r="J206" s="41">
        <f>COUNTIFS(tblCost[TargetID],tblCost[[#This Row],[TargetID]],tblCost[PlayerPaid],TRUE)</f>
        <v>0</v>
      </c>
      <c r="K206" s="41">
        <f>tblCost[[#This Row],[TargetRequirements]]-tblCost[[#This Row],[CompletedRequirements]]</f>
        <v>9</v>
      </c>
      <c r="L206" s="41" t="b">
        <f>tblCost[[#This Row],[RemainingRequirements]]=0</f>
        <v>0</v>
      </c>
      <c r="M206" s="43">
        <f>IF(tblCost[[#This Row],[TargetRequirements]]=0,0,tblCost[[#This Row],[CompletedRequirements]]/tblCost[[#This Row],[TargetRequirements]])</f>
        <v>0</v>
      </c>
    </row>
    <row r="207" spans="1:13">
      <c r="A207" s="41" t="s">
        <v>3855</v>
      </c>
      <c r="B207" s="41" t="str">
        <f>_xlfn.TEXTAFTER(_xlfn.TEXTBEFORE(tblCost[[#This Row],[RequirementID]],".",-2),"cost.")</f>
        <v>building.fermentory@6</v>
      </c>
      <c r="C207" s="41" t="str">
        <f>_xlfn.XLOOKUP(tblCost[[#This Row],[TargetID]],tblTargets[TargetID],tblTargets[DisplayName],"")</f>
        <v>Fermentory Lv 6</v>
      </c>
      <c r="D207" s="41" t="str">
        <f>_xlfn.XLOOKUP(tblCost[[#This Row],[TargetID]],tblTargets[TargetID],tblTargets[TargetType],"")</f>
        <v>BUILDING</v>
      </c>
      <c r="E207" s="41" t="s">
        <v>670</v>
      </c>
      <c r="F207" s="62" t="str">
        <f>RIGHT(tblCost[[#This Row],[RequirementID]],1)</f>
        <v>1</v>
      </c>
      <c r="G207" s="41">
        <v>10</v>
      </c>
      <c r="H207" t="b">
        <f>COUNTIFS(tblCostChecklist[RequirementID],tblCost[[#This Row],[RequirementID]],tblCostChecklist[PlayerPaid],TRUE)&gt;0</f>
        <v>0</v>
      </c>
      <c r="I207" s="41">
        <f>COUNTIF(tblCost[TargetID],tblCost[[#This Row],[TargetID]])</f>
        <v>9</v>
      </c>
      <c r="J207" s="41">
        <f>COUNTIFS(tblCost[TargetID],tblCost[[#This Row],[TargetID]],tblCost[PlayerPaid],TRUE)</f>
        <v>0</v>
      </c>
      <c r="K207" s="41">
        <f>tblCost[[#This Row],[TargetRequirements]]-tblCost[[#This Row],[CompletedRequirements]]</f>
        <v>9</v>
      </c>
      <c r="L207" s="41" t="b">
        <f>tblCost[[#This Row],[RemainingRequirements]]=0</f>
        <v>0</v>
      </c>
      <c r="M207" s="43">
        <f>IF(tblCost[[#This Row],[TargetRequirements]]=0,0,tblCost[[#This Row],[CompletedRequirements]]/tblCost[[#This Row],[TargetRequirements]])</f>
        <v>0</v>
      </c>
    </row>
    <row r="208" spans="1:13">
      <c r="A208" s="41" t="s">
        <v>3856</v>
      </c>
      <c r="B208" s="41" t="str">
        <f>_xlfn.TEXTAFTER(_xlfn.TEXTBEFORE(tblCost[[#This Row],[RequirementID]],".",-2),"cost.")</f>
        <v>building.fermentory@6</v>
      </c>
      <c r="C208" s="41" t="str">
        <f>_xlfn.XLOOKUP(tblCost[[#This Row],[TargetID]],tblTargets[TargetID],tblTargets[DisplayName],"")</f>
        <v>Fermentory Lv 6</v>
      </c>
      <c r="D208" s="41" t="str">
        <f>_xlfn.XLOOKUP(tblCost[[#This Row],[TargetID]],tblTargets[TargetID],tblTargets[TargetType],"")</f>
        <v>BUILDING</v>
      </c>
      <c r="E208" s="41" t="s">
        <v>677</v>
      </c>
      <c r="F208" s="62" t="str">
        <f>RIGHT(tblCost[[#This Row],[RequirementID]],1)</f>
        <v>1</v>
      </c>
      <c r="G208" s="41">
        <v>10</v>
      </c>
      <c r="H208" t="b">
        <f>COUNTIFS(tblCostChecklist[RequirementID],tblCost[[#This Row],[RequirementID]],tblCostChecklist[PlayerPaid],TRUE)&gt;0</f>
        <v>0</v>
      </c>
      <c r="I208" s="41">
        <f>COUNTIF(tblCost[TargetID],tblCost[[#This Row],[TargetID]])</f>
        <v>9</v>
      </c>
      <c r="J208" s="41">
        <f>COUNTIFS(tblCost[TargetID],tblCost[[#This Row],[TargetID]],tblCost[PlayerPaid],TRUE)</f>
        <v>0</v>
      </c>
      <c r="K208" s="41">
        <f>tblCost[[#This Row],[TargetRequirements]]-tblCost[[#This Row],[CompletedRequirements]]</f>
        <v>9</v>
      </c>
      <c r="L208" s="41" t="b">
        <f>tblCost[[#This Row],[RemainingRequirements]]=0</f>
        <v>0</v>
      </c>
      <c r="M208" s="43">
        <f>IF(tblCost[[#This Row],[TargetRequirements]]=0,0,tblCost[[#This Row],[CompletedRequirements]]/tblCost[[#This Row],[TargetRequirements]])</f>
        <v>0</v>
      </c>
    </row>
    <row r="209" spans="1:13">
      <c r="A209" s="41" t="s">
        <v>3857</v>
      </c>
      <c r="B209" s="41" t="str">
        <f>_xlfn.TEXTAFTER(_xlfn.TEXTBEFORE(tblCost[[#This Row],[RequirementID]],".",-2),"cost.")</f>
        <v>building.field@1</v>
      </c>
      <c r="C209" s="41" t="str">
        <f>_xlfn.XLOOKUP(tblCost[[#This Row],[TargetID]],tblTargets[TargetID],tblTargets[DisplayName],"")</f>
        <v>Field Lv 1</v>
      </c>
      <c r="D209" s="41" t="str">
        <f>_xlfn.XLOOKUP(tblCost[[#This Row],[TargetID]],tblTargets[TargetID],tblTargets[TargetType],"")</f>
        <v>BUILDING</v>
      </c>
      <c r="E209" s="41" t="s">
        <v>708</v>
      </c>
      <c r="F209" s="62" t="str">
        <f>RIGHT(tblCost[[#This Row],[RequirementID]],1)</f>
        <v>1</v>
      </c>
      <c r="G209" s="41">
        <v>1</v>
      </c>
      <c r="H209" t="b">
        <f>COUNTIFS(tblCostChecklist[RequirementID],tblCost[[#This Row],[RequirementID]],tblCostChecklist[PlayerPaid],TRUE)&gt;0</f>
        <v>0</v>
      </c>
      <c r="I209" s="41">
        <f>COUNTIF(tblCost[TargetID],tblCost[[#This Row],[TargetID]])</f>
        <v>4</v>
      </c>
      <c r="J209" s="41">
        <f>COUNTIFS(tblCost[TargetID],tblCost[[#This Row],[TargetID]],tblCost[PlayerPaid],TRUE)</f>
        <v>0</v>
      </c>
      <c r="K209" s="41">
        <f>tblCost[[#This Row],[TargetRequirements]]-tblCost[[#This Row],[CompletedRequirements]]</f>
        <v>4</v>
      </c>
      <c r="L209" s="41" t="b">
        <f>tblCost[[#This Row],[RemainingRequirements]]=0</f>
        <v>0</v>
      </c>
      <c r="M209" s="43">
        <f>IF(tblCost[[#This Row],[TargetRequirements]]=0,0,tblCost[[#This Row],[CompletedRequirements]]/tblCost[[#This Row],[TargetRequirements]])</f>
        <v>0</v>
      </c>
    </row>
    <row r="210" spans="1:13">
      <c r="A210" s="41" t="s">
        <v>3858</v>
      </c>
      <c r="B210" s="41" t="str">
        <f>_xlfn.TEXTAFTER(_xlfn.TEXTBEFORE(tblCost[[#This Row],[RequirementID]],".",-2),"cost.")</f>
        <v>building.field@1</v>
      </c>
      <c r="C210" s="41" t="str">
        <f>_xlfn.XLOOKUP(tblCost[[#This Row],[TargetID]],tblTargets[TargetID],tblTargets[DisplayName],"")</f>
        <v>Field Lv 1</v>
      </c>
      <c r="D210" s="41" t="str">
        <f>_xlfn.XLOOKUP(tblCost[[#This Row],[TargetID]],tblTargets[TargetID],tblTargets[TargetType],"")</f>
        <v>BUILDING</v>
      </c>
      <c r="E210" s="41" t="s">
        <v>666</v>
      </c>
      <c r="F210" s="62" t="str">
        <f>RIGHT(tblCost[[#This Row],[RequirementID]],1)</f>
        <v>1</v>
      </c>
      <c r="G210" s="41">
        <v>200</v>
      </c>
      <c r="H210" t="b">
        <f>COUNTIFS(tblCostChecklist[RequirementID],tblCost[[#This Row],[RequirementID]],tblCostChecklist[PlayerPaid],TRUE)&gt;0</f>
        <v>0</v>
      </c>
      <c r="I210" s="41">
        <f>COUNTIF(tblCost[TargetID],tblCost[[#This Row],[TargetID]])</f>
        <v>4</v>
      </c>
      <c r="J210" s="41">
        <f>COUNTIFS(tblCost[TargetID],tblCost[[#This Row],[TargetID]],tblCost[PlayerPaid],TRUE)</f>
        <v>0</v>
      </c>
      <c r="K210" s="41">
        <f>tblCost[[#This Row],[TargetRequirements]]-tblCost[[#This Row],[CompletedRequirements]]</f>
        <v>4</v>
      </c>
      <c r="L210" s="41" t="b">
        <f>tblCost[[#This Row],[RemainingRequirements]]=0</f>
        <v>0</v>
      </c>
      <c r="M210" s="43">
        <f>IF(tblCost[[#This Row],[TargetRequirements]]=0,0,tblCost[[#This Row],[CompletedRequirements]]/tblCost[[#This Row],[TargetRequirements]])</f>
        <v>0</v>
      </c>
    </row>
    <row r="211" spans="1:13">
      <c r="A211" s="41" t="s">
        <v>3859</v>
      </c>
      <c r="B211" s="41" t="str">
        <f>_xlfn.TEXTAFTER(_xlfn.TEXTBEFORE(tblCost[[#This Row],[RequirementID]],".",-2),"cost.")</f>
        <v>building.field@1</v>
      </c>
      <c r="C211" s="41" t="str">
        <f>_xlfn.XLOOKUP(tblCost[[#This Row],[TargetID]],tblTargets[TargetID],tblTargets[DisplayName],"")</f>
        <v>Field Lv 1</v>
      </c>
      <c r="D211" s="41" t="str">
        <f>_xlfn.XLOOKUP(tblCost[[#This Row],[TargetID]],tblTargets[TargetID],tblTargets[TargetType],"")</f>
        <v>BUILDING</v>
      </c>
      <c r="E211" s="41" t="s">
        <v>723</v>
      </c>
      <c r="F211" s="62" t="str">
        <f>RIGHT(tblCost[[#This Row],[RequirementID]],1)</f>
        <v>1</v>
      </c>
      <c r="G211" s="41">
        <v>100</v>
      </c>
      <c r="H211" t="b">
        <f>COUNTIFS(tblCostChecklist[RequirementID],tblCost[[#This Row],[RequirementID]],tblCostChecklist[PlayerPaid],TRUE)&gt;0</f>
        <v>0</v>
      </c>
      <c r="I211" s="41">
        <f>COUNTIF(tblCost[TargetID],tblCost[[#This Row],[TargetID]])</f>
        <v>4</v>
      </c>
      <c r="J211" s="41">
        <f>COUNTIFS(tblCost[TargetID],tblCost[[#This Row],[TargetID]],tblCost[PlayerPaid],TRUE)</f>
        <v>0</v>
      </c>
      <c r="K211" s="41">
        <f>tblCost[[#This Row],[TargetRequirements]]-tblCost[[#This Row],[CompletedRequirements]]</f>
        <v>4</v>
      </c>
      <c r="L211" s="41" t="b">
        <f>tblCost[[#This Row],[RemainingRequirements]]=0</f>
        <v>0</v>
      </c>
      <c r="M211" s="43">
        <f>IF(tblCost[[#This Row],[TargetRequirements]]=0,0,tblCost[[#This Row],[CompletedRequirements]]/tblCost[[#This Row],[TargetRequirements]])</f>
        <v>0</v>
      </c>
    </row>
    <row r="212" spans="1:13">
      <c r="A212" s="41" t="s">
        <v>3860</v>
      </c>
      <c r="B212" s="41" t="str">
        <f>_xlfn.TEXTAFTER(_xlfn.TEXTBEFORE(tblCost[[#This Row],[RequirementID]],".",-2),"cost.")</f>
        <v>building.field@1</v>
      </c>
      <c r="C212" s="41" t="str">
        <f>_xlfn.XLOOKUP(tblCost[[#This Row],[TargetID]],tblTargets[TargetID],tblTargets[DisplayName],"")</f>
        <v>Field Lv 1</v>
      </c>
      <c r="D212" s="41" t="str">
        <f>_xlfn.XLOOKUP(tblCost[[#This Row],[TargetID]],tblTargets[TargetID],tblTargets[TargetType],"")</f>
        <v>BUILDING</v>
      </c>
      <c r="E212" s="41" t="s">
        <v>664</v>
      </c>
      <c r="F212" s="62" t="str">
        <f>RIGHT(tblCost[[#This Row],[RequirementID]],1)</f>
        <v>1</v>
      </c>
      <c r="G212" s="41">
        <v>20</v>
      </c>
      <c r="H212" t="b">
        <f>COUNTIFS(tblCostChecklist[RequirementID],tblCost[[#This Row],[RequirementID]],tblCostChecklist[PlayerPaid],TRUE)&gt;0</f>
        <v>0</v>
      </c>
      <c r="I212" s="41">
        <f>COUNTIF(tblCost[TargetID],tblCost[[#This Row],[TargetID]])</f>
        <v>4</v>
      </c>
      <c r="J212" s="41">
        <f>COUNTIFS(tblCost[TargetID],tblCost[[#This Row],[TargetID]],tblCost[PlayerPaid],TRUE)</f>
        <v>0</v>
      </c>
      <c r="K212" s="41">
        <f>tblCost[[#This Row],[TargetRequirements]]-tblCost[[#This Row],[CompletedRequirements]]</f>
        <v>4</v>
      </c>
      <c r="L212" s="41" t="b">
        <f>tblCost[[#This Row],[RemainingRequirements]]=0</f>
        <v>0</v>
      </c>
      <c r="M212" s="43">
        <f>IF(tblCost[[#This Row],[TargetRequirements]]=0,0,tblCost[[#This Row],[CompletedRequirements]]/tblCost[[#This Row],[TargetRequirements]])</f>
        <v>0</v>
      </c>
    </row>
    <row r="213" spans="1:13">
      <c r="A213" s="41" t="s">
        <v>3861</v>
      </c>
      <c r="B213" s="41" t="str">
        <f>_xlfn.TEXTAFTER(_xlfn.TEXTBEFORE(tblCost[[#This Row],[RequirementID]],".",-2),"cost.")</f>
        <v>building.field@2</v>
      </c>
      <c r="C213" s="41" t="str">
        <f>_xlfn.XLOOKUP(tblCost[[#This Row],[TargetID]],tblTargets[TargetID],tblTargets[DisplayName],"")</f>
        <v>Field Lv 2</v>
      </c>
      <c r="D213" s="41" t="str">
        <f>_xlfn.XLOOKUP(tblCost[[#This Row],[TargetID]],tblTargets[TargetID],tblTargets[TargetType],"")</f>
        <v>BUILDING</v>
      </c>
      <c r="E213" s="41" t="s">
        <v>708</v>
      </c>
      <c r="F213" s="62" t="str">
        <f>RIGHT(tblCost[[#This Row],[RequirementID]],1)</f>
        <v>1</v>
      </c>
      <c r="G213" s="41">
        <v>3</v>
      </c>
      <c r="H213" t="b">
        <f>COUNTIFS(tblCostChecklist[RequirementID],tblCost[[#This Row],[RequirementID]],tblCostChecklist[PlayerPaid],TRUE)&gt;0</f>
        <v>0</v>
      </c>
      <c r="I213" s="41">
        <f>COUNTIF(tblCost[TargetID],tblCost[[#This Row],[TargetID]])</f>
        <v>5</v>
      </c>
      <c r="J213" s="41">
        <f>COUNTIFS(tblCost[TargetID],tblCost[[#This Row],[TargetID]],tblCost[PlayerPaid],TRUE)</f>
        <v>0</v>
      </c>
      <c r="K213" s="41">
        <f>tblCost[[#This Row],[TargetRequirements]]-tblCost[[#This Row],[CompletedRequirements]]</f>
        <v>5</v>
      </c>
      <c r="L213" s="41" t="b">
        <f>tblCost[[#This Row],[RemainingRequirements]]=0</f>
        <v>0</v>
      </c>
      <c r="M213" s="43">
        <f>IF(tblCost[[#This Row],[TargetRequirements]]=0,0,tblCost[[#This Row],[CompletedRequirements]]/tblCost[[#This Row],[TargetRequirements]])</f>
        <v>0</v>
      </c>
    </row>
    <row r="214" spans="1:13">
      <c r="A214" s="41" t="s">
        <v>3862</v>
      </c>
      <c r="B214" s="41" t="str">
        <f>_xlfn.TEXTAFTER(_xlfn.TEXTBEFORE(tblCost[[#This Row],[RequirementID]],".",-2),"cost.")</f>
        <v>building.field@2</v>
      </c>
      <c r="C214" s="41" t="str">
        <f>_xlfn.XLOOKUP(tblCost[[#This Row],[TargetID]],tblTargets[TargetID],tblTargets[DisplayName],"")</f>
        <v>Field Lv 2</v>
      </c>
      <c r="D214" s="41" t="str">
        <f>_xlfn.XLOOKUP(tblCost[[#This Row],[TargetID]],tblTargets[TargetID],tblTargets[TargetType],"")</f>
        <v>BUILDING</v>
      </c>
      <c r="E214" s="41" t="s">
        <v>666</v>
      </c>
      <c r="F214" s="62" t="str">
        <f>RIGHT(tblCost[[#This Row],[RequirementID]],1)</f>
        <v>1</v>
      </c>
      <c r="G214" s="41">
        <v>300</v>
      </c>
      <c r="H214" t="b">
        <f>COUNTIFS(tblCostChecklist[RequirementID],tblCost[[#This Row],[RequirementID]],tblCostChecklist[PlayerPaid],TRUE)&gt;0</f>
        <v>0</v>
      </c>
      <c r="I214" s="41">
        <f>COUNTIF(tblCost[TargetID],tblCost[[#This Row],[TargetID]])</f>
        <v>5</v>
      </c>
      <c r="J214" s="41">
        <f>COUNTIFS(tblCost[TargetID],tblCost[[#This Row],[TargetID]],tblCost[PlayerPaid],TRUE)</f>
        <v>0</v>
      </c>
      <c r="K214" s="41">
        <f>tblCost[[#This Row],[TargetRequirements]]-tblCost[[#This Row],[CompletedRequirements]]</f>
        <v>5</v>
      </c>
      <c r="L214" s="41" t="b">
        <f>tblCost[[#This Row],[RemainingRequirements]]=0</f>
        <v>0</v>
      </c>
      <c r="M214" s="43">
        <f>IF(tblCost[[#This Row],[TargetRequirements]]=0,0,tblCost[[#This Row],[CompletedRequirements]]/tblCost[[#This Row],[TargetRequirements]])</f>
        <v>0</v>
      </c>
    </row>
    <row r="215" spans="1:13">
      <c r="A215" s="41" t="s">
        <v>3863</v>
      </c>
      <c r="B215" s="41" t="str">
        <f>_xlfn.TEXTAFTER(_xlfn.TEXTBEFORE(tblCost[[#This Row],[RequirementID]],".",-2),"cost.")</f>
        <v>building.field@2</v>
      </c>
      <c r="C215" s="41" t="str">
        <f>_xlfn.XLOOKUP(tblCost[[#This Row],[TargetID]],tblTargets[TargetID],tblTargets[DisplayName],"")</f>
        <v>Field Lv 2</v>
      </c>
      <c r="D215" s="41" t="str">
        <f>_xlfn.XLOOKUP(tblCost[[#This Row],[TargetID]],tblTargets[TargetID],tblTargets[TargetType],"")</f>
        <v>BUILDING</v>
      </c>
      <c r="E215" s="41" t="s">
        <v>723</v>
      </c>
      <c r="F215" s="62" t="str">
        <f>RIGHT(tblCost[[#This Row],[RequirementID]],1)</f>
        <v>1</v>
      </c>
      <c r="G215" s="41">
        <v>100</v>
      </c>
      <c r="H215" t="b">
        <f>COUNTIFS(tblCostChecklist[RequirementID],tblCost[[#This Row],[RequirementID]],tblCostChecklist[PlayerPaid],TRUE)&gt;0</f>
        <v>0</v>
      </c>
      <c r="I215" s="41">
        <f>COUNTIF(tblCost[TargetID],tblCost[[#This Row],[TargetID]])</f>
        <v>5</v>
      </c>
      <c r="J215" s="41">
        <f>COUNTIFS(tblCost[TargetID],tblCost[[#This Row],[TargetID]],tblCost[PlayerPaid],TRUE)</f>
        <v>0</v>
      </c>
      <c r="K215" s="41">
        <f>tblCost[[#This Row],[TargetRequirements]]-tblCost[[#This Row],[CompletedRequirements]]</f>
        <v>5</v>
      </c>
      <c r="L215" s="41" t="b">
        <f>tblCost[[#This Row],[RemainingRequirements]]=0</f>
        <v>0</v>
      </c>
      <c r="M215" s="43">
        <f>IF(tblCost[[#This Row],[TargetRequirements]]=0,0,tblCost[[#This Row],[CompletedRequirements]]/tblCost[[#This Row],[TargetRequirements]])</f>
        <v>0</v>
      </c>
    </row>
    <row r="216" spans="1:13">
      <c r="A216" s="41" t="s">
        <v>3864</v>
      </c>
      <c r="B216" s="41" t="str">
        <f>_xlfn.TEXTAFTER(_xlfn.TEXTBEFORE(tblCost[[#This Row],[RequirementID]],".",-2),"cost.")</f>
        <v>building.field@2</v>
      </c>
      <c r="C216" s="41" t="str">
        <f>_xlfn.XLOOKUP(tblCost[[#This Row],[TargetID]],tblTargets[TargetID],tblTargets[DisplayName],"")</f>
        <v>Field Lv 2</v>
      </c>
      <c r="D216" s="41" t="str">
        <f>_xlfn.XLOOKUP(tblCost[[#This Row],[TargetID]],tblTargets[TargetID],tblTargets[TargetType],"")</f>
        <v>BUILDING</v>
      </c>
      <c r="E216" s="41" t="s">
        <v>664</v>
      </c>
      <c r="F216" s="62" t="str">
        <f>RIGHT(tblCost[[#This Row],[RequirementID]],1)</f>
        <v>1</v>
      </c>
      <c r="G216" s="41">
        <v>50</v>
      </c>
      <c r="H216" t="b">
        <f>COUNTIFS(tblCostChecklist[RequirementID],tblCost[[#This Row],[RequirementID]],tblCostChecklist[PlayerPaid],TRUE)&gt;0</f>
        <v>0</v>
      </c>
      <c r="I216" s="41">
        <f>COUNTIF(tblCost[TargetID],tblCost[[#This Row],[TargetID]])</f>
        <v>5</v>
      </c>
      <c r="J216" s="41">
        <f>COUNTIFS(tblCost[TargetID],tblCost[[#This Row],[TargetID]],tblCost[PlayerPaid],TRUE)</f>
        <v>0</v>
      </c>
      <c r="K216" s="41">
        <f>tblCost[[#This Row],[TargetRequirements]]-tblCost[[#This Row],[CompletedRequirements]]</f>
        <v>5</v>
      </c>
      <c r="L216" s="41" t="b">
        <f>tblCost[[#This Row],[RemainingRequirements]]=0</f>
        <v>0</v>
      </c>
      <c r="M216" s="43">
        <f>IF(tblCost[[#This Row],[TargetRequirements]]=0,0,tblCost[[#This Row],[CompletedRequirements]]/tblCost[[#This Row],[TargetRequirements]])</f>
        <v>0</v>
      </c>
    </row>
    <row r="217" spans="1:13">
      <c r="A217" s="41" t="s">
        <v>3865</v>
      </c>
      <c r="B217" s="41" t="str">
        <f>_xlfn.TEXTAFTER(_xlfn.TEXTBEFORE(tblCost[[#This Row],[RequirementID]],".",-2),"cost.")</f>
        <v>building.field@2</v>
      </c>
      <c r="C217" s="41" t="str">
        <f>_xlfn.XLOOKUP(tblCost[[#This Row],[TargetID]],tblTargets[TargetID],tblTargets[DisplayName],"")</f>
        <v>Field Lv 2</v>
      </c>
      <c r="D217" s="41" t="str">
        <f>_xlfn.XLOOKUP(tblCost[[#This Row],[TargetID]],tblTargets[TargetID],tblTargets[TargetType],"")</f>
        <v>BUILDING</v>
      </c>
      <c r="E217" s="41" t="s">
        <v>716</v>
      </c>
      <c r="F217" s="62" t="str">
        <f>RIGHT(tblCost[[#This Row],[RequirementID]],1)</f>
        <v>1</v>
      </c>
      <c r="G217" s="41">
        <v>20</v>
      </c>
      <c r="H217" t="b">
        <f>COUNTIFS(tblCostChecklist[RequirementID],tblCost[[#This Row],[RequirementID]],tblCostChecklist[PlayerPaid],TRUE)&gt;0</f>
        <v>0</v>
      </c>
      <c r="I217" s="41">
        <f>COUNTIF(tblCost[TargetID],tblCost[[#This Row],[TargetID]])</f>
        <v>5</v>
      </c>
      <c r="J217" s="41">
        <f>COUNTIFS(tblCost[TargetID],tblCost[[#This Row],[TargetID]],tblCost[PlayerPaid],TRUE)</f>
        <v>0</v>
      </c>
      <c r="K217" s="41">
        <f>tblCost[[#This Row],[TargetRequirements]]-tblCost[[#This Row],[CompletedRequirements]]</f>
        <v>5</v>
      </c>
      <c r="L217" s="41" t="b">
        <f>tblCost[[#This Row],[RemainingRequirements]]=0</f>
        <v>0</v>
      </c>
      <c r="M217" s="43">
        <f>IF(tblCost[[#This Row],[TargetRequirements]]=0,0,tblCost[[#This Row],[CompletedRequirements]]/tblCost[[#This Row],[TargetRequirements]])</f>
        <v>0</v>
      </c>
    </row>
    <row r="218" spans="1:13">
      <c r="A218" s="41" t="s">
        <v>3866</v>
      </c>
      <c r="B218" s="41" t="str">
        <f>_xlfn.TEXTAFTER(_xlfn.TEXTBEFORE(tblCost[[#This Row],[RequirementID]],".",-2),"cost.")</f>
        <v>building.food_stall@1</v>
      </c>
      <c r="C218" s="41" t="str">
        <f>_xlfn.XLOOKUP(tblCost[[#This Row],[TargetID]],tblTargets[TargetID],tblTargets[DisplayName],"")</f>
        <v>Food Stall Lv 1</v>
      </c>
      <c r="D218" s="41" t="str">
        <f>_xlfn.XLOOKUP(tblCost[[#This Row],[TargetID]],tblTargets[TargetID],tblTargets[TargetType],"")</f>
        <v>BUILDING</v>
      </c>
      <c r="E218" s="41" t="s">
        <v>708</v>
      </c>
      <c r="F218" s="62" t="str">
        <f>RIGHT(tblCost[[#This Row],[RequirementID]],1)</f>
        <v>1</v>
      </c>
      <c r="G218" s="41">
        <v>1</v>
      </c>
      <c r="H218" t="b">
        <f>COUNTIFS(tblCostChecklist[RequirementID],tblCost[[#This Row],[RequirementID]],tblCostChecklist[PlayerPaid],TRUE)&gt;0</f>
        <v>0</v>
      </c>
      <c r="I218" s="41">
        <f>COUNTIF(tblCost[TargetID],tblCost[[#This Row],[TargetID]])</f>
        <v>5</v>
      </c>
      <c r="J218" s="41">
        <f>COUNTIFS(tblCost[TargetID],tblCost[[#This Row],[TargetID]],tblCost[PlayerPaid],TRUE)</f>
        <v>0</v>
      </c>
      <c r="K218" s="41">
        <f>tblCost[[#This Row],[TargetRequirements]]-tblCost[[#This Row],[CompletedRequirements]]</f>
        <v>5</v>
      </c>
      <c r="L218" s="41" t="b">
        <f>tblCost[[#This Row],[RemainingRequirements]]=0</f>
        <v>0</v>
      </c>
      <c r="M218" s="43">
        <f>IF(tblCost[[#This Row],[TargetRequirements]]=0,0,tblCost[[#This Row],[CompletedRequirements]]/tblCost[[#This Row],[TargetRequirements]])</f>
        <v>0</v>
      </c>
    </row>
    <row r="219" spans="1:13">
      <c r="A219" s="41" t="s">
        <v>3867</v>
      </c>
      <c r="B219" s="41" t="str">
        <f>_xlfn.TEXTAFTER(_xlfn.TEXTBEFORE(tblCost[[#This Row],[RequirementID]],".",-2),"cost.")</f>
        <v>building.food_stall@1</v>
      </c>
      <c r="C219" s="41" t="str">
        <f>_xlfn.XLOOKUP(tblCost[[#This Row],[TargetID]],tblTargets[TargetID],tblTargets[DisplayName],"")</f>
        <v>Food Stall Lv 1</v>
      </c>
      <c r="D219" s="41" t="str">
        <f>_xlfn.XLOOKUP(tblCost[[#This Row],[TargetID]],tblTargets[TargetID],tblTargets[TargetType],"")</f>
        <v>BUILDING</v>
      </c>
      <c r="E219" s="41" t="s">
        <v>666</v>
      </c>
      <c r="F219" s="62" t="str">
        <f>RIGHT(tblCost[[#This Row],[RequirementID]],1)</f>
        <v>1</v>
      </c>
      <c r="G219" s="41">
        <v>300</v>
      </c>
      <c r="H219" t="b">
        <f>COUNTIFS(tblCostChecklist[RequirementID],tblCost[[#This Row],[RequirementID]],tblCostChecklist[PlayerPaid],TRUE)&gt;0</f>
        <v>0</v>
      </c>
      <c r="I219" s="41">
        <f>COUNTIF(tblCost[TargetID],tblCost[[#This Row],[TargetID]])</f>
        <v>5</v>
      </c>
      <c r="J219" s="41">
        <f>COUNTIFS(tblCost[TargetID],tblCost[[#This Row],[TargetID]],tblCost[PlayerPaid],TRUE)</f>
        <v>0</v>
      </c>
      <c r="K219" s="41">
        <f>tblCost[[#This Row],[TargetRequirements]]-tblCost[[#This Row],[CompletedRequirements]]</f>
        <v>5</v>
      </c>
      <c r="L219" s="41" t="b">
        <f>tblCost[[#This Row],[RemainingRequirements]]=0</f>
        <v>0</v>
      </c>
      <c r="M219" s="43">
        <f>IF(tblCost[[#This Row],[TargetRequirements]]=0,0,tblCost[[#This Row],[CompletedRequirements]]/tblCost[[#This Row],[TargetRequirements]])</f>
        <v>0</v>
      </c>
    </row>
    <row r="220" spans="1:13">
      <c r="A220" s="41" t="s">
        <v>3868</v>
      </c>
      <c r="B220" s="41" t="str">
        <f>_xlfn.TEXTAFTER(_xlfn.TEXTBEFORE(tblCost[[#This Row],[RequirementID]],".",-2),"cost.")</f>
        <v>building.food_stall@1</v>
      </c>
      <c r="C220" s="41" t="str">
        <f>_xlfn.XLOOKUP(tblCost[[#This Row],[TargetID]],tblTargets[TargetID],tblTargets[DisplayName],"")</f>
        <v>Food Stall Lv 1</v>
      </c>
      <c r="D220" s="41" t="str">
        <f>_xlfn.XLOOKUP(tblCost[[#This Row],[TargetID]],tblTargets[TargetID],tblTargets[TargetType],"")</f>
        <v>BUILDING</v>
      </c>
      <c r="E220" s="41" t="s">
        <v>723</v>
      </c>
      <c r="F220" s="62" t="str">
        <f>RIGHT(tblCost[[#This Row],[RequirementID]],1)</f>
        <v>1</v>
      </c>
      <c r="G220" s="41">
        <v>150</v>
      </c>
      <c r="H220" t="b">
        <f>COUNTIFS(tblCostChecklist[RequirementID],tblCost[[#This Row],[RequirementID]],tblCostChecklist[PlayerPaid],TRUE)&gt;0</f>
        <v>0</v>
      </c>
      <c r="I220" s="41">
        <f>COUNTIF(tblCost[TargetID],tblCost[[#This Row],[TargetID]])</f>
        <v>5</v>
      </c>
      <c r="J220" s="41">
        <f>COUNTIFS(tblCost[TargetID],tblCost[[#This Row],[TargetID]],tblCost[PlayerPaid],TRUE)</f>
        <v>0</v>
      </c>
      <c r="K220" s="41">
        <f>tblCost[[#This Row],[TargetRequirements]]-tblCost[[#This Row],[CompletedRequirements]]</f>
        <v>5</v>
      </c>
      <c r="L220" s="41" t="b">
        <f>tblCost[[#This Row],[RemainingRequirements]]=0</f>
        <v>0</v>
      </c>
      <c r="M220" s="43">
        <f>IF(tblCost[[#This Row],[TargetRequirements]]=0,0,tblCost[[#This Row],[CompletedRequirements]]/tblCost[[#This Row],[TargetRequirements]])</f>
        <v>0</v>
      </c>
    </row>
    <row r="221" spans="1:13">
      <c r="A221" s="41" t="s">
        <v>3869</v>
      </c>
      <c r="B221" s="41" t="str">
        <f>_xlfn.TEXTAFTER(_xlfn.TEXTBEFORE(tblCost[[#This Row],[RequirementID]],".",-2),"cost.")</f>
        <v>building.food_stall@1</v>
      </c>
      <c r="C221" s="41" t="str">
        <f>_xlfn.XLOOKUP(tblCost[[#This Row],[TargetID]],tblTargets[TargetID],tblTargets[DisplayName],"")</f>
        <v>Food Stall Lv 1</v>
      </c>
      <c r="D221" s="41" t="str">
        <f>_xlfn.XLOOKUP(tblCost[[#This Row],[TargetID]],tblTargets[TargetID],tblTargets[TargetType],"")</f>
        <v>BUILDING</v>
      </c>
      <c r="E221" s="41" t="s">
        <v>717</v>
      </c>
      <c r="F221" s="62" t="str">
        <f>RIGHT(tblCost[[#This Row],[RequirementID]],1)</f>
        <v>1</v>
      </c>
      <c r="G221" s="41">
        <v>150</v>
      </c>
      <c r="H221" t="b">
        <f>COUNTIFS(tblCostChecklist[RequirementID],tblCost[[#This Row],[RequirementID]],tblCostChecklist[PlayerPaid],TRUE)&gt;0</f>
        <v>0</v>
      </c>
      <c r="I221" s="41">
        <f>COUNTIF(tblCost[TargetID],tblCost[[#This Row],[TargetID]])</f>
        <v>5</v>
      </c>
      <c r="J221" s="41">
        <f>COUNTIFS(tblCost[TargetID],tblCost[[#This Row],[TargetID]],tblCost[PlayerPaid],TRUE)</f>
        <v>0</v>
      </c>
      <c r="K221" s="41">
        <f>tblCost[[#This Row],[TargetRequirements]]-tblCost[[#This Row],[CompletedRequirements]]</f>
        <v>5</v>
      </c>
      <c r="L221" s="41" t="b">
        <f>tblCost[[#This Row],[RemainingRequirements]]=0</f>
        <v>0</v>
      </c>
      <c r="M221" s="43">
        <f>IF(tblCost[[#This Row],[TargetRequirements]]=0,0,tblCost[[#This Row],[CompletedRequirements]]/tblCost[[#This Row],[TargetRequirements]])</f>
        <v>0</v>
      </c>
    </row>
    <row r="222" spans="1:13">
      <c r="A222" s="41" t="s">
        <v>3870</v>
      </c>
      <c r="B222" s="41" t="str">
        <f>_xlfn.TEXTAFTER(_xlfn.TEXTBEFORE(tblCost[[#This Row],[RequirementID]],".",-2),"cost.")</f>
        <v>building.food_stall@1</v>
      </c>
      <c r="C222" s="41" t="str">
        <f>_xlfn.XLOOKUP(tblCost[[#This Row],[TargetID]],tblTargets[TargetID],tblTargets[DisplayName],"")</f>
        <v>Food Stall Lv 1</v>
      </c>
      <c r="D222" s="41" t="str">
        <f>_xlfn.XLOOKUP(tblCost[[#This Row],[TargetID]],tblTargets[TargetID],tblTargets[TargetType],"")</f>
        <v>BUILDING</v>
      </c>
      <c r="E222" s="41" t="s">
        <v>707</v>
      </c>
      <c r="F222" s="62" t="str">
        <f>RIGHT(tblCost[[#This Row],[RequirementID]],1)</f>
        <v>1</v>
      </c>
      <c r="G222" s="41">
        <v>20</v>
      </c>
      <c r="H222" t="b">
        <f>COUNTIFS(tblCostChecklist[RequirementID],tblCost[[#This Row],[RequirementID]],tblCostChecklist[PlayerPaid],TRUE)&gt;0</f>
        <v>0</v>
      </c>
      <c r="I222" s="41">
        <f>COUNTIF(tblCost[TargetID],tblCost[[#This Row],[TargetID]])</f>
        <v>5</v>
      </c>
      <c r="J222" s="41">
        <f>COUNTIFS(tblCost[TargetID],tblCost[[#This Row],[TargetID]],tblCost[PlayerPaid],TRUE)</f>
        <v>0</v>
      </c>
      <c r="K222" s="41">
        <f>tblCost[[#This Row],[TargetRequirements]]-tblCost[[#This Row],[CompletedRequirements]]</f>
        <v>5</v>
      </c>
      <c r="L222" s="41" t="b">
        <f>tblCost[[#This Row],[RemainingRequirements]]=0</f>
        <v>0</v>
      </c>
      <c r="M222" s="43">
        <f>IF(tblCost[[#This Row],[TargetRequirements]]=0,0,tblCost[[#This Row],[CompletedRequirements]]/tblCost[[#This Row],[TargetRequirements]])</f>
        <v>0</v>
      </c>
    </row>
    <row r="223" spans="1:13">
      <c r="A223" s="41" t="s">
        <v>3871</v>
      </c>
      <c r="B223" s="41" t="str">
        <f>_xlfn.TEXTAFTER(_xlfn.TEXTBEFORE(tblCost[[#This Row],[RequirementID]],".",-2),"cost.")</f>
        <v>building.food_stall@2</v>
      </c>
      <c r="C223" s="41" t="str">
        <f>_xlfn.XLOOKUP(tblCost[[#This Row],[TargetID]],tblTargets[TargetID],tblTargets[DisplayName],"")</f>
        <v>Food Stall Lv 2</v>
      </c>
      <c r="D223" s="41" t="str">
        <f>_xlfn.XLOOKUP(tblCost[[#This Row],[TargetID]],tblTargets[TargetID],tblTargets[TargetType],"")</f>
        <v>BUILDING</v>
      </c>
      <c r="E223" s="41" t="s">
        <v>708</v>
      </c>
      <c r="F223" s="62" t="str">
        <f>RIGHT(tblCost[[#This Row],[RequirementID]],1)</f>
        <v>1</v>
      </c>
      <c r="G223" s="41">
        <v>3</v>
      </c>
      <c r="H223" t="b">
        <f>COUNTIFS(tblCostChecklist[RequirementID],tblCost[[#This Row],[RequirementID]],tblCostChecklist[PlayerPaid],TRUE)&gt;0</f>
        <v>0</v>
      </c>
      <c r="I223" s="41">
        <f>COUNTIF(tblCost[TargetID],tblCost[[#This Row],[TargetID]])</f>
        <v>5</v>
      </c>
      <c r="J223" s="41">
        <f>COUNTIFS(tblCost[TargetID],tblCost[[#This Row],[TargetID]],tblCost[PlayerPaid],TRUE)</f>
        <v>0</v>
      </c>
      <c r="K223" s="41">
        <f>tblCost[[#This Row],[TargetRequirements]]-tblCost[[#This Row],[CompletedRequirements]]</f>
        <v>5</v>
      </c>
      <c r="L223" s="41" t="b">
        <f>tblCost[[#This Row],[RemainingRequirements]]=0</f>
        <v>0</v>
      </c>
      <c r="M223" s="43">
        <f>IF(tblCost[[#This Row],[TargetRequirements]]=0,0,tblCost[[#This Row],[CompletedRequirements]]/tblCost[[#This Row],[TargetRequirements]])</f>
        <v>0</v>
      </c>
    </row>
    <row r="224" spans="1:13">
      <c r="A224" s="41" t="s">
        <v>3872</v>
      </c>
      <c r="B224" s="41" t="str">
        <f>_xlfn.TEXTAFTER(_xlfn.TEXTBEFORE(tblCost[[#This Row],[RequirementID]],".",-2),"cost.")</f>
        <v>building.food_stall@2</v>
      </c>
      <c r="C224" s="41" t="str">
        <f>_xlfn.XLOOKUP(tblCost[[#This Row],[TargetID]],tblTargets[TargetID],tblTargets[DisplayName],"")</f>
        <v>Food Stall Lv 2</v>
      </c>
      <c r="D224" s="41" t="str">
        <f>_xlfn.XLOOKUP(tblCost[[#This Row],[TargetID]],tblTargets[TargetID],tblTargets[TargetType],"")</f>
        <v>BUILDING</v>
      </c>
      <c r="E224" s="41" t="s">
        <v>666</v>
      </c>
      <c r="F224" s="62" t="str">
        <f>RIGHT(tblCost[[#This Row],[RequirementID]],1)</f>
        <v>1</v>
      </c>
      <c r="G224" s="41">
        <v>500</v>
      </c>
      <c r="H224" t="b">
        <f>COUNTIFS(tblCostChecklist[RequirementID],tblCost[[#This Row],[RequirementID]],tblCostChecklist[PlayerPaid],TRUE)&gt;0</f>
        <v>0</v>
      </c>
      <c r="I224" s="41">
        <f>COUNTIF(tblCost[TargetID],tblCost[[#This Row],[TargetID]])</f>
        <v>5</v>
      </c>
      <c r="J224" s="41">
        <f>COUNTIFS(tblCost[TargetID],tblCost[[#This Row],[TargetID]],tblCost[PlayerPaid],TRUE)</f>
        <v>0</v>
      </c>
      <c r="K224" s="41">
        <f>tblCost[[#This Row],[TargetRequirements]]-tblCost[[#This Row],[CompletedRequirements]]</f>
        <v>5</v>
      </c>
      <c r="L224" s="41" t="b">
        <f>tblCost[[#This Row],[RemainingRequirements]]=0</f>
        <v>0</v>
      </c>
      <c r="M224" s="43">
        <f>IF(tblCost[[#This Row],[TargetRequirements]]=0,0,tblCost[[#This Row],[CompletedRequirements]]/tblCost[[#This Row],[TargetRequirements]])</f>
        <v>0</v>
      </c>
    </row>
    <row r="225" spans="1:13">
      <c r="A225" s="41" t="s">
        <v>3873</v>
      </c>
      <c r="B225" s="41" t="str">
        <f>_xlfn.TEXTAFTER(_xlfn.TEXTBEFORE(tblCost[[#This Row],[RequirementID]],".",-2),"cost.")</f>
        <v>building.food_stall@2</v>
      </c>
      <c r="C225" s="41" t="str">
        <f>_xlfn.XLOOKUP(tblCost[[#This Row],[TargetID]],tblTargets[TargetID],tblTargets[DisplayName],"")</f>
        <v>Food Stall Lv 2</v>
      </c>
      <c r="D225" s="41" t="str">
        <f>_xlfn.XLOOKUP(tblCost[[#This Row],[TargetID]],tblTargets[TargetID],tblTargets[TargetType],"")</f>
        <v>BUILDING</v>
      </c>
      <c r="E225" s="41" t="s">
        <v>701</v>
      </c>
      <c r="F225" s="62" t="str">
        <f>RIGHT(tblCost[[#This Row],[RequirementID]],1)</f>
        <v>1</v>
      </c>
      <c r="G225" s="41">
        <v>500</v>
      </c>
      <c r="H225" t="b">
        <f>COUNTIFS(tblCostChecklist[RequirementID],tblCost[[#This Row],[RequirementID]],tblCostChecklist[PlayerPaid],TRUE)&gt;0</f>
        <v>0</v>
      </c>
      <c r="I225" s="41">
        <f>COUNTIF(tblCost[TargetID],tblCost[[#This Row],[TargetID]])</f>
        <v>5</v>
      </c>
      <c r="J225" s="41">
        <f>COUNTIFS(tblCost[TargetID],tblCost[[#This Row],[TargetID]],tblCost[PlayerPaid],TRUE)</f>
        <v>0</v>
      </c>
      <c r="K225" s="41">
        <f>tblCost[[#This Row],[TargetRequirements]]-tblCost[[#This Row],[CompletedRequirements]]</f>
        <v>5</v>
      </c>
      <c r="L225" s="41" t="b">
        <f>tblCost[[#This Row],[RemainingRequirements]]=0</f>
        <v>0</v>
      </c>
      <c r="M225" s="43">
        <f>IF(tblCost[[#This Row],[TargetRequirements]]=0,0,tblCost[[#This Row],[CompletedRequirements]]/tblCost[[#This Row],[TargetRequirements]])</f>
        <v>0</v>
      </c>
    </row>
    <row r="226" spans="1:13">
      <c r="A226" s="41" t="s">
        <v>3874</v>
      </c>
      <c r="B226" s="41" t="str">
        <f>_xlfn.TEXTAFTER(_xlfn.TEXTBEFORE(tblCost[[#This Row],[RequirementID]],".",-2),"cost.")</f>
        <v>building.food_stall@2</v>
      </c>
      <c r="C226" s="41" t="str">
        <f>_xlfn.XLOOKUP(tblCost[[#This Row],[TargetID]],tblTargets[TargetID],tblTargets[DisplayName],"")</f>
        <v>Food Stall Lv 2</v>
      </c>
      <c r="D226" s="41" t="str">
        <f>_xlfn.XLOOKUP(tblCost[[#This Row],[TargetID]],tblTargets[TargetID],tblTargets[TargetType],"")</f>
        <v>BUILDING</v>
      </c>
      <c r="E226" s="41" t="s">
        <v>717</v>
      </c>
      <c r="F226" s="62" t="str">
        <f>RIGHT(tblCost[[#This Row],[RequirementID]],1)</f>
        <v>1</v>
      </c>
      <c r="G226" s="41">
        <v>300</v>
      </c>
      <c r="H226" t="b">
        <f>COUNTIFS(tblCostChecklist[RequirementID],tblCost[[#This Row],[RequirementID]],tblCostChecklist[PlayerPaid],TRUE)&gt;0</f>
        <v>0</v>
      </c>
      <c r="I226" s="41">
        <f>COUNTIF(tblCost[TargetID],tblCost[[#This Row],[TargetID]])</f>
        <v>5</v>
      </c>
      <c r="J226" s="41">
        <f>COUNTIFS(tblCost[TargetID],tblCost[[#This Row],[TargetID]],tblCost[PlayerPaid],TRUE)</f>
        <v>0</v>
      </c>
      <c r="K226" s="41">
        <f>tblCost[[#This Row],[TargetRequirements]]-tblCost[[#This Row],[CompletedRequirements]]</f>
        <v>5</v>
      </c>
      <c r="L226" s="41" t="b">
        <f>tblCost[[#This Row],[RemainingRequirements]]=0</f>
        <v>0</v>
      </c>
      <c r="M226" s="43">
        <f>IF(tblCost[[#This Row],[TargetRequirements]]=0,0,tblCost[[#This Row],[CompletedRequirements]]/tblCost[[#This Row],[TargetRequirements]])</f>
        <v>0</v>
      </c>
    </row>
    <row r="227" spans="1:13">
      <c r="A227" s="41" t="s">
        <v>3875</v>
      </c>
      <c r="B227" s="41" t="str">
        <f>_xlfn.TEXTAFTER(_xlfn.TEXTBEFORE(tblCost[[#This Row],[RequirementID]],".",-2),"cost.")</f>
        <v>building.food_stall@2</v>
      </c>
      <c r="C227" s="41" t="str">
        <f>_xlfn.XLOOKUP(tblCost[[#This Row],[TargetID]],tblTargets[TargetID],tblTargets[DisplayName],"")</f>
        <v>Food Stall Lv 2</v>
      </c>
      <c r="D227" s="41" t="str">
        <f>_xlfn.XLOOKUP(tblCost[[#This Row],[TargetID]],tblTargets[TargetID],tblTargets[TargetType],"")</f>
        <v>BUILDING</v>
      </c>
      <c r="E227" s="41" t="s">
        <v>715</v>
      </c>
      <c r="F227" s="62" t="str">
        <f>RIGHT(tblCost[[#This Row],[RequirementID]],1)</f>
        <v>1</v>
      </c>
      <c r="G227" s="41">
        <v>5</v>
      </c>
      <c r="H227" t="b">
        <f>COUNTIFS(tblCostChecklist[RequirementID],tblCost[[#This Row],[RequirementID]],tblCostChecklist[PlayerPaid],TRUE)&gt;0</f>
        <v>0</v>
      </c>
      <c r="I227" s="41">
        <f>COUNTIF(tblCost[TargetID],tblCost[[#This Row],[TargetID]])</f>
        <v>5</v>
      </c>
      <c r="J227" s="41">
        <f>COUNTIFS(tblCost[TargetID],tblCost[[#This Row],[TargetID]],tblCost[PlayerPaid],TRUE)</f>
        <v>0</v>
      </c>
      <c r="K227" s="41">
        <f>tblCost[[#This Row],[TargetRequirements]]-tblCost[[#This Row],[CompletedRequirements]]</f>
        <v>5</v>
      </c>
      <c r="L227" s="41" t="b">
        <f>tblCost[[#This Row],[RemainingRequirements]]=0</f>
        <v>0</v>
      </c>
      <c r="M227" s="43">
        <f>IF(tblCost[[#This Row],[TargetRequirements]]=0,0,tblCost[[#This Row],[CompletedRequirements]]/tblCost[[#This Row],[TargetRequirements]])</f>
        <v>0</v>
      </c>
    </row>
    <row r="228" spans="1:13">
      <c r="A228" s="41" t="s">
        <v>3876</v>
      </c>
      <c r="B228" s="41" t="str">
        <f>_xlfn.TEXTAFTER(_xlfn.TEXTBEFORE(tblCost[[#This Row],[RequirementID]],".",-2),"cost.")</f>
        <v>building.food_stall@3</v>
      </c>
      <c r="C228" s="41" t="str">
        <f>_xlfn.XLOOKUP(tblCost[[#This Row],[TargetID]],tblTargets[TargetID],tblTargets[DisplayName],"")</f>
        <v>Food Stall Lv 3</v>
      </c>
      <c r="D228" s="41" t="str">
        <f>_xlfn.XLOOKUP(tblCost[[#This Row],[TargetID]],tblTargets[TargetID],tblTargets[TargetType],"")</f>
        <v>BUILDING</v>
      </c>
      <c r="E228" s="41" t="s">
        <v>708</v>
      </c>
      <c r="F228" s="62" t="str">
        <f>RIGHT(tblCost[[#This Row],[RequirementID]],1)</f>
        <v>1</v>
      </c>
      <c r="G228" s="41">
        <v>5</v>
      </c>
      <c r="H228" t="b">
        <f>COUNTIFS(tblCostChecklist[RequirementID],tblCost[[#This Row],[RequirementID]],tblCostChecklist[PlayerPaid],TRUE)&gt;0</f>
        <v>0</v>
      </c>
      <c r="I228" s="41">
        <f>COUNTIF(tblCost[TargetID],tblCost[[#This Row],[TargetID]])</f>
        <v>5</v>
      </c>
      <c r="J228" s="41">
        <f>COUNTIFS(tblCost[TargetID],tblCost[[#This Row],[TargetID]],tblCost[PlayerPaid],TRUE)</f>
        <v>0</v>
      </c>
      <c r="K228" s="41">
        <f>tblCost[[#This Row],[TargetRequirements]]-tblCost[[#This Row],[CompletedRequirements]]</f>
        <v>5</v>
      </c>
      <c r="L228" s="41" t="b">
        <f>tblCost[[#This Row],[RemainingRequirements]]=0</f>
        <v>0</v>
      </c>
      <c r="M228" s="43">
        <f>IF(tblCost[[#This Row],[TargetRequirements]]=0,0,tblCost[[#This Row],[CompletedRequirements]]/tblCost[[#This Row],[TargetRequirements]])</f>
        <v>0</v>
      </c>
    </row>
    <row r="229" spans="1:13">
      <c r="A229" s="41" t="s">
        <v>3877</v>
      </c>
      <c r="B229" s="41" t="str">
        <f>_xlfn.TEXTAFTER(_xlfn.TEXTBEFORE(tblCost[[#This Row],[RequirementID]],".",-2),"cost.")</f>
        <v>building.food_stall@3</v>
      </c>
      <c r="C229" s="41" t="str">
        <f>_xlfn.XLOOKUP(tblCost[[#This Row],[TargetID]],tblTargets[TargetID],tblTargets[DisplayName],"")</f>
        <v>Food Stall Lv 3</v>
      </c>
      <c r="D229" s="41" t="str">
        <f>_xlfn.XLOOKUP(tblCost[[#This Row],[TargetID]],tblTargets[TargetID],tblTargets[TargetType],"")</f>
        <v>BUILDING</v>
      </c>
      <c r="E229" s="41" t="s">
        <v>666</v>
      </c>
      <c r="F229" s="62" t="str">
        <f>RIGHT(tblCost[[#This Row],[RequirementID]],1)</f>
        <v>1</v>
      </c>
      <c r="G229" s="41">
        <v>800</v>
      </c>
      <c r="H229" t="b">
        <f>COUNTIFS(tblCostChecklist[RequirementID],tblCost[[#This Row],[RequirementID]],tblCostChecklist[PlayerPaid],TRUE)&gt;0</f>
        <v>0</v>
      </c>
      <c r="I229" s="41">
        <f>COUNTIF(tblCost[TargetID],tblCost[[#This Row],[TargetID]])</f>
        <v>5</v>
      </c>
      <c r="J229" s="41">
        <f>COUNTIFS(tblCost[TargetID],tblCost[[#This Row],[TargetID]],tblCost[PlayerPaid],TRUE)</f>
        <v>0</v>
      </c>
      <c r="K229" s="41">
        <f>tblCost[[#This Row],[TargetRequirements]]-tblCost[[#This Row],[CompletedRequirements]]</f>
        <v>5</v>
      </c>
      <c r="L229" s="41" t="b">
        <f>tblCost[[#This Row],[RemainingRequirements]]=0</f>
        <v>0</v>
      </c>
      <c r="M229" s="43">
        <f>IF(tblCost[[#This Row],[TargetRequirements]]=0,0,tblCost[[#This Row],[CompletedRequirements]]/tblCost[[#This Row],[TargetRequirements]])</f>
        <v>0</v>
      </c>
    </row>
    <row r="230" spans="1:13">
      <c r="A230" s="41" t="s">
        <v>3878</v>
      </c>
      <c r="B230" s="41" t="str">
        <f>_xlfn.TEXTAFTER(_xlfn.TEXTBEFORE(tblCost[[#This Row],[RequirementID]],".",-2),"cost.")</f>
        <v>building.food_stall@3</v>
      </c>
      <c r="C230" s="41" t="str">
        <f>_xlfn.XLOOKUP(tblCost[[#This Row],[TargetID]],tblTargets[TargetID],tblTargets[DisplayName],"")</f>
        <v>Food Stall Lv 3</v>
      </c>
      <c r="D230" s="41" t="str">
        <f>_xlfn.XLOOKUP(tblCost[[#This Row],[TargetID]],tblTargets[TargetID],tblTargets[TargetType],"")</f>
        <v>BUILDING</v>
      </c>
      <c r="E230" s="41" t="s">
        <v>701</v>
      </c>
      <c r="F230" s="62" t="str">
        <f>RIGHT(tblCost[[#This Row],[RequirementID]],1)</f>
        <v>1</v>
      </c>
      <c r="G230" s="41">
        <v>600</v>
      </c>
      <c r="H230" t="b">
        <f>COUNTIFS(tblCostChecklist[RequirementID],tblCost[[#This Row],[RequirementID]],tblCostChecklist[PlayerPaid],TRUE)&gt;0</f>
        <v>0</v>
      </c>
      <c r="I230" s="41">
        <f>COUNTIF(tblCost[TargetID],tblCost[[#This Row],[TargetID]])</f>
        <v>5</v>
      </c>
      <c r="J230" s="41">
        <f>COUNTIFS(tblCost[TargetID],tblCost[[#This Row],[TargetID]],tblCost[PlayerPaid],TRUE)</f>
        <v>0</v>
      </c>
      <c r="K230" s="41">
        <f>tblCost[[#This Row],[TargetRequirements]]-tblCost[[#This Row],[CompletedRequirements]]</f>
        <v>5</v>
      </c>
      <c r="L230" s="41" t="b">
        <f>tblCost[[#This Row],[RemainingRequirements]]=0</f>
        <v>0</v>
      </c>
      <c r="M230" s="43">
        <f>IF(tblCost[[#This Row],[TargetRequirements]]=0,0,tblCost[[#This Row],[CompletedRequirements]]/tblCost[[#This Row],[TargetRequirements]])</f>
        <v>0</v>
      </c>
    </row>
    <row r="231" spans="1:13">
      <c r="A231" s="41" t="s">
        <v>3879</v>
      </c>
      <c r="B231" s="41" t="str">
        <f>_xlfn.TEXTAFTER(_xlfn.TEXTBEFORE(tblCost[[#This Row],[RequirementID]],".",-2),"cost.")</f>
        <v>building.food_stall@3</v>
      </c>
      <c r="C231" s="41" t="str">
        <f>_xlfn.XLOOKUP(tblCost[[#This Row],[TargetID]],tblTargets[TargetID],tblTargets[DisplayName],"")</f>
        <v>Food Stall Lv 3</v>
      </c>
      <c r="D231" s="41" t="str">
        <f>_xlfn.XLOOKUP(tblCost[[#This Row],[TargetID]],tblTargets[TargetID],tblTargets[TargetType],"")</f>
        <v>BUILDING</v>
      </c>
      <c r="E231" s="41" t="s">
        <v>659</v>
      </c>
      <c r="F231" s="62" t="str">
        <f>RIGHT(tblCost[[#This Row],[RequirementID]],1)</f>
        <v>1</v>
      </c>
      <c r="G231" s="41">
        <v>50</v>
      </c>
      <c r="H231" t="b">
        <f>COUNTIFS(tblCostChecklist[RequirementID],tblCost[[#This Row],[RequirementID]],tblCostChecklist[PlayerPaid],TRUE)&gt;0</f>
        <v>0</v>
      </c>
      <c r="I231" s="41">
        <f>COUNTIF(tblCost[TargetID],tblCost[[#This Row],[TargetID]])</f>
        <v>5</v>
      </c>
      <c r="J231" s="41">
        <f>COUNTIFS(tblCost[TargetID],tblCost[[#This Row],[TargetID]],tblCost[PlayerPaid],TRUE)</f>
        <v>0</v>
      </c>
      <c r="K231" s="41">
        <f>tblCost[[#This Row],[TargetRequirements]]-tblCost[[#This Row],[CompletedRequirements]]</f>
        <v>5</v>
      </c>
      <c r="L231" s="41" t="b">
        <f>tblCost[[#This Row],[RemainingRequirements]]=0</f>
        <v>0</v>
      </c>
      <c r="M231" s="43">
        <f>IF(tblCost[[#This Row],[TargetRequirements]]=0,0,tblCost[[#This Row],[CompletedRequirements]]/tblCost[[#This Row],[TargetRequirements]])</f>
        <v>0</v>
      </c>
    </row>
    <row r="232" spans="1:13">
      <c r="A232" s="41" t="s">
        <v>3880</v>
      </c>
      <c r="B232" s="41" t="str">
        <f>_xlfn.TEXTAFTER(_xlfn.TEXTBEFORE(tblCost[[#This Row],[RequirementID]],".",-2),"cost.")</f>
        <v>building.food_stall@3</v>
      </c>
      <c r="C232" s="41" t="str">
        <f>_xlfn.XLOOKUP(tblCost[[#This Row],[TargetID]],tblTargets[TargetID],tblTargets[DisplayName],"")</f>
        <v>Food Stall Lv 3</v>
      </c>
      <c r="D232" s="41" t="str">
        <f>_xlfn.XLOOKUP(tblCost[[#This Row],[TargetID]],tblTargets[TargetID],tblTargets[TargetType],"")</f>
        <v>BUILDING</v>
      </c>
      <c r="E232" s="41" t="s">
        <v>715</v>
      </c>
      <c r="F232" s="62" t="str">
        <f>RIGHT(tblCost[[#This Row],[RequirementID]],1)</f>
        <v>1</v>
      </c>
      <c r="G232" s="41">
        <v>3</v>
      </c>
      <c r="H232" t="b">
        <f>COUNTIFS(tblCostChecklist[RequirementID],tblCost[[#This Row],[RequirementID]],tblCostChecklist[PlayerPaid],TRUE)&gt;0</f>
        <v>0</v>
      </c>
      <c r="I232" s="41">
        <f>COUNTIF(tblCost[TargetID],tblCost[[#This Row],[TargetID]])</f>
        <v>5</v>
      </c>
      <c r="J232" s="41">
        <f>COUNTIFS(tblCost[TargetID],tblCost[[#This Row],[TargetID]],tblCost[PlayerPaid],TRUE)</f>
        <v>0</v>
      </c>
      <c r="K232" s="41">
        <f>tblCost[[#This Row],[TargetRequirements]]-tblCost[[#This Row],[CompletedRequirements]]</f>
        <v>5</v>
      </c>
      <c r="L232" s="41" t="b">
        <f>tblCost[[#This Row],[RemainingRequirements]]=0</f>
        <v>0</v>
      </c>
      <c r="M232" s="43">
        <f>IF(tblCost[[#This Row],[TargetRequirements]]=0,0,tblCost[[#This Row],[CompletedRequirements]]/tblCost[[#This Row],[TargetRequirements]])</f>
        <v>0</v>
      </c>
    </row>
    <row r="233" spans="1:13">
      <c r="A233" s="41" t="s">
        <v>3881</v>
      </c>
      <c r="B233" s="41" t="str">
        <f>_xlfn.TEXTAFTER(_xlfn.TEXTBEFORE(tblCost[[#This Row],[RequirementID]],".",-2),"cost.")</f>
        <v>building.furnace@1</v>
      </c>
      <c r="C233" s="41" t="str">
        <f>_xlfn.XLOOKUP(tblCost[[#This Row],[TargetID]],tblTargets[TargetID],tblTargets[DisplayName],"")</f>
        <v>Furnace Lv 1</v>
      </c>
      <c r="D233" s="41" t="str">
        <f>_xlfn.XLOOKUP(tblCost[[#This Row],[TargetID]],tblTargets[TargetID],tblTargets[TargetType],"")</f>
        <v>BUILDING</v>
      </c>
      <c r="E233" s="41" t="s">
        <v>708</v>
      </c>
      <c r="F233" s="62" t="str">
        <f>RIGHT(tblCost[[#This Row],[RequirementID]],1)</f>
        <v>1</v>
      </c>
      <c r="G233" s="41">
        <v>1</v>
      </c>
      <c r="H233" t="b">
        <f>COUNTIFS(tblCostChecklist[RequirementID],tblCost[[#This Row],[RequirementID]],tblCostChecklist[PlayerPaid],TRUE)&gt;0</f>
        <v>0</v>
      </c>
      <c r="I233" s="41">
        <f>COUNTIF(tblCost[TargetID],tblCost[[#This Row],[TargetID]])</f>
        <v>4</v>
      </c>
      <c r="J233" s="41">
        <f>COUNTIFS(tblCost[TargetID],tblCost[[#This Row],[TargetID]],tblCost[PlayerPaid],TRUE)</f>
        <v>0</v>
      </c>
      <c r="K233" s="41">
        <f>tblCost[[#This Row],[TargetRequirements]]-tblCost[[#This Row],[CompletedRequirements]]</f>
        <v>4</v>
      </c>
      <c r="L233" s="41" t="b">
        <f>tblCost[[#This Row],[RemainingRequirements]]=0</f>
        <v>0</v>
      </c>
      <c r="M233" s="43">
        <f>IF(tblCost[[#This Row],[TargetRequirements]]=0,0,tblCost[[#This Row],[CompletedRequirements]]/tblCost[[#This Row],[TargetRequirements]])</f>
        <v>0</v>
      </c>
    </row>
    <row r="234" spans="1:13">
      <c r="A234" s="41" t="s">
        <v>3882</v>
      </c>
      <c r="B234" s="41" t="str">
        <f>_xlfn.TEXTAFTER(_xlfn.TEXTBEFORE(tblCost[[#This Row],[RequirementID]],".",-2),"cost.")</f>
        <v>building.furnace@1</v>
      </c>
      <c r="C234" s="41" t="str">
        <f>_xlfn.XLOOKUP(tblCost[[#This Row],[TargetID]],tblTargets[TargetID],tblTargets[DisplayName],"")</f>
        <v>Furnace Lv 1</v>
      </c>
      <c r="D234" s="41" t="str">
        <f>_xlfn.XLOOKUP(tblCost[[#This Row],[TargetID]],tblTargets[TargetID],tblTargets[TargetType],"")</f>
        <v>BUILDING</v>
      </c>
      <c r="E234" s="41" t="s">
        <v>666</v>
      </c>
      <c r="F234" s="62" t="str">
        <f>RIGHT(tblCost[[#This Row],[RequirementID]],1)</f>
        <v>1</v>
      </c>
      <c r="G234" s="41">
        <v>200</v>
      </c>
      <c r="H234" t="b">
        <f>COUNTIFS(tblCostChecklist[RequirementID],tblCost[[#This Row],[RequirementID]],tblCostChecklist[PlayerPaid],TRUE)&gt;0</f>
        <v>0</v>
      </c>
      <c r="I234" s="41">
        <f>COUNTIF(tblCost[TargetID],tblCost[[#This Row],[TargetID]])</f>
        <v>4</v>
      </c>
      <c r="J234" s="41">
        <f>COUNTIFS(tblCost[TargetID],tblCost[[#This Row],[TargetID]],tblCost[PlayerPaid],TRUE)</f>
        <v>0</v>
      </c>
      <c r="K234" s="41">
        <f>tblCost[[#This Row],[TargetRequirements]]-tblCost[[#This Row],[CompletedRequirements]]</f>
        <v>4</v>
      </c>
      <c r="L234" s="41" t="b">
        <f>tblCost[[#This Row],[RemainingRequirements]]=0</f>
        <v>0</v>
      </c>
      <c r="M234" s="43">
        <f>IF(tblCost[[#This Row],[TargetRequirements]]=0,0,tblCost[[#This Row],[CompletedRequirements]]/tblCost[[#This Row],[TargetRequirements]])</f>
        <v>0</v>
      </c>
    </row>
    <row r="235" spans="1:13">
      <c r="A235" s="41" t="s">
        <v>3883</v>
      </c>
      <c r="B235" s="41" t="str">
        <f>_xlfn.TEXTAFTER(_xlfn.TEXTBEFORE(tblCost[[#This Row],[RequirementID]],".",-2),"cost.")</f>
        <v>building.furnace@1</v>
      </c>
      <c r="C235" s="41" t="str">
        <f>_xlfn.XLOOKUP(tblCost[[#This Row],[TargetID]],tblTargets[TargetID],tblTargets[DisplayName],"")</f>
        <v>Furnace Lv 1</v>
      </c>
      <c r="D235" s="41" t="str">
        <f>_xlfn.XLOOKUP(tblCost[[#This Row],[TargetID]],tblTargets[TargetID],tblTargets[TargetType],"")</f>
        <v>BUILDING</v>
      </c>
      <c r="E235" s="41" t="s">
        <v>723</v>
      </c>
      <c r="F235" s="62" t="str">
        <f>RIGHT(tblCost[[#This Row],[RequirementID]],1)</f>
        <v>1</v>
      </c>
      <c r="G235" s="41">
        <v>100</v>
      </c>
      <c r="H235" t="b">
        <f>COUNTIFS(tblCostChecklist[RequirementID],tblCost[[#This Row],[RequirementID]],tblCostChecklist[PlayerPaid],TRUE)&gt;0</f>
        <v>0</v>
      </c>
      <c r="I235" s="41">
        <f>COUNTIF(tblCost[TargetID],tblCost[[#This Row],[TargetID]])</f>
        <v>4</v>
      </c>
      <c r="J235" s="41">
        <f>COUNTIFS(tblCost[TargetID],tblCost[[#This Row],[TargetID]],tblCost[PlayerPaid],TRUE)</f>
        <v>0</v>
      </c>
      <c r="K235" s="41">
        <f>tblCost[[#This Row],[TargetRequirements]]-tblCost[[#This Row],[CompletedRequirements]]</f>
        <v>4</v>
      </c>
      <c r="L235" s="41" t="b">
        <f>tblCost[[#This Row],[RemainingRequirements]]=0</f>
        <v>0</v>
      </c>
      <c r="M235" s="43">
        <f>IF(tblCost[[#This Row],[TargetRequirements]]=0,0,tblCost[[#This Row],[CompletedRequirements]]/tblCost[[#This Row],[TargetRequirements]])</f>
        <v>0</v>
      </c>
    </row>
    <row r="236" spans="1:13">
      <c r="A236" s="41" t="s">
        <v>3884</v>
      </c>
      <c r="B236" s="41" t="str">
        <f>_xlfn.TEXTAFTER(_xlfn.TEXTBEFORE(tblCost[[#This Row],[RequirementID]],".",-2),"cost.")</f>
        <v>building.furnace@1</v>
      </c>
      <c r="C236" s="41" t="str">
        <f>_xlfn.XLOOKUP(tblCost[[#This Row],[TargetID]],tblTargets[TargetID],tblTargets[DisplayName],"")</f>
        <v>Furnace Lv 1</v>
      </c>
      <c r="D236" s="41" t="str">
        <f>_xlfn.XLOOKUP(tblCost[[#This Row],[TargetID]],tblTargets[TargetID],tblTargets[TargetType],"")</f>
        <v>BUILDING</v>
      </c>
      <c r="E236" s="41" t="s">
        <v>717</v>
      </c>
      <c r="F236" s="62" t="str">
        <f>RIGHT(tblCost[[#This Row],[RequirementID]],1)</f>
        <v>1</v>
      </c>
      <c r="G236" s="41">
        <v>100</v>
      </c>
      <c r="H236" t="b">
        <f>COUNTIFS(tblCostChecklist[RequirementID],tblCost[[#This Row],[RequirementID]],tblCostChecklist[PlayerPaid],TRUE)&gt;0</f>
        <v>0</v>
      </c>
      <c r="I236" s="41">
        <f>COUNTIF(tblCost[TargetID],tblCost[[#This Row],[TargetID]])</f>
        <v>4</v>
      </c>
      <c r="J236" s="41">
        <f>COUNTIFS(tblCost[TargetID],tblCost[[#This Row],[TargetID]],tblCost[PlayerPaid],TRUE)</f>
        <v>0</v>
      </c>
      <c r="K236" s="41">
        <f>tblCost[[#This Row],[TargetRequirements]]-tblCost[[#This Row],[CompletedRequirements]]</f>
        <v>4</v>
      </c>
      <c r="L236" s="41" t="b">
        <f>tblCost[[#This Row],[RemainingRequirements]]=0</f>
        <v>0</v>
      </c>
      <c r="M236" s="43">
        <f>IF(tblCost[[#This Row],[TargetRequirements]]=0,0,tblCost[[#This Row],[CompletedRequirements]]/tblCost[[#This Row],[TargetRequirements]])</f>
        <v>0</v>
      </c>
    </row>
    <row r="237" spans="1:13">
      <c r="A237" s="41" t="s">
        <v>3885</v>
      </c>
      <c r="B237" s="41" t="str">
        <f>_xlfn.TEXTAFTER(_xlfn.TEXTBEFORE(tblCost[[#This Row],[RequirementID]],".",-2),"cost.")</f>
        <v>building.furnace@2</v>
      </c>
      <c r="C237" s="41" t="str">
        <f>_xlfn.XLOOKUP(tblCost[[#This Row],[TargetID]],tblTargets[TargetID],tblTargets[DisplayName],"")</f>
        <v>Furnace Lv 2</v>
      </c>
      <c r="D237" s="41" t="str">
        <f>_xlfn.XLOOKUP(tblCost[[#This Row],[TargetID]],tblTargets[TargetID],tblTargets[TargetType],"")</f>
        <v>BUILDING</v>
      </c>
      <c r="E237" s="41" t="s">
        <v>708</v>
      </c>
      <c r="F237" s="62" t="str">
        <f>RIGHT(tblCost[[#This Row],[RequirementID]],1)</f>
        <v>1</v>
      </c>
      <c r="G237" s="41">
        <v>3</v>
      </c>
      <c r="H237" t="b">
        <f>COUNTIFS(tblCostChecklist[RequirementID],tblCost[[#This Row],[RequirementID]],tblCostChecklist[PlayerPaid],TRUE)&gt;0</f>
        <v>0</v>
      </c>
      <c r="I237" s="41">
        <f>COUNTIF(tblCost[TargetID],tblCost[[#This Row],[TargetID]])</f>
        <v>5</v>
      </c>
      <c r="J237" s="41">
        <f>COUNTIFS(tblCost[TargetID],tblCost[[#This Row],[TargetID]],tblCost[PlayerPaid],TRUE)</f>
        <v>0</v>
      </c>
      <c r="K237" s="41">
        <f>tblCost[[#This Row],[TargetRequirements]]-tblCost[[#This Row],[CompletedRequirements]]</f>
        <v>5</v>
      </c>
      <c r="L237" s="41" t="b">
        <f>tblCost[[#This Row],[RemainingRequirements]]=0</f>
        <v>0</v>
      </c>
      <c r="M237" s="43">
        <f>IF(tblCost[[#This Row],[TargetRequirements]]=0,0,tblCost[[#This Row],[CompletedRequirements]]/tblCost[[#This Row],[TargetRequirements]])</f>
        <v>0</v>
      </c>
    </row>
    <row r="238" spans="1:13">
      <c r="A238" s="41" t="s">
        <v>3886</v>
      </c>
      <c r="B238" s="41" t="str">
        <f>_xlfn.TEXTAFTER(_xlfn.TEXTBEFORE(tblCost[[#This Row],[RequirementID]],".",-2),"cost.")</f>
        <v>building.furnace@2</v>
      </c>
      <c r="C238" s="41" t="str">
        <f>_xlfn.XLOOKUP(tblCost[[#This Row],[TargetID]],tblTargets[TargetID],tblTargets[DisplayName],"")</f>
        <v>Furnace Lv 2</v>
      </c>
      <c r="D238" s="41" t="str">
        <f>_xlfn.XLOOKUP(tblCost[[#This Row],[TargetID]],tblTargets[TargetID],tblTargets[TargetType],"")</f>
        <v>BUILDING</v>
      </c>
      <c r="E238" s="41" t="s">
        <v>666</v>
      </c>
      <c r="F238" s="62" t="str">
        <f>RIGHT(tblCost[[#This Row],[RequirementID]],1)</f>
        <v>1</v>
      </c>
      <c r="G238" s="41">
        <v>500</v>
      </c>
      <c r="H238" t="b">
        <f>COUNTIFS(tblCostChecklist[RequirementID],tblCost[[#This Row],[RequirementID]],tblCostChecklist[PlayerPaid],TRUE)&gt;0</f>
        <v>0</v>
      </c>
      <c r="I238" s="41">
        <f>COUNTIF(tblCost[TargetID],tblCost[[#This Row],[TargetID]])</f>
        <v>5</v>
      </c>
      <c r="J238" s="41">
        <f>COUNTIFS(tblCost[TargetID],tblCost[[#This Row],[TargetID]],tblCost[PlayerPaid],TRUE)</f>
        <v>0</v>
      </c>
      <c r="K238" s="41">
        <f>tblCost[[#This Row],[TargetRequirements]]-tblCost[[#This Row],[CompletedRequirements]]</f>
        <v>5</v>
      </c>
      <c r="L238" s="41" t="b">
        <f>tblCost[[#This Row],[RemainingRequirements]]=0</f>
        <v>0</v>
      </c>
      <c r="M238" s="43">
        <f>IF(tblCost[[#This Row],[TargetRequirements]]=0,0,tblCost[[#This Row],[CompletedRequirements]]/tblCost[[#This Row],[TargetRequirements]])</f>
        <v>0</v>
      </c>
    </row>
    <row r="239" spans="1:13">
      <c r="A239" s="41" t="s">
        <v>3887</v>
      </c>
      <c r="B239" s="41" t="str">
        <f>_xlfn.TEXTAFTER(_xlfn.TEXTBEFORE(tblCost[[#This Row],[RequirementID]],".",-2),"cost.")</f>
        <v>building.furnace@2</v>
      </c>
      <c r="C239" s="41" t="str">
        <f>_xlfn.XLOOKUP(tblCost[[#This Row],[TargetID]],tblTargets[TargetID],tblTargets[DisplayName],"")</f>
        <v>Furnace Lv 2</v>
      </c>
      <c r="D239" s="41" t="str">
        <f>_xlfn.XLOOKUP(tblCost[[#This Row],[TargetID]],tblTargets[TargetID],tblTargets[TargetType],"")</f>
        <v>BUILDING</v>
      </c>
      <c r="E239" s="41" t="s">
        <v>658</v>
      </c>
      <c r="F239" s="62" t="str">
        <f>RIGHT(tblCost[[#This Row],[RequirementID]],1)</f>
        <v>1</v>
      </c>
      <c r="G239" s="41">
        <v>400</v>
      </c>
      <c r="H239" t="b">
        <f>COUNTIFS(tblCostChecklist[RequirementID],tblCost[[#This Row],[RequirementID]],tblCostChecklist[PlayerPaid],TRUE)&gt;0</f>
        <v>0</v>
      </c>
      <c r="I239" s="41">
        <f>COUNTIF(tblCost[TargetID],tblCost[[#This Row],[TargetID]])</f>
        <v>5</v>
      </c>
      <c r="J239" s="41">
        <f>COUNTIFS(tblCost[TargetID],tblCost[[#This Row],[TargetID]],tblCost[PlayerPaid],TRUE)</f>
        <v>0</v>
      </c>
      <c r="K239" s="41">
        <f>tblCost[[#This Row],[TargetRequirements]]-tblCost[[#This Row],[CompletedRequirements]]</f>
        <v>5</v>
      </c>
      <c r="L239" s="41" t="b">
        <f>tblCost[[#This Row],[RemainingRequirements]]=0</f>
        <v>0</v>
      </c>
      <c r="M239" s="43">
        <f>IF(tblCost[[#This Row],[TargetRequirements]]=0,0,tblCost[[#This Row],[CompletedRequirements]]/tblCost[[#This Row],[TargetRequirements]])</f>
        <v>0</v>
      </c>
    </row>
    <row r="240" spans="1:13">
      <c r="A240" s="41" t="s">
        <v>3888</v>
      </c>
      <c r="B240" s="41" t="str">
        <f>_xlfn.TEXTAFTER(_xlfn.TEXTBEFORE(tblCost[[#This Row],[RequirementID]],".",-2),"cost.")</f>
        <v>building.furnace@2</v>
      </c>
      <c r="C240" s="41" t="str">
        <f>_xlfn.XLOOKUP(tblCost[[#This Row],[TargetID]],tblTargets[TargetID],tblTargets[DisplayName],"")</f>
        <v>Furnace Lv 2</v>
      </c>
      <c r="D240" s="41" t="str">
        <f>_xlfn.XLOOKUP(tblCost[[#This Row],[TargetID]],tblTargets[TargetID],tblTargets[TargetType],"")</f>
        <v>BUILDING</v>
      </c>
      <c r="E240" s="41" t="s">
        <v>717</v>
      </c>
      <c r="F240" s="62" t="str">
        <f>RIGHT(tblCost[[#This Row],[RequirementID]],1)</f>
        <v>1</v>
      </c>
      <c r="G240" s="41">
        <v>200</v>
      </c>
      <c r="H240" t="b">
        <f>COUNTIFS(tblCostChecklist[RequirementID],tblCost[[#This Row],[RequirementID]],tblCostChecklist[PlayerPaid],TRUE)&gt;0</f>
        <v>0</v>
      </c>
      <c r="I240" s="41">
        <f>COUNTIF(tblCost[TargetID],tblCost[[#This Row],[TargetID]])</f>
        <v>5</v>
      </c>
      <c r="J240" s="41">
        <f>COUNTIFS(tblCost[TargetID],tblCost[[#This Row],[TargetID]],tblCost[PlayerPaid],TRUE)</f>
        <v>0</v>
      </c>
      <c r="K240" s="41">
        <f>tblCost[[#This Row],[TargetRequirements]]-tblCost[[#This Row],[CompletedRequirements]]</f>
        <v>5</v>
      </c>
      <c r="L240" s="41" t="b">
        <f>tblCost[[#This Row],[RemainingRequirements]]=0</f>
        <v>0</v>
      </c>
      <c r="M240" s="43">
        <f>IF(tblCost[[#This Row],[TargetRequirements]]=0,0,tblCost[[#This Row],[CompletedRequirements]]/tblCost[[#This Row],[TargetRequirements]])</f>
        <v>0</v>
      </c>
    </row>
    <row r="241" spans="1:13">
      <c r="A241" s="41" t="s">
        <v>3889</v>
      </c>
      <c r="B241" s="41" t="str">
        <f>_xlfn.TEXTAFTER(_xlfn.TEXTBEFORE(tblCost[[#This Row],[RequirementID]],".",-2),"cost.")</f>
        <v>building.furnace@2</v>
      </c>
      <c r="C241" s="41" t="str">
        <f>_xlfn.XLOOKUP(tblCost[[#This Row],[TargetID]],tblTargets[TargetID],tblTargets[DisplayName],"")</f>
        <v>Furnace Lv 2</v>
      </c>
      <c r="D241" s="41" t="str">
        <f>_xlfn.XLOOKUP(tblCost[[#This Row],[TargetID]],tblTargets[TargetID],tblTargets[TargetType],"")</f>
        <v>BUILDING</v>
      </c>
      <c r="E241" s="41" t="s">
        <v>716</v>
      </c>
      <c r="F241" s="62" t="str">
        <f>RIGHT(tblCost[[#This Row],[RequirementID]],1)</f>
        <v>1</v>
      </c>
      <c r="G241" s="41">
        <v>20</v>
      </c>
      <c r="H241" t="b">
        <f>COUNTIFS(tblCostChecklist[RequirementID],tblCost[[#This Row],[RequirementID]],tblCostChecklist[PlayerPaid],TRUE)&gt;0</f>
        <v>0</v>
      </c>
      <c r="I241" s="41">
        <f>COUNTIF(tblCost[TargetID],tblCost[[#This Row],[TargetID]])</f>
        <v>5</v>
      </c>
      <c r="J241" s="41">
        <f>COUNTIFS(tblCost[TargetID],tblCost[[#This Row],[TargetID]],tblCost[PlayerPaid],TRUE)</f>
        <v>0</v>
      </c>
      <c r="K241" s="41">
        <f>tblCost[[#This Row],[TargetRequirements]]-tblCost[[#This Row],[CompletedRequirements]]</f>
        <v>5</v>
      </c>
      <c r="L241" s="41" t="b">
        <f>tblCost[[#This Row],[RemainingRequirements]]=0</f>
        <v>0</v>
      </c>
      <c r="M241" s="43">
        <f>IF(tblCost[[#This Row],[TargetRequirements]]=0,0,tblCost[[#This Row],[CompletedRequirements]]/tblCost[[#This Row],[TargetRequirements]])</f>
        <v>0</v>
      </c>
    </row>
    <row r="242" spans="1:13">
      <c r="A242" s="41" t="s">
        <v>3890</v>
      </c>
      <c r="B242" s="41" t="str">
        <f>_xlfn.TEXTAFTER(_xlfn.TEXTBEFORE(tblCost[[#This Row],[RequirementID]],".",-2),"cost.")</f>
        <v>building.furnace@3</v>
      </c>
      <c r="C242" s="41" t="str">
        <f>_xlfn.XLOOKUP(tblCost[[#This Row],[TargetID]],tblTargets[TargetID],tblTargets[DisplayName],"")</f>
        <v>Furnace Lv 3</v>
      </c>
      <c r="D242" s="41" t="str">
        <f>_xlfn.XLOOKUP(tblCost[[#This Row],[TargetID]],tblTargets[TargetID],tblTargets[TargetType],"")</f>
        <v>BUILDING</v>
      </c>
      <c r="E242" s="41" t="s">
        <v>708</v>
      </c>
      <c r="F242" s="62" t="str">
        <f>RIGHT(tblCost[[#This Row],[RequirementID]],1)</f>
        <v>1</v>
      </c>
      <c r="G242" s="41">
        <v>5</v>
      </c>
      <c r="H242" t="b">
        <f>COUNTIFS(tblCostChecklist[RequirementID],tblCost[[#This Row],[RequirementID]],tblCostChecklist[PlayerPaid],TRUE)&gt;0</f>
        <v>0</v>
      </c>
      <c r="I242" s="41">
        <f>COUNTIF(tblCost[TargetID],tblCost[[#This Row],[TargetID]])</f>
        <v>5</v>
      </c>
      <c r="J242" s="41">
        <f>COUNTIFS(tblCost[TargetID],tblCost[[#This Row],[TargetID]],tblCost[PlayerPaid],TRUE)</f>
        <v>0</v>
      </c>
      <c r="K242" s="41">
        <f>tblCost[[#This Row],[TargetRequirements]]-tblCost[[#This Row],[CompletedRequirements]]</f>
        <v>5</v>
      </c>
      <c r="L242" s="41" t="b">
        <f>tblCost[[#This Row],[RemainingRequirements]]=0</f>
        <v>0</v>
      </c>
      <c r="M242" s="43">
        <f>IF(tblCost[[#This Row],[TargetRequirements]]=0,0,tblCost[[#This Row],[CompletedRequirements]]/tblCost[[#This Row],[TargetRequirements]])</f>
        <v>0</v>
      </c>
    </row>
    <row r="243" spans="1:13">
      <c r="A243" s="41" t="s">
        <v>3891</v>
      </c>
      <c r="B243" s="41" t="str">
        <f>_xlfn.TEXTAFTER(_xlfn.TEXTBEFORE(tblCost[[#This Row],[RequirementID]],".",-2),"cost.")</f>
        <v>building.furnace@3</v>
      </c>
      <c r="C243" s="41" t="str">
        <f>_xlfn.XLOOKUP(tblCost[[#This Row],[TargetID]],tblTargets[TargetID],tblTargets[DisplayName],"")</f>
        <v>Furnace Lv 3</v>
      </c>
      <c r="D243" s="41" t="str">
        <f>_xlfn.XLOOKUP(tblCost[[#This Row],[TargetID]],tblTargets[TargetID],tblTargets[TargetType],"")</f>
        <v>BUILDING</v>
      </c>
      <c r="E243" s="41" t="s">
        <v>666</v>
      </c>
      <c r="F243" s="62" t="str">
        <f>RIGHT(tblCost[[#This Row],[RequirementID]],1)</f>
        <v>1</v>
      </c>
      <c r="G243" s="41">
        <v>800</v>
      </c>
      <c r="H243" t="b">
        <f>COUNTIFS(tblCostChecklist[RequirementID],tblCost[[#This Row],[RequirementID]],tblCostChecklist[PlayerPaid],TRUE)&gt;0</f>
        <v>0</v>
      </c>
      <c r="I243" s="41">
        <f>COUNTIF(tblCost[TargetID],tblCost[[#This Row],[TargetID]])</f>
        <v>5</v>
      </c>
      <c r="J243" s="41">
        <f>COUNTIFS(tblCost[TargetID],tblCost[[#This Row],[TargetID]],tblCost[PlayerPaid],TRUE)</f>
        <v>0</v>
      </c>
      <c r="K243" s="41">
        <f>tblCost[[#This Row],[TargetRequirements]]-tblCost[[#This Row],[CompletedRequirements]]</f>
        <v>5</v>
      </c>
      <c r="L243" s="41" t="b">
        <f>tblCost[[#This Row],[RemainingRequirements]]=0</f>
        <v>0</v>
      </c>
      <c r="M243" s="43">
        <f>IF(tblCost[[#This Row],[TargetRequirements]]=0,0,tblCost[[#This Row],[CompletedRequirements]]/tblCost[[#This Row],[TargetRequirements]])</f>
        <v>0</v>
      </c>
    </row>
    <row r="244" spans="1:13">
      <c r="A244" s="41" t="s">
        <v>3892</v>
      </c>
      <c r="B244" s="41" t="str">
        <f>_xlfn.TEXTAFTER(_xlfn.TEXTBEFORE(tblCost[[#This Row],[RequirementID]],".",-2),"cost.")</f>
        <v>building.furnace@3</v>
      </c>
      <c r="C244" s="41" t="str">
        <f>_xlfn.XLOOKUP(tblCost[[#This Row],[TargetID]],tblTargets[TargetID],tblTargets[DisplayName],"")</f>
        <v>Furnace Lv 3</v>
      </c>
      <c r="D244" s="41" t="str">
        <f>_xlfn.XLOOKUP(tblCost[[#This Row],[TargetID]],tblTargets[TargetID],tblTargets[TargetType],"")</f>
        <v>BUILDING</v>
      </c>
      <c r="E244" s="41" t="s">
        <v>701</v>
      </c>
      <c r="F244" s="62" t="str">
        <f>RIGHT(tblCost[[#This Row],[RequirementID]],1)</f>
        <v>1</v>
      </c>
      <c r="G244" s="41">
        <v>600</v>
      </c>
      <c r="H244" t="b">
        <f>COUNTIFS(tblCostChecklist[RequirementID],tblCost[[#This Row],[RequirementID]],tblCostChecklist[PlayerPaid],TRUE)&gt;0</f>
        <v>0</v>
      </c>
      <c r="I244" s="41">
        <f>COUNTIF(tblCost[TargetID],tblCost[[#This Row],[TargetID]])</f>
        <v>5</v>
      </c>
      <c r="J244" s="41">
        <f>COUNTIFS(tblCost[TargetID],tblCost[[#This Row],[TargetID]],tblCost[PlayerPaid],TRUE)</f>
        <v>0</v>
      </c>
      <c r="K244" s="41">
        <f>tblCost[[#This Row],[TargetRequirements]]-tblCost[[#This Row],[CompletedRequirements]]</f>
        <v>5</v>
      </c>
      <c r="L244" s="41" t="b">
        <f>tblCost[[#This Row],[RemainingRequirements]]=0</f>
        <v>0</v>
      </c>
      <c r="M244" s="43">
        <f>IF(tblCost[[#This Row],[TargetRequirements]]=0,0,tblCost[[#This Row],[CompletedRequirements]]/tblCost[[#This Row],[TargetRequirements]])</f>
        <v>0</v>
      </c>
    </row>
    <row r="245" spans="1:13">
      <c r="A245" s="41" t="s">
        <v>3893</v>
      </c>
      <c r="B245" s="41" t="str">
        <f>_xlfn.TEXTAFTER(_xlfn.TEXTBEFORE(tblCost[[#This Row],[RequirementID]],".",-2),"cost.")</f>
        <v>building.furnace@3</v>
      </c>
      <c r="C245" s="41" t="str">
        <f>_xlfn.XLOOKUP(tblCost[[#This Row],[TargetID]],tblTargets[TargetID],tblTargets[DisplayName],"")</f>
        <v>Furnace Lv 3</v>
      </c>
      <c r="D245" s="41" t="str">
        <f>_xlfn.XLOOKUP(tblCost[[#This Row],[TargetID]],tblTargets[TargetID],tblTargets[TargetType],"")</f>
        <v>BUILDING</v>
      </c>
      <c r="E245" s="41" t="s">
        <v>717</v>
      </c>
      <c r="F245" s="62" t="str">
        <f>RIGHT(tblCost[[#This Row],[RequirementID]],1)</f>
        <v>1</v>
      </c>
      <c r="G245" s="41">
        <v>300</v>
      </c>
      <c r="H245" t="b">
        <f>COUNTIFS(tblCostChecklist[RequirementID],tblCost[[#This Row],[RequirementID]],tblCostChecklist[PlayerPaid],TRUE)&gt;0</f>
        <v>0</v>
      </c>
      <c r="I245" s="41">
        <f>COUNTIF(tblCost[TargetID],tblCost[[#This Row],[TargetID]])</f>
        <v>5</v>
      </c>
      <c r="J245" s="41">
        <f>COUNTIFS(tblCost[TargetID],tblCost[[#This Row],[TargetID]],tblCost[PlayerPaid],TRUE)</f>
        <v>0</v>
      </c>
      <c r="K245" s="41">
        <f>tblCost[[#This Row],[TargetRequirements]]-tblCost[[#This Row],[CompletedRequirements]]</f>
        <v>5</v>
      </c>
      <c r="L245" s="41" t="b">
        <f>tblCost[[#This Row],[RemainingRequirements]]=0</f>
        <v>0</v>
      </c>
      <c r="M245" s="43">
        <f>IF(tblCost[[#This Row],[TargetRequirements]]=0,0,tblCost[[#This Row],[CompletedRequirements]]/tblCost[[#This Row],[TargetRequirements]])</f>
        <v>0</v>
      </c>
    </row>
    <row r="246" spans="1:13">
      <c r="A246" s="41" t="s">
        <v>3894</v>
      </c>
      <c r="B246" s="41" t="str">
        <f>_xlfn.TEXTAFTER(_xlfn.TEXTBEFORE(tblCost[[#This Row],[RequirementID]],".",-2),"cost.")</f>
        <v>building.furnace@3</v>
      </c>
      <c r="C246" s="41" t="str">
        <f>_xlfn.XLOOKUP(tblCost[[#This Row],[TargetID]],tblTargets[TargetID],tblTargets[DisplayName],"")</f>
        <v>Furnace Lv 3</v>
      </c>
      <c r="D246" s="41" t="str">
        <f>_xlfn.XLOOKUP(tblCost[[#This Row],[TargetID]],tblTargets[TargetID],tblTargets[TargetType],"")</f>
        <v>BUILDING</v>
      </c>
      <c r="E246" s="41" t="s">
        <v>716</v>
      </c>
      <c r="F246" s="62" t="str">
        <f>RIGHT(tblCost[[#This Row],[RequirementID]],1)</f>
        <v>1</v>
      </c>
      <c r="G246" s="41">
        <v>50</v>
      </c>
      <c r="H246" t="b">
        <f>COUNTIFS(tblCostChecklist[RequirementID],tblCost[[#This Row],[RequirementID]],tblCostChecklist[PlayerPaid],TRUE)&gt;0</f>
        <v>0</v>
      </c>
      <c r="I246" s="41">
        <f>COUNTIF(tblCost[TargetID],tblCost[[#This Row],[TargetID]])</f>
        <v>5</v>
      </c>
      <c r="J246" s="41">
        <f>COUNTIFS(tblCost[TargetID],tblCost[[#This Row],[TargetID]],tblCost[PlayerPaid],TRUE)</f>
        <v>0</v>
      </c>
      <c r="K246" s="41">
        <f>tblCost[[#This Row],[TargetRequirements]]-tblCost[[#This Row],[CompletedRequirements]]</f>
        <v>5</v>
      </c>
      <c r="L246" s="41" t="b">
        <f>tblCost[[#This Row],[RemainingRequirements]]=0</f>
        <v>0</v>
      </c>
      <c r="M246" s="43">
        <f>IF(tblCost[[#This Row],[TargetRequirements]]=0,0,tblCost[[#This Row],[CompletedRequirements]]/tblCost[[#This Row],[TargetRequirements]])</f>
        <v>0</v>
      </c>
    </row>
    <row r="247" spans="1:13">
      <c r="A247" s="41" t="s">
        <v>3895</v>
      </c>
      <c r="B247" s="41" t="str">
        <f>_xlfn.TEXTAFTER(_xlfn.TEXTBEFORE(tblCost[[#This Row],[RequirementID]],".",-2),"cost.")</f>
        <v>building.garden@1</v>
      </c>
      <c r="C247" s="41" t="str">
        <f>_xlfn.XLOOKUP(tblCost[[#This Row],[TargetID]],tblTargets[TargetID],tblTargets[DisplayName],"")</f>
        <v>Garden Lv 1</v>
      </c>
      <c r="D247" s="41" t="str">
        <f>_xlfn.XLOOKUP(tblCost[[#This Row],[TargetID]],tblTargets[TargetID],tblTargets[TargetType],"")</f>
        <v>BUILDING</v>
      </c>
      <c r="E247" s="41" t="s">
        <v>708</v>
      </c>
      <c r="F247" s="62" t="str">
        <f>RIGHT(tblCost[[#This Row],[RequirementID]],1)</f>
        <v>1</v>
      </c>
      <c r="G247" s="41">
        <v>1</v>
      </c>
      <c r="H247" t="b">
        <f>COUNTIFS(tblCostChecklist[RequirementID],tblCost[[#This Row],[RequirementID]],tblCostChecklist[PlayerPaid],TRUE)&gt;0</f>
        <v>0</v>
      </c>
      <c r="I247" s="41">
        <f>COUNTIF(tblCost[TargetID],tblCost[[#This Row],[TargetID]])</f>
        <v>4</v>
      </c>
      <c r="J247" s="41">
        <f>COUNTIFS(tblCost[TargetID],tblCost[[#This Row],[TargetID]],tblCost[PlayerPaid],TRUE)</f>
        <v>0</v>
      </c>
      <c r="K247" s="41">
        <f>tblCost[[#This Row],[TargetRequirements]]-tblCost[[#This Row],[CompletedRequirements]]</f>
        <v>4</v>
      </c>
      <c r="L247" s="41" t="b">
        <f>tblCost[[#This Row],[RemainingRequirements]]=0</f>
        <v>0</v>
      </c>
      <c r="M247" s="43">
        <f>IF(tblCost[[#This Row],[TargetRequirements]]=0,0,tblCost[[#This Row],[CompletedRequirements]]/tblCost[[#This Row],[TargetRequirements]])</f>
        <v>0</v>
      </c>
    </row>
    <row r="248" spans="1:13">
      <c r="A248" s="41" t="s">
        <v>3896</v>
      </c>
      <c r="B248" s="41" t="str">
        <f>_xlfn.TEXTAFTER(_xlfn.TEXTBEFORE(tblCost[[#This Row],[RequirementID]],".",-2),"cost.")</f>
        <v>building.garden@1</v>
      </c>
      <c r="C248" s="41" t="str">
        <f>_xlfn.XLOOKUP(tblCost[[#This Row],[TargetID]],tblTargets[TargetID],tblTargets[DisplayName],"")</f>
        <v>Garden Lv 1</v>
      </c>
      <c r="D248" s="41" t="str">
        <f>_xlfn.XLOOKUP(tblCost[[#This Row],[TargetID]],tblTargets[TargetID],tblTargets[TargetType],"")</f>
        <v>BUILDING</v>
      </c>
      <c r="E248" s="41" t="s">
        <v>666</v>
      </c>
      <c r="F248" s="62" t="str">
        <f>RIGHT(tblCost[[#This Row],[RequirementID]],1)</f>
        <v>1</v>
      </c>
      <c r="G248" s="41">
        <v>400</v>
      </c>
      <c r="H248" t="b">
        <f>COUNTIFS(tblCostChecklist[RequirementID],tblCost[[#This Row],[RequirementID]],tblCostChecklist[PlayerPaid],TRUE)&gt;0</f>
        <v>0</v>
      </c>
      <c r="I248" s="41">
        <f>COUNTIF(tblCost[TargetID],tblCost[[#This Row],[TargetID]])</f>
        <v>4</v>
      </c>
      <c r="J248" s="41">
        <f>COUNTIFS(tblCost[TargetID],tblCost[[#This Row],[TargetID]],tblCost[PlayerPaid],TRUE)</f>
        <v>0</v>
      </c>
      <c r="K248" s="41">
        <f>tblCost[[#This Row],[TargetRequirements]]-tblCost[[#This Row],[CompletedRequirements]]</f>
        <v>4</v>
      </c>
      <c r="L248" s="41" t="b">
        <f>tblCost[[#This Row],[RemainingRequirements]]=0</f>
        <v>0</v>
      </c>
      <c r="M248" s="43">
        <f>IF(tblCost[[#This Row],[TargetRequirements]]=0,0,tblCost[[#This Row],[CompletedRequirements]]/tblCost[[#This Row],[TargetRequirements]])</f>
        <v>0</v>
      </c>
    </row>
    <row r="249" spans="1:13">
      <c r="A249" s="41" t="s">
        <v>3897</v>
      </c>
      <c r="B249" s="41" t="str">
        <f>_xlfn.TEXTAFTER(_xlfn.TEXTBEFORE(tblCost[[#This Row],[RequirementID]],".",-2),"cost.")</f>
        <v>building.garden@1</v>
      </c>
      <c r="C249" s="41" t="str">
        <f>_xlfn.XLOOKUP(tblCost[[#This Row],[TargetID]],tblTargets[TargetID],tblTargets[DisplayName],"")</f>
        <v>Garden Lv 1</v>
      </c>
      <c r="D249" s="41" t="str">
        <f>_xlfn.XLOOKUP(tblCost[[#This Row],[TargetID]],tblTargets[TargetID],tblTargets[TargetType],"")</f>
        <v>BUILDING</v>
      </c>
      <c r="E249" s="41" t="s">
        <v>723</v>
      </c>
      <c r="F249" s="62" t="str">
        <f>RIGHT(tblCost[[#This Row],[RequirementID]],1)</f>
        <v>1</v>
      </c>
      <c r="G249" s="41">
        <v>200</v>
      </c>
      <c r="H249" t="b">
        <f>COUNTIFS(tblCostChecklist[RequirementID],tblCost[[#This Row],[RequirementID]],tblCostChecklist[PlayerPaid],TRUE)&gt;0</f>
        <v>0</v>
      </c>
      <c r="I249" s="41">
        <f>COUNTIF(tblCost[TargetID],tblCost[[#This Row],[TargetID]])</f>
        <v>4</v>
      </c>
      <c r="J249" s="41">
        <f>COUNTIFS(tblCost[TargetID],tblCost[[#This Row],[TargetID]],tblCost[PlayerPaid],TRUE)</f>
        <v>0</v>
      </c>
      <c r="K249" s="41">
        <f>tblCost[[#This Row],[TargetRequirements]]-tblCost[[#This Row],[CompletedRequirements]]</f>
        <v>4</v>
      </c>
      <c r="L249" s="41" t="b">
        <f>tblCost[[#This Row],[RemainingRequirements]]=0</f>
        <v>0</v>
      </c>
      <c r="M249" s="43">
        <f>IF(tblCost[[#This Row],[TargetRequirements]]=0,0,tblCost[[#This Row],[CompletedRequirements]]/tblCost[[#This Row],[TargetRequirements]])</f>
        <v>0</v>
      </c>
    </row>
    <row r="250" spans="1:13">
      <c r="A250" s="41" t="s">
        <v>3898</v>
      </c>
      <c r="B250" s="41" t="str">
        <f>_xlfn.TEXTAFTER(_xlfn.TEXTBEFORE(tblCost[[#This Row],[RequirementID]],".",-2),"cost.")</f>
        <v>building.garden@1</v>
      </c>
      <c r="C250" s="41" t="str">
        <f>_xlfn.XLOOKUP(tblCost[[#This Row],[TargetID]],tblTargets[TargetID],tblTargets[DisplayName],"")</f>
        <v>Garden Lv 1</v>
      </c>
      <c r="D250" s="41" t="str">
        <f>_xlfn.XLOOKUP(tblCost[[#This Row],[TargetID]],tblTargets[TargetID],tblTargets[TargetType],"")</f>
        <v>BUILDING</v>
      </c>
      <c r="E250" s="41" t="s">
        <v>717</v>
      </c>
      <c r="F250" s="62" t="str">
        <f>RIGHT(tblCost[[#This Row],[RequirementID]],1)</f>
        <v>1</v>
      </c>
      <c r="G250" s="41">
        <v>100</v>
      </c>
      <c r="H250" t="b">
        <f>COUNTIFS(tblCostChecklist[RequirementID],tblCost[[#This Row],[RequirementID]],tblCostChecklist[PlayerPaid],TRUE)&gt;0</f>
        <v>0</v>
      </c>
      <c r="I250" s="41">
        <f>COUNTIF(tblCost[TargetID],tblCost[[#This Row],[TargetID]])</f>
        <v>4</v>
      </c>
      <c r="J250" s="41">
        <f>COUNTIFS(tblCost[TargetID],tblCost[[#This Row],[TargetID]],tblCost[PlayerPaid],TRUE)</f>
        <v>0</v>
      </c>
      <c r="K250" s="41">
        <f>tblCost[[#This Row],[TargetRequirements]]-tblCost[[#This Row],[CompletedRequirements]]</f>
        <v>4</v>
      </c>
      <c r="L250" s="41" t="b">
        <f>tblCost[[#This Row],[RemainingRequirements]]=0</f>
        <v>0</v>
      </c>
      <c r="M250" s="43">
        <f>IF(tblCost[[#This Row],[TargetRequirements]]=0,0,tblCost[[#This Row],[CompletedRequirements]]/tblCost[[#This Row],[TargetRequirements]])</f>
        <v>0</v>
      </c>
    </row>
    <row r="251" spans="1:13">
      <c r="A251" s="41" t="s">
        <v>3899</v>
      </c>
      <c r="B251" s="41" t="str">
        <f>_xlfn.TEXTAFTER(_xlfn.TEXTBEFORE(tblCost[[#This Row],[RequirementID]],".",-2),"cost.")</f>
        <v>building.garden@2</v>
      </c>
      <c r="C251" s="41" t="str">
        <f>_xlfn.XLOOKUP(tblCost[[#This Row],[TargetID]],tblTargets[TargetID],tblTargets[DisplayName],"")</f>
        <v>Garden Lv 2</v>
      </c>
      <c r="D251" s="41" t="str">
        <f>_xlfn.XLOOKUP(tblCost[[#This Row],[TargetID]],tblTargets[TargetID],tblTargets[TargetType],"")</f>
        <v>BUILDING</v>
      </c>
      <c r="E251" s="41" t="s">
        <v>708</v>
      </c>
      <c r="F251" s="62" t="str">
        <f>RIGHT(tblCost[[#This Row],[RequirementID]],1)</f>
        <v>1</v>
      </c>
      <c r="G251" s="41">
        <v>2</v>
      </c>
      <c r="H251" t="b">
        <f>COUNTIFS(tblCostChecklist[RequirementID],tblCost[[#This Row],[RequirementID]],tblCostChecklist[PlayerPaid],TRUE)&gt;0</f>
        <v>0</v>
      </c>
      <c r="I251" s="41">
        <f>COUNTIF(tblCost[TargetID],tblCost[[#This Row],[TargetID]])</f>
        <v>4</v>
      </c>
      <c r="J251" s="41">
        <f>COUNTIFS(tblCost[TargetID],tblCost[[#This Row],[TargetID]],tblCost[PlayerPaid],TRUE)</f>
        <v>0</v>
      </c>
      <c r="K251" s="41">
        <f>tblCost[[#This Row],[TargetRequirements]]-tblCost[[#This Row],[CompletedRequirements]]</f>
        <v>4</v>
      </c>
      <c r="L251" s="41" t="b">
        <f>tblCost[[#This Row],[RemainingRequirements]]=0</f>
        <v>0</v>
      </c>
      <c r="M251" s="43">
        <f>IF(tblCost[[#This Row],[TargetRequirements]]=0,0,tblCost[[#This Row],[CompletedRequirements]]/tblCost[[#This Row],[TargetRequirements]])</f>
        <v>0</v>
      </c>
    </row>
    <row r="252" spans="1:13">
      <c r="A252" s="41" t="s">
        <v>3900</v>
      </c>
      <c r="B252" s="41" t="str">
        <f>_xlfn.TEXTAFTER(_xlfn.TEXTBEFORE(tblCost[[#This Row],[RequirementID]],".",-2),"cost.")</f>
        <v>building.garden@2</v>
      </c>
      <c r="C252" s="41" t="str">
        <f>_xlfn.XLOOKUP(tblCost[[#This Row],[TargetID]],tblTargets[TargetID],tblTargets[DisplayName],"")</f>
        <v>Garden Lv 2</v>
      </c>
      <c r="D252" s="41" t="str">
        <f>_xlfn.XLOOKUP(tblCost[[#This Row],[TargetID]],tblTargets[TargetID],tblTargets[TargetType],"")</f>
        <v>BUILDING</v>
      </c>
      <c r="E252" s="41" t="s">
        <v>666</v>
      </c>
      <c r="F252" s="62" t="str">
        <f>RIGHT(tblCost[[#This Row],[RequirementID]],1)</f>
        <v>1</v>
      </c>
      <c r="G252" s="41">
        <v>600</v>
      </c>
      <c r="H252" t="b">
        <f>COUNTIFS(tblCostChecklist[RequirementID],tblCost[[#This Row],[RequirementID]],tblCostChecklist[PlayerPaid],TRUE)&gt;0</f>
        <v>0</v>
      </c>
      <c r="I252" s="41">
        <f>COUNTIF(tblCost[TargetID],tblCost[[#This Row],[TargetID]])</f>
        <v>4</v>
      </c>
      <c r="J252" s="41">
        <f>COUNTIFS(tblCost[TargetID],tblCost[[#This Row],[TargetID]],tblCost[PlayerPaid],TRUE)</f>
        <v>0</v>
      </c>
      <c r="K252" s="41">
        <f>tblCost[[#This Row],[TargetRequirements]]-tblCost[[#This Row],[CompletedRequirements]]</f>
        <v>4</v>
      </c>
      <c r="L252" s="41" t="b">
        <f>tblCost[[#This Row],[RemainingRequirements]]=0</f>
        <v>0</v>
      </c>
      <c r="M252" s="43">
        <f>IF(tblCost[[#This Row],[TargetRequirements]]=0,0,tblCost[[#This Row],[CompletedRequirements]]/tblCost[[#This Row],[TargetRequirements]])</f>
        <v>0</v>
      </c>
    </row>
    <row r="253" spans="1:13">
      <c r="A253" s="41" t="s">
        <v>3901</v>
      </c>
      <c r="B253" s="41" t="str">
        <f>_xlfn.TEXTAFTER(_xlfn.TEXTBEFORE(tblCost[[#This Row],[RequirementID]],".",-2),"cost.")</f>
        <v>building.garden@2</v>
      </c>
      <c r="C253" s="41" t="str">
        <f>_xlfn.XLOOKUP(tblCost[[#This Row],[TargetID]],tblTargets[TargetID],tblTargets[DisplayName],"")</f>
        <v>Garden Lv 2</v>
      </c>
      <c r="D253" s="41" t="str">
        <f>_xlfn.XLOOKUP(tblCost[[#This Row],[TargetID]],tblTargets[TargetID],tblTargets[TargetType],"")</f>
        <v>BUILDING</v>
      </c>
      <c r="E253" s="41" t="s">
        <v>723</v>
      </c>
      <c r="F253" s="62" t="str">
        <f>RIGHT(tblCost[[#This Row],[RequirementID]],1)</f>
        <v>1</v>
      </c>
      <c r="G253" s="41">
        <v>300</v>
      </c>
      <c r="H253" t="b">
        <f>COUNTIFS(tblCostChecklist[RequirementID],tblCost[[#This Row],[RequirementID]],tblCostChecklist[PlayerPaid],TRUE)&gt;0</f>
        <v>0</v>
      </c>
      <c r="I253" s="41">
        <f>COUNTIF(tblCost[TargetID],tblCost[[#This Row],[TargetID]])</f>
        <v>4</v>
      </c>
      <c r="J253" s="41">
        <f>COUNTIFS(tblCost[TargetID],tblCost[[#This Row],[TargetID]],tblCost[PlayerPaid],TRUE)</f>
        <v>0</v>
      </c>
      <c r="K253" s="41">
        <f>tblCost[[#This Row],[TargetRequirements]]-tblCost[[#This Row],[CompletedRequirements]]</f>
        <v>4</v>
      </c>
      <c r="L253" s="41" t="b">
        <f>tblCost[[#This Row],[RemainingRequirements]]=0</f>
        <v>0</v>
      </c>
      <c r="M253" s="43">
        <f>IF(tblCost[[#This Row],[TargetRequirements]]=0,0,tblCost[[#This Row],[CompletedRequirements]]/tblCost[[#This Row],[TargetRequirements]])</f>
        <v>0</v>
      </c>
    </row>
    <row r="254" spans="1:13">
      <c r="A254" s="41" t="s">
        <v>3902</v>
      </c>
      <c r="B254" s="41" t="str">
        <f>_xlfn.TEXTAFTER(_xlfn.TEXTBEFORE(tblCost[[#This Row],[RequirementID]],".",-2),"cost.")</f>
        <v>building.garden@2</v>
      </c>
      <c r="C254" s="41" t="str">
        <f>_xlfn.XLOOKUP(tblCost[[#This Row],[TargetID]],tblTargets[TargetID],tblTargets[DisplayName],"")</f>
        <v>Garden Lv 2</v>
      </c>
      <c r="D254" s="41" t="str">
        <f>_xlfn.XLOOKUP(tblCost[[#This Row],[TargetID]],tblTargets[TargetID],tblTargets[TargetType],"")</f>
        <v>BUILDING</v>
      </c>
      <c r="E254" s="41" t="s">
        <v>717</v>
      </c>
      <c r="F254" s="62" t="str">
        <f>RIGHT(tblCost[[#This Row],[RequirementID]],1)</f>
        <v>1</v>
      </c>
      <c r="G254" s="41">
        <v>150</v>
      </c>
      <c r="H254" t="b">
        <f>COUNTIFS(tblCostChecklist[RequirementID],tblCost[[#This Row],[RequirementID]],tblCostChecklist[PlayerPaid],TRUE)&gt;0</f>
        <v>0</v>
      </c>
      <c r="I254" s="41">
        <f>COUNTIF(tblCost[TargetID],tblCost[[#This Row],[TargetID]])</f>
        <v>4</v>
      </c>
      <c r="J254" s="41">
        <f>COUNTIFS(tblCost[TargetID],tblCost[[#This Row],[TargetID]],tblCost[PlayerPaid],TRUE)</f>
        <v>0</v>
      </c>
      <c r="K254" s="41">
        <f>tblCost[[#This Row],[TargetRequirements]]-tblCost[[#This Row],[CompletedRequirements]]</f>
        <v>4</v>
      </c>
      <c r="L254" s="41" t="b">
        <f>tblCost[[#This Row],[RemainingRequirements]]=0</f>
        <v>0</v>
      </c>
      <c r="M254" s="43">
        <f>IF(tblCost[[#This Row],[TargetRequirements]]=0,0,tblCost[[#This Row],[CompletedRequirements]]/tblCost[[#This Row],[TargetRequirements]])</f>
        <v>0</v>
      </c>
    </row>
    <row r="255" spans="1:13">
      <c r="A255" s="41" t="s">
        <v>3903</v>
      </c>
      <c r="B255" s="41" t="str">
        <f>_xlfn.TEXTAFTER(_xlfn.TEXTBEFORE(tblCost[[#This Row],[RequirementID]],".",-2),"cost.")</f>
        <v>building.garden@3</v>
      </c>
      <c r="C255" s="41" t="str">
        <f>_xlfn.XLOOKUP(tblCost[[#This Row],[TargetID]],tblTargets[TargetID],tblTargets[DisplayName],"")</f>
        <v>Garden Lv 3</v>
      </c>
      <c r="D255" s="41" t="str">
        <f>_xlfn.XLOOKUP(tblCost[[#This Row],[TargetID]],tblTargets[TargetID],tblTargets[TargetType],"")</f>
        <v>BUILDING</v>
      </c>
      <c r="E255" s="41" t="s">
        <v>708</v>
      </c>
      <c r="F255" s="62" t="str">
        <f>RIGHT(tblCost[[#This Row],[RequirementID]],1)</f>
        <v>1</v>
      </c>
      <c r="G255" s="41">
        <v>4</v>
      </c>
      <c r="H255" t="b">
        <f>COUNTIFS(tblCostChecklist[RequirementID],tblCost[[#This Row],[RequirementID]],tblCostChecklist[PlayerPaid],TRUE)&gt;0</f>
        <v>0</v>
      </c>
      <c r="I255" s="41">
        <f>COUNTIF(tblCost[TargetID],tblCost[[#This Row],[TargetID]])</f>
        <v>4</v>
      </c>
      <c r="J255" s="41">
        <f>COUNTIFS(tblCost[TargetID],tblCost[[#This Row],[TargetID]],tblCost[PlayerPaid],TRUE)</f>
        <v>0</v>
      </c>
      <c r="K255" s="41">
        <f>tblCost[[#This Row],[TargetRequirements]]-tblCost[[#This Row],[CompletedRequirements]]</f>
        <v>4</v>
      </c>
      <c r="L255" s="41" t="b">
        <f>tblCost[[#This Row],[RemainingRequirements]]=0</f>
        <v>0</v>
      </c>
      <c r="M255" s="43">
        <f>IF(tblCost[[#This Row],[TargetRequirements]]=0,0,tblCost[[#This Row],[CompletedRequirements]]/tblCost[[#This Row],[TargetRequirements]])</f>
        <v>0</v>
      </c>
    </row>
    <row r="256" spans="1:13">
      <c r="A256" s="41" t="s">
        <v>3904</v>
      </c>
      <c r="B256" s="41" t="str">
        <f>_xlfn.TEXTAFTER(_xlfn.TEXTBEFORE(tblCost[[#This Row],[RequirementID]],".",-2),"cost.")</f>
        <v>building.garden@3</v>
      </c>
      <c r="C256" s="41" t="str">
        <f>_xlfn.XLOOKUP(tblCost[[#This Row],[TargetID]],tblTargets[TargetID],tblTargets[DisplayName],"")</f>
        <v>Garden Lv 3</v>
      </c>
      <c r="D256" s="41" t="str">
        <f>_xlfn.XLOOKUP(tblCost[[#This Row],[TargetID]],tblTargets[TargetID],tblTargets[TargetType],"")</f>
        <v>BUILDING</v>
      </c>
      <c r="E256" s="41" t="s">
        <v>666</v>
      </c>
      <c r="F256" s="62" t="str">
        <f>RIGHT(tblCost[[#This Row],[RequirementID]],1)</f>
        <v>1</v>
      </c>
      <c r="G256" s="41">
        <v>1000</v>
      </c>
      <c r="H256" t="b">
        <f>COUNTIFS(tblCostChecklist[RequirementID],tblCost[[#This Row],[RequirementID]],tblCostChecklist[PlayerPaid],TRUE)&gt;0</f>
        <v>0</v>
      </c>
      <c r="I256" s="41">
        <f>COUNTIF(tblCost[TargetID],tblCost[[#This Row],[TargetID]])</f>
        <v>4</v>
      </c>
      <c r="J256" s="41">
        <f>COUNTIFS(tblCost[TargetID],tblCost[[#This Row],[TargetID]],tblCost[PlayerPaid],TRUE)</f>
        <v>0</v>
      </c>
      <c r="K256" s="41">
        <f>tblCost[[#This Row],[TargetRequirements]]-tblCost[[#This Row],[CompletedRequirements]]</f>
        <v>4</v>
      </c>
      <c r="L256" s="41" t="b">
        <f>tblCost[[#This Row],[RemainingRequirements]]=0</f>
        <v>0</v>
      </c>
      <c r="M256" s="43">
        <f>IF(tblCost[[#This Row],[TargetRequirements]]=0,0,tblCost[[#This Row],[CompletedRequirements]]/tblCost[[#This Row],[TargetRequirements]])</f>
        <v>0</v>
      </c>
    </row>
    <row r="257" spans="1:13">
      <c r="A257" s="41" t="s">
        <v>3905</v>
      </c>
      <c r="B257" s="41" t="str">
        <f>_xlfn.TEXTAFTER(_xlfn.TEXTBEFORE(tblCost[[#This Row],[RequirementID]],".",-2),"cost.")</f>
        <v>building.garden@3</v>
      </c>
      <c r="C257" s="41" t="str">
        <f>_xlfn.XLOOKUP(tblCost[[#This Row],[TargetID]],tblTargets[TargetID],tblTargets[DisplayName],"")</f>
        <v>Garden Lv 3</v>
      </c>
      <c r="D257" s="41" t="str">
        <f>_xlfn.XLOOKUP(tblCost[[#This Row],[TargetID]],tblTargets[TargetID],tblTargets[TargetType],"")</f>
        <v>BUILDING</v>
      </c>
      <c r="E257" s="41" t="s">
        <v>658</v>
      </c>
      <c r="F257" s="62" t="str">
        <f>RIGHT(tblCost[[#This Row],[RequirementID]],1)</f>
        <v>1</v>
      </c>
      <c r="G257" s="41">
        <v>800</v>
      </c>
      <c r="H257" t="b">
        <f>COUNTIFS(tblCostChecklist[RequirementID],tblCost[[#This Row],[RequirementID]],tblCostChecklist[PlayerPaid],TRUE)&gt;0</f>
        <v>0</v>
      </c>
      <c r="I257" s="41">
        <f>COUNTIF(tblCost[TargetID],tblCost[[#This Row],[TargetID]])</f>
        <v>4</v>
      </c>
      <c r="J257" s="41">
        <f>COUNTIFS(tblCost[TargetID],tblCost[[#This Row],[TargetID]],tblCost[PlayerPaid],TRUE)</f>
        <v>0</v>
      </c>
      <c r="K257" s="41">
        <f>tblCost[[#This Row],[TargetRequirements]]-tblCost[[#This Row],[CompletedRequirements]]</f>
        <v>4</v>
      </c>
      <c r="L257" s="41" t="b">
        <f>tblCost[[#This Row],[RemainingRequirements]]=0</f>
        <v>0</v>
      </c>
      <c r="M257" s="43">
        <f>IF(tblCost[[#This Row],[TargetRequirements]]=0,0,tblCost[[#This Row],[CompletedRequirements]]/tblCost[[#This Row],[TargetRequirements]])</f>
        <v>0</v>
      </c>
    </row>
    <row r="258" spans="1:13">
      <c r="A258" s="41" t="s">
        <v>3906</v>
      </c>
      <c r="B258" s="41" t="str">
        <f>_xlfn.TEXTAFTER(_xlfn.TEXTBEFORE(tblCost[[#This Row],[RequirementID]],".",-2),"cost.")</f>
        <v>building.garden@3</v>
      </c>
      <c r="C258" s="41" t="str">
        <f>_xlfn.XLOOKUP(tblCost[[#This Row],[TargetID]],tblTargets[TargetID],tblTargets[DisplayName],"")</f>
        <v>Garden Lv 3</v>
      </c>
      <c r="D258" s="41" t="str">
        <f>_xlfn.XLOOKUP(tblCost[[#This Row],[TargetID]],tblTargets[TargetID],tblTargets[TargetType],"")</f>
        <v>BUILDING</v>
      </c>
      <c r="E258" s="41" t="s">
        <v>717</v>
      </c>
      <c r="F258" s="62" t="str">
        <f>RIGHT(tblCost[[#This Row],[RequirementID]],1)</f>
        <v>1</v>
      </c>
      <c r="G258" s="41">
        <v>200</v>
      </c>
      <c r="H258" t="b">
        <f>COUNTIFS(tblCostChecklist[RequirementID],tblCost[[#This Row],[RequirementID]],tblCostChecklist[PlayerPaid],TRUE)&gt;0</f>
        <v>0</v>
      </c>
      <c r="I258" s="41">
        <f>COUNTIF(tblCost[TargetID],tblCost[[#This Row],[TargetID]])</f>
        <v>4</v>
      </c>
      <c r="J258" s="41">
        <f>COUNTIFS(tblCost[TargetID],tblCost[[#This Row],[TargetID]],tblCost[PlayerPaid],TRUE)</f>
        <v>0</v>
      </c>
      <c r="K258" s="41">
        <f>tblCost[[#This Row],[TargetRequirements]]-tblCost[[#This Row],[CompletedRequirements]]</f>
        <v>4</v>
      </c>
      <c r="L258" s="41" t="b">
        <f>tblCost[[#This Row],[RemainingRequirements]]=0</f>
        <v>0</v>
      </c>
      <c r="M258" s="43">
        <f>IF(tblCost[[#This Row],[TargetRequirements]]=0,0,tblCost[[#This Row],[CompletedRequirements]]/tblCost[[#This Row],[TargetRequirements]])</f>
        <v>0</v>
      </c>
    </row>
    <row r="259" spans="1:13">
      <c r="A259" s="41" t="s">
        <v>3907</v>
      </c>
      <c r="B259" s="41" t="str">
        <f>_xlfn.TEXTAFTER(_xlfn.TEXTBEFORE(tblCost[[#This Row],[RequirementID]],".",-2),"cost.")</f>
        <v>building.gong@1</v>
      </c>
      <c r="C259" s="41" t="str">
        <f>_xlfn.XLOOKUP(tblCost[[#This Row],[TargetID]],tblTargets[TargetID],tblTargets[DisplayName],"")</f>
        <v>Gong Lv 1</v>
      </c>
      <c r="D259" s="41" t="str">
        <f>_xlfn.XLOOKUP(tblCost[[#This Row],[TargetID]],tblTargets[TargetID],tblTargets[TargetType],"")</f>
        <v>BUILDING</v>
      </c>
      <c r="E259" s="41" t="s">
        <v>708</v>
      </c>
      <c r="F259" s="62" t="str">
        <f>RIGHT(tblCost[[#This Row],[RequirementID]],1)</f>
        <v>1</v>
      </c>
      <c r="G259" s="41">
        <v>3</v>
      </c>
      <c r="H259" t="b">
        <f>COUNTIFS(tblCostChecklist[RequirementID],tblCost[[#This Row],[RequirementID]],tblCostChecklist[PlayerPaid],TRUE)&gt;0</f>
        <v>0</v>
      </c>
      <c r="I259" s="41">
        <f>COUNTIF(tblCost[TargetID],tblCost[[#This Row],[TargetID]])</f>
        <v>5</v>
      </c>
      <c r="J259" s="41">
        <f>COUNTIFS(tblCost[TargetID],tblCost[[#This Row],[TargetID]],tblCost[PlayerPaid],TRUE)</f>
        <v>0</v>
      </c>
      <c r="K259" s="41">
        <f>tblCost[[#This Row],[TargetRequirements]]-tblCost[[#This Row],[CompletedRequirements]]</f>
        <v>5</v>
      </c>
      <c r="L259" s="41" t="b">
        <f>tblCost[[#This Row],[RemainingRequirements]]=0</f>
        <v>0</v>
      </c>
      <c r="M259" s="43">
        <f>IF(tblCost[[#This Row],[TargetRequirements]]=0,0,tblCost[[#This Row],[CompletedRequirements]]/tblCost[[#This Row],[TargetRequirements]])</f>
        <v>0</v>
      </c>
    </row>
    <row r="260" spans="1:13">
      <c r="A260" s="41" t="s">
        <v>3908</v>
      </c>
      <c r="B260" s="41" t="str">
        <f>_xlfn.TEXTAFTER(_xlfn.TEXTBEFORE(tblCost[[#This Row],[RequirementID]],".",-2),"cost.")</f>
        <v>building.gong@1</v>
      </c>
      <c r="C260" s="41" t="str">
        <f>_xlfn.XLOOKUP(tblCost[[#This Row],[TargetID]],tblTargets[TargetID],tblTargets[DisplayName],"")</f>
        <v>Gong Lv 1</v>
      </c>
      <c r="D260" s="41" t="str">
        <f>_xlfn.XLOOKUP(tblCost[[#This Row],[TargetID]],tblTargets[TargetID],tblTargets[TargetType],"")</f>
        <v>BUILDING</v>
      </c>
      <c r="E260" s="41" t="s">
        <v>666</v>
      </c>
      <c r="F260" s="62" t="str">
        <f>RIGHT(tblCost[[#This Row],[RequirementID]],1)</f>
        <v>1</v>
      </c>
      <c r="G260" s="41">
        <v>200</v>
      </c>
      <c r="H260" t="b">
        <f>COUNTIFS(tblCostChecklist[RequirementID],tblCost[[#This Row],[RequirementID]],tblCostChecklist[PlayerPaid],TRUE)&gt;0</f>
        <v>0</v>
      </c>
      <c r="I260" s="41">
        <f>COUNTIF(tblCost[TargetID],tblCost[[#This Row],[TargetID]])</f>
        <v>5</v>
      </c>
      <c r="J260" s="41">
        <f>COUNTIFS(tblCost[TargetID],tblCost[[#This Row],[TargetID]],tblCost[PlayerPaid],TRUE)</f>
        <v>0</v>
      </c>
      <c r="K260" s="41">
        <f>tblCost[[#This Row],[TargetRequirements]]-tblCost[[#This Row],[CompletedRequirements]]</f>
        <v>5</v>
      </c>
      <c r="L260" s="41" t="b">
        <f>tblCost[[#This Row],[RemainingRequirements]]=0</f>
        <v>0</v>
      </c>
      <c r="M260" s="43">
        <f>IF(tblCost[[#This Row],[TargetRequirements]]=0,0,tblCost[[#This Row],[CompletedRequirements]]/tblCost[[#This Row],[TargetRequirements]])</f>
        <v>0</v>
      </c>
    </row>
    <row r="261" spans="1:13">
      <c r="A261" s="41" t="s">
        <v>3909</v>
      </c>
      <c r="B261" s="41" t="str">
        <f>_xlfn.TEXTAFTER(_xlfn.TEXTBEFORE(tblCost[[#This Row],[RequirementID]],".",-2),"cost.")</f>
        <v>building.gong@1</v>
      </c>
      <c r="C261" s="41" t="str">
        <f>_xlfn.XLOOKUP(tblCost[[#This Row],[TargetID]],tblTargets[TargetID],tblTargets[DisplayName],"")</f>
        <v>Gong Lv 1</v>
      </c>
      <c r="D261" s="41" t="str">
        <f>_xlfn.XLOOKUP(tblCost[[#This Row],[TargetID]],tblTargets[TargetID],tblTargets[TargetType],"")</f>
        <v>BUILDING</v>
      </c>
      <c r="E261" s="41" t="s">
        <v>723</v>
      </c>
      <c r="F261" s="62" t="str">
        <f>RIGHT(tblCost[[#This Row],[RequirementID]],1)</f>
        <v>1</v>
      </c>
      <c r="G261" s="41">
        <v>100</v>
      </c>
      <c r="H261" t="b">
        <f>COUNTIFS(tblCostChecklist[RequirementID],tblCost[[#This Row],[RequirementID]],tblCostChecklist[PlayerPaid],TRUE)&gt;0</f>
        <v>0</v>
      </c>
      <c r="I261" s="41">
        <f>COUNTIF(tblCost[TargetID],tblCost[[#This Row],[TargetID]])</f>
        <v>5</v>
      </c>
      <c r="J261" s="41">
        <f>COUNTIFS(tblCost[TargetID],tblCost[[#This Row],[TargetID]],tblCost[PlayerPaid],TRUE)</f>
        <v>0</v>
      </c>
      <c r="K261" s="41">
        <f>tblCost[[#This Row],[TargetRequirements]]-tblCost[[#This Row],[CompletedRequirements]]</f>
        <v>5</v>
      </c>
      <c r="L261" s="41" t="b">
        <f>tblCost[[#This Row],[RemainingRequirements]]=0</f>
        <v>0</v>
      </c>
      <c r="M261" s="43">
        <f>IF(tblCost[[#This Row],[TargetRequirements]]=0,0,tblCost[[#This Row],[CompletedRequirements]]/tblCost[[#This Row],[TargetRequirements]])</f>
        <v>0</v>
      </c>
    </row>
    <row r="262" spans="1:13">
      <c r="A262" s="41" t="s">
        <v>3910</v>
      </c>
      <c r="B262" s="41" t="str">
        <f>_xlfn.TEXTAFTER(_xlfn.TEXTBEFORE(tblCost[[#This Row],[RequirementID]],".",-2),"cost.")</f>
        <v>building.gong@1</v>
      </c>
      <c r="C262" s="41" t="str">
        <f>_xlfn.XLOOKUP(tblCost[[#This Row],[TargetID]],tblTargets[TargetID],tblTargets[DisplayName],"")</f>
        <v>Gong Lv 1</v>
      </c>
      <c r="D262" s="41" t="str">
        <f>_xlfn.XLOOKUP(tblCost[[#This Row],[TargetID]],tblTargets[TargetID],tblTargets[TargetType],"")</f>
        <v>BUILDING</v>
      </c>
      <c r="E262" s="41" t="s">
        <v>717</v>
      </c>
      <c r="F262" s="62" t="str">
        <f>RIGHT(tblCost[[#This Row],[RequirementID]],1)</f>
        <v>1</v>
      </c>
      <c r="G262" s="41">
        <v>50</v>
      </c>
      <c r="H262" t="b">
        <f>COUNTIFS(tblCostChecklist[RequirementID],tblCost[[#This Row],[RequirementID]],tblCostChecklist[PlayerPaid],TRUE)&gt;0</f>
        <v>0</v>
      </c>
      <c r="I262" s="41">
        <f>COUNTIF(tblCost[TargetID],tblCost[[#This Row],[TargetID]])</f>
        <v>5</v>
      </c>
      <c r="J262" s="41">
        <f>COUNTIFS(tblCost[TargetID],tblCost[[#This Row],[TargetID]],tblCost[PlayerPaid],TRUE)</f>
        <v>0</v>
      </c>
      <c r="K262" s="41">
        <f>tblCost[[#This Row],[TargetRequirements]]-tblCost[[#This Row],[CompletedRequirements]]</f>
        <v>5</v>
      </c>
      <c r="L262" s="41" t="b">
        <f>tblCost[[#This Row],[RemainingRequirements]]=0</f>
        <v>0</v>
      </c>
      <c r="M262" s="43">
        <f>IF(tblCost[[#This Row],[TargetRequirements]]=0,0,tblCost[[#This Row],[CompletedRequirements]]/tblCost[[#This Row],[TargetRequirements]])</f>
        <v>0</v>
      </c>
    </row>
    <row r="263" spans="1:13">
      <c r="A263" s="41" t="s">
        <v>3911</v>
      </c>
      <c r="B263" s="41" t="str">
        <f>_xlfn.TEXTAFTER(_xlfn.TEXTBEFORE(tblCost[[#This Row],[RequirementID]],".",-2),"cost.")</f>
        <v>building.gong@1</v>
      </c>
      <c r="C263" s="41" t="str">
        <f>_xlfn.XLOOKUP(tblCost[[#This Row],[TargetID]],tblTargets[TargetID],tblTargets[DisplayName],"")</f>
        <v>Gong Lv 1</v>
      </c>
      <c r="D263" s="41" t="str">
        <f>_xlfn.XLOOKUP(tblCost[[#This Row],[TargetID]],tblTargets[TargetID],tblTargets[TargetType],"")</f>
        <v>BUILDING</v>
      </c>
      <c r="E263" s="41" t="s">
        <v>716</v>
      </c>
      <c r="F263" s="62" t="str">
        <f>RIGHT(tblCost[[#This Row],[RequirementID]],1)</f>
        <v>1</v>
      </c>
      <c r="G263" s="41">
        <v>50</v>
      </c>
      <c r="H263" t="b">
        <f>COUNTIFS(tblCostChecklist[RequirementID],tblCost[[#This Row],[RequirementID]],tblCostChecklist[PlayerPaid],TRUE)&gt;0</f>
        <v>0</v>
      </c>
      <c r="I263" s="41">
        <f>COUNTIF(tblCost[TargetID],tblCost[[#This Row],[TargetID]])</f>
        <v>5</v>
      </c>
      <c r="J263" s="41">
        <f>COUNTIFS(tblCost[TargetID],tblCost[[#This Row],[TargetID]],tblCost[PlayerPaid],TRUE)</f>
        <v>0</v>
      </c>
      <c r="K263" s="41">
        <f>tblCost[[#This Row],[TargetRequirements]]-tblCost[[#This Row],[CompletedRequirements]]</f>
        <v>5</v>
      </c>
      <c r="L263" s="41" t="b">
        <f>tblCost[[#This Row],[RemainingRequirements]]=0</f>
        <v>0</v>
      </c>
      <c r="M263" s="43">
        <f>IF(tblCost[[#This Row],[TargetRequirements]]=0,0,tblCost[[#This Row],[CompletedRequirements]]/tblCost[[#This Row],[TargetRequirements]])</f>
        <v>0</v>
      </c>
    </row>
    <row r="264" spans="1:13">
      <c r="A264" s="41" t="s">
        <v>3912</v>
      </c>
      <c r="B264" s="41" t="str">
        <f>_xlfn.TEXTAFTER(_xlfn.TEXTBEFORE(tblCost[[#This Row],[RequirementID]],".",-2),"cost.")</f>
        <v>building.guild@2</v>
      </c>
      <c r="C264" s="41" t="str">
        <f>_xlfn.XLOOKUP(tblCost[[#This Row],[TargetID]],tblTargets[TargetID],tblTargets[DisplayName],"")</f>
        <v>Guild Lv 2</v>
      </c>
      <c r="D264" s="41" t="str">
        <f>_xlfn.XLOOKUP(tblCost[[#This Row],[TargetID]],tblTargets[TargetID],tblTargets[TargetType],"")</f>
        <v>BUILDING</v>
      </c>
      <c r="E264" s="41" t="s">
        <v>708</v>
      </c>
      <c r="F264" s="62" t="str">
        <f>RIGHT(tblCost[[#This Row],[RequirementID]],1)</f>
        <v>1</v>
      </c>
      <c r="G264" s="41">
        <v>1</v>
      </c>
      <c r="H264" t="b">
        <f>COUNTIFS(tblCostChecklist[RequirementID],tblCost[[#This Row],[RequirementID]],tblCostChecklist[PlayerPaid],TRUE)&gt;0</f>
        <v>0</v>
      </c>
      <c r="I264" s="41">
        <f>COUNTIF(tblCost[TargetID],tblCost[[#This Row],[TargetID]])</f>
        <v>4</v>
      </c>
      <c r="J264" s="41">
        <f>COUNTIFS(tblCost[TargetID],tblCost[[#This Row],[TargetID]],tblCost[PlayerPaid],TRUE)</f>
        <v>0</v>
      </c>
      <c r="K264" s="41">
        <f>tblCost[[#This Row],[TargetRequirements]]-tblCost[[#This Row],[CompletedRequirements]]</f>
        <v>4</v>
      </c>
      <c r="L264" s="41" t="b">
        <f>tblCost[[#This Row],[RemainingRequirements]]=0</f>
        <v>0</v>
      </c>
      <c r="M264" s="43">
        <f>IF(tblCost[[#This Row],[TargetRequirements]]=0,0,tblCost[[#This Row],[CompletedRequirements]]/tblCost[[#This Row],[TargetRequirements]])</f>
        <v>0</v>
      </c>
    </row>
    <row r="265" spans="1:13">
      <c r="A265" s="41" t="s">
        <v>3913</v>
      </c>
      <c r="B265" s="41" t="str">
        <f>_xlfn.TEXTAFTER(_xlfn.TEXTBEFORE(tblCost[[#This Row],[RequirementID]],".",-2),"cost.")</f>
        <v>building.guild@2</v>
      </c>
      <c r="C265" s="41" t="str">
        <f>_xlfn.XLOOKUP(tblCost[[#This Row],[TargetID]],tblTargets[TargetID],tblTargets[DisplayName],"")</f>
        <v>Guild Lv 2</v>
      </c>
      <c r="D265" s="41" t="str">
        <f>_xlfn.XLOOKUP(tblCost[[#This Row],[TargetID]],tblTargets[TargetID],tblTargets[TargetType],"")</f>
        <v>BUILDING</v>
      </c>
      <c r="E265" s="41" t="s">
        <v>666</v>
      </c>
      <c r="F265" s="62" t="str">
        <f>RIGHT(tblCost[[#This Row],[RequirementID]],1)</f>
        <v>1</v>
      </c>
      <c r="G265" s="41">
        <v>50</v>
      </c>
      <c r="H265" t="b">
        <f>COUNTIFS(tblCostChecklist[RequirementID],tblCost[[#This Row],[RequirementID]],tblCostChecklist[PlayerPaid],TRUE)&gt;0</f>
        <v>0</v>
      </c>
      <c r="I265" s="41">
        <f>COUNTIF(tblCost[TargetID],tblCost[[#This Row],[TargetID]])</f>
        <v>4</v>
      </c>
      <c r="J265" s="41">
        <f>COUNTIFS(tblCost[TargetID],tblCost[[#This Row],[TargetID]],tblCost[PlayerPaid],TRUE)</f>
        <v>0</v>
      </c>
      <c r="K265" s="41">
        <f>tblCost[[#This Row],[TargetRequirements]]-tblCost[[#This Row],[CompletedRequirements]]</f>
        <v>4</v>
      </c>
      <c r="L265" s="41" t="b">
        <f>tblCost[[#This Row],[RemainingRequirements]]=0</f>
        <v>0</v>
      </c>
      <c r="M265" s="43">
        <f>IF(tblCost[[#This Row],[TargetRequirements]]=0,0,tblCost[[#This Row],[CompletedRequirements]]/tblCost[[#This Row],[TargetRequirements]])</f>
        <v>0</v>
      </c>
    </row>
    <row r="266" spans="1:13">
      <c r="A266" s="41" t="s">
        <v>3914</v>
      </c>
      <c r="B266" s="41" t="str">
        <f>_xlfn.TEXTAFTER(_xlfn.TEXTBEFORE(tblCost[[#This Row],[RequirementID]],".",-2),"cost.")</f>
        <v>building.guild@2</v>
      </c>
      <c r="C266" s="41" t="str">
        <f>_xlfn.XLOOKUP(tblCost[[#This Row],[TargetID]],tblTargets[TargetID],tblTargets[DisplayName],"")</f>
        <v>Guild Lv 2</v>
      </c>
      <c r="D266" s="41" t="str">
        <f>_xlfn.XLOOKUP(tblCost[[#This Row],[TargetID]],tblTargets[TargetID],tblTargets[TargetType],"")</f>
        <v>BUILDING</v>
      </c>
      <c r="E266" s="41" t="s">
        <v>723</v>
      </c>
      <c r="F266" s="62" t="str">
        <f>RIGHT(tblCost[[#This Row],[RequirementID]],1)</f>
        <v>1</v>
      </c>
      <c r="G266" s="41">
        <v>50</v>
      </c>
      <c r="H266" t="b">
        <f>COUNTIFS(tblCostChecklist[RequirementID],tblCost[[#This Row],[RequirementID]],tblCostChecklist[PlayerPaid],TRUE)&gt;0</f>
        <v>0</v>
      </c>
      <c r="I266" s="41">
        <f>COUNTIF(tblCost[TargetID],tblCost[[#This Row],[TargetID]])</f>
        <v>4</v>
      </c>
      <c r="J266" s="41">
        <f>COUNTIFS(tblCost[TargetID],tblCost[[#This Row],[TargetID]],tblCost[PlayerPaid],TRUE)</f>
        <v>0</v>
      </c>
      <c r="K266" s="41">
        <f>tblCost[[#This Row],[TargetRequirements]]-tblCost[[#This Row],[CompletedRequirements]]</f>
        <v>4</v>
      </c>
      <c r="L266" s="41" t="b">
        <f>tblCost[[#This Row],[RemainingRequirements]]=0</f>
        <v>0</v>
      </c>
      <c r="M266" s="43">
        <f>IF(tblCost[[#This Row],[TargetRequirements]]=0,0,tblCost[[#This Row],[CompletedRequirements]]/tblCost[[#This Row],[TargetRequirements]])</f>
        <v>0</v>
      </c>
    </row>
    <row r="267" spans="1:13">
      <c r="A267" s="41" t="s">
        <v>3915</v>
      </c>
      <c r="B267" s="41" t="str">
        <f>_xlfn.TEXTAFTER(_xlfn.TEXTBEFORE(tblCost[[#This Row],[RequirementID]],".",-2),"cost.")</f>
        <v>building.guild@2</v>
      </c>
      <c r="C267" s="41" t="str">
        <f>_xlfn.XLOOKUP(tblCost[[#This Row],[TargetID]],tblTargets[TargetID],tblTargets[DisplayName],"")</f>
        <v>Guild Lv 2</v>
      </c>
      <c r="D267" s="41" t="str">
        <f>_xlfn.XLOOKUP(tblCost[[#This Row],[TargetID]],tblTargets[TargetID],tblTargets[TargetType],"")</f>
        <v>BUILDING</v>
      </c>
      <c r="E267" s="41" t="s">
        <v>717</v>
      </c>
      <c r="F267" s="62" t="str">
        <f>RIGHT(tblCost[[#This Row],[RequirementID]],1)</f>
        <v>1</v>
      </c>
      <c r="G267" s="41">
        <v>50</v>
      </c>
      <c r="H267" t="b">
        <f>COUNTIFS(tblCostChecklist[RequirementID],tblCost[[#This Row],[RequirementID]],tblCostChecklist[PlayerPaid],TRUE)&gt;0</f>
        <v>0</v>
      </c>
      <c r="I267" s="41">
        <f>COUNTIF(tblCost[TargetID],tblCost[[#This Row],[TargetID]])</f>
        <v>4</v>
      </c>
      <c r="J267" s="41">
        <f>COUNTIFS(tblCost[TargetID],tblCost[[#This Row],[TargetID]],tblCost[PlayerPaid],TRUE)</f>
        <v>0</v>
      </c>
      <c r="K267" s="41">
        <f>tblCost[[#This Row],[TargetRequirements]]-tblCost[[#This Row],[CompletedRequirements]]</f>
        <v>4</v>
      </c>
      <c r="L267" s="41" t="b">
        <f>tblCost[[#This Row],[RemainingRequirements]]=0</f>
        <v>0</v>
      </c>
      <c r="M267" s="43">
        <f>IF(tblCost[[#This Row],[TargetRequirements]]=0,0,tblCost[[#This Row],[CompletedRequirements]]/tblCost[[#This Row],[TargetRequirements]])</f>
        <v>0</v>
      </c>
    </row>
    <row r="268" spans="1:13">
      <c r="A268" s="41" t="s">
        <v>3916</v>
      </c>
      <c r="B268" s="41" t="str">
        <f>_xlfn.TEXTAFTER(_xlfn.TEXTBEFORE(tblCost[[#This Row],[RequirementID]],".",-2),"cost.")</f>
        <v>building.guild@3</v>
      </c>
      <c r="C268" s="41" t="str">
        <f>_xlfn.XLOOKUP(tblCost[[#This Row],[TargetID]],tblTargets[TargetID],tblTargets[DisplayName],"")</f>
        <v>Guild Lv 3</v>
      </c>
      <c r="D268" s="41" t="str">
        <f>_xlfn.XLOOKUP(tblCost[[#This Row],[TargetID]],tblTargets[TargetID],tblTargets[TargetType],"")</f>
        <v>BUILDING</v>
      </c>
      <c r="E268" s="41" t="s">
        <v>708</v>
      </c>
      <c r="F268" s="62" t="str">
        <f>RIGHT(tblCost[[#This Row],[RequirementID]],1)</f>
        <v>1</v>
      </c>
      <c r="G268" s="41">
        <v>2</v>
      </c>
      <c r="H268" t="b">
        <f>COUNTIFS(tblCostChecklist[RequirementID],tblCost[[#This Row],[RequirementID]],tblCostChecklist[PlayerPaid],TRUE)&gt;0</f>
        <v>0</v>
      </c>
      <c r="I268" s="41">
        <f>COUNTIF(tblCost[TargetID],tblCost[[#This Row],[TargetID]])</f>
        <v>4</v>
      </c>
      <c r="J268" s="41">
        <f>COUNTIFS(tblCost[TargetID],tblCost[[#This Row],[TargetID]],tblCost[PlayerPaid],TRUE)</f>
        <v>0</v>
      </c>
      <c r="K268" s="41">
        <f>tblCost[[#This Row],[TargetRequirements]]-tblCost[[#This Row],[CompletedRequirements]]</f>
        <v>4</v>
      </c>
      <c r="L268" s="41" t="b">
        <f>tblCost[[#This Row],[RemainingRequirements]]=0</f>
        <v>0</v>
      </c>
      <c r="M268" s="43">
        <f>IF(tblCost[[#This Row],[TargetRequirements]]=0,0,tblCost[[#This Row],[CompletedRequirements]]/tblCost[[#This Row],[TargetRequirements]])</f>
        <v>0</v>
      </c>
    </row>
    <row r="269" spans="1:13">
      <c r="A269" s="41" t="s">
        <v>3917</v>
      </c>
      <c r="B269" s="41" t="str">
        <f>_xlfn.TEXTAFTER(_xlfn.TEXTBEFORE(tblCost[[#This Row],[RequirementID]],".",-2),"cost.")</f>
        <v>building.guild@3</v>
      </c>
      <c r="C269" s="41" t="str">
        <f>_xlfn.XLOOKUP(tblCost[[#This Row],[TargetID]],tblTargets[TargetID],tblTargets[DisplayName],"")</f>
        <v>Guild Lv 3</v>
      </c>
      <c r="D269" s="41" t="str">
        <f>_xlfn.XLOOKUP(tblCost[[#This Row],[TargetID]],tblTargets[TargetID],tblTargets[TargetType],"")</f>
        <v>BUILDING</v>
      </c>
      <c r="E269" s="41" t="s">
        <v>666</v>
      </c>
      <c r="F269" s="62" t="str">
        <f>RIGHT(tblCost[[#This Row],[RequirementID]],1)</f>
        <v>1</v>
      </c>
      <c r="G269" s="41">
        <v>150</v>
      </c>
      <c r="H269" t="b">
        <f>COUNTIFS(tblCostChecklist[RequirementID],tblCost[[#This Row],[RequirementID]],tblCostChecklist[PlayerPaid],TRUE)&gt;0</f>
        <v>0</v>
      </c>
      <c r="I269" s="41">
        <f>COUNTIF(tblCost[TargetID],tblCost[[#This Row],[TargetID]])</f>
        <v>4</v>
      </c>
      <c r="J269" s="41">
        <f>COUNTIFS(tblCost[TargetID],tblCost[[#This Row],[TargetID]],tblCost[PlayerPaid],TRUE)</f>
        <v>0</v>
      </c>
      <c r="K269" s="41">
        <f>tblCost[[#This Row],[TargetRequirements]]-tblCost[[#This Row],[CompletedRequirements]]</f>
        <v>4</v>
      </c>
      <c r="L269" s="41" t="b">
        <f>tblCost[[#This Row],[RemainingRequirements]]=0</f>
        <v>0</v>
      </c>
      <c r="M269" s="43">
        <f>IF(tblCost[[#This Row],[TargetRequirements]]=0,0,tblCost[[#This Row],[CompletedRequirements]]/tblCost[[#This Row],[TargetRequirements]])</f>
        <v>0</v>
      </c>
    </row>
    <row r="270" spans="1:13">
      <c r="A270" s="41" t="s">
        <v>3918</v>
      </c>
      <c r="B270" s="41" t="str">
        <f>_xlfn.TEXTAFTER(_xlfn.TEXTBEFORE(tblCost[[#This Row],[RequirementID]],".",-2),"cost.")</f>
        <v>building.guild@3</v>
      </c>
      <c r="C270" s="41" t="str">
        <f>_xlfn.XLOOKUP(tblCost[[#This Row],[TargetID]],tblTargets[TargetID],tblTargets[DisplayName],"")</f>
        <v>Guild Lv 3</v>
      </c>
      <c r="D270" s="41" t="str">
        <f>_xlfn.XLOOKUP(tblCost[[#This Row],[TargetID]],tblTargets[TargetID],tblTargets[TargetType],"")</f>
        <v>BUILDING</v>
      </c>
      <c r="E270" s="41" t="s">
        <v>658</v>
      </c>
      <c r="F270" s="62" t="str">
        <f>RIGHT(tblCost[[#This Row],[RequirementID]],1)</f>
        <v>1</v>
      </c>
      <c r="G270" s="41">
        <v>300</v>
      </c>
      <c r="H270" t="b">
        <f>COUNTIFS(tblCostChecklist[RequirementID],tblCost[[#This Row],[RequirementID]],tblCostChecklist[PlayerPaid],TRUE)&gt;0</f>
        <v>0</v>
      </c>
      <c r="I270" s="41">
        <f>COUNTIF(tblCost[TargetID],tblCost[[#This Row],[TargetID]])</f>
        <v>4</v>
      </c>
      <c r="J270" s="41">
        <f>COUNTIFS(tblCost[TargetID],tblCost[[#This Row],[TargetID]],tblCost[PlayerPaid],TRUE)</f>
        <v>0</v>
      </c>
      <c r="K270" s="41">
        <f>tblCost[[#This Row],[TargetRequirements]]-tblCost[[#This Row],[CompletedRequirements]]</f>
        <v>4</v>
      </c>
      <c r="L270" s="41" t="b">
        <f>tblCost[[#This Row],[RemainingRequirements]]=0</f>
        <v>0</v>
      </c>
      <c r="M270" s="43">
        <f>IF(tblCost[[#This Row],[TargetRequirements]]=0,0,tblCost[[#This Row],[CompletedRequirements]]/tblCost[[#This Row],[TargetRequirements]])</f>
        <v>0</v>
      </c>
    </row>
    <row r="271" spans="1:13">
      <c r="A271" s="41" t="s">
        <v>3919</v>
      </c>
      <c r="B271" s="41" t="str">
        <f>_xlfn.TEXTAFTER(_xlfn.TEXTBEFORE(tblCost[[#This Row],[RequirementID]],".",-2),"cost.")</f>
        <v>building.guild@3</v>
      </c>
      <c r="C271" s="41" t="str">
        <f>_xlfn.XLOOKUP(tblCost[[#This Row],[TargetID]],tblTargets[TargetID],tblTargets[DisplayName],"")</f>
        <v>Guild Lv 3</v>
      </c>
      <c r="D271" s="41" t="str">
        <f>_xlfn.XLOOKUP(tblCost[[#This Row],[TargetID]],tblTargets[TargetID],tblTargets[TargetType],"")</f>
        <v>BUILDING</v>
      </c>
      <c r="E271" s="41" t="s">
        <v>717</v>
      </c>
      <c r="F271" s="62" t="str">
        <f>RIGHT(tblCost[[#This Row],[RequirementID]],1)</f>
        <v>1</v>
      </c>
      <c r="G271" s="41">
        <v>150</v>
      </c>
      <c r="H271" t="b">
        <f>COUNTIFS(tblCostChecklist[RequirementID],tblCost[[#This Row],[RequirementID]],tblCostChecklist[PlayerPaid],TRUE)&gt;0</f>
        <v>0</v>
      </c>
      <c r="I271" s="41">
        <f>COUNTIF(tblCost[TargetID],tblCost[[#This Row],[TargetID]])</f>
        <v>4</v>
      </c>
      <c r="J271" s="41">
        <f>COUNTIFS(tblCost[TargetID],tblCost[[#This Row],[TargetID]],tblCost[PlayerPaid],TRUE)</f>
        <v>0</v>
      </c>
      <c r="K271" s="41">
        <f>tblCost[[#This Row],[TargetRequirements]]-tblCost[[#This Row],[CompletedRequirements]]</f>
        <v>4</v>
      </c>
      <c r="L271" s="41" t="b">
        <f>tblCost[[#This Row],[RemainingRequirements]]=0</f>
        <v>0</v>
      </c>
      <c r="M271" s="43">
        <f>IF(tblCost[[#This Row],[TargetRequirements]]=0,0,tblCost[[#This Row],[CompletedRequirements]]/tblCost[[#This Row],[TargetRequirements]])</f>
        <v>0</v>
      </c>
    </row>
    <row r="272" spans="1:13">
      <c r="A272" s="41" t="s">
        <v>3920</v>
      </c>
      <c r="B272" s="41" t="str">
        <f>_xlfn.TEXTAFTER(_xlfn.TEXTBEFORE(tblCost[[#This Row],[RequirementID]],".",-2),"cost.")</f>
        <v>building.guild@4</v>
      </c>
      <c r="C272" s="41" t="str">
        <f>_xlfn.XLOOKUP(tblCost[[#This Row],[TargetID]],tblTargets[TargetID],tblTargets[DisplayName],"")</f>
        <v>Guild Lv 4</v>
      </c>
      <c r="D272" s="41" t="str">
        <f>_xlfn.XLOOKUP(tblCost[[#This Row],[TargetID]],tblTargets[TargetID],tblTargets[TargetType],"")</f>
        <v>BUILDING</v>
      </c>
      <c r="E272" s="41" t="s">
        <v>708</v>
      </c>
      <c r="F272" s="62" t="str">
        <f>RIGHT(tblCost[[#This Row],[RequirementID]],1)</f>
        <v>1</v>
      </c>
      <c r="G272" s="41">
        <v>4</v>
      </c>
      <c r="H272" t="b">
        <f>COUNTIFS(tblCostChecklist[RequirementID],tblCost[[#This Row],[RequirementID]],tblCostChecklist[PlayerPaid],TRUE)&gt;0</f>
        <v>0</v>
      </c>
      <c r="I272" s="41">
        <f>COUNTIF(tblCost[TargetID],tblCost[[#This Row],[TargetID]])</f>
        <v>5</v>
      </c>
      <c r="J272" s="41">
        <f>COUNTIFS(tblCost[TargetID],tblCost[[#This Row],[TargetID]],tblCost[PlayerPaid],TRUE)</f>
        <v>0</v>
      </c>
      <c r="K272" s="41">
        <f>tblCost[[#This Row],[TargetRequirements]]-tblCost[[#This Row],[CompletedRequirements]]</f>
        <v>5</v>
      </c>
      <c r="L272" s="41" t="b">
        <f>tblCost[[#This Row],[RemainingRequirements]]=0</f>
        <v>0</v>
      </c>
      <c r="M272" s="43">
        <f>IF(tblCost[[#This Row],[TargetRequirements]]=0,0,tblCost[[#This Row],[CompletedRequirements]]/tblCost[[#This Row],[TargetRequirements]])</f>
        <v>0</v>
      </c>
    </row>
    <row r="273" spans="1:13">
      <c r="A273" s="41" t="s">
        <v>3921</v>
      </c>
      <c r="B273" s="41" t="str">
        <f>_xlfn.TEXTAFTER(_xlfn.TEXTBEFORE(tblCost[[#This Row],[RequirementID]],".",-2),"cost.")</f>
        <v>building.guild@4</v>
      </c>
      <c r="C273" s="41" t="str">
        <f>_xlfn.XLOOKUP(tblCost[[#This Row],[TargetID]],tblTargets[TargetID],tblTargets[DisplayName],"")</f>
        <v>Guild Lv 4</v>
      </c>
      <c r="D273" s="41" t="str">
        <f>_xlfn.XLOOKUP(tblCost[[#This Row],[TargetID]],tblTargets[TargetID],tblTargets[TargetType],"")</f>
        <v>BUILDING</v>
      </c>
      <c r="E273" s="41" t="s">
        <v>666</v>
      </c>
      <c r="F273" s="62" t="str">
        <f>RIGHT(tblCost[[#This Row],[RequirementID]],1)</f>
        <v>1</v>
      </c>
      <c r="G273" s="41">
        <v>250</v>
      </c>
      <c r="H273" t="b">
        <f>COUNTIFS(tblCostChecklist[RequirementID],tblCost[[#This Row],[RequirementID]],tblCostChecklist[PlayerPaid],TRUE)&gt;0</f>
        <v>0</v>
      </c>
      <c r="I273" s="41">
        <f>COUNTIF(tblCost[TargetID],tblCost[[#This Row],[TargetID]])</f>
        <v>5</v>
      </c>
      <c r="J273" s="41">
        <f>COUNTIFS(tblCost[TargetID],tblCost[[#This Row],[TargetID]],tblCost[PlayerPaid],TRUE)</f>
        <v>0</v>
      </c>
      <c r="K273" s="41">
        <f>tblCost[[#This Row],[TargetRequirements]]-tblCost[[#This Row],[CompletedRequirements]]</f>
        <v>5</v>
      </c>
      <c r="L273" s="41" t="b">
        <f>tblCost[[#This Row],[RemainingRequirements]]=0</f>
        <v>0</v>
      </c>
      <c r="M273" s="43">
        <f>IF(tblCost[[#This Row],[TargetRequirements]]=0,0,tblCost[[#This Row],[CompletedRequirements]]/tblCost[[#This Row],[TargetRequirements]])</f>
        <v>0</v>
      </c>
    </row>
    <row r="274" spans="1:13">
      <c r="A274" s="41" t="s">
        <v>3922</v>
      </c>
      <c r="B274" s="41" t="str">
        <f>_xlfn.TEXTAFTER(_xlfn.TEXTBEFORE(tblCost[[#This Row],[RequirementID]],".",-2),"cost.")</f>
        <v>building.guild@4</v>
      </c>
      <c r="C274" s="41" t="str">
        <f>_xlfn.XLOOKUP(tblCost[[#This Row],[TargetID]],tblTargets[TargetID],tblTargets[DisplayName],"")</f>
        <v>Guild Lv 4</v>
      </c>
      <c r="D274" s="41" t="str">
        <f>_xlfn.XLOOKUP(tblCost[[#This Row],[TargetID]],tblTargets[TargetID],tblTargets[TargetType],"")</f>
        <v>BUILDING</v>
      </c>
      <c r="E274" s="41" t="s">
        <v>658</v>
      </c>
      <c r="F274" s="62" t="str">
        <f>RIGHT(tblCost[[#This Row],[RequirementID]],1)</f>
        <v>1</v>
      </c>
      <c r="G274" s="41">
        <v>500</v>
      </c>
      <c r="H274" t="b">
        <f>COUNTIFS(tblCostChecklist[RequirementID],tblCost[[#This Row],[RequirementID]],tblCostChecklist[PlayerPaid],TRUE)&gt;0</f>
        <v>0</v>
      </c>
      <c r="I274" s="41">
        <f>COUNTIF(tblCost[TargetID],tblCost[[#This Row],[TargetID]])</f>
        <v>5</v>
      </c>
      <c r="J274" s="41">
        <f>COUNTIFS(tblCost[TargetID],tblCost[[#This Row],[TargetID]],tblCost[PlayerPaid],TRUE)</f>
        <v>0</v>
      </c>
      <c r="K274" s="41">
        <f>tblCost[[#This Row],[TargetRequirements]]-tblCost[[#This Row],[CompletedRequirements]]</f>
        <v>5</v>
      </c>
      <c r="L274" s="41" t="b">
        <f>tblCost[[#This Row],[RemainingRequirements]]=0</f>
        <v>0</v>
      </c>
      <c r="M274" s="43">
        <f>IF(tblCost[[#This Row],[TargetRequirements]]=0,0,tblCost[[#This Row],[CompletedRequirements]]/tblCost[[#This Row],[TargetRequirements]])</f>
        <v>0</v>
      </c>
    </row>
    <row r="275" spans="1:13">
      <c r="A275" s="41" t="s">
        <v>3923</v>
      </c>
      <c r="B275" s="41" t="str">
        <f>_xlfn.TEXTAFTER(_xlfn.TEXTBEFORE(tblCost[[#This Row],[RequirementID]],".",-2),"cost.")</f>
        <v>building.guild@4</v>
      </c>
      <c r="C275" s="41" t="str">
        <f>_xlfn.XLOOKUP(tblCost[[#This Row],[TargetID]],tblTargets[TargetID],tblTargets[DisplayName],"")</f>
        <v>Guild Lv 4</v>
      </c>
      <c r="D275" s="41" t="str">
        <f>_xlfn.XLOOKUP(tblCost[[#This Row],[TargetID]],tblTargets[TargetID],tblTargets[TargetType],"")</f>
        <v>BUILDING</v>
      </c>
      <c r="E275" s="41" t="s">
        <v>717</v>
      </c>
      <c r="F275" s="62" t="str">
        <f>RIGHT(tblCost[[#This Row],[RequirementID]],1)</f>
        <v>1</v>
      </c>
      <c r="G275" s="41">
        <v>250</v>
      </c>
      <c r="H275" t="b">
        <f>COUNTIFS(tblCostChecklist[RequirementID],tblCost[[#This Row],[RequirementID]],tblCostChecklist[PlayerPaid],TRUE)&gt;0</f>
        <v>0</v>
      </c>
      <c r="I275" s="41">
        <f>COUNTIF(tblCost[TargetID],tblCost[[#This Row],[TargetID]])</f>
        <v>5</v>
      </c>
      <c r="J275" s="41">
        <f>COUNTIFS(tblCost[TargetID],tblCost[[#This Row],[TargetID]],tblCost[PlayerPaid],TRUE)</f>
        <v>0</v>
      </c>
      <c r="K275" s="41">
        <f>tblCost[[#This Row],[TargetRequirements]]-tblCost[[#This Row],[CompletedRequirements]]</f>
        <v>5</v>
      </c>
      <c r="L275" s="41" t="b">
        <f>tblCost[[#This Row],[RemainingRequirements]]=0</f>
        <v>0</v>
      </c>
      <c r="M275" s="43">
        <f>IF(tblCost[[#This Row],[TargetRequirements]]=0,0,tblCost[[#This Row],[CompletedRequirements]]/tblCost[[#This Row],[TargetRequirements]])</f>
        <v>0</v>
      </c>
    </row>
    <row r="276" spans="1:13">
      <c r="A276" s="41" t="s">
        <v>3924</v>
      </c>
      <c r="B276" s="41" t="str">
        <f>_xlfn.TEXTAFTER(_xlfn.TEXTBEFORE(tblCost[[#This Row],[RequirementID]],".",-2),"cost.")</f>
        <v>building.guild@4</v>
      </c>
      <c r="C276" s="41" t="str">
        <f>_xlfn.XLOOKUP(tblCost[[#This Row],[TargetID]],tblTargets[TargetID],tblTargets[DisplayName],"")</f>
        <v>Guild Lv 4</v>
      </c>
      <c r="D276" s="41" t="str">
        <f>_xlfn.XLOOKUP(tblCost[[#This Row],[TargetID]],tblTargets[TargetID],tblTargets[TargetType],"")</f>
        <v>BUILDING</v>
      </c>
      <c r="E276" s="41" t="s">
        <v>716</v>
      </c>
      <c r="F276" s="62" t="str">
        <f>RIGHT(tblCost[[#This Row],[RequirementID]],1)</f>
        <v>1</v>
      </c>
      <c r="G276" s="41">
        <v>40</v>
      </c>
      <c r="H276" t="b">
        <f>COUNTIFS(tblCostChecklist[RequirementID],tblCost[[#This Row],[RequirementID]],tblCostChecklist[PlayerPaid],TRUE)&gt;0</f>
        <v>0</v>
      </c>
      <c r="I276" s="41">
        <f>COUNTIF(tblCost[TargetID],tblCost[[#This Row],[TargetID]])</f>
        <v>5</v>
      </c>
      <c r="J276" s="41">
        <f>COUNTIFS(tblCost[TargetID],tblCost[[#This Row],[TargetID]],tblCost[PlayerPaid],TRUE)</f>
        <v>0</v>
      </c>
      <c r="K276" s="41">
        <f>tblCost[[#This Row],[TargetRequirements]]-tblCost[[#This Row],[CompletedRequirements]]</f>
        <v>5</v>
      </c>
      <c r="L276" s="41" t="b">
        <f>tblCost[[#This Row],[RemainingRequirements]]=0</f>
        <v>0</v>
      </c>
      <c r="M276" s="43">
        <f>IF(tblCost[[#This Row],[TargetRequirements]]=0,0,tblCost[[#This Row],[CompletedRequirements]]/tblCost[[#This Row],[TargetRequirements]])</f>
        <v>0</v>
      </c>
    </row>
    <row r="277" spans="1:13">
      <c r="A277" s="41" t="s">
        <v>3925</v>
      </c>
      <c r="B277" s="41" t="str">
        <f>_xlfn.TEXTAFTER(_xlfn.TEXTBEFORE(tblCost[[#This Row],[RequirementID]],".",-2),"cost.")</f>
        <v>building.guild@5</v>
      </c>
      <c r="C277" s="41" t="str">
        <f>_xlfn.XLOOKUP(tblCost[[#This Row],[TargetID]],tblTargets[TargetID],tblTargets[DisplayName],"")</f>
        <v>Guild Lv 5</v>
      </c>
      <c r="D277" s="41" t="str">
        <f>_xlfn.XLOOKUP(tblCost[[#This Row],[TargetID]],tblTargets[TargetID],tblTargets[TargetType],"")</f>
        <v>BUILDING</v>
      </c>
      <c r="E277" s="41" t="s">
        <v>708</v>
      </c>
      <c r="F277" s="62" t="str">
        <f>RIGHT(tblCost[[#This Row],[RequirementID]],1)</f>
        <v>1</v>
      </c>
      <c r="G277" s="41">
        <v>8</v>
      </c>
      <c r="H277" t="b">
        <f>COUNTIFS(tblCostChecklist[RequirementID],tblCost[[#This Row],[RequirementID]],tblCostChecklist[PlayerPaid],TRUE)&gt;0</f>
        <v>0</v>
      </c>
      <c r="I277" s="41">
        <f>COUNTIF(tblCost[TargetID],tblCost[[#This Row],[TargetID]])</f>
        <v>5</v>
      </c>
      <c r="J277" s="41">
        <f>COUNTIFS(tblCost[TargetID],tblCost[[#This Row],[TargetID]],tblCost[PlayerPaid],TRUE)</f>
        <v>0</v>
      </c>
      <c r="K277" s="41">
        <f>tblCost[[#This Row],[TargetRequirements]]-tblCost[[#This Row],[CompletedRequirements]]</f>
        <v>5</v>
      </c>
      <c r="L277" s="41" t="b">
        <f>tblCost[[#This Row],[RemainingRequirements]]=0</f>
        <v>0</v>
      </c>
      <c r="M277" s="43">
        <f>IF(tblCost[[#This Row],[TargetRequirements]]=0,0,tblCost[[#This Row],[CompletedRequirements]]/tblCost[[#This Row],[TargetRequirements]])</f>
        <v>0</v>
      </c>
    </row>
    <row r="278" spans="1:13">
      <c r="A278" s="41" t="s">
        <v>3926</v>
      </c>
      <c r="B278" s="41" t="str">
        <f>_xlfn.TEXTAFTER(_xlfn.TEXTBEFORE(tblCost[[#This Row],[RequirementID]],".",-2),"cost.")</f>
        <v>building.guild@5</v>
      </c>
      <c r="C278" s="41" t="str">
        <f>_xlfn.XLOOKUP(tblCost[[#This Row],[TargetID]],tblTargets[TargetID],tblTargets[DisplayName],"")</f>
        <v>Guild Lv 5</v>
      </c>
      <c r="D278" s="41" t="str">
        <f>_xlfn.XLOOKUP(tblCost[[#This Row],[TargetID]],tblTargets[TargetID],tblTargets[TargetType],"")</f>
        <v>BUILDING</v>
      </c>
      <c r="E278" s="41" t="s">
        <v>666</v>
      </c>
      <c r="F278" s="62" t="str">
        <f>RIGHT(tblCost[[#This Row],[RequirementID]],1)</f>
        <v>1</v>
      </c>
      <c r="G278" s="41">
        <v>300</v>
      </c>
      <c r="H278" t="b">
        <f>COUNTIFS(tblCostChecklist[RequirementID],tblCost[[#This Row],[RequirementID]],tblCostChecklist[PlayerPaid],TRUE)&gt;0</f>
        <v>0</v>
      </c>
      <c r="I278" s="41">
        <f>COUNTIF(tblCost[TargetID],tblCost[[#This Row],[TargetID]])</f>
        <v>5</v>
      </c>
      <c r="J278" s="41">
        <f>COUNTIFS(tblCost[TargetID],tblCost[[#This Row],[TargetID]],tblCost[PlayerPaid],TRUE)</f>
        <v>0</v>
      </c>
      <c r="K278" s="41">
        <f>tblCost[[#This Row],[TargetRequirements]]-tblCost[[#This Row],[CompletedRequirements]]</f>
        <v>5</v>
      </c>
      <c r="L278" s="41" t="b">
        <f>tblCost[[#This Row],[RemainingRequirements]]=0</f>
        <v>0</v>
      </c>
      <c r="M278" s="43">
        <f>IF(tblCost[[#This Row],[TargetRequirements]]=0,0,tblCost[[#This Row],[CompletedRequirements]]/tblCost[[#This Row],[TargetRequirements]])</f>
        <v>0</v>
      </c>
    </row>
    <row r="279" spans="1:13">
      <c r="A279" s="41" t="s">
        <v>3927</v>
      </c>
      <c r="B279" s="41" t="str">
        <f>_xlfn.TEXTAFTER(_xlfn.TEXTBEFORE(tblCost[[#This Row],[RequirementID]],".",-2),"cost.")</f>
        <v>building.guild@5</v>
      </c>
      <c r="C279" s="41" t="str">
        <f>_xlfn.XLOOKUP(tblCost[[#This Row],[TargetID]],tblTargets[TargetID],tblTargets[DisplayName],"")</f>
        <v>Guild Lv 5</v>
      </c>
      <c r="D279" s="41" t="str">
        <f>_xlfn.XLOOKUP(tblCost[[#This Row],[TargetID]],tblTargets[TargetID],tblTargets[TargetType],"")</f>
        <v>BUILDING</v>
      </c>
      <c r="E279" s="41" t="s">
        <v>658</v>
      </c>
      <c r="F279" s="62" t="str">
        <f>RIGHT(tblCost[[#This Row],[RequirementID]],1)</f>
        <v>1</v>
      </c>
      <c r="G279" s="41">
        <v>600</v>
      </c>
      <c r="H279" t="b">
        <f>COUNTIFS(tblCostChecklist[RequirementID],tblCost[[#This Row],[RequirementID]],tblCostChecklist[PlayerPaid],TRUE)&gt;0</f>
        <v>0</v>
      </c>
      <c r="I279" s="41">
        <f>COUNTIF(tblCost[TargetID],tblCost[[#This Row],[TargetID]])</f>
        <v>5</v>
      </c>
      <c r="J279" s="41">
        <f>COUNTIFS(tblCost[TargetID],tblCost[[#This Row],[TargetID]],tblCost[PlayerPaid],TRUE)</f>
        <v>0</v>
      </c>
      <c r="K279" s="41">
        <f>tblCost[[#This Row],[TargetRequirements]]-tblCost[[#This Row],[CompletedRequirements]]</f>
        <v>5</v>
      </c>
      <c r="L279" s="41" t="b">
        <f>tblCost[[#This Row],[RemainingRequirements]]=0</f>
        <v>0</v>
      </c>
      <c r="M279" s="43">
        <f>IF(tblCost[[#This Row],[TargetRequirements]]=0,0,tblCost[[#This Row],[CompletedRequirements]]/tblCost[[#This Row],[TargetRequirements]])</f>
        <v>0</v>
      </c>
    </row>
    <row r="280" spans="1:13">
      <c r="A280" s="41" t="s">
        <v>3928</v>
      </c>
      <c r="B280" s="41" t="str">
        <f>_xlfn.TEXTAFTER(_xlfn.TEXTBEFORE(tblCost[[#This Row],[RequirementID]],".",-2),"cost.")</f>
        <v>building.guild@5</v>
      </c>
      <c r="C280" s="41" t="str">
        <f>_xlfn.XLOOKUP(tblCost[[#This Row],[TargetID]],tblTargets[TargetID],tblTargets[DisplayName],"")</f>
        <v>Guild Lv 5</v>
      </c>
      <c r="D280" s="41" t="str">
        <f>_xlfn.XLOOKUP(tblCost[[#This Row],[TargetID]],tblTargets[TargetID],tblTargets[TargetType],"")</f>
        <v>BUILDING</v>
      </c>
      <c r="E280" s="41" t="s">
        <v>717</v>
      </c>
      <c r="F280" s="62" t="str">
        <f>RIGHT(tblCost[[#This Row],[RequirementID]],1)</f>
        <v>1</v>
      </c>
      <c r="G280" s="41">
        <v>300</v>
      </c>
      <c r="H280" t="b">
        <f>COUNTIFS(tblCostChecklist[RequirementID],tblCost[[#This Row],[RequirementID]],tblCostChecklist[PlayerPaid],TRUE)&gt;0</f>
        <v>0</v>
      </c>
      <c r="I280" s="41">
        <f>COUNTIF(tblCost[TargetID],tblCost[[#This Row],[TargetID]])</f>
        <v>5</v>
      </c>
      <c r="J280" s="41">
        <f>COUNTIFS(tblCost[TargetID],tblCost[[#This Row],[TargetID]],tblCost[PlayerPaid],TRUE)</f>
        <v>0</v>
      </c>
      <c r="K280" s="41">
        <f>tblCost[[#This Row],[TargetRequirements]]-tblCost[[#This Row],[CompletedRequirements]]</f>
        <v>5</v>
      </c>
      <c r="L280" s="41" t="b">
        <f>tblCost[[#This Row],[RemainingRequirements]]=0</f>
        <v>0</v>
      </c>
      <c r="M280" s="43">
        <f>IF(tblCost[[#This Row],[TargetRequirements]]=0,0,tblCost[[#This Row],[CompletedRequirements]]/tblCost[[#This Row],[TargetRequirements]])</f>
        <v>0</v>
      </c>
    </row>
    <row r="281" spans="1:13">
      <c r="A281" s="41" t="s">
        <v>3929</v>
      </c>
      <c r="B281" s="41" t="str">
        <f>_xlfn.TEXTAFTER(_xlfn.TEXTBEFORE(tblCost[[#This Row],[RequirementID]],".",-2),"cost.")</f>
        <v>building.guild@5</v>
      </c>
      <c r="C281" s="41" t="str">
        <f>_xlfn.XLOOKUP(tblCost[[#This Row],[TargetID]],tblTargets[TargetID],tblTargets[DisplayName],"")</f>
        <v>Guild Lv 5</v>
      </c>
      <c r="D281" s="41" t="str">
        <f>_xlfn.XLOOKUP(tblCost[[#This Row],[TargetID]],tblTargets[TargetID],tblTargets[TargetType],"")</f>
        <v>BUILDING</v>
      </c>
      <c r="E281" s="41" t="s">
        <v>716</v>
      </c>
      <c r="F281" s="62" t="str">
        <f>RIGHT(tblCost[[#This Row],[RequirementID]],1)</f>
        <v>1</v>
      </c>
      <c r="G281" s="41">
        <v>50</v>
      </c>
      <c r="H281" t="b">
        <f>COUNTIFS(tblCostChecklist[RequirementID],tblCost[[#This Row],[RequirementID]],tblCostChecklist[PlayerPaid],TRUE)&gt;0</f>
        <v>0</v>
      </c>
      <c r="I281" s="41">
        <f>COUNTIF(tblCost[TargetID],tblCost[[#This Row],[TargetID]])</f>
        <v>5</v>
      </c>
      <c r="J281" s="41">
        <f>COUNTIFS(tblCost[TargetID],tblCost[[#This Row],[TargetID]],tblCost[PlayerPaid],TRUE)</f>
        <v>0</v>
      </c>
      <c r="K281" s="41">
        <f>tblCost[[#This Row],[TargetRequirements]]-tblCost[[#This Row],[CompletedRequirements]]</f>
        <v>5</v>
      </c>
      <c r="L281" s="41" t="b">
        <f>tblCost[[#This Row],[RemainingRequirements]]=0</f>
        <v>0</v>
      </c>
      <c r="M281" s="43">
        <f>IF(tblCost[[#This Row],[TargetRequirements]]=0,0,tblCost[[#This Row],[CompletedRequirements]]/tblCost[[#This Row],[TargetRequirements]])</f>
        <v>0</v>
      </c>
    </row>
    <row r="282" spans="1:13">
      <c r="A282" s="41" t="s">
        <v>3930</v>
      </c>
      <c r="B282" s="41" t="str">
        <f>_xlfn.TEXTAFTER(_xlfn.TEXTBEFORE(tblCost[[#This Row],[RequirementID]],".",-2),"cost.")</f>
        <v>building.guild_video_game_arcade@1</v>
      </c>
      <c r="C282" s="41" t="str">
        <f>_xlfn.XLOOKUP(tblCost[[#This Row],[TargetID]],tblTargets[TargetID],tblTargets[DisplayName],"")</f>
        <v>Guild: Video Game Arcade Lv 1</v>
      </c>
      <c r="D282" s="41" t="str">
        <f>_xlfn.XLOOKUP(tblCost[[#This Row],[TargetID]],tblTargets[TargetID],tblTargets[TargetType],"")</f>
        <v>BUILDING</v>
      </c>
      <c r="E282" s="41" t="s">
        <v>708</v>
      </c>
      <c r="F282" s="62" t="str">
        <f>RIGHT(tblCost[[#This Row],[RequirementID]],1)</f>
        <v>1</v>
      </c>
      <c r="G282" s="41">
        <v>3</v>
      </c>
      <c r="H282" t="b">
        <f>COUNTIFS(tblCostChecklist[RequirementID],tblCost[[#This Row],[RequirementID]],tblCostChecklist[PlayerPaid],TRUE)&gt;0</f>
        <v>0</v>
      </c>
      <c r="I282" s="41">
        <f>COUNTIF(tblCost[TargetID],tblCost[[#This Row],[TargetID]])</f>
        <v>9</v>
      </c>
      <c r="J282" s="41">
        <f>COUNTIFS(tblCost[TargetID],tblCost[[#This Row],[TargetID]],tblCost[PlayerPaid],TRUE)</f>
        <v>0</v>
      </c>
      <c r="K282" s="41">
        <f>tblCost[[#This Row],[TargetRequirements]]-tblCost[[#This Row],[CompletedRequirements]]</f>
        <v>9</v>
      </c>
      <c r="L282" s="41" t="b">
        <f>tblCost[[#This Row],[RemainingRequirements]]=0</f>
        <v>0</v>
      </c>
      <c r="M282" s="43">
        <f>IF(tblCost[[#This Row],[TargetRequirements]]=0,0,tblCost[[#This Row],[CompletedRequirements]]/tblCost[[#This Row],[TargetRequirements]])</f>
        <v>0</v>
      </c>
    </row>
    <row r="283" spans="1:13">
      <c r="A283" s="41" t="s">
        <v>3931</v>
      </c>
      <c r="B283" s="41" t="str">
        <f>_xlfn.TEXTAFTER(_xlfn.TEXTBEFORE(tblCost[[#This Row],[RequirementID]],".",-2),"cost.")</f>
        <v>building.guild_video_game_arcade@1</v>
      </c>
      <c r="C283" s="41" t="str">
        <f>_xlfn.XLOOKUP(tblCost[[#This Row],[TargetID]],tblTargets[TargetID],tblTargets[DisplayName],"")</f>
        <v>Guild: Video Game Arcade Lv 1</v>
      </c>
      <c r="D283" s="41" t="str">
        <f>_xlfn.XLOOKUP(tblCost[[#This Row],[TargetID]],tblTargets[TargetID],tblTargets[TargetType],"")</f>
        <v>BUILDING</v>
      </c>
      <c r="E283" s="41" t="s">
        <v>667</v>
      </c>
      <c r="F283" s="62" t="str">
        <f>RIGHT(tblCost[[#This Row],[RequirementID]],1)</f>
        <v>1</v>
      </c>
      <c r="G283" s="41">
        <v>500</v>
      </c>
      <c r="H283" t="b">
        <f>COUNTIFS(tblCostChecklist[RequirementID],tblCost[[#This Row],[RequirementID]],tblCostChecklist[PlayerPaid],TRUE)&gt;0</f>
        <v>0</v>
      </c>
      <c r="I283" s="41">
        <f>COUNTIF(tblCost[TargetID],tblCost[[#This Row],[TargetID]])</f>
        <v>9</v>
      </c>
      <c r="J283" s="41">
        <f>COUNTIFS(tblCost[TargetID],tblCost[[#This Row],[TargetID]],tblCost[PlayerPaid],TRUE)</f>
        <v>0</v>
      </c>
      <c r="K283" s="41">
        <f>tblCost[[#This Row],[TargetRequirements]]-tblCost[[#This Row],[CompletedRequirements]]</f>
        <v>9</v>
      </c>
      <c r="L283" s="41" t="b">
        <f>tblCost[[#This Row],[RemainingRequirements]]=0</f>
        <v>0</v>
      </c>
      <c r="M283" s="43">
        <f>IF(tblCost[[#This Row],[TargetRequirements]]=0,0,tblCost[[#This Row],[CompletedRequirements]]/tblCost[[#This Row],[TargetRequirements]])</f>
        <v>0</v>
      </c>
    </row>
    <row r="284" spans="1:13">
      <c r="A284" s="41" t="s">
        <v>3932</v>
      </c>
      <c r="B284" s="41" t="str">
        <f>_xlfn.TEXTAFTER(_xlfn.TEXTBEFORE(tblCost[[#This Row],[RequirementID]],".",-2),"cost.")</f>
        <v>building.guild_video_game_arcade@1</v>
      </c>
      <c r="C284" s="41" t="str">
        <f>_xlfn.XLOOKUP(tblCost[[#This Row],[TargetID]],tblTargets[TargetID],tblTargets[DisplayName],"")</f>
        <v>Guild: Video Game Arcade Lv 1</v>
      </c>
      <c r="D284" s="41" t="str">
        <f>_xlfn.XLOOKUP(tblCost[[#This Row],[TargetID]],tblTargets[TargetID],tblTargets[TargetType],"")</f>
        <v>BUILDING</v>
      </c>
      <c r="E284" s="41" t="s">
        <v>686</v>
      </c>
      <c r="F284" s="62" t="str">
        <f>RIGHT(tblCost[[#This Row],[RequirementID]],1)</f>
        <v>1</v>
      </c>
      <c r="G284" s="41">
        <v>10</v>
      </c>
      <c r="H284" t="b">
        <f>COUNTIFS(tblCostChecklist[RequirementID],tblCost[[#This Row],[RequirementID]],tblCostChecklist[PlayerPaid],TRUE)&gt;0</f>
        <v>0</v>
      </c>
      <c r="I284" s="41">
        <f>COUNTIF(tblCost[TargetID],tblCost[[#This Row],[TargetID]])</f>
        <v>9</v>
      </c>
      <c r="J284" s="41">
        <f>COUNTIFS(tblCost[TargetID],tblCost[[#This Row],[TargetID]],tblCost[PlayerPaid],TRUE)</f>
        <v>0</v>
      </c>
      <c r="K284" s="41">
        <f>tblCost[[#This Row],[TargetRequirements]]-tblCost[[#This Row],[CompletedRequirements]]</f>
        <v>9</v>
      </c>
      <c r="L284" s="41" t="b">
        <f>tblCost[[#This Row],[RemainingRequirements]]=0</f>
        <v>0</v>
      </c>
      <c r="M284" s="43">
        <f>IF(tblCost[[#This Row],[TargetRequirements]]=0,0,tblCost[[#This Row],[CompletedRequirements]]/tblCost[[#This Row],[TargetRequirements]])</f>
        <v>0</v>
      </c>
    </row>
    <row r="285" spans="1:13">
      <c r="A285" s="41" t="s">
        <v>3933</v>
      </c>
      <c r="B285" s="41" t="str">
        <f>_xlfn.TEXTAFTER(_xlfn.TEXTBEFORE(tblCost[[#This Row],[RequirementID]],".",-2),"cost.")</f>
        <v>building.guild_video_game_arcade@1</v>
      </c>
      <c r="C285" s="41" t="str">
        <f>_xlfn.XLOOKUP(tblCost[[#This Row],[TargetID]],tblTargets[TargetID],tblTargets[DisplayName],"")</f>
        <v>Guild: Video Game Arcade Lv 1</v>
      </c>
      <c r="D285" s="41" t="str">
        <f>_xlfn.XLOOKUP(tblCost[[#This Row],[TargetID]],tblTargets[TargetID],tblTargets[TargetType],"")</f>
        <v>BUILDING</v>
      </c>
      <c r="E285" s="41" t="s">
        <v>668</v>
      </c>
      <c r="F285" s="62" t="str">
        <f>RIGHT(tblCost[[#This Row],[RequirementID]],1)</f>
        <v>1</v>
      </c>
      <c r="G285" s="41">
        <v>10</v>
      </c>
      <c r="H285" t="b">
        <f>COUNTIFS(tblCostChecklist[RequirementID],tblCost[[#This Row],[RequirementID]],tblCostChecklist[PlayerPaid],TRUE)&gt;0</f>
        <v>0</v>
      </c>
      <c r="I285" s="41">
        <f>COUNTIF(tblCost[TargetID],tblCost[[#This Row],[TargetID]])</f>
        <v>9</v>
      </c>
      <c r="J285" s="41">
        <f>COUNTIFS(tblCost[TargetID],tblCost[[#This Row],[TargetID]],tblCost[PlayerPaid],TRUE)</f>
        <v>0</v>
      </c>
      <c r="K285" s="41">
        <f>tblCost[[#This Row],[TargetRequirements]]-tblCost[[#This Row],[CompletedRequirements]]</f>
        <v>9</v>
      </c>
      <c r="L285" s="41" t="b">
        <f>tblCost[[#This Row],[RemainingRequirements]]=0</f>
        <v>0</v>
      </c>
      <c r="M285" s="43">
        <f>IF(tblCost[[#This Row],[TargetRequirements]]=0,0,tblCost[[#This Row],[CompletedRequirements]]/tblCost[[#This Row],[TargetRequirements]])</f>
        <v>0</v>
      </c>
    </row>
    <row r="286" spans="1:13">
      <c r="A286" s="41" t="s">
        <v>3934</v>
      </c>
      <c r="B286" s="41" t="str">
        <f>_xlfn.TEXTAFTER(_xlfn.TEXTBEFORE(tblCost[[#This Row],[RequirementID]],".",-2),"cost.")</f>
        <v>building.guild_video_game_arcade@1</v>
      </c>
      <c r="C286" s="41" t="str">
        <f>_xlfn.XLOOKUP(tblCost[[#This Row],[TargetID]],tblTargets[TargetID],tblTargets[DisplayName],"")</f>
        <v>Guild: Video Game Arcade Lv 1</v>
      </c>
      <c r="D286" s="41" t="str">
        <f>_xlfn.XLOOKUP(tblCost[[#This Row],[TargetID]],tblTargets[TargetID],tblTargets[TargetType],"")</f>
        <v>BUILDING</v>
      </c>
      <c r="E286" s="41" t="s">
        <v>692</v>
      </c>
      <c r="F286" s="62" t="str">
        <f>RIGHT(tblCost[[#This Row],[RequirementID]],1)</f>
        <v>1</v>
      </c>
      <c r="G286" s="41">
        <v>3</v>
      </c>
      <c r="H286" t="b">
        <f>COUNTIFS(tblCostChecklist[RequirementID],tblCost[[#This Row],[RequirementID]],tblCostChecklist[PlayerPaid],TRUE)&gt;0</f>
        <v>0</v>
      </c>
      <c r="I286" s="41">
        <f>COUNTIF(tblCost[TargetID],tblCost[[#This Row],[TargetID]])</f>
        <v>9</v>
      </c>
      <c r="J286" s="41">
        <f>COUNTIFS(tblCost[TargetID],tblCost[[#This Row],[TargetID]],tblCost[PlayerPaid],TRUE)</f>
        <v>0</v>
      </c>
      <c r="K286" s="41">
        <f>tblCost[[#This Row],[TargetRequirements]]-tblCost[[#This Row],[CompletedRequirements]]</f>
        <v>9</v>
      </c>
      <c r="L286" s="41" t="b">
        <f>tblCost[[#This Row],[RemainingRequirements]]=0</f>
        <v>0</v>
      </c>
      <c r="M286" s="43">
        <f>IF(tblCost[[#This Row],[TargetRequirements]]=0,0,tblCost[[#This Row],[CompletedRequirements]]/tblCost[[#This Row],[TargetRequirements]])</f>
        <v>0</v>
      </c>
    </row>
    <row r="287" spans="1:13">
      <c r="A287" s="41" t="s">
        <v>3935</v>
      </c>
      <c r="B287" s="41" t="str">
        <f>_xlfn.TEXTAFTER(_xlfn.TEXTBEFORE(tblCost[[#This Row],[RequirementID]],".",-2),"cost.")</f>
        <v>building.guild_video_game_arcade@1</v>
      </c>
      <c r="C287" s="41" t="str">
        <f>_xlfn.XLOOKUP(tblCost[[#This Row],[TargetID]],tblTargets[TargetID],tblTargets[DisplayName],"")</f>
        <v>Guild: Video Game Arcade Lv 1</v>
      </c>
      <c r="D287" s="41" t="str">
        <f>_xlfn.XLOOKUP(tblCost[[#This Row],[TargetID]],tblTargets[TargetID],tblTargets[TargetType],"")</f>
        <v>BUILDING</v>
      </c>
      <c r="E287" s="41" t="s">
        <v>694</v>
      </c>
      <c r="F287" s="62" t="str">
        <f>RIGHT(tblCost[[#This Row],[RequirementID]],1)</f>
        <v>1</v>
      </c>
      <c r="G287" s="41">
        <v>2</v>
      </c>
      <c r="H287" t="b">
        <f>COUNTIFS(tblCostChecklist[RequirementID],tblCost[[#This Row],[RequirementID]],tblCostChecklist[PlayerPaid],TRUE)&gt;0</f>
        <v>0</v>
      </c>
      <c r="I287" s="41">
        <f>COUNTIF(tblCost[TargetID],tblCost[[#This Row],[TargetID]])</f>
        <v>9</v>
      </c>
      <c r="J287" s="41">
        <f>COUNTIFS(tblCost[TargetID],tblCost[[#This Row],[TargetID]],tblCost[PlayerPaid],TRUE)</f>
        <v>0</v>
      </c>
      <c r="K287" s="41">
        <f>tblCost[[#This Row],[TargetRequirements]]-tblCost[[#This Row],[CompletedRequirements]]</f>
        <v>9</v>
      </c>
      <c r="L287" s="41" t="b">
        <f>tblCost[[#This Row],[RemainingRequirements]]=0</f>
        <v>0</v>
      </c>
      <c r="M287" s="43">
        <f>IF(tblCost[[#This Row],[TargetRequirements]]=0,0,tblCost[[#This Row],[CompletedRequirements]]/tblCost[[#This Row],[TargetRequirements]])</f>
        <v>0</v>
      </c>
    </row>
    <row r="288" spans="1:13">
      <c r="A288" s="41" t="s">
        <v>3936</v>
      </c>
      <c r="B288" s="41" t="str">
        <f>_xlfn.TEXTAFTER(_xlfn.TEXTBEFORE(tblCost[[#This Row],[RequirementID]],".",-2),"cost.")</f>
        <v>building.guild_video_game_arcade@1</v>
      </c>
      <c r="C288" s="41" t="str">
        <f>_xlfn.XLOOKUP(tblCost[[#This Row],[TargetID]],tblTargets[TargetID],tblTargets[DisplayName],"")</f>
        <v>Guild: Video Game Arcade Lv 1</v>
      </c>
      <c r="D288" s="41" t="str">
        <f>_xlfn.XLOOKUP(tblCost[[#This Row],[TargetID]],tblTargets[TargetID],tblTargets[TargetType],"")</f>
        <v>BUILDING</v>
      </c>
      <c r="E288" s="41" t="s">
        <v>688</v>
      </c>
      <c r="F288" s="62" t="str">
        <f>RIGHT(tblCost[[#This Row],[RequirementID]],1)</f>
        <v>1</v>
      </c>
      <c r="G288" s="41">
        <v>40</v>
      </c>
      <c r="H288" t="b">
        <f>COUNTIFS(tblCostChecklist[RequirementID],tblCost[[#This Row],[RequirementID]],tblCostChecklist[PlayerPaid],TRUE)&gt;0</f>
        <v>0</v>
      </c>
      <c r="I288" s="41">
        <f>COUNTIF(tblCost[TargetID],tblCost[[#This Row],[TargetID]])</f>
        <v>9</v>
      </c>
      <c r="J288" s="41">
        <f>COUNTIFS(tblCost[TargetID],tblCost[[#This Row],[TargetID]],tblCost[PlayerPaid],TRUE)</f>
        <v>0</v>
      </c>
      <c r="K288" s="41">
        <f>tblCost[[#This Row],[TargetRequirements]]-tblCost[[#This Row],[CompletedRequirements]]</f>
        <v>9</v>
      </c>
      <c r="L288" s="41" t="b">
        <f>tblCost[[#This Row],[RemainingRequirements]]=0</f>
        <v>0</v>
      </c>
      <c r="M288" s="43">
        <f>IF(tblCost[[#This Row],[TargetRequirements]]=0,0,tblCost[[#This Row],[CompletedRequirements]]/tblCost[[#This Row],[TargetRequirements]])</f>
        <v>0</v>
      </c>
    </row>
    <row r="289" spans="1:13">
      <c r="A289" s="41" t="s">
        <v>3937</v>
      </c>
      <c r="B289" s="41" t="str">
        <f>_xlfn.TEXTAFTER(_xlfn.TEXTBEFORE(tblCost[[#This Row],[RequirementID]],".",-2),"cost.")</f>
        <v>building.guild_video_game_arcade@1</v>
      </c>
      <c r="C289" s="41" t="str">
        <f>_xlfn.XLOOKUP(tblCost[[#This Row],[TargetID]],tblTargets[TargetID],tblTargets[DisplayName],"")</f>
        <v>Guild: Video Game Arcade Lv 1</v>
      </c>
      <c r="D289" s="41" t="str">
        <f>_xlfn.XLOOKUP(tblCost[[#This Row],[TargetID]],tblTargets[TargetID],tblTargets[TargetType],"")</f>
        <v>BUILDING</v>
      </c>
      <c r="E289" s="41" t="s">
        <v>672</v>
      </c>
      <c r="F289" s="62" t="str">
        <f>RIGHT(tblCost[[#This Row],[RequirementID]],1)</f>
        <v>1</v>
      </c>
      <c r="G289" s="41">
        <v>40</v>
      </c>
      <c r="H289" t="b">
        <f>COUNTIFS(tblCostChecklist[RequirementID],tblCost[[#This Row],[RequirementID]],tblCostChecklist[PlayerPaid],TRUE)&gt;0</f>
        <v>0</v>
      </c>
      <c r="I289" s="41">
        <f>COUNTIF(tblCost[TargetID],tblCost[[#This Row],[TargetID]])</f>
        <v>9</v>
      </c>
      <c r="J289" s="41">
        <f>COUNTIFS(tblCost[TargetID],tblCost[[#This Row],[TargetID]],tblCost[PlayerPaid],TRUE)</f>
        <v>0</v>
      </c>
      <c r="K289" s="41">
        <f>tblCost[[#This Row],[TargetRequirements]]-tblCost[[#This Row],[CompletedRequirements]]</f>
        <v>9</v>
      </c>
      <c r="L289" s="41" t="b">
        <f>tblCost[[#This Row],[RemainingRequirements]]=0</f>
        <v>0</v>
      </c>
      <c r="M289" s="43">
        <f>IF(tblCost[[#This Row],[TargetRequirements]]=0,0,tblCost[[#This Row],[CompletedRequirements]]/tblCost[[#This Row],[TargetRequirements]])</f>
        <v>0</v>
      </c>
    </row>
    <row r="290" spans="1:13">
      <c r="A290" s="41" t="s">
        <v>3938</v>
      </c>
      <c r="B290" s="41" t="str">
        <f>_xlfn.TEXTAFTER(_xlfn.TEXTBEFORE(tblCost[[#This Row],[RequirementID]],".",-2),"cost.")</f>
        <v>building.guild_video_game_arcade@1</v>
      </c>
      <c r="C290" s="41" t="str">
        <f>_xlfn.XLOOKUP(tblCost[[#This Row],[TargetID]],tblTargets[TargetID],tblTargets[DisplayName],"")</f>
        <v>Guild: Video Game Arcade Lv 1</v>
      </c>
      <c r="D290" s="41" t="str">
        <f>_xlfn.XLOOKUP(tblCost[[#This Row],[TargetID]],tblTargets[TargetID],tblTargets[TargetType],"")</f>
        <v>BUILDING</v>
      </c>
      <c r="E290" s="41" t="s">
        <v>662</v>
      </c>
      <c r="F290" s="62" t="str">
        <f>RIGHT(tblCost[[#This Row],[RequirementID]],1)</f>
        <v>1</v>
      </c>
      <c r="G290" s="41">
        <v>30</v>
      </c>
      <c r="H290" t="b">
        <f>COUNTIFS(tblCostChecklist[RequirementID],tblCost[[#This Row],[RequirementID]],tblCostChecklist[PlayerPaid],TRUE)&gt;0</f>
        <v>0</v>
      </c>
      <c r="I290" s="41">
        <f>COUNTIF(tblCost[TargetID],tblCost[[#This Row],[TargetID]])</f>
        <v>9</v>
      </c>
      <c r="J290" s="41">
        <f>COUNTIFS(tblCost[TargetID],tblCost[[#This Row],[TargetID]],tblCost[PlayerPaid],TRUE)</f>
        <v>0</v>
      </c>
      <c r="K290" s="41">
        <f>tblCost[[#This Row],[TargetRequirements]]-tblCost[[#This Row],[CompletedRequirements]]</f>
        <v>9</v>
      </c>
      <c r="L290" s="41" t="b">
        <f>tblCost[[#This Row],[RemainingRequirements]]=0</f>
        <v>0</v>
      </c>
      <c r="M290" s="43">
        <f>IF(tblCost[[#This Row],[TargetRequirements]]=0,0,tblCost[[#This Row],[CompletedRequirements]]/tblCost[[#This Row],[TargetRequirements]])</f>
        <v>0</v>
      </c>
    </row>
    <row r="291" spans="1:13">
      <c r="A291" s="41" t="s">
        <v>3939</v>
      </c>
      <c r="B291" s="41" t="str">
        <f>_xlfn.TEXTAFTER(_xlfn.TEXTBEFORE(tblCost[[#This Row],[RequirementID]],".",-2),"cost.")</f>
        <v>building.laboratory@1</v>
      </c>
      <c r="C291" s="41" t="str">
        <f>_xlfn.XLOOKUP(tblCost[[#This Row],[TargetID]],tblTargets[TargetID],tblTargets[DisplayName],"")</f>
        <v>Laboratory Lv 1</v>
      </c>
      <c r="D291" s="41" t="str">
        <f>_xlfn.XLOOKUP(tblCost[[#This Row],[TargetID]],tblTargets[TargetID],tblTargets[TargetType],"")</f>
        <v>BUILDING</v>
      </c>
      <c r="E291" s="41" t="s">
        <v>708</v>
      </c>
      <c r="F291" s="62" t="str">
        <f>RIGHT(tblCost[[#This Row],[RequirementID]],1)</f>
        <v>1</v>
      </c>
      <c r="G291" s="41">
        <v>6</v>
      </c>
      <c r="H291" t="b">
        <f>COUNTIFS(tblCostChecklist[RequirementID],tblCost[[#This Row],[RequirementID]],tblCostChecklist[PlayerPaid],TRUE)&gt;0</f>
        <v>0</v>
      </c>
      <c r="I291" s="41">
        <f>COUNTIF(tblCost[TargetID],tblCost[[#This Row],[TargetID]])</f>
        <v>9</v>
      </c>
      <c r="J291" s="41">
        <f>COUNTIFS(tblCost[TargetID],tblCost[[#This Row],[TargetID]],tblCost[PlayerPaid],TRUE)</f>
        <v>0</v>
      </c>
      <c r="K291" s="41">
        <f>tblCost[[#This Row],[TargetRequirements]]-tblCost[[#This Row],[CompletedRequirements]]</f>
        <v>9</v>
      </c>
      <c r="L291" s="41" t="b">
        <f>tblCost[[#This Row],[RemainingRequirements]]=0</f>
        <v>0</v>
      </c>
      <c r="M291" s="43">
        <f>IF(tblCost[[#This Row],[TargetRequirements]]=0,0,tblCost[[#This Row],[CompletedRequirements]]/tblCost[[#This Row],[TargetRequirements]])</f>
        <v>0</v>
      </c>
    </row>
    <row r="292" spans="1:13">
      <c r="A292" s="41" t="s">
        <v>3940</v>
      </c>
      <c r="B292" s="41" t="str">
        <f>_xlfn.TEXTAFTER(_xlfn.TEXTBEFORE(tblCost[[#This Row],[RequirementID]],".",-2),"cost.")</f>
        <v>building.laboratory@1</v>
      </c>
      <c r="C292" s="41" t="str">
        <f>_xlfn.XLOOKUP(tblCost[[#This Row],[TargetID]],tblTargets[TargetID],tblTargets[DisplayName],"")</f>
        <v>Laboratory Lv 1</v>
      </c>
      <c r="D292" s="41" t="str">
        <f>_xlfn.XLOOKUP(tblCost[[#This Row],[TargetID]],tblTargets[TargetID],tblTargets[TargetType],"")</f>
        <v>BUILDING</v>
      </c>
      <c r="E292" s="41" t="s">
        <v>666</v>
      </c>
      <c r="F292" s="62" t="str">
        <f>RIGHT(tblCost[[#This Row],[RequirementID]],1)</f>
        <v>1</v>
      </c>
      <c r="G292" s="41">
        <v>1000</v>
      </c>
      <c r="H292" t="b">
        <f>COUNTIFS(tblCostChecklist[RequirementID],tblCost[[#This Row],[RequirementID]],tblCostChecklist[PlayerPaid],TRUE)&gt;0</f>
        <v>0</v>
      </c>
      <c r="I292" s="41">
        <f>COUNTIF(tblCost[TargetID],tblCost[[#This Row],[TargetID]])</f>
        <v>9</v>
      </c>
      <c r="J292" s="41">
        <f>COUNTIFS(tblCost[TargetID],tblCost[[#This Row],[TargetID]],tblCost[PlayerPaid],TRUE)</f>
        <v>0</v>
      </c>
      <c r="K292" s="41">
        <f>tblCost[[#This Row],[TargetRequirements]]-tblCost[[#This Row],[CompletedRequirements]]</f>
        <v>9</v>
      </c>
      <c r="L292" s="41" t="b">
        <f>tblCost[[#This Row],[RemainingRequirements]]=0</f>
        <v>0</v>
      </c>
      <c r="M292" s="43">
        <f>IF(tblCost[[#This Row],[TargetRequirements]]=0,0,tblCost[[#This Row],[CompletedRequirements]]/tblCost[[#This Row],[TargetRequirements]])</f>
        <v>0</v>
      </c>
    </row>
    <row r="293" spans="1:13">
      <c r="A293" s="41" t="s">
        <v>3941</v>
      </c>
      <c r="B293" s="41" t="str">
        <f>_xlfn.TEXTAFTER(_xlfn.TEXTBEFORE(tblCost[[#This Row],[RequirementID]],".",-2),"cost.")</f>
        <v>building.laboratory@1</v>
      </c>
      <c r="C293" s="41" t="str">
        <f>_xlfn.XLOOKUP(tblCost[[#This Row],[TargetID]],tblTargets[TargetID],tblTargets[DisplayName],"")</f>
        <v>Laboratory Lv 1</v>
      </c>
      <c r="D293" s="41" t="str">
        <f>_xlfn.XLOOKUP(tblCost[[#This Row],[TargetID]],tblTargets[TargetID],tblTargets[TargetType],"")</f>
        <v>BUILDING</v>
      </c>
      <c r="E293" s="41" t="s">
        <v>717</v>
      </c>
      <c r="F293" s="62" t="str">
        <f>RIGHT(tblCost[[#This Row],[RequirementID]],1)</f>
        <v>1</v>
      </c>
      <c r="G293" s="41">
        <v>500</v>
      </c>
      <c r="H293" t="b">
        <f>COUNTIFS(tblCostChecklist[RequirementID],tblCost[[#This Row],[RequirementID]],tblCostChecklist[PlayerPaid],TRUE)&gt;0</f>
        <v>0</v>
      </c>
      <c r="I293" s="41">
        <f>COUNTIF(tblCost[TargetID],tblCost[[#This Row],[TargetID]])</f>
        <v>9</v>
      </c>
      <c r="J293" s="41">
        <f>COUNTIFS(tblCost[TargetID],tblCost[[#This Row],[TargetID]],tblCost[PlayerPaid],TRUE)</f>
        <v>0</v>
      </c>
      <c r="K293" s="41">
        <f>tblCost[[#This Row],[TargetRequirements]]-tblCost[[#This Row],[CompletedRequirements]]</f>
        <v>9</v>
      </c>
      <c r="L293" s="41" t="b">
        <f>tblCost[[#This Row],[RemainingRequirements]]=0</f>
        <v>0</v>
      </c>
      <c r="M293" s="43">
        <f>IF(tblCost[[#This Row],[TargetRequirements]]=0,0,tblCost[[#This Row],[CompletedRequirements]]/tblCost[[#This Row],[TargetRequirements]])</f>
        <v>0</v>
      </c>
    </row>
    <row r="294" spans="1:13">
      <c r="A294" s="41" t="s">
        <v>3942</v>
      </c>
      <c r="B294" s="41" t="str">
        <f>_xlfn.TEXTAFTER(_xlfn.TEXTBEFORE(tblCost[[#This Row],[RequirementID]],".",-2),"cost.")</f>
        <v>building.laboratory@1</v>
      </c>
      <c r="C294" s="41" t="str">
        <f>_xlfn.XLOOKUP(tblCost[[#This Row],[TargetID]],tblTargets[TargetID],tblTargets[DisplayName],"")</f>
        <v>Laboratory Lv 1</v>
      </c>
      <c r="D294" s="41" t="str">
        <f>_xlfn.XLOOKUP(tblCost[[#This Row],[TargetID]],tblTargets[TargetID],tblTargets[TargetType],"")</f>
        <v>BUILDING</v>
      </c>
      <c r="E294" s="41" t="s">
        <v>716</v>
      </c>
      <c r="F294" s="62" t="str">
        <f>RIGHT(tblCost[[#This Row],[RequirementID]],1)</f>
        <v>1</v>
      </c>
      <c r="G294" s="41">
        <v>300</v>
      </c>
      <c r="H294" t="b">
        <f>COUNTIFS(tblCostChecklist[RequirementID],tblCost[[#This Row],[RequirementID]],tblCostChecklist[PlayerPaid],TRUE)&gt;0</f>
        <v>0</v>
      </c>
      <c r="I294" s="41">
        <f>COUNTIF(tblCost[TargetID],tblCost[[#This Row],[TargetID]])</f>
        <v>9</v>
      </c>
      <c r="J294" s="41">
        <f>COUNTIFS(tblCost[TargetID],tblCost[[#This Row],[TargetID]],tblCost[PlayerPaid],TRUE)</f>
        <v>0</v>
      </c>
      <c r="K294" s="41">
        <f>tblCost[[#This Row],[TargetRequirements]]-tblCost[[#This Row],[CompletedRequirements]]</f>
        <v>9</v>
      </c>
      <c r="L294" s="41" t="b">
        <f>tblCost[[#This Row],[RemainingRequirements]]=0</f>
        <v>0</v>
      </c>
      <c r="M294" s="43">
        <f>IF(tblCost[[#This Row],[TargetRequirements]]=0,0,tblCost[[#This Row],[CompletedRequirements]]/tblCost[[#This Row],[TargetRequirements]])</f>
        <v>0</v>
      </c>
    </row>
    <row r="295" spans="1:13">
      <c r="A295" s="41" t="s">
        <v>3943</v>
      </c>
      <c r="B295" s="41" t="str">
        <f>_xlfn.TEXTAFTER(_xlfn.TEXTBEFORE(tblCost[[#This Row],[RequirementID]],".",-2),"cost.")</f>
        <v>building.laboratory@1</v>
      </c>
      <c r="C295" s="41" t="str">
        <f>_xlfn.XLOOKUP(tblCost[[#This Row],[TargetID]],tblTargets[TargetID],tblTargets[DisplayName],"")</f>
        <v>Laboratory Lv 1</v>
      </c>
      <c r="D295" s="41" t="str">
        <f>_xlfn.XLOOKUP(tblCost[[#This Row],[TargetID]],tblTargets[TargetID],tblTargets[TargetType],"")</f>
        <v>BUILDING</v>
      </c>
      <c r="E295" s="41" t="s">
        <v>674</v>
      </c>
      <c r="F295" s="62" t="str">
        <f>RIGHT(tblCost[[#This Row],[RequirementID]],1)</f>
        <v>1</v>
      </c>
      <c r="G295" s="41">
        <v>50</v>
      </c>
      <c r="H295" t="b">
        <f>COUNTIFS(tblCostChecklist[RequirementID],tblCost[[#This Row],[RequirementID]],tblCostChecklist[PlayerPaid],TRUE)&gt;0</f>
        <v>0</v>
      </c>
      <c r="I295" s="41">
        <f>COUNTIF(tblCost[TargetID],tblCost[[#This Row],[TargetID]])</f>
        <v>9</v>
      </c>
      <c r="J295" s="41">
        <f>COUNTIFS(tblCost[TargetID],tblCost[[#This Row],[TargetID]],tblCost[PlayerPaid],TRUE)</f>
        <v>0</v>
      </c>
      <c r="K295" s="41">
        <f>tblCost[[#This Row],[TargetRequirements]]-tblCost[[#This Row],[CompletedRequirements]]</f>
        <v>9</v>
      </c>
      <c r="L295" s="41" t="b">
        <f>tblCost[[#This Row],[RemainingRequirements]]=0</f>
        <v>0</v>
      </c>
      <c r="M295" s="43">
        <f>IF(tblCost[[#This Row],[TargetRequirements]]=0,0,tblCost[[#This Row],[CompletedRequirements]]/tblCost[[#This Row],[TargetRequirements]])</f>
        <v>0</v>
      </c>
    </row>
    <row r="296" spans="1:13">
      <c r="A296" s="41" t="s">
        <v>3944</v>
      </c>
      <c r="B296" s="41" t="str">
        <f>_xlfn.TEXTAFTER(_xlfn.TEXTBEFORE(tblCost[[#This Row],[RequirementID]],".",-2),"cost.")</f>
        <v>building.laboratory@1</v>
      </c>
      <c r="C296" s="41" t="str">
        <f>_xlfn.XLOOKUP(tblCost[[#This Row],[TargetID]],tblTargets[TargetID],tblTargets[DisplayName],"")</f>
        <v>Laboratory Lv 1</v>
      </c>
      <c r="D296" s="41" t="str">
        <f>_xlfn.XLOOKUP(tblCost[[#This Row],[TargetID]],tblTargets[TargetID],tblTargets[TargetType],"")</f>
        <v>BUILDING</v>
      </c>
      <c r="E296" s="41" t="s">
        <v>664</v>
      </c>
      <c r="F296" s="62" t="str">
        <f>RIGHT(tblCost[[#This Row],[RequirementID]],1)</f>
        <v>1</v>
      </c>
      <c r="G296" s="41">
        <v>100</v>
      </c>
      <c r="H296" t="b">
        <f>COUNTIFS(tblCostChecklist[RequirementID],tblCost[[#This Row],[RequirementID]],tblCostChecklist[PlayerPaid],TRUE)&gt;0</f>
        <v>0</v>
      </c>
      <c r="I296" s="41">
        <f>COUNTIF(tblCost[TargetID],tblCost[[#This Row],[TargetID]])</f>
        <v>9</v>
      </c>
      <c r="J296" s="41">
        <f>COUNTIFS(tblCost[TargetID],tblCost[[#This Row],[TargetID]],tblCost[PlayerPaid],TRUE)</f>
        <v>0</v>
      </c>
      <c r="K296" s="41">
        <f>tblCost[[#This Row],[TargetRequirements]]-tblCost[[#This Row],[CompletedRequirements]]</f>
        <v>9</v>
      </c>
      <c r="L296" s="41" t="b">
        <f>tblCost[[#This Row],[RemainingRequirements]]=0</f>
        <v>0</v>
      </c>
      <c r="M296" s="43">
        <f>IF(tblCost[[#This Row],[TargetRequirements]]=0,0,tblCost[[#This Row],[CompletedRequirements]]/tblCost[[#This Row],[TargetRequirements]])</f>
        <v>0</v>
      </c>
    </row>
    <row r="297" spans="1:13">
      <c r="A297" s="41" t="s">
        <v>3945</v>
      </c>
      <c r="B297" s="41" t="str">
        <f>_xlfn.TEXTAFTER(_xlfn.TEXTBEFORE(tblCost[[#This Row],[RequirementID]],".",-2),"cost.")</f>
        <v>building.laboratory@1</v>
      </c>
      <c r="C297" s="41" t="str">
        <f>_xlfn.XLOOKUP(tblCost[[#This Row],[TargetID]],tblTargets[TargetID],tblTargets[DisplayName],"")</f>
        <v>Laboratory Lv 1</v>
      </c>
      <c r="D297" s="41" t="str">
        <f>_xlfn.XLOOKUP(tblCost[[#This Row],[TargetID]],tblTargets[TargetID],tblTargets[TargetType],"")</f>
        <v>BUILDING</v>
      </c>
      <c r="E297" s="41" t="s">
        <v>686</v>
      </c>
      <c r="F297" s="62" t="str">
        <f>RIGHT(tblCost[[#This Row],[RequirementID]],1)</f>
        <v>1</v>
      </c>
      <c r="G297" s="41">
        <v>30</v>
      </c>
      <c r="H297" t="b">
        <f>COUNTIFS(tblCostChecklist[RequirementID],tblCost[[#This Row],[RequirementID]],tblCostChecklist[PlayerPaid],TRUE)&gt;0</f>
        <v>0</v>
      </c>
      <c r="I297" s="41">
        <f>COUNTIF(tblCost[TargetID],tblCost[[#This Row],[TargetID]])</f>
        <v>9</v>
      </c>
      <c r="J297" s="41">
        <f>COUNTIFS(tblCost[TargetID],tblCost[[#This Row],[TargetID]],tblCost[PlayerPaid],TRUE)</f>
        <v>0</v>
      </c>
      <c r="K297" s="41">
        <f>tblCost[[#This Row],[TargetRequirements]]-tblCost[[#This Row],[CompletedRequirements]]</f>
        <v>9</v>
      </c>
      <c r="L297" s="41" t="b">
        <f>tblCost[[#This Row],[RemainingRequirements]]=0</f>
        <v>0</v>
      </c>
      <c r="M297" s="43">
        <f>IF(tblCost[[#This Row],[TargetRequirements]]=0,0,tblCost[[#This Row],[CompletedRequirements]]/tblCost[[#This Row],[TargetRequirements]])</f>
        <v>0</v>
      </c>
    </row>
    <row r="298" spans="1:13">
      <c r="A298" s="41" t="s">
        <v>3946</v>
      </c>
      <c r="B298" s="41" t="str">
        <f>_xlfn.TEXTAFTER(_xlfn.TEXTBEFORE(tblCost[[#This Row],[RequirementID]],".",-2),"cost.")</f>
        <v>building.laboratory@1</v>
      </c>
      <c r="C298" s="41" t="str">
        <f>_xlfn.XLOOKUP(tblCost[[#This Row],[TargetID]],tblTargets[TargetID],tblTargets[DisplayName],"")</f>
        <v>Laboratory Lv 1</v>
      </c>
      <c r="D298" s="41" t="str">
        <f>_xlfn.XLOOKUP(tblCost[[#This Row],[TargetID]],tblTargets[TargetID],tblTargets[TargetType],"")</f>
        <v>BUILDING</v>
      </c>
      <c r="E298" s="41" t="s">
        <v>662</v>
      </c>
      <c r="F298" s="62" t="str">
        <f>RIGHT(tblCost[[#This Row],[RequirementID]],1)</f>
        <v>1</v>
      </c>
      <c r="G298" s="41">
        <v>40</v>
      </c>
      <c r="H298" t="b">
        <f>COUNTIFS(tblCostChecklist[RequirementID],tblCost[[#This Row],[RequirementID]],tblCostChecklist[PlayerPaid],TRUE)&gt;0</f>
        <v>0</v>
      </c>
      <c r="I298" s="41">
        <f>COUNTIF(tblCost[TargetID],tblCost[[#This Row],[TargetID]])</f>
        <v>9</v>
      </c>
      <c r="J298" s="41">
        <f>COUNTIFS(tblCost[TargetID],tblCost[[#This Row],[TargetID]],tblCost[PlayerPaid],TRUE)</f>
        <v>0</v>
      </c>
      <c r="K298" s="41">
        <f>tblCost[[#This Row],[TargetRequirements]]-tblCost[[#This Row],[CompletedRequirements]]</f>
        <v>9</v>
      </c>
      <c r="L298" s="41" t="b">
        <f>tblCost[[#This Row],[RemainingRequirements]]=0</f>
        <v>0</v>
      </c>
      <c r="M298" s="43">
        <f>IF(tblCost[[#This Row],[TargetRequirements]]=0,0,tblCost[[#This Row],[CompletedRequirements]]/tblCost[[#This Row],[TargetRequirements]])</f>
        <v>0</v>
      </c>
    </row>
    <row r="299" spans="1:13">
      <c r="A299" s="41" t="s">
        <v>3947</v>
      </c>
      <c r="B299" s="41" t="str">
        <f>_xlfn.TEXTAFTER(_xlfn.TEXTBEFORE(tblCost[[#This Row],[RequirementID]],".",-2),"cost.")</f>
        <v>building.laboratory@1</v>
      </c>
      <c r="C299" s="41" t="str">
        <f>_xlfn.XLOOKUP(tblCost[[#This Row],[TargetID]],tblTargets[TargetID],tblTargets[DisplayName],"")</f>
        <v>Laboratory Lv 1</v>
      </c>
      <c r="D299" s="41" t="str">
        <f>_xlfn.XLOOKUP(tblCost[[#This Row],[TargetID]],tblTargets[TargetID],tblTargets[TargetType],"")</f>
        <v>BUILDING</v>
      </c>
      <c r="E299" s="41" t="s">
        <v>685</v>
      </c>
      <c r="F299" s="62" t="str">
        <f>RIGHT(tblCost[[#This Row],[RequirementID]],1)</f>
        <v>1</v>
      </c>
      <c r="G299" s="41">
        <v>2</v>
      </c>
      <c r="H299" t="b">
        <f>COUNTIFS(tblCostChecklist[RequirementID],tblCost[[#This Row],[RequirementID]],tblCostChecklist[PlayerPaid],TRUE)&gt;0</f>
        <v>0</v>
      </c>
      <c r="I299" s="41">
        <f>COUNTIF(tblCost[TargetID],tblCost[[#This Row],[TargetID]])</f>
        <v>9</v>
      </c>
      <c r="J299" s="41">
        <f>COUNTIFS(tblCost[TargetID],tblCost[[#This Row],[TargetID]],tblCost[PlayerPaid],TRUE)</f>
        <v>0</v>
      </c>
      <c r="K299" s="41">
        <f>tblCost[[#This Row],[TargetRequirements]]-tblCost[[#This Row],[CompletedRequirements]]</f>
        <v>9</v>
      </c>
      <c r="L299" s="41" t="b">
        <f>tblCost[[#This Row],[RemainingRequirements]]=0</f>
        <v>0</v>
      </c>
      <c r="M299" s="43">
        <f>IF(tblCost[[#This Row],[TargetRequirements]]=0,0,tblCost[[#This Row],[CompletedRequirements]]/tblCost[[#This Row],[TargetRequirements]])</f>
        <v>0</v>
      </c>
    </row>
    <row r="300" spans="1:13">
      <c r="A300" s="41" t="s">
        <v>3948</v>
      </c>
      <c r="B300" s="41" t="str">
        <f>_xlfn.TEXTAFTER(_xlfn.TEXTBEFORE(tblCost[[#This Row],[RequirementID]],".",-2),"cost.")</f>
        <v>building.laboratory@2</v>
      </c>
      <c r="C300" s="41" t="str">
        <f>_xlfn.XLOOKUP(tblCost[[#This Row],[TargetID]],tblTargets[TargetID],tblTargets[DisplayName],"")</f>
        <v>Laboratory Lv 2</v>
      </c>
      <c r="D300" s="41" t="str">
        <f>_xlfn.XLOOKUP(tblCost[[#This Row],[TargetID]],tblTargets[TargetID],tblTargets[TargetType],"")</f>
        <v>BUILDING</v>
      </c>
      <c r="E300" s="41" t="s">
        <v>708</v>
      </c>
      <c r="F300" s="62" t="str">
        <f>RIGHT(tblCost[[#This Row],[RequirementID]],1)</f>
        <v>1</v>
      </c>
      <c r="G300" s="41">
        <v>7</v>
      </c>
      <c r="H300" t="b">
        <f>COUNTIFS(tblCostChecklist[RequirementID],tblCost[[#This Row],[RequirementID]],tblCostChecklist[PlayerPaid],TRUE)&gt;0</f>
        <v>0</v>
      </c>
      <c r="I300" s="41">
        <f>COUNTIF(tblCost[TargetID],tblCost[[#This Row],[TargetID]])</f>
        <v>9</v>
      </c>
      <c r="J300" s="41">
        <f>COUNTIFS(tblCost[TargetID],tblCost[[#This Row],[TargetID]],tblCost[PlayerPaid],TRUE)</f>
        <v>0</v>
      </c>
      <c r="K300" s="41">
        <f>tblCost[[#This Row],[TargetRequirements]]-tblCost[[#This Row],[CompletedRequirements]]</f>
        <v>9</v>
      </c>
      <c r="L300" s="41" t="b">
        <f>tblCost[[#This Row],[RemainingRequirements]]=0</f>
        <v>0</v>
      </c>
      <c r="M300" s="43">
        <f>IF(tblCost[[#This Row],[TargetRequirements]]=0,0,tblCost[[#This Row],[CompletedRequirements]]/tblCost[[#This Row],[TargetRequirements]])</f>
        <v>0</v>
      </c>
    </row>
    <row r="301" spans="1:13">
      <c r="A301" s="41" t="s">
        <v>3949</v>
      </c>
      <c r="B301" s="41" t="str">
        <f>_xlfn.TEXTAFTER(_xlfn.TEXTBEFORE(tblCost[[#This Row],[RequirementID]],".",-2),"cost.")</f>
        <v>building.laboratory@2</v>
      </c>
      <c r="C301" s="41" t="str">
        <f>_xlfn.XLOOKUP(tblCost[[#This Row],[TargetID]],tblTargets[TargetID],tblTargets[DisplayName],"")</f>
        <v>Laboratory Lv 2</v>
      </c>
      <c r="D301" s="41" t="str">
        <f>_xlfn.XLOOKUP(tblCost[[#This Row],[TargetID]],tblTargets[TargetID],tblTargets[TargetType],"")</f>
        <v>BUILDING</v>
      </c>
      <c r="E301" s="41" t="s">
        <v>666</v>
      </c>
      <c r="F301" s="62" t="str">
        <f>RIGHT(tblCost[[#This Row],[RequirementID]],1)</f>
        <v>1</v>
      </c>
      <c r="G301" s="41">
        <v>1000</v>
      </c>
      <c r="H301" t="b">
        <f>COUNTIFS(tblCostChecklist[RequirementID],tblCost[[#This Row],[RequirementID]],tblCostChecklist[PlayerPaid],TRUE)&gt;0</f>
        <v>0</v>
      </c>
      <c r="I301" s="41">
        <f>COUNTIF(tblCost[TargetID],tblCost[[#This Row],[TargetID]])</f>
        <v>9</v>
      </c>
      <c r="J301" s="41">
        <f>COUNTIFS(tblCost[TargetID],tblCost[[#This Row],[TargetID]],tblCost[PlayerPaid],TRUE)</f>
        <v>0</v>
      </c>
      <c r="K301" s="41">
        <f>tblCost[[#This Row],[TargetRequirements]]-tblCost[[#This Row],[CompletedRequirements]]</f>
        <v>9</v>
      </c>
      <c r="L301" s="41" t="b">
        <f>tblCost[[#This Row],[RemainingRequirements]]=0</f>
        <v>0</v>
      </c>
      <c r="M301" s="43">
        <f>IF(tblCost[[#This Row],[TargetRequirements]]=0,0,tblCost[[#This Row],[CompletedRequirements]]/tblCost[[#This Row],[TargetRequirements]])</f>
        <v>0</v>
      </c>
    </row>
    <row r="302" spans="1:13">
      <c r="A302" s="41" t="s">
        <v>3950</v>
      </c>
      <c r="B302" s="41" t="str">
        <f>_xlfn.TEXTAFTER(_xlfn.TEXTBEFORE(tblCost[[#This Row],[RequirementID]],".",-2),"cost.")</f>
        <v>building.laboratory@2</v>
      </c>
      <c r="C302" s="41" t="str">
        <f>_xlfn.XLOOKUP(tblCost[[#This Row],[TargetID]],tblTargets[TargetID],tblTargets[DisplayName],"")</f>
        <v>Laboratory Lv 2</v>
      </c>
      <c r="D302" s="41" t="str">
        <f>_xlfn.XLOOKUP(tblCost[[#This Row],[TargetID]],tblTargets[TargetID],tblTargets[TargetType],"")</f>
        <v>BUILDING</v>
      </c>
      <c r="E302" s="41" t="s">
        <v>717</v>
      </c>
      <c r="F302" s="62" t="str">
        <f>RIGHT(tblCost[[#This Row],[RequirementID]],1)</f>
        <v>1</v>
      </c>
      <c r="G302" s="41">
        <v>600</v>
      </c>
      <c r="H302" t="b">
        <f>COUNTIFS(tblCostChecklist[RequirementID],tblCost[[#This Row],[RequirementID]],tblCostChecklist[PlayerPaid],TRUE)&gt;0</f>
        <v>0</v>
      </c>
      <c r="I302" s="41">
        <f>COUNTIF(tblCost[TargetID],tblCost[[#This Row],[TargetID]])</f>
        <v>9</v>
      </c>
      <c r="J302" s="41">
        <f>COUNTIFS(tblCost[TargetID],tblCost[[#This Row],[TargetID]],tblCost[PlayerPaid],TRUE)</f>
        <v>0</v>
      </c>
      <c r="K302" s="41">
        <f>tblCost[[#This Row],[TargetRequirements]]-tblCost[[#This Row],[CompletedRequirements]]</f>
        <v>9</v>
      </c>
      <c r="L302" s="41" t="b">
        <f>tblCost[[#This Row],[RemainingRequirements]]=0</f>
        <v>0</v>
      </c>
      <c r="M302" s="43">
        <f>IF(tblCost[[#This Row],[TargetRequirements]]=0,0,tblCost[[#This Row],[CompletedRequirements]]/tblCost[[#This Row],[TargetRequirements]])</f>
        <v>0</v>
      </c>
    </row>
    <row r="303" spans="1:13">
      <c r="A303" s="41" t="s">
        <v>3951</v>
      </c>
      <c r="B303" s="41" t="str">
        <f>_xlfn.TEXTAFTER(_xlfn.TEXTBEFORE(tblCost[[#This Row],[RequirementID]],".",-2),"cost.")</f>
        <v>building.laboratory@2</v>
      </c>
      <c r="C303" s="41" t="str">
        <f>_xlfn.XLOOKUP(tblCost[[#This Row],[TargetID]],tblTargets[TargetID],tblTargets[DisplayName],"")</f>
        <v>Laboratory Lv 2</v>
      </c>
      <c r="D303" s="41" t="str">
        <f>_xlfn.XLOOKUP(tblCost[[#This Row],[TargetID]],tblTargets[TargetID],tblTargets[TargetType],"")</f>
        <v>BUILDING</v>
      </c>
      <c r="E303" s="41" t="s">
        <v>716</v>
      </c>
      <c r="F303" s="62" t="str">
        <f>RIGHT(tblCost[[#This Row],[RequirementID]],1)</f>
        <v>1</v>
      </c>
      <c r="G303" s="41">
        <v>400</v>
      </c>
      <c r="H303" t="b">
        <f>COUNTIFS(tblCostChecklist[RequirementID],tblCost[[#This Row],[RequirementID]],tblCostChecklist[PlayerPaid],TRUE)&gt;0</f>
        <v>0</v>
      </c>
      <c r="I303" s="41">
        <f>COUNTIF(tblCost[TargetID],tblCost[[#This Row],[TargetID]])</f>
        <v>9</v>
      </c>
      <c r="J303" s="41">
        <f>COUNTIFS(tblCost[TargetID],tblCost[[#This Row],[TargetID]],tblCost[PlayerPaid],TRUE)</f>
        <v>0</v>
      </c>
      <c r="K303" s="41">
        <f>tblCost[[#This Row],[TargetRequirements]]-tblCost[[#This Row],[CompletedRequirements]]</f>
        <v>9</v>
      </c>
      <c r="L303" s="41" t="b">
        <f>tblCost[[#This Row],[RemainingRequirements]]=0</f>
        <v>0</v>
      </c>
      <c r="M303" s="43">
        <f>IF(tblCost[[#This Row],[TargetRequirements]]=0,0,tblCost[[#This Row],[CompletedRequirements]]/tblCost[[#This Row],[TargetRequirements]])</f>
        <v>0</v>
      </c>
    </row>
    <row r="304" spans="1:13">
      <c r="A304" s="41" t="s">
        <v>3952</v>
      </c>
      <c r="B304" s="41" t="str">
        <f>_xlfn.TEXTAFTER(_xlfn.TEXTBEFORE(tblCost[[#This Row],[RequirementID]],".",-2),"cost.")</f>
        <v>building.laboratory@2</v>
      </c>
      <c r="C304" s="41" t="str">
        <f>_xlfn.XLOOKUP(tblCost[[#This Row],[TargetID]],tblTargets[TargetID],tblTargets[DisplayName],"")</f>
        <v>Laboratory Lv 2</v>
      </c>
      <c r="D304" s="41" t="str">
        <f>_xlfn.XLOOKUP(tblCost[[#This Row],[TargetID]],tblTargets[TargetID],tblTargets[TargetType],"")</f>
        <v>BUILDING</v>
      </c>
      <c r="E304" s="41" t="s">
        <v>674</v>
      </c>
      <c r="F304" s="62" t="str">
        <f>RIGHT(tblCost[[#This Row],[RequirementID]],1)</f>
        <v>1</v>
      </c>
      <c r="G304" s="41">
        <v>70</v>
      </c>
      <c r="H304" t="b">
        <f>COUNTIFS(tblCostChecklist[RequirementID],tblCost[[#This Row],[RequirementID]],tblCostChecklist[PlayerPaid],TRUE)&gt;0</f>
        <v>0</v>
      </c>
      <c r="I304" s="41">
        <f>COUNTIF(tblCost[TargetID],tblCost[[#This Row],[TargetID]])</f>
        <v>9</v>
      </c>
      <c r="J304" s="41">
        <f>COUNTIFS(tblCost[TargetID],tblCost[[#This Row],[TargetID]],tblCost[PlayerPaid],TRUE)</f>
        <v>0</v>
      </c>
      <c r="K304" s="41">
        <f>tblCost[[#This Row],[TargetRequirements]]-tblCost[[#This Row],[CompletedRequirements]]</f>
        <v>9</v>
      </c>
      <c r="L304" s="41" t="b">
        <f>tblCost[[#This Row],[RemainingRequirements]]=0</f>
        <v>0</v>
      </c>
      <c r="M304" s="43">
        <f>IF(tblCost[[#This Row],[TargetRequirements]]=0,0,tblCost[[#This Row],[CompletedRequirements]]/tblCost[[#This Row],[TargetRequirements]])</f>
        <v>0</v>
      </c>
    </row>
    <row r="305" spans="1:13">
      <c r="A305" s="41" t="s">
        <v>3953</v>
      </c>
      <c r="B305" s="41" t="str">
        <f>_xlfn.TEXTAFTER(_xlfn.TEXTBEFORE(tblCost[[#This Row],[RequirementID]],".",-2),"cost.")</f>
        <v>building.laboratory@2</v>
      </c>
      <c r="C305" s="41" t="str">
        <f>_xlfn.XLOOKUP(tblCost[[#This Row],[TargetID]],tblTargets[TargetID],tblTargets[DisplayName],"")</f>
        <v>Laboratory Lv 2</v>
      </c>
      <c r="D305" s="41" t="str">
        <f>_xlfn.XLOOKUP(tblCost[[#This Row],[TargetID]],tblTargets[TargetID],tblTargets[TargetType],"")</f>
        <v>BUILDING</v>
      </c>
      <c r="E305" s="41" t="s">
        <v>687</v>
      </c>
      <c r="F305" s="62" t="str">
        <f>RIGHT(tblCost[[#This Row],[RequirementID]],1)</f>
        <v>1</v>
      </c>
      <c r="G305" s="41">
        <v>30</v>
      </c>
      <c r="H305" t="b">
        <f>COUNTIFS(tblCostChecklist[RequirementID],tblCost[[#This Row],[RequirementID]],tblCostChecklist[PlayerPaid],TRUE)&gt;0</f>
        <v>0</v>
      </c>
      <c r="I305" s="41">
        <f>COUNTIF(tblCost[TargetID],tblCost[[#This Row],[TargetID]])</f>
        <v>9</v>
      </c>
      <c r="J305" s="41">
        <f>COUNTIFS(tblCost[TargetID],tblCost[[#This Row],[TargetID]],tblCost[PlayerPaid],TRUE)</f>
        <v>0</v>
      </c>
      <c r="K305" s="41">
        <f>tblCost[[#This Row],[TargetRequirements]]-tblCost[[#This Row],[CompletedRequirements]]</f>
        <v>9</v>
      </c>
      <c r="L305" s="41" t="b">
        <f>tblCost[[#This Row],[RemainingRequirements]]=0</f>
        <v>0</v>
      </c>
      <c r="M305" s="43">
        <f>IF(tblCost[[#This Row],[TargetRequirements]]=0,0,tblCost[[#This Row],[CompletedRequirements]]/tblCost[[#This Row],[TargetRequirements]])</f>
        <v>0</v>
      </c>
    </row>
    <row r="306" spans="1:13">
      <c r="A306" s="41" t="s">
        <v>3954</v>
      </c>
      <c r="B306" s="41" t="str">
        <f>_xlfn.TEXTAFTER(_xlfn.TEXTBEFORE(tblCost[[#This Row],[RequirementID]],".",-2),"cost.")</f>
        <v>building.laboratory@2</v>
      </c>
      <c r="C306" s="41" t="str">
        <f>_xlfn.XLOOKUP(tblCost[[#This Row],[TargetID]],tblTargets[TargetID],tblTargets[DisplayName],"")</f>
        <v>Laboratory Lv 2</v>
      </c>
      <c r="D306" s="41" t="str">
        <f>_xlfn.XLOOKUP(tblCost[[#This Row],[TargetID]],tblTargets[TargetID],tblTargets[TargetType],"")</f>
        <v>BUILDING</v>
      </c>
      <c r="E306" s="41" t="s">
        <v>720</v>
      </c>
      <c r="F306" s="62" t="str">
        <f>RIGHT(tblCost[[#This Row],[RequirementID]],1)</f>
        <v>1</v>
      </c>
      <c r="G306" s="41">
        <v>20</v>
      </c>
      <c r="H306" t="b">
        <f>COUNTIFS(tblCostChecklist[RequirementID],tblCost[[#This Row],[RequirementID]],tblCostChecklist[PlayerPaid],TRUE)&gt;0</f>
        <v>0</v>
      </c>
      <c r="I306" s="41">
        <f>COUNTIF(tblCost[TargetID],tblCost[[#This Row],[TargetID]])</f>
        <v>9</v>
      </c>
      <c r="J306" s="41">
        <f>COUNTIFS(tblCost[TargetID],tblCost[[#This Row],[TargetID]],tblCost[PlayerPaid],TRUE)</f>
        <v>0</v>
      </c>
      <c r="K306" s="41">
        <f>tblCost[[#This Row],[TargetRequirements]]-tblCost[[#This Row],[CompletedRequirements]]</f>
        <v>9</v>
      </c>
      <c r="L306" s="41" t="b">
        <f>tblCost[[#This Row],[RemainingRequirements]]=0</f>
        <v>0</v>
      </c>
      <c r="M306" s="43">
        <f>IF(tblCost[[#This Row],[TargetRequirements]]=0,0,tblCost[[#This Row],[CompletedRequirements]]/tblCost[[#This Row],[TargetRequirements]])</f>
        <v>0</v>
      </c>
    </row>
    <row r="307" spans="1:13">
      <c r="A307" s="41" t="s">
        <v>3955</v>
      </c>
      <c r="B307" s="41" t="str">
        <f>_xlfn.TEXTAFTER(_xlfn.TEXTBEFORE(tblCost[[#This Row],[RequirementID]],".",-2),"cost.")</f>
        <v>building.laboratory@2</v>
      </c>
      <c r="C307" s="41" t="str">
        <f>_xlfn.XLOOKUP(tblCost[[#This Row],[TargetID]],tblTargets[TargetID],tblTargets[DisplayName],"")</f>
        <v>Laboratory Lv 2</v>
      </c>
      <c r="D307" s="41" t="str">
        <f>_xlfn.XLOOKUP(tblCost[[#This Row],[TargetID]],tblTargets[TargetID],tblTargets[TargetType],"")</f>
        <v>BUILDING</v>
      </c>
      <c r="E307" s="41" t="s">
        <v>662</v>
      </c>
      <c r="F307" s="62" t="str">
        <f>RIGHT(tblCost[[#This Row],[RequirementID]],1)</f>
        <v>1</v>
      </c>
      <c r="G307" s="41">
        <v>40</v>
      </c>
      <c r="H307" t="b">
        <f>COUNTIFS(tblCostChecklist[RequirementID],tblCost[[#This Row],[RequirementID]],tblCostChecklist[PlayerPaid],TRUE)&gt;0</f>
        <v>0</v>
      </c>
      <c r="I307" s="41">
        <f>COUNTIF(tblCost[TargetID],tblCost[[#This Row],[TargetID]])</f>
        <v>9</v>
      </c>
      <c r="J307" s="41">
        <f>COUNTIFS(tblCost[TargetID],tblCost[[#This Row],[TargetID]],tblCost[PlayerPaid],TRUE)</f>
        <v>0</v>
      </c>
      <c r="K307" s="41">
        <f>tblCost[[#This Row],[TargetRequirements]]-tblCost[[#This Row],[CompletedRequirements]]</f>
        <v>9</v>
      </c>
      <c r="L307" s="41" t="b">
        <f>tblCost[[#This Row],[RemainingRequirements]]=0</f>
        <v>0</v>
      </c>
      <c r="M307" s="43">
        <f>IF(tblCost[[#This Row],[TargetRequirements]]=0,0,tblCost[[#This Row],[CompletedRequirements]]/tblCost[[#This Row],[TargetRequirements]])</f>
        <v>0</v>
      </c>
    </row>
    <row r="308" spans="1:13">
      <c r="A308" s="41" t="s">
        <v>3956</v>
      </c>
      <c r="B308" s="41" t="str">
        <f>_xlfn.TEXTAFTER(_xlfn.TEXTBEFORE(tblCost[[#This Row],[RequirementID]],".",-2),"cost.")</f>
        <v>building.laboratory@2</v>
      </c>
      <c r="C308" s="41" t="str">
        <f>_xlfn.XLOOKUP(tblCost[[#This Row],[TargetID]],tblTargets[TargetID],tblTargets[DisplayName],"")</f>
        <v>Laboratory Lv 2</v>
      </c>
      <c r="D308" s="41" t="str">
        <f>_xlfn.XLOOKUP(tblCost[[#This Row],[TargetID]],tblTargets[TargetID],tblTargets[TargetType],"")</f>
        <v>BUILDING</v>
      </c>
      <c r="E308" s="41" t="s">
        <v>685</v>
      </c>
      <c r="F308" s="62" t="str">
        <f>RIGHT(tblCost[[#This Row],[RequirementID]],1)</f>
        <v>1</v>
      </c>
      <c r="G308" s="41">
        <v>2</v>
      </c>
      <c r="H308" t="b">
        <f>COUNTIFS(tblCostChecklist[RequirementID],tblCost[[#This Row],[RequirementID]],tblCostChecklist[PlayerPaid],TRUE)&gt;0</f>
        <v>0</v>
      </c>
      <c r="I308" s="41">
        <f>COUNTIF(tblCost[TargetID],tblCost[[#This Row],[TargetID]])</f>
        <v>9</v>
      </c>
      <c r="J308" s="41">
        <f>COUNTIFS(tblCost[TargetID],tblCost[[#This Row],[TargetID]],tblCost[PlayerPaid],TRUE)</f>
        <v>0</v>
      </c>
      <c r="K308" s="41">
        <f>tblCost[[#This Row],[TargetRequirements]]-tblCost[[#This Row],[CompletedRequirements]]</f>
        <v>9</v>
      </c>
      <c r="L308" s="41" t="b">
        <f>tblCost[[#This Row],[RemainingRequirements]]=0</f>
        <v>0</v>
      </c>
      <c r="M308" s="43">
        <f>IF(tblCost[[#This Row],[TargetRequirements]]=0,0,tblCost[[#This Row],[CompletedRequirements]]/tblCost[[#This Row],[TargetRequirements]])</f>
        <v>0</v>
      </c>
    </row>
    <row r="309" spans="1:13">
      <c r="A309" s="41" t="s">
        <v>3957</v>
      </c>
      <c r="B309" s="41" t="str">
        <f>_xlfn.TEXTAFTER(_xlfn.TEXTBEFORE(tblCost[[#This Row],[RequirementID]],".",-2),"cost.")</f>
        <v>building.laboratory@3</v>
      </c>
      <c r="C309" s="41" t="str">
        <f>_xlfn.XLOOKUP(tblCost[[#This Row],[TargetID]],tblTargets[TargetID],tblTargets[DisplayName],"")</f>
        <v>Laboratory Lv 3</v>
      </c>
      <c r="D309" s="41" t="str">
        <f>_xlfn.XLOOKUP(tblCost[[#This Row],[TargetID]],tblTargets[TargetID],tblTargets[TargetType],"")</f>
        <v>BUILDING</v>
      </c>
      <c r="E309" s="41" t="s">
        <v>708</v>
      </c>
      <c r="F309" s="62" t="str">
        <f>RIGHT(tblCost[[#This Row],[RequirementID]],1)</f>
        <v>1</v>
      </c>
      <c r="G309" s="41">
        <v>8</v>
      </c>
      <c r="H309" t="b">
        <f>COUNTIFS(tblCostChecklist[RequirementID],tblCost[[#This Row],[RequirementID]],tblCostChecklist[PlayerPaid],TRUE)&gt;0</f>
        <v>0</v>
      </c>
      <c r="I309" s="41">
        <f>COUNTIF(tblCost[TargetID],tblCost[[#This Row],[TargetID]])</f>
        <v>9</v>
      </c>
      <c r="J309" s="41">
        <f>COUNTIFS(tblCost[TargetID],tblCost[[#This Row],[TargetID]],tblCost[PlayerPaid],TRUE)</f>
        <v>0</v>
      </c>
      <c r="K309" s="41">
        <f>tblCost[[#This Row],[TargetRequirements]]-tblCost[[#This Row],[CompletedRequirements]]</f>
        <v>9</v>
      </c>
      <c r="L309" s="41" t="b">
        <f>tblCost[[#This Row],[RemainingRequirements]]=0</f>
        <v>0</v>
      </c>
      <c r="M309" s="43">
        <f>IF(tblCost[[#This Row],[TargetRequirements]]=0,0,tblCost[[#This Row],[CompletedRequirements]]/tblCost[[#This Row],[TargetRequirements]])</f>
        <v>0</v>
      </c>
    </row>
    <row r="310" spans="1:13">
      <c r="A310" s="41" t="s">
        <v>3958</v>
      </c>
      <c r="B310" s="41" t="str">
        <f>_xlfn.TEXTAFTER(_xlfn.TEXTBEFORE(tblCost[[#This Row],[RequirementID]],".",-2),"cost.")</f>
        <v>building.laboratory@3</v>
      </c>
      <c r="C310" s="41" t="str">
        <f>_xlfn.XLOOKUP(tblCost[[#This Row],[TargetID]],tblTargets[TargetID],tblTargets[DisplayName],"")</f>
        <v>Laboratory Lv 3</v>
      </c>
      <c r="D310" s="41" t="str">
        <f>_xlfn.XLOOKUP(tblCost[[#This Row],[TargetID]],tblTargets[TargetID],tblTargets[TargetType],"")</f>
        <v>BUILDING</v>
      </c>
      <c r="E310" s="41" t="s">
        <v>666</v>
      </c>
      <c r="F310" s="62" t="str">
        <f>RIGHT(tblCost[[#This Row],[RequirementID]],1)</f>
        <v>1</v>
      </c>
      <c r="G310" s="41">
        <v>1500</v>
      </c>
      <c r="H310" t="b">
        <f>COUNTIFS(tblCostChecklist[RequirementID],tblCost[[#This Row],[RequirementID]],tblCostChecklist[PlayerPaid],TRUE)&gt;0</f>
        <v>0</v>
      </c>
      <c r="I310" s="41">
        <f>COUNTIF(tblCost[TargetID],tblCost[[#This Row],[TargetID]])</f>
        <v>9</v>
      </c>
      <c r="J310" s="41">
        <f>COUNTIFS(tblCost[TargetID],tblCost[[#This Row],[TargetID]],tblCost[PlayerPaid],TRUE)</f>
        <v>0</v>
      </c>
      <c r="K310" s="41">
        <f>tblCost[[#This Row],[TargetRequirements]]-tblCost[[#This Row],[CompletedRequirements]]</f>
        <v>9</v>
      </c>
      <c r="L310" s="41" t="b">
        <f>tblCost[[#This Row],[RemainingRequirements]]=0</f>
        <v>0</v>
      </c>
      <c r="M310" s="43">
        <f>IF(tblCost[[#This Row],[TargetRequirements]]=0,0,tblCost[[#This Row],[CompletedRequirements]]/tblCost[[#This Row],[TargetRequirements]])</f>
        <v>0</v>
      </c>
    </row>
    <row r="311" spans="1:13">
      <c r="A311" s="41" t="s">
        <v>3959</v>
      </c>
      <c r="B311" s="41" t="str">
        <f>_xlfn.TEXTAFTER(_xlfn.TEXTBEFORE(tblCost[[#This Row],[RequirementID]],".",-2),"cost.")</f>
        <v>building.laboratory@3</v>
      </c>
      <c r="C311" s="41" t="str">
        <f>_xlfn.XLOOKUP(tblCost[[#This Row],[TargetID]],tblTargets[TargetID],tblTargets[DisplayName],"")</f>
        <v>Laboratory Lv 3</v>
      </c>
      <c r="D311" s="41" t="str">
        <f>_xlfn.XLOOKUP(tblCost[[#This Row],[TargetID]],tblTargets[TargetID],tblTargets[TargetType],"")</f>
        <v>BUILDING</v>
      </c>
      <c r="E311" s="41" t="s">
        <v>717</v>
      </c>
      <c r="F311" s="62" t="str">
        <f>RIGHT(tblCost[[#This Row],[RequirementID]],1)</f>
        <v>1</v>
      </c>
      <c r="G311" s="41">
        <v>600</v>
      </c>
      <c r="H311" t="b">
        <f>COUNTIFS(tblCostChecklist[RequirementID],tblCost[[#This Row],[RequirementID]],tblCostChecklist[PlayerPaid],TRUE)&gt;0</f>
        <v>0</v>
      </c>
      <c r="I311" s="41">
        <f>COUNTIF(tblCost[TargetID],tblCost[[#This Row],[TargetID]])</f>
        <v>9</v>
      </c>
      <c r="J311" s="41">
        <f>COUNTIFS(tblCost[TargetID],tblCost[[#This Row],[TargetID]],tblCost[PlayerPaid],TRUE)</f>
        <v>0</v>
      </c>
      <c r="K311" s="41">
        <f>tblCost[[#This Row],[TargetRequirements]]-tblCost[[#This Row],[CompletedRequirements]]</f>
        <v>9</v>
      </c>
      <c r="L311" s="41" t="b">
        <f>tblCost[[#This Row],[RemainingRequirements]]=0</f>
        <v>0</v>
      </c>
      <c r="M311" s="43">
        <f>IF(tblCost[[#This Row],[TargetRequirements]]=0,0,tblCost[[#This Row],[CompletedRequirements]]/tblCost[[#This Row],[TargetRequirements]])</f>
        <v>0</v>
      </c>
    </row>
    <row r="312" spans="1:13">
      <c r="A312" s="41" t="s">
        <v>3960</v>
      </c>
      <c r="B312" s="41" t="str">
        <f>_xlfn.TEXTAFTER(_xlfn.TEXTBEFORE(tblCost[[#This Row],[RequirementID]],".",-2),"cost.")</f>
        <v>building.laboratory@3</v>
      </c>
      <c r="C312" s="41" t="str">
        <f>_xlfn.XLOOKUP(tblCost[[#This Row],[TargetID]],tblTargets[TargetID],tblTargets[DisplayName],"")</f>
        <v>Laboratory Lv 3</v>
      </c>
      <c r="D312" s="41" t="str">
        <f>_xlfn.XLOOKUP(tblCost[[#This Row],[TargetID]],tblTargets[TargetID],tblTargets[TargetType],"")</f>
        <v>BUILDING</v>
      </c>
      <c r="E312" s="41" t="s">
        <v>716</v>
      </c>
      <c r="F312" s="62" t="str">
        <f>RIGHT(tblCost[[#This Row],[RequirementID]],1)</f>
        <v>1</v>
      </c>
      <c r="G312" s="41">
        <v>400</v>
      </c>
      <c r="H312" t="b">
        <f>COUNTIFS(tblCostChecklist[RequirementID],tblCost[[#This Row],[RequirementID]],tblCostChecklist[PlayerPaid],TRUE)&gt;0</f>
        <v>0</v>
      </c>
      <c r="I312" s="41">
        <f>COUNTIF(tblCost[TargetID],tblCost[[#This Row],[TargetID]])</f>
        <v>9</v>
      </c>
      <c r="J312" s="41">
        <f>COUNTIFS(tblCost[TargetID],tblCost[[#This Row],[TargetID]],tblCost[PlayerPaid],TRUE)</f>
        <v>0</v>
      </c>
      <c r="K312" s="41">
        <f>tblCost[[#This Row],[TargetRequirements]]-tblCost[[#This Row],[CompletedRequirements]]</f>
        <v>9</v>
      </c>
      <c r="L312" s="41" t="b">
        <f>tblCost[[#This Row],[RemainingRequirements]]=0</f>
        <v>0</v>
      </c>
      <c r="M312" s="43">
        <f>IF(tblCost[[#This Row],[TargetRequirements]]=0,0,tblCost[[#This Row],[CompletedRequirements]]/tblCost[[#This Row],[TargetRequirements]])</f>
        <v>0</v>
      </c>
    </row>
    <row r="313" spans="1:13">
      <c r="A313" s="41" t="s">
        <v>3961</v>
      </c>
      <c r="B313" s="41" t="str">
        <f>_xlfn.TEXTAFTER(_xlfn.TEXTBEFORE(tblCost[[#This Row],[RequirementID]],".",-2),"cost.")</f>
        <v>building.laboratory@3</v>
      </c>
      <c r="C313" s="41" t="str">
        <f>_xlfn.XLOOKUP(tblCost[[#This Row],[TargetID]],tblTargets[TargetID],tblTargets[DisplayName],"")</f>
        <v>Laboratory Lv 3</v>
      </c>
      <c r="D313" s="41" t="str">
        <f>_xlfn.XLOOKUP(tblCost[[#This Row],[TargetID]],tblTargets[TargetID],tblTargets[TargetType],"")</f>
        <v>BUILDING</v>
      </c>
      <c r="E313" s="41" t="s">
        <v>674</v>
      </c>
      <c r="F313" s="62" t="str">
        <f>RIGHT(tblCost[[#This Row],[RequirementID]],1)</f>
        <v>1</v>
      </c>
      <c r="G313" s="41">
        <v>100</v>
      </c>
      <c r="H313" t="b">
        <f>COUNTIFS(tblCostChecklist[RequirementID],tblCost[[#This Row],[RequirementID]],tblCostChecklist[PlayerPaid],TRUE)&gt;0</f>
        <v>0</v>
      </c>
      <c r="I313" s="41">
        <f>COUNTIF(tblCost[TargetID],tblCost[[#This Row],[TargetID]])</f>
        <v>9</v>
      </c>
      <c r="J313" s="41">
        <f>COUNTIFS(tblCost[TargetID],tblCost[[#This Row],[TargetID]],tblCost[PlayerPaid],TRUE)</f>
        <v>0</v>
      </c>
      <c r="K313" s="41">
        <f>tblCost[[#This Row],[TargetRequirements]]-tblCost[[#This Row],[CompletedRequirements]]</f>
        <v>9</v>
      </c>
      <c r="L313" s="41" t="b">
        <f>tblCost[[#This Row],[RemainingRequirements]]=0</f>
        <v>0</v>
      </c>
      <c r="M313" s="43">
        <f>IF(tblCost[[#This Row],[TargetRequirements]]=0,0,tblCost[[#This Row],[CompletedRequirements]]/tblCost[[#This Row],[TargetRequirements]])</f>
        <v>0</v>
      </c>
    </row>
    <row r="314" spans="1:13">
      <c r="A314" s="41" t="s">
        <v>3962</v>
      </c>
      <c r="B314" s="41" t="str">
        <f>_xlfn.TEXTAFTER(_xlfn.TEXTBEFORE(tblCost[[#This Row],[RequirementID]],".",-2),"cost.")</f>
        <v>building.laboratory@3</v>
      </c>
      <c r="C314" s="41" t="str">
        <f>_xlfn.XLOOKUP(tblCost[[#This Row],[TargetID]],tblTargets[TargetID],tblTargets[DisplayName],"")</f>
        <v>Laboratory Lv 3</v>
      </c>
      <c r="D314" s="41" t="str">
        <f>_xlfn.XLOOKUP(tblCost[[#This Row],[TargetID]],tblTargets[TargetID],tblTargets[TargetType],"")</f>
        <v>BUILDING</v>
      </c>
      <c r="E314" s="41" t="s">
        <v>661</v>
      </c>
      <c r="F314" s="62" t="str">
        <f>RIGHT(tblCost[[#This Row],[RequirementID]],1)</f>
        <v>1</v>
      </c>
      <c r="G314" s="41">
        <v>20</v>
      </c>
      <c r="H314" t="b">
        <f>COUNTIFS(tblCostChecklist[RequirementID],tblCost[[#This Row],[RequirementID]],tblCostChecklist[PlayerPaid],TRUE)&gt;0</f>
        <v>0</v>
      </c>
      <c r="I314" s="41">
        <f>COUNTIF(tblCost[TargetID],tblCost[[#This Row],[TargetID]])</f>
        <v>9</v>
      </c>
      <c r="J314" s="41">
        <f>COUNTIFS(tblCost[TargetID],tblCost[[#This Row],[TargetID]],tblCost[PlayerPaid],TRUE)</f>
        <v>0</v>
      </c>
      <c r="K314" s="41">
        <f>tblCost[[#This Row],[TargetRequirements]]-tblCost[[#This Row],[CompletedRequirements]]</f>
        <v>9</v>
      </c>
      <c r="L314" s="41" t="b">
        <f>tblCost[[#This Row],[RemainingRequirements]]=0</f>
        <v>0</v>
      </c>
      <c r="M314" s="43">
        <f>IF(tblCost[[#This Row],[TargetRequirements]]=0,0,tblCost[[#This Row],[CompletedRequirements]]/tblCost[[#This Row],[TargetRequirements]])</f>
        <v>0</v>
      </c>
    </row>
    <row r="315" spans="1:13">
      <c r="A315" s="41" t="s">
        <v>3963</v>
      </c>
      <c r="B315" s="41" t="str">
        <f>_xlfn.TEXTAFTER(_xlfn.TEXTBEFORE(tblCost[[#This Row],[RequirementID]],".",-2),"cost.")</f>
        <v>building.laboratory@3</v>
      </c>
      <c r="C315" s="41" t="str">
        <f>_xlfn.XLOOKUP(tblCost[[#This Row],[TargetID]],tblTargets[TargetID],tblTargets[DisplayName],"")</f>
        <v>Laboratory Lv 3</v>
      </c>
      <c r="D315" s="41" t="str">
        <f>_xlfn.XLOOKUP(tblCost[[#This Row],[TargetID]],tblTargets[TargetID],tblTargets[TargetType],"")</f>
        <v>BUILDING</v>
      </c>
      <c r="E315" s="41" t="s">
        <v>698</v>
      </c>
      <c r="F315" s="62" t="str">
        <f>RIGHT(tblCost[[#This Row],[RequirementID]],1)</f>
        <v>1</v>
      </c>
      <c r="G315" s="41">
        <v>20</v>
      </c>
      <c r="H315" t="b">
        <f>COUNTIFS(tblCostChecklist[RequirementID],tblCost[[#This Row],[RequirementID]],tblCostChecklist[PlayerPaid],TRUE)&gt;0</f>
        <v>0</v>
      </c>
      <c r="I315" s="41">
        <f>COUNTIF(tblCost[TargetID],tblCost[[#This Row],[TargetID]])</f>
        <v>9</v>
      </c>
      <c r="J315" s="41">
        <f>COUNTIFS(tblCost[TargetID],tblCost[[#This Row],[TargetID]],tblCost[PlayerPaid],TRUE)</f>
        <v>0</v>
      </c>
      <c r="K315" s="41">
        <f>tblCost[[#This Row],[TargetRequirements]]-tblCost[[#This Row],[CompletedRequirements]]</f>
        <v>9</v>
      </c>
      <c r="L315" s="41" t="b">
        <f>tblCost[[#This Row],[RemainingRequirements]]=0</f>
        <v>0</v>
      </c>
      <c r="M315" s="43">
        <f>IF(tblCost[[#This Row],[TargetRequirements]]=0,0,tblCost[[#This Row],[CompletedRequirements]]/tblCost[[#This Row],[TargetRequirements]])</f>
        <v>0</v>
      </c>
    </row>
    <row r="316" spans="1:13">
      <c r="A316" s="41" t="s">
        <v>3964</v>
      </c>
      <c r="B316" s="41" t="str">
        <f>_xlfn.TEXTAFTER(_xlfn.TEXTBEFORE(tblCost[[#This Row],[RequirementID]],".",-2),"cost.")</f>
        <v>building.laboratory@3</v>
      </c>
      <c r="C316" s="41" t="str">
        <f>_xlfn.XLOOKUP(tblCost[[#This Row],[TargetID]],tblTargets[TargetID],tblTargets[DisplayName],"")</f>
        <v>Laboratory Lv 3</v>
      </c>
      <c r="D316" s="41" t="str">
        <f>_xlfn.XLOOKUP(tblCost[[#This Row],[TargetID]],tblTargets[TargetID],tblTargets[TargetType],"")</f>
        <v>BUILDING</v>
      </c>
      <c r="E316" s="41" t="s">
        <v>662</v>
      </c>
      <c r="F316" s="62" t="str">
        <f>RIGHT(tblCost[[#This Row],[RequirementID]],1)</f>
        <v>1</v>
      </c>
      <c r="G316" s="41">
        <v>40</v>
      </c>
      <c r="H316" t="b">
        <f>COUNTIFS(tblCostChecklist[RequirementID],tblCost[[#This Row],[RequirementID]],tblCostChecklist[PlayerPaid],TRUE)&gt;0</f>
        <v>0</v>
      </c>
      <c r="I316" s="41">
        <f>COUNTIF(tblCost[TargetID],tblCost[[#This Row],[TargetID]])</f>
        <v>9</v>
      </c>
      <c r="J316" s="41">
        <f>COUNTIFS(tblCost[TargetID],tblCost[[#This Row],[TargetID]],tblCost[PlayerPaid],TRUE)</f>
        <v>0</v>
      </c>
      <c r="K316" s="41">
        <f>tblCost[[#This Row],[TargetRequirements]]-tblCost[[#This Row],[CompletedRequirements]]</f>
        <v>9</v>
      </c>
      <c r="L316" s="41" t="b">
        <f>tblCost[[#This Row],[RemainingRequirements]]=0</f>
        <v>0</v>
      </c>
      <c r="M316" s="43">
        <f>IF(tblCost[[#This Row],[TargetRequirements]]=0,0,tblCost[[#This Row],[CompletedRequirements]]/tblCost[[#This Row],[TargetRequirements]])</f>
        <v>0</v>
      </c>
    </row>
    <row r="317" spans="1:13">
      <c r="A317" s="41" t="s">
        <v>3965</v>
      </c>
      <c r="B317" s="41" t="str">
        <f>_xlfn.TEXTAFTER(_xlfn.TEXTBEFORE(tblCost[[#This Row],[RequirementID]],".",-2),"cost.")</f>
        <v>building.laboratory@3</v>
      </c>
      <c r="C317" s="41" t="str">
        <f>_xlfn.XLOOKUP(tblCost[[#This Row],[TargetID]],tblTargets[TargetID],tblTargets[DisplayName],"")</f>
        <v>Laboratory Lv 3</v>
      </c>
      <c r="D317" s="41" t="str">
        <f>_xlfn.XLOOKUP(tblCost[[#This Row],[TargetID]],tblTargets[TargetID],tblTargets[TargetType],"")</f>
        <v>BUILDING</v>
      </c>
      <c r="E317" s="41" t="s">
        <v>685</v>
      </c>
      <c r="F317" s="62" t="str">
        <f>RIGHT(tblCost[[#This Row],[RequirementID]],1)</f>
        <v>1</v>
      </c>
      <c r="G317" s="41">
        <v>2</v>
      </c>
      <c r="H317" t="b">
        <f>COUNTIFS(tblCostChecklist[RequirementID],tblCost[[#This Row],[RequirementID]],tblCostChecklist[PlayerPaid],TRUE)&gt;0</f>
        <v>0</v>
      </c>
      <c r="I317" s="41">
        <f>COUNTIF(tblCost[TargetID],tblCost[[#This Row],[TargetID]])</f>
        <v>9</v>
      </c>
      <c r="J317" s="41">
        <f>COUNTIFS(tblCost[TargetID],tblCost[[#This Row],[TargetID]],tblCost[PlayerPaid],TRUE)</f>
        <v>0</v>
      </c>
      <c r="K317" s="41">
        <f>tblCost[[#This Row],[TargetRequirements]]-tblCost[[#This Row],[CompletedRequirements]]</f>
        <v>9</v>
      </c>
      <c r="L317" s="41" t="b">
        <f>tblCost[[#This Row],[RemainingRequirements]]=0</f>
        <v>0</v>
      </c>
      <c r="M317" s="43">
        <f>IF(tblCost[[#This Row],[TargetRequirements]]=0,0,tblCost[[#This Row],[CompletedRequirements]]/tblCost[[#This Row],[TargetRequirements]])</f>
        <v>0</v>
      </c>
    </row>
    <row r="318" spans="1:13">
      <c r="A318" s="41" t="s">
        <v>3966</v>
      </c>
      <c r="B318" s="41" t="str">
        <f>_xlfn.TEXTAFTER(_xlfn.TEXTBEFORE(tblCost[[#This Row],[RequirementID]],".",-2),"cost.")</f>
        <v>building.laboratory@4</v>
      </c>
      <c r="C318" s="41" t="str">
        <f>_xlfn.XLOOKUP(tblCost[[#This Row],[TargetID]],tblTargets[TargetID],tblTargets[DisplayName],"")</f>
        <v>Laboratory Lv 4</v>
      </c>
      <c r="D318" s="41" t="str">
        <f>_xlfn.XLOOKUP(tblCost[[#This Row],[TargetID]],tblTargets[TargetID],tblTargets[TargetType],"")</f>
        <v>BUILDING</v>
      </c>
      <c r="E318" s="41" t="s">
        <v>708</v>
      </c>
      <c r="F318" s="62" t="str">
        <f>RIGHT(tblCost[[#This Row],[RequirementID]],1)</f>
        <v>1</v>
      </c>
      <c r="G318" s="41">
        <v>9</v>
      </c>
      <c r="H318" t="b">
        <f>COUNTIFS(tblCostChecklist[RequirementID],tblCost[[#This Row],[RequirementID]],tblCostChecklist[PlayerPaid],TRUE)&gt;0</f>
        <v>0</v>
      </c>
      <c r="I318" s="41">
        <f>COUNTIF(tblCost[TargetID],tblCost[[#This Row],[TargetID]])</f>
        <v>9</v>
      </c>
      <c r="J318" s="41">
        <f>COUNTIFS(tblCost[TargetID],tblCost[[#This Row],[TargetID]],tblCost[PlayerPaid],TRUE)</f>
        <v>0</v>
      </c>
      <c r="K318" s="41">
        <f>tblCost[[#This Row],[TargetRequirements]]-tblCost[[#This Row],[CompletedRequirements]]</f>
        <v>9</v>
      </c>
      <c r="L318" s="41" t="b">
        <f>tblCost[[#This Row],[RemainingRequirements]]=0</f>
        <v>0</v>
      </c>
      <c r="M318" s="43">
        <f>IF(tblCost[[#This Row],[TargetRequirements]]=0,0,tblCost[[#This Row],[CompletedRequirements]]/tblCost[[#This Row],[TargetRequirements]])</f>
        <v>0</v>
      </c>
    </row>
    <row r="319" spans="1:13">
      <c r="A319" s="41" t="s">
        <v>3967</v>
      </c>
      <c r="B319" s="41" t="str">
        <f>_xlfn.TEXTAFTER(_xlfn.TEXTBEFORE(tblCost[[#This Row],[RequirementID]],".",-2),"cost.")</f>
        <v>building.laboratory@4</v>
      </c>
      <c r="C319" s="41" t="str">
        <f>_xlfn.XLOOKUP(tblCost[[#This Row],[TargetID]],tblTargets[TargetID],tblTargets[DisplayName],"")</f>
        <v>Laboratory Lv 4</v>
      </c>
      <c r="D319" s="41" t="str">
        <f>_xlfn.XLOOKUP(tblCost[[#This Row],[TargetID]],tblTargets[TargetID],tblTargets[TargetType],"")</f>
        <v>BUILDING</v>
      </c>
      <c r="E319" s="41" t="s">
        <v>666</v>
      </c>
      <c r="F319" s="62" t="str">
        <f>RIGHT(tblCost[[#This Row],[RequirementID]],1)</f>
        <v>1</v>
      </c>
      <c r="G319" s="41">
        <v>2000</v>
      </c>
      <c r="H319" t="b">
        <f>COUNTIFS(tblCostChecklist[RequirementID],tblCost[[#This Row],[RequirementID]],tblCostChecklist[PlayerPaid],TRUE)&gt;0</f>
        <v>0</v>
      </c>
      <c r="I319" s="41">
        <f>COUNTIF(tblCost[TargetID],tblCost[[#This Row],[TargetID]])</f>
        <v>9</v>
      </c>
      <c r="J319" s="41">
        <f>COUNTIFS(tblCost[TargetID],tblCost[[#This Row],[TargetID]],tblCost[PlayerPaid],TRUE)</f>
        <v>0</v>
      </c>
      <c r="K319" s="41">
        <f>tblCost[[#This Row],[TargetRequirements]]-tblCost[[#This Row],[CompletedRequirements]]</f>
        <v>9</v>
      </c>
      <c r="L319" s="41" t="b">
        <f>tblCost[[#This Row],[RemainingRequirements]]=0</f>
        <v>0</v>
      </c>
      <c r="M319" s="43">
        <f>IF(tblCost[[#This Row],[TargetRequirements]]=0,0,tblCost[[#This Row],[CompletedRequirements]]/tblCost[[#This Row],[TargetRequirements]])</f>
        <v>0</v>
      </c>
    </row>
    <row r="320" spans="1:13">
      <c r="A320" s="41" t="s">
        <v>3968</v>
      </c>
      <c r="B320" s="41" t="str">
        <f>_xlfn.TEXTAFTER(_xlfn.TEXTBEFORE(tblCost[[#This Row],[RequirementID]],".",-2),"cost.")</f>
        <v>building.laboratory@4</v>
      </c>
      <c r="C320" s="41" t="str">
        <f>_xlfn.XLOOKUP(tblCost[[#This Row],[TargetID]],tblTargets[TargetID],tblTargets[DisplayName],"")</f>
        <v>Laboratory Lv 4</v>
      </c>
      <c r="D320" s="41" t="str">
        <f>_xlfn.XLOOKUP(tblCost[[#This Row],[TargetID]],tblTargets[TargetID],tblTargets[TargetType],"")</f>
        <v>BUILDING</v>
      </c>
      <c r="E320" s="41" t="s">
        <v>717</v>
      </c>
      <c r="F320" s="62" t="str">
        <f>RIGHT(tblCost[[#This Row],[RequirementID]],1)</f>
        <v>1</v>
      </c>
      <c r="G320" s="41">
        <v>600</v>
      </c>
      <c r="H320" t="b">
        <f>COUNTIFS(tblCostChecklist[RequirementID],tblCost[[#This Row],[RequirementID]],tblCostChecklist[PlayerPaid],TRUE)&gt;0</f>
        <v>0</v>
      </c>
      <c r="I320" s="41">
        <f>COUNTIF(tblCost[TargetID],tblCost[[#This Row],[TargetID]])</f>
        <v>9</v>
      </c>
      <c r="J320" s="41">
        <f>COUNTIFS(tblCost[TargetID],tblCost[[#This Row],[TargetID]],tblCost[PlayerPaid],TRUE)</f>
        <v>0</v>
      </c>
      <c r="K320" s="41">
        <f>tblCost[[#This Row],[TargetRequirements]]-tblCost[[#This Row],[CompletedRequirements]]</f>
        <v>9</v>
      </c>
      <c r="L320" s="41" t="b">
        <f>tblCost[[#This Row],[RemainingRequirements]]=0</f>
        <v>0</v>
      </c>
      <c r="M320" s="43">
        <f>IF(tblCost[[#This Row],[TargetRequirements]]=0,0,tblCost[[#This Row],[CompletedRequirements]]/tblCost[[#This Row],[TargetRequirements]])</f>
        <v>0</v>
      </c>
    </row>
    <row r="321" spans="1:13">
      <c r="A321" s="41" t="s">
        <v>3969</v>
      </c>
      <c r="B321" s="41" t="str">
        <f>_xlfn.TEXTAFTER(_xlfn.TEXTBEFORE(tblCost[[#This Row],[RequirementID]],".",-2),"cost.")</f>
        <v>building.laboratory@4</v>
      </c>
      <c r="C321" s="41" t="str">
        <f>_xlfn.XLOOKUP(tblCost[[#This Row],[TargetID]],tblTargets[TargetID],tblTargets[DisplayName],"")</f>
        <v>Laboratory Lv 4</v>
      </c>
      <c r="D321" s="41" t="str">
        <f>_xlfn.XLOOKUP(tblCost[[#This Row],[TargetID]],tblTargets[TargetID],tblTargets[TargetType],"")</f>
        <v>BUILDING</v>
      </c>
      <c r="E321" s="41" t="s">
        <v>716</v>
      </c>
      <c r="F321" s="62" t="str">
        <f>RIGHT(tblCost[[#This Row],[RequirementID]],1)</f>
        <v>1</v>
      </c>
      <c r="G321" s="41">
        <v>400</v>
      </c>
      <c r="H321" t="b">
        <f>COUNTIFS(tblCostChecklist[RequirementID],tblCost[[#This Row],[RequirementID]],tblCostChecklist[PlayerPaid],TRUE)&gt;0</f>
        <v>0</v>
      </c>
      <c r="I321" s="41">
        <f>COUNTIF(tblCost[TargetID],tblCost[[#This Row],[TargetID]])</f>
        <v>9</v>
      </c>
      <c r="J321" s="41">
        <f>COUNTIFS(tblCost[TargetID],tblCost[[#This Row],[TargetID]],tblCost[PlayerPaid],TRUE)</f>
        <v>0</v>
      </c>
      <c r="K321" s="41">
        <f>tblCost[[#This Row],[TargetRequirements]]-tblCost[[#This Row],[CompletedRequirements]]</f>
        <v>9</v>
      </c>
      <c r="L321" s="41" t="b">
        <f>tblCost[[#This Row],[RemainingRequirements]]=0</f>
        <v>0</v>
      </c>
      <c r="M321" s="43">
        <f>IF(tblCost[[#This Row],[TargetRequirements]]=0,0,tblCost[[#This Row],[CompletedRequirements]]/tblCost[[#This Row],[TargetRequirements]])</f>
        <v>0</v>
      </c>
    </row>
    <row r="322" spans="1:13">
      <c r="A322" s="41" t="s">
        <v>3970</v>
      </c>
      <c r="B322" s="41" t="str">
        <f>_xlfn.TEXTAFTER(_xlfn.TEXTBEFORE(tblCost[[#This Row],[RequirementID]],".",-2),"cost.")</f>
        <v>building.laboratory@4</v>
      </c>
      <c r="C322" s="41" t="str">
        <f>_xlfn.XLOOKUP(tblCost[[#This Row],[TargetID]],tblTargets[TargetID],tblTargets[DisplayName],"")</f>
        <v>Laboratory Lv 4</v>
      </c>
      <c r="D322" s="41" t="str">
        <f>_xlfn.XLOOKUP(tblCost[[#This Row],[TargetID]],tblTargets[TargetID],tblTargets[TargetType],"")</f>
        <v>BUILDING</v>
      </c>
      <c r="E322" s="41" t="s">
        <v>706</v>
      </c>
      <c r="F322" s="62" t="str">
        <f>RIGHT(tblCost[[#This Row],[RequirementID]],1)</f>
        <v>1</v>
      </c>
      <c r="G322" s="41">
        <v>20</v>
      </c>
      <c r="H322" t="b">
        <f>COUNTIFS(tblCostChecklist[RequirementID],tblCost[[#This Row],[RequirementID]],tblCostChecklist[PlayerPaid],TRUE)&gt;0</f>
        <v>0</v>
      </c>
      <c r="I322" s="41">
        <f>COUNTIF(tblCost[TargetID],tblCost[[#This Row],[TargetID]])</f>
        <v>9</v>
      </c>
      <c r="J322" s="41">
        <f>COUNTIFS(tblCost[TargetID],tblCost[[#This Row],[TargetID]],tblCost[PlayerPaid],TRUE)</f>
        <v>0</v>
      </c>
      <c r="K322" s="41">
        <f>tblCost[[#This Row],[TargetRequirements]]-tblCost[[#This Row],[CompletedRequirements]]</f>
        <v>9</v>
      </c>
      <c r="L322" s="41" t="b">
        <f>tblCost[[#This Row],[RemainingRequirements]]=0</f>
        <v>0</v>
      </c>
      <c r="M322" s="43">
        <f>IF(tblCost[[#This Row],[TargetRequirements]]=0,0,tblCost[[#This Row],[CompletedRequirements]]/tblCost[[#This Row],[TargetRequirements]])</f>
        <v>0</v>
      </c>
    </row>
    <row r="323" spans="1:13">
      <c r="A323" s="41" t="s">
        <v>3971</v>
      </c>
      <c r="B323" s="41" t="str">
        <f>_xlfn.TEXTAFTER(_xlfn.TEXTBEFORE(tblCost[[#This Row],[RequirementID]],".",-2),"cost.")</f>
        <v>building.laboratory@4</v>
      </c>
      <c r="C323" s="41" t="str">
        <f>_xlfn.XLOOKUP(tblCost[[#This Row],[TargetID]],tblTargets[TargetID],tblTargets[DisplayName],"")</f>
        <v>Laboratory Lv 4</v>
      </c>
      <c r="D323" s="41" t="str">
        <f>_xlfn.XLOOKUP(tblCost[[#This Row],[TargetID]],tblTargets[TargetID],tblTargets[TargetType],"")</f>
        <v>BUILDING</v>
      </c>
      <c r="E323" s="41" t="s">
        <v>676</v>
      </c>
      <c r="F323" s="62" t="str">
        <f>RIGHT(tblCost[[#This Row],[RequirementID]],1)</f>
        <v>1</v>
      </c>
      <c r="G323" s="41">
        <v>20</v>
      </c>
      <c r="H323" t="b">
        <f>COUNTIFS(tblCostChecklist[RequirementID],tblCost[[#This Row],[RequirementID]],tblCostChecklist[PlayerPaid],TRUE)&gt;0</f>
        <v>0</v>
      </c>
      <c r="I323" s="41">
        <f>COUNTIF(tblCost[TargetID],tblCost[[#This Row],[TargetID]])</f>
        <v>9</v>
      </c>
      <c r="J323" s="41">
        <f>COUNTIFS(tblCost[TargetID],tblCost[[#This Row],[TargetID]],tblCost[PlayerPaid],TRUE)</f>
        <v>0</v>
      </c>
      <c r="K323" s="41">
        <f>tblCost[[#This Row],[TargetRequirements]]-tblCost[[#This Row],[CompletedRequirements]]</f>
        <v>9</v>
      </c>
      <c r="L323" s="41" t="b">
        <f>tblCost[[#This Row],[RemainingRequirements]]=0</f>
        <v>0</v>
      </c>
      <c r="M323" s="43">
        <f>IF(tblCost[[#This Row],[TargetRequirements]]=0,0,tblCost[[#This Row],[CompletedRequirements]]/tblCost[[#This Row],[TargetRequirements]])</f>
        <v>0</v>
      </c>
    </row>
    <row r="324" spans="1:13">
      <c r="A324" s="41" t="s">
        <v>3972</v>
      </c>
      <c r="B324" s="41" t="str">
        <f>_xlfn.TEXTAFTER(_xlfn.TEXTBEFORE(tblCost[[#This Row],[RequirementID]],".",-2),"cost.")</f>
        <v>building.laboratory@4</v>
      </c>
      <c r="C324" s="41" t="str">
        <f>_xlfn.XLOOKUP(tblCost[[#This Row],[TargetID]],tblTargets[TargetID],tblTargets[DisplayName],"")</f>
        <v>Laboratory Lv 4</v>
      </c>
      <c r="D324" s="41" t="str">
        <f>_xlfn.XLOOKUP(tblCost[[#This Row],[TargetID]],tblTargets[TargetID],tblTargets[TargetType],"")</f>
        <v>BUILDING</v>
      </c>
      <c r="E324" s="41" t="s">
        <v>698</v>
      </c>
      <c r="F324" s="62" t="str">
        <f>RIGHT(tblCost[[#This Row],[RequirementID]],1)</f>
        <v>1</v>
      </c>
      <c r="G324" s="41">
        <v>30</v>
      </c>
      <c r="H324" t="b">
        <f>COUNTIFS(tblCostChecklist[RequirementID],tblCost[[#This Row],[RequirementID]],tblCostChecklist[PlayerPaid],TRUE)&gt;0</f>
        <v>0</v>
      </c>
      <c r="I324" s="41">
        <f>COUNTIF(tblCost[TargetID],tblCost[[#This Row],[TargetID]])</f>
        <v>9</v>
      </c>
      <c r="J324" s="41">
        <f>COUNTIFS(tblCost[TargetID],tblCost[[#This Row],[TargetID]],tblCost[PlayerPaid],TRUE)</f>
        <v>0</v>
      </c>
      <c r="K324" s="41">
        <f>tblCost[[#This Row],[TargetRequirements]]-tblCost[[#This Row],[CompletedRequirements]]</f>
        <v>9</v>
      </c>
      <c r="L324" s="41" t="b">
        <f>tblCost[[#This Row],[RemainingRequirements]]=0</f>
        <v>0</v>
      </c>
      <c r="M324" s="43">
        <f>IF(tblCost[[#This Row],[TargetRequirements]]=0,0,tblCost[[#This Row],[CompletedRequirements]]/tblCost[[#This Row],[TargetRequirements]])</f>
        <v>0</v>
      </c>
    </row>
    <row r="325" spans="1:13">
      <c r="A325" s="41" t="s">
        <v>3973</v>
      </c>
      <c r="B325" s="41" t="str">
        <f>_xlfn.TEXTAFTER(_xlfn.TEXTBEFORE(tblCost[[#This Row],[RequirementID]],".",-2),"cost.")</f>
        <v>building.laboratory@4</v>
      </c>
      <c r="C325" s="41" t="str">
        <f>_xlfn.XLOOKUP(tblCost[[#This Row],[TargetID]],tblTargets[TargetID],tblTargets[DisplayName],"")</f>
        <v>Laboratory Lv 4</v>
      </c>
      <c r="D325" s="41" t="str">
        <f>_xlfn.XLOOKUP(tblCost[[#This Row],[TargetID]],tblTargets[TargetID],tblTargets[TargetType],"")</f>
        <v>BUILDING</v>
      </c>
      <c r="E325" s="41" t="s">
        <v>662</v>
      </c>
      <c r="F325" s="62" t="str">
        <f>RIGHT(tblCost[[#This Row],[RequirementID]],1)</f>
        <v>1</v>
      </c>
      <c r="G325" s="41">
        <v>40</v>
      </c>
      <c r="H325" t="b">
        <f>COUNTIFS(tblCostChecklist[RequirementID],tblCost[[#This Row],[RequirementID]],tblCostChecklist[PlayerPaid],TRUE)&gt;0</f>
        <v>0</v>
      </c>
      <c r="I325" s="41">
        <f>COUNTIF(tblCost[TargetID],tblCost[[#This Row],[TargetID]])</f>
        <v>9</v>
      </c>
      <c r="J325" s="41">
        <f>COUNTIFS(tblCost[TargetID],tblCost[[#This Row],[TargetID]],tblCost[PlayerPaid],TRUE)</f>
        <v>0</v>
      </c>
      <c r="K325" s="41">
        <f>tblCost[[#This Row],[TargetRequirements]]-tblCost[[#This Row],[CompletedRequirements]]</f>
        <v>9</v>
      </c>
      <c r="L325" s="41" t="b">
        <f>tblCost[[#This Row],[RemainingRequirements]]=0</f>
        <v>0</v>
      </c>
      <c r="M325" s="43">
        <f>IF(tblCost[[#This Row],[TargetRequirements]]=0,0,tblCost[[#This Row],[CompletedRequirements]]/tblCost[[#This Row],[TargetRequirements]])</f>
        <v>0</v>
      </c>
    </row>
    <row r="326" spans="1:13">
      <c r="A326" s="41" t="s">
        <v>3974</v>
      </c>
      <c r="B326" s="41" t="str">
        <f>_xlfn.TEXTAFTER(_xlfn.TEXTBEFORE(tblCost[[#This Row],[RequirementID]],".",-2),"cost.")</f>
        <v>building.laboratory@4</v>
      </c>
      <c r="C326" s="41" t="str">
        <f>_xlfn.XLOOKUP(tblCost[[#This Row],[TargetID]],tblTargets[TargetID],tblTargets[DisplayName],"")</f>
        <v>Laboratory Lv 4</v>
      </c>
      <c r="D326" s="41" t="str">
        <f>_xlfn.XLOOKUP(tblCost[[#This Row],[TargetID]],tblTargets[TargetID],tblTargets[TargetType],"")</f>
        <v>BUILDING</v>
      </c>
      <c r="E326" s="41" t="s">
        <v>685</v>
      </c>
      <c r="F326" s="62" t="str">
        <f>RIGHT(tblCost[[#This Row],[RequirementID]],1)</f>
        <v>1</v>
      </c>
      <c r="G326" s="41">
        <v>1</v>
      </c>
      <c r="H326" t="b">
        <f>COUNTIFS(tblCostChecklist[RequirementID],tblCost[[#This Row],[RequirementID]],tblCostChecklist[PlayerPaid],TRUE)&gt;0</f>
        <v>0</v>
      </c>
      <c r="I326" s="41">
        <f>COUNTIF(tblCost[TargetID],tblCost[[#This Row],[TargetID]])</f>
        <v>9</v>
      </c>
      <c r="J326" s="41">
        <f>COUNTIFS(tblCost[TargetID],tblCost[[#This Row],[TargetID]],tblCost[PlayerPaid],TRUE)</f>
        <v>0</v>
      </c>
      <c r="K326" s="41">
        <f>tblCost[[#This Row],[TargetRequirements]]-tblCost[[#This Row],[CompletedRequirements]]</f>
        <v>9</v>
      </c>
      <c r="L326" s="41" t="b">
        <f>tblCost[[#This Row],[RemainingRequirements]]=0</f>
        <v>0</v>
      </c>
      <c r="M326" s="43">
        <f>IF(tblCost[[#This Row],[TargetRequirements]]=0,0,tblCost[[#This Row],[CompletedRequirements]]/tblCost[[#This Row],[TargetRequirements]])</f>
        <v>0</v>
      </c>
    </row>
    <row r="327" spans="1:13">
      <c r="A327" s="41" t="s">
        <v>3975</v>
      </c>
      <c r="B327" s="41" t="str">
        <f>_xlfn.TEXTAFTER(_xlfn.TEXTBEFORE(tblCost[[#This Row],[RequirementID]],".",-2),"cost.")</f>
        <v>building.laboratory@5</v>
      </c>
      <c r="C327" s="41" t="str">
        <f>_xlfn.XLOOKUP(tblCost[[#This Row],[TargetID]],tblTargets[TargetID],tblTargets[DisplayName],"")</f>
        <v>Laboratory Lv 5</v>
      </c>
      <c r="D327" s="41" t="str">
        <f>_xlfn.XLOOKUP(tblCost[[#This Row],[TargetID]],tblTargets[TargetID],tblTargets[TargetType],"")</f>
        <v>BUILDING</v>
      </c>
      <c r="E327" s="41" t="s">
        <v>708</v>
      </c>
      <c r="F327" s="62" t="str">
        <f>RIGHT(tblCost[[#This Row],[RequirementID]],1)</f>
        <v>1</v>
      </c>
      <c r="G327" s="41">
        <v>10</v>
      </c>
      <c r="H327" t="b">
        <f>COUNTIFS(tblCostChecklist[RequirementID],tblCost[[#This Row],[RequirementID]],tblCostChecklist[PlayerPaid],TRUE)&gt;0</f>
        <v>0</v>
      </c>
      <c r="I327" s="41">
        <f>COUNTIF(tblCost[TargetID],tblCost[[#This Row],[TargetID]])</f>
        <v>9</v>
      </c>
      <c r="J327" s="41">
        <f>COUNTIFS(tblCost[TargetID],tblCost[[#This Row],[TargetID]],tblCost[PlayerPaid],TRUE)</f>
        <v>0</v>
      </c>
      <c r="K327" s="41">
        <f>tblCost[[#This Row],[TargetRequirements]]-tblCost[[#This Row],[CompletedRequirements]]</f>
        <v>9</v>
      </c>
      <c r="L327" s="41" t="b">
        <f>tblCost[[#This Row],[RemainingRequirements]]=0</f>
        <v>0</v>
      </c>
      <c r="M327" s="43">
        <f>IF(tblCost[[#This Row],[TargetRequirements]]=0,0,tblCost[[#This Row],[CompletedRequirements]]/tblCost[[#This Row],[TargetRequirements]])</f>
        <v>0</v>
      </c>
    </row>
    <row r="328" spans="1:13">
      <c r="A328" s="41" t="s">
        <v>3976</v>
      </c>
      <c r="B328" s="41" t="str">
        <f>_xlfn.TEXTAFTER(_xlfn.TEXTBEFORE(tblCost[[#This Row],[RequirementID]],".",-2),"cost.")</f>
        <v>building.laboratory@5</v>
      </c>
      <c r="C328" s="41" t="str">
        <f>_xlfn.XLOOKUP(tblCost[[#This Row],[TargetID]],tblTargets[TargetID],tblTargets[DisplayName],"")</f>
        <v>Laboratory Lv 5</v>
      </c>
      <c r="D328" s="41" t="str">
        <f>_xlfn.XLOOKUP(tblCost[[#This Row],[TargetID]],tblTargets[TargetID],tblTargets[TargetType],"")</f>
        <v>BUILDING</v>
      </c>
      <c r="E328" s="41" t="s">
        <v>666</v>
      </c>
      <c r="F328" s="62" t="str">
        <f>RIGHT(tblCost[[#This Row],[RequirementID]],1)</f>
        <v>1</v>
      </c>
      <c r="G328" s="41">
        <v>2000</v>
      </c>
      <c r="H328" t="b">
        <f>COUNTIFS(tblCostChecklist[RequirementID],tblCost[[#This Row],[RequirementID]],tblCostChecklist[PlayerPaid],TRUE)&gt;0</f>
        <v>0</v>
      </c>
      <c r="I328" s="41">
        <f>COUNTIF(tblCost[TargetID],tblCost[[#This Row],[TargetID]])</f>
        <v>9</v>
      </c>
      <c r="J328" s="41">
        <f>COUNTIFS(tblCost[TargetID],tblCost[[#This Row],[TargetID]],tblCost[PlayerPaid],TRUE)</f>
        <v>0</v>
      </c>
      <c r="K328" s="41">
        <f>tblCost[[#This Row],[TargetRequirements]]-tblCost[[#This Row],[CompletedRequirements]]</f>
        <v>9</v>
      </c>
      <c r="L328" s="41" t="b">
        <f>tblCost[[#This Row],[RemainingRequirements]]=0</f>
        <v>0</v>
      </c>
      <c r="M328" s="43">
        <f>IF(tblCost[[#This Row],[TargetRequirements]]=0,0,tblCost[[#This Row],[CompletedRequirements]]/tblCost[[#This Row],[TargetRequirements]])</f>
        <v>0</v>
      </c>
    </row>
    <row r="329" spans="1:13">
      <c r="A329" s="41" t="s">
        <v>3977</v>
      </c>
      <c r="B329" s="41" t="str">
        <f>_xlfn.TEXTAFTER(_xlfn.TEXTBEFORE(tblCost[[#This Row],[RequirementID]],".",-2),"cost.")</f>
        <v>building.laboratory@5</v>
      </c>
      <c r="C329" s="41" t="str">
        <f>_xlfn.XLOOKUP(tblCost[[#This Row],[TargetID]],tblTargets[TargetID],tblTargets[DisplayName],"")</f>
        <v>Laboratory Lv 5</v>
      </c>
      <c r="D329" s="41" t="str">
        <f>_xlfn.XLOOKUP(tblCost[[#This Row],[TargetID]],tblTargets[TargetID],tblTargets[TargetType],"")</f>
        <v>BUILDING</v>
      </c>
      <c r="E329" s="41" t="s">
        <v>717</v>
      </c>
      <c r="F329" s="62" t="str">
        <f>RIGHT(tblCost[[#This Row],[RequirementID]],1)</f>
        <v>1</v>
      </c>
      <c r="G329" s="41">
        <v>700</v>
      </c>
      <c r="H329" t="b">
        <f>COUNTIFS(tblCostChecklist[RequirementID],tblCost[[#This Row],[RequirementID]],tblCostChecklist[PlayerPaid],TRUE)&gt;0</f>
        <v>0</v>
      </c>
      <c r="I329" s="41">
        <f>COUNTIF(tblCost[TargetID],tblCost[[#This Row],[TargetID]])</f>
        <v>9</v>
      </c>
      <c r="J329" s="41">
        <f>COUNTIFS(tblCost[TargetID],tblCost[[#This Row],[TargetID]],tblCost[PlayerPaid],TRUE)</f>
        <v>0</v>
      </c>
      <c r="K329" s="41">
        <f>tblCost[[#This Row],[TargetRequirements]]-tblCost[[#This Row],[CompletedRequirements]]</f>
        <v>9</v>
      </c>
      <c r="L329" s="41" t="b">
        <f>tblCost[[#This Row],[RemainingRequirements]]=0</f>
        <v>0</v>
      </c>
      <c r="M329" s="43">
        <f>IF(tblCost[[#This Row],[TargetRequirements]]=0,0,tblCost[[#This Row],[CompletedRequirements]]/tblCost[[#This Row],[TargetRequirements]])</f>
        <v>0</v>
      </c>
    </row>
    <row r="330" spans="1:13">
      <c r="A330" s="41" t="s">
        <v>3978</v>
      </c>
      <c r="B330" s="41" t="str">
        <f>_xlfn.TEXTAFTER(_xlfn.TEXTBEFORE(tblCost[[#This Row],[RequirementID]],".",-2),"cost.")</f>
        <v>building.laboratory@5</v>
      </c>
      <c r="C330" s="41" t="str">
        <f>_xlfn.XLOOKUP(tblCost[[#This Row],[TargetID]],tblTargets[TargetID],tblTargets[DisplayName],"")</f>
        <v>Laboratory Lv 5</v>
      </c>
      <c r="D330" s="41" t="str">
        <f>_xlfn.XLOOKUP(tblCost[[#This Row],[TargetID]],tblTargets[TargetID],tblTargets[TargetType],"")</f>
        <v>BUILDING</v>
      </c>
      <c r="E330" s="41" t="s">
        <v>716</v>
      </c>
      <c r="F330" s="62" t="str">
        <f>RIGHT(tblCost[[#This Row],[RequirementID]],1)</f>
        <v>1</v>
      </c>
      <c r="G330" s="41">
        <v>500</v>
      </c>
      <c r="H330" t="b">
        <f>COUNTIFS(tblCostChecklist[RequirementID],tblCost[[#This Row],[RequirementID]],tblCostChecklist[PlayerPaid],TRUE)&gt;0</f>
        <v>0</v>
      </c>
      <c r="I330" s="41">
        <f>COUNTIF(tblCost[TargetID],tblCost[[#This Row],[TargetID]])</f>
        <v>9</v>
      </c>
      <c r="J330" s="41">
        <f>COUNTIFS(tblCost[TargetID],tblCost[[#This Row],[TargetID]],tblCost[PlayerPaid],TRUE)</f>
        <v>0</v>
      </c>
      <c r="K330" s="41">
        <f>tblCost[[#This Row],[TargetRequirements]]-tblCost[[#This Row],[CompletedRequirements]]</f>
        <v>9</v>
      </c>
      <c r="L330" s="41" t="b">
        <f>tblCost[[#This Row],[RemainingRequirements]]=0</f>
        <v>0</v>
      </c>
      <c r="M330" s="43">
        <f>IF(tblCost[[#This Row],[TargetRequirements]]=0,0,tblCost[[#This Row],[CompletedRequirements]]/tblCost[[#This Row],[TargetRequirements]])</f>
        <v>0</v>
      </c>
    </row>
    <row r="331" spans="1:13">
      <c r="A331" s="41" t="s">
        <v>3979</v>
      </c>
      <c r="B331" s="41" t="str">
        <f>_xlfn.TEXTAFTER(_xlfn.TEXTBEFORE(tblCost[[#This Row],[RequirementID]],".",-2),"cost.")</f>
        <v>building.laboratory@5</v>
      </c>
      <c r="C331" s="41" t="str">
        <f>_xlfn.XLOOKUP(tblCost[[#This Row],[TargetID]],tblTargets[TargetID],tblTargets[DisplayName],"")</f>
        <v>Laboratory Lv 5</v>
      </c>
      <c r="D331" s="41" t="str">
        <f>_xlfn.XLOOKUP(tblCost[[#This Row],[TargetID]],tblTargets[TargetID],tblTargets[TargetType],"")</f>
        <v>BUILDING</v>
      </c>
      <c r="E331" s="41" t="s">
        <v>686</v>
      </c>
      <c r="F331" s="62" t="str">
        <f>RIGHT(tblCost[[#This Row],[RequirementID]],1)</f>
        <v>1</v>
      </c>
      <c r="G331" s="41">
        <v>30</v>
      </c>
      <c r="H331" t="b">
        <f>COUNTIFS(tblCostChecklist[RequirementID],tblCost[[#This Row],[RequirementID]],tblCostChecklist[PlayerPaid],TRUE)&gt;0</f>
        <v>0</v>
      </c>
      <c r="I331" s="41">
        <f>COUNTIF(tblCost[TargetID],tblCost[[#This Row],[TargetID]])</f>
        <v>9</v>
      </c>
      <c r="J331" s="41">
        <f>COUNTIFS(tblCost[TargetID],tblCost[[#This Row],[TargetID]],tblCost[PlayerPaid],TRUE)</f>
        <v>0</v>
      </c>
      <c r="K331" s="41">
        <f>tblCost[[#This Row],[TargetRequirements]]-tblCost[[#This Row],[CompletedRequirements]]</f>
        <v>9</v>
      </c>
      <c r="L331" s="41" t="b">
        <f>tblCost[[#This Row],[RemainingRequirements]]=0</f>
        <v>0</v>
      </c>
      <c r="M331" s="43">
        <f>IF(tblCost[[#This Row],[TargetRequirements]]=0,0,tblCost[[#This Row],[CompletedRequirements]]/tblCost[[#This Row],[TargetRequirements]])</f>
        <v>0</v>
      </c>
    </row>
    <row r="332" spans="1:13">
      <c r="A332" s="41" t="s">
        <v>3980</v>
      </c>
      <c r="B332" s="41" t="str">
        <f>_xlfn.TEXTAFTER(_xlfn.TEXTBEFORE(tblCost[[#This Row],[RequirementID]],".",-2),"cost.")</f>
        <v>building.laboratory@5</v>
      </c>
      <c r="C332" s="41" t="str">
        <f>_xlfn.XLOOKUP(tblCost[[#This Row],[TargetID]],tblTargets[TargetID],tblTargets[DisplayName],"")</f>
        <v>Laboratory Lv 5</v>
      </c>
      <c r="D332" s="41" t="str">
        <f>_xlfn.XLOOKUP(tblCost[[#This Row],[TargetID]],tblTargets[TargetID],tblTargets[TargetType],"")</f>
        <v>BUILDING</v>
      </c>
      <c r="E332" s="41" t="s">
        <v>703</v>
      </c>
      <c r="F332" s="62" t="str">
        <f>RIGHT(tblCost[[#This Row],[RequirementID]],1)</f>
        <v>1</v>
      </c>
      <c r="G332" s="41">
        <v>20</v>
      </c>
      <c r="H332" t="b">
        <f>COUNTIFS(tblCostChecklist[RequirementID],tblCost[[#This Row],[RequirementID]],tblCostChecklist[PlayerPaid],TRUE)&gt;0</f>
        <v>0</v>
      </c>
      <c r="I332" s="41">
        <f>COUNTIF(tblCost[TargetID],tblCost[[#This Row],[TargetID]])</f>
        <v>9</v>
      </c>
      <c r="J332" s="41">
        <f>COUNTIFS(tblCost[TargetID],tblCost[[#This Row],[TargetID]],tblCost[PlayerPaid],TRUE)</f>
        <v>0</v>
      </c>
      <c r="K332" s="41">
        <f>tblCost[[#This Row],[TargetRequirements]]-tblCost[[#This Row],[CompletedRequirements]]</f>
        <v>9</v>
      </c>
      <c r="L332" s="41" t="b">
        <f>tblCost[[#This Row],[RemainingRequirements]]=0</f>
        <v>0</v>
      </c>
      <c r="M332" s="43">
        <f>IF(tblCost[[#This Row],[TargetRequirements]]=0,0,tblCost[[#This Row],[CompletedRequirements]]/tblCost[[#This Row],[TargetRequirements]])</f>
        <v>0</v>
      </c>
    </row>
    <row r="333" spans="1:13">
      <c r="A333" s="41" t="s">
        <v>3981</v>
      </c>
      <c r="B333" s="41" t="str">
        <f>_xlfn.TEXTAFTER(_xlfn.TEXTBEFORE(tblCost[[#This Row],[RequirementID]],".",-2),"cost.")</f>
        <v>building.laboratory@5</v>
      </c>
      <c r="C333" s="41" t="str">
        <f>_xlfn.XLOOKUP(tblCost[[#This Row],[TargetID]],tblTargets[TargetID],tblTargets[DisplayName],"")</f>
        <v>Laboratory Lv 5</v>
      </c>
      <c r="D333" s="41" t="str">
        <f>_xlfn.XLOOKUP(tblCost[[#This Row],[TargetID]],tblTargets[TargetID],tblTargets[TargetType],"")</f>
        <v>BUILDING</v>
      </c>
      <c r="E333" s="41" t="s">
        <v>698</v>
      </c>
      <c r="F333" s="62" t="str">
        <f>RIGHT(tblCost[[#This Row],[RequirementID]],1)</f>
        <v>1</v>
      </c>
      <c r="G333" s="41">
        <v>40</v>
      </c>
      <c r="H333" t="b">
        <f>COUNTIFS(tblCostChecklist[RequirementID],tblCost[[#This Row],[RequirementID]],tblCostChecklist[PlayerPaid],TRUE)&gt;0</f>
        <v>0</v>
      </c>
      <c r="I333" s="41">
        <f>COUNTIF(tblCost[TargetID],tblCost[[#This Row],[TargetID]])</f>
        <v>9</v>
      </c>
      <c r="J333" s="41">
        <f>COUNTIFS(tblCost[TargetID],tblCost[[#This Row],[TargetID]],tblCost[PlayerPaid],TRUE)</f>
        <v>0</v>
      </c>
      <c r="K333" s="41">
        <f>tblCost[[#This Row],[TargetRequirements]]-tblCost[[#This Row],[CompletedRequirements]]</f>
        <v>9</v>
      </c>
      <c r="L333" s="41" t="b">
        <f>tblCost[[#This Row],[RemainingRequirements]]=0</f>
        <v>0</v>
      </c>
      <c r="M333" s="43">
        <f>IF(tblCost[[#This Row],[TargetRequirements]]=0,0,tblCost[[#This Row],[CompletedRequirements]]/tblCost[[#This Row],[TargetRequirements]])</f>
        <v>0</v>
      </c>
    </row>
    <row r="334" spans="1:13">
      <c r="A334" s="41" t="s">
        <v>3982</v>
      </c>
      <c r="B334" s="41" t="str">
        <f>_xlfn.TEXTAFTER(_xlfn.TEXTBEFORE(tblCost[[#This Row],[RequirementID]],".",-2),"cost.")</f>
        <v>building.laboratory@5</v>
      </c>
      <c r="C334" s="41" t="str">
        <f>_xlfn.XLOOKUP(tblCost[[#This Row],[TargetID]],tblTargets[TargetID],tblTargets[DisplayName],"")</f>
        <v>Laboratory Lv 5</v>
      </c>
      <c r="D334" s="41" t="str">
        <f>_xlfn.XLOOKUP(tblCost[[#This Row],[TargetID]],tblTargets[TargetID],tblTargets[TargetType],"")</f>
        <v>BUILDING</v>
      </c>
      <c r="E334" s="41" t="s">
        <v>662</v>
      </c>
      <c r="F334" s="62" t="str">
        <f>RIGHT(tblCost[[#This Row],[RequirementID]],1)</f>
        <v>1</v>
      </c>
      <c r="G334" s="41">
        <v>40</v>
      </c>
      <c r="H334" t="b">
        <f>COUNTIFS(tblCostChecklist[RequirementID],tblCost[[#This Row],[RequirementID]],tblCostChecklist[PlayerPaid],TRUE)&gt;0</f>
        <v>0</v>
      </c>
      <c r="I334" s="41">
        <f>COUNTIF(tblCost[TargetID],tblCost[[#This Row],[TargetID]])</f>
        <v>9</v>
      </c>
      <c r="J334" s="41">
        <f>COUNTIFS(tblCost[TargetID],tblCost[[#This Row],[TargetID]],tblCost[PlayerPaid],TRUE)</f>
        <v>0</v>
      </c>
      <c r="K334" s="41">
        <f>tblCost[[#This Row],[TargetRequirements]]-tblCost[[#This Row],[CompletedRequirements]]</f>
        <v>9</v>
      </c>
      <c r="L334" s="41" t="b">
        <f>tblCost[[#This Row],[RemainingRequirements]]=0</f>
        <v>0</v>
      </c>
      <c r="M334" s="43">
        <f>IF(tblCost[[#This Row],[TargetRequirements]]=0,0,tblCost[[#This Row],[CompletedRequirements]]/tblCost[[#This Row],[TargetRequirements]])</f>
        <v>0</v>
      </c>
    </row>
    <row r="335" spans="1:13">
      <c r="A335" s="41" t="s">
        <v>3983</v>
      </c>
      <c r="B335" s="41" t="str">
        <f>_xlfn.TEXTAFTER(_xlfn.TEXTBEFORE(tblCost[[#This Row],[RequirementID]],".",-2),"cost.")</f>
        <v>building.laboratory@5</v>
      </c>
      <c r="C335" s="41" t="str">
        <f>_xlfn.XLOOKUP(tblCost[[#This Row],[TargetID]],tblTargets[TargetID],tblTargets[DisplayName],"")</f>
        <v>Laboratory Lv 5</v>
      </c>
      <c r="D335" s="41" t="str">
        <f>_xlfn.XLOOKUP(tblCost[[#This Row],[TargetID]],tblTargets[TargetID],tblTargets[TargetType],"")</f>
        <v>BUILDING</v>
      </c>
      <c r="E335" s="41" t="s">
        <v>685</v>
      </c>
      <c r="F335" s="62" t="str">
        <f>RIGHT(tblCost[[#This Row],[RequirementID]],1)</f>
        <v>1</v>
      </c>
      <c r="G335" s="41">
        <v>1</v>
      </c>
      <c r="H335" t="b">
        <f>COUNTIFS(tblCostChecklist[RequirementID],tblCost[[#This Row],[RequirementID]],tblCostChecklist[PlayerPaid],TRUE)&gt;0</f>
        <v>0</v>
      </c>
      <c r="I335" s="41">
        <f>COUNTIF(tblCost[TargetID],tblCost[[#This Row],[TargetID]])</f>
        <v>9</v>
      </c>
      <c r="J335" s="41">
        <f>COUNTIFS(tblCost[TargetID],tblCost[[#This Row],[TargetID]],tblCost[PlayerPaid],TRUE)</f>
        <v>0</v>
      </c>
      <c r="K335" s="41">
        <f>tblCost[[#This Row],[TargetRequirements]]-tblCost[[#This Row],[CompletedRequirements]]</f>
        <v>9</v>
      </c>
      <c r="L335" s="41" t="b">
        <f>tblCost[[#This Row],[RemainingRequirements]]=0</f>
        <v>0</v>
      </c>
      <c r="M335" s="43">
        <f>IF(tblCost[[#This Row],[TargetRequirements]]=0,0,tblCost[[#This Row],[CompletedRequirements]]/tblCost[[#This Row],[TargetRequirements]])</f>
        <v>0</v>
      </c>
    </row>
    <row r="336" spans="1:13">
      <c r="A336" s="41" t="s">
        <v>3984</v>
      </c>
      <c r="B336" s="41" t="str">
        <f>_xlfn.TEXTAFTER(_xlfn.TEXTBEFORE(tblCost[[#This Row],[RequirementID]],".",-2),"cost.")</f>
        <v>building.laboratory_data_center@1</v>
      </c>
      <c r="C336" s="41" t="str">
        <f>_xlfn.XLOOKUP(tblCost[[#This Row],[TargetID]],tblTargets[TargetID],tblTargets[DisplayName],"")</f>
        <v>Laboratory: Data Center Lv 1</v>
      </c>
      <c r="D336" s="41" t="str">
        <f>_xlfn.XLOOKUP(tblCost[[#This Row],[TargetID]],tblTargets[TargetID],tblTargets[TargetType],"")</f>
        <v>BUILDING</v>
      </c>
      <c r="E336" s="41" t="s">
        <v>708</v>
      </c>
      <c r="F336" s="62" t="str">
        <f>RIGHT(tblCost[[#This Row],[RequirementID]],1)</f>
        <v>1</v>
      </c>
      <c r="G336" s="41">
        <v>10</v>
      </c>
      <c r="H336" t="b">
        <f>COUNTIFS(tblCostChecklist[RequirementID],tblCost[[#This Row],[RequirementID]],tblCostChecklist[PlayerPaid],TRUE)&gt;0</f>
        <v>0</v>
      </c>
      <c r="I336" s="41">
        <f>COUNTIF(tblCost[TargetID],tblCost[[#This Row],[TargetID]])</f>
        <v>9</v>
      </c>
      <c r="J336" s="41">
        <f>COUNTIFS(tblCost[TargetID],tblCost[[#This Row],[TargetID]],tblCost[PlayerPaid],TRUE)</f>
        <v>0</v>
      </c>
      <c r="K336" s="41">
        <f>tblCost[[#This Row],[TargetRequirements]]-tblCost[[#This Row],[CompletedRequirements]]</f>
        <v>9</v>
      </c>
      <c r="L336" s="41" t="b">
        <f>tblCost[[#This Row],[RemainingRequirements]]=0</f>
        <v>0</v>
      </c>
      <c r="M336" s="43">
        <f>IF(tblCost[[#This Row],[TargetRequirements]]=0,0,tblCost[[#This Row],[CompletedRequirements]]/tblCost[[#This Row],[TargetRequirements]])</f>
        <v>0</v>
      </c>
    </row>
    <row r="337" spans="1:13">
      <c r="A337" s="41" t="s">
        <v>3985</v>
      </c>
      <c r="B337" s="41" t="str">
        <f>_xlfn.TEXTAFTER(_xlfn.TEXTBEFORE(tblCost[[#This Row],[RequirementID]],".",-2),"cost.")</f>
        <v>building.laboratory_data_center@1</v>
      </c>
      <c r="C337" s="41" t="str">
        <f>_xlfn.XLOOKUP(tblCost[[#This Row],[TargetID]],tblTargets[TargetID],tblTargets[DisplayName],"")</f>
        <v>Laboratory: Data Center Lv 1</v>
      </c>
      <c r="D337" s="41" t="str">
        <f>_xlfn.XLOOKUP(tblCost[[#This Row],[TargetID]],tblTargets[TargetID],tblTargets[TargetType],"")</f>
        <v>BUILDING</v>
      </c>
      <c r="E337" s="41" t="s">
        <v>666</v>
      </c>
      <c r="F337" s="62" t="str">
        <f>RIGHT(tblCost[[#This Row],[RequirementID]],1)</f>
        <v>1</v>
      </c>
      <c r="G337" s="41">
        <v>1000</v>
      </c>
      <c r="H337" t="b">
        <f>COUNTIFS(tblCostChecklist[RequirementID],tblCost[[#This Row],[RequirementID]],tblCostChecklist[PlayerPaid],TRUE)&gt;0</f>
        <v>0</v>
      </c>
      <c r="I337" s="41">
        <f>COUNTIF(tblCost[TargetID],tblCost[[#This Row],[TargetID]])</f>
        <v>9</v>
      </c>
      <c r="J337" s="41">
        <f>COUNTIFS(tblCost[TargetID],tblCost[[#This Row],[TargetID]],tblCost[PlayerPaid],TRUE)</f>
        <v>0</v>
      </c>
      <c r="K337" s="41">
        <f>tblCost[[#This Row],[TargetRequirements]]-tblCost[[#This Row],[CompletedRequirements]]</f>
        <v>9</v>
      </c>
      <c r="L337" s="41" t="b">
        <f>tblCost[[#This Row],[RemainingRequirements]]=0</f>
        <v>0</v>
      </c>
      <c r="M337" s="43">
        <f>IF(tblCost[[#This Row],[TargetRequirements]]=0,0,tblCost[[#This Row],[CompletedRequirements]]/tblCost[[#This Row],[TargetRequirements]])</f>
        <v>0</v>
      </c>
    </row>
    <row r="338" spans="1:13">
      <c r="A338" s="41" t="s">
        <v>3986</v>
      </c>
      <c r="B338" s="41" t="str">
        <f>_xlfn.TEXTAFTER(_xlfn.TEXTBEFORE(tblCost[[#This Row],[RequirementID]],".",-2),"cost.")</f>
        <v>building.laboratory_data_center@1</v>
      </c>
      <c r="C338" s="41" t="str">
        <f>_xlfn.XLOOKUP(tblCost[[#This Row],[TargetID]],tblTargets[TargetID],tblTargets[DisplayName],"")</f>
        <v>Laboratory: Data Center Lv 1</v>
      </c>
      <c r="D338" s="41" t="str">
        <f>_xlfn.XLOOKUP(tblCost[[#This Row],[TargetID]],tblTargets[TargetID],tblTargets[TargetType],"")</f>
        <v>BUILDING</v>
      </c>
      <c r="E338" s="41" t="s">
        <v>717</v>
      </c>
      <c r="F338" s="62" t="str">
        <f>RIGHT(tblCost[[#This Row],[RequirementID]],1)</f>
        <v>1</v>
      </c>
      <c r="G338" s="41">
        <v>500</v>
      </c>
      <c r="H338" t="b">
        <f>COUNTIFS(tblCostChecklist[RequirementID],tblCost[[#This Row],[RequirementID]],tblCostChecklist[PlayerPaid],TRUE)&gt;0</f>
        <v>0</v>
      </c>
      <c r="I338" s="41">
        <f>COUNTIF(tblCost[TargetID],tblCost[[#This Row],[TargetID]])</f>
        <v>9</v>
      </c>
      <c r="J338" s="41">
        <f>COUNTIFS(tblCost[TargetID],tblCost[[#This Row],[TargetID]],tblCost[PlayerPaid],TRUE)</f>
        <v>0</v>
      </c>
      <c r="K338" s="41">
        <f>tblCost[[#This Row],[TargetRequirements]]-tblCost[[#This Row],[CompletedRequirements]]</f>
        <v>9</v>
      </c>
      <c r="L338" s="41" t="b">
        <f>tblCost[[#This Row],[RemainingRequirements]]=0</f>
        <v>0</v>
      </c>
      <c r="M338" s="43">
        <f>IF(tblCost[[#This Row],[TargetRequirements]]=0,0,tblCost[[#This Row],[CompletedRequirements]]/tblCost[[#This Row],[TargetRequirements]])</f>
        <v>0</v>
      </c>
    </row>
    <row r="339" spans="1:13">
      <c r="A339" s="41" t="s">
        <v>3987</v>
      </c>
      <c r="B339" s="41" t="str">
        <f>_xlfn.TEXTAFTER(_xlfn.TEXTBEFORE(tblCost[[#This Row],[RequirementID]],".",-2),"cost.")</f>
        <v>building.laboratory_data_center@1</v>
      </c>
      <c r="C339" s="41" t="str">
        <f>_xlfn.XLOOKUP(tblCost[[#This Row],[TargetID]],tblTargets[TargetID],tblTargets[DisplayName],"")</f>
        <v>Laboratory: Data Center Lv 1</v>
      </c>
      <c r="D339" s="41" t="str">
        <f>_xlfn.XLOOKUP(tblCost[[#This Row],[TargetID]],tblTargets[TargetID],tblTargets[TargetType],"")</f>
        <v>BUILDING</v>
      </c>
      <c r="E339" s="41" t="s">
        <v>716</v>
      </c>
      <c r="F339" s="62" t="str">
        <f>RIGHT(tblCost[[#This Row],[RequirementID]],1)</f>
        <v>1</v>
      </c>
      <c r="G339" s="41">
        <v>300</v>
      </c>
      <c r="H339" t="b">
        <f>COUNTIFS(tblCostChecklist[RequirementID],tblCost[[#This Row],[RequirementID]],tblCostChecklist[PlayerPaid],TRUE)&gt;0</f>
        <v>0</v>
      </c>
      <c r="I339" s="41">
        <f>COUNTIF(tblCost[TargetID],tblCost[[#This Row],[TargetID]])</f>
        <v>9</v>
      </c>
      <c r="J339" s="41">
        <f>COUNTIFS(tblCost[TargetID],tblCost[[#This Row],[TargetID]],tblCost[PlayerPaid],TRUE)</f>
        <v>0</v>
      </c>
      <c r="K339" s="41">
        <f>tblCost[[#This Row],[TargetRequirements]]-tblCost[[#This Row],[CompletedRequirements]]</f>
        <v>9</v>
      </c>
      <c r="L339" s="41" t="b">
        <f>tblCost[[#This Row],[RemainingRequirements]]=0</f>
        <v>0</v>
      </c>
      <c r="M339" s="43">
        <f>IF(tblCost[[#This Row],[TargetRequirements]]=0,0,tblCost[[#This Row],[CompletedRequirements]]/tblCost[[#This Row],[TargetRequirements]])</f>
        <v>0</v>
      </c>
    </row>
    <row r="340" spans="1:13">
      <c r="A340" s="41" t="s">
        <v>3988</v>
      </c>
      <c r="B340" s="41" t="str">
        <f>_xlfn.TEXTAFTER(_xlfn.TEXTBEFORE(tblCost[[#This Row],[RequirementID]],".",-2),"cost.")</f>
        <v>building.laboratory_data_center@1</v>
      </c>
      <c r="C340" s="41" t="str">
        <f>_xlfn.XLOOKUP(tblCost[[#This Row],[TargetID]],tblTargets[TargetID],tblTargets[DisplayName],"")</f>
        <v>Laboratory: Data Center Lv 1</v>
      </c>
      <c r="D340" s="41" t="str">
        <f>_xlfn.XLOOKUP(tblCost[[#This Row],[TargetID]],tblTargets[TargetID],tblTargets[TargetType],"")</f>
        <v>BUILDING</v>
      </c>
      <c r="E340" s="41" t="s">
        <v>674</v>
      </c>
      <c r="F340" s="62" t="str">
        <f>RIGHT(tblCost[[#This Row],[RequirementID]],1)</f>
        <v>1</v>
      </c>
      <c r="G340" s="41">
        <v>50</v>
      </c>
      <c r="H340" t="b">
        <f>COUNTIFS(tblCostChecklist[RequirementID],tblCost[[#This Row],[RequirementID]],tblCostChecklist[PlayerPaid],TRUE)&gt;0</f>
        <v>0</v>
      </c>
      <c r="I340" s="41">
        <f>COUNTIF(tblCost[TargetID],tblCost[[#This Row],[TargetID]])</f>
        <v>9</v>
      </c>
      <c r="J340" s="41">
        <f>COUNTIFS(tblCost[TargetID],tblCost[[#This Row],[TargetID]],tblCost[PlayerPaid],TRUE)</f>
        <v>0</v>
      </c>
      <c r="K340" s="41">
        <f>tblCost[[#This Row],[TargetRequirements]]-tblCost[[#This Row],[CompletedRequirements]]</f>
        <v>9</v>
      </c>
      <c r="L340" s="41" t="b">
        <f>tblCost[[#This Row],[RemainingRequirements]]=0</f>
        <v>0</v>
      </c>
      <c r="M340" s="43">
        <f>IF(tblCost[[#This Row],[TargetRequirements]]=0,0,tblCost[[#This Row],[CompletedRequirements]]/tblCost[[#This Row],[TargetRequirements]])</f>
        <v>0</v>
      </c>
    </row>
    <row r="341" spans="1:13">
      <c r="A341" s="41" t="s">
        <v>3989</v>
      </c>
      <c r="B341" s="41" t="str">
        <f>_xlfn.TEXTAFTER(_xlfn.TEXTBEFORE(tblCost[[#This Row],[RequirementID]],".",-2),"cost.")</f>
        <v>building.laboratory_data_center@1</v>
      </c>
      <c r="C341" s="41" t="str">
        <f>_xlfn.XLOOKUP(tblCost[[#This Row],[TargetID]],tblTargets[TargetID],tblTargets[DisplayName],"")</f>
        <v>Laboratory: Data Center Lv 1</v>
      </c>
      <c r="D341" s="41" t="str">
        <f>_xlfn.XLOOKUP(tblCost[[#This Row],[TargetID]],tblTargets[TargetID],tblTargets[TargetType],"")</f>
        <v>BUILDING</v>
      </c>
      <c r="E341" s="41" t="s">
        <v>655</v>
      </c>
      <c r="F341" s="62" t="str">
        <f>RIGHT(tblCost[[#This Row],[RequirementID]],1)</f>
        <v>1</v>
      </c>
      <c r="G341" s="41">
        <v>20</v>
      </c>
      <c r="H341" t="b">
        <f>COUNTIFS(tblCostChecklist[RequirementID],tblCost[[#This Row],[RequirementID]],tblCostChecklist[PlayerPaid],TRUE)&gt;0</f>
        <v>0</v>
      </c>
      <c r="I341" s="41">
        <f>COUNTIF(tblCost[TargetID],tblCost[[#This Row],[TargetID]])</f>
        <v>9</v>
      </c>
      <c r="J341" s="41">
        <f>COUNTIFS(tblCost[TargetID],tblCost[[#This Row],[TargetID]],tblCost[PlayerPaid],TRUE)</f>
        <v>0</v>
      </c>
      <c r="K341" s="41">
        <f>tblCost[[#This Row],[TargetRequirements]]-tblCost[[#This Row],[CompletedRequirements]]</f>
        <v>9</v>
      </c>
      <c r="L341" s="41" t="b">
        <f>tblCost[[#This Row],[RemainingRequirements]]=0</f>
        <v>0</v>
      </c>
      <c r="M341" s="43">
        <f>IF(tblCost[[#This Row],[TargetRequirements]]=0,0,tblCost[[#This Row],[CompletedRequirements]]/tblCost[[#This Row],[TargetRequirements]])</f>
        <v>0</v>
      </c>
    </row>
    <row r="342" spans="1:13">
      <c r="A342" s="41" t="s">
        <v>3990</v>
      </c>
      <c r="B342" s="41" t="str">
        <f>_xlfn.TEXTAFTER(_xlfn.TEXTBEFORE(tblCost[[#This Row],[RequirementID]],".",-2),"cost.")</f>
        <v>building.laboratory_data_center@1</v>
      </c>
      <c r="C342" s="41" t="str">
        <f>_xlfn.XLOOKUP(tblCost[[#This Row],[TargetID]],tblTargets[TargetID],tblTargets[DisplayName],"")</f>
        <v>Laboratory: Data Center Lv 1</v>
      </c>
      <c r="D342" s="41" t="str">
        <f>_xlfn.XLOOKUP(tblCost[[#This Row],[TargetID]],tblTargets[TargetID],tblTargets[TargetType],"")</f>
        <v>BUILDING</v>
      </c>
      <c r="E342" s="41" t="s">
        <v>703</v>
      </c>
      <c r="F342" s="62" t="str">
        <f>RIGHT(tblCost[[#This Row],[RequirementID]],1)</f>
        <v>1</v>
      </c>
      <c r="G342" s="41">
        <v>20</v>
      </c>
      <c r="H342" t="b">
        <f>COUNTIFS(tblCostChecklist[RequirementID],tblCost[[#This Row],[RequirementID]],tblCostChecklist[PlayerPaid],TRUE)&gt;0</f>
        <v>0</v>
      </c>
      <c r="I342" s="41">
        <f>COUNTIF(tblCost[TargetID],tblCost[[#This Row],[TargetID]])</f>
        <v>9</v>
      </c>
      <c r="J342" s="41">
        <f>COUNTIFS(tblCost[TargetID],tblCost[[#This Row],[TargetID]],tblCost[PlayerPaid],TRUE)</f>
        <v>0</v>
      </c>
      <c r="K342" s="41">
        <f>tblCost[[#This Row],[TargetRequirements]]-tblCost[[#This Row],[CompletedRequirements]]</f>
        <v>9</v>
      </c>
      <c r="L342" s="41" t="b">
        <f>tblCost[[#This Row],[RemainingRequirements]]=0</f>
        <v>0</v>
      </c>
      <c r="M342" s="43">
        <f>IF(tblCost[[#This Row],[TargetRequirements]]=0,0,tblCost[[#This Row],[CompletedRequirements]]/tblCost[[#This Row],[TargetRequirements]])</f>
        <v>0</v>
      </c>
    </row>
    <row r="343" spans="1:13">
      <c r="A343" s="41" t="s">
        <v>3991</v>
      </c>
      <c r="B343" s="41" t="str">
        <f>_xlfn.TEXTAFTER(_xlfn.TEXTBEFORE(tblCost[[#This Row],[RequirementID]],".",-2),"cost.")</f>
        <v>building.laboratory_data_center@1</v>
      </c>
      <c r="C343" s="41" t="str">
        <f>_xlfn.XLOOKUP(tblCost[[#This Row],[TargetID]],tblTargets[TargetID],tblTargets[DisplayName],"")</f>
        <v>Laboratory: Data Center Lv 1</v>
      </c>
      <c r="D343" s="41" t="str">
        <f>_xlfn.XLOOKUP(tblCost[[#This Row],[TargetID]],tblTargets[TargetID],tblTargets[TargetType],"")</f>
        <v>BUILDING</v>
      </c>
      <c r="E343" s="41" t="s">
        <v>688</v>
      </c>
      <c r="F343" s="62" t="str">
        <f>RIGHT(tblCost[[#This Row],[RequirementID]],1)</f>
        <v>1</v>
      </c>
      <c r="G343" s="41">
        <v>50</v>
      </c>
      <c r="H343" t="b">
        <f>COUNTIFS(tblCostChecklist[RequirementID],tblCost[[#This Row],[RequirementID]],tblCostChecklist[PlayerPaid],TRUE)&gt;0</f>
        <v>0</v>
      </c>
      <c r="I343" s="41">
        <f>COUNTIF(tblCost[TargetID],tblCost[[#This Row],[TargetID]])</f>
        <v>9</v>
      </c>
      <c r="J343" s="41">
        <f>COUNTIFS(tblCost[TargetID],tblCost[[#This Row],[TargetID]],tblCost[PlayerPaid],TRUE)</f>
        <v>0</v>
      </c>
      <c r="K343" s="41">
        <f>tblCost[[#This Row],[TargetRequirements]]-tblCost[[#This Row],[CompletedRequirements]]</f>
        <v>9</v>
      </c>
      <c r="L343" s="41" t="b">
        <f>tblCost[[#This Row],[RemainingRequirements]]=0</f>
        <v>0</v>
      </c>
      <c r="M343" s="43">
        <f>IF(tblCost[[#This Row],[TargetRequirements]]=0,0,tblCost[[#This Row],[CompletedRequirements]]/tblCost[[#This Row],[TargetRequirements]])</f>
        <v>0</v>
      </c>
    </row>
    <row r="344" spans="1:13">
      <c r="A344" s="41" t="s">
        <v>3992</v>
      </c>
      <c r="B344" s="41" t="str">
        <f>_xlfn.TEXTAFTER(_xlfn.TEXTBEFORE(tblCost[[#This Row],[RequirementID]],".",-2),"cost.")</f>
        <v>building.laboratory_data_center@1</v>
      </c>
      <c r="C344" s="41" t="str">
        <f>_xlfn.XLOOKUP(tblCost[[#This Row],[TargetID]],tblTargets[TargetID],tblTargets[DisplayName],"")</f>
        <v>Laboratory: Data Center Lv 1</v>
      </c>
      <c r="D344" s="41" t="str">
        <f>_xlfn.XLOOKUP(tblCost[[#This Row],[TargetID]],tblTargets[TargetID],tblTargets[TargetType],"")</f>
        <v>BUILDING</v>
      </c>
      <c r="E344" s="41" t="s">
        <v>662</v>
      </c>
      <c r="F344" s="62" t="str">
        <f>RIGHT(tblCost[[#This Row],[RequirementID]],1)</f>
        <v>1</v>
      </c>
      <c r="G344" s="41">
        <v>50</v>
      </c>
      <c r="H344" t="b">
        <f>COUNTIFS(tblCostChecklist[RequirementID],tblCost[[#This Row],[RequirementID]],tblCostChecklist[PlayerPaid],TRUE)&gt;0</f>
        <v>0</v>
      </c>
      <c r="I344" s="41">
        <f>COUNTIF(tblCost[TargetID],tblCost[[#This Row],[TargetID]])</f>
        <v>9</v>
      </c>
      <c r="J344" s="41">
        <f>COUNTIFS(tblCost[TargetID],tblCost[[#This Row],[TargetID]],tblCost[PlayerPaid],TRUE)</f>
        <v>0</v>
      </c>
      <c r="K344" s="41">
        <f>tblCost[[#This Row],[TargetRequirements]]-tblCost[[#This Row],[CompletedRequirements]]</f>
        <v>9</v>
      </c>
      <c r="L344" s="41" t="b">
        <f>tblCost[[#This Row],[RemainingRequirements]]=0</f>
        <v>0</v>
      </c>
      <c r="M344" s="43">
        <f>IF(tblCost[[#This Row],[TargetRequirements]]=0,0,tblCost[[#This Row],[CompletedRequirements]]/tblCost[[#This Row],[TargetRequirements]])</f>
        <v>0</v>
      </c>
    </row>
    <row r="345" spans="1:13">
      <c r="A345" s="41" t="s">
        <v>3993</v>
      </c>
      <c r="B345" s="41" t="str">
        <f>_xlfn.TEXTAFTER(_xlfn.TEXTBEFORE(tblCost[[#This Row],[RequirementID]],".",-2),"cost.")</f>
        <v>building.lumber@1</v>
      </c>
      <c r="C345" s="41" t="str">
        <f>_xlfn.XLOOKUP(tblCost[[#This Row],[TargetID]],tblTargets[TargetID],tblTargets[DisplayName],"")</f>
        <v>Lumber Lv 1</v>
      </c>
      <c r="D345" s="41" t="str">
        <f>_xlfn.XLOOKUP(tblCost[[#This Row],[TargetID]],tblTargets[TargetID],tblTargets[TargetType],"")</f>
        <v>BUILDING</v>
      </c>
      <c r="E345" s="41" t="s">
        <v>708</v>
      </c>
      <c r="F345" s="62" t="str">
        <f>RIGHT(tblCost[[#This Row],[RequirementID]],1)</f>
        <v>1</v>
      </c>
      <c r="G345" s="41">
        <v>1</v>
      </c>
      <c r="H345" t="b">
        <f>COUNTIFS(tblCostChecklist[RequirementID],tblCost[[#This Row],[RequirementID]],tblCostChecklist[PlayerPaid],TRUE)&gt;0</f>
        <v>0</v>
      </c>
      <c r="I345" s="41">
        <f>COUNTIF(tblCost[TargetID],tblCost[[#This Row],[TargetID]])</f>
        <v>4</v>
      </c>
      <c r="J345" s="41">
        <f>COUNTIFS(tblCost[TargetID],tblCost[[#This Row],[TargetID]],tblCost[PlayerPaid],TRUE)</f>
        <v>0</v>
      </c>
      <c r="K345" s="41">
        <f>tblCost[[#This Row],[TargetRequirements]]-tblCost[[#This Row],[CompletedRequirements]]</f>
        <v>4</v>
      </c>
      <c r="L345" s="41" t="b">
        <f>tblCost[[#This Row],[RemainingRequirements]]=0</f>
        <v>0</v>
      </c>
      <c r="M345" s="43">
        <f>IF(tblCost[[#This Row],[TargetRequirements]]=0,0,tblCost[[#This Row],[CompletedRequirements]]/tblCost[[#This Row],[TargetRequirements]])</f>
        <v>0</v>
      </c>
    </row>
    <row r="346" spans="1:13">
      <c r="A346" s="41" t="s">
        <v>3994</v>
      </c>
      <c r="B346" s="41" t="str">
        <f>_xlfn.TEXTAFTER(_xlfn.TEXTBEFORE(tblCost[[#This Row],[RequirementID]],".",-2),"cost.")</f>
        <v>building.lumber@1</v>
      </c>
      <c r="C346" s="41" t="str">
        <f>_xlfn.XLOOKUP(tblCost[[#This Row],[TargetID]],tblTargets[TargetID],tblTargets[DisplayName],"")</f>
        <v>Lumber Lv 1</v>
      </c>
      <c r="D346" s="41" t="str">
        <f>_xlfn.XLOOKUP(tblCost[[#This Row],[TargetID]],tblTargets[TargetID],tblTargets[TargetType],"")</f>
        <v>BUILDING</v>
      </c>
      <c r="E346" s="41" t="s">
        <v>666</v>
      </c>
      <c r="F346" s="62" t="str">
        <f>RIGHT(tblCost[[#This Row],[RequirementID]],1)</f>
        <v>1</v>
      </c>
      <c r="G346" s="41">
        <v>300</v>
      </c>
      <c r="H346" t="b">
        <f>COUNTIFS(tblCostChecklist[RequirementID],tblCost[[#This Row],[RequirementID]],tblCostChecklist[PlayerPaid],TRUE)&gt;0</f>
        <v>0</v>
      </c>
      <c r="I346" s="41">
        <f>COUNTIF(tblCost[TargetID],tblCost[[#This Row],[TargetID]])</f>
        <v>4</v>
      </c>
      <c r="J346" s="41">
        <f>COUNTIFS(tblCost[TargetID],tblCost[[#This Row],[TargetID]],tblCost[PlayerPaid],TRUE)</f>
        <v>0</v>
      </c>
      <c r="K346" s="41">
        <f>tblCost[[#This Row],[TargetRequirements]]-tblCost[[#This Row],[CompletedRequirements]]</f>
        <v>4</v>
      </c>
      <c r="L346" s="41" t="b">
        <f>tblCost[[#This Row],[RemainingRequirements]]=0</f>
        <v>0</v>
      </c>
      <c r="M346" s="43">
        <f>IF(tblCost[[#This Row],[TargetRequirements]]=0,0,tblCost[[#This Row],[CompletedRequirements]]/tblCost[[#This Row],[TargetRequirements]])</f>
        <v>0</v>
      </c>
    </row>
    <row r="347" spans="1:13">
      <c r="A347" s="41" t="s">
        <v>3995</v>
      </c>
      <c r="B347" s="41" t="str">
        <f>_xlfn.TEXTAFTER(_xlfn.TEXTBEFORE(tblCost[[#This Row],[RequirementID]],".",-2),"cost.")</f>
        <v>building.lumber@1</v>
      </c>
      <c r="C347" s="41" t="str">
        <f>_xlfn.XLOOKUP(tblCost[[#This Row],[TargetID]],tblTargets[TargetID],tblTargets[DisplayName],"")</f>
        <v>Lumber Lv 1</v>
      </c>
      <c r="D347" s="41" t="str">
        <f>_xlfn.XLOOKUP(tblCost[[#This Row],[TargetID]],tblTargets[TargetID],tblTargets[TargetType],"")</f>
        <v>BUILDING</v>
      </c>
      <c r="E347" s="41" t="s">
        <v>723</v>
      </c>
      <c r="F347" s="62" t="str">
        <f>RIGHT(tblCost[[#This Row],[RequirementID]],1)</f>
        <v>1</v>
      </c>
      <c r="G347" s="41">
        <v>150</v>
      </c>
      <c r="H347" t="b">
        <f>COUNTIFS(tblCostChecklist[RequirementID],tblCost[[#This Row],[RequirementID]],tblCostChecklist[PlayerPaid],TRUE)&gt;0</f>
        <v>0</v>
      </c>
      <c r="I347" s="41">
        <f>COUNTIF(tblCost[TargetID],tblCost[[#This Row],[TargetID]])</f>
        <v>4</v>
      </c>
      <c r="J347" s="41">
        <f>COUNTIFS(tblCost[TargetID],tblCost[[#This Row],[TargetID]],tblCost[PlayerPaid],TRUE)</f>
        <v>0</v>
      </c>
      <c r="K347" s="41">
        <f>tblCost[[#This Row],[TargetRequirements]]-tblCost[[#This Row],[CompletedRequirements]]</f>
        <v>4</v>
      </c>
      <c r="L347" s="41" t="b">
        <f>tblCost[[#This Row],[RemainingRequirements]]=0</f>
        <v>0</v>
      </c>
      <c r="M347" s="43">
        <f>IF(tblCost[[#This Row],[TargetRequirements]]=0,0,tblCost[[#This Row],[CompletedRequirements]]/tblCost[[#This Row],[TargetRequirements]])</f>
        <v>0</v>
      </c>
    </row>
    <row r="348" spans="1:13">
      <c r="A348" s="41" t="s">
        <v>3996</v>
      </c>
      <c r="B348" s="41" t="str">
        <f>_xlfn.TEXTAFTER(_xlfn.TEXTBEFORE(tblCost[[#This Row],[RequirementID]],".",-2),"cost.")</f>
        <v>building.lumber@1</v>
      </c>
      <c r="C348" s="41" t="str">
        <f>_xlfn.XLOOKUP(tblCost[[#This Row],[TargetID]],tblTargets[TargetID],tblTargets[DisplayName],"")</f>
        <v>Lumber Lv 1</v>
      </c>
      <c r="D348" s="41" t="str">
        <f>_xlfn.XLOOKUP(tblCost[[#This Row],[TargetID]],tblTargets[TargetID],tblTargets[TargetType],"")</f>
        <v>BUILDING</v>
      </c>
      <c r="E348" s="41" t="s">
        <v>717</v>
      </c>
      <c r="F348" s="62" t="str">
        <f>RIGHT(tblCost[[#This Row],[RequirementID]],1)</f>
        <v>1</v>
      </c>
      <c r="G348" s="41">
        <v>150</v>
      </c>
      <c r="H348" t="b">
        <f>COUNTIFS(tblCostChecklist[RequirementID],tblCost[[#This Row],[RequirementID]],tblCostChecklist[PlayerPaid],TRUE)&gt;0</f>
        <v>0</v>
      </c>
      <c r="I348" s="41">
        <f>COUNTIF(tblCost[TargetID],tblCost[[#This Row],[TargetID]])</f>
        <v>4</v>
      </c>
      <c r="J348" s="41">
        <f>COUNTIFS(tblCost[TargetID],tblCost[[#This Row],[TargetID]],tblCost[PlayerPaid],TRUE)</f>
        <v>0</v>
      </c>
      <c r="K348" s="41">
        <f>tblCost[[#This Row],[TargetRequirements]]-tblCost[[#This Row],[CompletedRequirements]]</f>
        <v>4</v>
      </c>
      <c r="L348" s="41" t="b">
        <f>tblCost[[#This Row],[RemainingRequirements]]=0</f>
        <v>0</v>
      </c>
      <c r="M348" s="43">
        <f>IF(tblCost[[#This Row],[TargetRequirements]]=0,0,tblCost[[#This Row],[CompletedRequirements]]/tblCost[[#This Row],[TargetRequirements]])</f>
        <v>0</v>
      </c>
    </row>
    <row r="349" spans="1:13">
      <c r="A349" s="41" t="s">
        <v>3997</v>
      </c>
      <c r="B349" s="41" t="str">
        <f>_xlfn.TEXTAFTER(_xlfn.TEXTBEFORE(tblCost[[#This Row],[RequirementID]],".",-2),"cost.")</f>
        <v>building.lumber@2</v>
      </c>
      <c r="C349" s="41" t="str">
        <f>_xlfn.XLOOKUP(tblCost[[#This Row],[TargetID]],tblTargets[TargetID],tblTargets[DisplayName],"")</f>
        <v>Lumber Lv 2</v>
      </c>
      <c r="D349" s="41" t="str">
        <f>_xlfn.XLOOKUP(tblCost[[#This Row],[TargetID]],tblTargets[TargetID],tblTargets[TargetType],"")</f>
        <v>BUILDING</v>
      </c>
      <c r="E349" s="41" t="s">
        <v>708</v>
      </c>
      <c r="F349" s="62" t="str">
        <f>RIGHT(tblCost[[#This Row],[RequirementID]],1)</f>
        <v>1</v>
      </c>
      <c r="G349" s="41">
        <v>3</v>
      </c>
      <c r="H349" t="b">
        <f>COUNTIFS(tblCostChecklist[RequirementID],tblCost[[#This Row],[RequirementID]],tblCostChecklist[PlayerPaid],TRUE)&gt;0</f>
        <v>0</v>
      </c>
      <c r="I349" s="41">
        <f>COUNTIF(tblCost[TargetID],tblCost[[#This Row],[TargetID]])</f>
        <v>5</v>
      </c>
      <c r="J349" s="41">
        <f>COUNTIFS(tblCost[TargetID],tblCost[[#This Row],[TargetID]],tblCost[PlayerPaid],TRUE)</f>
        <v>0</v>
      </c>
      <c r="K349" s="41">
        <f>tblCost[[#This Row],[TargetRequirements]]-tblCost[[#This Row],[CompletedRequirements]]</f>
        <v>5</v>
      </c>
      <c r="L349" s="41" t="b">
        <f>tblCost[[#This Row],[RemainingRequirements]]=0</f>
        <v>0</v>
      </c>
      <c r="M349" s="43">
        <f>IF(tblCost[[#This Row],[TargetRequirements]]=0,0,tblCost[[#This Row],[CompletedRequirements]]/tblCost[[#This Row],[TargetRequirements]])</f>
        <v>0</v>
      </c>
    </row>
    <row r="350" spans="1:13">
      <c r="A350" s="41" t="s">
        <v>3998</v>
      </c>
      <c r="B350" s="41" t="str">
        <f>_xlfn.TEXTAFTER(_xlfn.TEXTBEFORE(tblCost[[#This Row],[RequirementID]],".",-2),"cost.")</f>
        <v>building.lumber@2</v>
      </c>
      <c r="C350" s="41" t="str">
        <f>_xlfn.XLOOKUP(tblCost[[#This Row],[TargetID]],tblTargets[TargetID],tblTargets[DisplayName],"")</f>
        <v>Lumber Lv 2</v>
      </c>
      <c r="D350" s="41" t="str">
        <f>_xlfn.XLOOKUP(tblCost[[#This Row],[TargetID]],tblTargets[TargetID],tblTargets[TargetType],"")</f>
        <v>BUILDING</v>
      </c>
      <c r="E350" s="41" t="s">
        <v>666</v>
      </c>
      <c r="F350" s="62" t="str">
        <f>RIGHT(tblCost[[#This Row],[RequirementID]],1)</f>
        <v>1</v>
      </c>
      <c r="G350" s="41">
        <v>500</v>
      </c>
      <c r="H350" t="b">
        <f>COUNTIFS(tblCostChecklist[RequirementID],tblCost[[#This Row],[RequirementID]],tblCostChecklist[PlayerPaid],TRUE)&gt;0</f>
        <v>0</v>
      </c>
      <c r="I350" s="41">
        <f>COUNTIF(tblCost[TargetID],tblCost[[#This Row],[TargetID]])</f>
        <v>5</v>
      </c>
      <c r="J350" s="41">
        <f>COUNTIFS(tblCost[TargetID],tblCost[[#This Row],[TargetID]],tblCost[PlayerPaid],TRUE)</f>
        <v>0</v>
      </c>
      <c r="K350" s="41">
        <f>tblCost[[#This Row],[TargetRequirements]]-tblCost[[#This Row],[CompletedRequirements]]</f>
        <v>5</v>
      </c>
      <c r="L350" s="41" t="b">
        <f>tblCost[[#This Row],[RemainingRequirements]]=0</f>
        <v>0</v>
      </c>
      <c r="M350" s="43">
        <f>IF(tblCost[[#This Row],[TargetRequirements]]=0,0,tblCost[[#This Row],[CompletedRequirements]]/tblCost[[#This Row],[TargetRequirements]])</f>
        <v>0</v>
      </c>
    </row>
    <row r="351" spans="1:13">
      <c r="A351" s="41" t="s">
        <v>3999</v>
      </c>
      <c r="B351" s="41" t="str">
        <f>_xlfn.TEXTAFTER(_xlfn.TEXTBEFORE(tblCost[[#This Row],[RequirementID]],".",-2),"cost.")</f>
        <v>building.lumber@2</v>
      </c>
      <c r="C351" s="41" t="str">
        <f>_xlfn.XLOOKUP(tblCost[[#This Row],[TargetID]],tblTargets[TargetID],tblTargets[DisplayName],"")</f>
        <v>Lumber Lv 2</v>
      </c>
      <c r="D351" s="41" t="str">
        <f>_xlfn.XLOOKUP(tblCost[[#This Row],[TargetID]],tblTargets[TargetID],tblTargets[TargetType],"")</f>
        <v>BUILDING</v>
      </c>
      <c r="E351" s="41" t="s">
        <v>658</v>
      </c>
      <c r="F351" s="62" t="str">
        <f>RIGHT(tblCost[[#This Row],[RequirementID]],1)</f>
        <v>1</v>
      </c>
      <c r="G351" s="41">
        <v>400</v>
      </c>
      <c r="H351" t="b">
        <f>COUNTIFS(tblCostChecklist[RequirementID],tblCost[[#This Row],[RequirementID]],tblCostChecklist[PlayerPaid],TRUE)&gt;0</f>
        <v>0</v>
      </c>
      <c r="I351" s="41">
        <f>COUNTIF(tblCost[TargetID],tblCost[[#This Row],[TargetID]])</f>
        <v>5</v>
      </c>
      <c r="J351" s="41">
        <f>COUNTIFS(tblCost[TargetID],tblCost[[#This Row],[TargetID]],tblCost[PlayerPaid],TRUE)</f>
        <v>0</v>
      </c>
      <c r="K351" s="41">
        <f>tblCost[[#This Row],[TargetRequirements]]-tblCost[[#This Row],[CompletedRequirements]]</f>
        <v>5</v>
      </c>
      <c r="L351" s="41" t="b">
        <f>tblCost[[#This Row],[RemainingRequirements]]=0</f>
        <v>0</v>
      </c>
      <c r="M351" s="43">
        <f>IF(tblCost[[#This Row],[TargetRequirements]]=0,0,tblCost[[#This Row],[CompletedRequirements]]/tblCost[[#This Row],[TargetRequirements]])</f>
        <v>0</v>
      </c>
    </row>
    <row r="352" spans="1:13">
      <c r="A352" s="41" t="s">
        <v>4000</v>
      </c>
      <c r="B352" s="41" t="str">
        <f>_xlfn.TEXTAFTER(_xlfn.TEXTBEFORE(tblCost[[#This Row],[RequirementID]],".",-2),"cost.")</f>
        <v>building.lumber@2</v>
      </c>
      <c r="C352" s="41" t="str">
        <f>_xlfn.XLOOKUP(tblCost[[#This Row],[TargetID]],tblTargets[TargetID],tblTargets[DisplayName],"")</f>
        <v>Lumber Lv 2</v>
      </c>
      <c r="D352" s="41" t="str">
        <f>_xlfn.XLOOKUP(tblCost[[#This Row],[TargetID]],tblTargets[TargetID],tblTargets[TargetType],"")</f>
        <v>BUILDING</v>
      </c>
      <c r="E352" s="41" t="s">
        <v>717</v>
      </c>
      <c r="F352" s="62" t="str">
        <f>RIGHT(tblCost[[#This Row],[RequirementID]],1)</f>
        <v>1</v>
      </c>
      <c r="G352" s="41">
        <v>200</v>
      </c>
      <c r="H352" t="b">
        <f>COUNTIFS(tblCostChecklist[RequirementID],tblCost[[#This Row],[RequirementID]],tblCostChecklist[PlayerPaid],TRUE)&gt;0</f>
        <v>0</v>
      </c>
      <c r="I352" s="41">
        <f>COUNTIF(tblCost[TargetID],tblCost[[#This Row],[TargetID]])</f>
        <v>5</v>
      </c>
      <c r="J352" s="41">
        <f>COUNTIFS(tblCost[TargetID],tblCost[[#This Row],[TargetID]],tblCost[PlayerPaid],TRUE)</f>
        <v>0</v>
      </c>
      <c r="K352" s="41">
        <f>tblCost[[#This Row],[TargetRequirements]]-tblCost[[#This Row],[CompletedRequirements]]</f>
        <v>5</v>
      </c>
      <c r="L352" s="41" t="b">
        <f>tblCost[[#This Row],[RemainingRequirements]]=0</f>
        <v>0</v>
      </c>
      <c r="M352" s="43">
        <f>IF(tblCost[[#This Row],[TargetRequirements]]=0,0,tblCost[[#This Row],[CompletedRequirements]]/tblCost[[#This Row],[TargetRequirements]])</f>
        <v>0</v>
      </c>
    </row>
    <row r="353" spans="1:13">
      <c r="A353" s="41" t="s">
        <v>4001</v>
      </c>
      <c r="B353" s="41" t="str">
        <f>_xlfn.TEXTAFTER(_xlfn.TEXTBEFORE(tblCost[[#This Row],[RequirementID]],".",-2),"cost.")</f>
        <v>building.lumber@2</v>
      </c>
      <c r="C353" s="41" t="str">
        <f>_xlfn.XLOOKUP(tblCost[[#This Row],[TargetID]],tblTargets[TargetID],tblTargets[DisplayName],"")</f>
        <v>Lumber Lv 2</v>
      </c>
      <c r="D353" s="41" t="str">
        <f>_xlfn.XLOOKUP(tblCost[[#This Row],[TargetID]],tblTargets[TargetID],tblTargets[TargetType],"")</f>
        <v>BUILDING</v>
      </c>
      <c r="E353" s="41" t="s">
        <v>716</v>
      </c>
      <c r="F353" s="62" t="str">
        <f>RIGHT(tblCost[[#This Row],[RequirementID]],1)</f>
        <v>1</v>
      </c>
      <c r="G353" s="41">
        <v>20</v>
      </c>
      <c r="H353" t="b">
        <f>COUNTIFS(tblCostChecklist[RequirementID],tblCost[[#This Row],[RequirementID]],tblCostChecklist[PlayerPaid],TRUE)&gt;0</f>
        <v>0</v>
      </c>
      <c r="I353" s="41">
        <f>COUNTIF(tblCost[TargetID],tblCost[[#This Row],[TargetID]])</f>
        <v>5</v>
      </c>
      <c r="J353" s="41">
        <f>COUNTIFS(tblCost[TargetID],tblCost[[#This Row],[TargetID]],tblCost[PlayerPaid],TRUE)</f>
        <v>0</v>
      </c>
      <c r="K353" s="41">
        <f>tblCost[[#This Row],[TargetRequirements]]-tblCost[[#This Row],[CompletedRequirements]]</f>
        <v>5</v>
      </c>
      <c r="L353" s="41" t="b">
        <f>tblCost[[#This Row],[RemainingRequirements]]=0</f>
        <v>0</v>
      </c>
      <c r="M353" s="43">
        <f>IF(tblCost[[#This Row],[TargetRequirements]]=0,0,tblCost[[#This Row],[CompletedRequirements]]/tblCost[[#This Row],[TargetRequirements]])</f>
        <v>0</v>
      </c>
    </row>
    <row r="354" spans="1:13">
      <c r="A354" s="41" t="s">
        <v>4002</v>
      </c>
      <c r="B354" s="41" t="str">
        <f>_xlfn.TEXTAFTER(_xlfn.TEXTBEFORE(tblCost[[#This Row],[RequirementID]],".",-2),"cost.")</f>
        <v>building.lumber@3</v>
      </c>
      <c r="C354" s="41" t="str">
        <f>_xlfn.XLOOKUP(tblCost[[#This Row],[TargetID]],tblTargets[TargetID],tblTargets[DisplayName],"")</f>
        <v>Lumber Lv 3</v>
      </c>
      <c r="D354" s="41" t="str">
        <f>_xlfn.XLOOKUP(tblCost[[#This Row],[TargetID]],tblTargets[TargetID],tblTargets[TargetType],"")</f>
        <v>BUILDING</v>
      </c>
      <c r="E354" s="41" t="s">
        <v>708</v>
      </c>
      <c r="F354" s="62" t="str">
        <f>RIGHT(tblCost[[#This Row],[RequirementID]],1)</f>
        <v>1</v>
      </c>
      <c r="G354" s="41">
        <v>5</v>
      </c>
      <c r="H354" t="b">
        <f>COUNTIFS(tblCostChecklist[RequirementID],tblCost[[#This Row],[RequirementID]],tblCostChecklist[PlayerPaid],TRUE)&gt;0</f>
        <v>0</v>
      </c>
      <c r="I354" s="41">
        <f>COUNTIF(tblCost[TargetID],tblCost[[#This Row],[TargetID]])</f>
        <v>5</v>
      </c>
      <c r="J354" s="41">
        <f>COUNTIFS(tblCost[TargetID],tblCost[[#This Row],[TargetID]],tblCost[PlayerPaid],TRUE)</f>
        <v>0</v>
      </c>
      <c r="K354" s="41">
        <f>tblCost[[#This Row],[TargetRequirements]]-tblCost[[#This Row],[CompletedRequirements]]</f>
        <v>5</v>
      </c>
      <c r="L354" s="41" t="b">
        <f>tblCost[[#This Row],[RemainingRequirements]]=0</f>
        <v>0</v>
      </c>
      <c r="M354" s="43">
        <f>IF(tblCost[[#This Row],[TargetRequirements]]=0,0,tblCost[[#This Row],[CompletedRequirements]]/tblCost[[#This Row],[TargetRequirements]])</f>
        <v>0</v>
      </c>
    </row>
    <row r="355" spans="1:13">
      <c r="A355" s="41" t="s">
        <v>4003</v>
      </c>
      <c r="B355" s="41" t="str">
        <f>_xlfn.TEXTAFTER(_xlfn.TEXTBEFORE(tblCost[[#This Row],[RequirementID]],".",-2),"cost.")</f>
        <v>building.lumber@3</v>
      </c>
      <c r="C355" s="41" t="str">
        <f>_xlfn.XLOOKUP(tblCost[[#This Row],[TargetID]],tblTargets[TargetID],tblTargets[DisplayName],"")</f>
        <v>Lumber Lv 3</v>
      </c>
      <c r="D355" s="41" t="str">
        <f>_xlfn.XLOOKUP(tblCost[[#This Row],[TargetID]],tblTargets[TargetID],tblTargets[TargetType],"")</f>
        <v>BUILDING</v>
      </c>
      <c r="E355" s="41" t="s">
        <v>666</v>
      </c>
      <c r="F355" s="62" t="str">
        <f>RIGHT(tblCost[[#This Row],[RequirementID]],1)</f>
        <v>1</v>
      </c>
      <c r="G355" s="41">
        <v>800</v>
      </c>
      <c r="H355" t="b">
        <f>COUNTIFS(tblCostChecklist[RequirementID],tblCost[[#This Row],[RequirementID]],tblCostChecklist[PlayerPaid],TRUE)&gt;0</f>
        <v>0</v>
      </c>
      <c r="I355" s="41">
        <f>COUNTIF(tblCost[TargetID],tblCost[[#This Row],[TargetID]])</f>
        <v>5</v>
      </c>
      <c r="J355" s="41">
        <f>COUNTIFS(tblCost[TargetID],tblCost[[#This Row],[TargetID]],tblCost[PlayerPaid],TRUE)</f>
        <v>0</v>
      </c>
      <c r="K355" s="41">
        <f>tblCost[[#This Row],[TargetRequirements]]-tblCost[[#This Row],[CompletedRequirements]]</f>
        <v>5</v>
      </c>
      <c r="L355" s="41" t="b">
        <f>tblCost[[#This Row],[RemainingRequirements]]=0</f>
        <v>0</v>
      </c>
      <c r="M355" s="43">
        <f>IF(tblCost[[#This Row],[TargetRequirements]]=0,0,tblCost[[#This Row],[CompletedRequirements]]/tblCost[[#This Row],[TargetRequirements]])</f>
        <v>0</v>
      </c>
    </row>
    <row r="356" spans="1:13">
      <c r="A356" s="41" t="s">
        <v>4004</v>
      </c>
      <c r="B356" s="41" t="str">
        <f>_xlfn.TEXTAFTER(_xlfn.TEXTBEFORE(tblCost[[#This Row],[RequirementID]],".",-2),"cost.")</f>
        <v>building.lumber@3</v>
      </c>
      <c r="C356" s="41" t="str">
        <f>_xlfn.XLOOKUP(tblCost[[#This Row],[TargetID]],tblTargets[TargetID],tblTargets[DisplayName],"")</f>
        <v>Lumber Lv 3</v>
      </c>
      <c r="D356" s="41" t="str">
        <f>_xlfn.XLOOKUP(tblCost[[#This Row],[TargetID]],tblTargets[TargetID],tblTargets[TargetType],"")</f>
        <v>BUILDING</v>
      </c>
      <c r="E356" s="41" t="s">
        <v>658</v>
      </c>
      <c r="F356" s="62" t="str">
        <f>RIGHT(tblCost[[#This Row],[RequirementID]],1)</f>
        <v>1</v>
      </c>
      <c r="G356" s="41">
        <v>600</v>
      </c>
      <c r="H356" t="b">
        <f>COUNTIFS(tblCostChecklist[RequirementID],tblCost[[#This Row],[RequirementID]],tblCostChecklist[PlayerPaid],TRUE)&gt;0</f>
        <v>0</v>
      </c>
      <c r="I356" s="41">
        <f>COUNTIF(tblCost[TargetID],tblCost[[#This Row],[TargetID]])</f>
        <v>5</v>
      </c>
      <c r="J356" s="41">
        <f>COUNTIFS(tblCost[TargetID],tblCost[[#This Row],[TargetID]],tblCost[PlayerPaid],TRUE)</f>
        <v>0</v>
      </c>
      <c r="K356" s="41">
        <f>tblCost[[#This Row],[TargetRequirements]]-tblCost[[#This Row],[CompletedRequirements]]</f>
        <v>5</v>
      </c>
      <c r="L356" s="41" t="b">
        <f>tblCost[[#This Row],[RemainingRequirements]]=0</f>
        <v>0</v>
      </c>
      <c r="M356" s="43">
        <f>IF(tblCost[[#This Row],[TargetRequirements]]=0,0,tblCost[[#This Row],[CompletedRequirements]]/tblCost[[#This Row],[TargetRequirements]])</f>
        <v>0</v>
      </c>
    </row>
    <row r="357" spans="1:13">
      <c r="A357" s="41" t="s">
        <v>4005</v>
      </c>
      <c r="B357" s="41" t="str">
        <f>_xlfn.TEXTAFTER(_xlfn.TEXTBEFORE(tblCost[[#This Row],[RequirementID]],".",-2),"cost.")</f>
        <v>building.lumber@3</v>
      </c>
      <c r="C357" s="41" t="str">
        <f>_xlfn.XLOOKUP(tblCost[[#This Row],[TargetID]],tblTargets[TargetID],tblTargets[DisplayName],"")</f>
        <v>Lumber Lv 3</v>
      </c>
      <c r="D357" s="41" t="str">
        <f>_xlfn.XLOOKUP(tblCost[[#This Row],[TargetID]],tblTargets[TargetID],tblTargets[TargetType],"")</f>
        <v>BUILDING</v>
      </c>
      <c r="E357" s="41" t="s">
        <v>717</v>
      </c>
      <c r="F357" s="62" t="str">
        <f>RIGHT(tblCost[[#This Row],[RequirementID]],1)</f>
        <v>1</v>
      </c>
      <c r="G357" s="41">
        <v>300</v>
      </c>
      <c r="H357" t="b">
        <f>COUNTIFS(tblCostChecklist[RequirementID],tblCost[[#This Row],[RequirementID]],tblCostChecklist[PlayerPaid],TRUE)&gt;0</f>
        <v>0</v>
      </c>
      <c r="I357" s="41">
        <f>COUNTIF(tblCost[TargetID],tblCost[[#This Row],[TargetID]])</f>
        <v>5</v>
      </c>
      <c r="J357" s="41">
        <f>COUNTIFS(tblCost[TargetID],tblCost[[#This Row],[TargetID]],tblCost[PlayerPaid],TRUE)</f>
        <v>0</v>
      </c>
      <c r="K357" s="41">
        <f>tblCost[[#This Row],[TargetRequirements]]-tblCost[[#This Row],[CompletedRequirements]]</f>
        <v>5</v>
      </c>
      <c r="L357" s="41" t="b">
        <f>tblCost[[#This Row],[RemainingRequirements]]=0</f>
        <v>0</v>
      </c>
      <c r="M357" s="43">
        <f>IF(tblCost[[#This Row],[TargetRequirements]]=0,0,tblCost[[#This Row],[CompletedRequirements]]/tblCost[[#This Row],[TargetRequirements]])</f>
        <v>0</v>
      </c>
    </row>
    <row r="358" spans="1:13">
      <c r="A358" s="41" t="s">
        <v>4006</v>
      </c>
      <c r="B358" s="41" t="str">
        <f>_xlfn.TEXTAFTER(_xlfn.TEXTBEFORE(tblCost[[#This Row],[RequirementID]],".",-2),"cost.")</f>
        <v>building.lumber@3</v>
      </c>
      <c r="C358" s="41" t="str">
        <f>_xlfn.XLOOKUP(tblCost[[#This Row],[TargetID]],tblTargets[TargetID],tblTargets[DisplayName],"")</f>
        <v>Lumber Lv 3</v>
      </c>
      <c r="D358" s="41" t="str">
        <f>_xlfn.XLOOKUP(tblCost[[#This Row],[TargetID]],tblTargets[TargetID],tblTargets[TargetType],"")</f>
        <v>BUILDING</v>
      </c>
      <c r="E358" s="41" t="s">
        <v>716</v>
      </c>
      <c r="F358" s="62" t="str">
        <f>RIGHT(tblCost[[#This Row],[RequirementID]],1)</f>
        <v>1</v>
      </c>
      <c r="G358" s="41">
        <v>100</v>
      </c>
      <c r="H358" t="b">
        <f>COUNTIFS(tblCostChecklist[RequirementID],tblCost[[#This Row],[RequirementID]],tblCostChecklist[PlayerPaid],TRUE)&gt;0</f>
        <v>0</v>
      </c>
      <c r="I358" s="41">
        <f>COUNTIF(tblCost[TargetID],tblCost[[#This Row],[TargetID]])</f>
        <v>5</v>
      </c>
      <c r="J358" s="41">
        <f>COUNTIFS(tblCost[TargetID],tblCost[[#This Row],[TargetID]],tblCost[PlayerPaid],TRUE)</f>
        <v>0</v>
      </c>
      <c r="K358" s="41">
        <f>tblCost[[#This Row],[TargetRequirements]]-tblCost[[#This Row],[CompletedRequirements]]</f>
        <v>5</v>
      </c>
      <c r="L358" s="41" t="b">
        <f>tblCost[[#This Row],[RemainingRequirements]]=0</f>
        <v>0</v>
      </c>
      <c r="M358" s="43">
        <f>IF(tblCost[[#This Row],[TargetRequirements]]=0,0,tblCost[[#This Row],[CompletedRequirements]]/tblCost[[#This Row],[TargetRequirements]])</f>
        <v>0</v>
      </c>
    </row>
    <row r="359" spans="1:13">
      <c r="A359" s="41" t="s">
        <v>4007</v>
      </c>
      <c r="B359" s="41" t="str">
        <f>_xlfn.TEXTAFTER(_xlfn.TEXTBEFORE(tblCost[[#This Row],[RequirementID]],".",-2),"cost.")</f>
        <v>building.onsen@1</v>
      </c>
      <c r="C359" s="41" t="str">
        <f>_xlfn.XLOOKUP(tblCost[[#This Row],[TargetID]],tblTargets[TargetID],tblTargets[DisplayName],"")</f>
        <v>Onsen Lv 1</v>
      </c>
      <c r="D359" s="41" t="str">
        <f>_xlfn.XLOOKUP(tblCost[[#This Row],[TargetID]],tblTargets[TargetID],tblTargets[TargetType],"")</f>
        <v>BUILDING</v>
      </c>
      <c r="E359" s="41" t="s">
        <v>708</v>
      </c>
      <c r="F359" s="62" t="str">
        <f>RIGHT(tblCost[[#This Row],[RequirementID]],1)</f>
        <v>1</v>
      </c>
      <c r="G359" s="41">
        <v>3</v>
      </c>
      <c r="H359" t="b">
        <f>COUNTIFS(tblCostChecklist[RequirementID],tblCost[[#This Row],[RequirementID]],tblCostChecklist[PlayerPaid],TRUE)&gt;0</f>
        <v>0</v>
      </c>
      <c r="I359" s="41">
        <f>COUNTIF(tblCost[TargetID],tblCost[[#This Row],[TargetID]])</f>
        <v>4</v>
      </c>
      <c r="J359" s="41">
        <f>COUNTIFS(tblCost[TargetID],tblCost[[#This Row],[TargetID]],tblCost[PlayerPaid],TRUE)</f>
        <v>0</v>
      </c>
      <c r="K359" s="41">
        <f>tblCost[[#This Row],[TargetRequirements]]-tblCost[[#This Row],[CompletedRequirements]]</f>
        <v>4</v>
      </c>
      <c r="L359" s="41" t="b">
        <f>tblCost[[#This Row],[RemainingRequirements]]=0</f>
        <v>0</v>
      </c>
      <c r="M359" s="43">
        <f>IF(tblCost[[#This Row],[TargetRequirements]]=0,0,tblCost[[#This Row],[CompletedRequirements]]/tblCost[[#This Row],[TargetRequirements]])</f>
        <v>0</v>
      </c>
    </row>
    <row r="360" spans="1:13">
      <c r="A360" s="41" t="s">
        <v>4008</v>
      </c>
      <c r="B360" s="41" t="str">
        <f>_xlfn.TEXTAFTER(_xlfn.TEXTBEFORE(tblCost[[#This Row],[RequirementID]],".",-2),"cost.")</f>
        <v>building.onsen@1</v>
      </c>
      <c r="C360" s="41" t="str">
        <f>_xlfn.XLOOKUP(tblCost[[#This Row],[TargetID]],tblTargets[TargetID],tblTargets[DisplayName],"")</f>
        <v>Onsen Lv 1</v>
      </c>
      <c r="D360" s="41" t="str">
        <f>_xlfn.XLOOKUP(tblCost[[#This Row],[TargetID]],tblTargets[TargetID],tblTargets[TargetType],"")</f>
        <v>BUILDING</v>
      </c>
      <c r="E360" s="41" t="s">
        <v>666</v>
      </c>
      <c r="F360" s="62" t="str">
        <f>RIGHT(tblCost[[#This Row],[RequirementID]],1)</f>
        <v>1</v>
      </c>
      <c r="G360" s="41">
        <v>500</v>
      </c>
      <c r="H360" t="b">
        <f>COUNTIFS(tblCostChecklist[RequirementID],tblCost[[#This Row],[RequirementID]],tblCostChecklist[PlayerPaid],TRUE)&gt;0</f>
        <v>0</v>
      </c>
      <c r="I360" s="41">
        <f>COUNTIF(tblCost[TargetID],tblCost[[#This Row],[TargetID]])</f>
        <v>4</v>
      </c>
      <c r="J360" s="41">
        <f>COUNTIFS(tblCost[TargetID],tblCost[[#This Row],[TargetID]],tblCost[PlayerPaid],TRUE)</f>
        <v>0</v>
      </c>
      <c r="K360" s="41">
        <f>tblCost[[#This Row],[TargetRequirements]]-tblCost[[#This Row],[CompletedRequirements]]</f>
        <v>4</v>
      </c>
      <c r="L360" s="41" t="b">
        <f>tblCost[[#This Row],[RemainingRequirements]]=0</f>
        <v>0</v>
      </c>
      <c r="M360" s="43">
        <f>IF(tblCost[[#This Row],[TargetRequirements]]=0,0,tblCost[[#This Row],[CompletedRequirements]]/tblCost[[#This Row],[TargetRequirements]])</f>
        <v>0</v>
      </c>
    </row>
    <row r="361" spans="1:13">
      <c r="A361" s="41" t="s">
        <v>4009</v>
      </c>
      <c r="B361" s="41" t="str">
        <f>_xlfn.TEXTAFTER(_xlfn.TEXTBEFORE(tblCost[[#This Row],[RequirementID]],".",-2),"cost.")</f>
        <v>building.onsen@1</v>
      </c>
      <c r="C361" s="41" t="str">
        <f>_xlfn.XLOOKUP(tblCost[[#This Row],[TargetID]],tblTargets[TargetID],tblTargets[DisplayName],"")</f>
        <v>Onsen Lv 1</v>
      </c>
      <c r="D361" s="41" t="str">
        <f>_xlfn.XLOOKUP(tblCost[[#This Row],[TargetID]],tblTargets[TargetID],tblTargets[TargetType],"")</f>
        <v>BUILDING</v>
      </c>
      <c r="E361" s="41" t="s">
        <v>701</v>
      </c>
      <c r="F361" s="62" t="str">
        <f>RIGHT(tblCost[[#This Row],[RequirementID]],1)</f>
        <v>1</v>
      </c>
      <c r="G361" s="41">
        <v>500</v>
      </c>
      <c r="H361" t="b">
        <f>COUNTIFS(tblCostChecklist[RequirementID],tblCost[[#This Row],[RequirementID]],tblCostChecklist[PlayerPaid],TRUE)&gt;0</f>
        <v>0</v>
      </c>
      <c r="I361" s="41">
        <f>COUNTIF(tblCost[TargetID],tblCost[[#This Row],[TargetID]])</f>
        <v>4</v>
      </c>
      <c r="J361" s="41">
        <f>COUNTIFS(tblCost[TargetID],tblCost[[#This Row],[TargetID]],tblCost[PlayerPaid],TRUE)</f>
        <v>0</v>
      </c>
      <c r="K361" s="41">
        <f>tblCost[[#This Row],[TargetRequirements]]-tblCost[[#This Row],[CompletedRequirements]]</f>
        <v>4</v>
      </c>
      <c r="L361" s="41" t="b">
        <f>tblCost[[#This Row],[RemainingRequirements]]=0</f>
        <v>0</v>
      </c>
      <c r="M361" s="43">
        <f>IF(tblCost[[#This Row],[TargetRequirements]]=0,0,tblCost[[#This Row],[CompletedRequirements]]/tblCost[[#This Row],[TargetRequirements]])</f>
        <v>0</v>
      </c>
    </row>
    <row r="362" spans="1:13">
      <c r="A362" s="41" t="s">
        <v>4010</v>
      </c>
      <c r="B362" s="41" t="str">
        <f>_xlfn.TEXTAFTER(_xlfn.TEXTBEFORE(tblCost[[#This Row],[RequirementID]],".",-2),"cost.")</f>
        <v>building.onsen@1</v>
      </c>
      <c r="C362" s="41" t="str">
        <f>_xlfn.XLOOKUP(tblCost[[#This Row],[TargetID]],tblTargets[TargetID],tblTargets[DisplayName],"")</f>
        <v>Onsen Lv 1</v>
      </c>
      <c r="D362" s="41" t="str">
        <f>_xlfn.XLOOKUP(tblCost[[#This Row],[TargetID]],tblTargets[TargetID],tblTargets[TargetType],"")</f>
        <v>BUILDING</v>
      </c>
      <c r="E362" s="41" t="s">
        <v>717</v>
      </c>
      <c r="F362" s="62" t="str">
        <f>RIGHT(tblCost[[#This Row],[RequirementID]],1)</f>
        <v>1</v>
      </c>
      <c r="G362" s="41">
        <v>400</v>
      </c>
      <c r="H362" t="b">
        <f>COUNTIFS(tblCostChecklist[RequirementID],tblCost[[#This Row],[RequirementID]],tblCostChecklist[PlayerPaid],TRUE)&gt;0</f>
        <v>0</v>
      </c>
      <c r="I362" s="41">
        <f>COUNTIF(tblCost[TargetID],tblCost[[#This Row],[TargetID]])</f>
        <v>4</v>
      </c>
      <c r="J362" s="41">
        <f>COUNTIFS(tblCost[TargetID],tblCost[[#This Row],[TargetID]],tblCost[PlayerPaid],TRUE)</f>
        <v>0</v>
      </c>
      <c r="K362" s="41">
        <f>tblCost[[#This Row],[TargetRequirements]]-tblCost[[#This Row],[CompletedRequirements]]</f>
        <v>4</v>
      </c>
      <c r="L362" s="41" t="b">
        <f>tblCost[[#This Row],[RemainingRequirements]]=0</f>
        <v>0</v>
      </c>
      <c r="M362" s="43">
        <f>IF(tblCost[[#This Row],[TargetRequirements]]=0,0,tblCost[[#This Row],[CompletedRequirements]]/tblCost[[#This Row],[TargetRequirements]])</f>
        <v>0</v>
      </c>
    </row>
    <row r="363" spans="1:13">
      <c r="A363" s="41" t="s">
        <v>4011</v>
      </c>
      <c r="B363" s="41" t="str">
        <f>_xlfn.TEXTAFTER(_xlfn.TEXTBEFORE(tblCost[[#This Row],[RequirementID]],".",-2),"cost.")</f>
        <v>building.onsen@2</v>
      </c>
      <c r="C363" s="41" t="str">
        <f>_xlfn.XLOOKUP(tblCost[[#This Row],[TargetID]],tblTargets[TargetID],tblTargets[DisplayName],"")</f>
        <v>Onsen Lv 2</v>
      </c>
      <c r="D363" s="41" t="str">
        <f>_xlfn.XLOOKUP(tblCost[[#This Row],[TargetID]],tblTargets[TargetID],tblTargets[TargetType],"")</f>
        <v>BUILDING</v>
      </c>
      <c r="E363" s="41" t="s">
        <v>708</v>
      </c>
      <c r="F363" s="62" t="str">
        <f>RIGHT(tblCost[[#This Row],[RequirementID]],1)</f>
        <v>1</v>
      </c>
      <c r="G363" s="41">
        <v>5</v>
      </c>
      <c r="H363" t="b">
        <f>COUNTIFS(tblCostChecklist[RequirementID],tblCost[[#This Row],[RequirementID]],tblCostChecklist[PlayerPaid],TRUE)&gt;0</f>
        <v>0</v>
      </c>
      <c r="I363" s="41">
        <f>COUNTIF(tblCost[TargetID],tblCost[[#This Row],[TargetID]])</f>
        <v>4</v>
      </c>
      <c r="J363" s="41">
        <f>COUNTIFS(tblCost[TargetID],tblCost[[#This Row],[TargetID]],tblCost[PlayerPaid],TRUE)</f>
        <v>0</v>
      </c>
      <c r="K363" s="41">
        <f>tblCost[[#This Row],[TargetRequirements]]-tblCost[[#This Row],[CompletedRequirements]]</f>
        <v>4</v>
      </c>
      <c r="L363" s="41" t="b">
        <f>tblCost[[#This Row],[RemainingRequirements]]=0</f>
        <v>0</v>
      </c>
      <c r="M363" s="43">
        <f>IF(tblCost[[#This Row],[TargetRequirements]]=0,0,tblCost[[#This Row],[CompletedRequirements]]/tblCost[[#This Row],[TargetRequirements]])</f>
        <v>0</v>
      </c>
    </row>
    <row r="364" spans="1:13">
      <c r="A364" s="41" t="s">
        <v>4012</v>
      </c>
      <c r="B364" s="41" t="str">
        <f>_xlfn.TEXTAFTER(_xlfn.TEXTBEFORE(tblCost[[#This Row],[RequirementID]],".",-2),"cost.")</f>
        <v>building.onsen@2</v>
      </c>
      <c r="C364" s="41" t="str">
        <f>_xlfn.XLOOKUP(tblCost[[#This Row],[TargetID]],tblTargets[TargetID],tblTargets[DisplayName],"")</f>
        <v>Onsen Lv 2</v>
      </c>
      <c r="D364" s="41" t="str">
        <f>_xlfn.XLOOKUP(tblCost[[#This Row],[TargetID]],tblTargets[TargetID],tblTargets[TargetType],"")</f>
        <v>BUILDING</v>
      </c>
      <c r="E364" s="41" t="s">
        <v>666</v>
      </c>
      <c r="F364" s="62" t="str">
        <f>RIGHT(tblCost[[#This Row],[RequirementID]],1)</f>
        <v>1</v>
      </c>
      <c r="G364" s="41">
        <v>800</v>
      </c>
      <c r="H364" t="b">
        <f>COUNTIFS(tblCostChecklist[RequirementID],tblCost[[#This Row],[RequirementID]],tblCostChecklist[PlayerPaid],TRUE)&gt;0</f>
        <v>0</v>
      </c>
      <c r="I364" s="41">
        <f>COUNTIF(tblCost[TargetID],tblCost[[#This Row],[TargetID]])</f>
        <v>4</v>
      </c>
      <c r="J364" s="41">
        <f>COUNTIFS(tblCost[TargetID],tblCost[[#This Row],[TargetID]],tblCost[PlayerPaid],TRUE)</f>
        <v>0</v>
      </c>
      <c r="K364" s="41">
        <f>tblCost[[#This Row],[TargetRequirements]]-tblCost[[#This Row],[CompletedRequirements]]</f>
        <v>4</v>
      </c>
      <c r="L364" s="41" t="b">
        <f>tblCost[[#This Row],[RemainingRequirements]]=0</f>
        <v>0</v>
      </c>
      <c r="M364" s="43">
        <f>IF(tblCost[[#This Row],[TargetRequirements]]=0,0,tblCost[[#This Row],[CompletedRequirements]]/tblCost[[#This Row],[TargetRequirements]])</f>
        <v>0</v>
      </c>
    </row>
    <row r="365" spans="1:13">
      <c r="A365" s="41" t="s">
        <v>4013</v>
      </c>
      <c r="B365" s="41" t="str">
        <f>_xlfn.TEXTAFTER(_xlfn.TEXTBEFORE(tblCost[[#This Row],[RequirementID]],".",-2),"cost.")</f>
        <v>building.onsen@2</v>
      </c>
      <c r="C365" s="41" t="str">
        <f>_xlfn.XLOOKUP(tblCost[[#This Row],[TargetID]],tblTargets[TargetID],tblTargets[DisplayName],"")</f>
        <v>Onsen Lv 2</v>
      </c>
      <c r="D365" s="41" t="str">
        <f>_xlfn.XLOOKUP(tblCost[[#This Row],[TargetID]],tblTargets[TargetID],tblTargets[TargetType],"")</f>
        <v>BUILDING</v>
      </c>
      <c r="E365" s="41" t="s">
        <v>701</v>
      </c>
      <c r="F365" s="62" t="str">
        <f>RIGHT(tblCost[[#This Row],[RequirementID]],1)</f>
        <v>1</v>
      </c>
      <c r="G365" s="41">
        <v>600</v>
      </c>
      <c r="H365" t="b">
        <f>COUNTIFS(tblCostChecklist[RequirementID],tblCost[[#This Row],[RequirementID]],tblCostChecklist[PlayerPaid],TRUE)&gt;0</f>
        <v>0</v>
      </c>
      <c r="I365" s="41">
        <f>COUNTIF(tblCost[TargetID],tblCost[[#This Row],[TargetID]])</f>
        <v>4</v>
      </c>
      <c r="J365" s="41">
        <f>COUNTIFS(tblCost[TargetID],tblCost[[#This Row],[TargetID]],tblCost[PlayerPaid],TRUE)</f>
        <v>0</v>
      </c>
      <c r="K365" s="41">
        <f>tblCost[[#This Row],[TargetRequirements]]-tblCost[[#This Row],[CompletedRequirements]]</f>
        <v>4</v>
      </c>
      <c r="L365" s="41" t="b">
        <f>tblCost[[#This Row],[RemainingRequirements]]=0</f>
        <v>0</v>
      </c>
      <c r="M365" s="43">
        <f>IF(tblCost[[#This Row],[TargetRequirements]]=0,0,tblCost[[#This Row],[CompletedRequirements]]/tblCost[[#This Row],[TargetRequirements]])</f>
        <v>0</v>
      </c>
    </row>
    <row r="366" spans="1:13">
      <c r="A366" s="41" t="s">
        <v>4014</v>
      </c>
      <c r="B366" s="41" t="str">
        <f>_xlfn.TEXTAFTER(_xlfn.TEXTBEFORE(tblCost[[#This Row],[RequirementID]],".",-2),"cost.")</f>
        <v>building.onsen@2</v>
      </c>
      <c r="C366" s="41" t="str">
        <f>_xlfn.XLOOKUP(tblCost[[#This Row],[TargetID]],tblTargets[TargetID],tblTargets[DisplayName],"")</f>
        <v>Onsen Lv 2</v>
      </c>
      <c r="D366" s="41" t="str">
        <f>_xlfn.XLOOKUP(tblCost[[#This Row],[TargetID]],tblTargets[TargetID],tblTargets[TargetType],"")</f>
        <v>BUILDING</v>
      </c>
      <c r="E366" s="41" t="s">
        <v>717</v>
      </c>
      <c r="F366" s="62" t="str">
        <f>RIGHT(tblCost[[#This Row],[RequirementID]],1)</f>
        <v>1</v>
      </c>
      <c r="G366" s="41">
        <v>500</v>
      </c>
      <c r="H366" t="b">
        <f>COUNTIFS(tblCostChecklist[RequirementID],tblCost[[#This Row],[RequirementID]],tblCostChecklist[PlayerPaid],TRUE)&gt;0</f>
        <v>0</v>
      </c>
      <c r="I366" s="41">
        <f>COUNTIF(tblCost[TargetID],tblCost[[#This Row],[TargetID]])</f>
        <v>4</v>
      </c>
      <c r="J366" s="41">
        <f>COUNTIFS(tblCost[TargetID],tblCost[[#This Row],[TargetID]],tblCost[PlayerPaid],TRUE)</f>
        <v>0</v>
      </c>
      <c r="K366" s="41">
        <f>tblCost[[#This Row],[TargetRequirements]]-tblCost[[#This Row],[CompletedRequirements]]</f>
        <v>4</v>
      </c>
      <c r="L366" s="41" t="b">
        <f>tblCost[[#This Row],[RemainingRequirements]]=0</f>
        <v>0</v>
      </c>
      <c r="M366" s="43">
        <f>IF(tblCost[[#This Row],[TargetRequirements]]=0,0,tblCost[[#This Row],[CompletedRequirements]]/tblCost[[#This Row],[TargetRequirements]])</f>
        <v>0</v>
      </c>
    </row>
    <row r="367" spans="1:13">
      <c r="A367" s="41" t="s">
        <v>4015</v>
      </c>
      <c r="B367" s="41" t="str">
        <f>_xlfn.TEXTAFTER(_xlfn.TEXTBEFORE(tblCost[[#This Row],[RequirementID]],".",-2),"cost.")</f>
        <v>building.outpost@1</v>
      </c>
      <c r="C367" s="41" t="str">
        <f>_xlfn.XLOOKUP(tblCost[[#This Row],[TargetID]],tblTargets[TargetID],tblTargets[DisplayName],"")</f>
        <v>Outpost Lv 1</v>
      </c>
      <c r="D367" s="41" t="str">
        <f>_xlfn.XLOOKUP(tblCost[[#This Row],[TargetID]],tblTargets[TargetID],tblTargets[TargetType],"")</f>
        <v>BUILDING</v>
      </c>
      <c r="E367" s="41" t="s">
        <v>708</v>
      </c>
      <c r="F367" s="62" t="str">
        <f>RIGHT(tblCost[[#This Row],[RequirementID]],1)</f>
        <v>1</v>
      </c>
      <c r="G367" s="41">
        <v>6</v>
      </c>
      <c r="H367" t="b">
        <f>COUNTIFS(tblCostChecklist[RequirementID],tblCost[[#This Row],[RequirementID]],tblCostChecklist[PlayerPaid],TRUE)&gt;0</f>
        <v>0</v>
      </c>
      <c r="I367" s="41">
        <f>COUNTIF(tblCost[TargetID],tblCost[[#This Row],[TargetID]])</f>
        <v>6</v>
      </c>
      <c r="J367" s="41">
        <f>COUNTIFS(tblCost[TargetID],tblCost[[#This Row],[TargetID]],tblCost[PlayerPaid],TRUE)</f>
        <v>0</v>
      </c>
      <c r="K367" s="41">
        <f>tblCost[[#This Row],[TargetRequirements]]-tblCost[[#This Row],[CompletedRequirements]]</f>
        <v>6</v>
      </c>
      <c r="L367" s="41" t="b">
        <f>tblCost[[#This Row],[RemainingRequirements]]=0</f>
        <v>0</v>
      </c>
      <c r="M367" s="43">
        <f>IF(tblCost[[#This Row],[TargetRequirements]]=0,0,tblCost[[#This Row],[CompletedRequirements]]/tblCost[[#This Row],[TargetRequirements]])</f>
        <v>0</v>
      </c>
    </row>
    <row r="368" spans="1:13">
      <c r="A368" s="41" t="s">
        <v>4016</v>
      </c>
      <c r="B368" s="41" t="str">
        <f>_xlfn.TEXTAFTER(_xlfn.TEXTBEFORE(tblCost[[#This Row],[RequirementID]],".",-2),"cost.")</f>
        <v>building.outpost@1</v>
      </c>
      <c r="C368" s="41" t="str">
        <f>_xlfn.XLOOKUP(tblCost[[#This Row],[TargetID]],tblTargets[TargetID],tblTargets[DisplayName],"")</f>
        <v>Outpost Lv 1</v>
      </c>
      <c r="D368" s="41" t="str">
        <f>_xlfn.XLOOKUP(tblCost[[#This Row],[TargetID]],tblTargets[TargetID],tblTargets[TargetType],"")</f>
        <v>BUILDING</v>
      </c>
      <c r="E368" s="41" t="s">
        <v>666</v>
      </c>
      <c r="F368" s="62" t="str">
        <f>RIGHT(tblCost[[#This Row],[RequirementID]],1)</f>
        <v>1</v>
      </c>
      <c r="G368" s="41">
        <v>1000</v>
      </c>
      <c r="H368" t="b">
        <f>COUNTIFS(tblCostChecklist[RequirementID],tblCost[[#This Row],[RequirementID]],tblCostChecklist[PlayerPaid],TRUE)&gt;0</f>
        <v>0</v>
      </c>
      <c r="I368" s="41">
        <f>COUNTIF(tblCost[TargetID],tblCost[[#This Row],[TargetID]])</f>
        <v>6</v>
      </c>
      <c r="J368" s="41">
        <f>COUNTIFS(tblCost[TargetID],tblCost[[#This Row],[TargetID]],tblCost[PlayerPaid],TRUE)</f>
        <v>0</v>
      </c>
      <c r="K368" s="41">
        <f>tblCost[[#This Row],[TargetRequirements]]-tblCost[[#This Row],[CompletedRequirements]]</f>
        <v>6</v>
      </c>
      <c r="L368" s="41" t="b">
        <f>tblCost[[#This Row],[RemainingRequirements]]=0</f>
        <v>0</v>
      </c>
      <c r="M368" s="43">
        <f>IF(tblCost[[#This Row],[TargetRequirements]]=0,0,tblCost[[#This Row],[CompletedRequirements]]/tblCost[[#This Row],[TargetRequirements]])</f>
        <v>0</v>
      </c>
    </row>
    <row r="369" spans="1:13">
      <c r="A369" s="41" t="s">
        <v>4017</v>
      </c>
      <c r="B369" s="41" t="str">
        <f>_xlfn.TEXTAFTER(_xlfn.TEXTBEFORE(tblCost[[#This Row],[RequirementID]],".",-2),"cost.")</f>
        <v>building.outpost@1</v>
      </c>
      <c r="C369" s="41" t="str">
        <f>_xlfn.XLOOKUP(tblCost[[#This Row],[TargetID]],tblTargets[TargetID],tblTargets[DisplayName],"")</f>
        <v>Outpost Lv 1</v>
      </c>
      <c r="D369" s="41" t="str">
        <f>_xlfn.XLOOKUP(tblCost[[#This Row],[TargetID]],tblTargets[TargetID],tblTargets[TargetType],"")</f>
        <v>BUILDING</v>
      </c>
      <c r="E369" s="41" t="s">
        <v>658</v>
      </c>
      <c r="F369" s="62" t="str">
        <f>RIGHT(tblCost[[#This Row],[RequirementID]],1)</f>
        <v>1</v>
      </c>
      <c r="G369" s="41">
        <v>1000</v>
      </c>
      <c r="H369" t="b">
        <f>COUNTIFS(tblCostChecklist[RequirementID],tblCost[[#This Row],[RequirementID]],tblCostChecklist[PlayerPaid],TRUE)&gt;0</f>
        <v>0</v>
      </c>
      <c r="I369" s="41">
        <f>COUNTIF(tblCost[TargetID],tblCost[[#This Row],[TargetID]])</f>
        <v>6</v>
      </c>
      <c r="J369" s="41">
        <f>COUNTIFS(tblCost[TargetID],tblCost[[#This Row],[TargetID]],tblCost[PlayerPaid],TRUE)</f>
        <v>0</v>
      </c>
      <c r="K369" s="41">
        <f>tblCost[[#This Row],[TargetRequirements]]-tblCost[[#This Row],[CompletedRequirements]]</f>
        <v>6</v>
      </c>
      <c r="L369" s="41" t="b">
        <f>tblCost[[#This Row],[RemainingRequirements]]=0</f>
        <v>0</v>
      </c>
      <c r="M369" s="43">
        <f>IF(tblCost[[#This Row],[TargetRequirements]]=0,0,tblCost[[#This Row],[CompletedRequirements]]/tblCost[[#This Row],[TargetRequirements]])</f>
        <v>0</v>
      </c>
    </row>
    <row r="370" spans="1:13">
      <c r="A370" s="41" t="s">
        <v>4018</v>
      </c>
      <c r="B370" s="41" t="str">
        <f>_xlfn.TEXTAFTER(_xlfn.TEXTBEFORE(tblCost[[#This Row],[RequirementID]],".",-2),"cost.")</f>
        <v>building.outpost@1</v>
      </c>
      <c r="C370" s="41" t="str">
        <f>_xlfn.XLOOKUP(tblCost[[#This Row],[TargetID]],tblTargets[TargetID],tblTargets[DisplayName],"")</f>
        <v>Outpost Lv 1</v>
      </c>
      <c r="D370" s="41" t="str">
        <f>_xlfn.XLOOKUP(tblCost[[#This Row],[TargetID]],tblTargets[TargetID],tblTargets[TargetType],"")</f>
        <v>BUILDING</v>
      </c>
      <c r="E370" s="41" t="s">
        <v>717</v>
      </c>
      <c r="F370" s="62" t="str">
        <f>RIGHT(tblCost[[#This Row],[RequirementID]],1)</f>
        <v>1</v>
      </c>
      <c r="G370" s="41">
        <v>1000</v>
      </c>
      <c r="H370" t="b">
        <f>COUNTIFS(tblCostChecklist[RequirementID],tblCost[[#This Row],[RequirementID]],tblCostChecklist[PlayerPaid],TRUE)&gt;0</f>
        <v>0</v>
      </c>
      <c r="I370" s="41">
        <f>COUNTIF(tblCost[TargetID],tblCost[[#This Row],[TargetID]])</f>
        <v>6</v>
      </c>
      <c r="J370" s="41">
        <f>COUNTIFS(tblCost[TargetID],tblCost[[#This Row],[TargetID]],tblCost[PlayerPaid],TRUE)</f>
        <v>0</v>
      </c>
      <c r="K370" s="41">
        <f>tblCost[[#This Row],[TargetRequirements]]-tblCost[[#This Row],[CompletedRequirements]]</f>
        <v>6</v>
      </c>
      <c r="L370" s="41" t="b">
        <f>tblCost[[#This Row],[RemainingRequirements]]=0</f>
        <v>0</v>
      </c>
      <c r="M370" s="43">
        <f>IF(tblCost[[#This Row],[TargetRequirements]]=0,0,tblCost[[#This Row],[CompletedRequirements]]/tblCost[[#This Row],[TargetRequirements]])</f>
        <v>0</v>
      </c>
    </row>
    <row r="371" spans="1:13">
      <c r="A371" s="41" t="s">
        <v>4019</v>
      </c>
      <c r="B371" s="41" t="str">
        <f>_xlfn.TEXTAFTER(_xlfn.TEXTBEFORE(tblCost[[#This Row],[RequirementID]],".",-2),"cost.")</f>
        <v>building.outpost@1</v>
      </c>
      <c r="C371" s="41" t="str">
        <f>_xlfn.XLOOKUP(tblCost[[#This Row],[TargetID]],tblTargets[TargetID],tblTargets[DisplayName],"")</f>
        <v>Outpost Lv 1</v>
      </c>
      <c r="D371" s="41" t="str">
        <f>_xlfn.XLOOKUP(tblCost[[#This Row],[TargetID]],tblTargets[TargetID],tblTargets[TargetType],"")</f>
        <v>BUILDING</v>
      </c>
      <c r="E371" s="41" t="s">
        <v>681</v>
      </c>
      <c r="F371" s="62" t="str">
        <f>RIGHT(tblCost[[#This Row],[RequirementID]],1)</f>
        <v>1</v>
      </c>
      <c r="G371" s="41">
        <v>100</v>
      </c>
      <c r="H371" t="b">
        <f>COUNTIFS(tblCostChecklist[RequirementID],tblCost[[#This Row],[RequirementID]],tblCostChecklist[PlayerPaid],TRUE)&gt;0</f>
        <v>0</v>
      </c>
      <c r="I371" s="41">
        <f>COUNTIF(tblCost[TargetID],tblCost[[#This Row],[TargetID]])</f>
        <v>6</v>
      </c>
      <c r="J371" s="41">
        <f>COUNTIFS(tblCost[TargetID],tblCost[[#This Row],[TargetID]],tblCost[PlayerPaid],TRUE)</f>
        <v>0</v>
      </c>
      <c r="K371" s="41">
        <f>tblCost[[#This Row],[TargetRequirements]]-tblCost[[#This Row],[CompletedRequirements]]</f>
        <v>6</v>
      </c>
      <c r="L371" s="41" t="b">
        <f>tblCost[[#This Row],[RemainingRequirements]]=0</f>
        <v>0</v>
      </c>
      <c r="M371" s="43">
        <f>IF(tblCost[[#This Row],[TargetRequirements]]=0,0,tblCost[[#This Row],[CompletedRequirements]]/tblCost[[#This Row],[TargetRequirements]])</f>
        <v>0</v>
      </c>
    </row>
    <row r="372" spans="1:13">
      <c r="A372" s="41" t="s">
        <v>4020</v>
      </c>
      <c r="B372" s="41" t="str">
        <f>_xlfn.TEXTAFTER(_xlfn.TEXTBEFORE(tblCost[[#This Row],[RequirementID]],".",-2),"cost.")</f>
        <v>building.outpost@1</v>
      </c>
      <c r="C372" s="41" t="str">
        <f>_xlfn.XLOOKUP(tblCost[[#This Row],[TargetID]],tblTargets[TargetID],tblTargets[DisplayName],"")</f>
        <v>Outpost Lv 1</v>
      </c>
      <c r="D372" s="41" t="str">
        <f>_xlfn.XLOOKUP(tblCost[[#This Row],[TargetID]],tblTargets[TargetID],tblTargets[TargetType],"")</f>
        <v>BUILDING</v>
      </c>
      <c r="E372" s="41" t="s">
        <v>656</v>
      </c>
      <c r="F372" s="62" t="str">
        <f>RIGHT(tblCost[[#This Row],[RequirementID]],1)</f>
        <v>1</v>
      </c>
      <c r="G372" s="41">
        <v>300</v>
      </c>
      <c r="H372" t="b">
        <f>COUNTIFS(tblCostChecklist[RequirementID],tblCost[[#This Row],[RequirementID]],tblCostChecklist[PlayerPaid],TRUE)&gt;0</f>
        <v>0</v>
      </c>
      <c r="I372" s="41">
        <f>COUNTIF(tblCost[TargetID],tblCost[[#This Row],[TargetID]])</f>
        <v>6</v>
      </c>
      <c r="J372" s="41">
        <f>COUNTIFS(tblCost[TargetID],tblCost[[#This Row],[TargetID]],tblCost[PlayerPaid],TRUE)</f>
        <v>0</v>
      </c>
      <c r="K372" s="41">
        <f>tblCost[[#This Row],[TargetRequirements]]-tblCost[[#This Row],[CompletedRequirements]]</f>
        <v>6</v>
      </c>
      <c r="L372" s="41" t="b">
        <f>tblCost[[#This Row],[RemainingRequirements]]=0</f>
        <v>0</v>
      </c>
      <c r="M372" s="43">
        <f>IF(tblCost[[#This Row],[TargetRequirements]]=0,0,tblCost[[#This Row],[CompletedRequirements]]/tblCost[[#This Row],[TargetRequirements]])</f>
        <v>0</v>
      </c>
    </row>
    <row r="373" spans="1:13">
      <c r="A373" s="41" t="s">
        <v>4021</v>
      </c>
      <c r="B373" s="41" t="str">
        <f>_xlfn.TEXTAFTER(_xlfn.TEXTBEFORE(tblCost[[#This Row],[RequirementID]],".",-2),"cost.")</f>
        <v>building.outpost@2</v>
      </c>
      <c r="C373" s="41" t="str">
        <f>_xlfn.XLOOKUP(tblCost[[#This Row],[TargetID]],tblTargets[TargetID],tblTargets[DisplayName],"")</f>
        <v>Outpost Lv 2</v>
      </c>
      <c r="D373" s="41" t="str">
        <f>_xlfn.XLOOKUP(tblCost[[#This Row],[TargetID]],tblTargets[TargetID],tblTargets[TargetType],"")</f>
        <v>BUILDING</v>
      </c>
      <c r="E373" s="41" t="s">
        <v>708</v>
      </c>
      <c r="F373" s="62" t="str">
        <f>RIGHT(tblCost[[#This Row],[RequirementID]],1)</f>
        <v>1</v>
      </c>
      <c r="G373" s="41">
        <v>8</v>
      </c>
      <c r="H373" t="b">
        <f>COUNTIFS(tblCostChecklist[RequirementID],tblCost[[#This Row],[RequirementID]],tblCostChecklist[PlayerPaid],TRUE)&gt;0</f>
        <v>0</v>
      </c>
      <c r="I373" s="41">
        <f>COUNTIF(tblCost[TargetID],tblCost[[#This Row],[TargetID]])</f>
        <v>6</v>
      </c>
      <c r="J373" s="41">
        <f>COUNTIFS(tblCost[TargetID],tblCost[[#This Row],[TargetID]],tblCost[PlayerPaid],TRUE)</f>
        <v>0</v>
      </c>
      <c r="K373" s="41">
        <f>tblCost[[#This Row],[TargetRequirements]]-tblCost[[#This Row],[CompletedRequirements]]</f>
        <v>6</v>
      </c>
      <c r="L373" s="41" t="b">
        <f>tblCost[[#This Row],[RemainingRequirements]]=0</f>
        <v>0</v>
      </c>
      <c r="M373" s="43">
        <f>IF(tblCost[[#This Row],[TargetRequirements]]=0,0,tblCost[[#This Row],[CompletedRequirements]]/tblCost[[#This Row],[TargetRequirements]])</f>
        <v>0</v>
      </c>
    </row>
    <row r="374" spans="1:13">
      <c r="A374" s="41" t="s">
        <v>4022</v>
      </c>
      <c r="B374" s="41" t="str">
        <f>_xlfn.TEXTAFTER(_xlfn.TEXTBEFORE(tblCost[[#This Row],[RequirementID]],".",-2),"cost.")</f>
        <v>building.outpost@2</v>
      </c>
      <c r="C374" s="41" t="str">
        <f>_xlfn.XLOOKUP(tblCost[[#This Row],[TargetID]],tblTargets[TargetID],tblTargets[DisplayName],"")</f>
        <v>Outpost Lv 2</v>
      </c>
      <c r="D374" s="41" t="str">
        <f>_xlfn.XLOOKUP(tblCost[[#This Row],[TargetID]],tblTargets[TargetID],tblTargets[TargetType],"")</f>
        <v>BUILDING</v>
      </c>
      <c r="E374" s="41" t="s">
        <v>666</v>
      </c>
      <c r="F374" s="62" t="str">
        <f>RIGHT(tblCost[[#This Row],[RequirementID]],1)</f>
        <v>1</v>
      </c>
      <c r="G374" s="41">
        <v>1500</v>
      </c>
      <c r="H374" t="b">
        <f>COUNTIFS(tblCostChecklist[RequirementID],tblCost[[#This Row],[RequirementID]],tblCostChecklist[PlayerPaid],TRUE)&gt;0</f>
        <v>0</v>
      </c>
      <c r="I374" s="41">
        <f>COUNTIF(tblCost[TargetID],tblCost[[#This Row],[TargetID]])</f>
        <v>6</v>
      </c>
      <c r="J374" s="41">
        <f>COUNTIFS(tblCost[TargetID],tblCost[[#This Row],[TargetID]],tblCost[PlayerPaid],TRUE)</f>
        <v>0</v>
      </c>
      <c r="K374" s="41">
        <f>tblCost[[#This Row],[TargetRequirements]]-tblCost[[#This Row],[CompletedRequirements]]</f>
        <v>6</v>
      </c>
      <c r="L374" s="41" t="b">
        <f>tblCost[[#This Row],[RemainingRequirements]]=0</f>
        <v>0</v>
      </c>
      <c r="M374" s="43">
        <f>IF(tblCost[[#This Row],[TargetRequirements]]=0,0,tblCost[[#This Row],[CompletedRequirements]]/tblCost[[#This Row],[TargetRequirements]])</f>
        <v>0</v>
      </c>
    </row>
    <row r="375" spans="1:13">
      <c r="A375" s="41" t="s">
        <v>4023</v>
      </c>
      <c r="B375" s="41" t="str">
        <f>_xlfn.TEXTAFTER(_xlfn.TEXTBEFORE(tblCost[[#This Row],[RequirementID]],".",-2),"cost.")</f>
        <v>building.outpost@2</v>
      </c>
      <c r="C375" s="41" t="str">
        <f>_xlfn.XLOOKUP(tblCost[[#This Row],[TargetID]],tblTargets[TargetID],tblTargets[DisplayName],"")</f>
        <v>Outpost Lv 2</v>
      </c>
      <c r="D375" s="41" t="str">
        <f>_xlfn.XLOOKUP(tblCost[[#This Row],[TargetID]],tblTargets[TargetID],tblTargets[TargetType],"")</f>
        <v>BUILDING</v>
      </c>
      <c r="E375" s="41" t="s">
        <v>658</v>
      </c>
      <c r="F375" s="62" t="str">
        <f>RIGHT(tblCost[[#This Row],[RequirementID]],1)</f>
        <v>1</v>
      </c>
      <c r="G375" s="41">
        <v>1500</v>
      </c>
      <c r="H375" t="b">
        <f>COUNTIFS(tblCostChecklist[RequirementID],tblCost[[#This Row],[RequirementID]],tblCostChecklist[PlayerPaid],TRUE)&gt;0</f>
        <v>0</v>
      </c>
      <c r="I375" s="41">
        <f>COUNTIF(tblCost[TargetID],tblCost[[#This Row],[TargetID]])</f>
        <v>6</v>
      </c>
      <c r="J375" s="41">
        <f>COUNTIFS(tblCost[TargetID],tblCost[[#This Row],[TargetID]],tblCost[PlayerPaid],TRUE)</f>
        <v>0</v>
      </c>
      <c r="K375" s="41">
        <f>tblCost[[#This Row],[TargetRequirements]]-tblCost[[#This Row],[CompletedRequirements]]</f>
        <v>6</v>
      </c>
      <c r="L375" s="41" t="b">
        <f>tblCost[[#This Row],[RemainingRequirements]]=0</f>
        <v>0</v>
      </c>
      <c r="M375" s="43">
        <f>IF(tblCost[[#This Row],[TargetRequirements]]=0,0,tblCost[[#This Row],[CompletedRequirements]]/tblCost[[#This Row],[TargetRequirements]])</f>
        <v>0</v>
      </c>
    </row>
    <row r="376" spans="1:13">
      <c r="A376" s="41" t="s">
        <v>4024</v>
      </c>
      <c r="B376" s="41" t="str">
        <f>_xlfn.TEXTAFTER(_xlfn.TEXTBEFORE(tblCost[[#This Row],[RequirementID]],".",-2),"cost.")</f>
        <v>building.outpost@2</v>
      </c>
      <c r="C376" s="41" t="str">
        <f>_xlfn.XLOOKUP(tblCost[[#This Row],[TargetID]],tblTargets[TargetID],tblTargets[DisplayName],"")</f>
        <v>Outpost Lv 2</v>
      </c>
      <c r="D376" s="41" t="str">
        <f>_xlfn.XLOOKUP(tblCost[[#This Row],[TargetID]],tblTargets[TargetID],tblTargets[TargetType],"")</f>
        <v>BUILDING</v>
      </c>
      <c r="E376" s="41" t="s">
        <v>717</v>
      </c>
      <c r="F376" s="62" t="str">
        <f>RIGHT(tblCost[[#This Row],[RequirementID]],1)</f>
        <v>1</v>
      </c>
      <c r="G376" s="41">
        <v>3000</v>
      </c>
      <c r="H376" t="b">
        <f>COUNTIFS(tblCostChecklist[RequirementID],tblCost[[#This Row],[RequirementID]],tblCostChecklist[PlayerPaid],TRUE)&gt;0</f>
        <v>0</v>
      </c>
      <c r="I376" s="41">
        <f>COUNTIF(tblCost[TargetID],tblCost[[#This Row],[TargetID]])</f>
        <v>6</v>
      </c>
      <c r="J376" s="41">
        <f>COUNTIFS(tblCost[TargetID],tblCost[[#This Row],[TargetID]],tblCost[PlayerPaid],TRUE)</f>
        <v>0</v>
      </c>
      <c r="K376" s="41">
        <f>tblCost[[#This Row],[TargetRequirements]]-tblCost[[#This Row],[CompletedRequirements]]</f>
        <v>6</v>
      </c>
      <c r="L376" s="41" t="b">
        <f>tblCost[[#This Row],[RemainingRequirements]]=0</f>
        <v>0</v>
      </c>
      <c r="M376" s="43">
        <f>IF(tblCost[[#This Row],[TargetRequirements]]=0,0,tblCost[[#This Row],[CompletedRequirements]]/tblCost[[#This Row],[TargetRequirements]])</f>
        <v>0</v>
      </c>
    </row>
    <row r="377" spans="1:13">
      <c r="A377" s="41" t="s">
        <v>4025</v>
      </c>
      <c r="B377" s="41" t="str">
        <f>_xlfn.TEXTAFTER(_xlfn.TEXTBEFORE(tblCost[[#This Row],[RequirementID]],".",-2),"cost.")</f>
        <v>building.outpost@2</v>
      </c>
      <c r="C377" s="41" t="str">
        <f>_xlfn.XLOOKUP(tblCost[[#This Row],[TargetID]],tblTargets[TargetID],tblTargets[DisplayName],"")</f>
        <v>Outpost Lv 2</v>
      </c>
      <c r="D377" s="41" t="str">
        <f>_xlfn.XLOOKUP(tblCost[[#This Row],[TargetID]],tblTargets[TargetID],tblTargets[TargetType],"")</f>
        <v>BUILDING</v>
      </c>
      <c r="E377" s="41" t="s">
        <v>716</v>
      </c>
      <c r="F377" s="62" t="str">
        <f>RIGHT(tblCost[[#This Row],[RequirementID]],1)</f>
        <v>1</v>
      </c>
      <c r="G377" s="41">
        <v>300</v>
      </c>
      <c r="H377" t="b">
        <f>COUNTIFS(tblCostChecklist[RequirementID],tblCost[[#This Row],[RequirementID]],tblCostChecklist[PlayerPaid],TRUE)&gt;0</f>
        <v>0</v>
      </c>
      <c r="I377" s="41">
        <f>COUNTIF(tblCost[TargetID],tblCost[[#This Row],[TargetID]])</f>
        <v>6</v>
      </c>
      <c r="J377" s="41">
        <f>COUNTIFS(tblCost[TargetID],tblCost[[#This Row],[TargetID]],tblCost[PlayerPaid],TRUE)</f>
        <v>0</v>
      </c>
      <c r="K377" s="41">
        <f>tblCost[[#This Row],[TargetRequirements]]-tblCost[[#This Row],[CompletedRequirements]]</f>
        <v>6</v>
      </c>
      <c r="L377" s="41" t="b">
        <f>tblCost[[#This Row],[RemainingRequirements]]=0</f>
        <v>0</v>
      </c>
      <c r="M377" s="43">
        <f>IF(tblCost[[#This Row],[TargetRequirements]]=0,0,tblCost[[#This Row],[CompletedRequirements]]/tblCost[[#This Row],[TargetRequirements]])</f>
        <v>0</v>
      </c>
    </row>
    <row r="378" spans="1:13">
      <c r="A378" s="41" t="s">
        <v>4026</v>
      </c>
      <c r="B378" s="41" t="str">
        <f>_xlfn.TEXTAFTER(_xlfn.TEXTBEFORE(tblCost[[#This Row],[RequirementID]],".",-2),"cost.")</f>
        <v>building.outpost@2</v>
      </c>
      <c r="C378" s="41" t="str">
        <f>_xlfn.XLOOKUP(tblCost[[#This Row],[TargetID]],tblTargets[TargetID],tblTargets[DisplayName],"")</f>
        <v>Outpost Lv 2</v>
      </c>
      <c r="D378" s="41" t="str">
        <f>_xlfn.XLOOKUP(tblCost[[#This Row],[TargetID]],tblTargets[TargetID],tblTargets[TargetType],"")</f>
        <v>BUILDING</v>
      </c>
      <c r="E378" s="41" t="s">
        <v>691</v>
      </c>
      <c r="F378" s="62" t="str">
        <f>RIGHT(tblCost[[#This Row],[RequirementID]],1)</f>
        <v>1</v>
      </c>
      <c r="G378" s="41">
        <v>30</v>
      </c>
      <c r="H378" t="b">
        <f>COUNTIFS(tblCostChecklist[RequirementID],tblCost[[#This Row],[RequirementID]],tblCostChecklist[PlayerPaid],TRUE)&gt;0</f>
        <v>0</v>
      </c>
      <c r="I378" s="41">
        <f>COUNTIF(tblCost[TargetID],tblCost[[#This Row],[TargetID]])</f>
        <v>6</v>
      </c>
      <c r="J378" s="41">
        <f>COUNTIFS(tblCost[TargetID],tblCost[[#This Row],[TargetID]],tblCost[PlayerPaid],TRUE)</f>
        <v>0</v>
      </c>
      <c r="K378" s="41">
        <f>tblCost[[#This Row],[TargetRequirements]]-tblCost[[#This Row],[CompletedRequirements]]</f>
        <v>6</v>
      </c>
      <c r="L378" s="41" t="b">
        <f>tblCost[[#This Row],[RemainingRequirements]]=0</f>
        <v>0</v>
      </c>
      <c r="M378" s="43">
        <f>IF(tblCost[[#This Row],[TargetRequirements]]=0,0,tblCost[[#This Row],[CompletedRequirements]]/tblCost[[#This Row],[TargetRequirements]])</f>
        <v>0</v>
      </c>
    </row>
    <row r="379" spans="1:13">
      <c r="A379" s="41" t="s">
        <v>4027</v>
      </c>
      <c r="B379" s="41" t="str">
        <f>_xlfn.TEXTAFTER(_xlfn.TEXTBEFORE(tblCost[[#This Row],[RequirementID]],".",-2),"cost.")</f>
        <v>building.outpost@3</v>
      </c>
      <c r="C379" s="41" t="str">
        <f>_xlfn.XLOOKUP(tblCost[[#This Row],[TargetID]],tblTargets[TargetID],tblTargets[DisplayName],"")</f>
        <v>Outpost Lv 3</v>
      </c>
      <c r="D379" s="41" t="str">
        <f>_xlfn.XLOOKUP(tblCost[[#This Row],[TargetID]],tblTargets[TargetID],tblTargets[TargetType],"")</f>
        <v>BUILDING</v>
      </c>
      <c r="E379" s="41" t="s">
        <v>708</v>
      </c>
      <c r="F379" s="62" t="str">
        <f>RIGHT(tblCost[[#This Row],[RequirementID]],1)</f>
        <v>1</v>
      </c>
      <c r="G379" s="41">
        <v>10</v>
      </c>
      <c r="H379" t="b">
        <f>COUNTIFS(tblCostChecklist[RequirementID],tblCost[[#This Row],[RequirementID]],tblCostChecklist[PlayerPaid],TRUE)&gt;0</f>
        <v>0</v>
      </c>
      <c r="I379" s="41">
        <f>COUNTIF(tblCost[TargetID],tblCost[[#This Row],[TargetID]])</f>
        <v>6</v>
      </c>
      <c r="J379" s="41">
        <f>COUNTIFS(tblCost[TargetID],tblCost[[#This Row],[TargetID]],tblCost[PlayerPaid],TRUE)</f>
        <v>0</v>
      </c>
      <c r="K379" s="41">
        <f>tblCost[[#This Row],[TargetRequirements]]-tblCost[[#This Row],[CompletedRequirements]]</f>
        <v>6</v>
      </c>
      <c r="L379" s="41" t="b">
        <f>tblCost[[#This Row],[RemainingRequirements]]=0</f>
        <v>0</v>
      </c>
      <c r="M379" s="43">
        <f>IF(tblCost[[#This Row],[TargetRequirements]]=0,0,tblCost[[#This Row],[CompletedRequirements]]/tblCost[[#This Row],[TargetRequirements]])</f>
        <v>0</v>
      </c>
    </row>
    <row r="380" spans="1:13">
      <c r="A380" s="41" t="s">
        <v>4028</v>
      </c>
      <c r="B380" s="41" t="str">
        <f>_xlfn.TEXTAFTER(_xlfn.TEXTBEFORE(tblCost[[#This Row],[RequirementID]],".",-2),"cost.")</f>
        <v>building.outpost@3</v>
      </c>
      <c r="C380" s="41" t="str">
        <f>_xlfn.XLOOKUP(tblCost[[#This Row],[TargetID]],tblTargets[TargetID],tblTargets[DisplayName],"")</f>
        <v>Outpost Lv 3</v>
      </c>
      <c r="D380" s="41" t="str">
        <f>_xlfn.XLOOKUP(tblCost[[#This Row],[TargetID]],tblTargets[TargetID],tblTargets[TargetType],"")</f>
        <v>BUILDING</v>
      </c>
      <c r="E380" s="41" t="s">
        <v>666</v>
      </c>
      <c r="F380" s="62" t="str">
        <f>RIGHT(tblCost[[#This Row],[RequirementID]],1)</f>
        <v>1</v>
      </c>
      <c r="G380" s="41">
        <v>2000</v>
      </c>
      <c r="H380" t="b">
        <f>COUNTIFS(tblCostChecklist[RequirementID],tblCost[[#This Row],[RequirementID]],tblCostChecklist[PlayerPaid],TRUE)&gt;0</f>
        <v>0</v>
      </c>
      <c r="I380" s="41">
        <f>COUNTIF(tblCost[TargetID],tblCost[[#This Row],[TargetID]])</f>
        <v>6</v>
      </c>
      <c r="J380" s="41">
        <f>COUNTIFS(tblCost[TargetID],tblCost[[#This Row],[TargetID]],tblCost[PlayerPaid],TRUE)</f>
        <v>0</v>
      </c>
      <c r="K380" s="41">
        <f>tblCost[[#This Row],[TargetRequirements]]-tblCost[[#This Row],[CompletedRequirements]]</f>
        <v>6</v>
      </c>
      <c r="L380" s="41" t="b">
        <f>tblCost[[#This Row],[RemainingRequirements]]=0</f>
        <v>0</v>
      </c>
      <c r="M380" s="43">
        <f>IF(tblCost[[#This Row],[TargetRequirements]]=0,0,tblCost[[#This Row],[CompletedRequirements]]/tblCost[[#This Row],[TargetRequirements]])</f>
        <v>0</v>
      </c>
    </row>
    <row r="381" spans="1:13">
      <c r="A381" s="41" t="s">
        <v>4029</v>
      </c>
      <c r="B381" s="41" t="str">
        <f>_xlfn.TEXTAFTER(_xlfn.TEXTBEFORE(tblCost[[#This Row],[RequirementID]],".",-2),"cost.")</f>
        <v>building.outpost@3</v>
      </c>
      <c r="C381" s="41" t="str">
        <f>_xlfn.XLOOKUP(tblCost[[#This Row],[TargetID]],tblTargets[TargetID],tblTargets[DisplayName],"")</f>
        <v>Outpost Lv 3</v>
      </c>
      <c r="D381" s="41" t="str">
        <f>_xlfn.XLOOKUP(tblCost[[#This Row],[TargetID]],tblTargets[TargetID],tblTargets[TargetType],"")</f>
        <v>BUILDING</v>
      </c>
      <c r="E381" s="41" t="s">
        <v>658</v>
      </c>
      <c r="F381" s="62" t="str">
        <f>RIGHT(tblCost[[#This Row],[RequirementID]],1)</f>
        <v>1</v>
      </c>
      <c r="G381" s="41">
        <v>2000</v>
      </c>
      <c r="H381" t="b">
        <f>COUNTIFS(tblCostChecklist[RequirementID],tblCost[[#This Row],[RequirementID]],tblCostChecklist[PlayerPaid],TRUE)&gt;0</f>
        <v>0</v>
      </c>
      <c r="I381" s="41">
        <f>COUNTIF(tblCost[TargetID],tblCost[[#This Row],[TargetID]])</f>
        <v>6</v>
      </c>
      <c r="J381" s="41">
        <f>COUNTIFS(tblCost[TargetID],tblCost[[#This Row],[TargetID]],tblCost[PlayerPaid],TRUE)</f>
        <v>0</v>
      </c>
      <c r="K381" s="41">
        <f>tblCost[[#This Row],[TargetRequirements]]-tblCost[[#This Row],[CompletedRequirements]]</f>
        <v>6</v>
      </c>
      <c r="L381" s="41" t="b">
        <f>tblCost[[#This Row],[RemainingRequirements]]=0</f>
        <v>0</v>
      </c>
      <c r="M381" s="43">
        <f>IF(tblCost[[#This Row],[TargetRequirements]]=0,0,tblCost[[#This Row],[CompletedRequirements]]/tblCost[[#This Row],[TargetRequirements]])</f>
        <v>0</v>
      </c>
    </row>
    <row r="382" spans="1:13">
      <c r="A382" s="41" t="s">
        <v>4030</v>
      </c>
      <c r="B382" s="41" t="str">
        <f>_xlfn.TEXTAFTER(_xlfn.TEXTBEFORE(tblCost[[#This Row],[RequirementID]],".",-2),"cost.")</f>
        <v>building.outpost@3</v>
      </c>
      <c r="C382" s="41" t="str">
        <f>_xlfn.XLOOKUP(tblCost[[#This Row],[TargetID]],tblTargets[TargetID],tblTargets[DisplayName],"")</f>
        <v>Outpost Lv 3</v>
      </c>
      <c r="D382" s="41" t="str">
        <f>_xlfn.XLOOKUP(tblCost[[#This Row],[TargetID]],tblTargets[TargetID],tblTargets[TargetType],"")</f>
        <v>BUILDING</v>
      </c>
      <c r="E382" s="41" t="s">
        <v>717</v>
      </c>
      <c r="F382" s="62" t="str">
        <f>RIGHT(tblCost[[#This Row],[RequirementID]],1)</f>
        <v>1</v>
      </c>
      <c r="G382" s="41">
        <v>5000</v>
      </c>
      <c r="H382" t="b">
        <f>COUNTIFS(tblCostChecklist[RequirementID],tblCost[[#This Row],[RequirementID]],tblCostChecklist[PlayerPaid],TRUE)&gt;0</f>
        <v>0</v>
      </c>
      <c r="I382" s="41">
        <f>COUNTIF(tblCost[TargetID],tblCost[[#This Row],[TargetID]])</f>
        <v>6</v>
      </c>
      <c r="J382" s="41">
        <f>COUNTIFS(tblCost[TargetID],tblCost[[#This Row],[TargetID]],tblCost[PlayerPaid],TRUE)</f>
        <v>0</v>
      </c>
      <c r="K382" s="41">
        <f>tblCost[[#This Row],[TargetRequirements]]-tblCost[[#This Row],[CompletedRequirements]]</f>
        <v>6</v>
      </c>
      <c r="L382" s="41" t="b">
        <f>tblCost[[#This Row],[RemainingRequirements]]=0</f>
        <v>0</v>
      </c>
      <c r="M382" s="43">
        <f>IF(tblCost[[#This Row],[TargetRequirements]]=0,0,tblCost[[#This Row],[CompletedRequirements]]/tblCost[[#This Row],[TargetRequirements]])</f>
        <v>0</v>
      </c>
    </row>
    <row r="383" spans="1:13">
      <c r="A383" s="41" t="s">
        <v>4031</v>
      </c>
      <c r="B383" s="41" t="str">
        <f>_xlfn.TEXTAFTER(_xlfn.TEXTBEFORE(tblCost[[#This Row],[RequirementID]],".",-2),"cost.")</f>
        <v>building.outpost@3</v>
      </c>
      <c r="C383" s="41" t="str">
        <f>_xlfn.XLOOKUP(tblCost[[#This Row],[TargetID]],tblTargets[TargetID],tblTargets[DisplayName],"")</f>
        <v>Outpost Lv 3</v>
      </c>
      <c r="D383" s="41" t="str">
        <f>_xlfn.XLOOKUP(tblCost[[#This Row],[TargetID]],tblTargets[TargetID],tblTargets[TargetType],"")</f>
        <v>BUILDING</v>
      </c>
      <c r="E383" s="41" t="s">
        <v>695</v>
      </c>
      <c r="F383" s="62" t="str">
        <f>RIGHT(tblCost[[#This Row],[RequirementID]],1)</f>
        <v>1</v>
      </c>
      <c r="G383" s="41">
        <v>20</v>
      </c>
      <c r="H383" t="b">
        <f>COUNTIFS(tblCostChecklist[RequirementID],tblCost[[#This Row],[RequirementID]],tblCostChecklist[PlayerPaid],TRUE)&gt;0</f>
        <v>0</v>
      </c>
      <c r="I383" s="41">
        <f>COUNTIF(tblCost[TargetID],tblCost[[#This Row],[TargetID]])</f>
        <v>6</v>
      </c>
      <c r="J383" s="41">
        <f>COUNTIFS(tblCost[TargetID],tblCost[[#This Row],[TargetID]],tblCost[PlayerPaid],TRUE)</f>
        <v>0</v>
      </c>
      <c r="K383" s="41">
        <f>tblCost[[#This Row],[TargetRequirements]]-tblCost[[#This Row],[CompletedRequirements]]</f>
        <v>6</v>
      </c>
      <c r="L383" s="41" t="b">
        <f>tblCost[[#This Row],[RemainingRequirements]]=0</f>
        <v>0</v>
      </c>
      <c r="M383" s="43">
        <f>IF(tblCost[[#This Row],[TargetRequirements]]=0,0,tblCost[[#This Row],[CompletedRequirements]]/tblCost[[#This Row],[TargetRequirements]])</f>
        <v>0</v>
      </c>
    </row>
    <row r="384" spans="1:13">
      <c r="A384" s="41" t="s">
        <v>4032</v>
      </c>
      <c r="B384" s="41" t="str">
        <f>_xlfn.TEXTAFTER(_xlfn.TEXTBEFORE(tblCost[[#This Row],[RequirementID]],".",-2),"cost.")</f>
        <v>building.outpost@3</v>
      </c>
      <c r="C384" s="41" t="str">
        <f>_xlfn.XLOOKUP(tblCost[[#This Row],[TargetID]],tblTargets[TargetID],tblTargets[DisplayName],"")</f>
        <v>Outpost Lv 3</v>
      </c>
      <c r="D384" s="41" t="str">
        <f>_xlfn.XLOOKUP(tblCost[[#This Row],[TargetID]],tblTargets[TargetID],tblTargets[TargetType],"")</f>
        <v>BUILDING</v>
      </c>
      <c r="E384" s="41" t="s">
        <v>709</v>
      </c>
      <c r="F384" s="62" t="str">
        <f>RIGHT(tblCost[[#This Row],[RequirementID]],1)</f>
        <v>1</v>
      </c>
      <c r="G384" s="41">
        <v>20</v>
      </c>
      <c r="H384" t="b">
        <f>COUNTIFS(tblCostChecklist[RequirementID],tblCost[[#This Row],[RequirementID]],tblCostChecklist[PlayerPaid],TRUE)&gt;0</f>
        <v>0</v>
      </c>
      <c r="I384" s="41">
        <f>COUNTIF(tblCost[TargetID],tblCost[[#This Row],[TargetID]])</f>
        <v>6</v>
      </c>
      <c r="J384" s="41">
        <f>COUNTIFS(tblCost[TargetID],tblCost[[#This Row],[TargetID]],tblCost[PlayerPaid],TRUE)</f>
        <v>0</v>
      </c>
      <c r="K384" s="41">
        <f>tblCost[[#This Row],[TargetRequirements]]-tblCost[[#This Row],[CompletedRequirements]]</f>
        <v>6</v>
      </c>
      <c r="L384" s="41" t="b">
        <f>tblCost[[#This Row],[RemainingRequirements]]=0</f>
        <v>0</v>
      </c>
      <c r="M384" s="43">
        <f>IF(tblCost[[#This Row],[TargetRequirements]]=0,0,tblCost[[#This Row],[CompletedRequirements]]/tblCost[[#This Row],[TargetRequirements]])</f>
        <v>0</v>
      </c>
    </row>
    <row r="385" spans="1:13">
      <c r="A385" s="41" t="s">
        <v>4033</v>
      </c>
      <c r="B385" s="41" t="str">
        <f>_xlfn.TEXTAFTER(_xlfn.TEXTBEFORE(tblCost[[#This Row],[RequirementID]],".",-2),"cost.")</f>
        <v>building.pagoda@1</v>
      </c>
      <c r="C385" s="41" t="str">
        <f>_xlfn.XLOOKUP(tblCost[[#This Row],[TargetID]],tblTargets[TargetID],tblTargets[DisplayName],"")</f>
        <v>Pagoda Lv 1</v>
      </c>
      <c r="D385" s="41" t="str">
        <f>_xlfn.XLOOKUP(tblCost[[#This Row],[TargetID]],tblTargets[TargetID],tblTargets[TargetType],"")</f>
        <v>BUILDING</v>
      </c>
      <c r="E385" s="41" t="s">
        <v>708</v>
      </c>
      <c r="F385" s="62" t="str">
        <f>RIGHT(tblCost[[#This Row],[RequirementID]],1)</f>
        <v>1</v>
      </c>
      <c r="G385" s="41">
        <v>1</v>
      </c>
      <c r="H385" t="b">
        <f>COUNTIFS(tblCostChecklist[RequirementID],tblCost[[#This Row],[RequirementID]],tblCostChecklist[PlayerPaid],TRUE)&gt;0</f>
        <v>0</v>
      </c>
      <c r="I385" s="41">
        <f>COUNTIF(tblCost[TargetID],tblCost[[#This Row],[TargetID]])</f>
        <v>5</v>
      </c>
      <c r="J385" s="41">
        <f>COUNTIFS(tblCost[TargetID],tblCost[[#This Row],[TargetID]],tblCost[PlayerPaid],TRUE)</f>
        <v>0</v>
      </c>
      <c r="K385" s="41">
        <f>tblCost[[#This Row],[TargetRequirements]]-tblCost[[#This Row],[CompletedRequirements]]</f>
        <v>5</v>
      </c>
      <c r="L385" s="41" t="b">
        <f>tblCost[[#This Row],[RemainingRequirements]]=0</f>
        <v>0</v>
      </c>
      <c r="M385" s="43">
        <f>IF(tblCost[[#This Row],[TargetRequirements]]=0,0,tblCost[[#This Row],[CompletedRequirements]]/tblCost[[#This Row],[TargetRequirements]])</f>
        <v>0</v>
      </c>
    </row>
    <row r="386" spans="1:13">
      <c r="A386" s="41" t="s">
        <v>4034</v>
      </c>
      <c r="B386" s="41" t="str">
        <f>_xlfn.TEXTAFTER(_xlfn.TEXTBEFORE(tblCost[[#This Row],[RequirementID]],".",-2),"cost.")</f>
        <v>building.pagoda@1</v>
      </c>
      <c r="C386" s="41" t="str">
        <f>_xlfn.XLOOKUP(tblCost[[#This Row],[TargetID]],tblTargets[TargetID],tblTargets[DisplayName],"")</f>
        <v>Pagoda Lv 1</v>
      </c>
      <c r="D386" s="41" t="str">
        <f>_xlfn.XLOOKUP(tblCost[[#This Row],[TargetID]],tblTargets[TargetID],tblTargets[TargetType],"")</f>
        <v>BUILDING</v>
      </c>
      <c r="E386" s="41" t="s">
        <v>666</v>
      </c>
      <c r="F386" s="62" t="str">
        <f>RIGHT(tblCost[[#This Row],[RequirementID]],1)</f>
        <v>1</v>
      </c>
      <c r="G386" s="41">
        <v>50</v>
      </c>
      <c r="H386" t="b">
        <f>COUNTIFS(tblCostChecklist[RequirementID],tblCost[[#This Row],[RequirementID]],tblCostChecklist[PlayerPaid],TRUE)&gt;0</f>
        <v>0</v>
      </c>
      <c r="I386" s="41">
        <f>COUNTIF(tblCost[TargetID],tblCost[[#This Row],[TargetID]])</f>
        <v>5</v>
      </c>
      <c r="J386" s="41">
        <f>COUNTIFS(tblCost[TargetID],tblCost[[#This Row],[TargetID]],tblCost[PlayerPaid],TRUE)</f>
        <v>0</v>
      </c>
      <c r="K386" s="41">
        <f>tblCost[[#This Row],[TargetRequirements]]-tblCost[[#This Row],[CompletedRequirements]]</f>
        <v>5</v>
      </c>
      <c r="L386" s="41" t="b">
        <f>tblCost[[#This Row],[RemainingRequirements]]=0</f>
        <v>0</v>
      </c>
      <c r="M386" s="43">
        <f>IF(tblCost[[#This Row],[TargetRequirements]]=0,0,tblCost[[#This Row],[CompletedRequirements]]/tblCost[[#This Row],[TargetRequirements]])</f>
        <v>0</v>
      </c>
    </row>
    <row r="387" spans="1:13">
      <c r="A387" s="41" t="s">
        <v>4035</v>
      </c>
      <c r="B387" s="41" t="str">
        <f>_xlfn.TEXTAFTER(_xlfn.TEXTBEFORE(tblCost[[#This Row],[RequirementID]],".",-2),"cost.")</f>
        <v>building.pagoda@1</v>
      </c>
      <c r="C387" s="41" t="str">
        <f>_xlfn.XLOOKUP(tblCost[[#This Row],[TargetID]],tblTargets[TargetID],tblTargets[DisplayName],"")</f>
        <v>Pagoda Lv 1</v>
      </c>
      <c r="D387" s="41" t="str">
        <f>_xlfn.XLOOKUP(tblCost[[#This Row],[TargetID]],tblTargets[TargetID],tblTargets[TargetType],"")</f>
        <v>BUILDING</v>
      </c>
      <c r="E387" s="41" t="s">
        <v>723</v>
      </c>
      <c r="F387" s="62" t="str">
        <f>RIGHT(tblCost[[#This Row],[RequirementID]],1)</f>
        <v>1</v>
      </c>
      <c r="G387" s="41">
        <v>50</v>
      </c>
      <c r="H387" t="b">
        <f>COUNTIFS(tblCostChecklist[RequirementID],tblCost[[#This Row],[RequirementID]],tblCostChecklist[PlayerPaid],TRUE)&gt;0</f>
        <v>0</v>
      </c>
      <c r="I387" s="41">
        <f>COUNTIF(tblCost[TargetID],tblCost[[#This Row],[TargetID]])</f>
        <v>5</v>
      </c>
      <c r="J387" s="41">
        <f>COUNTIFS(tblCost[TargetID],tblCost[[#This Row],[TargetID]],tblCost[PlayerPaid],TRUE)</f>
        <v>0</v>
      </c>
      <c r="K387" s="41">
        <f>tblCost[[#This Row],[TargetRequirements]]-tblCost[[#This Row],[CompletedRequirements]]</f>
        <v>5</v>
      </c>
      <c r="L387" s="41" t="b">
        <f>tblCost[[#This Row],[RemainingRequirements]]=0</f>
        <v>0</v>
      </c>
      <c r="M387" s="43">
        <f>IF(tblCost[[#This Row],[TargetRequirements]]=0,0,tblCost[[#This Row],[CompletedRequirements]]/tblCost[[#This Row],[TargetRequirements]])</f>
        <v>0</v>
      </c>
    </row>
    <row r="388" spans="1:13">
      <c r="A388" s="41" t="s">
        <v>4036</v>
      </c>
      <c r="B388" s="41" t="str">
        <f>_xlfn.TEXTAFTER(_xlfn.TEXTBEFORE(tblCost[[#This Row],[RequirementID]],".",-2),"cost.")</f>
        <v>building.pagoda@1</v>
      </c>
      <c r="C388" s="41" t="str">
        <f>_xlfn.XLOOKUP(tblCost[[#This Row],[TargetID]],tblTargets[TargetID],tblTargets[DisplayName],"")</f>
        <v>Pagoda Lv 1</v>
      </c>
      <c r="D388" s="41" t="str">
        <f>_xlfn.XLOOKUP(tblCost[[#This Row],[TargetID]],tblTargets[TargetID],tblTargets[TargetType],"")</f>
        <v>BUILDING</v>
      </c>
      <c r="E388" s="41" t="s">
        <v>717</v>
      </c>
      <c r="F388" s="62" t="str">
        <f>RIGHT(tblCost[[#This Row],[RequirementID]],1)</f>
        <v>1</v>
      </c>
      <c r="G388" s="41">
        <v>50</v>
      </c>
      <c r="H388" t="b">
        <f>COUNTIFS(tblCostChecklist[RequirementID],tblCost[[#This Row],[RequirementID]],tblCostChecklist[PlayerPaid],TRUE)&gt;0</f>
        <v>0</v>
      </c>
      <c r="I388" s="41">
        <f>COUNTIF(tblCost[TargetID],tblCost[[#This Row],[TargetID]])</f>
        <v>5</v>
      </c>
      <c r="J388" s="41">
        <f>COUNTIFS(tblCost[TargetID],tblCost[[#This Row],[TargetID]],tblCost[PlayerPaid],TRUE)</f>
        <v>0</v>
      </c>
      <c r="K388" s="41">
        <f>tblCost[[#This Row],[TargetRequirements]]-tblCost[[#This Row],[CompletedRequirements]]</f>
        <v>5</v>
      </c>
      <c r="L388" s="41" t="b">
        <f>tblCost[[#This Row],[RemainingRequirements]]=0</f>
        <v>0</v>
      </c>
      <c r="M388" s="43">
        <f>IF(tblCost[[#This Row],[TargetRequirements]]=0,0,tblCost[[#This Row],[CompletedRequirements]]/tblCost[[#This Row],[TargetRequirements]])</f>
        <v>0</v>
      </c>
    </row>
    <row r="389" spans="1:13">
      <c r="A389" s="41" t="s">
        <v>4037</v>
      </c>
      <c r="B389" s="41" t="str">
        <f>_xlfn.TEXTAFTER(_xlfn.TEXTBEFORE(tblCost[[#This Row],[RequirementID]],".",-2),"cost.")</f>
        <v>building.pagoda@1</v>
      </c>
      <c r="C389" s="41" t="str">
        <f>_xlfn.XLOOKUP(tblCost[[#This Row],[TargetID]],tblTargets[TargetID],tblTargets[DisplayName],"")</f>
        <v>Pagoda Lv 1</v>
      </c>
      <c r="D389" s="41" t="str">
        <f>_xlfn.XLOOKUP(tblCost[[#This Row],[TargetID]],tblTargets[TargetID],tblTargets[TargetType],"")</f>
        <v>BUILDING</v>
      </c>
      <c r="E389" s="41" t="s">
        <v>700</v>
      </c>
      <c r="F389" s="62" t="str">
        <f>RIGHT(tblCost[[#This Row],[RequirementID]],1)</f>
        <v>1</v>
      </c>
      <c r="G389" s="41">
        <v>5</v>
      </c>
      <c r="H389" t="b">
        <f>COUNTIFS(tblCostChecklist[RequirementID],tblCost[[#This Row],[RequirementID]],tblCostChecklist[PlayerPaid],TRUE)&gt;0</f>
        <v>0</v>
      </c>
      <c r="I389" s="41">
        <f>COUNTIF(tblCost[TargetID],tblCost[[#This Row],[TargetID]])</f>
        <v>5</v>
      </c>
      <c r="J389" s="41">
        <f>COUNTIFS(tblCost[TargetID],tblCost[[#This Row],[TargetID]],tblCost[PlayerPaid],TRUE)</f>
        <v>0</v>
      </c>
      <c r="K389" s="41">
        <f>tblCost[[#This Row],[TargetRequirements]]-tblCost[[#This Row],[CompletedRequirements]]</f>
        <v>5</v>
      </c>
      <c r="L389" s="41" t="b">
        <f>tblCost[[#This Row],[RemainingRequirements]]=0</f>
        <v>0</v>
      </c>
      <c r="M389" s="43">
        <f>IF(tblCost[[#This Row],[TargetRequirements]]=0,0,tblCost[[#This Row],[CompletedRequirements]]/tblCost[[#This Row],[TargetRequirements]])</f>
        <v>0</v>
      </c>
    </row>
    <row r="390" spans="1:13">
      <c r="A390" s="41" t="s">
        <v>4038</v>
      </c>
      <c r="B390" s="41" t="str">
        <f>_xlfn.TEXTAFTER(_xlfn.TEXTBEFORE(tblCost[[#This Row],[RequirementID]],".",-2),"cost.")</f>
        <v>building.pagoda@2</v>
      </c>
      <c r="C390" s="41" t="str">
        <f>_xlfn.XLOOKUP(tblCost[[#This Row],[TargetID]],tblTargets[TargetID],tblTargets[DisplayName],"")</f>
        <v>Pagoda Lv 2</v>
      </c>
      <c r="D390" s="41" t="str">
        <f>_xlfn.XLOOKUP(tblCost[[#This Row],[TargetID]],tblTargets[TargetID],tblTargets[TargetType],"")</f>
        <v>BUILDING</v>
      </c>
      <c r="E390" s="41" t="s">
        <v>708</v>
      </c>
      <c r="F390" s="62" t="str">
        <f>RIGHT(tblCost[[#This Row],[RequirementID]],1)</f>
        <v>1</v>
      </c>
      <c r="G390" s="41">
        <v>2</v>
      </c>
      <c r="H390" t="b">
        <f>COUNTIFS(tblCostChecklist[RequirementID],tblCost[[#This Row],[RequirementID]],tblCostChecklist[PlayerPaid],TRUE)&gt;0</f>
        <v>0</v>
      </c>
      <c r="I390" s="41">
        <f>COUNTIF(tblCost[TargetID],tblCost[[#This Row],[TargetID]])</f>
        <v>5</v>
      </c>
      <c r="J390" s="41">
        <f>COUNTIFS(tblCost[TargetID],tblCost[[#This Row],[TargetID]],tblCost[PlayerPaid],TRUE)</f>
        <v>0</v>
      </c>
      <c r="K390" s="41">
        <f>tblCost[[#This Row],[TargetRequirements]]-tblCost[[#This Row],[CompletedRequirements]]</f>
        <v>5</v>
      </c>
      <c r="L390" s="41" t="b">
        <f>tblCost[[#This Row],[RemainingRequirements]]=0</f>
        <v>0</v>
      </c>
      <c r="M390" s="43">
        <f>IF(tblCost[[#This Row],[TargetRequirements]]=0,0,tblCost[[#This Row],[CompletedRequirements]]/tblCost[[#This Row],[TargetRequirements]])</f>
        <v>0</v>
      </c>
    </row>
    <row r="391" spans="1:13">
      <c r="A391" s="41" t="s">
        <v>4039</v>
      </c>
      <c r="B391" s="41" t="str">
        <f>_xlfn.TEXTAFTER(_xlfn.TEXTBEFORE(tblCost[[#This Row],[RequirementID]],".",-2),"cost.")</f>
        <v>building.pagoda@2</v>
      </c>
      <c r="C391" s="41" t="str">
        <f>_xlfn.XLOOKUP(tblCost[[#This Row],[TargetID]],tblTargets[TargetID],tblTargets[DisplayName],"")</f>
        <v>Pagoda Lv 2</v>
      </c>
      <c r="D391" s="41" t="str">
        <f>_xlfn.XLOOKUP(tblCost[[#This Row],[TargetID]],tblTargets[TargetID],tblTargets[TargetType],"")</f>
        <v>BUILDING</v>
      </c>
      <c r="E391" s="41" t="s">
        <v>666</v>
      </c>
      <c r="F391" s="62" t="str">
        <f>RIGHT(tblCost[[#This Row],[RequirementID]],1)</f>
        <v>1</v>
      </c>
      <c r="G391" s="41">
        <v>200</v>
      </c>
      <c r="H391" t="b">
        <f>COUNTIFS(tblCostChecklist[RequirementID],tblCost[[#This Row],[RequirementID]],tblCostChecklist[PlayerPaid],TRUE)&gt;0</f>
        <v>0</v>
      </c>
      <c r="I391" s="41">
        <f>COUNTIF(tblCost[TargetID],tblCost[[#This Row],[TargetID]])</f>
        <v>5</v>
      </c>
      <c r="J391" s="41">
        <f>COUNTIFS(tblCost[TargetID],tblCost[[#This Row],[TargetID]],tblCost[PlayerPaid],TRUE)</f>
        <v>0</v>
      </c>
      <c r="K391" s="41">
        <f>tblCost[[#This Row],[TargetRequirements]]-tblCost[[#This Row],[CompletedRequirements]]</f>
        <v>5</v>
      </c>
      <c r="L391" s="41" t="b">
        <f>tblCost[[#This Row],[RemainingRequirements]]=0</f>
        <v>0</v>
      </c>
      <c r="M391" s="43">
        <f>IF(tblCost[[#This Row],[TargetRequirements]]=0,0,tblCost[[#This Row],[CompletedRequirements]]/tblCost[[#This Row],[TargetRequirements]])</f>
        <v>0</v>
      </c>
    </row>
    <row r="392" spans="1:13">
      <c r="A392" s="41" t="s">
        <v>4040</v>
      </c>
      <c r="B392" s="41" t="str">
        <f>_xlfn.TEXTAFTER(_xlfn.TEXTBEFORE(tblCost[[#This Row],[RequirementID]],".",-2),"cost.")</f>
        <v>building.pagoda@2</v>
      </c>
      <c r="C392" s="41" t="str">
        <f>_xlfn.XLOOKUP(tblCost[[#This Row],[TargetID]],tblTargets[TargetID],tblTargets[DisplayName],"")</f>
        <v>Pagoda Lv 2</v>
      </c>
      <c r="D392" s="41" t="str">
        <f>_xlfn.XLOOKUP(tblCost[[#This Row],[TargetID]],tblTargets[TargetID],tblTargets[TargetType],"")</f>
        <v>BUILDING</v>
      </c>
      <c r="E392" s="41" t="s">
        <v>723</v>
      </c>
      <c r="F392" s="62" t="str">
        <f>RIGHT(tblCost[[#This Row],[RequirementID]],1)</f>
        <v>1</v>
      </c>
      <c r="G392" s="41">
        <v>200</v>
      </c>
      <c r="H392" t="b">
        <f>COUNTIFS(tblCostChecklist[RequirementID],tblCost[[#This Row],[RequirementID]],tblCostChecklist[PlayerPaid],TRUE)&gt;0</f>
        <v>0</v>
      </c>
      <c r="I392" s="41">
        <f>COUNTIF(tblCost[TargetID],tblCost[[#This Row],[TargetID]])</f>
        <v>5</v>
      </c>
      <c r="J392" s="41">
        <f>COUNTIFS(tblCost[TargetID],tblCost[[#This Row],[TargetID]],tblCost[PlayerPaid],TRUE)</f>
        <v>0</v>
      </c>
      <c r="K392" s="41">
        <f>tblCost[[#This Row],[TargetRequirements]]-tblCost[[#This Row],[CompletedRequirements]]</f>
        <v>5</v>
      </c>
      <c r="L392" s="41" t="b">
        <f>tblCost[[#This Row],[RemainingRequirements]]=0</f>
        <v>0</v>
      </c>
      <c r="M392" s="43">
        <f>IF(tblCost[[#This Row],[TargetRequirements]]=0,0,tblCost[[#This Row],[CompletedRequirements]]/tblCost[[#This Row],[TargetRequirements]])</f>
        <v>0</v>
      </c>
    </row>
    <row r="393" spans="1:13">
      <c r="A393" s="41" t="s">
        <v>4041</v>
      </c>
      <c r="B393" s="41" t="str">
        <f>_xlfn.TEXTAFTER(_xlfn.TEXTBEFORE(tblCost[[#This Row],[RequirementID]],".",-2),"cost.")</f>
        <v>building.pagoda@2</v>
      </c>
      <c r="C393" s="41" t="str">
        <f>_xlfn.XLOOKUP(tblCost[[#This Row],[TargetID]],tblTargets[TargetID],tblTargets[DisplayName],"")</f>
        <v>Pagoda Lv 2</v>
      </c>
      <c r="D393" s="41" t="str">
        <f>_xlfn.XLOOKUP(tblCost[[#This Row],[TargetID]],tblTargets[TargetID],tblTargets[TargetType],"")</f>
        <v>BUILDING</v>
      </c>
      <c r="E393" s="41" t="s">
        <v>717</v>
      </c>
      <c r="F393" s="62" t="str">
        <f>RIGHT(tblCost[[#This Row],[RequirementID]],1)</f>
        <v>1</v>
      </c>
      <c r="G393" s="41">
        <v>200</v>
      </c>
      <c r="H393" t="b">
        <f>COUNTIFS(tblCostChecklist[RequirementID],tblCost[[#This Row],[RequirementID]],tblCostChecklist[PlayerPaid],TRUE)&gt;0</f>
        <v>0</v>
      </c>
      <c r="I393" s="41">
        <f>COUNTIF(tblCost[TargetID],tblCost[[#This Row],[TargetID]])</f>
        <v>5</v>
      </c>
      <c r="J393" s="41">
        <f>COUNTIFS(tblCost[TargetID],tblCost[[#This Row],[TargetID]],tblCost[PlayerPaid],TRUE)</f>
        <v>0</v>
      </c>
      <c r="K393" s="41">
        <f>tblCost[[#This Row],[TargetRequirements]]-tblCost[[#This Row],[CompletedRequirements]]</f>
        <v>5</v>
      </c>
      <c r="L393" s="41" t="b">
        <f>tblCost[[#This Row],[RemainingRequirements]]=0</f>
        <v>0</v>
      </c>
      <c r="M393" s="43">
        <f>IF(tblCost[[#This Row],[TargetRequirements]]=0,0,tblCost[[#This Row],[CompletedRequirements]]/tblCost[[#This Row],[TargetRequirements]])</f>
        <v>0</v>
      </c>
    </row>
    <row r="394" spans="1:13">
      <c r="A394" s="41" t="s">
        <v>4042</v>
      </c>
      <c r="B394" s="41" t="str">
        <f>_xlfn.TEXTAFTER(_xlfn.TEXTBEFORE(tblCost[[#This Row],[RequirementID]],".",-2),"cost.")</f>
        <v>building.pagoda@2</v>
      </c>
      <c r="C394" s="41" t="str">
        <f>_xlfn.XLOOKUP(tblCost[[#This Row],[TargetID]],tblTargets[TargetID],tblTargets[DisplayName],"")</f>
        <v>Pagoda Lv 2</v>
      </c>
      <c r="D394" s="41" t="str">
        <f>_xlfn.XLOOKUP(tblCost[[#This Row],[TargetID]],tblTargets[TargetID],tblTargets[TargetType],"")</f>
        <v>BUILDING</v>
      </c>
      <c r="E394" s="41" t="s">
        <v>664</v>
      </c>
      <c r="F394" s="62" t="str">
        <f>RIGHT(tblCost[[#This Row],[RequirementID]],1)</f>
        <v>1</v>
      </c>
      <c r="G394" s="41">
        <v>10</v>
      </c>
      <c r="H394" t="b">
        <f>COUNTIFS(tblCostChecklist[RequirementID],tblCost[[#This Row],[RequirementID]],tblCostChecklist[PlayerPaid],TRUE)&gt;0</f>
        <v>0</v>
      </c>
      <c r="I394" s="41">
        <f>COUNTIF(tblCost[TargetID],tblCost[[#This Row],[TargetID]])</f>
        <v>5</v>
      </c>
      <c r="J394" s="41">
        <f>COUNTIFS(tblCost[TargetID],tblCost[[#This Row],[TargetID]],tblCost[PlayerPaid],TRUE)</f>
        <v>0</v>
      </c>
      <c r="K394" s="41">
        <f>tblCost[[#This Row],[TargetRequirements]]-tblCost[[#This Row],[CompletedRequirements]]</f>
        <v>5</v>
      </c>
      <c r="L394" s="41" t="b">
        <f>tblCost[[#This Row],[RemainingRequirements]]=0</f>
        <v>0</v>
      </c>
      <c r="M394" s="43">
        <f>IF(tblCost[[#This Row],[TargetRequirements]]=0,0,tblCost[[#This Row],[CompletedRequirements]]/tblCost[[#This Row],[TargetRequirements]])</f>
        <v>0</v>
      </c>
    </row>
    <row r="395" spans="1:13">
      <c r="A395" s="41" t="s">
        <v>4043</v>
      </c>
      <c r="B395" s="41" t="str">
        <f>_xlfn.TEXTAFTER(_xlfn.TEXTBEFORE(tblCost[[#This Row],[RequirementID]],".",-2),"cost.")</f>
        <v>building.pagoda@3</v>
      </c>
      <c r="C395" s="41" t="str">
        <f>_xlfn.XLOOKUP(tblCost[[#This Row],[TargetID]],tblTargets[TargetID],tblTargets[DisplayName],"")</f>
        <v>Pagoda Lv 3</v>
      </c>
      <c r="D395" s="41" t="str">
        <f>_xlfn.XLOOKUP(tblCost[[#This Row],[TargetID]],tblTargets[TargetID],tblTargets[TargetType],"")</f>
        <v>BUILDING</v>
      </c>
      <c r="E395" s="41" t="s">
        <v>708</v>
      </c>
      <c r="F395" s="62" t="str">
        <f>RIGHT(tblCost[[#This Row],[RequirementID]],1)</f>
        <v>1</v>
      </c>
      <c r="G395" s="41">
        <v>4</v>
      </c>
      <c r="H395" t="b">
        <f>COUNTIFS(tblCostChecklist[RequirementID],tblCost[[#This Row],[RequirementID]],tblCostChecklist[PlayerPaid],TRUE)&gt;0</f>
        <v>0</v>
      </c>
      <c r="I395" s="41">
        <f>COUNTIF(tblCost[TargetID],tblCost[[#This Row],[TargetID]])</f>
        <v>5</v>
      </c>
      <c r="J395" s="41">
        <f>COUNTIFS(tblCost[TargetID],tblCost[[#This Row],[TargetID]],tblCost[PlayerPaid],TRUE)</f>
        <v>0</v>
      </c>
      <c r="K395" s="41">
        <f>tblCost[[#This Row],[TargetRequirements]]-tblCost[[#This Row],[CompletedRequirements]]</f>
        <v>5</v>
      </c>
      <c r="L395" s="41" t="b">
        <f>tblCost[[#This Row],[RemainingRequirements]]=0</f>
        <v>0</v>
      </c>
      <c r="M395" s="43">
        <f>IF(tblCost[[#This Row],[TargetRequirements]]=0,0,tblCost[[#This Row],[CompletedRequirements]]/tblCost[[#This Row],[TargetRequirements]])</f>
        <v>0</v>
      </c>
    </row>
    <row r="396" spans="1:13">
      <c r="A396" s="41" t="s">
        <v>4044</v>
      </c>
      <c r="B396" s="41" t="str">
        <f>_xlfn.TEXTAFTER(_xlfn.TEXTBEFORE(tblCost[[#This Row],[RequirementID]],".",-2),"cost.")</f>
        <v>building.pagoda@3</v>
      </c>
      <c r="C396" s="41" t="str">
        <f>_xlfn.XLOOKUP(tblCost[[#This Row],[TargetID]],tblTargets[TargetID],tblTargets[DisplayName],"")</f>
        <v>Pagoda Lv 3</v>
      </c>
      <c r="D396" s="41" t="str">
        <f>_xlfn.XLOOKUP(tblCost[[#This Row],[TargetID]],tblTargets[TargetID],tblTargets[TargetType],"")</f>
        <v>BUILDING</v>
      </c>
      <c r="E396" s="41" t="s">
        <v>666</v>
      </c>
      <c r="F396" s="62" t="str">
        <f>RIGHT(tblCost[[#This Row],[RequirementID]],1)</f>
        <v>1</v>
      </c>
      <c r="G396" s="41">
        <v>300</v>
      </c>
      <c r="H396" t="b">
        <f>COUNTIFS(tblCostChecklist[RequirementID],tblCost[[#This Row],[RequirementID]],tblCostChecklist[PlayerPaid],TRUE)&gt;0</f>
        <v>0</v>
      </c>
      <c r="I396" s="41">
        <f>COUNTIF(tblCost[TargetID],tblCost[[#This Row],[TargetID]])</f>
        <v>5</v>
      </c>
      <c r="J396" s="41">
        <f>COUNTIFS(tblCost[TargetID],tblCost[[#This Row],[TargetID]],tblCost[PlayerPaid],TRUE)</f>
        <v>0</v>
      </c>
      <c r="K396" s="41">
        <f>tblCost[[#This Row],[TargetRequirements]]-tblCost[[#This Row],[CompletedRequirements]]</f>
        <v>5</v>
      </c>
      <c r="L396" s="41" t="b">
        <f>tblCost[[#This Row],[RemainingRequirements]]=0</f>
        <v>0</v>
      </c>
      <c r="M396" s="43">
        <f>IF(tblCost[[#This Row],[TargetRequirements]]=0,0,tblCost[[#This Row],[CompletedRequirements]]/tblCost[[#This Row],[TargetRequirements]])</f>
        <v>0</v>
      </c>
    </row>
    <row r="397" spans="1:13">
      <c r="A397" s="41" t="s">
        <v>4045</v>
      </c>
      <c r="B397" s="41" t="str">
        <f>_xlfn.TEXTAFTER(_xlfn.TEXTBEFORE(tblCost[[#This Row],[RequirementID]],".",-2),"cost.")</f>
        <v>building.pagoda@3</v>
      </c>
      <c r="C397" s="41" t="str">
        <f>_xlfn.XLOOKUP(tblCost[[#This Row],[TargetID]],tblTargets[TargetID],tblTargets[DisplayName],"")</f>
        <v>Pagoda Lv 3</v>
      </c>
      <c r="D397" s="41" t="str">
        <f>_xlfn.XLOOKUP(tblCost[[#This Row],[TargetID]],tblTargets[TargetID],tblTargets[TargetType],"")</f>
        <v>BUILDING</v>
      </c>
      <c r="E397" s="41" t="s">
        <v>658</v>
      </c>
      <c r="F397" s="62" t="str">
        <f>RIGHT(tblCost[[#This Row],[RequirementID]],1)</f>
        <v>1</v>
      </c>
      <c r="G397" s="41">
        <v>600</v>
      </c>
      <c r="H397" t="b">
        <f>COUNTIFS(tblCostChecklist[RequirementID],tblCost[[#This Row],[RequirementID]],tblCostChecklist[PlayerPaid],TRUE)&gt;0</f>
        <v>0</v>
      </c>
      <c r="I397" s="41">
        <f>COUNTIF(tblCost[TargetID],tblCost[[#This Row],[TargetID]])</f>
        <v>5</v>
      </c>
      <c r="J397" s="41">
        <f>COUNTIFS(tblCost[TargetID],tblCost[[#This Row],[TargetID]],tblCost[PlayerPaid],TRUE)</f>
        <v>0</v>
      </c>
      <c r="K397" s="41">
        <f>tblCost[[#This Row],[TargetRequirements]]-tblCost[[#This Row],[CompletedRequirements]]</f>
        <v>5</v>
      </c>
      <c r="L397" s="41" t="b">
        <f>tblCost[[#This Row],[RemainingRequirements]]=0</f>
        <v>0</v>
      </c>
      <c r="M397" s="43">
        <f>IF(tblCost[[#This Row],[TargetRequirements]]=0,0,tblCost[[#This Row],[CompletedRequirements]]/tblCost[[#This Row],[TargetRequirements]])</f>
        <v>0</v>
      </c>
    </row>
    <row r="398" spans="1:13">
      <c r="A398" s="41" t="s">
        <v>4046</v>
      </c>
      <c r="B398" s="41" t="str">
        <f>_xlfn.TEXTAFTER(_xlfn.TEXTBEFORE(tblCost[[#This Row],[RequirementID]],".",-2),"cost.")</f>
        <v>building.pagoda@3</v>
      </c>
      <c r="C398" s="41" t="str">
        <f>_xlfn.XLOOKUP(tblCost[[#This Row],[TargetID]],tblTargets[TargetID],tblTargets[DisplayName],"")</f>
        <v>Pagoda Lv 3</v>
      </c>
      <c r="D398" s="41" t="str">
        <f>_xlfn.XLOOKUP(tblCost[[#This Row],[TargetID]],tblTargets[TargetID],tblTargets[TargetType],"")</f>
        <v>BUILDING</v>
      </c>
      <c r="E398" s="41" t="s">
        <v>717</v>
      </c>
      <c r="F398" s="62" t="str">
        <f>RIGHT(tblCost[[#This Row],[RequirementID]],1)</f>
        <v>1</v>
      </c>
      <c r="G398" s="41">
        <v>300</v>
      </c>
      <c r="H398" t="b">
        <f>COUNTIFS(tblCostChecklist[RequirementID],tblCost[[#This Row],[RequirementID]],tblCostChecklist[PlayerPaid],TRUE)&gt;0</f>
        <v>0</v>
      </c>
      <c r="I398" s="41">
        <f>COUNTIF(tblCost[TargetID],tblCost[[#This Row],[TargetID]])</f>
        <v>5</v>
      </c>
      <c r="J398" s="41">
        <f>COUNTIFS(tblCost[TargetID],tblCost[[#This Row],[TargetID]],tblCost[PlayerPaid],TRUE)</f>
        <v>0</v>
      </c>
      <c r="K398" s="41">
        <f>tblCost[[#This Row],[TargetRequirements]]-tblCost[[#This Row],[CompletedRequirements]]</f>
        <v>5</v>
      </c>
      <c r="L398" s="41" t="b">
        <f>tblCost[[#This Row],[RemainingRequirements]]=0</f>
        <v>0</v>
      </c>
      <c r="M398" s="43">
        <f>IF(tblCost[[#This Row],[TargetRequirements]]=0,0,tblCost[[#This Row],[CompletedRequirements]]/tblCost[[#This Row],[TargetRequirements]])</f>
        <v>0</v>
      </c>
    </row>
    <row r="399" spans="1:13">
      <c r="A399" s="41" t="s">
        <v>4047</v>
      </c>
      <c r="B399" s="41" t="str">
        <f>_xlfn.TEXTAFTER(_xlfn.TEXTBEFORE(tblCost[[#This Row],[RequirementID]],".",-2),"cost.")</f>
        <v>building.pagoda@3</v>
      </c>
      <c r="C399" s="41" t="str">
        <f>_xlfn.XLOOKUP(tblCost[[#This Row],[TargetID]],tblTargets[TargetID],tblTargets[DisplayName],"")</f>
        <v>Pagoda Lv 3</v>
      </c>
      <c r="D399" s="41" t="str">
        <f>_xlfn.XLOOKUP(tblCost[[#This Row],[TargetID]],tblTargets[TargetID],tblTargets[TargetType],"")</f>
        <v>BUILDING</v>
      </c>
      <c r="E399" s="41" t="s">
        <v>716</v>
      </c>
      <c r="F399" s="62" t="str">
        <f>RIGHT(tblCost[[#This Row],[RequirementID]],1)</f>
        <v>1</v>
      </c>
      <c r="G399" s="41">
        <v>50</v>
      </c>
      <c r="H399" t="b">
        <f>COUNTIFS(tblCostChecklist[RequirementID],tblCost[[#This Row],[RequirementID]],tblCostChecklist[PlayerPaid],TRUE)&gt;0</f>
        <v>0</v>
      </c>
      <c r="I399" s="41">
        <f>COUNTIF(tblCost[TargetID],tblCost[[#This Row],[TargetID]])</f>
        <v>5</v>
      </c>
      <c r="J399" s="41">
        <f>COUNTIFS(tblCost[TargetID],tblCost[[#This Row],[TargetID]],tblCost[PlayerPaid],TRUE)</f>
        <v>0</v>
      </c>
      <c r="K399" s="41">
        <f>tblCost[[#This Row],[TargetRequirements]]-tblCost[[#This Row],[CompletedRequirements]]</f>
        <v>5</v>
      </c>
      <c r="L399" s="41" t="b">
        <f>tblCost[[#This Row],[RemainingRequirements]]=0</f>
        <v>0</v>
      </c>
      <c r="M399" s="43">
        <f>IF(tblCost[[#This Row],[TargetRequirements]]=0,0,tblCost[[#This Row],[CompletedRequirements]]/tblCost[[#This Row],[TargetRequirements]])</f>
        <v>0</v>
      </c>
    </row>
    <row r="400" spans="1:13">
      <c r="A400" s="41" t="s">
        <v>4048</v>
      </c>
      <c r="B400" s="41" t="str">
        <f>_xlfn.TEXTAFTER(_xlfn.TEXTBEFORE(tblCost[[#This Row],[RequirementID]],".",-2),"cost.")</f>
        <v>building.pagoda@4</v>
      </c>
      <c r="C400" s="41" t="str">
        <f>_xlfn.XLOOKUP(tblCost[[#This Row],[TargetID]],tblTargets[TargetID],tblTargets[DisplayName],"")</f>
        <v>Pagoda Lv 4</v>
      </c>
      <c r="D400" s="41" t="str">
        <f>_xlfn.XLOOKUP(tblCost[[#This Row],[TargetID]],tblTargets[TargetID],tblTargets[TargetType],"")</f>
        <v>BUILDING</v>
      </c>
      <c r="E400" s="41" t="s">
        <v>708</v>
      </c>
      <c r="F400" s="62" t="str">
        <f>RIGHT(tblCost[[#This Row],[RequirementID]],1)</f>
        <v>1</v>
      </c>
      <c r="G400" s="41">
        <v>6</v>
      </c>
      <c r="H400" t="b">
        <f>COUNTIFS(tblCostChecklist[RequirementID],tblCost[[#This Row],[RequirementID]],tblCostChecklist[PlayerPaid],TRUE)&gt;0</f>
        <v>0</v>
      </c>
      <c r="I400" s="41">
        <f>COUNTIF(tblCost[TargetID],tblCost[[#This Row],[TargetID]])</f>
        <v>5</v>
      </c>
      <c r="J400" s="41">
        <f>COUNTIFS(tblCost[TargetID],tblCost[[#This Row],[TargetID]],tblCost[PlayerPaid],TRUE)</f>
        <v>0</v>
      </c>
      <c r="K400" s="41">
        <f>tblCost[[#This Row],[TargetRequirements]]-tblCost[[#This Row],[CompletedRequirements]]</f>
        <v>5</v>
      </c>
      <c r="L400" s="41" t="b">
        <f>tblCost[[#This Row],[RemainingRequirements]]=0</f>
        <v>0</v>
      </c>
      <c r="M400" s="43">
        <f>IF(tblCost[[#This Row],[TargetRequirements]]=0,0,tblCost[[#This Row],[CompletedRequirements]]/tblCost[[#This Row],[TargetRequirements]])</f>
        <v>0</v>
      </c>
    </row>
    <row r="401" spans="1:13">
      <c r="A401" s="41" t="s">
        <v>4049</v>
      </c>
      <c r="B401" s="41" t="str">
        <f>_xlfn.TEXTAFTER(_xlfn.TEXTBEFORE(tblCost[[#This Row],[RequirementID]],".",-2),"cost.")</f>
        <v>building.pagoda@4</v>
      </c>
      <c r="C401" s="41" t="str">
        <f>_xlfn.XLOOKUP(tblCost[[#This Row],[TargetID]],tblTargets[TargetID],tblTargets[DisplayName],"")</f>
        <v>Pagoda Lv 4</v>
      </c>
      <c r="D401" s="41" t="str">
        <f>_xlfn.XLOOKUP(tblCost[[#This Row],[TargetID]],tblTargets[TargetID],tblTargets[TargetType],"")</f>
        <v>BUILDING</v>
      </c>
      <c r="E401" s="41" t="s">
        <v>666</v>
      </c>
      <c r="F401" s="62" t="str">
        <f>RIGHT(tblCost[[#This Row],[RequirementID]],1)</f>
        <v>1</v>
      </c>
      <c r="G401" s="41">
        <v>350</v>
      </c>
      <c r="H401" t="b">
        <f>COUNTIFS(tblCostChecklist[RequirementID],tblCost[[#This Row],[RequirementID]],tblCostChecklist[PlayerPaid],TRUE)&gt;0</f>
        <v>0</v>
      </c>
      <c r="I401" s="41">
        <f>COUNTIF(tblCost[TargetID],tblCost[[#This Row],[TargetID]])</f>
        <v>5</v>
      </c>
      <c r="J401" s="41">
        <f>COUNTIFS(tblCost[TargetID],tblCost[[#This Row],[TargetID]],tblCost[PlayerPaid],TRUE)</f>
        <v>0</v>
      </c>
      <c r="K401" s="41">
        <f>tblCost[[#This Row],[TargetRequirements]]-tblCost[[#This Row],[CompletedRequirements]]</f>
        <v>5</v>
      </c>
      <c r="L401" s="41" t="b">
        <f>tblCost[[#This Row],[RemainingRequirements]]=0</f>
        <v>0</v>
      </c>
      <c r="M401" s="43">
        <f>IF(tblCost[[#This Row],[TargetRequirements]]=0,0,tblCost[[#This Row],[CompletedRequirements]]/tblCost[[#This Row],[TargetRequirements]])</f>
        <v>0</v>
      </c>
    </row>
    <row r="402" spans="1:13">
      <c r="A402" s="41" t="s">
        <v>4050</v>
      </c>
      <c r="B402" s="41" t="str">
        <f>_xlfn.TEXTAFTER(_xlfn.TEXTBEFORE(tblCost[[#This Row],[RequirementID]],".",-2),"cost.")</f>
        <v>building.pagoda@4</v>
      </c>
      <c r="C402" s="41" t="str">
        <f>_xlfn.XLOOKUP(tblCost[[#This Row],[TargetID]],tblTargets[TargetID],tblTargets[DisplayName],"")</f>
        <v>Pagoda Lv 4</v>
      </c>
      <c r="D402" s="41" t="str">
        <f>_xlfn.XLOOKUP(tblCost[[#This Row],[TargetID]],tblTargets[TargetID],tblTargets[TargetType],"")</f>
        <v>BUILDING</v>
      </c>
      <c r="E402" s="41" t="s">
        <v>658</v>
      </c>
      <c r="F402" s="62" t="str">
        <f>RIGHT(tblCost[[#This Row],[RequirementID]],1)</f>
        <v>1</v>
      </c>
      <c r="G402" s="41">
        <v>700</v>
      </c>
      <c r="H402" t="b">
        <f>COUNTIFS(tblCostChecklist[RequirementID],tblCost[[#This Row],[RequirementID]],tblCostChecklist[PlayerPaid],TRUE)&gt;0</f>
        <v>0</v>
      </c>
      <c r="I402" s="41">
        <f>COUNTIF(tblCost[TargetID],tblCost[[#This Row],[TargetID]])</f>
        <v>5</v>
      </c>
      <c r="J402" s="41">
        <f>COUNTIFS(tblCost[TargetID],tblCost[[#This Row],[TargetID]],tblCost[PlayerPaid],TRUE)</f>
        <v>0</v>
      </c>
      <c r="K402" s="41">
        <f>tblCost[[#This Row],[TargetRequirements]]-tblCost[[#This Row],[CompletedRequirements]]</f>
        <v>5</v>
      </c>
      <c r="L402" s="41" t="b">
        <f>tblCost[[#This Row],[RemainingRequirements]]=0</f>
        <v>0</v>
      </c>
      <c r="M402" s="43">
        <f>IF(tblCost[[#This Row],[TargetRequirements]]=0,0,tblCost[[#This Row],[CompletedRequirements]]/tblCost[[#This Row],[TargetRequirements]])</f>
        <v>0</v>
      </c>
    </row>
    <row r="403" spans="1:13">
      <c r="A403" s="41" t="s">
        <v>4051</v>
      </c>
      <c r="B403" s="41" t="str">
        <f>_xlfn.TEXTAFTER(_xlfn.TEXTBEFORE(tblCost[[#This Row],[RequirementID]],".",-2),"cost.")</f>
        <v>building.pagoda@4</v>
      </c>
      <c r="C403" s="41" t="str">
        <f>_xlfn.XLOOKUP(tblCost[[#This Row],[TargetID]],tblTargets[TargetID],tblTargets[DisplayName],"")</f>
        <v>Pagoda Lv 4</v>
      </c>
      <c r="D403" s="41" t="str">
        <f>_xlfn.XLOOKUP(tblCost[[#This Row],[TargetID]],tblTargets[TargetID],tblTargets[TargetType],"")</f>
        <v>BUILDING</v>
      </c>
      <c r="E403" s="41" t="s">
        <v>717</v>
      </c>
      <c r="F403" s="62" t="str">
        <f>RIGHT(tblCost[[#This Row],[RequirementID]],1)</f>
        <v>1</v>
      </c>
      <c r="G403" s="41">
        <v>350</v>
      </c>
      <c r="H403" t="b">
        <f>COUNTIFS(tblCostChecklist[RequirementID],tblCost[[#This Row],[RequirementID]],tblCostChecklist[PlayerPaid],TRUE)&gt;0</f>
        <v>0</v>
      </c>
      <c r="I403" s="41">
        <f>COUNTIF(tblCost[TargetID],tblCost[[#This Row],[TargetID]])</f>
        <v>5</v>
      </c>
      <c r="J403" s="41">
        <f>COUNTIFS(tblCost[TargetID],tblCost[[#This Row],[TargetID]],tblCost[PlayerPaid],TRUE)</f>
        <v>0</v>
      </c>
      <c r="K403" s="41">
        <f>tblCost[[#This Row],[TargetRequirements]]-tblCost[[#This Row],[CompletedRequirements]]</f>
        <v>5</v>
      </c>
      <c r="L403" s="41" t="b">
        <f>tblCost[[#This Row],[RemainingRequirements]]=0</f>
        <v>0</v>
      </c>
      <c r="M403" s="43">
        <f>IF(tblCost[[#This Row],[TargetRequirements]]=0,0,tblCost[[#This Row],[CompletedRequirements]]/tblCost[[#This Row],[TargetRequirements]])</f>
        <v>0</v>
      </c>
    </row>
    <row r="404" spans="1:13">
      <c r="A404" s="41" t="s">
        <v>4052</v>
      </c>
      <c r="B404" s="41" t="str">
        <f>_xlfn.TEXTAFTER(_xlfn.TEXTBEFORE(tblCost[[#This Row],[RequirementID]],".",-2),"cost.")</f>
        <v>building.pagoda@4</v>
      </c>
      <c r="C404" s="41" t="str">
        <f>_xlfn.XLOOKUP(tblCost[[#This Row],[TargetID]],tblTargets[TargetID],tblTargets[DisplayName],"")</f>
        <v>Pagoda Lv 4</v>
      </c>
      <c r="D404" s="41" t="str">
        <f>_xlfn.XLOOKUP(tblCost[[#This Row],[TargetID]],tblTargets[TargetID],tblTargets[TargetType],"")</f>
        <v>BUILDING</v>
      </c>
      <c r="E404" s="41" t="s">
        <v>671</v>
      </c>
      <c r="F404" s="62" t="str">
        <f>RIGHT(tblCost[[#This Row],[RequirementID]],1)</f>
        <v>1</v>
      </c>
      <c r="G404" s="41">
        <v>30</v>
      </c>
      <c r="H404" t="b">
        <f>COUNTIFS(tblCostChecklist[RequirementID],tblCost[[#This Row],[RequirementID]],tblCostChecklist[PlayerPaid],TRUE)&gt;0</f>
        <v>0</v>
      </c>
      <c r="I404" s="41">
        <f>COUNTIF(tblCost[TargetID],tblCost[[#This Row],[TargetID]])</f>
        <v>5</v>
      </c>
      <c r="J404" s="41">
        <f>COUNTIFS(tblCost[TargetID],tblCost[[#This Row],[TargetID]],tblCost[PlayerPaid],TRUE)</f>
        <v>0</v>
      </c>
      <c r="K404" s="41">
        <f>tblCost[[#This Row],[TargetRequirements]]-tblCost[[#This Row],[CompletedRequirements]]</f>
        <v>5</v>
      </c>
      <c r="L404" s="41" t="b">
        <f>tblCost[[#This Row],[RemainingRequirements]]=0</f>
        <v>0</v>
      </c>
      <c r="M404" s="43">
        <f>IF(tblCost[[#This Row],[TargetRequirements]]=0,0,tblCost[[#This Row],[CompletedRequirements]]/tblCost[[#This Row],[TargetRequirements]])</f>
        <v>0</v>
      </c>
    </row>
    <row r="405" spans="1:13">
      <c r="A405" s="41" t="s">
        <v>4053</v>
      </c>
      <c r="B405" s="41" t="str">
        <f>_xlfn.TEXTAFTER(_xlfn.TEXTBEFORE(tblCost[[#This Row],[RequirementID]],".",-2),"cost.")</f>
        <v>building.pagoda@5</v>
      </c>
      <c r="C405" s="41" t="str">
        <f>_xlfn.XLOOKUP(tblCost[[#This Row],[TargetID]],tblTargets[TargetID],tblTargets[DisplayName],"")</f>
        <v>Pagoda Lv 5</v>
      </c>
      <c r="D405" s="41" t="str">
        <f>_xlfn.XLOOKUP(tblCost[[#This Row],[TargetID]],tblTargets[TargetID],tblTargets[TargetType],"")</f>
        <v>BUILDING</v>
      </c>
      <c r="E405" s="41" t="s">
        <v>708</v>
      </c>
      <c r="F405" s="62" t="str">
        <f>RIGHT(tblCost[[#This Row],[RequirementID]],1)</f>
        <v>1</v>
      </c>
      <c r="G405" s="41">
        <v>8</v>
      </c>
      <c r="H405" t="b">
        <f>COUNTIFS(tblCostChecklist[RequirementID],tblCost[[#This Row],[RequirementID]],tblCostChecklist[PlayerPaid],TRUE)&gt;0</f>
        <v>0</v>
      </c>
      <c r="I405" s="41">
        <f>COUNTIF(tblCost[TargetID],tblCost[[#This Row],[TargetID]])</f>
        <v>5</v>
      </c>
      <c r="J405" s="41">
        <f>COUNTIFS(tblCost[TargetID],tblCost[[#This Row],[TargetID]],tblCost[PlayerPaid],TRUE)</f>
        <v>0</v>
      </c>
      <c r="K405" s="41">
        <f>tblCost[[#This Row],[TargetRequirements]]-tblCost[[#This Row],[CompletedRequirements]]</f>
        <v>5</v>
      </c>
      <c r="L405" s="41" t="b">
        <f>tblCost[[#This Row],[RemainingRequirements]]=0</f>
        <v>0</v>
      </c>
      <c r="M405" s="43">
        <f>IF(tblCost[[#This Row],[TargetRequirements]]=0,0,tblCost[[#This Row],[CompletedRequirements]]/tblCost[[#This Row],[TargetRequirements]])</f>
        <v>0</v>
      </c>
    </row>
    <row r="406" spans="1:13">
      <c r="A406" s="41" t="s">
        <v>4054</v>
      </c>
      <c r="B406" s="41" t="str">
        <f>_xlfn.TEXTAFTER(_xlfn.TEXTBEFORE(tblCost[[#This Row],[RequirementID]],".",-2),"cost.")</f>
        <v>building.pagoda@5</v>
      </c>
      <c r="C406" s="41" t="str">
        <f>_xlfn.XLOOKUP(tblCost[[#This Row],[TargetID]],tblTargets[TargetID],tblTargets[DisplayName],"")</f>
        <v>Pagoda Lv 5</v>
      </c>
      <c r="D406" s="41" t="str">
        <f>_xlfn.XLOOKUP(tblCost[[#This Row],[TargetID]],tblTargets[TargetID],tblTargets[TargetType],"")</f>
        <v>BUILDING</v>
      </c>
      <c r="E406" s="41" t="s">
        <v>666</v>
      </c>
      <c r="F406" s="62" t="str">
        <f>RIGHT(tblCost[[#This Row],[RequirementID]],1)</f>
        <v>1</v>
      </c>
      <c r="G406" s="41">
        <v>400</v>
      </c>
      <c r="H406" t="b">
        <f>COUNTIFS(tblCostChecklist[RequirementID],tblCost[[#This Row],[RequirementID]],tblCostChecklist[PlayerPaid],TRUE)&gt;0</f>
        <v>0</v>
      </c>
      <c r="I406" s="41">
        <f>COUNTIF(tblCost[TargetID],tblCost[[#This Row],[TargetID]])</f>
        <v>5</v>
      </c>
      <c r="J406" s="41">
        <f>COUNTIFS(tblCost[TargetID],tblCost[[#This Row],[TargetID]],tblCost[PlayerPaid],TRUE)</f>
        <v>0</v>
      </c>
      <c r="K406" s="41">
        <f>tblCost[[#This Row],[TargetRequirements]]-tblCost[[#This Row],[CompletedRequirements]]</f>
        <v>5</v>
      </c>
      <c r="L406" s="41" t="b">
        <f>tblCost[[#This Row],[RemainingRequirements]]=0</f>
        <v>0</v>
      </c>
      <c r="M406" s="43">
        <f>IF(tblCost[[#This Row],[TargetRequirements]]=0,0,tblCost[[#This Row],[CompletedRequirements]]/tblCost[[#This Row],[TargetRequirements]])</f>
        <v>0</v>
      </c>
    </row>
    <row r="407" spans="1:13">
      <c r="A407" s="41" t="s">
        <v>4055</v>
      </c>
      <c r="B407" s="41" t="str">
        <f>_xlfn.TEXTAFTER(_xlfn.TEXTBEFORE(tblCost[[#This Row],[RequirementID]],".",-2),"cost.")</f>
        <v>building.pagoda@5</v>
      </c>
      <c r="C407" s="41" t="str">
        <f>_xlfn.XLOOKUP(tblCost[[#This Row],[TargetID]],tblTargets[TargetID],tblTargets[DisplayName],"")</f>
        <v>Pagoda Lv 5</v>
      </c>
      <c r="D407" s="41" t="str">
        <f>_xlfn.XLOOKUP(tblCost[[#This Row],[TargetID]],tblTargets[TargetID],tblTargets[TargetType],"")</f>
        <v>BUILDING</v>
      </c>
      <c r="E407" s="41" t="s">
        <v>658</v>
      </c>
      <c r="F407" s="62" t="str">
        <f>RIGHT(tblCost[[#This Row],[RequirementID]],1)</f>
        <v>1</v>
      </c>
      <c r="G407" s="41">
        <v>800</v>
      </c>
      <c r="H407" t="b">
        <f>COUNTIFS(tblCostChecklist[RequirementID],tblCost[[#This Row],[RequirementID]],tblCostChecklist[PlayerPaid],TRUE)&gt;0</f>
        <v>0</v>
      </c>
      <c r="I407" s="41">
        <f>COUNTIF(tblCost[TargetID],tblCost[[#This Row],[TargetID]])</f>
        <v>5</v>
      </c>
      <c r="J407" s="41">
        <f>COUNTIFS(tblCost[TargetID],tblCost[[#This Row],[TargetID]],tblCost[PlayerPaid],TRUE)</f>
        <v>0</v>
      </c>
      <c r="K407" s="41">
        <f>tblCost[[#This Row],[TargetRequirements]]-tblCost[[#This Row],[CompletedRequirements]]</f>
        <v>5</v>
      </c>
      <c r="L407" s="41" t="b">
        <f>tblCost[[#This Row],[RemainingRequirements]]=0</f>
        <v>0</v>
      </c>
      <c r="M407" s="43">
        <f>IF(tblCost[[#This Row],[TargetRequirements]]=0,0,tblCost[[#This Row],[CompletedRequirements]]/tblCost[[#This Row],[TargetRequirements]])</f>
        <v>0</v>
      </c>
    </row>
    <row r="408" spans="1:13">
      <c r="A408" s="41" t="s">
        <v>4056</v>
      </c>
      <c r="B408" s="41" t="str">
        <f>_xlfn.TEXTAFTER(_xlfn.TEXTBEFORE(tblCost[[#This Row],[RequirementID]],".",-2),"cost.")</f>
        <v>building.pagoda@5</v>
      </c>
      <c r="C408" s="41" t="str">
        <f>_xlfn.XLOOKUP(tblCost[[#This Row],[TargetID]],tblTargets[TargetID],tblTargets[DisplayName],"")</f>
        <v>Pagoda Lv 5</v>
      </c>
      <c r="D408" s="41" t="str">
        <f>_xlfn.XLOOKUP(tblCost[[#This Row],[TargetID]],tblTargets[TargetID],tblTargets[TargetType],"")</f>
        <v>BUILDING</v>
      </c>
      <c r="E408" s="41" t="s">
        <v>717</v>
      </c>
      <c r="F408" s="62" t="str">
        <f>RIGHT(tblCost[[#This Row],[RequirementID]],1)</f>
        <v>1</v>
      </c>
      <c r="G408" s="41">
        <v>400</v>
      </c>
      <c r="H408" t="b">
        <f>COUNTIFS(tblCostChecklist[RequirementID],tblCost[[#This Row],[RequirementID]],tblCostChecklist[PlayerPaid],TRUE)&gt;0</f>
        <v>0</v>
      </c>
      <c r="I408" s="41">
        <f>COUNTIF(tblCost[TargetID],tblCost[[#This Row],[TargetID]])</f>
        <v>5</v>
      </c>
      <c r="J408" s="41">
        <f>COUNTIFS(tblCost[TargetID],tblCost[[#This Row],[TargetID]],tblCost[PlayerPaid],TRUE)</f>
        <v>0</v>
      </c>
      <c r="K408" s="41">
        <f>tblCost[[#This Row],[TargetRequirements]]-tblCost[[#This Row],[CompletedRequirements]]</f>
        <v>5</v>
      </c>
      <c r="L408" s="41" t="b">
        <f>tblCost[[#This Row],[RemainingRequirements]]=0</f>
        <v>0</v>
      </c>
      <c r="M408" s="43">
        <f>IF(tblCost[[#This Row],[TargetRequirements]]=0,0,tblCost[[#This Row],[CompletedRequirements]]/tblCost[[#This Row],[TargetRequirements]])</f>
        <v>0</v>
      </c>
    </row>
    <row r="409" spans="1:13">
      <c r="A409" s="41" t="s">
        <v>4057</v>
      </c>
      <c r="B409" s="41" t="str">
        <f>_xlfn.TEXTAFTER(_xlfn.TEXTBEFORE(tblCost[[#This Row],[RequirementID]],".",-2),"cost.")</f>
        <v>building.pagoda@5</v>
      </c>
      <c r="C409" s="41" t="str">
        <f>_xlfn.XLOOKUP(tblCost[[#This Row],[TargetID]],tblTargets[TargetID],tblTargets[DisplayName],"")</f>
        <v>Pagoda Lv 5</v>
      </c>
      <c r="D409" s="41" t="str">
        <f>_xlfn.XLOOKUP(tblCost[[#This Row],[TargetID]],tblTargets[TargetID],tblTargets[TargetType],"")</f>
        <v>BUILDING</v>
      </c>
      <c r="E409" s="41" t="s">
        <v>681</v>
      </c>
      <c r="F409" s="62" t="str">
        <f>RIGHT(tblCost[[#This Row],[RequirementID]],1)</f>
        <v>1</v>
      </c>
      <c r="G409" s="41">
        <v>30</v>
      </c>
      <c r="H409" t="b">
        <f>COUNTIFS(tblCostChecklist[RequirementID],tblCost[[#This Row],[RequirementID]],tblCostChecklist[PlayerPaid],TRUE)&gt;0</f>
        <v>0</v>
      </c>
      <c r="I409" s="41">
        <f>COUNTIF(tblCost[TargetID],tblCost[[#This Row],[TargetID]])</f>
        <v>5</v>
      </c>
      <c r="J409" s="41">
        <f>COUNTIFS(tblCost[TargetID],tblCost[[#This Row],[TargetID]],tblCost[PlayerPaid],TRUE)</f>
        <v>0</v>
      </c>
      <c r="K409" s="41">
        <f>tblCost[[#This Row],[TargetRequirements]]-tblCost[[#This Row],[CompletedRequirements]]</f>
        <v>5</v>
      </c>
      <c r="L409" s="41" t="b">
        <f>tblCost[[#This Row],[RemainingRequirements]]=0</f>
        <v>0</v>
      </c>
      <c r="M409" s="43">
        <f>IF(tblCost[[#This Row],[TargetRequirements]]=0,0,tblCost[[#This Row],[CompletedRequirements]]/tblCost[[#This Row],[TargetRequirements]])</f>
        <v>0</v>
      </c>
    </row>
    <row r="410" spans="1:13">
      <c r="A410" s="41" t="s">
        <v>4058</v>
      </c>
      <c r="B410" s="41" t="str">
        <f>_xlfn.TEXTAFTER(_xlfn.TEXTBEFORE(tblCost[[#This Row],[RequirementID]],".",-2),"cost.")</f>
        <v>building.pagoda@6</v>
      </c>
      <c r="C410" s="41" t="str">
        <f>_xlfn.XLOOKUP(tblCost[[#This Row],[TargetID]],tblTargets[TargetID],tblTargets[DisplayName],"")</f>
        <v>Pagoda Lv 6</v>
      </c>
      <c r="D410" s="41" t="str">
        <f>_xlfn.XLOOKUP(tblCost[[#This Row],[TargetID]],tblTargets[TargetID],tblTargets[TargetType],"")</f>
        <v>BUILDING</v>
      </c>
      <c r="E410" s="41" t="s">
        <v>708</v>
      </c>
      <c r="F410" s="62" t="str">
        <f>RIGHT(tblCost[[#This Row],[RequirementID]],1)</f>
        <v>1</v>
      </c>
      <c r="G410" s="41">
        <v>10</v>
      </c>
      <c r="H410" t="b">
        <f>COUNTIFS(tblCostChecklist[RequirementID],tblCost[[#This Row],[RequirementID]],tblCostChecklist[PlayerPaid],TRUE)&gt;0</f>
        <v>0</v>
      </c>
      <c r="I410" s="41">
        <f>COUNTIF(tblCost[TargetID],tblCost[[#This Row],[TargetID]])</f>
        <v>6</v>
      </c>
      <c r="J410" s="41">
        <f>COUNTIFS(tblCost[TargetID],tblCost[[#This Row],[TargetID]],tblCost[PlayerPaid],TRUE)</f>
        <v>0</v>
      </c>
      <c r="K410" s="41">
        <f>tblCost[[#This Row],[TargetRequirements]]-tblCost[[#This Row],[CompletedRequirements]]</f>
        <v>6</v>
      </c>
      <c r="L410" s="41" t="b">
        <f>tblCost[[#This Row],[RemainingRequirements]]=0</f>
        <v>0</v>
      </c>
      <c r="M410" s="43">
        <f>IF(tblCost[[#This Row],[TargetRequirements]]=0,0,tblCost[[#This Row],[CompletedRequirements]]/tblCost[[#This Row],[TargetRequirements]])</f>
        <v>0</v>
      </c>
    </row>
    <row r="411" spans="1:13">
      <c r="A411" s="41" t="s">
        <v>4059</v>
      </c>
      <c r="B411" s="41" t="str">
        <f>_xlfn.TEXTAFTER(_xlfn.TEXTBEFORE(tblCost[[#This Row],[RequirementID]],".",-2),"cost.")</f>
        <v>building.pagoda@6</v>
      </c>
      <c r="C411" s="41" t="str">
        <f>_xlfn.XLOOKUP(tblCost[[#This Row],[TargetID]],tblTargets[TargetID],tblTargets[DisplayName],"")</f>
        <v>Pagoda Lv 6</v>
      </c>
      <c r="D411" s="41" t="str">
        <f>_xlfn.XLOOKUP(tblCost[[#This Row],[TargetID]],tblTargets[TargetID],tblTargets[TargetType],"")</f>
        <v>BUILDING</v>
      </c>
      <c r="E411" s="41" t="s">
        <v>666</v>
      </c>
      <c r="F411" s="62" t="str">
        <f>RIGHT(tblCost[[#This Row],[RequirementID]],1)</f>
        <v>1</v>
      </c>
      <c r="G411" s="41">
        <v>450</v>
      </c>
      <c r="H411" t="b">
        <f>COUNTIFS(tblCostChecklist[RequirementID],tblCost[[#This Row],[RequirementID]],tblCostChecklist[PlayerPaid],TRUE)&gt;0</f>
        <v>0</v>
      </c>
      <c r="I411" s="41">
        <f>COUNTIF(tblCost[TargetID],tblCost[[#This Row],[TargetID]])</f>
        <v>6</v>
      </c>
      <c r="J411" s="41">
        <f>COUNTIFS(tblCost[TargetID],tblCost[[#This Row],[TargetID]],tblCost[PlayerPaid],TRUE)</f>
        <v>0</v>
      </c>
      <c r="K411" s="41">
        <f>tblCost[[#This Row],[TargetRequirements]]-tblCost[[#This Row],[CompletedRequirements]]</f>
        <v>6</v>
      </c>
      <c r="L411" s="41" t="b">
        <f>tblCost[[#This Row],[RemainingRequirements]]=0</f>
        <v>0</v>
      </c>
      <c r="M411" s="43">
        <f>IF(tblCost[[#This Row],[TargetRequirements]]=0,0,tblCost[[#This Row],[CompletedRequirements]]/tblCost[[#This Row],[TargetRequirements]])</f>
        <v>0</v>
      </c>
    </row>
    <row r="412" spans="1:13">
      <c r="A412" s="41" t="s">
        <v>4060</v>
      </c>
      <c r="B412" s="41" t="str">
        <f>_xlfn.TEXTAFTER(_xlfn.TEXTBEFORE(tblCost[[#This Row],[RequirementID]],".",-2),"cost.")</f>
        <v>building.pagoda@6</v>
      </c>
      <c r="C412" s="41" t="str">
        <f>_xlfn.XLOOKUP(tblCost[[#This Row],[TargetID]],tblTargets[TargetID],tblTargets[DisplayName],"")</f>
        <v>Pagoda Lv 6</v>
      </c>
      <c r="D412" s="41" t="str">
        <f>_xlfn.XLOOKUP(tblCost[[#This Row],[TargetID]],tblTargets[TargetID],tblTargets[TargetType],"")</f>
        <v>BUILDING</v>
      </c>
      <c r="E412" s="41" t="s">
        <v>658</v>
      </c>
      <c r="F412" s="62" t="str">
        <f>RIGHT(tblCost[[#This Row],[RequirementID]],1)</f>
        <v>1</v>
      </c>
      <c r="G412" s="41">
        <v>900</v>
      </c>
      <c r="H412" t="b">
        <f>COUNTIFS(tblCostChecklist[RequirementID],tblCost[[#This Row],[RequirementID]],tblCostChecklist[PlayerPaid],TRUE)&gt;0</f>
        <v>0</v>
      </c>
      <c r="I412" s="41">
        <f>COUNTIF(tblCost[TargetID],tblCost[[#This Row],[TargetID]])</f>
        <v>6</v>
      </c>
      <c r="J412" s="41">
        <f>COUNTIFS(tblCost[TargetID],tblCost[[#This Row],[TargetID]],tblCost[PlayerPaid],TRUE)</f>
        <v>0</v>
      </c>
      <c r="K412" s="41">
        <f>tblCost[[#This Row],[TargetRequirements]]-tblCost[[#This Row],[CompletedRequirements]]</f>
        <v>6</v>
      </c>
      <c r="L412" s="41" t="b">
        <f>tblCost[[#This Row],[RemainingRequirements]]=0</f>
        <v>0</v>
      </c>
      <c r="M412" s="43">
        <f>IF(tblCost[[#This Row],[TargetRequirements]]=0,0,tblCost[[#This Row],[CompletedRequirements]]/tblCost[[#This Row],[TargetRequirements]])</f>
        <v>0</v>
      </c>
    </row>
    <row r="413" spans="1:13">
      <c r="A413" s="41" t="s">
        <v>4061</v>
      </c>
      <c r="B413" s="41" t="str">
        <f>_xlfn.TEXTAFTER(_xlfn.TEXTBEFORE(tblCost[[#This Row],[RequirementID]],".",-2),"cost.")</f>
        <v>building.pagoda@6</v>
      </c>
      <c r="C413" s="41" t="str">
        <f>_xlfn.XLOOKUP(tblCost[[#This Row],[TargetID]],tblTargets[TargetID],tblTargets[DisplayName],"")</f>
        <v>Pagoda Lv 6</v>
      </c>
      <c r="D413" s="41" t="str">
        <f>_xlfn.XLOOKUP(tblCost[[#This Row],[TargetID]],tblTargets[TargetID],tblTargets[TargetType],"")</f>
        <v>BUILDING</v>
      </c>
      <c r="E413" s="41" t="s">
        <v>717</v>
      </c>
      <c r="F413" s="62" t="str">
        <f>RIGHT(tblCost[[#This Row],[RequirementID]],1)</f>
        <v>1</v>
      </c>
      <c r="G413" s="41">
        <v>450</v>
      </c>
      <c r="H413" t="b">
        <f>COUNTIFS(tblCostChecklist[RequirementID],tblCost[[#This Row],[RequirementID]],tblCostChecklist[PlayerPaid],TRUE)&gt;0</f>
        <v>0</v>
      </c>
      <c r="I413" s="41">
        <f>COUNTIF(tblCost[TargetID],tblCost[[#This Row],[TargetID]])</f>
        <v>6</v>
      </c>
      <c r="J413" s="41">
        <f>COUNTIFS(tblCost[TargetID],tblCost[[#This Row],[TargetID]],tblCost[PlayerPaid],TRUE)</f>
        <v>0</v>
      </c>
      <c r="K413" s="41">
        <f>tblCost[[#This Row],[TargetRequirements]]-tblCost[[#This Row],[CompletedRequirements]]</f>
        <v>6</v>
      </c>
      <c r="L413" s="41" t="b">
        <f>tblCost[[#This Row],[RemainingRequirements]]=0</f>
        <v>0</v>
      </c>
      <c r="M413" s="43">
        <f>IF(tblCost[[#This Row],[TargetRequirements]]=0,0,tblCost[[#This Row],[CompletedRequirements]]/tblCost[[#This Row],[TargetRequirements]])</f>
        <v>0</v>
      </c>
    </row>
    <row r="414" spans="1:13">
      <c r="A414" s="41" t="s">
        <v>4062</v>
      </c>
      <c r="B414" s="41" t="str">
        <f>_xlfn.TEXTAFTER(_xlfn.TEXTBEFORE(tblCost[[#This Row],[RequirementID]],".",-2),"cost.")</f>
        <v>building.pagoda@6</v>
      </c>
      <c r="C414" s="41" t="str">
        <f>_xlfn.XLOOKUP(tblCost[[#This Row],[TargetID]],tblTargets[TargetID],tblTargets[DisplayName],"")</f>
        <v>Pagoda Lv 6</v>
      </c>
      <c r="D414" s="41" t="str">
        <f>_xlfn.XLOOKUP(tblCost[[#This Row],[TargetID]],tblTargets[TargetID],tblTargets[TargetType],"")</f>
        <v>BUILDING</v>
      </c>
      <c r="E414" s="41" t="s">
        <v>680</v>
      </c>
      <c r="F414" s="62" t="str">
        <f>RIGHT(tblCost[[#This Row],[RequirementID]],1)</f>
        <v>1</v>
      </c>
      <c r="G414" s="41">
        <v>5</v>
      </c>
      <c r="H414" t="b">
        <f>COUNTIFS(tblCostChecklist[RequirementID],tblCost[[#This Row],[RequirementID]],tblCostChecklist[PlayerPaid],TRUE)&gt;0</f>
        <v>0</v>
      </c>
      <c r="I414" s="41">
        <f>COUNTIF(tblCost[TargetID],tblCost[[#This Row],[TargetID]])</f>
        <v>6</v>
      </c>
      <c r="J414" s="41">
        <f>COUNTIFS(tblCost[TargetID],tblCost[[#This Row],[TargetID]],tblCost[PlayerPaid],TRUE)</f>
        <v>0</v>
      </c>
      <c r="K414" s="41">
        <f>tblCost[[#This Row],[TargetRequirements]]-tblCost[[#This Row],[CompletedRequirements]]</f>
        <v>6</v>
      </c>
      <c r="L414" s="41" t="b">
        <f>tblCost[[#This Row],[RemainingRequirements]]=0</f>
        <v>0</v>
      </c>
      <c r="M414" s="43">
        <f>IF(tblCost[[#This Row],[TargetRequirements]]=0,0,tblCost[[#This Row],[CompletedRequirements]]/tblCost[[#This Row],[TargetRequirements]])</f>
        <v>0</v>
      </c>
    </row>
    <row r="415" spans="1:13">
      <c r="A415" s="41" t="s">
        <v>4063</v>
      </c>
      <c r="B415" s="41" t="str">
        <f>_xlfn.TEXTAFTER(_xlfn.TEXTBEFORE(tblCost[[#This Row],[RequirementID]],".",-2),"cost.")</f>
        <v>building.pagoda@6</v>
      </c>
      <c r="C415" s="41" t="str">
        <f>_xlfn.XLOOKUP(tblCost[[#This Row],[TargetID]],tblTargets[TargetID],tblTargets[DisplayName],"")</f>
        <v>Pagoda Lv 6</v>
      </c>
      <c r="D415" s="41" t="str">
        <f>_xlfn.XLOOKUP(tblCost[[#This Row],[TargetID]],tblTargets[TargetID],tblTargets[TargetType],"")</f>
        <v>BUILDING</v>
      </c>
      <c r="E415" s="41" t="s">
        <v>715</v>
      </c>
      <c r="F415" s="62" t="str">
        <f>RIGHT(tblCost[[#This Row],[RequirementID]],1)</f>
        <v>1</v>
      </c>
      <c r="G415" s="41">
        <v>5</v>
      </c>
      <c r="H415" t="b">
        <f>COUNTIFS(tblCostChecklist[RequirementID],tblCost[[#This Row],[RequirementID]],tblCostChecklist[PlayerPaid],TRUE)&gt;0</f>
        <v>0</v>
      </c>
      <c r="I415" s="41">
        <f>COUNTIF(tblCost[TargetID],tblCost[[#This Row],[TargetID]])</f>
        <v>6</v>
      </c>
      <c r="J415" s="41">
        <f>COUNTIFS(tblCost[TargetID],tblCost[[#This Row],[TargetID]],tblCost[PlayerPaid],TRUE)</f>
        <v>0</v>
      </c>
      <c r="K415" s="41">
        <f>tblCost[[#This Row],[TargetRequirements]]-tblCost[[#This Row],[CompletedRequirements]]</f>
        <v>6</v>
      </c>
      <c r="L415" s="41" t="b">
        <f>tblCost[[#This Row],[RemainingRequirements]]=0</f>
        <v>0</v>
      </c>
      <c r="M415" s="43">
        <f>IF(tblCost[[#This Row],[TargetRequirements]]=0,0,tblCost[[#This Row],[CompletedRequirements]]/tblCost[[#This Row],[TargetRequirements]])</f>
        <v>0</v>
      </c>
    </row>
    <row r="416" spans="1:13">
      <c r="A416" s="41" t="s">
        <v>4064</v>
      </c>
      <c r="B416" s="41" t="str">
        <f>_xlfn.TEXTAFTER(_xlfn.TEXTBEFORE(tblCost[[#This Row],[RequirementID]],".",-2),"cost.")</f>
        <v>building.pagoda@7</v>
      </c>
      <c r="C416" s="41" t="str">
        <f>_xlfn.XLOOKUP(tblCost[[#This Row],[TargetID]],tblTargets[TargetID],tblTargets[DisplayName],"")</f>
        <v>Pagoda Lv 7</v>
      </c>
      <c r="D416" s="41" t="str">
        <f>_xlfn.XLOOKUP(tblCost[[#This Row],[TargetID]],tblTargets[TargetID],tblTargets[TargetType],"")</f>
        <v>BUILDING</v>
      </c>
      <c r="E416" s="41" t="s">
        <v>708</v>
      </c>
      <c r="F416" s="62" t="str">
        <f>RIGHT(tblCost[[#This Row],[RequirementID]],1)</f>
        <v>1</v>
      </c>
      <c r="G416" s="41">
        <v>15</v>
      </c>
      <c r="H416" t="b">
        <f>COUNTIFS(tblCostChecklist[RequirementID],tblCost[[#This Row],[RequirementID]],tblCostChecklist[PlayerPaid],TRUE)&gt;0</f>
        <v>0</v>
      </c>
      <c r="I416" s="41">
        <f>COUNTIF(tblCost[TargetID],tblCost[[#This Row],[TargetID]])</f>
        <v>8</v>
      </c>
      <c r="J416" s="41">
        <f>COUNTIFS(tblCost[TargetID],tblCost[[#This Row],[TargetID]],tblCost[PlayerPaid],TRUE)</f>
        <v>0</v>
      </c>
      <c r="K416" s="41">
        <f>tblCost[[#This Row],[TargetRequirements]]-tblCost[[#This Row],[CompletedRequirements]]</f>
        <v>8</v>
      </c>
      <c r="L416" s="41" t="b">
        <f>tblCost[[#This Row],[RemainingRequirements]]=0</f>
        <v>0</v>
      </c>
      <c r="M416" s="43">
        <f>IF(tblCost[[#This Row],[TargetRequirements]]=0,0,tblCost[[#This Row],[CompletedRequirements]]/tblCost[[#This Row],[TargetRequirements]])</f>
        <v>0</v>
      </c>
    </row>
    <row r="417" spans="1:13">
      <c r="A417" s="41" t="s">
        <v>4065</v>
      </c>
      <c r="B417" s="41" t="str">
        <f>_xlfn.TEXTAFTER(_xlfn.TEXTBEFORE(tblCost[[#This Row],[RequirementID]],".",-2),"cost.")</f>
        <v>building.pagoda@7</v>
      </c>
      <c r="C417" s="41" t="str">
        <f>_xlfn.XLOOKUP(tblCost[[#This Row],[TargetID]],tblTargets[TargetID],tblTargets[DisplayName],"")</f>
        <v>Pagoda Lv 7</v>
      </c>
      <c r="D417" s="41" t="str">
        <f>_xlfn.XLOOKUP(tblCost[[#This Row],[TargetID]],tblTargets[TargetID],tblTargets[TargetType],"")</f>
        <v>BUILDING</v>
      </c>
      <c r="E417" s="41" t="s">
        <v>666</v>
      </c>
      <c r="F417" s="62" t="str">
        <f>RIGHT(tblCost[[#This Row],[RequirementID]],1)</f>
        <v>1</v>
      </c>
      <c r="G417" s="41">
        <v>500</v>
      </c>
      <c r="H417" t="b">
        <f>COUNTIFS(tblCostChecklist[RequirementID],tblCost[[#This Row],[RequirementID]],tblCostChecklist[PlayerPaid],TRUE)&gt;0</f>
        <v>0</v>
      </c>
      <c r="I417" s="41">
        <f>COUNTIF(tblCost[TargetID],tblCost[[#This Row],[TargetID]])</f>
        <v>8</v>
      </c>
      <c r="J417" s="41">
        <f>COUNTIFS(tblCost[TargetID],tblCost[[#This Row],[TargetID]],tblCost[PlayerPaid],TRUE)</f>
        <v>0</v>
      </c>
      <c r="K417" s="41">
        <f>tblCost[[#This Row],[TargetRequirements]]-tblCost[[#This Row],[CompletedRequirements]]</f>
        <v>8</v>
      </c>
      <c r="L417" s="41" t="b">
        <f>tblCost[[#This Row],[RemainingRequirements]]=0</f>
        <v>0</v>
      </c>
      <c r="M417" s="43">
        <f>IF(tblCost[[#This Row],[TargetRequirements]]=0,0,tblCost[[#This Row],[CompletedRequirements]]/tblCost[[#This Row],[TargetRequirements]])</f>
        <v>0</v>
      </c>
    </row>
    <row r="418" spans="1:13">
      <c r="A418" s="41" t="s">
        <v>4066</v>
      </c>
      <c r="B418" s="41" t="str">
        <f>_xlfn.TEXTAFTER(_xlfn.TEXTBEFORE(tblCost[[#This Row],[RequirementID]],".",-2),"cost.")</f>
        <v>building.pagoda@7</v>
      </c>
      <c r="C418" s="41" t="str">
        <f>_xlfn.XLOOKUP(tblCost[[#This Row],[TargetID]],tblTargets[TargetID],tblTargets[DisplayName],"")</f>
        <v>Pagoda Lv 7</v>
      </c>
      <c r="D418" s="41" t="str">
        <f>_xlfn.XLOOKUP(tblCost[[#This Row],[TargetID]],tblTargets[TargetID],tblTargets[TargetType],"")</f>
        <v>BUILDING</v>
      </c>
      <c r="E418" s="41" t="s">
        <v>658</v>
      </c>
      <c r="F418" s="62" t="str">
        <f>RIGHT(tblCost[[#This Row],[RequirementID]],1)</f>
        <v>1</v>
      </c>
      <c r="G418" s="41">
        <v>1000</v>
      </c>
      <c r="H418" t="b">
        <f>COUNTIFS(tblCostChecklist[RequirementID],tblCost[[#This Row],[RequirementID]],tblCostChecklist[PlayerPaid],TRUE)&gt;0</f>
        <v>0</v>
      </c>
      <c r="I418" s="41">
        <f>COUNTIF(tblCost[TargetID],tblCost[[#This Row],[TargetID]])</f>
        <v>8</v>
      </c>
      <c r="J418" s="41">
        <f>COUNTIFS(tblCost[TargetID],tblCost[[#This Row],[TargetID]],tblCost[PlayerPaid],TRUE)</f>
        <v>0</v>
      </c>
      <c r="K418" s="41">
        <f>tblCost[[#This Row],[TargetRequirements]]-tblCost[[#This Row],[CompletedRequirements]]</f>
        <v>8</v>
      </c>
      <c r="L418" s="41" t="b">
        <f>tblCost[[#This Row],[RemainingRequirements]]=0</f>
        <v>0</v>
      </c>
      <c r="M418" s="43">
        <f>IF(tblCost[[#This Row],[TargetRequirements]]=0,0,tblCost[[#This Row],[CompletedRequirements]]/tblCost[[#This Row],[TargetRequirements]])</f>
        <v>0</v>
      </c>
    </row>
    <row r="419" spans="1:13">
      <c r="A419" s="41" t="s">
        <v>4067</v>
      </c>
      <c r="B419" s="41" t="str">
        <f>_xlfn.TEXTAFTER(_xlfn.TEXTBEFORE(tblCost[[#This Row],[RequirementID]],".",-2),"cost.")</f>
        <v>building.pagoda@7</v>
      </c>
      <c r="C419" s="41" t="str">
        <f>_xlfn.XLOOKUP(tblCost[[#This Row],[TargetID]],tblTargets[TargetID],tblTargets[DisplayName],"")</f>
        <v>Pagoda Lv 7</v>
      </c>
      <c r="D419" s="41" t="str">
        <f>_xlfn.XLOOKUP(tblCost[[#This Row],[TargetID]],tblTargets[TargetID],tblTargets[TargetType],"")</f>
        <v>BUILDING</v>
      </c>
      <c r="E419" s="41" t="s">
        <v>717</v>
      </c>
      <c r="F419" s="62" t="str">
        <f>RIGHT(tblCost[[#This Row],[RequirementID]],1)</f>
        <v>1</v>
      </c>
      <c r="G419" s="41">
        <v>500</v>
      </c>
      <c r="H419" t="b">
        <f>COUNTIFS(tblCostChecklist[RequirementID],tblCost[[#This Row],[RequirementID]],tblCostChecklist[PlayerPaid],TRUE)&gt;0</f>
        <v>0</v>
      </c>
      <c r="I419" s="41">
        <f>COUNTIF(tblCost[TargetID],tblCost[[#This Row],[TargetID]])</f>
        <v>8</v>
      </c>
      <c r="J419" s="41">
        <f>COUNTIFS(tblCost[TargetID],tblCost[[#This Row],[TargetID]],tblCost[PlayerPaid],TRUE)</f>
        <v>0</v>
      </c>
      <c r="K419" s="41">
        <f>tblCost[[#This Row],[TargetRequirements]]-tblCost[[#This Row],[CompletedRequirements]]</f>
        <v>8</v>
      </c>
      <c r="L419" s="41" t="b">
        <f>tblCost[[#This Row],[RemainingRequirements]]=0</f>
        <v>0</v>
      </c>
      <c r="M419" s="43">
        <f>IF(tblCost[[#This Row],[TargetRequirements]]=0,0,tblCost[[#This Row],[CompletedRequirements]]/tblCost[[#This Row],[TargetRequirements]])</f>
        <v>0</v>
      </c>
    </row>
    <row r="420" spans="1:13">
      <c r="A420" s="41" t="s">
        <v>4068</v>
      </c>
      <c r="B420" s="41" t="str">
        <f>_xlfn.TEXTAFTER(_xlfn.TEXTBEFORE(tblCost[[#This Row],[RequirementID]],".",-2),"cost.")</f>
        <v>building.pagoda@7</v>
      </c>
      <c r="C420" s="41" t="str">
        <f>_xlfn.XLOOKUP(tblCost[[#This Row],[TargetID]],tblTargets[TargetID],tblTargets[DisplayName],"")</f>
        <v>Pagoda Lv 7</v>
      </c>
      <c r="D420" s="41" t="str">
        <f>_xlfn.XLOOKUP(tblCost[[#This Row],[TargetID]],tblTargets[TargetID],tblTargets[TargetType],"")</f>
        <v>BUILDING</v>
      </c>
      <c r="E420" s="41" t="s">
        <v>721</v>
      </c>
      <c r="F420" s="62" t="str">
        <f>RIGHT(tblCost[[#This Row],[RequirementID]],1)</f>
        <v>1</v>
      </c>
      <c r="G420" s="41">
        <v>3</v>
      </c>
      <c r="H420" t="b">
        <f>COUNTIFS(tblCostChecklist[RequirementID],tblCost[[#This Row],[RequirementID]],tblCostChecklist[PlayerPaid],TRUE)&gt;0</f>
        <v>0</v>
      </c>
      <c r="I420" s="41">
        <f>COUNTIF(tblCost[TargetID],tblCost[[#This Row],[TargetID]])</f>
        <v>8</v>
      </c>
      <c r="J420" s="41">
        <f>COUNTIFS(tblCost[TargetID],tblCost[[#This Row],[TargetID]],tblCost[PlayerPaid],TRUE)</f>
        <v>0</v>
      </c>
      <c r="K420" s="41">
        <f>tblCost[[#This Row],[TargetRequirements]]-tblCost[[#This Row],[CompletedRequirements]]</f>
        <v>8</v>
      </c>
      <c r="L420" s="41" t="b">
        <f>tblCost[[#This Row],[RemainingRequirements]]=0</f>
        <v>0</v>
      </c>
      <c r="M420" s="43">
        <f>IF(tblCost[[#This Row],[TargetRequirements]]=0,0,tblCost[[#This Row],[CompletedRequirements]]/tblCost[[#This Row],[TargetRequirements]])</f>
        <v>0</v>
      </c>
    </row>
    <row r="421" spans="1:13">
      <c r="A421" s="41" t="s">
        <v>4069</v>
      </c>
      <c r="B421" s="41" t="str">
        <f>_xlfn.TEXTAFTER(_xlfn.TEXTBEFORE(tblCost[[#This Row],[RequirementID]],".",-2),"cost.")</f>
        <v>building.pagoda@7</v>
      </c>
      <c r="C421" s="41" t="str">
        <f>_xlfn.XLOOKUP(tblCost[[#This Row],[TargetID]],tblTargets[TargetID],tblTargets[DisplayName],"")</f>
        <v>Pagoda Lv 7</v>
      </c>
      <c r="D421" s="41" t="str">
        <f>_xlfn.XLOOKUP(tblCost[[#This Row],[TargetID]],tblTargets[TargetID],tblTargets[TargetType],"")</f>
        <v>BUILDING</v>
      </c>
      <c r="E421" s="41" t="s">
        <v>699</v>
      </c>
      <c r="F421" s="62" t="str">
        <f>RIGHT(tblCost[[#This Row],[RequirementID]],1)</f>
        <v>1</v>
      </c>
      <c r="G421" s="41">
        <v>5</v>
      </c>
      <c r="H421" t="b">
        <f>COUNTIFS(tblCostChecklist[RequirementID],tblCost[[#This Row],[RequirementID]],tblCostChecklist[PlayerPaid],TRUE)&gt;0</f>
        <v>0</v>
      </c>
      <c r="I421" s="41">
        <f>COUNTIF(tblCost[TargetID],tblCost[[#This Row],[TargetID]])</f>
        <v>8</v>
      </c>
      <c r="J421" s="41">
        <f>COUNTIFS(tblCost[TargetID],tblCost[[#This Row],[TargetID]],tblCost[PlayerPaid],TRUE)</f>
        <v>0</v>
      </c>
      <c r="K421" s="41">
        <f>tblCost[[#This Row],[TargetRequirements]]-tblCost[[#This Row],[CompletedRequirements]]</f>
        <v>8</v>
      </c>
      <c r="L421" s="41" t="b">
        <f>tblCost[[#This Row],[RemainingRequirements]]=0</f>
        <v>0</v>
      </c>
      <c r="M421" s="43">
        <f>IF(tblCost[[#This Row],[TargetRequirements]]=0,0,tblCost[[#This Row],[CompletedRequirements]]/tblCost[[#This Row],[TargetRequirements]])</f>
        <v>0</v>
      </c>
    </row>
    <row r="422" spans="1:13">
      <c r="A422" s="41" t="s">
        <v>4070</v>
      </c>
      <c r="B422" s="41" t="str">
        <f>_xlfn.TEXTAFTER(_xlfn.TEXTBEFORE(tblCost[[#This Row],[RequirementID]],".",-2),"cost.")</f>
        <v>building.pagoda@7</v>
      </c>
      <c r="C422" s="41" t="str">
        <f>_xlfn.XLOOKUP(tblCost[[#This Row],[TargetID]],tblTargets[TargetID],tblTargets[DisplayName],"")</f>
        <v>Pagoda Lv 7</v>
      </c>
      <c r="D422" s="41" t="str">
        <f>_xlfn.XLOOKUP(tblCost[[#This Row],[TargetID]],tblTargets[TargetID],tblTargets[TargetType],"")</f>
        <v>BUILDING</v>
      </c>
      <c r="E422" s="41" t="s">
        <v>711</v>
      </c>
      <c r="F422" s="62" t="str">
        <f>RIGHT(tblCost[[#This Row],[RequirementID]],1)</f>
        <v>1</v>
      </c>
      <c r="G422" s="41">
        <v>5</v>
      </c>
      <c r="H422" t="b">
        <f>COUNTIFS(tblCostChecklist[RequirementID],tblCost[[#This Row],[RequirementID]],tblCostChecklist[PlayerPaid],TRUE)&gt;0</f>
        <v>0</v>
      </c>
      <c r="I422" s="41">
        <f>COUNTIF(tblCost[TargetID],tblCost[[#This Row],[TargetID]])</f>
        <v>8</v>
      </c>
      <c r="J422" s="41">
        <f>COUNTIFS(tblCost[TargetID],tblCost[[#This Row],[TargetID]],tblCost[PlayerPaid],TRUE)</f>
        <v>0</v>
      </c>
      <c r="K422" s="41">
        <f>tblCost[[#This Row],[TargetRequirements]]-tblCost[[#This Row],[CompletedRequirements]]</f>
        <v>8</v>
      </c>
      <c r="L422" s="41" t="b">
        <f>tblCost[[#This Row],[RemainingRequirements]]=0</f>
        <v>0</v>
      </c>
      <c r="M422" s="43">
        <f>IF(tblCost[[#This Row],[TargetRequirements]]=0,0,tblCost[[#This Row],[CompletedRequirements]]/tblCost[[#This Row],[TargetRequirements]])</f>
        <v>0</v>
      </c>
    </row>
    <row r="423" spans="1:13">
      <c r="A423" s="41" t="s">
        <v>4071</v>
      </c>
      <c r="B423" s="41" t="str">
        <f>_xlfn.TEXTAFTER(_xlfn.TEXTBEFORE(tblCost[[#This Row],[RequirementID]],".",-2),"cost.")</f>
        <v>building.pagoda@7</v>
      </c>
      <c r="C423" s="41" t="str">
        <f>_xlfn.XLOOKUP(tblCost[[#This Row],[TargetID]],tblTargets[TargetID],tblTargets[DisplayName],"")</f>
        <v>Pagoda Lv 7</v>
      </c>
      <c r="D423" s="41" t="str">
        <f>_xlfn.XLOOKUP(tblCost[[#This Row],[TargetID]],tblTargets[TargetID],tblTargets[TargetType],"")</f>
        <v>BUILDING</v>
      </c>
      <c r="E423" s="41" t="s">
        <v>710</v>
      </c>
      <c r="F423" s="62" t="str">
        <f>RIGHT(tblCost[[#This Row],[RequirementID]],1)</f>
        <v>1</v>
      </c>
      <c r="G423" s="41">
        <v>1</v>
      </c>
      <c r="H423" t="b">
        <f>COUNTIFS(tblCostChecklist[RequirementID],tblCost[[#This Row],[RequirementID]],tblCostChecklist[PlayerPaid],TRUE)&gt;0</f>
        <v>0</v>
      </c>
      <c r="I423" s="41">
        <f>COUNTIF(tblCost[TargetID],tblCost[[#This Row],[TargetID]])</f>
        <v>8</v>
      </c>
      <c r="J423" s="41">
        <f>COUNTIFS(tblCost[TargetID],tblCost[[#This Row],[TargetID]],tblCost[PlayerPaid],TRUE)</f>
        <v>0</v>
      </c>
      <c r="K423" s="41">
        <f>tblCost[[#This Row],[TargetRequirements]]-tblCost[[#This Row],[CompletedRequirements]]</f>
        <v>8</v>
      </c>
      <c r="L423" s="41" t="b">
        <f>tblCost[[#This Row],[RemainingRequirements]]=0</f>
        <v>0</v>
      </c>
      <c r="M423" s="43">
        <f>IF(tblCost[[#This Row],[TargetRequirements]]=0,0,tblCost[[#This Row],[CompletedRequirements]]/tblCost[[#This Row],[TargetRequirements]])</f>
        <v>0</v>
      </c>
    </row>
    <row r="424" spans="1:13">
      <c r="A424" s="41" t="s">
        <v>4072</v>
      </c>
      <c r="B424" s="41" t="str">
        <f>_xlfn.TEXTAFTER(_xlfn.TEXTBEFORE(tblCost[[#This Row],[RequirementID]],".",-2),"cost.")</f>
        <v>building.pier@1</v>
      </c>
      <c r="C424" s="41" t="str">
        <f>_xlfn.XLOOKUP(tblCost[[#This Row],[TargetID]],tblTargets[TargetID],tblTargets[DisplayName],"")</f>
        <v>Pier Lv 1</v>
      </c>
      <c r="D424" s="41" t="str">
        <f>_xlfn.XLOOKUP(tblCost[[#This Row],[TargetID]],tblTargets[TargetID],tblTargets[TargetType],"")</f>
        <v>BUILDING</v>
      </c>
      <c r="E424" s="41" t="s">
        <v>708</v>
      </c>
      <c r="F424" s="62" t="str">
        <f>RIGHT(tblCost[[#This Row],[RequirementID]],1)</f>
        <v>1</v>
      </c>
      <c r="G424" s="41">
        <v>3</v>
      </c>
      <c r="H424" t="b">
        <f>COUNTIFS(tblCostChecklist[RequirementID],tblCost[[#This Row],[RequirementID]],tblCostChecklist[PlayerPaid],TRUE)&gt;0</f>
        <v>0</v>
      </c>
      <c r="I424" s="41">
        <f>COUNTIF(tblCost[TargetID],tblCost[[#This Row],[TargetID]])</f>
        <v>5</v>
      </c>
      <c r="J424" s="41">
        <f>COUNTIFS(tblCost[TargetID],tblCost[[#This Row],[TargetID]],tblCost[PlayerPaid],TRUE)</f>
        <v>0</v>
      </c>
      <c r="K424" s="41">
        <f>tblCost[[#This Row],[TargetRequirements]]-tblCost[[#This Row],[CompletedRequirements]]</f>
        <v>5</v>
      </c>
      <c r="L424" s="41" t="b">
        <f>tblCost[[#This Row],[RemainingRequirements]]=0</f>
        <v>0</v>
      </c>
      <c r="M424" s="43">
        <f>IF(tblCost[[#This Row],[TargetRequirements]]=0,0,tblCost[[#This Row],[CompletedRequirements]]/tblCost[[#This Row],[TargetRequirements]])</f>
        <v>0</v>
      </c>
    </row>
    <row r="425" spans="1:13">
      <c r="A425" s="41" t="s">
        <v>4073</v>
      </c>
      <c r="B425" s="41" t="str">
        <f>_xlfn.TEXTAFTER(_xlfn.TEXTBEFORE(tblCost[[#This Row],[RequirementID]],".",-2),"cost.")</f>
        <v>building.pier@1</v>
      </c>
      <c r="C425" s="41" t="str">
        <f>_xlfn.XLOOKUP(tblCost[[#This Row],[TargetID]],tblTargets[TargetID],tblTargets[DisplayName],"")</f>
        <v>Pier Lv 1</v>
      </c>
      <c r="D425" s="41" t="str">
        <f>_xlfn.XLOOKUP(tblCost[[#This Row],[TargetID]],tblTargets[TargetID],tblTargets[TargetType],"")</f>
        <v>BUILDING</v>
      </c>
      <c r="E425" s="41" t="s">
        <v>666</v>
      </c>
      <c r="F425" s="62" t="str">
        <f>RIGHT(tblCost[[#This Row],[RequirementID]],1)</f>
        <v>1</v>
      </c>
      <c r="G425" s="41">
        <v>400</v>
      </c>
      <c r="H425" t="b">
        <f>COUNTIFS(tblCostChecklist[RequirementID],tblCost[[#This Row],[RequirementID]],tblCostChecklist[PlayerPaid],TRUE)&gt;0</f>
        <v>0</v>
      </c>
      <c r="I425" s="41">
        <f>COUNTIF(tblCost[TargetID],tblCost[[#This Row],[TargetID]])</f>
        <v>5</v>
      </c>
      <c r="J425" s="41">
        <f>COUNTIFS(tblCost[TargetID],tblCost[[#This Row],[TargetID]],tblCost[PlayerPaid],TRUE)</f>
        <v>0</v>
      </c>
      <c r="K425" s="41">
        <f>tblCost[[#This Row],[TargetRequirements]]-tblCost[[#This Row],[CompletedRequirements]]</f>
        <v>5</v>
      </c>
      <c r="L425" s="41" t="b">
        <f>tblCost[[#This Row],[RemainingRequirements]]=0</f>
        <v>0</v>
      </c>
      <c r="M425" s="43">
        <f>IF(tblCost[[#This Row],[TargetRequirements]]=0,0,tblCost[[#This Row],[CompletedRequirements]]/tblCost[[#This Row],[TargetRequirements]])</f>
        <v>0</v>
      </c>
    </row>
    <row r="426" spans="1:13">
      <c r="A426" s="41" t="s">
        <v>4074</v>
      </c>
      <c r="B426" s="41" t="str">
        <f>_xlfn.TEXTAFTER(_xlfn.TEXTBEFORE(tblCost[[#This Row],[RequirementID]],".",-2),"cost.")</f>
        <v>building.pier@1</v>
      </c>
      <c r="C426" s="41" t="str">
        <f>_xlfn.XLOOKUP(tblCost[[#This Row],[TargetID]],tblTargets[TargetID],tblTargets[DisplayName],"")</f>
        <v>Pier Lv 1</v>
      </c>
      <c r="D426" s="41" t="str">
        <f>_xlfn.XLOOKUP(tblCost[[#This Row],[TargetID]],tblTargets[TargetID],tblTargets[TargetType],"")</f>
        <v>BUILDING</v>
      </c>
      <c r="E426" s="41" t="s">
        <v>723</v>
      </c>
      <c r="F426" s="62" t="str">
        <f>RIGHT(tblCost[[#This Row],[RequirementID]],1)</f>
        <v>1</v>
      </c>
      <c r="G426" s="41">
        <v>50</v>
      </c>
      <c r="H426" t="b">
        <f>COUNTIFS(tblCostChecklist[RequirementID],tblCost[[#This Row],[RequirementID]],tblCostChecklist[PlayerPaid],TRUE)&gt;0</f>
        <v>0</v>
      </c>
      <c r="I426" s="41">
        <f>COUNTIF(tblCost[TargetID],tblCost[[#This Row],[TargetID]])</f>
        <v>5</v>
      </c>
      <c r="J426" s="41">
        <f>COUNTIFS(tblCost[TargetID],tblCost[[#This Row],[TargetID]],tblCost[PlayerPaid],TRUE)</f>
        <v>0</v>
      </c>
      <c r="K426" s="41">
        <f>tblCost[[#This Row],[TargetRequirements]]-tblCost[[#This Row],[CompletedRequirements]]</f>
        <v>5</v>
      </c>
      <c r="L426" s="41" t="b">
        <f>tblCost[[#This Row],[RemainingRequirements]]=0</f>
        <v>0</v>
      </c>
      <c r="M426" s="43">
        <f>IF(tblCost[[#This Row],[TargetRequirements]]=0,0,tblCost[[#This Row],[CompletedRequirements]]/tblCost[[#This Row],[TargetRequirements]])</f>
        <v>0</v>
      </c>
    </row>
    <row r="427" spans="1:13">
      <c r="A427" s="41" t="s">
        <v>4075</v>
      </c>
      <c r="B427" s="41" t="str">
        <f>_xlfn.TEXTAFTER(_xlfn.TEXTBEFORE(tblCost[[#This Row],[RequirementID]],".",-2),"cost.")</f>
        <v>building.pier@1</v>
      </c>
      <c r="C427" s="41" t="str">
        <f>_xlfn.XLOOKUP(tblCost[[#This Row],[TargetID]],tblTargets[TargetID],tblTargets[DisplayName],"")</f>
        <v>Pier Lv 1</v>
      </c>
      <c r="D427" s="41" t="str">
        <f>_xlfn.XLOOKUP(tblCost[[#This Row],[TargetID]],tblTargets[TargetID],tblTargets[TargetType],"")</f>
        <v>BUILDING</v>
      </c>
      <c r="E427" s="41" t="s">
        <v>701</v>
      </c>
      <c r="F427" s="62" t="str">
        <f>RIGHT(tblCost[[#This Row],[RequirementID]],1)</f>
        <v>1</v>
      </c>
      <c r="G427" s="41">
        <v>400</v>
      </c>
      <c r="H427" t="b">
        <f>COUNTIFS(tblCostChecklist[RequirementID],tblCost[[#This Row],[RequirementID]],tblCostChecklist[PlayerPaid],TRUE)&gt;0</f>
        <v>0</v>
      </c>
      <c r="I427" s="41">
        <f>COUNTIF(tblCost[TargetID],tblCost[[#This Row],[TargetID]])</f>
        <v>5</v>
      </c>
      <c r="J427" s="41">
        <f>COUNTIFS(tblCost[TargetID],tblCost[[#This Row],[TargetID]],tblCost[PlayerPaid],TRUE)</f>
        <v>0</v>
      </c>
      <c r="K427" s="41">
        <f>tblCost[[#This Row],[TargetRequirements]]-tblCost[[#This Row],[CompletedRequirements]]</f>
        <v>5</v>
      </c>
      <c r="L427" s="41" t="b">
        <f>tblCost[[#This Row],[RemainingRequirements]]=0</f>
        <v>0</v>
      </c>
      <c r="M427" s="43">
        <f>IF(tblCost[[#This Row],[TargetRequirements]]=0,0,tblCost[[#This Row],[CompletedRequirements]]/tblCost[[#This Row],[TargetRequirements]])</f>
        <v>0</v>
      </c>
    </row>
    <row r="428" spans="1:13">
      <c r="A428" s="41" t="s">
        <v>4076</v>
      </c>
      <c r="B428" s="41" t="str">
        <f>_xlfn.TEXTAFTER(_xlfn.TEXTBEFORE(tblCost[[#This Row],[RequirementID]],".",-2),"cost.")</f>
        <v>building.pier@1</v>
      </c>
      <c r="C428" s="41" t="str">
        <f>_xlfn.XLOOKUP(tblCost[[#This Row],[TargetID]],tblTargets[TargetID],tblTargets[DisplayName],"")</f>
        <v>Pier Lv 1</v>
      </c>
      <c r="D428" s="41" t="str">
        <f>_xlfn.XLOOKUP(tblCost[[#This Row],[TargetID]],tblTargets[TargetID],tblTargets[TargetType],"")</f>
        <v>BUILDING</v>
      </c>
      <c r="E428" s="41" t="s">
        <v>717</v>
      </c>
      <c r="F428" s="62" t="str">
        <f>RIGHT(tblCost[[#This Row],[RequirementID]],1)</f>
        <v>1</v>
      </c>
      <c r="G428" s="41">
        <v>300</v>
      </c>
      <c r="H428" t="b">
        <f>COUNTIFS(tblCostChecklist[RequirementID],tblCost[[#This Row],[RequirementID]],tblCostChecklist[PlayerPaid],TRUE)&gt;0</f>
        <v>0</v>
      </c>
      <c r="I428" s="41">
        <f>COUNTIF(tblCost[TargetID],tblCost[[#This Row],[TargetID]])</f>
        <v>5</v>
      </c>
      <c r="J428" s="41">
        <f>COUNTIFS(tblCost[TargetID],tblCost[[#This Row],[TargetID]],tblCost[PlayerPaid],TRUE)</f>
        <v>0</v>
      </c>
      <c r="K428" s="41">
        <f>tblCost[[#This Row],[TargetRequirements]]-tblCost[[#This Row],[CompletedRequirements]]</f>
        <v>5</v>
      </c>
      <c r="L428" s="41" t="b">
        <f>tblCost[[#This Row],[RemainingRequirements]]=0</f>
        <v>0</v>
      </c>
      <c r="M428" s="43">
        <f>IF(tblCost[[#This Row],[TargetRequirements]]=0,0,tblCost[[#This Row],[CompletedRequirements]]/tblCost[[#This Row],[TargetRequirements]])</f>
        <v>0</v>
      </c>
    </row>
    <row r="429" spans="1:13">
      <c r="A429" s="41" t="s">
        <v>4077</v>
      </c>
      <c r="B429" s="41" t="str">
        <f>_xlfn.TEXTAFTER(_xlfn.TEXTBEFORE(tblCost[[#This Row],[RequirementID]],".",-2),"cost.")</f>
        <v>building.rock_garden@1</v>
      </c>
      <c r="C429" s="41" t="str">
        <f>_xlfn.XLOOKUP(tblCost[[#This Row],[TargetID]],tblTargets[TargetID],tblTargets[DisplayName],"")</f>
        <v>Rock Garden Lv 1</v>
      </c>
      <c r="D429" s="41" t="str">
        <f>_xlfn.XLOOKUP(tblCost[[#This Row],[TargetID]],tblTargets[TargetID],tblTargets[TargetType],"")</f>
        <v>BUILDING</v>
      </c>
      <c r="E429" s="41" t="s">
        <v>708</v>
      </c>
      <c r="F429" s="62" t="str">
        <f>RIGHT(tblCost[[#This Row],[RequirementID]],1)</f>
        <v>1</v>
      </c>
      <c r="G429" s="41">
        <v>1</v>
      </c>
      <c r="H429" t="b">
        <f>COUNTIFS(tblCostChecklist[RequirementID],tblCost[[#This Row],[RequirementID]],tblCostChecklist[PlayerPaid],TRUE)&gt;0</f>
        <v>0</v>
      </c>
      <c r="I429" s="41">
        <f>COUNTIF(tblCost[TargetID],tblCost[[#This Row],[TargetID]])</f>
        <v>4</v>
      </c>
      <c r="J429" s="41">
        <f>COUNTIFS(tblCost[TargetID],tblCost[[#This Row],[TargetID]],tblCost[PlayerPaid],TRUE)</f>
        <v>0</v>
      </c>
      <c r="K429" s="41">
        <f>tblCost[[#This Row],[TargetRequirements]]-tblCost[[#This Row],[CompletedRequirements]]</f>
        <v>4</v>
      </c>
      <c r="L429" s="41" t="b">
        <f>tblCost[[#This Row],[RemainingRequirements]]=0</f>
        <v>0</v>
      </c>
      <c r="M429" s="43">
        <f>IF(tblCost[[#This Row],[TargetRequirements]]=0,0,tblCost[[#This Row],[CompletedRequirements]]/tblCost[[#This Row],[TargetRequirements]])</f>
        <v>0</v>
      </c>
    </row>
    <row r="430" spans="1:13">
      <c r="A430" s="41" t="s">
        <v>4078</v>
      </c>
      <c r="B430" s="41" t="str">
        <f>_xlfn.TEXTAFTER(_xlfn.TEXTBEFORE(tblCost[[#This Row],[RequirementID]],".",-2),"cost.")</f>
        <v>building.rock_garden@1</v>
      </c>
      <c r="C430" s="41" t="str">
        <f>_xlfn.XLOOKUP(tblCost[[#This Row],[TargetID]],tblTargets[TargetID],tblTargets[DisplayName],"")</f>
        <v>Rock Garden Lv 1</v>
      </c>
      <c r="D430" s="41" t="str">
        <f>_xlfn.XLOOKUP(tblCost[[#This Row],[TargetID]],tblTargets[TargetID],tblTargets[TargetType],"")</f>
        <v>BUILDING</v>
      </c>
      <c r="E430" s="41" t="s">
        <v>666</v>
      </c>
      <c r="F430" s="62" t="str">
        <f>RIGHT(tblCost[[#This Row],[RequirementID]],1)</f>
        <v>1</v>
      </c>
      <c r="G430" s="41">
        <v>400</v>
      </c>
      <c r="H430" t="b">
        <f>COUNTIFS(tblCostChecklist[RequirementID],tblCost[[#This Row],[RequirementID]],tblCostChecklist[PlayerPaid],TRUE)&gt;0</f>
        <v>0</v>
      </c>
      <c r="I430" s="41">
        <f>COUNTIF(tblCost[TargetID],tblCost[[#This Row],[TargetID]])</f>
        <v>4</v>
      </c>
      <c r="J430" s="41">
        <f>COUNTIFS(tblCost[TargetID],tblCost[[#This Row],[TargetID]],tblCost[PlayerPaid],TRUE)</f>
        <v>0</v>
      </c>
      <c r="K430" s="41">
        <f>tblCost[[#This Row],[TargetRequirements]]-tblCost[[#This Row],[CompletedRequirements]]</f>
        <v>4</v>
      </c>
      <c r="L430" s="41" t="b">
        <f>tblCost[[#This Row],[RemainingRequirements]]=0</f>
        <v>0</v>
      </c>
      <c r="M430" s="43">
        <f>IF(tblCost[[#This Row],[TargetRequirements]]=0,0,tblCost[[#This Row],[CompletedRequirements]]/tblCost[[#This Row],[TargetRequirements]])</f>
        <v>0</v>
      </c>
    </row>
    <row r="431" spans="1:13">
      <c r="A431" s="41" t="s">
        <v>4079</v>
      </c>
      <c r="B431" s="41" t="str">
        <f>_xlfn.TEXTAFTER(_xlfn.TEXTBEFORE(tblCost[[#This Row],[RequirementID]],".",-2),"cost.")</f>
        <v>building.rock_garden@1</v>
      </c>
      <c r="C431" s="41" t="str">
        <f>_xlfn.XLOOKUP(tblCost[[#This Row],[TargetID]],tblTargets[TargetID],tblTargets[DisplayName],"")</f>
        <v>Rock Garden Lv 1</v>
      </c>
      <c r="D431" s="41" t="str">
        <f>_xlfn.XLOOKUP(tblCost[[#This Row],[TargetID]],tblTargets[TargetID],tblTargets[TargetType],"")</f>
        <v>BUILDING</v>
      </c>
      <c r="E431" s="41" t="s">
        <v>723</v>
      </c>
      <c r="F431" s="62" t="str">
        <f>RIGHT(tblCost[[#This Row],[RequirementID]],1)</f>
        <v>1</v>
      </c>
      <c r="G431" s="41">
        <v>100</v>
      </c>
      <c r="H431" t="b">
        <f>COUNTIFS(tblCostChecklist[RequirementID],tblCost[[#This Row],[RequirementID]],tblCostChecklist[PlayerPaid],TRUE)&gt;0</f>
        <v>0</v>
      </c>
      <c r="I431" s="41">
        <f>COUNTIF(tblCost[TargetID],tblCost[[#This Row],[TargetID]])</f>
        <v>4</v>
      </c>
      <c r="J431" s="41">
        <f>COUNTIFS(tblCost[TargetID],tblCost[[#This Row],[TargetID]],tblCost[PlayerPaid],TRUE)</f>
        <v>0</v>
      </c>
      <c r="K431" s="41">
        <f>tblCost[[#This Row],[TargetRequirements]]-tblCost[[#This Row],[CompletedRequirements]]</f>
        <v>4</v>
      </c>
      <c r="L431" s="41" t="b">
        <f>tblCost[[#This Row],[RemainingRequirements]]=0</f>
        <v>0</v>
      </c>
      <c r="M431" s="43">
        <f>IF(tblCost[[#This Row],[TargetRequirements]]=0,0,tblCost[[#This Row],[CompletedRequirements]]/tblCost[[#This Row],[TargetRequirements]])</f>
        <v>0</v>
      </c>
    </row>
    <row r="432" spans="1:13">
      <c r="A432" s="41" t="s">
        <v>4080</v>
      </c>
      <c r="B432" s="41" t="str">
        <f>_xlfn.TEXTAFTER(_xlfn.TEXTBEFORE(tblCost[[#This Row],[RequirementID]],".",-2),"cost.")</f>
        <v>building.rock_garden@1</v>
      </c>
      <c r="C432" s="41" t="str">
        <f>_xlfn.XLOOKUP(tblCost[[#This Row],[TargetID]],tblTargets[TargetID],tblTargets[DisplayName],"")</f>
        <v>Rock Garden Lv 1</v>
      </c>
      <c r="D432" s="41" t="str">
        <f>_xlfn.XLOOKUP(tblCost[[#This Row],[TargetID]],tblTargets[TargetID],tblTargets[TargetType],"")</f>
        <v>BUILDING</v>
      </c>
      <c r="E432" s="41" t="s">
        <v>717</v>
      </c>
      <c r="F432" s="62" t="str">
        <f>RIGHT(tblCost[[#This Row],[RequirementID]],1)</f>
        <v>1</v>
      </c>
      <c r="G432" s="41">
        <v>200</v>
      </c>
      <c r="H432" t="b">
        <f>COUNTIFS(tblCostChecklist[RequirementID],tblCost[[#This Row],[RequirementID]],tblCostChecklist[PlayerPaid],TRUE)&gt;0</f>
        <v>0</v>
      </c>
      <c r="I432" s="41">
        <f>COUNTIF(tblCost[TargetID],tblCost[[#This Row],[TargetID]])</f>
        <v>4</v>
      </c>
      <c r="J432" s="41">
        <f>COUNTIFS(tblCost[TargetID],tblCost[[#This Row],[TargetID]],tblCost[PlayerPaid],TRUE)</f>
        <v>0</v>
      </c>
      <c r="K432" s="41">
        <f>tblCost[[#This Row],[TargetRequirements]]-tblCost[[#This Row],[CompletedRequirements]]</f>
        <v>4</v>
      </c>
      <c r="L432" s="41" t="b">
        <f>tblCost[[#This Row],[RemainingRequirements]]=0</f>
        <v>0</v>
      </c>
      <c r="M432" s="43">
        <f>IF(tblCost[[#This Row],[TargetRequirements]]=0,0,tblCost[[#This Row],[CompletedRequirements]]/tblCost[[#This Row],[TargetRequirements]])</f>
        <v>0</v>
      </c>
    </row>
    <row r="433" spans="1:13">
      <c r="A433" s="41" t="s">
        <v>4081</v>
      </c>
      <c r="B433" s="41" t="str">
        <f>_xlfn.TEXTAFTER(_xlfn.TEXTBEFORE(tblCost[[#This Row],[RequirementID]],".",-2),"cost.")</f>
        <v>building.rock_garden@2</v>
      </c>
      <c r="C433" s="41" t="str">
        <f>_xlfn.XLOOKUP(tblCost[[#This Row],[TargetID]],tblTargets[TargetID],tblTargets[DisplayName],"")</f>
        <v>Rock Garden Lv 2</v>
      </c>
      <c r="D433" s="41" t="str">
        <f>_xlfn.XLOOKUP(tblCost[[#This Row],[TargetID]],tblTargets[TargetID],tblTargets[TargetType],"")</f>
        <v>BUILDING</v>
      </c>
      <c r="E433" s="41" t="s">
        <v>708</v>
      </c>
      <c r="F433" s="62" t="str">
        <f>RIGHT(tblCost[[#This Row],[RequirementID]],1)</f>
        <v>1</v>
      </c>
      <c r="G433" s="41">
        <v>2</v>
      </c>
      <c r="H433" t="b">
        <f>COUNTIFS(tblCostChecklist[RequirementID],tblCost[[#This Row],[RequirementID]],tblCostChecklist[PlayerPaid],TRUE)&gt;0</f>
        <v>0</v>
      </c>
      <c r="I433" s="41">
        <f>COUNTIF(tblCost[TargetID],tblCost[[#This Row],[TargetID]])</f>
        <v>4</v>
      </c>
      <c r="J433" s="41">
        <f>COUNTIFS(tblCost[TargetID],tblCost[[#This Row],[TargetID]],tblCost[PlayerPaid],TRUE)</f>
        <v>0</v>
      </c>
      <c r="K433" s="41">
        <f>tblCost[[#This Row],[TargetRequirements]]-tblCost[[#This Row],[CompletedRequirements]]</f>
        <v>4</v>
      </c>
      <c r="L433" s="41" t="b">
        <f>tblCost[[#This Row],[RemainingRequirements]]=0</f>
        <v>0</v>
      </c>
      <c r="M433" s="43">
        <f>IF(tblCost[[#This Row],[TargetRequirements]]=0,0,tblCost[[#This Row],[CompletedRequirements]]/tblCost[[#This Row],[TargetRequirements]])</f>
        <v>0</v>
      </c>
    </row>
    <row r="434" spans="1:13">
      <c r="A434" s="41" t="s">
        <v>4082</v>
      </c>
      <c r="B434" s="41" t="str">
        <f>_xlfn.TEXTAFTER(_xlfn.TEXTBEFORE(tblCost[[#This Row],[RequirementID]],".",-2),"cost.")</f>
        <v>building.rock_garden@2</v>
      </c>
      <c r="C434" s="41" t="str">
        <f>_xlfn.XLOOKUP(tblCost[[#This Row],[TargetID]],tblTargets[TargetID],tblTargets[DisplayName],"")</f>
        <v>Rock Garden Lv 2</v>
      </c>
      <c r="D434" s="41" t="str">
        <f>_xlfn.XLOOKUP(tblCost[[#This Row],[TargetID]],tblTargets[TargetID],tblTargets[TargetType],"")</f>
        <v>BUILDING</v>
      </c>
      <c r="E434" s="41" t="s">
        <v>666</v>
      </c>
      <c r="F434" s="62" t="str">
        <f>RIGHT(tblCost[[#This Row],[RequirementID]],1)</f>
        <v>1</v>
      </c>
      <c r="G434" s="41">
        <v>600</v>
      </c>
      <c r="H434" t="b">
        <f>COUNTIFS(tblCostChecklist[RequirementID],tblCost[[#This Row],[RequirementID]],tblCostChecklist[PlayerPaid],TRUE)&gt;0</f>
        <v>0</v>
      </c>
      <c r="I434" s="41">
        <f>COUNTIF(tblCost[TargetID],tblCost[[#This Row],[TargetID]])</f>
        <v>4</v>
      </c>
      <c r="J434" s="41">
        <f>COUNTIFS(tblCost[TargetID],tblCost[[#This Row],[TargetID]],tblCost[PlayerPaid],TRUE)</f>
        <v>0</v>
      </c>
      <c r="K434" s="41">
        <f>tblCost[[#This Row],[TargetRequirements]]-tblCost[[#This Row],[CompletedRequirements]]</f>
        <v>4</v>
      </c>
      <c r="L434" s="41" t="b">
        <f>tblCost[[#This Row],[RemainingRequirements]]=0</f>
        <v>0</v>
      </c>
      <c r="M434" s="43">
        <f>IF(tblCost[[#This Row],[TargetRequirements]]=0,0,tblCost[[#This Row],[CompletedRequirements]]/tblCost[[#This Row],[TargetRequirements]])</f>
        <v>0</v>
      </c>
    </row>
    <row r="435" spans="1:13">
      <c r="A435" s="41" t="s">
        <v>4083</v>
      </c>
      <c r="B435" s="41" t="str">
        <f>_xlfn.TEXTAFTER(_xlfn.TEXTBEFORE(tblCost[[#This Row],[RequirementID]],".",-2),"cost.")</f>
        <v>building.rock_garden@2</v>
      </c>
      <c r="C435" s="41" t="str">
        <f>_xlfn.XLOOKUP(tblCost[[#This Row],[TargetID]],tblTargets[TargetID],tblTargets[DisplayName],"")</f>
        <v>Rock Garden Lv 2</v>
      </c>
      <c r="D435" s="41" t="str">
        <f>_xlfn.XLOOKUP(tblCost[[#This Row],[TargetID]],tblTargets[TargetID],tblTargets[TargetType],"")</f>
        <v>BUILDING</v>
      </c>
      <c r="E435" s="41" t="s">
        <v>723</v>
      </c>
      <c r="F435" s="62" t="str">
        <f>RIGHT(tblCost[[#This Row],[RequirementID]],1)</f>
        <v>1</v>
      </c>
      <c r="G435" s="41">
        <v>150</v>
      </c>
      <c r="H435" t="b">
        <f>COUNTIFS(tblCostChecklist[RequirementID],tblCost[[#This Row],[RequirementID]],tblCostChecklist[PlayerPaid],TRUE)&gt;0</f>
        <v>0</v>
      </c>
      <c r="I435" s="41">
        <f>COUNTIF(tblCost[TargetID],tblCost[[#This Row],[TargetID]])</f>
        <v>4</v>
      </c>
      <c r="J435" s="41">
        <f>COUNTIFS(tblCost[TargetID],tblCost[[#This Row],[TargetID]],tblCost[PlayerPaid],TRUE)</f>
        <v>0</v>
      </c>
      <c r="K435" s="41">
        <f>tblCost[[#This Row],[TargetRequirements]]-tblCost[[#This Row],[CompletedRequirements]]</f>
        <v>4</v>
      </c>
      <c r="L435" s="41" t="b">
        <f>tblCost[[#This Row],[RemainingRequirements]]=0</f>
        <v>0</v>
      </c>
      <c r="M435" s="43">
        <f>IF(tblCost[[#This Row],[TargetRequirements]]=0,0,tblCost[[#This Row],[CompletedRequirements]]/tblCost[[#This Row],[TargetRequirements]])</f>
        <v>0</v>
      </c>
    </row>
    <row r="436" spans="1:13">
      <c r="A436" s="41" t="s">
        <v>4084</v>
      </c>
      <c r="B436" s="41" t="str">
        <f>_xlfn.TEXTAFTER(_xlfn.TEXTBEFORE(tblCost[[#This Row],[RequirementID]],".",-2),"cost.")</f>
        <v>building.rock_garden@2</v>
      </c>
      <c r="C436" s="41" t="str">
        <f>_xlfn.XLOOKUP(tblCost[[#This Row],[TargetID]],tblTargets[TargetID],tblTargets[DisplayName],"")</f>
        <v>Rock Garden Lv 2</v>
      </c>
      <c r="D436" s="41" t="str">
        <f>_xlfn.XLOOKUP(tblCost[[#This Row],[TargetID]],tblTargets[TargetID],tblTargets[TargetType],"")</f>
        <v>BUILDING</v>
      </c>
      <c r="E436" s="41" t="s">
        <v>717</v>
      </c>
      <c r="F436" s="62" t="str">
        <f>RIGHT(tblCost[[#This Row],[RequirementID]],1)</f>
        <v>1</v>
      </c>
      <c r="G436" s="41">
        <v>300</v>
      </c>
      <c r="H436" t="b">
        <f>COUNTIFS(tblCostChecklist[RequirementID],tblCost[[#This Row],[RequirementID]],tblCostChecklist[PlayerPaid],TRUE)&gt;0</f>
        <v>0</v>
      </c>
      <c r="I436" s="41">
        <f>COUNTIF(tblCost[TargetID],tblCost[[#This Row],[TargetID]])</f>
        <v>4</v>
      </c>
      <c r="J436" s="41">
        <f>COUNTIFS(tblCost[TargetID],tblCost[[#This Row],[TargetID]],tblCost[PlayerPaid],TRUE)</f>
        <v>0</v>
      </c>
      <c r="K436" s="41">
        <f>tblCost[[#This Row],[TargetRequirements]]-tblCost[[#This Row],[CompletedRequirements]]</f>
        <v>4</v>
      </c>
      <c r="L436" s="41" t="b">
        <f>tblCost[[#This Row],[RemainingRequirements]]=0</f>
        <v>0</v>
      </c>
      <c r="M436" s="43">
        <f>IF(tblCost[[#This Row],[TargetRequirements]]=0,0,tblCost[[#This Row],[CompletedRequirements]]/tblCost[[#This Row],[TargetRequirements]])</f>
        <v>0</v>
      </c>
    </row>
    <row r="437" spans="1:13">
      <c r="A437" s="41" t="s">
        <v>4085</v>
      </c>
      <c r="B437" s="41" t="str">
        <f>_xlfn.TEXTAFTER(_xlfn.TEXTBEFORE(tblCost[[#This Row],[RequirementID]],".",-2),"cost.")</f>
        <v>building.rock_garden@3</v>
      </c>
      <c r="C437" s="41" t="str">
        <f>_xlfn.XLOOKUP(tblCost[[#This Row],[TargetID]],tblTargets[TargetID],tblTargets[DisplayName],"")</f>
        <v>Rock Garden Lv 3</v>
      </c>
      <c r="D437" s="41" t="str">
        <f>_xlfn.XLOOKUP(tblCost[[#This Row],[TargetID]],tblTargets[TargetID],tblTargets[TargetType],"")</f>
        <v>BUILDING</v>
      </c>
      <c r="E437" s="41" t="s">
        <v>708</v>
      </c>
      <c r="F437" s="62" t="str">
        <f>RIGHT(tblCost[[#This Row],[RequirementID]],1)</f>
        <v>1</v>
      </c>
      <c r="G437" s="41">
        <v>4</v>
      </c>
      <c r="H437" t="b">
        <f>COUNTIFS(tblCostChecklist[RequirementID],tblCost[[#This Row],[RequirementID]],tblCostChecklist[PlayerPaid],TRUE)&gt;0</f>
        <v>0</v>
      </c>
      <c r="I437" s="41">
        <f>COUNTIF(tblCost[TargetID],tblCost[[#This Row],[TargetID]])</f>
        <v>4</v>
      </c>
      <c r="J437" s="41">
        <f>COUNTIFS(tblCost[TargetID],tblCost[[#This Row],[TargetID]],tblCost[PlayerPaid],TRUE)</f>
        <v>0</v>
      </c>
      <c r="K437" s="41">
        <f>tblCost[[#This Row],[TargetRequirements]]-tblCost[[#This Row],[CompletedRequirements]]</f>
        <v>4</v>
      </c>
      <c r="L437" s="41" t="b">
        <f>tblCost[[#This Row],[RemainingRequirements]]=0</f>
        <v>0</v>
      </c>
      <c r="M437" s="43">
        <f>IF(tblCost[[#This Row],[TargetRequirements]]=0,0,tblCost[[#This Row],[CompletedRequirements]]/tblCost[[#This Row],[TargetRequirements]])</f>
        <v>0</v>
      </c>
    </row>
    <row r="438" spans="1:13">
      <c r="A438" s="41" t="s">
        <v>4086</v>
      </c>
      <c r="B438" s="41" t="str">
        <f>_xlfn.TEXTAFTER(_xlfn.TEXTBEFORE(tblCost[[#This Row],[RequirementID]],".",-2),"cost.")</f>
        <v>building.rock_garden@3</v>
      </c>
      <c r="C438" s="41" t="str">
        <f>_xlfn.XLOOKUP(tblCost[[#This Row],[TargetID]],tblTargets[TargetID],tblTargets[DisplayName],"")</f>
        <v>Rock Garden Lv 3</v>
      </c>
      <c r="D438" s="41" t="str">
        <f>_xlfn.XLOOKUP(tblCost[[#This Row],[TargetID]],tblTargets[TargetID],tblTargets[TargetType],"")</f>
        <v>BUILDING</v>
      </c>
      <c r="E438" s="41" t="s">
        <v>666</v>
      </c>
      <c r="F438" s="62" t="str">
        <f>RIGHT(tblCost[[#This Row],[RequirementID]],1)</f>
        <v>1</v>
      </c>
      <c r="G438" s="41">
        <v>1000</v>
      </c>
      <c r="H438" t="b">
        <f>COUNTIFS(tblCostChecklist[RequirementID],tblCost[[#This Row],[RequirementID]],tblCostChecklist[PlayerPaid],TRUE)&gt;0</f>
        <v>0</v>
      </c>
      <c r="I438" s="41">
        <f>COUNTIF(tblCost[TargetID],tblCost[[#This Row],[TargetID]])</f>
        <v>4</v>
      </c>
      <c r="J438" s="41">
        <f>COUNTIFS(tblCost[TargetID],tblCost[[#This Row],[TargetID]],tblCost[PlayerPaid],TRUE)</f>
        <v>0</v>
      </c>
      <c r="K438" s="41">
        <f>tblCost[[#This Row],[TargetRequirements]]-tblCost[[#This Row],[CompletedRequirements]]</f>
        <v>4</v>
      </c>
      <c r="L438" s="41" t="b">
        <f>tblCost[[#This Row],[RemainingRequirements]]=0</f>
        <v>0</v>
      </c>
      <c r="M438" s="43">
        <f>IF(tblCost[[#This Row],[TargetRequirements]]=0,0,tblCost[[#This Row],[CompletedRequirements]]/tblCost[[#This Row],[TargetRequirements]])</f>
        <v>0</v>
      </c>
    </row>
    <row r="439" spans="1:13">
      <c r="A439" s="41" t="s">
        <v>4087</v>
      </c>
      <c r="B439" s="41" t="str">
        <f>_xlfn.TEXTAFTER(_xlfn.TEXTBEFORE(tblCost[[#This Row],[RequirementID]],".",-2),"cost.")</f>
        <v>building.rock_garden@3</v>
      </c>
      <c r="C439" s="41" t="str">
        <f>_xlfn.XLOOKUP(tblCost[[#This Row],[TargetID]],tblTargets[TargetID],tblTargets[DisplayName],"")</f>
        <v>Rock Garden Lv 3</v>
      </c>
      <c r="D439" s="41" t="str">
        <f>_xlfn.XLOOKUP(tblCost[[#This Row],[TargetID]],tblTargets[TargetID],tblTargets[TargetType],"")</f>
        <v>BUILDING</v>
      </c>
      <c r="E439" s="41" t="s">
        <v>658</v>
      </c>
      <c r="F439" s="62" t="str">
        <f>RIGHT(tblCost[[#This Row],[RequirementID]],1)</f>
        <v>1</v>
      </c>
      <c r="G439" s="41">
        <v>400</v>
      </c>
      <c r="H439" t="b">
        <f>COUNTIFS(tblCostChecklist[RequirementID],tblCost[[#This Row],[RequirementID]],tblCostChecklist[PlayerPaid],TRUE)&gt;0</f>
        <v>0</v>
      </c>
      <c r="I439" s="41">
        <f>COUNTIF(tblCost[TargetID],tblCost[[#This Row],[TargetID]])</f>
        <v>4</v>
      </c>
      <c r="J439" s="41">
        <f>COUNTIFS(tblCost[TargetID],tblCost[[#This Row],[TargetID]],tblCost[PlayerPaid],TRUE)</f>
        <v>0</v>
      </c>
      <c r="K439" s="41">
        <f>tblCost[[#This Row],[TargetRequirements]]-tblCost[[#This Row],[CompletedRequirements]]</f>
        <v>4</v>
      </c>
      <c r="L439" s="41" t="b">
        <f>tblCost[[#This Row],[RemainingRequirements]]=0</f>
        <v>0</v>
      </c>
      <c r="M439" s="43">
        <f>IF(tblCost[[#This Row],[TargetRequirements]]=0,0,tblCost[[#This Row],[CompletedRequirements]]/tblCost[[#This Row],[TargetRequirements]])</f>
        <v>0</v>
      </c>
    </row>
    <row r="440" spans="1:13">
      <c r="A440" s="41" t="s">
        <v>4088</v>
      </c>
      <c r="B440" s="41" t="str">
        <f>_xlfn.TEXTAFTER(_xlfn.TEXTBEFORE(tblCost[[#This Row],[RequirementID]],".",-2),"cost.")</f>
        <v>building.rock_garden@3</v>
      </c>
      <c r="C440" s="41" t="str">
        <f>_xlfn.XLOOKUP(tblCost[[#This Row],[TargetID]],tblTargets[TargetID],tblTargets[DisplayName],"")</f>
        <v>Rock Garden Lv 3</v>
      </c>
      <c r="D440" s="41" t="str">
        <f>_xlfn.XLOOKUP(tblCost[[#This Row],[TargetID]],tblTargets[TargetID],tblTargets[TargetType],"")</f>
        <v>BUILDING</v>
      </c>
      <c r="E440" s="41" t="s">
        <v>717</v>
      </c>
      <c r="F440" s="62" t="str">
        <f>RIGHT(tblCost[[#This Row],[RequirementID]],1)</f>
        <v>1</v>
      </c>
      <c r="G440" s="41">
        <v>400</v>
      </c>
      <c r="H440" t="b">
        <f>COUNTIFS(tblCostChecklist[RequirementID],tblCost[[#This Row],[RequirementID]],tblCostChecklist[PlayerPaid],TRUE)&gt;0</f>
        <v>0</v>
      </c>
      <c r="I440" s="41">
        <f>COUNTIF(tblCost[TargetID],tblCost[[#This Row],[TargetID]])</f>
        <v>4</v>
      </c>
      <c r="J440" s="41">
        <f>COUNTIFS(tblCost[TargetID],tblCost[[#This Row],[TargetID]],tblCost[PlayerPaid],TRUE)</f>
        <v>0</v>
      </c>
      <c r="K440" s="41">
        <f>tblCost[[#This Row],[TargetRequirements]]-tblCost[[#This Row],[CompletedRequirements]]</f>
        <v>4</v>
      </c>
      <c r="L440" s="41" t="b">
        <f>tblCost[[#This Row],[RemainingRequirements]]=0</f>
        <v>0</v>
      </c>
      <c r="M440" s="43">
        <f>IF(tblCost[[#This Row],[TargetRequirements]]=0,0,tblCost[[#This Row],[CompletedRequirements]]/tblCost[[#This Row],[TargetRequirements]])</f>
        <v>0</v>
      </c>
    </row>
    <row r="441" spans="1:13">
      <c r="A441" s="41" t="s">
        <v>4089</v>
      </c>
      <c r="B441" s="41" t="str">
        <f>_xlfn.TEXTAFTER(_xlfn.TEXTBEFORE(tblCost[[#This Row],[RequirementID]],".",-2),"cost.")</f>
        <v>building.ship@1</v>
      </c>
      <c r="C441" s="41" t="str">
        <f>_xlfn.XLOOKUP(tblCost[[#This Row],[TargetID]],tblTargets[TargetID],tblTargets[DisplayName],"")</f>
        <v>Ship Lv 1</v>
      </c>
      <c r="D441" s="41" t="str">
        <f>_xlfn.XLOOKUP(tblCost[[#This Row],[TargetID]],tblTargets[TargetID],tblTargets[TargetType],"")</f>
        <v>BUILDING</v>
      </c>
      <c r="E441" s="41" t="s">
        <v>708</v>
      </c>
      <c r="F441" s="62" t="str">
        <f>RIGHT(tblCost[[#This Row],[RequirementID]],1)</f>
        <v>1</v>
      </c>
      <c r="G441" s="41">
        <v>3</v>
      </c>
      <c r="H441" t="b">
        <f>COUNTIFS(tblCostChecklist[RequirementID],tblCost[[#This Row],[RequirementID]],tblCostChecklist[PlayerPaid],TRUE)&gt;0</f>
        <v>0</v>
      </c>
      <c r="I441" s="41">
        <f>COUNTIF(tblCost[TargetID],tblCost[[#This Row],[TargetID]])</f>
        <v>5</v>
      </c>
      <c r="J441" s="41">
        <f>COUNTIFS(tblCost[TargetID],tblCost[[#This Row],[TargetID]],tblCost[PlayerPaid],TRUE)</f>
        <v>0</v>
      </c>
      <c r="K441" s="41">
        <f>tblCost[[#This Row],[TargetRequirements]]-tblCost[[#This Row],[CompletedRequirements]]</f>
        <v>5</v>
      </c>
      <c r="L441" s="41" t="b">
        <f>tblCost[[#This Row],[RemainingRequirements]]=0</f>
        <v>0</v>
      </c>
      <c r="M441" s="43">
        <f>IF(tblCost[[#This Row],[TargetRequirements]]=0,0,tblCost[[#This Row],[CompletedRequirements]]/tblCost[[#This Row],[TargetRequirements]])</f>
        <v>0</v>
      </c>
    </row>
    <row r="442" spans="1:13">
      <c r="A442" s="41" t="s">
        <v>4090</v>
      </c>
      <c r="B442" s="41" t="str">
        <f>_xlfn.TEXTAFTER(_xlfn.TEXTBEFORE(tblCost[[#This Row],[RequirementID]],".",-2),"cost.")</f>
        <v>building.ship@1</v>
      </c>
      <c r="C442" s="41" t="str">
        <f>_xlfn.XLOOKUP(tblCost[[#This Row],[TargetID]],tblTargets[TargetID],tblTargets[DisplayName],"")</f>
        <v>Ship Lv 1</v>
      </c>
      <c r="D442" s="41" t="str">
        <f>_xlfn.XLOOKUP(tblCost[[#This Row],[TargetID]],tblTargets[TargetID],tblTargets[TargetType],"")</f>
        <v>BUILDING</v>
      </c>
      <c r="E442" s="41" t="s">
        <v>666</v>
      </c>
      <c r="F442" s="62" t="str">
        <f>RIGHT(tblCost[[#This Row],[RequirementID]],1)</f>
        <v>1</v>
      </c>
      <c r="G442" s="41">
        <v>500</v>
      </c>
      <c r="H442" t="b">
        <f>COUNTIFS(tblCostChecklist[RequirementID],tblCost[[#This Row],[RequirementID]],tblCostChecklist[PlayerPaid],TRUE)&gt;0</f>
        <v>0</v>
      </c>
      <c r="I442" s="41">
        <f>COUNTIF(tblCost[TargetID],tblCost[[#This Row],[TargetID]])</f>
        <v>5</v>
      </c>
      <c r="J442" s="41">
        <f>COUNTIFS(tblCost[TargetID],tblCost[[#This Row],[TargetID]],tblCost[PlayerPaid],TRUE)</f>
        <v>0</v>
      </c>
      <c r="K442" s="41">
        <f>tblCost[[#This Row],[TargetRequirements]]-tblCost[[#This Row],[CompletedRequirements]]</f>
        <v>5</v>
      </c>
      <c r="L442" s="41" t="b">
        <f>tblCost[[#This Row],[RemainingRequirements]]=0</f>
        <v>0</v>
      </c>
      <c r="M442" s="43">
        <f>IF(tblCost[[#This Row],[TargetRequirements]]=0,0,tblCost[[#This Row],[CompletedRequirements]]/tblCost[[#This Row],[TargetRequirements]])</f>
        <v>0</v>
      </c>
    </row>
    <row r="443" spans="1:13">
      <c r="A443" s="41" t="s">
        <v>4091</v>
      </c>
      <c r="B443" s="41" t="str">
        <f>_xlfn.TEXTAFTER(_xlfn.TEXTBEFORE(tblCost[[#This Row],[RequirementID]],".",-2),"cost.")</f>
        <v>building.ship@1</v>
      </c>
      <c r="C443" s="41" t="str">
        <f>_xlfn.XLOOKUP(tblCost[[#This Row],[TargetID]],tblTargets[TargetID],tblTargets[DisplayName],"")</f>
        <v>Ship Lv 1</v>
      </c>
      <c r="D443" s="41" t="str">
        <f>_xlfn.XLOOKUP(tblCost[[#This Row],[TargetID]],tblTargets[TargetID],tblTargets[TargetType],"")</f>
        <v>BUILDING</v>
      </c>
      <c r="E443" s="41" t="s">
        <v>701</v>
      </c>
      <c r="F443" s="62" t="str">
        <f>RIGHT(tblCost[[#This Row],[RequirementID]],1)</f>
        <v>1</v>
      </c>
      <c r="G443" s="41">
        <v>600</v>
      </c>
      <c r="H443" t="b">
        <f>COUNTIFS(tblCostChecklist[RequirementID],tblCost[[#This Row],[RequirementID]],tblCostChecklist[PlayerPaid],TRUE)&gt;0</f>
        <v>0</v>
      </c>
      <c r="I443" s="41">
        <f>COUNTIF(tblCost[TargetID],tblCost[[#This Row],[TargetID]])</f>
        <v>5</v>
      </c>
      <c r="J443" s="41">
        <f>COUNTIFS(tblCost[TargetID],tblCost[[#This Row],[TargetID]],tblCost[PlayerPaid],TRUE)</f>
        <v>0</v>
      </c>
      <c r="K443" s="41">
        <f>tblCost[[#This Row],[TargetRequirements]]-tblCost[[#This Row],[CompletedRequirements]]</f>
        <v>5</v>
      </c>
      <c r="L443" s="41" t="b">
        <f>tblCost[[#This Row],[RemainingRequirements]]=0</f>
        <v>0</v>
      </c>
      <c r="M443" s="43">
        <f>IF(tblCost[[#This Row],[TargetRequirements]]=0,0,tblCost[[#This Row],[CompletedRequirements]]/tblCost[[#This Row],[TargetRequirements]])</f>
        <v>0</v>
      </c>
    </row>
    <row r="444" spans="1:13">
      <c r="A444" s="41" t="s">
        <v>4092</v>
      </c>
      <c r="B444" s="41" t="str">
        <f>_xlfn.TEXTAFTER(_xlfn.TEXTBEFORE(tblCost[[#This Row],[RequirementID]],".",-2),"cost.")</f>
        <v>building.ship@1</v>
      </c>
      <c r="C444" s="41" t="str">
        <f>_xlfn.XLOOKUP(tblCost[[#This Row],[TargetID]],tblTargets[TargetID],tblTargets[DisplayName],"")</f>
        <v>Ship Lv 1</v>
      </c>
      <c r="D444" s="41" t="str">
        <f>_xlfn.XLOOKUP(tblCost[[#This Row],[TargetID]],tblTargets[TargetID],tblTargets[TargetType],"")</f>
        <v>BUILDING</v>
      </c>
      <c r="E444" s="41" t="s">
        <v>717</v>
      </c>
      <c r="F444" s="62" t="str">
        <f>RIGHT(tblCost[[#This Row],[RequirementID]],1)</f>
        <v>1</v>
      </c>
      <c r="G444" s="41">
        <v>1</v>
      </c>
      <c r="H444" t="b">
        <f>COUNTIFS(tblCostChecklist[RequirementID],tblCost[[#This Row],[RequirementID]],tblCostChecklist[PlayerPaid],TRUE)&gt;0</f>
        <v>0</v>
      </c>
      <c r="I444" s="41">
        <f>COUNTIF(tblCost[TargetID],tblCost[[#This Row],[TargetID]])</f>
        <v>5</v>
      </c>
      <c r="J444" s="41">
        <f>COUNTIFS(tblCost[TargetID],tblCost[[#This Row],[TargetID]],tblCost[PlayerPaid],TRUE)</f>
        <v>0</v>
      </c>
      <c r="K444" s="41">
        <f>tblCost[[#This Row],[TargetRequirements]]-tblCost[[#This Row],[CompletedRequirements]]</f>
        <v>5</v>
      </c>
      <c r="L444" s="41" t="b">
        <f>tblCost[[#This Row],[RemainingRequirements]]=0</f>
        <v>0</v>
      </c>
      <c r="M444" s="43">
        <f>IF(tblCost[[#This Row],[TargetRequirements]]=0,0,tblCost[[#This Row],[CompletedRequirements]]/tblCost[[#This Row],[TargetRequirements]])</f>
        <v>0</v>
      </c>
    </row>
    <row r="445" spans="1:13">
      <c r="A445" s="41" t="s">
        <v>4093</v>
      </c>
      <c r="B445" s="41" t="str">
        <f>_xlfn.TEXTAFTER(_xlfn.TEXTBEFORE(tblCost[[#This Row],[RequirementID]],".",-2),"cost.")</f>
        <v>building.ship@1</v>
      </c>
      <c r="C445" s="41" t="str">
        <f>_xlfn.XLOOKUP(tblCost[[#This Row],[TargetID]],tblTargets[TargetID],tblTargets[DisplayName],"")</f>
        <v>Ship Lv 1</v>
      </c>
      <c r="D445" s="41" t="str">
        <f>_xlfn.XLOOKUP(tblCost[[#This Row],[TargetID]],tblTargets[TargetID],tblTargets[TargetType],"")</f>
        <v>BUILDING</v>
      </c>
      <c r="E445" s="41" t="s">
        <v>716</v>
      </c>
      <c r="F445" s="62" t="str">
        <f>RIGHT(tblCost[[#This Row],[RequirementID]],1)</f>
        <v>1</v>
      </c>
      <c r="G445" s="41">
        <v>60</v>
      </c>
      <c r="H445" t="b">
        <f>COUNTIFS(tblCostChecklist[RequirementID],tblCost[[#This Row],[RequirementID]],tblCostChecklist[PlayerPaid],TRUE)&gt;0</f>
        <v>0</v>
      </c>
      <c r="I445" s="41">
        <f>COUNTIF(tblCost[TargetID],tblCost[[#This Row],[TargetID]])</f>
        <v>5</v>
      </c>
      <c r="J445" s="41">
        <f>COUNTIFS(tblCost[TargetID],tblCost[[#This Row],[TargetID]],tblCost[PlayerPaid],TRUE)</f>
        <v>0</v>
      </c>
      <c r="K445" s="41">
        <f>tblCost[[#This Row],[TargetRequirements]]-tblCost[[#This Row],[CompletedRequirements]]</f>
        <v>5</v>
      </c>
      <c r="L445" s="41" t="b">
        <f>tblCost[[#This Row],[RemainingRequirements]]=0</f>
        <v>0</v>
      </c>
      <c r="M445" s="43">
        <f>IF(tblCost[[#This Row],[TargetRequirements]]=0,0,tblCost[[#This Row],[CompletedRequirements]]/tblCost[[#This Row],[TargetRequirements]])</f>
        <v>0</v>
      </c>
    </row>
    <row r="446" spans="1:13">
      <c r="A446" s="41" t="s">
        <v>4094</v>
      </c>
      <c r="B446" s="41" t="str">
        <f>_xlfn.TEXTAFTER(_xlfn.TEXTBEFORE(tblCost[[#This Row],[RequirementID]],".",-2),"cost.")</f>
        <v>building.ship@2</v>
      </c>
      <c r="C446" s="41" t="str">
        <f>_xlfn.XLOOKUP(tblCost[[#This Row],[TargetID]],tblTargets[TargetID],tblTargets[DisplayName],"")</f>
        <v>Ship Lv 2</v>
      </c>
      <c r="D446" s="41" t="str">
        <f>_xlfn.XLOOKUP(tblCost[[#This Row],[TargetID]],tblTargets[TargetID],tblTargets[TargetType],"")</f>
        <v>BUILDING</v>
      </c>
      <c r="E446" s="41" t="s">
        <v>708</v>
      </c>
      <c r="F446" s="62" t="str">
        <f>RIGHT(tblCost[[#This Row],[RequirementID]],1)</f>
        <v>1</v>
      </c>
      <c r="G446" s="41">
        <v>6</v>
      </c>
      <c r="H446" t="b">
        <f>COUNTIFS(tblCostChecklist[RequirementID],tblCost[[#This Row],[RequirementID]],tblCostChecklist[PlayerPaid],TRUE)&gt;0</f>
        <v>0</v>
      </c>
      <c r="I446" s="41">
        <f>COUNTIF(tblCost[TargetID],tblCost[[#This Row],[TargetID]])</f>
        <v>5</v>
      </c>
      <c r="J446" s="41">
        <f>COUNTIFS(tblCost[TargetID],tblCost[[#This Row],[TargetID]],tblCost[PlayerPaid],TRUE)</f>
        <v>0</v>
      </c>
      <c r="K446" s="41">
        <f>tblCost[[#This Row],[TargetRequirements]]-tblCost[[#This Row],[CompletedRequirements]]</f>
        <v>5</v>
      </c>
      <c r="L446" s="41" t="b">
        <f>tblCost[[#This Row],[RemainingRequirements]]=0</f>
        <v>0</v>
      </c>
      <c r="M446" s="43">
        <f>IF(tblCost[[#This Row],[TargetRequirements]]=0,0,tblCost[[#This Row],[CompletedRequirements]]/tblCost[[#This Row],[TargetRequirements]])</f>
        <v>0</v>
      </c>
    </row>
    <row r="447" spans="1:13">
      <c r="A447" s="41" t="s">
        <v>4095</v>
      </c>
      <c r="B447" s="41" t="str">
        <f>_xlfn.TEXTAFTER(_xlfn.TEXTBEFORE(tblCost[[#This Row],[RequirementID]],".",-2),"cost.")</f>
        <v>building.ship@2</v>
      </c>
      <c r="C447" s="41" t="str">
        <f>_xlfn.XLOOKUP(tblCost[[#This Row],[TargetID]],tblTargets[TargetID],tblTargets[DisplayName],"")</f>
        <v>Ship Lv 2</v>
      </c>
      <c r="D447" s="41" t="str">
        <f>_xlfn.XLOOKUP(tblCost[[#This Row],[TargetID]],tblTargets[TargetID],tblTargets[TargetType],"")</f>
        <v>BUILDING</v>
      </c>
      <c r="E447" s="41" t="s">
        <v>666</v>
      </c>
      <c r="F447" s="62" t="str">
        <f>RIGHT(tblCost[[#This Row],[RequirementID]],1)</f>
        <v>1</v>
      </c>
      <c r="G447" s="41">
        <v>750</v>
      </c>
      <c r="H447" t="b">
        <f>COUNTIFS(tblCostChecklist[RequirementID],tblCost[[#This Row],[RequirementID]],tblCostChecklist[PlayerPaid],TRUE)&gt;0</f>
        <v>0</v>
      </c>
      <c r="I447" s="41">
        <f>COUNTIF(tblCost[TargetID],tblCost[[#This Row],[TargetID]])</f>
        <v>5</v>
      </c>
      <c r="J447" s="41">
        <f>COUNTIFS(tblCost[TargetID],tblCost[[#This Row],[TargetID]],tblCost[PlayerPaid],TRUE)</f>
        <v>0</v>
      </c>
      <c r="K447" s="41">
        <f>tblCost[[#This Row],[TargetRequirements]]-tblCost[[#This Row],[CompletedRequirements]]</f>
        <v>5</v>
      </c>
      <c r="L447" s="41" t="b">
        <f>tblCost[[#This Row],[RemainingRequirements]]=0</f>
        <v>0</v>
      </c>
      <c r="M447" s="43">
        <f>IF(tblCost[[#This Row],[TargetRequirements]]=0,0,tblCost[[#This Row],[CompletedRequirements]]/tblCost[[#This Row],[TargetRequirements]])</f>
        <v>0</v>
      </c>
    </row>
    <row r="448" spans="1:13">
      <c r="A448" s="41" t="s">
        <v>4096</v>
      </c>
      <c r="B448" s="41" t="str">
        <f>_xlfn.TEXTAFTER(_xlfn.TEXTBEFORE(tblCost[[#This Row],[RequirementID]],".",-2),"cost.")</f>
        <v>building.ship@2</v>
      </c>
      <c r="C448" s="41" t="str">
        <f>_xlfn.XLOOKUP(tblCost[[#This Row],[TargetID]],tblTargets[TargetID],tblTargets[DisplayName],"")</f>
        <v>Ship Lv 2</v>
      </c>
      <c r="D448" s="41" t="str">
        <f>_xlfn.XLOOKUP(tblCost[[#This Row],[TargetID]],tblTargets[TargetID],tblTargets[TargetType],"")</f>
        <v>BUILDING</v>
      </c>
      <c r="E448" s="41" t="s">
        <v>701</v>
      </c>
      <c r="F448" s="62" t="str">
        <f>RIGHT(tblCost[[#This Row],[RequirementID]],1)</f>
        <v>1</v>
      </c>
      <c r="G448" s="41">
        <v>800</v>
      </c>
      <c r="H448" t="b">
        <f>COUNTIFS(tblCostChecklist[RequirementID],tblCost[[#This Row],[RequirementID]],tblCostChecklist[PlayerPaid],TRUE)&gt;0</f>
        <v>0</v>
      </c>
      <c r="I448" s="41">
        <f>COUNTIF(tblCost[TargetID],tblCost[[#This Row],[TargetID]])</f>
        <v>5</v>
      </c>
      <c r="J448" s="41">
        <f>COUNTIFS(tblCost[TargetID],tblCost[[#This Row],[TargetID]],tblCost[PlayerPaid],TRUE)</f>
        <v>0</v>
      </c>
      <c r="K448" s="41">
        <f>tblCost[[#This Row],[TargetRequirements]]-tblCost[[#This Row],[CompletedRequirements]]</f>
        <v>5</v>
      </c>
      <c r="L448" s="41" t="b">
        <f>tblCost[[#This Row],[RemainingRequirements]]=0</f>
        <v>0</v>
      </c>
      <c r="M448" s="43">
        <f>IF(tblCost[[#This Row],[TargetRequirements]]=0,0,tblCost[[#This Row],[CompletedRequirements]]/tblCost[[#This Row],[TargetRequirements]])</f>
        <v>0</v>
      </c>
    </row>
    <row r="449" spans="1:13">
      <c r="A449" s="41" t="s">
        <v>4097</v>
      </c>
      <c r="B449" s="41" t="str">
        <f>_xlfn.TEXTAFTER(_xlfn.TEXTBEFORE(tblCost[[#This Row],[RequirementID]],".",-2),"cost.")</f>
        <v>building.ship@2</v>
      </c>
      <c r="C449" s="41" t="str">
        <f>_xlfn.XLOOKUP(tblCost[[#This Row],[TargetID]],tblTargets[TargetID],tblTargets[DisplayName],"")</f>
        <v>Ship Lv 2</v>
      </c>
      <c r="D449" s="41" t="str">
        <f>_xlfn.XLOOKUP(tblCost[[#This Row],[TargetID]],tblTargets[TargetID],tblTargets[TargetType],"")</f>
        <v>BUILDING</v>
      </c>
      <c r="E449" s="41" t="s">
        <v>716</v>
      </c>
      <c r="F449" s="62" t="str">
        <f>RIGHT(tblCost[[#This Row],[RequirementID]],1)</f>
        <v>1</v>
      </c>
      <c r="G449" s="41">
        <v>60</v>
      </c>
      <c r="H449" t="b">
        <f>COUNTIFS(tblCostChecklist[RequirementID],tblCost[[#This Row],[RequirementID]],tblCostChecklist[PlayerPaid],TRUE)&gt;0</f>
        <v>0</v>
      </c>
      <c r="I449" s="41">
        <f>COUNTIF(tblCost[TargetID],tblCost[[#This Row],[TargetID]])</f>
        <v>5</v>
      </c>
      <c r="J449" s="41">
        <f>COUNTIFS(tblCost[TargetID],tblCost[[#This Row],[TargetID]],tblCost[PlayerPaid],TRUE)</f>
        <v>0</v>
      </c>
      <c r="K449" s="41">
        <f>tblCost[[#This Row],[TargetRequirements]]-tblCost[[#This Row],[CompletedRequirements]]</f>
        <v>5</v>
      </c>
      <c r="L449" s="41" t="b">
        <f>tblCost[[#This Row],[RemainingRequirements]]=0</f>
        <v>0</v>
      </c>
      <c r="M449" s="43">
        <f>IF(tblCost[[#This Row],[TargetRequirements]]=0,0,tblCost[[#This Row],[CompletedRequirements]]/tblCost[[#This Row],[TargetRequirements]])</f>
        <v>0</v>
      </c>
    </row>
    <row r="450" spans="1:13">
      <c r="A450" s="41" t="s">
        <v>4098</v>
      </c>
      <c r="B450" s="41" t="str">
        <f>_xlfn.TEXTAFTER(_xlfn.TEXTBEFORE(tblCost[[#This Row],[RequirementID]],".",-2),"cost.")</f>
        <v>building.ship@2</v>
      </c>
      <c r="C450" s="41" t="str">
        <f>_xlfn.XLOOKUP(tblCost[[#This Row],[TargetID]],tblTargets[TargetID],tblTargets[DisplayName],"")</f>
        <v>Ship Lv 2</v>
      </c>
      <c r="D450" s="41" t="str">
        <f>_xlfn.XLOOKUP(tblCost[[#This Row],[TargetID]],tblTargets[TargetID],tblTargets[TargetType],"")</f>
        <v>BUILDING</v>
      </c>
      <c r="E450" s="41" t="s">
        <v>691</v>
      </c>
      <c r="F450" s="62" t="str">
        <f>RIGHT(tblCost[[#This Row],[RequirementID]],1)</f>
        <v>1</v>
      </c>
      <c r="G450" s="41">
        <v>1</v>
      </c>
      <c r="H450" t="b">
        <f>COUNTIFS(tblCostChecklist[RequirementID],tblCost[[#This Row],[RequirementID]],tblCostChecklist[PlayerPaid],TRUE)&gt;0</f>
        <v>0</v>
      </c>
      <c r="I450" s="41">
        <f>COUNTIF(tblCost[TargetID],tblCost[[#This Row],[TargetID]])</f>
        <v>5</v>
      </c>
      <c r="J450" s="41">
        <f>COUNTIFS(tblCost[TargetID],tblCost[[#This Row],[TargetID]],tblCost[PlayerPaid],TRUE)</f>
        <v>0</v>
      </c>
      <c r="K450" s="41">
        <f>tblCost[[#This Row],[TargetRequirements]]-tblCost[[#This Row],[CompletedRequirements]]</f>
        <v>5</v>
      </c>
      <c r="L450" s="41" t="b">
        <f>tblCost[[#This Row],[RemainingRequirements]]=0</f>
        <v>0</v>
      </c>
      <c r="M450" s="43">
        <f>IF(tblCost[[#This Row],[TargetRequirements]]=0,0,tblCost[[#This Row],[CompletedRequirements]]/tblCost[[#This Row],[TargetRequirements]])</f>
        <v>0</v>
      </c>
    </row>
    <row r="451" spans="1:13">
      <c r="A451" s="41" t="s">
        <v>4099</v>
      </c>
      <c r="B451" s="41" t="str">
        <f>_xlfn.TEXTAFTER(_xlfn.TEXTBEFORE(tblCost[[#This Row],[RequirementID]],".",-2),"cost.")</f>
        <v>building.ship@3</v>
      </c>
      <c r="C451" s="41" t="str">
        <f>_xlfn.XLOOKUP(tblCost[[#This Row],[TargetID]],tblTargets[TargetID],tblTargets[DisplayName],"")</f>
        <v>Ship Lv 3</v>
      </c>
      <c r="D451" s="41" t="str">
        <f>_xlfn.XLOOKUP(tblCost[[#This Row],[TargetID]],tblTargets[TargetID],tblTargets[TargetType],"")</f>
        <v>BUILDING</v>
      </c>
      <c r="E451" s="41" t="s">
        <v>708</v>
      </c>
      <c r="F451" s="62" t="str">
        <f>RIGHT(tblCost[[#This Row],[RequirementID]],1)</f>
        <v>1</v>
      </c>
      <c r="G451" s="41">
        <v>9</v>
      </c>
      <c r="H451" t="b">
        <f>COUNTIFS(tblCostChecklist[RequirementID],tblCost[[#This Row],[RequirementID]],tblCostChecklist[PlayerPaid],TRUE)&gt;0</f>
        <v>0</v>
      </c>
      <c r="I451" s="41">
        <f>COUNTIF(tblCost[TargetID],tblCost[[#This Row],[TargetID]])</f>
        <v>5</v>
      </c>
      <c r="J451" s="41">
        <f>COUNTIFS(tblCost[TargetID],tblCost[[#This Row],[TargetID]],tblCost[PlayerPaid],TRUE)</f>
        <v>0</v>
      </c>
      <c r="K451" s="41">
        <f>tblCost[[#This Row],[TargetRequirements]]-tblCost[[#This Row],[CompletedRequirements]]</f>
        <v>5</v>
      </c>
      <c r="L451" s="41" t="b">
        <f>tblCost[[#This Row],[RemainingRequirements]]=0</f>
        <v>0</v>
      </c>
      <c r="M451" s="43">
        <f>IF(tblCost[[#This Row],[TargetRequirements]]=0,0,tblCost[[#This Row],[CompletedRequirements]]/tblCost[[#This Row],[TargetRequirements]])</f>
        <v>0</v>
      </c>
    </row>
    <row r="452" spans="1:13">
      <c r="A452" s="41" t="s">
        <v>4100</v>
      </c>
      <c r="B452" s="41" t="str">
        <f>_xlfn.TEXTAFTER(_xlfn.TEXTBEFORE(tblCost[[#This Row],[RequirementID]],".",-2),"cost.")</f>
        <v>building.ship@3</v>
      </c>
      <c r="C452" s="41" t="str">
        <f>_xlfn.XLOOKUP(tblCost[[#This Row],[TargetID]],tblTargets[TargetID],tblTargets[DisplayName],"")</f>
        <v>Ship Lv 3</v>
      </c>
      <c r="D452" s="41" t="str">
        <f>_xlfn.XLOOKUP(tblCost[[#This Row],[TargetID]],tblTargets[TargetID],tblTargets[TargetType],"")</f>
        <v>BUILDING</v>
      </c>
      <c r="E452" s="41" t="s">
        <v>666</v>
      </c>
      <c r="F452" s="62" t="str">
        <f>RIGHT(tblCost[[#This Row],[RequirementID]],1)</f>
        <v>1</v>
      </c>
      <c r="G452" s="41">
        <v>1000</v>
      </c>
      <c r="H452" t="b">
        <f>COUNTIFS(tblCostChecklist[RequirementID],tblCost[[#This Row],[RequirementID]],tblCostChecklist[PlayerPaid],TRUE)&gt;0</f>
        <v>0</v>
      </c>
      <c r="I452" s="41">
        <f>COUNTIF(tblCost[TargetID],tblCost[[#This Row],[TargetID]])</f>
        <v>5</v>
      </c>
      <c r="J452" s="41">
        <f>COUNTIFS(tblCost[TargetID],tblCost[[#This Row],[TargetID]],tblCost[PlayerPaid],TRUE)</f>
        <v>0</v>
      </c>
      <c r="K452" s="41">
        <f>tblCost[[#This Row],[TargetRequirements]]-tblCost[[#This Row],[CompletedRequirements]]</f>
        <v>5</v>
      </c>
      <c r="L452" s="41" t="b">
        <f>tblCost[[#This Row],[RemainingRequirements]]=0</f>
        <v>0</v>
      </c>
      <c r="M452" s="43">
        <f>IF(tblCost[[#This Row],[TargetRequirements]]=0,0,tblCost[[#This Row],[CompletedRequirements]]/tblCost[[#This Row],[TargetRequirements]])</f>
        <v>0</v>
      </c>
    </row>
    <row r="453" spans="1:13">
      <c r="A453" s="41" t="s">
        <v>4101</v>
      </c>
      <c r="B453" s="41" t="str">
        <f>_xlfn.TEXTAFTER(_xlfn.TEXTBEFORE(tblCost[[#This Row],[RequirementID]],".",-2),"cost.")</f>
        <v>building.ship@3</v>
      </c>
      <c r="C453" s="41" t="str">
        <f>_xlfn.XLOOKUP(tblCost[[#This Row],[TargetID]],tblTargets[TargetID],tblTargets[DisplayName],"")</f>
        <v>Ship Lv 3</v>
      </c>
      <c r="D453" s="41" t="str">
        <f>_xlfn.XLOOKUP(tblCost[[#This Row],[TargetID]],tblTargets[TargetID],tblTargets[TargetType],"")</f>
        <v>BUILDING</v>
      </c>
      <c r="E453" s="41" t="s">
        <v>701</v>
      </c>
      <c r="F453" s="62" t="str">
        <f>RIGHT(tblCost[[#This Row],[RequirementID]],1)</f>
        <v>1</v>
      </c>
      <c r="G453" s="41">
        <v>1000</v>
      </c>
      <c r="H453" t="b">
        <f>COUNTIFS(tblCostChecklist[RequirementID],tblCost[[#This Row],[RequirementID]],tblCostChecklist[PlayerPaid],TRUE)&gt;0</f>
        <v>0</v>
      </c>
      <c r="I453" s="41">
        <f>COUNTIF(tblCost[TargetID],tblCost[[#This Row],[TargetID]])</f>
        <v>5</v>
      </c>
      <c r="J453" s="41">
        <f>COUNTIFS(tblCost[TargetID],tblCost[[#This Row],[TargetID]],tblCost[PlayerPaid],TRUE)</f>
        <v>0</v>
      </c>
      <c r="K453" s="41">
        <f>tblCost[[#This Row],[TargetRequirements]]-tblCost[[#This Row],[CompletedRequirements]]</f>
        <v>5</v>
      </c>
      <c r="L453" s="41" t="b">
        <f>tblCost[[#This Row],[RemainingRequirements]]=0</f>
        <v>0</v>
      </c>
      <c r="M453" s="43">
        <f>IF(tblCost[[#This Row],[TargetRequirements]]=0,0,tblCost[[#This Row],[CompletedRequirements]]/tblCost[[#This Row],[TargetRequirements]])</f>
        <v>0</v>
      </c>
    </row>
    <row r="454" spans="1:13">
      <c r="A454" s="41" t="s">
        <v>4102</v>
      </c>
      <c r="B454" s="41" t="str">
        <f>_xlfn.TEXTAFTER(_xlfn.TEXTBEFORE(tblCost[[#This Row],[RequirementID]],".",-2),"cost.")</f>
        <v>building.ship@3</v>
      </c>
      <c r="C454" s="41" t="str">
        <f>_xlfn.XLOOKUP(tblCost[[#This Row],[TargetID]],tblTargets[TargetID],tblTargets[DisplayName],"")</f>
        <v>Ship Lv 3</v>
      </c>
      <c r="D454" s="41" t="str">
        <f>_xlfn.XLOOKUP(tblCost[[#This Row],[TargetID]],tblTargets[TargetID],tblTargets[TargetType],"")</f>
        <v>BUILDING</v>
      </c>
      <c r="E454" s="41" t="s">
        <v>654</v>
      </c>
      <c r="F454" s="62" t="str">
        <f>RIGHT(tblCost[[#This Row],[RequirementID]],1)</f>
        <v>1</v>
      </c>
      <c r="G454" s="41">
        <v>1</v>
      </c>
      <c r="H454" t="b">
        <f>COUNTIFS(tblCostChecklist[RequirementID],tblCost[[#This Row],[RequirementID]],tblCostChecklist[PlayerPaid],TRUE)&gt;0</f>
        <v>0</v>
      </c>
      <c r="I454" s="41">
        <f>COUNTIF(tblCost[TargetID],tblCost[[#This Row],[TargetID]])</f>
        <v>5</v>
      </c>
      <c r="J454" s="41">
        <f>COUNTIFS(tblCost[TargetID],tblCost[[#This Row],[TargetID]],tblCost[PlayerPaid],TRUE)</f>
        <v>0</v>
      </c>
      <c r="K454" s="41">
        <f>tblCost[[#This Row],[TargetRequirements]]-tblCost[[#This Row],[CompletedRequirements]]</f>
        <v>5</v>
      </c>
      <c r="L454" s="41" t="b">
        <f>tblCost[[#This Row],[RemainingRequirements]]=0</f>
        <v>0</v>
      </c>
      <c r="M454" s="43">
        <f>IF(tblCost[[#This Row],[TargetRequirements]]=0,0,tblCost[[#This Row],[CompletedRequirements]]/tblCost[[#This Row],[TargetRequirements]])</f>
        <v>0</v>
      </c>
    </row>
    <row r="455" spans="1:13">
      <c r="A455" s="41" t="s">
        <v>4103</v>
      </c>
      <c r="B455" s="41" t="str">
        <f>_xlfn.TEXTAFTER(_xlfn.TEXTBEFORE(tblCost[[#This Row],[RequirementID]],".",-2),"cost.")</f>
        <v>building.ship@3</v>
      </c>
      <c r="C455" s="41" t="str">
        <f>_xlfn.XLOOKUP(tblCost[[#This Row],[TargetID]],tblTargets[TargetID],tblTargets[DisplayName],"")</f>
        <v>Ship Lv 3</v>
      </c>
      <c r="D455" s="41" t="str">
        <f>_xlfn.XLOOKUP(tblCost[[#This Row],[TargetID]],tblTargets[TargetID],tblTargets[TargetType],"")</f>
        <v>BUILDING</v>
      </c>
      <c r="E455" s="41" t="s">
        <v>715</v>
      </c>
      <c r="F455" s="62" t="str">
        <f>RIGHT(tblCost[[#This Row],[RequirementID]],1)</f>
        <v>1</v>
      </c>
      <c r="G455" s="41">
        <v>1</v>
      </c>
      <c r="H455" t="b">
        <f>COUNTIFS(tblCostChecklist[RequirementID],tblCost[[#This Row],[RequirementID]],tblCostChecklist[PlayerPaid],TRUE)&gt;0</f>
        <v>0</v>
      </c>
      <c r="I455" s="41">
        <f>COUNTIF(tblCost[TargetID],tblCost[[#This Row],[TargetID]])</f>
        <v>5</v>
      </c>
      <c r="J455" s="41">
        <f>COUNTIFS(tblCost[TargetID],tblCost[[#This Row],[TargetID]],tblCost[PlayerPaid],TRUE)</f>
        <v>0</v>
      </c>
      <c r="K455" s="41">
        <f>tblCost[[#This Row],[TargetRequirements]]-tblCost[[#This Row],[CompletedRequirements]]</f>
        <v>5</v>
      </c>
      <c r="L455" s="41" t="b">
        <f>tblCost[[#This Row],[RemainingRequirements]]=0</f>
        <v>0</v>
      </c>
      <c r="M455" s="43">
        <f>IF(tblCost[[#This Row],[TargetRequirements]]=0,0,tblCost[[#This Row],[CompletedRequirements]]/tblCost[[#This Row],[TargetRequirements]])</f>
        <v>0</v>
      </c>
    </row>
    <row r="456" spans="1:13">
      <c r="A456" s="41" t="s">
        <v>4104</v>
      </c>
      <c r="B456" s="41" t="str">
        <f>_xlfn.TEXTAFTER(_xlfn.TEXTBEFORE(tblCost[[#This Row],[RequirementID]],".",-2),"cost.")</f>
        <v>building.ship@4</v>
      </c>
      <c r="C456" s="41" t="str">
        <f>_xlfn.XLOOKUP(tblCost[[#This Row],[TargetID]],tblTargets[TargetID],tblTargets[DisplayName],"")</f>
        <v>Ship Lv 4</v>
      </c>
      <c r="D456" s="41" t="str">
        <f>_xlfn.XLOOKUP(tblCost[[#This Row],[TargetID]],tblTargets[TargetID],tblTargets[TargetType],"")</f>
        <v>BUILDING</v>
      </c>
      <c r="E456" s="41" t="s">
        <v>708</v>
      </c>
      <c r="F456" s="62" t="str">
        <f>RIGHT(tblCost[[#This Row],[RequirementID]],1)</f>
        <v>1</v>
      </c>
      <c r="G456" s="41">
        <v>10</v>
      </c>
      <c r="H456" t="b">
        <f>COUNTIFS(tblCostChecklist[RequirementID],tblCost[[#This Row],[RequirementID]],tblCostChecklist[PlayerPaid],TRUE)&gt;0</f>
        <v>0</v>
      </c>
      <c r="I456" s="41">
        <f>COUNTIF(tblCost[TargetID],tblCost[[#This Row],[TargetID]])</f>
        <v>5</v>
      </c>
      <c r="J456" s="41">
        <f>COUNTIFS(tblCost[TargetID],tblCost[[#This Row],[TargetID]],tblCost[PlayerPaid],TRUE)</f>
        <v>0</v>
      </c>
      <c r="K456" s="41">
        <f>tblCost[[#This Row],[TargetRequirements]]-tblCost[[#This Row],[CompletedRequirements]]</f>
        <v>5</v>
      </c>
      <c r="L456" s="41" t="b">
        <f>tblCost[[#This Row],[RemainingRequirements]]=0</f>
        <v>0</v>
      </c>
      <c r="M456" s="43">
        <f>IF(tblCost[[#This Row],[TargetRequirements]]=0,0,tblCost[[#This Row],[CompletedRequirements]]/tblCost[[#This Row],[TargetRequirements]])</f>
        <v>0</v>
      </c>
    </row>
    <row r="457" spans="1:13">
      <c r="A457" s="41" t="s">
        <v>4105</v>
      </c>
      <c r="B457" s="41" t="str">
        <f>_xlfn.TEXTAFTER(_xlfn.TEXTBEFORE(tblCost[[#This Row],[RequirementID]],".",-2),"cost.")</f>
        <v>building.ship@4</v>
      </c>
      <c r="C457" s="41" t="str">
        <f>_xlfn.XLOOKUP(tblCost[[#This Row],[TargetID]],tblTargets[TargetID],tblTargets[DisplayName],"")</f>
        <v>Ship Lv 4</v>
      </c>
      <c r="D457" s="41" t="str">
        <f>_xlfn.XLOOKUP(tblCost[[#This Row],[TargetID]],tblTargets[TargetID],tblTargets[TargetType],"")</f>
        <v>BUILDING</v>
      </c>
      <c r="E457" s="41" t="s">
        <v>666</v>
      </c>
      <c r="F457" s="62" t="str">
        <f>RIGHT(tblCost[[#This Row],[RequirementID]],1)</f>
        <v>1</v>
      </c>
      <c r="G457" s="41">
        <v>1000</v>
      </c>
      <c r="H457" t="b">
        <f>COUNTIFS(tblCostChecklist[RequirementID],tblCost[[#This Row],[RequirementID]],tblCostChecklist[PlayerPaid],TRUE)&gt;0</f>
        <v>0</v>
      </c>
      <c r="I457" s="41">
        <f>COUNTIF(tblCost[TargetID],tblCost[[#This Row],[TargetID]])</f>
        <v>5</v>
      </c>
      <c r="J457" s="41">
        <f>COUNTIFS(tblCost[TargetID],tblCost[[#This Row],[TargetID]],tblCost[PlayerPaid],TRUE)</f>
        <v>0</v>
      </c>
      <c r="K457" s="41">
        <f>tblCost[[#This Row],[TargetRequirements]]-tblCost[[#This Row],[CompletedRequirements]]</f>
        <v>5</v>
      </c>
      <c r="L457" s="41" t="b">
        <f>tblCost[[#This Row],[RemainingRequirements]]=0</f>
        <v>0</v>
      </c>
      <c r="M457" s="43">
        <f>IF(tblCost[[#This Row],[TargetRequirements]]=0,0,tblCost[[#This Row],[CompletedRequirements]]/tblCost[[#This Row],[TargetRequirements]])</f>
        <v>0</v>
      </c>
    </row>
    <row r="458" spans="1:13">
      <c r="A458" s="41" t="s">
        <v>4106</v>
      </c>
      <c r="B458" s="41" t="str">
        <f>_xlfn.TEXTAFTER(_xlfn.TEXTBEFORE(tblCost[[#This Row],[RequirementID]],".",-2),"cost.")</f>
        <v>building.ship@4</v>
      </c>
      <c r="C458" s="41" t="str">
        <f>_xlfn.XLOOKUP(tblCost[[#This Row],[TargetID]],tblTargets[TargetID],tblTargets[DisplayName],"")</f>
        <v>Ship Lv 4</v>
      </c>
      <c r="D458" s="41" t="str">
        <f>_xlfn.XLOOKUP(tblCost[[#This Row],[TargetID]],tblTargets[TargetID],tblTargets[TargetType],"")</f>
        <v>BUILDING</v>
      </c>
      <c r="E458" s="41" t="s">
        <v>701</v>
      </c>
      <c r="F458" s="62" t="str">
        <f>RIGHT(tblCost[[#This Row],[RequirementID]],1)</f>
        <v>1</v>
      </c>
      <c r="G458" s="41">
        <v>1000</v>
      </c>
      <c r="H458" t="b">
        <f>COUNTIFS(tblCostChecklist[RequirementID],tblCost[[#This Row],[RequirementID]],tblCostChecklist[PlayerPaid],TRUE)&gt;0</f>
        <v>0</v>
      </c>
      <c r="I458" s="41">
        <f>COUNTIF(tblCost[TargetID],tblCost[[#This Row],[TargetID]])</f>
        <v>5</v>
      </c>
      <c r="J458" s="41">
        <f>COUNTIFS(tblCost[TargetID],tblCost[[#This Row],[TargetID]],tblCost[PlayerPaid],TRUE)</f>
        <v>0</v>
      </c>
      <c r="K458" s="41">
        <f>tblCost[[#This Row],[TargetRequirements]]-tblCost[[#This Row],[CompletedRequirements]]</f>
        <v>5</v>
      </c>
      <c r="L458" s="41" t="b">
        <f>tblCost[[#This Row],[RemainingRequirements]]=0</f>
        <v>0</v>
      </c>
      <c r="M458" s="43">
        <f>IF(tblCost[[#This Row],[TargetRequirements]]=0,0,tblCost[[#This Row],[CompletedRequirements]]/tblCost[[#This Row],[TargetRequirements]])</f>
        <v>0</v>
      </c>
    </row>
    <row r="459" spans="1:13">
      <c r="A459" s="41" t="s">
        <v>4107</v>
      </c>
      <c r="B459" s="41" t="str">
        <f>_xlfn.TEXTAFTER(_xlfn.TEXTBEFORE(tblCost[[#This Row],[RequirementID]],".",-2),"cost.")</f>
        <v>building.ship@4</v>
      </c>
      <c r="C459" s="41" t="str">
        <f>_xlfn.XLOOKUP(tblCost[[#This Row],[TargetID]],tblTargets[TargetID],tblTargets[DisplayName],"")</f>
        <v>Ship Lv 4</v>
      </c>
      <c r="D459" s="41" t="str">
        <f>_xlfn.XLOOKUP(tblCost[[#This Row],[TargetID]],tblTargets[TargetID],tblTargets[TargetType],"")</f>
        <v>BUILDING</v>
      </c>
      <c r="E459" s="41" t="s">
        <v>715</v>
      </c>
      <c r="F459" s="62" t="str">
        <f>RIGHT(tblCost[[#This Row],[RequirementID]],1)</f>
        <v>1</v>
      </c>
      <c r="G459" s="41">
        <v>2</v>
      </c>
      <c r="H459" t="b">
        <f>COUNTIFS(tblCostChecklist[RequirementID],tblCost[[#This Row],[RequirementID]],tblCostChecklist[PlayerPaid],TRUE)&gt;0</f>
        <v>0</v>
      </c>
      <c r="I459" s="41">
        <f>COUNTIF(tblCost[TargetID],tblCost[[#This Row],[TargetID]])</f>
        <v>5</v>
      </c>
      <c r="J459" s="41">
        <f>COUNTIFS(tblCost[TargetID],tblCost[[#This Row],[TargetID]],tblCost[PlayerPaid],TRUE)</f>
        <v>0</v>
      </c>
      <c r="K459" s="41">
        <f>tblCost[[#This Row],[TargetRequirements]]-tblCost[[#This Row],[CompletedRequirements]]</f>
        <v>5</v>
      </c>
      <c r="L459" s="41" t="b">
        <f>tblCost[[#This Row],[RemainingRequirements]]=0</f>
        <v>0</v>
      </c>
      <c r="M459" s="43">
        <f>IF(tblCost[[#This Row],[TargetRequirements]]=0,0,tblCost[[#This Row],[CompletedRequirements]]/tblCost[[#This Row],[TargetRequirements]])</f>
        <v>0</v>
      </c>
    </row>
    <row r="460" spans="1:13">
      <c r="A460" s="41" t="s">
        <v>4108</v>
      </c>
      <c r="B460" s="41" t="str">
        <f>_xlfn.TEXTAFTER(_xlfn.TEXTBEFORE(tblCost[[#This Row],[RequirementID]],".",-2),"cost.")</f>
        <v>building.ship@4</v>
      </c>
      <c r="C460" s="41" t="str">
        <f>_xlfn.XLOOKUP(tblCost[[#This Row],[TargetID]],tblTargets[TargetID],tblTargets[DisplayName],"")</f>
        <v>Ship Lv 4</v>
      </c>
      <c r="D460" s="41" t="str">
        <f>_xlfn.XLOOKUP(tblCost[[#This Row],[TargetID]],tblTargets[TargetID],tblTargets[TargetType],"")</f>
        <v>BUILDING</v>
      </c>
      <c r="E460" s="41" t="s">
        <v>678</v>
      </c>
      <c r="F460" s="62" t="str">
        <f>RIGHT(tblCost[[#This Row],[RequirementID]],1)</f>
        <v>1</v>
      </c>
      <c r="G460" s="41">
        <v>200</v>
      </c>
      <c r="H460" t="b">
        <f>COUNTIFS(tblCostChecklist[RequirementID],tblCost[[#This Row],[RequirementID]],tblCostChecklist[PlayerPaid],TRUE)&gt;0</f>
        <v>0</v>
      </c>
      <c r="I460" s="41">
        <f>COUNTIF(tblCost[TargetID],tblCost[[#This Row],[TargetID]])</f>
        <v>5</v>
      </c>
      <c r="J460" s="41">
        <f>COUNTIFS(tblCost[TargetID],tblCost[[#This Row],[TargetID]],tblCost[PlayerPaid],TRUE)</f>
        <v>0</v>
      </c>
      <c r="K460" s="41">
        <f>tblCost[[#This Row],[TargetRequirements]]-tblCost[[#This Row],[CompletedRequirements]]</f>
        <v>5</v>
      </c>
      <c r="L460" s="41" t="b">
        <f>tblCost[[#This Row],[RemainingRequirements]]=0</f>
        <v>0</v>
      </c>
      <c r="M460" s="43">
        <f>IF(tblCost[[#This Row],[TargetRequirements]]=0,0,tblCost[[#This Row],[CompletedRequirements]]/tblCost[[#This Row],[TargetRequirements]])</f>
        <v>0</v>
      </c>
    </row>
    <row r="461" spans="1:13">
      <c r="A461" s="41" t="s">
        <v>4109</v>
      </c>
      <c r="B461" s="41" t="str">
        <f>_xlfn.TEXTAFTER(_xlfn.TEXTBEFORE(tblCost[[#This Row],[RequirementID]],".",-2),"cost.")</f>
        <v>building.shop@1</v>
      </c>
      <c r="C461" s="41" t="str">
        <f>_xlfn.XLOOKUP(tblCost[[#This Row],[TargetID]],tblTargets[TargetID],tblTargets[DisplayName],"")</f>
        <v>Shop Lv 1</v>
      </c>
      <c r="D461" s="41" t="str">
        <f>_xlfn.XLOOKUP(tblCost[[#This Row],[TargetID]],tblTargets[TargetID],tblTargets[TargetType],"")</f>
        <v>BUILDING</v>
      </c>
      <c r="E461" s="41" t="s">
        <v>708</v>
      </c>
      <c r="F461" s="62" t="str">
        <f>RIGHT(tblCost[[#This Row],[RequirementID]],1)</f>
        <v>1</v>
      </c>
      <c r="G461" s="41">
        <v>1</v>
      </c>
      <c r="H461" t="b">
        <f>COUNTIFS(tblCostChecklist[RequirementID],tblCost[[#This Row],[RequirementID]],tblCostChecklist[PlayerPaid],TRUE)&gt;0</f>
        <v>0</v>
      </c>
      <c r="I461" s="41">
        <f>COUNTIF(tblCost[TargetID],tblCost[[#This Row],[TargetID]])</f>
        <v>4</v>
      </c>
      <c r="J461" s="41">
        <f>COUNTIFS(tblCost[TargetID],tblCost[[#This Row],[TargetID]],tblCost[PlayerPaid],TRUE)</f>
        <v>0</v>
      </c>
      <c r="K461" s="41">
        <f>tblCost[[#This Row],[TargetRequirements]]-tblCost[[#This Row],[CompletedRequirements]]</f>
        <v>4</v>
      </c>
      <c r="L461" s="41" t="b">
        <f>tblCost[[#This Row],[RemainingRequirements]]=0</f>
        <v>0</v>
      </c>
      <c r="M461" s="43">
        <f>IF(tblCost[[#This Row],[TargetRequirements]]=0,0,tblCost[[#This Row],[CompletedRequirements]]/tblCost[[#This Row],[TargetRequirements]])</f>
        <v>0</v>
      </c>
    </row>
    <row r="462" spans="1:13">
      <c r="A462" s="41" t="s">
        <v>4110</v>
      </c>
      <c r="B462" s="41" t="str">
        <f>_xlfn.TEXTAFTER(_xlfn.TEXTBEFORE(tblCost[[#This Row],[RequirementID]],".",-2),"cost.")</f>
        <v>building.shop@1</v>
      </c>
      <c r="C462" s="41" t="str">
        <f>_xlfn.XLOOKUP(tblCost[[#This Row],[TargetID]],tblTargets[TargetID],tblTargets[DisplayName],"")</f>
        <v>Shop Lv 1</v>
      </c>
      <c r="D462" s="41" t="str">
        <f>_xlfn.XLOOKUP(tblCost[[#This Row],[TargetID]],tblTargets[TargetID],tblTargets[TargetType],"")</f>
        <v>BUILDING</v>
      </c>
      <c r="E462" s="41" t="s">
        <v>666</v>
      </c>
      <c r="F462" s="62" t="str">
        <f>RIGHT(tblCost[[#This Row],[RequirementID]],1)</f>
        <v>1</v>
      </c>
      <c r="G462" s="41">
        <v>100</v>
      </c>
      <c r="H462" t="b">
        <f>COUNTIFS(tblCostChecklist[RequirementID],tblCost[[#This Row],[RequirementID]],tblCostChecklist[PlayerPaid],TRUE)&gt;0</f>
        <v>0</v>
      </c>
      <c r="I462" s="41">
        <f>COUNTIF(tblCost[TargetID],tblCost[[#This Row],[TargetID]])</f>
        <v>4</v>
      </c>
      <c r="J462" s="41">
        <f>COUNTIFS(tblCost[TargetID],tblCost[[#This Row],[TargetID]],tblCost[PlayerPaid],TRUE)</f>
        <v>0</v>
      </c>
      <c r="K462" s="41">
        <f>tblCost[[#This Row],[TargetRequirements]]-tblCost[[#This Row],[CompletedRequirements]]</f>
        <v>4</v>
      </c>
      <c r="L462" s="41" t="b">
        <f>tblCost[[#This Row],[RemainingRequirements]]=0</f>
        <v>0</v>
      </c>
      <c r="M462" s="43">
        <f>IF(tblCost[[#This Row],[TargetRequirements]]=0,0,tblCost[[#This Row],[CompletedRequirements]]/tblCost[[#This Row],[TargetRequirements]])</f>
        <v>0</v>
      </c>
    </row>
    <row r="463" spans="1:13">
      <c r="A463" s="41" t="s">
        <v>4111</v>
      </c>
      <c r="B463" s="41" t="str">
        <f>_xlfn.TEXTAFTER(_xlfn.TEXTBEFORE(tblCost[[#This Row],[RequirementID]],".",-2),"cost.")</f>
        <v>building.shop@1</v>
      </c>
      <c r="C463" s="41" t="str">
        <f>_xlfn.XLOOKUP(tblCost[[#This Row],[TargetID]],tblTargets[TargetID],tblTargets[DisplayName],"")</f>
        <v>Shop Lv 1</v>
      </c>
      <c r="D463" s="41" t="str">
        <f>_xlfn.XLOOKUP(tblCost[[#This Row],[TargetID]],tblTargets[TargetID],tblTargets[TargetType],"")</f>
        <v>BUILDING</v>
      </c>
      <c r="E463" s="41" t="s">
        <v>723</v>
      </c>
      <c r="F463" s="62" t="str">
        <f>RIGHT(tblCost[[#This Row],[RequirementID]],1)</f>
        <v>1</v>
      </c>
      <c r="G463" s="41">
        <v>20</v>
      </c>
      <c r="H463" t="b">
        <f>COUNTIFS(tblCostChecklist[RequirementID],tblCost[[#This Row],[RequirementID]],tblCostChecklist[PlayerPaid],TRUE)&gt;0</f>
        <v>0</v>
      </c>
      <c r="I463" s="41">
        <f>COUNTIF(tblCost[TargetID],tblCost[[#This Row],[TargetID]])</f>
        <v>4</v>
      </c>
      <c r="J463" s="41">
        <f>COUNTIFS(tblCost[TargetID],tblCost[[#This Row],[TargetID]],tblCost[PlayerPaid],TRUE)</f>
        <v>0</v>
      </c>
      <c r="K463" s="41">
        <f>tblCost[[#This Row],[TargetRequirements]]-tblCost[[#This Row],[CompletedRequirements]]</f>
        <v>4</v>
      </c>
      <c r="L463" s="41" t="b">
        <f>tblCost[[#This Row],[RemainingRequirements]]=0</f>
        <v>0</v>
      </c>
      <c r="M463" s="43">
        <f>IF(tblCost[[#This Row],[TargetRequirements]]=0,0,tblCost[[#This Row],[CompletedRequirements]]/tblCost[[#This Row],[TargetRequirements]])</f>
        <v>0</v>
      </c>
    </row>
    <row r="464" spans="1:13">
      <c r="A464" s="41" t="s">
        <v>4112</v>
      </c>
      <c r="B464" s="41" t="str">
        <f>_xlfn.TEXTAFTER(_xlfn.TEXTBEFORE(tblCost[[#This Row],[RequirementID]],".",-2),"cost.")</f>
        <v>building.shop@1</v>
      </c>
      <c r="C464" s="41" t="str">
        <f>_xlfn.XLOOKUP(tblCost[[#This Row],[TargetID]],tblTargets[TargetID],tblTargets[DisplayName],"")</f>
        <v>Shop Lv 1</v>
      </c>
      <c r="D464" s="41" t="str">
        <f>_xlfn.XLOOKUP(tblCost[[#This Row],[TargetID]],tblTargets[TargetID],tblTargets[TargetType],"")</f>
        <v>BUILDING</v>
      </c>
      <c r="E464" s="41" t="s">
        <v>717</v>
      </c>
      <c r="F464" s="62" t="str">
        <f>RIGHT(tblCost[[#This Row],[RequirementID]],1)</f>
        <v>1</v>
      </c>
      <c r="G464" s="41">
        <v>20</v>
      </c>
      <c r="H464" t="b">
        <f>COUNTIFS(tblCostChecklist[RequirementID],tblCost[[#This Row],[RequirementID]],tblCostChecklist[PlayerPaid],TRUE)&gt;0</f>
        <v>0</v>
      </c>
      <c r="I464" s="41">
        <f>COUNTIF(tblCost[TargetID],tblCost[[#This Row],[TargetID]])</f>
        <v>4</v>
      </c>
      <c r="J464" s="41">
        <f>COUNTIFS(tblCost[TargetID],tblCost[[#This Row],[TargetID]],tblCost[PlayerPaid],TRUE)</f>
        <v>0</v>
      </c>
      <c r="K464" s="41">
        <f>tblCost[[#This Row],[TargetRequirements]]-tblCost[[#This Row],[CompletedRequirements]]</f>
        <v>4</v>
      </c>
      <c r="L464" s="41" t="b">
        <f>tblCost[[#This Row],[RemainingRequirements]]=0</f>
        <v>0</v>
      </c>
      <c r="M464" s="43">
        <f>IF(tblCost[[#This Row],[TargetRequirements]]=0,0,tblCost[[#This Row],[CompletedRequirements]]/tblCost[[#This Row],[TargetRequirements]])</f>
        <v>0</v>
      </c>
    </row>
    <row r="465" spans="1:13">
      <c r="A465" s="41" t="s">
        <v>4113</v>
      </c>
      <c r="B465" s="41" t="str">
        <f>_xlfn.TEXTAFTER(_xlfn.TEXTBEFORE(tblCost[[#This Row],[RequirementID]],".",-2),"cost.")</f>
        <v>building.shop@2</v>
      </c>
      <c r="C465" s="41" t="str">
        <f>_xlfn.XLOOKUP(tblCost[[#This Row],[TargetID]],tblTargets[TargetID],tblTargets[DisplayName],"")</f>
        <v>Shop Lv 2</v>
      </c>
      <c r="D465" s="41" t="str">
        <f>_xlfn.XLOOKUP(tblCost[[#This Row],[TargetID]],tblTargets[TargetID],tblTargets[TargetType],"")</f>
        <v>BUILDING</v>
      </c>
      <c r="E465" s="41" t="s">
        <v>708</v>
      </c>
      <c r="F465" s="62" t="str">
        <f>RIGHT(tblCost[[#This Row],[RequirementID]],1)</f>
        <v>1</v>
      </c>
      <c r="G465" s="41">
        <v>2</v>
      </c>
      <c r="H465" t="b">
        <f>COUNTIFS(tblCostChecklist[RequirementID],tblCost[[#This Row],[RequirementID]],tblCostChecklist[PlayerPaid],TRUE)&gt;0</f>
        <v>0</v>
      </c>
      <c r="I465" s="41">
        <f>COUNTIF(tblCost[TargetID],tblCost[[#This Row],[TargetID]])</f>
        <v>4</v>
      </c>
      <c r="J465" s="41">
        <f>COUNTIFS(tblCost[TargetID],tblCost[[#This Row],[TargetID]],tblCost[PlayerPaid],TRUE)</f>
        <v>0</v>
      </c>
      <c r="K465" s="41">
        <f>tblCost[[#This Row],[TargetRequirements]]-tblCost[[#This Row],[CompletedRequirements]]</f>
        <v>4</v>
      </c>
      <c r="L465" s="41" t="b">
        <f>tblCost[[#This Row],[RemainingRequirements]]=0</f>
        <v>0</v>
      </c>
      <c r="M465" s="43">
        <f>IF(tblCost[[#This Row],[TargetRequirements]]=0,0,tblCost[[#This Row],[CompletedRequirements]]/tblCost[[#This Row],[TargetRequirements]])</f>
        <v>0</v>
      </c>
    </row>
    <row r="466" spans="1:13">
      <c r="A466" s="41" t="s">
        <v>4114</v>
      </c>
      <c r="B466" s="41" t="str">
        <f>_xlfn.TEXTAFTER(_xlfn.TEXTBEFORE(tblCost[[#This Row],[RequirementID]],".",-2),"cost.")</f>
        <v>building.shop@2</v>
      </c>
      <c r="C466" s="41" t="str">
        <f>_xlfn.XLOOKUP(tblCost[[#This Row],[TargetID]],tblTargets[TargetID],tblTargets[DisplayName],"")</f>
        <v>Shop Lv 2</v>
      </c>
      <c r="D466" s="41" t="str">
        <f>_xlfn.XLOOKUP(tblCost[[#This Row],[TargetID]],tblTargets[TargetID],tblTargets[TargetType],"")</f>
        <v>BUILDING</v>
      </c>
      <c r="E466" s="41" t="s">
        <v>666</v>
      </c>
      <c r="F466" s="62" t="str">
        <f>RIGHT(tblCost[[#This Row],[RequirementID]],1)</f>
        <v>1</v>
      </c>
      <c r="G466" s="41">
        <v>400</v>
      </c>
      <c r="H466" t="b">
        <f>COUNTIFS(tblCostChecklist[RequirementID],tblCost[[#This Row],[RequirementID]],tblCostChecklist[PlayerPaid],TRUE)&gt;0</f>
        <v>0</v>
      </c>
      <c r="I466" s="41">
        <f>COUNTIF(tblCost[TargetID],tblCost[[#This Row],[TargetID]])</f>
        <v>4</v>
      </c>
      <c r="J466" s="41">
        <f>COUNTIFS(tblCost[TargetID],tblCost[[#This Row],[TargetID]],tblCost[PlayerPaid],TRUE)</f>
        <v>0</v>
      </c>
      <c r="K466" s="41">
        <f>tblCost[[#This Row],[TargetRequirements]]-tblCost[[#This Row],[CompletedRequirements]]</f>
        <v>4</v>
      </c>
      <c r="L466" s="41" t="b">
        <f>tblCost[[#This Row],[RemainingRequirements]]=0</f>
        <v>0</v>
      </c>
      <c r="M466" s="43">
        <f>IF(tblCost[[#This Row],[TargetRequirements]]=0,0,tblCost[[#This Row],[CompletedRequirements]]/tblCost[[#This Row],[TargetRequirements]])</f>
        <v>0</v>
      </c>
    </row>
    <row r="467" spans="1:13">
      <c r="A467" s="41" t="s">
        <v>4115</v>
      </c>
      <c r="B467" s="41" t="str">
        <f>_xlfn.TEXTAFTER(_xlfn.TEXTBEFORE(tblCost[[#This Row],[RequirementID]],".",-2),"cost.")</f>
        <v>building.shop@2</v>
      </c>
      <c r="C467" s="41" t="str">
        <f>_xlfn.XLOOKUP(tblCost[[#This Row],[TargetID]],tblTargets[TargetID],tblTargets[DisplayName],"")</f>
        <v>Shop Lv 2</v>
      </c>
      <c r="D467" s="41" t="str">
        <f>_xlfn.XLOOKUP(tblCost[[#This Row],[TargetID]],tblTargets[TargetID],tblTargets[TargetType],"")</f>
        <v>BUILDING</v>
      </c>
      <c r="E467" s="41" t="s">
        <v>723</v>
      </c>
      <c r="F467" s="62" t="str">
        <f>RIGHT(tblCost[[#This Row],[RequirementID]],1)</f>
        <v>1</v>
      </c>
      <c r="G467" s="41">
        <v>80</v>
      </c>
      <c r="H467" t="b">
        <f>COUNTIFS(tblCostChecklist[RequirementID],tblCost[[#This Row],[RequirementID]],tblCostChecklist[PlayerPaid],TRUE)&gt;0</f>
        <v>0</v>
      </c>
      <c r="I467" s="41">
        <f>COUNTIF(tblCost[TargetID],tblCost[[#This Row],[TargetID]])</f>
        <v>4</v>
      </c>
      <c r="J467" s="41">
        <f>COUNTIFS(tblCost[TargetID],tblCost[[#This Row],[TargetID]],tblCost[PlayerPaid],TRUE)</f>
        <v>0</v>
      </c>
      <c r="K467" s="41">
        <f>tblCost[[#This Row],[TargetRequirements]]-tblCost[[#This Row],[CompletedRequirements]]</f>
        <v>4</v>
      </c>
      <c r="L467" s="41" t="b">
        <f>tblCost[[#This Row],[RemainingRequirements]]=0</f>
        <v>0</v>
      </c>
      <c r="M467" s="43">
        <f>IF(tblCost[[#This Row],[TargetRequirements]]=0,0,tblCost[[#This Row],[CompletedRequirements]]/tblCost[[#This Row],[TargetRequirements]])</f>
        <v>0</v>
      </c>
    </row>
    <row r="468" spans="1:13">
      <c r="A468" s="41" t="s">
        <v>4116</v>
      </c>
      <c r="B468" s="41" t="str">
        <f>_xlfn.TEXTAFTER(_xlfn.TEXTBEFORE(tblCost[[#This Row],[RequirementID]],".",-2),"cost.")</f>
        <v>building.shop@2</v>
      </c>
      <c r="C468" s="41" t="str">
        <f>_xlfn.XLOOKUP(tblCost[[#This Row],[TargetID]],tblTargets[TargetID],tblTargets[DisplayName],"")</f>
        <v>Shop Lv 2</v>
      </c>
      <c r="D468" s="41" t="str">
        <f>_xlfn.XLOOKUP(tblCost[[#This Row],[TargetID]],tblTargets[TargetID],tblTargets[TargetType],"")</f>
        <v>BUILDING</v>
      </c>
      <c r="E468" s="41" t="s">
        <v>717</v>
      </c>
      <c r="F468" s="62" t="str">
        <f>RIGHT(tblCost[[#This Row],[RequirementID]],1)</f>
        <v>1</v>
      </c>
      <c r="G468" s="41">
        <v>80</v>
      </c>
      <c r="H468" t="b">
        <f>COUNTIFS(tblCostChecklist[RequirementID],tblCost[[#This Row],[RequirementID]],tblCostChecklist[PlayerPaid],TRUE)&gt;0</f>
        <v>0</v>
      </c>
      <c r="I468" s="41">
        <f>COUNTIF(tblCost[TargetID],tblCost[[#This Row],[TargetID]])</f>
        <v>4</v>
      </c>
      <c r="J468" s="41">
        <f>COUNTIFS(tblCost[TargetID],tblCost[[#This Row],[TargetID]],tblCost[PlayerPaid],TRUE)</f>
        <v>0</v>
      </c>
      <c r="K468" s="41">
        <f>tblCost[[#This Row],[TargetRequirements]]-tblCost[[#This Row],[CompletedRequirements]]</f>
        <v>4</v>
      </c>
      <c r="L468" s="41" t="b">
        <f>tblCost[[#This Row],[RemainingRequirements]]=0</f>
        <v>0</v>
      </c>
      <c r="M468" s="43">
        <f>IF(tblCost[[#This Row],[TargetRequirements]]=0,0,tblCost[[#This Row],[CompletedRequirements]]/tblCost[[#This Row],[TargetRequirements]])</f>
        <v>0</v>
      </c>
    </row>
    <row r="469" spans="1:13">
      <c r="A469" s="41" t="s">
        <v>4117</v>
      </c>
      <c r="B469" s="41" t="str">
        <f>_xlfn.TEXTAFTER(_xlfn.TEXTBEFORE(tblCost[[#This Row],[RequirementID]],".",-2),"cost.")</f>
        <v>building.shop@3</v>
      </c>
      <c r="C469" s="41" t="str">
        <f>_xlfn.XLOOKUP(tblCost[[#This Row],[TargetID]],tblTargets[TargetID],tblTargets[DisplayName],"")</f>
        <v>Shop Lv 3</v>
      </c>
      <c r="D469" s="41" t="str">
        <f>_xlfn.XLOOKUP(tblCost[[#This Row],[TargetID]],tblTargets[TargetID],tblTargets[TargetType],"")</f>
        <v>BUILDING</v>
      </c>
      <c r="E469" s="41" t="s">
        <v>708</v>
      </c>
      <c r="F469" s="62" t="str">
        <f>RIGHT(tblCost[[#This Row],[RequirementID]],1)</f>
        <v>1</v>
      </c>
      <c r="G469" s="41">
        <v>3</v>
      </c>
      <c r="H469" t="b">
        <f>COUNTIFS(tblCostChecklist[RequirementID],tblCost[[#This Row],[RequirementID]],tblCostChecklist[PlayerPaid],TRUE)&gt;0</f>
        <v>0</v>
      </c>
      <c r="I469" s="41">
        <f>COUNTIF(tblCost[TargetID],tblCost[[#This Row],[TargetID]])</f>
        <v>4</v>
      </c>
      <c r="J469" s="41">
        <f>COUNTIFS(tblCost[TargetID],tblCost[[#This Row],[TargetID]],tblCost[PlayerPaid],TRUE)</f>
        <v>0</v>
      </c>
      <c r="K469" s="41">
        <f>tblCost[[#This Row],[TargetRequirements]]-tblCost[[#This Row],[CompletedRequirements]]</f>
        <v>4</v>
      </c>
      <c r="L469" s="41" t="b">
        <f>tblCost[[#This Row],[RemainingRequirements]]=0</f>
        <v>0</v>
      </c>
      <c r="M469" s="43">
        <f>IF(tblCost[[#This Row],[TargetRequirements]]=0,0,tblCost[[#This Row],[CompletedRequirements]]/tblCost[[#This Row],[TargetRequirements]])</f>
        <v>0</v>
      </c>
    </row>
    <row r="470" spans="1:13">
      <c r="A470" s="41" t="s">
        <v>4118</v>
      </c>
      <c r="B470" s="41" t="str">
        <f>_xlfn.TEXTAFTER(_xlfn.TEXTBEFORE(tblCost[[#This Row],[RequirementID]],".",-2),"cost.")</f>
        <v>building.shop@3</v>
      </c>
      <c r="C470" s="41" t="str">
        <f>_xlfn.XLOOKUP(tblCost[[#This Row],[TargetID]],tblTargets[TargetID],tblTargets[DisplayName],"")</f>
        <v>Shop Lv 3</v>
      </c>
      <c r="D470" s="41" t="str">
        <f>_xlfn.XLOOKUP(tblCost[[#This Row],[TargetID]],tblTargets[TargetID],tblTargets[TargetType],"")</f>
        <v>BUILDING</v>
      </c>
      <c r="E470" s="41" t="s">
        <v>666</v>
      </c>
      <c r="F470" s="62" t="str">
        <f>RIGHT(tblCost[[#This Row],[RequirementID]],1)</f>
        <v>1</v>
      </c>
      <c r="G470" s="41">
        <v>800</v>
      </c>
      <c r="H470" t="b">
        <f>COUNTIFS(tblCostChecklist[RequirementID],tblCost[[#This Row],[RequirementID]],tblCostChecklist[PlayerPaid],TRUE)&gt;0</f>
        <v>0</v>
      </c>
      <c r="I470" s="41">
        <f>COUNTIF(tblCost[TargetID],tblCost[[#This Row],[TargetID]])</f>
        <v>4</v>
      </c>
      <c r="J470" s="41">
        <f>COUNTIFS(tblCost[TargetID],tblCost[[#This Row],[TargetID]],tblCost[PlayerPaid],TRUE)</f>
        <v>0</v>
      </c>
      <c r="K470" s="41">
        <f>tblCost[[#This Row],[TargetRequirements]]-tblCost[[#This Row],[CompletedRequirements]]</f>
        <v>4</v>
      </c>
      <c r="L470" s="41" t="b">
        <f>tblCost[[#This Row],[RemainingRequirements]]=0</f>
        <v>0</v>
      </c>
      <c r="M470" s="43">
        <f>IF(tblCost[[#This Row],[TargetRequirements]]=0,0,tblCost[[#This Row],[CompletedRequirements]]/tblCost[[#This Row],[TargetRequirements]])</f>
        <v>0</v>
      </c>
    </row>
    <row r="471" spans="1:13">
      <c r="A471" s="41" t="s">
        <v>4119</v>
      </c>
      <c r="B471" s="41" t="str">
        <f>_xlfn.TEXTAFTER(_xlfn.TEXTBEFORE(tblCost[[#This Row],[RequirementID]],".",-2),"cost.")</f>
        <v>building.shop@3</v>
      </c>
      <c r="C471" s="41" t="str">
        <f>_xlfn.XLOOKUP(tblCost[[#This Row],[TargetID]],tblTargets[TargetID],tblTargets[DisplayName],"")</f>
        <v>Shop Lv 3</v>
      </c>
      <c r="D471" s="41" t="str">
        <f>_xlfn.XLOOKUP(tblCost[[#This Row],[TargetID]],tblTargets[TargetID],tblTargets[TargetType],"")</f>
        <v>BUILDING</v>
      </c>
      <c r="E471" s="41" t="s">
        <v>658</v>
      </c>
      <c r="F471" s="62" t="str">
        <f>RIGHT(tblCost[[#This Row],[RequirementID]],1)</f>
        <v>1</v>
      </c>
      <c r="G471" s="41">
        <v>400</v>
      </c>
      <c r="H471" t="b">
        <f>COUNTIFS(tblCostChecklist[RequirementID],tblCost[[#This Row],[RequirementID]],tblCostChecklist[PlayerPaid],TRUE)&gt;0</f>
        <v>0</v>
      </c>
      <c r="I471" s="41">
        <f>COUNTIF(tblCost[TargetID],tblCost[[#This Row],[TargetID]])</f>
        <v>4</v>
      </c>
      <c r="J471" s="41">
        <f>COUNTIFS(tblCost[TargetID],tblCost[[#This Row],[TargetID]],tblCost[PlayerPaid],TRUE)</f>
        <v>0</v>
      </c>
      <c r="K471" s="41">
        <f>tblCost[[#This Row],[TargetRequirements]]-tblCost[[#This Row],[CompletedRequirements]]</f>
        <v>4</v>
      </c>
      <c r="L471" s="41" t="b">
        <f>tblCost[[#This Row],[RemainingRequirements]]=0</f>
        <v>0</v>
      </c>
      <c r="M471" s="43">
        <f>IF(tblCost[[#This Row],[TargetRequirements]]=0,0,tblCost[[#This Row],[CompletedRequirements]]/tblCost[[#This Row],[TargetRequirements]])</f>
        <v>0</v>
      </c>
    </row>
    <row r="472" spans="1:13">
      <c r="A472" s="41" t="s">
        <v>4120</v>
      </c>
      <c r="B472" s="41" t="str">
        <f>_xlfn.TEXTAFTER(_xlfn.TEXTBEFORE(tblCost[[#This Row],[RequirementID]],".",-2),"cost.")</f>
        <v>building.shop@3</v>
      </c>
      <c r="C472" s="41" t="str">
        <f>_xlfn.XLOOKUP(tblCost[[#This Row],[TargetID]],tblTargets[TargetID],tblTargets[DisplayName],"")</f>
        <v>Shop Lv 3</v>
      </c>
      <c r="D472" s="41" t="str">
        <f>_xlfn.XLOOKUP(tblCost[[#This Row],[TargetID]],tblTargets[TargetID],tblTargets[TargetType],"")</f>
        <v>BUILDING</v>
      </c>
      <c r="E472" s="41" t="s">
        <v>717</v>
      </c>
      <c r="F472" s="62" t="str">
        <f>RIGHT(tblCost[[#This Row],[RequirementID]],1)</f>
        <v>1</v>
      </c>
      <c r="G472" s="41">
        <v>200</v>
      </c>
      <c r="H472" t="b">
        <f>COUNTIFS(tblCostChecklist[RequirementID],tblCost[[#This Row],[RequirementID]],tblCostChecklist[PlayerPaid],TRUE)&gt;0</f>
        <v>0</v>
      </c>
      <c r="I472" s="41">
        <f>COUNTIF(tblCost[TargetID],tblCost[[#This Row],[TargetID]])</f>
        <v>4</v>
      </c>
      <c r="J472" s="41">
        <f>COUNTIFS(tblCost[TargetID],tblCost[[#This Row],[TargetID]],tblCost[PlayerPaid],TRUE)</f>
        <v>0</v>
      </c>
      <c r="K472" s="41">
        <f>tblCost[[#This Row],[TargetRequirements]]-tblCost[[#This Row],[CompletedRequirements]]</f>
        <v>4</v>
      </c>
      <c r="L472" s="41" t="b">
        <f>tblCost[[#This Row],[RemainingRequirements]]=0</f>
        <v>0</v>
      </c>
      <c r="M472" s="43">
        <f>IF(tblCost[[#This Row],[TargetRequirements]]=0,0,tblCost[[#This Row],[CompletedRequirements]]/tblCost[[#This Row],[TargetRequirements]])</f>
        <v>0</v>
      </c>
    </row>
    <row r="473" spans="1:13">
      <c r="A473" s="41" t="s">
        <v>4121</v>
      </c>
      <c r="B473" s="41" t="str">
        <f>_xlfn.TEXTAFTER(_xlfn.TEXTBEFORE(tblCost[[#This Row],[RequirementID]],".",-2),"cost.")</f>
        <v>building.smithy@1</v>
      </c>
      <c r="C473" s="41" t="str">
        <f>_xlfn.XLOOKUP(tblCost[[#This Row],[TargetID]],tblTargets[TargetID],tblTargets[DisplayName],"")</f>
        <v>Smithy Lv 1</v>
      </c>
      <c r="D473" s="41" t="str">
        <f>_xlfn.XLOOKUP(tblCost[[#This Row],[TargetID]],tblTargets[TargetID],tblTargets[TargetType],"")</f>
        <v>BUILDING</v>
      </c>
      <c r="E473" s="41" t="s">
        <v>708</v>
      </c>
      <c r="F473" s="62" t="str">
        <f>RIGHT(tblCost[[#This Row],[RequirementID]],1)</f>
        <v>1</v>
      </c>
      <c r="G473" s="41">
        <v>1</v>
      </c>
      <c r="H473" t="b">
        <f>COUNTIFS(tblCostChecklist[RequirementID],tblCost[[#This Row],[RequirementID]],tblCostChecklist[PlayerPaid],TRUE)&gt;0</f>
        <v>0</v>
      </c>
      <c r="I473" s="41">
        <f>COUNTIF(tblCost[TargetID],tblCost[[#This Row],[TargetID]])</f>
        <v>5</v>
      </c>
      <c r="J473" s="41">
        <f>COUNTIFS(tblCost[TargetID],tblCost[[#This Row],[TargetID]],tblCost[PlayerPaid],TRUE)</f>
        <v>0</v>
      </c>
      <c r="K473" s="41">
        <f>tblCost[[#This Row],[TargetRequirements]]-tblCost[[#This Row],[CompletedRequirements]]</f>
        <v>5</v>
      </c>
      <c r="L473" s="41" t="b">
        <f>tblCost[[#This Row],[RemainingRequirements]]=0</f>
        <v>0</v>
      </c>
      <c r="M473" s="43">
        <f>IF(tblCost[[#This Row],[TargetRequirements]]=0,0,tblCost[[#This Row],[CompletedRequirements]]/tblCost[[#This Row],[TargetRequirements]])</f>
        <v>0</v>
      </c>
    </row>
    <row r="474" spans="1:13">
      <c r="A474" s="41" t="s">
        <v>4122</v>
      </c>
      <c r="B474" s="41" t="str">
        <f>_xlfn.TEXTAFTER(_xlfn.TEXTBEFORE(tblCost[[#This Row],[RequirementID]],".",-2),"cost.")</f>
        <v>building.smithy@1</v>
      </c>
      <c r="C474" s="41" t="str">
        <f>_xlfn.XLOOKUP(tblCost[[#This Row],[TargetID]],tblTargets[TargetID],tblTargets[DisplayName],"")</f>
        <v>Smithy Lv 1</v>
      </c>
      <c r="D474" s="41" t="str">
        <f>_xlfn.XLOOKUP(tblCost[[#This Row],[TargetID]],tblTargets[TargetID],tblTargets[TargetType],"")</f>
        <v>BUILDING</v>
      </c>
      <c r="E474" s="41" t="s">
        <v>666</v>
      </c>
      <c r="F474" s="62" t="str">
        <f>RIGHT(tblCost[[#This Row],[RequirementID]],1)</f>
        <v>1</v>
      </c>
      <c r="G474" s="41">
        <v>240</v>
      </c>
      <c r="H474" t="b">
        <f>COUNTIFS(tblCostChecklist[RequirementID],tblCost[[#This Row],[RequirementID]],tblCostChecklist[PlayerPaid],TRUE)&gt;0</f>
        <v>0</v>
      </c>
      <c r="I474" s="41">
        <f>COUNTIF(tblCost[TargetID],tblCost[[#This Row],[TargetID]])</f>
        <v>5</v>
      </c>
      <c r="J474" s="41">
        <f>COUNTIFS(tblCost[TargetID],tblCost[[#This Row],[TargetID]],tblCost[PlayerPaid],TRUE)</f>
        <v>0</v>
      </c>
      <c r="K474" s="41">
        <f>tblCost[[#This Row],[TargetRequirements]]-tblCost[[#This Row],[CompletedRequirements]]</f>
        <v>5</v>
      </c>
      <c r="L474" s="41" t="b">
        <f>tblCost[[#This Row],[RemainingRequirements]]=0</f>
        <v>0</v>
      </c>
      <c r="M474" s="43">
        <f>IF(tblCost[[#This Row],[TargetRequirements]]=0,0,tblCost[[#This Row],[CompletedRequirements]]/tblCost[[#This Row],[TargetRequirements]])</f>
        <v>0</v>
      </c>
    </row>
    <row r="475" spans="1:13">
      <c r="A475" s="41" t="s">
        <v>4123</v>
      </c>
      <c r="B475" s="41" t="str">
        <f>_xlfn.TEXTAFTER(_xlfn.TEXTBEFORE(tblCost[[#This Row],[RequirementID]],".",-2),"cost.")</f>
        <v>building.smithy@1</v>
      </c>
      <c r="C475" s="41" t="str">
        <f>_xlfn.XLOOKUP(tblCost[[#This Row],[TargetID]],tblTargets[TargetID],tblTargets[DisplayName],"")</f>
        <v>Smithy Lv 1</v>
      </c>
      <c r="D475" s="41" t="str">
        <f>_xlfn.XLOOKUP(tblCost[[#This Row],[TargetID]],tblTargets[TargetID],tblTargets[TargetType],"")</f>
        <v>BUILDING</v>
      </c>
      <c r="E475" s="41" t="s">
        <v>723</v>
      </c>
      <c r="F475" s="62" t="str">
        <f>RIGHT(tblCost[[#This Row],[RequirementID]],1)</f>
        <v>1</v>
      </c>
      <c r="G475" s="41">
        <v>120</v>
      </c>
      <c r="H475" t="b">
        <f>COUNTIFS(tblCostChecklist[RequirementID],tblCost[[#This Row],[RequirementID]],tblCostChecklist[PlayerPaid],TRUE)&gt;0</f>
        <v>0</v>
      </c>
      <c r="I475" s="41">
        <f>COUNTIF(tblCost[TargetID],tblCost[[#This Row],[TargetID]])</f>
        <v>5</v>
      </c>
      <c r="J475" s="41">
        <f>COUNTIFS(tblCost[TargetID],tblCost[[#This Row],[TargetID]],tblCost[PlayerPaid],TRUE)</f>
        <v>0</v>
      </c>
      <c r="K475" s="41">
        <f>tblCost[[#This Row],[TargetRequirements]]-tblCost[[#This Row],[CompletedRequirements]]</f>
        <v>5</v>
      </c>
      <c r="L475" s="41" t="b">
        <f>tblCost[[#This Row],[RemainingRequirements]]=0</f>
        <v>0</v>
      </c>
      <c r="M475" s="43">
        <f>IF(tblCost[[#This Row],[TargetRequirements]]=0,0,tblCost[[#This Row],[CompletedRequirements]]/tblCost[[#This Row],[TargetRequirements]])</f>
        <v>0</v>
      </c>
    </row>
    <row r="476" spans="1:13">
      <c r="A476" s="41" t="s">
        <v>4124</v>
      </c>
      <c r="B476" s="41" t="str">
        <f>_xlfn.TEXTAFTER(_xlfn.TEXTBEFORE(tblCost[[#This Row],[RequirementID]],".",-2),"cost.")</f>
        <v>building.smithy@1</v>
      </c>
      <c r="C476" s="41" t="str">
        <f>_xlfn.XLOOKUP(tblCost[[#This Row],[TargetID]],tblTargets[TargetID],tblTargets[DisplayName],"")</f>
        <v>Smithy Lv 1</v>
      </c>
      <c r="D476" s="41" t="str">
        <f>_xlfn.XLOOKUP(tblCost[[#This Row],[TargetID]],tblTargets[TargetID],tblTargets[TargetType],"")</f>
        <v>BUILDING</v>
      </c>
      <c r="E476" s="41" t="s">
        <v>717</v>
      </c>
      <c r="F476" s="62" t="str">
        <f>RIGHT(tblCost[[#This Row],[RequirementID]],1)</f>
        <v>1</v>
      </c>
      <c r="G476" s="41">
        <v>120</v>
      </c>
      <c r="H476" t="b">
        <f>COUNTIFS(tblCostChecklist[RequirementID],tblCost[[#This Row],[RequirementID]],tblCostChecklist[PlayerPaid],TRUE)&gt;0</f>
        <v>0</v>
      </c>
      <c r="I476" s="41">
        <f>COUNTIF(tblCost[TargetID],tblCost[[#This Row],[TargetID]])</f>
        <v>5</v>
      </c>
      <c r="J476" s="41">
        <f>COUNTIFS(tblCost[TargetID],tblCost[[#This Row],[TargetID]],tblCost[PlayerPaid],TRUE)</f>
        <v>0</v>
      </c>
      <c r="K476" s="41">
        <f>tblCost[[#This Row],[TargetRequirements]]-tblCost[[#This Row],[CompletedRequirements]]</f>
        <v>5</v>
      </c>
      <c r="L476" s="41" t="b">
        <f>tblCost[[#This Row],[RemainingRequirements]]=0</f>
        <v>0</v>
      </c>
      <c r="M476" s="43">
        <f>IF(tblCost[[#This Row],[TargetRequirements]]=0,0,tblCost[[#This Row],[CompletedRequirements]]/tblCost[[#This Row],[TargetRequirements]])</f>
        <v>0</v>
      </c>
    </row>
    <row r="477" spans="1:13">
      <c r="A477" s="41" t="s">
        <v>4125</v>
      </c>
      <c r="B477" s="41" t="str">
        <f>_xlfn.TEXTAFTER(_xlfn.TEXTBEFORE(tblCost[[#This Row],[RequirementID]],".",-2),"cost.")</f>
        <v>building.smithy@1</v>
      </c>
      <c r="C477" s="41" t="str">
        <f>_xlfn.XLOOKUP(tblCost[[#This Row],[TargetID]],tblTargets[TargetID],tblTargets[DisplayName],"")</f>
        <v>Smithy Lv 1</v>
      </c>
      <c r="D477" s="41" t="str">
        <f>_xlfn.XLOOKUP(tblCost[[#This Row],[TargetID]],tblTargets[TargetID],tblTargets[TargetType],"")</f>
        <v>BUILDING</v>
      </c>
      <c r="E477" s="41" t="s">
        <v>716</v>
      </c>
      <c r="F477" s="62" t="str">
        <f>RIGHT(tblCost[[#This Row],[RequirementID]],1)</f>
        <v>1</v>
      </c>
      <c r="G477" s="41">
        <v>20</v>
      </c>
      <c r="H477" t="b">
        <f>COUNTIFS(tblCostChecklist[RequirementID],tblCost[[#This Row],[RequirementID]],tblCostChecklist[PlayerPaid],TRUE)&gt;0</f>
        <v>0</v>
      </c>
      <c r="I477" s="41">
        <f>COUNTIF(tblCost[TargetID],tblCost[[#This Row],[TargetID]])</f>
        <v>5</v>
      </c>
      <c r="J477" s="41">
        <f>COUNTIFS(tblCost[TargetID],tblCost[[#This Row],[TargetID]],tblCost[PlayerPaid],TRUE)</f>
        <v>0</v>
      </c>
      <c r="K477" s="41">
        <f>tblCost[[#This Row],[TargetRequirements]]-tblCost[[#This Row],[CompletedRequirements]]</f>
        <v>5</v>
      </c>
      <c r="L477" s="41" t="b">
        <f>tblCost[[#This Row],[RemainingRequirements]]=0</f>
        <v>0</v>
      </c>
      <c r="M477" s="43">
        <f>IF(tblCost[[#This Row],[TargetRequirements]]=0,0,tblCost[[#This Row],[CompletedRequirements]]/tblCost[[#This Row],[TargetRequirements]])</f>
        <v>0</v>
      </c>
    </row>
    <row r="478" spans="1:13">
      <c r="A478" s="41" t="s">
        <v>4126</v>
      </c>
      <c r="B478" s="41" t="str">
        <f>_xlfn.TEXTAFTER(_xlfn.TEXTBEFORE(tblCost[[#This Row],[RequirementID]],".",-2),"cost.")</f>
        <v>building.smithy@2</v>
      </c>
      <c r="C478" s="41" t="str">
        <f>_xlfn.XLOOKUP(tblCost[[#This Row],[TargetID]],tblTargets[TargetID],tblTargets[DisplayName],"")</f>
        <v>Smithy Lv 2</v>
      </c>
      <c r="D478" s="41" t="str">
        <f>_xlfn.XLOOKUP(tblCost[[#This Row],[TargetID]],tblTargets[TargetID],tblTargets[TargetType],"")</f>
        <v>BUILDING</v>
      </c>
      <c r="E478" s="41" t="s">
        <v>708</v>
      </c>
      <c r="F478" s="62" t="str">
        <f>RIGHT(tblCost[[#This Row],[RequirementID]],1)</f>
        <v>1</v>
      </c>
      <c r="G478" s="41">
        <v>2</v>
      </c>
      <c r="H478" t="b">
        <f>COUNTIFS(tblCostChecklist[RequirementID],tblCost[[#This Row],[RequirementID]],tblCostChecklist[PlayerPaid],TRUE)&gt;0</f>
        <v>0</v>
      </c>
      <c r="I478" s="41">
        <f>COUNTIF(tblCost[TargetID],tblCost[[#This Row],[TargetID]])</f>
        <v>5</v>
      </c>
      <c r="J478" s="41">
        <f>COUNTIFS(tblCost[TargetID],tblCost[[#This Row],[TargetID]],tblCost[PlayerPaid],TRUE)</f>
        <v>0</v>
      </c>
      <c r="K478" s="41">
        <f>tblCost[[#This Row],[TargetRequirements]]-tblCost[[#This Row],[CompletedRequirements]]</f>
        <v>5</v>
      </c>
      <c r="L478" s="41" t="b">
        <f>tblCost[[#This Row],[RemainingRequirements]]=0</f>
        <v>0</v>
      </c>
      <c r="M478" s="43">
        <f>IF(tblCost[[#This Row],[TargetRequirements]]=0,0,tblCost[[#This Row],[CompletedRequirements]]/tblCost[[#This Row],[TargetRequirements]])</f>
        <v>0</v>
      </c>
    </row>
    <row r="479" spans="1:13">
      <c r="A479" s="41" t="s">
        <v>4127</v>
      </c>
      <c r="B479" s="41" t="str">
        <f>_xlfn.TEXTAFTER(_xlfn.TEXTBEFORE(tblCost[[#This Row],[RequirementID]],".",-2),"cost.")</f>
        <v>building.smithy@2</v>
      </c>
      <c r="C479" s="41" t="str">
        <f>_xlfn.XLOOKUP(tblCost[[#This Row],[TargetID]],tblTargets[TargetID],tblTargets[DisplayName],"")</f>
        <v>Smithy Lv 2</v>
      </c>
      <c r="D479" s="41" t="str">
        <f>_xlfn.XLOOKUP(tblCost[[#This Row],[TargetID]],tblTargets[TargetID],tblTargets[TargetType],"")</f>
        <v>BUILDING</v>
      </c>
      <c r="E479" s="41" t="s">
        <v>666</v>
      </c>
      <c r="F479" s="62" t="str">
        <f>RIGHT(tblCost[[#This Row],[RequirementID]],1)</f>
        <v>1</v>
      </c>
      <c r="G479" s="41">
        <v>280</v>
      </c>
      <c r="H479" t="b">
        <f>COUNTIFS(tblCostChecklist[RequirementID],tblCost[[#This Row],[RequirementID]],tblCostChecklist[PlayerPaid],TRUE)&gt;0</f>
        <v>0</v>
      </c>
      <c r="I479" s="41">
        <f>COUNTIF(tblCost[TargetID],tblCost[[#This Row],[TargetID]])</f>
        <v>5</v>
      </c>
      <c r="J479" s="41">
        <f>COUNTIFS(tblCost[TargetID],tblCost[[#This Row],[TargetID]],tblCost[PlayerPaid],TRUE)</f>
        <v>0</v>
      </c>
      <c r="K479" s="41">
        <f>tblCost[[#This Row],[TargetRequirements]]-tblCost[[#This Row],[CompletedRequirements]]</f>
        <v>5</v>
      </c>
      <c r="L479" s="41" t="b">
        <f>tblCost[[#This Row],[RemainingRequirements]]=0</f>
        <v>0</v>
      </c>
      <c r="M479" s="43">
        <f>IF(tblCost[[#This Row],[TargetRequirements]]=0,0,tblCost[[#This Row],[CompletedRequirements]]/tblCost[[#This Row],[TargetRequirements]])</f>
        <v>0</v>
      </c>
    </row>
    <row r="480" spans="1:13">
      <c r="A480" s="41" t="s">
        <v>4128</v>
      </c>
      <c r="B480" s="41" t="str">
        <f>_xlfn.TEXTAFTER(_xlfn.TEXTBEFORE(tblCost[[#This Row],[RequirementID]],".",-2),"cost.")</f>
        <v>building.smithy@2</v>
      </c>
      <c r="C480" s="41" t="str">
        <f>_xlfn.XLOOKUP(tblCost[[#This Row],[TargetID]],tblTargets[TargetID],tblTargets[DisplayName],"")</f>
        <v>Smithy Lv 2</v>
      </c>
      <c r="D480" s="41" t="str">
        <f>_xlfn.XLOOKUP(tblCost[[#This Row],[TargetID]],tblTargets[TargetID],tblTargets[TargetType],"")</f>
        <v>BUILDING</v>
      </c>
      <c r="E480" s="41" t="s">
        <v>723</v>
      </c>
      <c r="F480" s="62" t="str">
        <f>RIGHT(tblCost[[#This Row],[RequirementID]],1)</f>
        <v>1</v>
      </c>
      <c r="G480" s="41">
        <v>140</v>
      </c>
      <c r="H480" t="b">
        <f>COUNTIFS(tblCostChecklist[RequirementID],tblCost[[#This Row],[RequirementID]],tblCostChecklist[PlayerPaid],TRUE)&gt;0</f>
        <v>0</v>
      </c>
      <c r="I480" s="41">
        <f>COUNTIF(tblCost[TargetID],tblCost[[#This Row],[TargetID]])</f>
        <v>5</v>
      </c>
      <c r="J480" s="41">
        <f>COUNTIFS(tblCost[TargetID],tblCost[[#This Row],[TargetID]],tblCost[PlayerPaid],TRUE)</f>
        <v>0</v>
      </c>
      <c r="K480" s="41">
        <f>tblCost[[#This Row],[TargetRequirements]]-tblCost[[#This Row],[CompletedRequirements]]</f>
        <v>5</v>
      </c>
      <c r="L480" s="41" t="b">
        <f>tblCost[[#This Row],[RemainingRequirements]]=0</f>
        <v>0</v>
      </c>
      <c r="M480" s="43">
        <f>IF(tblCost[[#This Row],[TargetRequirements]]=0,0,tblCost[[#This Row],[CompletedRequirements]]/tblCost[[#This Row],[TargetRequirements]])</f>
        <v>0</v>
      </c>
    </row>
    <row r="481" spans="1:13">
      <c r="A481" s="41" t="s">
        <v>4129</v>
      </c>
      <c r="B481" s="41" t="str">
        <f>_xlfn.TEXTAFTER(_xlfn.TEXTBEFORE(tblCost[[#This Row],[RequirementID]],".",-2),"cost.")</f>
        <v>building.smithy@2</v>
      </c>
      <c r="C481" s="41" t="str">
        <f>_xlfn.XLOOKUP(tblCost[[#This Row],[TargetID]],tblTargets[TargetID],tblTargets[DisplayName],"")</f>
        <v>Smithy Lv 2</v>
      </c>
      <c r="D481" s="41" t="str">
        <f>_xlfn.XLOOKUP(tblCost[[#This Row],[TargetID]],tblTargets[TargetID],tblTargets[TargetType],"")</f>
        <v>BUILDING</v>
      </c>
      <c r="E481" s="41" t="s">
        <v>717</v>
      </c>
      <c r="F481" s="62" t="str">
        <f>RIGHT(tblCost[[#This Row],[RequirementID]],1)</f>
        <v>1</v>
      </c>
      <c r="G481" s="41">
        <v>140</v>
      </c>
      <c r="H481" t="b">
        <f>COUNTIFS(tblCostChecklist[RequirementID],tblCost[[#This Row],[RequirementID]],tblCostChecklist[PlayerPaid],TRUE)&gt;0</f>
        <v>0</v>
      </c>
      <c r="I481" s="41">
        <f>COUNTIF(tblCost[TargetID],tblCost[[#This Row],[TargetID]])</f>
        <v>5</v>
      </c>
      <c r="J481" s="41">
        <f>COUNTIFS(tblCost[TargetID],tblCost[[#This Row],[TargetID]],tblCost[PlayerPaid],TRUE)</f>
        <v>0</v>
      </c>
      <c r="K481" s="41">
        <f>tblCost[[#This Row],[TargetRequirements]]-tblCost[[#This Row],[CompletedRequirements]]</f>
        <v>5</v>
      </c>
      <c r="L481" s="41" t="b">
        <f>tblCost[[#This Row],[RemainingRequirements]]=0</f>
        <v>0</v>
      </c>
      <c r="M481" s="43">
        <f>IF(tblCost[[#This Row],[TargetRequirements]]=0,0,tblCost[[#This Row],[CompletedRequirements]]/tblCost[[#This Row],[TargetRequirements]])</f>
        <v>0</v>
      </c>
    </row>
    <row r="482" spans="1:13">
      <c r="A482" s="41" t="s">
        <v>4130</v>
      </c>
      <c r="B482" s="41" t="str">
        <f>_xlfn.TEXTAFTER(_xlfn.TEXTBEFORE(tblCost[[#This Row],[RequirementID]],".",-2),"cost.")</f>
        <v>building.smithy@2</v>
      </c>
      <c r="C482" s="41" t="str">
        <f>_xlfn.XLOOKUP(tblCost[[#This Row],[TargetID]],tblTargets[TargetID],tblTargets[DisplayName],"")</f>
        <v>Smithy Lv 2</v>
      </c>
      <c r="D482" s="41" t="str">
        <f>_xlfn.XLOOKUP(tblCost[[#This Row],[TargetID]],tblTargets[TargetID],tblTargets[TargetType],"")</f>
        <v>BUILDING</v>
      </c>
      <c r="E482" s="41" t="s">
        <v>716</v>
      </c>
      <c r="F482" s="62" t="str">
        <f>RIGHT(tblCost[[#This Row],[RequirementID]],1)</f>
        <v>1</v>
      </c>
      <c r="G482" s="41">
        <v>40</v>
      </c>
      <c r="H482" t="b">
        <f>COUNTIFS(tblCostChecklist[RequirementID],tblCost[[#This Row],[RequirementID]],tblCostChecklist[PlayerPaid],TRUE)&gt;0</f>
        <v>0</v>
      </c>
      <c r="I482" s="41">
        <f>COUNTIF(tblCost[TargetID],tblCost[[#This Row],[TargetID]])</f>
        <v>5</v>
      </c>
      <c r="J482" s="41">
        <f>COUNTIFS(tblCost[TargetID],tblCost[[#This Row],[TargetID]],tblCost[PlayerPaid],TRUE)</f>
        <v>0</v>
      </c>
      <c r="K482" s="41">
        <f>tblCost[[#This Row],[TargetRequirements]]-tblCost[[#This Row],[CompletedRequirements]]</f>
        <v>5</v>
      </c>
      <c r="L482" s="41" t="b">
        <f>tblCost[[#This Row],[RemainingRequirements]]=0</f>
        <v>0</v>
      </c>
      <c r="M482" s="43">
        <f>IF(tblCost[[#This Row],[TargetRequirements]]=0,0,tblCost[[#This Row],[CompletedRequirements]]/tblCost[[#This Row],[TargetRequirements]])</f>
        <v>0</v>
      </c>
    </row>
    <row r="483" spans="1:13">
      <c r="A483" s="41" t="s">
        <v>4131</v>
      </c>
      <c r="B483" s="41" t="str">
        <f>_xlfn.TEXTAFTER(_xlfn.TEXTBEFORE(tblCost[[#This Row],[RequirementID]],".",-2),"cost.")</f>
        <v>building.smithy@3</v>
      </c>
      <c r="C483" s="41" t="str">
        <f>_xlfn.XLOOKUP(tblCost[[#This Row],[TargetID]],tblTargets[TargetID],tblTargets[DisplayName],"")</f>
        <v>Smithy Lv 3</v>
      </c>
      <c r="D483" s="41" t="str">
        <f>_xlfn.XLOOKUP(tblCost[[#This Row],[TargetID]],tblTargets[TargetID],tblTargets[TargetType],"")</f>
        <v>BUILDING</v>
      </c>
      <c r="E483" s="41" t="s">
        <v>708</v>
      </c>
      <c r="F483" s="62" t="str">
        <f>RIGHT(tblCost[[#This Row],[RequirementID]],1)</f>
        <v>1</v>
      </c>
      <c r="G483" s="41">
        <v>4</v>
      </c>
      <c r="H483" t="b">
        <f>COUNTIFS(tblCostChecklist[RequirementID],tblCost[[#This Row],[RequirementID]],tblCostChecklist[PlayerPaid],TRUE)&gt;0</f>
        <v>0</v>
      </c>
      <c r="I483" s="41">
        <f>COUNTIF(tblCost[TargetID],tblCost[[#This Row],[TargetID]])</f>
        <v>5</v>
      </c>
      <c r="J483" s="41">
        <f>COUNTIFS(tblCost[TargetID],tblCost[[#This Row],[TargetID]],tblCost[PlayerPaid],TRUE)</f>
        <v>0</v>
      </c>
      <c r="K483" s="41">
        <f>tblCost[[#This Row],[TargetRequirements]]-tblCost[[#This Row],[CompletedRequirements]]</f>
        <v>5</v>
      </c>
      <c r="L483" s="41" t="b">
        <f>tblCost[[#This Row],[RemainingRequirements]]=0</f>
        <v>0</v>
      </c>
      <c r="M483" s="43">
        <f>IF(tblCost[[#This Row],[TargetRequirements]]=0,0,tblCost[[#This Row],[CompletedRequirements]]/tblCost[[#This Row],[TargetRequirements]])</f>
        <v>0</v>
      </c>
    </row>
    <row r="484" spans="1:13">
      <c r="A484" s="41" t="s">
        <v>4132</v>
      </c>
      <c r="B484" s="41" t="str">
        <f>_xlfn.TEXTAFTER(_xlfn.TEXTBEFORE(tblCost[[#This Row],[RequirementID]],".",-2),"cost.")</f>
        <v>building.smithy@3</v>
      </c>
      <c r="C484" s="41" t="str">
        <f>_xlfn.XLOOKUP(tblCost[[#This Row],[TargetID]],tblTargets[TargetID],tblTargets[DisplayName],"")</f>
        <v>Smithy Lv 3</v>
      </c>
      <c r="D484" s="41" t="str">
        <f>_xlfn.XLOOKUP(tblCost[[#This Row],[TargetID]],tblTargets[TargetID],tblTargets[TargetType],"")</f>
        <v>BUILDING</v>
      </c>
      <c r="E484" s="41" t="s">
        <v>666</v>
      </c>
      <c r="F484" s="62" t="str">
        <f>RIGHT(tblCost[[#This Row],[RequirementID]],1)</f>
        <v>1</v>
      </c>
      <c r="G484" s="41">
        <v>500</v>
      </c>
      <c r="H484" t="b">
        <f>COUNTIFS(tblCostChecklist[RequirementID],tblCost[[#This Row],[RequirementID]],tblCostChecklist[PlayerPaid],TRUE)&gt;0</f>
        <v>0</v>
      </c>
      <c r="I484" s="41">
        <f>COUNTIF(tblCost[TargetID],tblCost[[#This Row],[TargetID]])</f>
        <v>5</v>
      </c>
      <c r="J484" s="41">
        <f>COUNTIFS(tblCost[TargetID],tblCost[[#This Row],[TargetID]],tblCost[PlayerPaid],TRUE)</f>
        <v>0</v>
      </c>
      <c r="K484" s="41">
        <f>tblCost[[#This Row],[TargetRequirements]]-tblCost[[#This Row],[CompletedRequirements]]</f>
        <v>5</v>
      </c>
      <c r="L484" s="41" t="b">
        <f>tblCost[[#This Row],[RemainingRequirements]]=0</f>
        <v>0</v>
      </c>
      <c r="M484" s="43">
        <f>IF(tblCost[[#This Row],[TargetRequirements]]=0,0,tblCost[[#This Row],[CompletedRequirements]]/tblCost[[#This Row],[TargetRequirements]])</f>
        <v>0</v>
      </c>
    </row>
    <row r="485" spans="1:13">
      <c r="A485" s="41" t="s">
        <v>4133</v>
      </c>
      <c r="B485" s="41" t="str">
        <f>_xlfn.TEXTAFTER(_xlfn.TEXTBEFORE(tblCost[[#This Row],[RequirementID]],".",-2),"cost.")</f>
        <v>building.smithy@3</v>
      </c>
      <c r="C485" s="41" t="str">
        <f>_xlfn.XLOOKUP(tblCost[[#This Row],[TargetID]],tblTargets[TargetID],tblTargets[DisplayName],"")</f>
        <v>Smithy Lv 3</v>
      </c>
      <c r="D485" s="41" t="str">
        <f>_xlfn.XLOOKUP(tblCost[[#This Row],[TargetID]],tblTargets[TargetID],tblTargets[TargetType],"")</f>
        <v>BUILDING</v>
      </c>
      <c r="E485" s="41" t="s">
        <v>658</v>
      </c>
      <c r="F485" s="62" t="str">
        <f>RIGHT(tblCost[[#This Row],[RequirementID]],1)</f>
        <v>1</v>
      </c>
      <c r="G485" s="41">
        <v>400</v>
      </c>
      <c r="H485" t="b">
        <f>COUNTIFS(tblCostChecklist[RequirementID],tblCost[[#This Row],[RequirementID]],tblCostChecklist[PlayerPaid],TRUE)&gt;0</f>
        <v>0</v>
      </c>
      <c r="I485" s="41">
        <f>COUNTIF(tblCost[TargetID],tblCost[[#This Row],[TargetID]])</f>
        <v>5</v>
      </c>
      <c r="J485" s="41">
        <f>COUNTIFS(tblCost[TargetID],tblCost[[#This Row],[TargetID]],tblCost[PlayerPaid],TRUE)</f>
        <v>0</v>
      </c>
      <c r="K485" s="41">
        <f>tblCost[[#This Row],[TargetRequirements]]-tblCost[[#This Row],[CompletedRequirements]]</f>
        <v>5</v>
      </c>
      <c r="L485" s="41" t="b">
        <f>tblCost[[#This Row],[RemainingRequirements]]=0</f>
        <v>0</v>
      </c>
      <c r="M485" s="43">
        <f>IF(tblCost[[#This Row],[TargetRequirements]]=0,0,tblCost[[#This Row],[CompletedRequirements]]/tblCost[[#This Row],[TargetRequirements]])</f>
        <v>0</v>
      </c>
    </row>
    <row r="486" spans="1:13">
      <c r="A486" s="41" t="s">
        <v>4134</v>
      </c>
      <c r="B486" s="41" t="str">
        <f>_xlfn.TEXTAFTER(_xlfn.TEXTBEFORE(tblCost[[#This Row],[RequirementID]],".",-2),"cost.")</f>
        <v>building.smithy@3</v>
      </c>
      <c r="C486" s="41" t="str">
        <f>_xlfn.XLOOKUP(tblCost[[#This Row],[TargetID]],tblTargets[TargetID],tblTargets[DisplayName],"")</f>
        <v>Smithy Lv 3</v>
      </c>
      <c r="D486" s="41" t="str">
        <f>_xlfn.XLOOKUP(tblCost[[#This Row],[TargetID]],tblTargets[TargetID],tblTargets[TargetType],"")</f>
        <v>BUILDING</v>
      </c>
      <c r="E486" s="41" t="s">
        <v>717</v>
      </c>
      <c r="F486" s="62" t="str">
        <f>RIGHT(tblCost[[#This Row],[RequirementID]],1)</f>
        <v>1</v>
      </c>
      <c r="G486" s="41">
        <v>200</v>
      </c>
      <c r="H486" t="b">
        <f>COUNTIFS(tblCostChecklist[RequirementID],tblCost[[#This Row],[RequirementID]],tblCostChecklist[PlayerPaid],TRUE)&gt;0</f>
        <v>0</v>
      </c>
      <c r="I486" s="41">
        <f>COUNTIF(tblCost[TargetID],tblCost[[#This Row],[TargetID]])</f>
        <v>5</v>
      </c>
      <c r="J486" s="41">
        <f>COUNTIFS(tblCost[TargetID],tblCost[[#This Row],[TargetID]],tblCost[PlayerPaid],TRUE)</f>
        <v>0</v>
      </c>
      <c r="K486" s="41">
        <f>tblCost[[#This Row],[TargetRequirements]]-tblCost[[#This Row],[CompletedRequirements]]</f>
        <v>5</v>
      </c>
      <c r="L486" s="41" t="b">
        <f>tblCost[[#This Row],[RemainingRequirements]]=0</f>
        <v>0</v>
      </c>
      <c r="M486" s="43">
        <f>IF(tblCost[[#This Row],[TargetRequirements]]=0,0,tblCost[[#This Row],[CompletedRequirements]]/tblCost[[#This Row],[TargetRequirements]])</f>
        <v>0</v>
      </c>
    </row>
    <row r="487" spans="1:13">
      <c r="A487" s="41" t="s">
        <v>4135</v>
      </c>
      <c r="B487" s="41" t="str">
        <f>_xlfn.TEXTAFTER(_xlfn.TEXTBEFORE(tblCost[[#This Row],[RequirementID]],".",-2),"cost.")</f>
        <v>building.smithy@3</v>
      </c>
      <c r="C487" s="41" t="str">
        <f>_xlfn.XLOOKUP(tblCost[[#This Row],[TargetID]],tblTargets[TargetID],tblTargets[DisplayName],"")</f>
        <v>Smithy Lv 3</v>
      </c>
      <c r="D487" s="41" t="str">
        <f>_xlfn.XLOOKUP(tblCost[[#This Row],[TargetID]],tblTargets[TargetID],tblTargets[TargetType],"")</f>
        <v>BUILDING</v>
      </c>
      <c r="E487" s="41" t="s">
        <v>716</v>
      </c>
      <c r="F487" s="62" t="str">
        <f>RIGHT(tblCost[[#This Row],[RequirementID]],1)</f>
        <v>1</v>
      </c>
      <c r="G487" s="41">
        <v>60</v>
      </c>
      <c r="H487" t="b">
        <f>COUNTIFS(tblCostChecklist[RequirementID],tblCost[[#This Row],[RequirementID]],tblCostChecklist[PlayerPaid],TRUE)&gt;0</f>
        <v>0</v>
      </c>
      <c r="I487" s="41">
        <f>COUNTIF(tblCost[TargetID],tblCost[[#This Row],[TargetID]])</f>
        <v>5</v>
      </c>
      <c r="J487" s="41">
        <f>COUNTIFS(tblCost[TargetID],tblCost[[#This Row],[TargetID]],tblCost[PlayerPaid],TRUE)</f>
        <v>0</v>
      </c>
      <c r="K487" s="41">
        <f>tblCost[[#This Row],[TargetRequirements]]-tblCost[[#This Row],[CompletedRequirements]]</f>
        <v>5</v>
      </c>
      <c r="L487" s="41" t="b">
        <f>tblCost[[#This Row],[RemainingRequirements]]=0</f>
        <v>0</v>
      </c>
      <c r="M487" s="43">
        <f>IF(tblCost[[#This Row],[TargetRequirements]]=0,0,tblCost[[#This Row],[CompletedRequirements]]/tblCost[[#This Row],[TargetRequirements]])</f>
        <v>0</v>
      </c>
    </row>
    <row r="488" spans="1:13">
      <c r="A488" s="41" t="s">
        <v>4136</v>
      </c>
      <c r="B488" s="41" t="str">
        <f>_xlfn.TEXTAFTER(_xlfn.TEXTBEFORE(tblCost[[#This Row],[RequirementID]],".",-2),"cost.")</f>
        <v>building.station@1</v>
      </c>
      <c r="C488" s="41" t="str">
        <f>_xlfn.XLOOKUP(tblCost[[#This Row],[TargetID]],tblTargets[TargetID],tblTargets[DisplayName],"")</f>
        <v>Station Lv 1</v>
      </c>
      <c r="D488" s="41" t="str">
        <f>_xlfn.XLOOKUP(tblCost[[#This Row],[TargetID]],tblTargets[TargetID],tblTargets[TargetType],"")</f>
        <v>BUILDING</v>
      </c>
      <c r="E488" s="41" t="s">
        <v>708</v>
      </c>
      <c r="F488" s="62" t="str">
        <f>RIGHT(tblCost[[#This Row],[RequirementID]],1)</f>
        <v>1</v>
      </c>
      <c r="G488" s="41">
        <v>10</v>
      </c>
      <c r="H488" t="b">
        <f>COUNTIFS(tblCostChecklist[RequirementID],tblCost[[#This Row],[RequirementID]],tblCostChecklist[PlayerPaid],TRUE)&gt;0</f>
        <v>0</v>
      </c>
      <c r="I488" s="41">
        <f>COUNTIF(tblCost[TargetID],tblCost[[#This Row],[TargetID]])</f>
        <v>9</v>
      </c>
      <c r="J488" s="41">
        <f>COUNTIFS(tblCost[TargetID],tblCost[[#This Row],[TargetID]],tblCost[PlayerPaid],TRUE)</f>
        <v>0</v>
      </c>
      <c r="K488" s="41">
        <f>tblCost[[#This Row],[TargetRequirements]]-tblCost[[#This Row],[CompletedRequirements]]</f>
        <v>9</v>
      </c>
      <c r="L488" s="41" t="b">
        <f>tblCost[[#This Row],[RemainingRequirements]]=0</f>
        <v>0</v>
      </c>
      <c r="M488" s="43">
        <f>IF(tblCost[[#This Row],[TargetRequirements]]=0,0,tblCost[[#This Row],[CompletedRequirements]]/tblCost[[#This Row],[TargetRequirements]])</f>
        <v>0</v>
      </c>
    </row>
    <row r="489" spans="1:13">
      <c r="A489" s="41" t="s">
        <v>4137</v>
      </c>
      <c r="B489" s="41" t="str">
        <f>_xlfn.TEXTAFTER(_xlfn.TEXTBEFORE(tblCost[[#This Row],[RequirementID]],".",-2),"cost.")</f>
        <v>building.station@1</v>
      </c>
      <c r="C489" s="41" t="str">
        <f>_xlfn.XLOOKUP(tblCost[[#This Row],[TargetID]],tblTargets[TargetID],tblTargets[DisplayName],"")</f>
        <v>Station Lv 1</v>
      </c>
      <c r="D489" s="41" t="str">
        <f>_xlfn.XLOOKUP(tblCost[[#This Row],[TargetID]],tblTargets[TargetID],tblTargets[TargetType],"")</f>
        <v>BUILDING</v>
      </c>
      <c r="E489" s="41" t="s">
        <v>666</v>
      </c>
      <c r="F489" s="62" t="str">
        <f>RIGHT(tblCost[[#This Row],[RequirementID]],1)</f>
        <v>1</v>
      </c>
      <c r="G489" s="41">
        <v>1000</v>
      </c>
      <c r="H489" t="b">
        <f>COUNTIFS(tblCostChecklist[RequirementID],tblCost[[#This Row],[RequirementID]],tblCostChecklist[PlayerPaid],TRUE)&gt;0</f>
        <v>0</v>
      </c>
      <c r="I489" s="41">
        <f>COUNTIF(tblCost[TargetID],tblCost[[#This Row],[TargetID]])</f>
        <v>9</v>
      </c>
      <c r="J489" s="41">
        <f>COUNTIFS(tblCost[TargetID],tblCost[[#This Row],[TargetID]],tblCost[PlayerPaid],TRUE)</f>
        <v>0</v>
      </c>
      <c r="K489" s="41">
        <f>tblCost[[#This Row],[TargetRequirements]]-tblCost[[#This Row],[CompletedRequirements]]</f>
        <v>9</v>
      </c>
      <c r="L489" s="41" t="b">
        <f>tblCost[[#This Row],[RemainingRequirements]]=0</f>
        <v>0</v>
      </c>
      <c r="M489" s="43">
        <f>IF(tblCost[[#This Row],[TargetRequirements]]=0,0,tblCost[[#This Row],[CompletedRequirements]]/tblCost[[#This Row],[TargetRequirements]])</f>
        <v>0</v>
      </c>
    </row>
    <row r="490" spans="1:13">
      <c r="A490" s="41" t="s">
        <v>4138</v>
      </c>
      <c r="B490" s="41" t="str">
        <f>_xlfn.TEXTAFTER(_xlfn.TEXTBEFORE(tblCost[[#This Row],[RequirementID]],".",-2),"cost.")</f>
        <v>building.station@1</v>
      </c>
      <c r="C490" s="41" t="str">
        <f>_xlfn.XLOOKUP(tblCost[[#This Row],[TargetID]],tblTargets[TargetID],tblTargets[DisplayName],"")</f>
        <v>Station Lv 1</v>
      </c>
      <c r="D490" s="41" t="str">
        <f>_xlfn.XLOOKUP(tblCost[[#This Row],[TargetID]],tblTargets[TargetID],tblTargets[TargetType],"")</f>
        <v>BUILDING</v>
      </c>
      <c r="E490" s="41" t="s">
        <v>658</v>
      </c>
      <c r="F490" s="62" t="str">
        <f>RIGHT(tblCost[[#This Row],[RequirementID]],1)</f>
        <v>1</v>
      </c>
      <c r="G490" s="41">
        <v>8000</v>
      </c>
      <c r="H490" t="b">
        <f>COUNTIFS(tblCostChecklist[RequirementID],tblCost[[#This Row],[RequirementID]],tblCostChecklist[PlayerPaid],TRUE)&gt;0</f>
        <v>0</v>
      </c>
      <c r="I490" s="41">
        <f>COUNTIF(tblCost[TargetID],tblCost[[#This Row],[TargetID]])</f>
        <v>9</v>
      </c>
      <c r="J490" s="41">
        <f>COUNTIFS(tblCost[TargetID],tblCost[[#This Row],[TargetID]],tblCost[PlayerPaid],TRUE)</f>
        <v>0</v>
      </c>
      <c r="K490" s="41">
        <f>tblCost[[#This Row],[TargetRequirements]]-tblCost[[#This Row],[CompletedRequirements]]</f>
        <v>9</v>
      </c>
      <c r="L490" s="41" t="b">
        <f>tblCost[[#This Row],[RemainingRequirements]]=0</f>
        <v>0</v>
      </c>
      <c r="M490" s="43">
        <f>IF(tblCost[[#This Row],[TargetRequirements]]=0,0,tblCost[[#This Row],[CompletedRequirements]]/tblCost[[#This Row],[TargetRequirements]])</f>
        <v>0</v>
      </c>
    </row>
    <row r="491" spans="1:13">
      <c r="A491" s="41" t="s">
        <v>4139</v>
      </c>
      <c r="B491" s="41" t="str">
        <f>_xlfn.TEXTAFTER(_xlfn.TEXTBEFORE(tblCost[[#This Row],[RequirementID]],".",-2),"cost.")</f>
        <v>building.station@1</v>
      </c>
      <c r="C491" s="41" t="str">
        <f>_xlfn.XLOOKUP(tblCost[[#This Row],[TargetID]],tblTargets[TargetID],tblTargets[DisplayName],"")</f>
        <v>Station Lv 1</v>
      </c>
      <c r="D491" s="41" t="str">
        <f>_xlfn.XLOOKUP(tblCost[[#This Row],[TargetID]],tblTargets[TargetID],tblTargets[TargetType],"")</f>
        <v>BUILDING</v>
      </c>
      <c r="E491" s="41" t="s">
        <v>701</v>
      </c>
      <c r="F491" s="62" t="str">
        <f>RIGHT(tblCost[[#This Row],[RequirementID]],1)</f>
        <v>1</v>
      </c>
      <c r="G491" s="41">
        <v>800</v>
      </c>
      <c r="H491" t="b">
        <f>COUNTIFS(tblCostChecklist[RequirementID],tblCost[[#This Row],[RequirementID]],tblCostChecklist[PlayerPaid],TRUE)&gt;0</f>
        <v>0</v>
      </c>
      <c r="I491" s="41">
        <f>COUNTIF(tblCost[TargetID],tblCost[[#This Row],[TargetID]])</f>
        <v>9</v>
      </c>
      <c r="J491" s="41">
        <f>COUNTIFS(tblCost[TargetID],tblCost[[#This Row],[TargetID]],tblCost[PlayerPaid],TRUE)</f>
        <v>0</v>
      </c>
      <c r="K491" s="41">
        <f>tblCost[[#This Row],[TargetRequirements]]-tblCost[[#This Row],[CompletedRequirements]]</f>
        <v>9</v>
      </c>
      <c r="L491" s="41" t="b">
        <f>tblCost[[#This Row],[RemainingRequirements]]=0</f>
        <v>0</v>
      </c>
      <c r="M491" s="43">
        <f>IF(tblCost[[#This Row],[TargetRequirements]]=0,0,tblCost[[#This Row],[CompletedRequirements]]/tblCost[[#This Row],[TargetRequirements]])</f>
        <v>0</v>
      </c>
    </row>
    <row r="492" spans="1:13">
      <c r="A492" s="41" t="s">
        <v>4140</v>
      </c>
      <c r="B492" s="41" t="str">
        <f>_xlfn.TEXTAFTER(_xlfn.TEXTBEFORE(tblCost[[#This Row],[RequirementID]],".",-2),"cost.")</f>
        <v>building.station@1</v>
      </c>
      <c r="C492" s="41" t="str">
        <f>_xlfn.XLOOKUP(tblCost[[#This Row],[TargetID]],tblTargets[TargetID],tblTargets[DisplayName],"")</f>
        <v>Station Lv 1</v>
      </c>
      <c r="D492" s="41" t="str">
        <f>_xlfn.XLOOKUP(tblCost[[#This Row],[TargetID]],tblTargets[TargetID],tblTargets[TargetType],"")</f>
        <v>BUILDING</v>
      </c>
      <c r="E492" s="41" t="s">
        <v>717</v>
      </c>
      <c r="F492" s="62" t="str">
        <f>RIGHT(tblCost[[#This Row],[RequirementID]],1)</f>
        <v>1</v>
      </c>
      <c r="G492" s="41">
        <v>500</v>
      </c>
      <c r="H492" t="b">
        <f>COUNTIFS(tblCostChecklist[RequirementID],tblCost[[#This Row],[RequirementID]],tblCostChecklist[PlayerPaid],TRUE)&gt;0</f>
        <v>0</v>
      </c>
      <c r="I492" s="41">
        <f>COUNTIF(tblCost[TargetID],tblCost[[#This Row],[TargetID]])</f>
        <v>9</v>
      </c>
      <c r="J492" s="41">
        <f>COUNTIFS(tblCost[TargetID],tblCost[[#This Row],[TargetID]],tblCost[PlayerPaid],TRUE)</f>
        <v>0</v>
      </c>
      <c r="K492" s="41">
        <f>tblCost[[#This Row],[TargetRequirements]]-tblCost[[#This Row],[CompletedRequirements]]</f>
        <v>9</v>
      </c>
      <c r="L492" s="41" t="b">
        <f>tblCost[[#This Row],[RemainingRequirements]]=0</f>
        <v>0</v>
      </c>
      <c r="M492" s="43">
        <f>IF(tblCost[[#This Row],[TargetRequirements]]=0,0,tblCost[[#This Row],[CompletedRequirements]]/tblCost[[#This Row],[TargetRequirements]])</f>
        <v>0</v>
      </c>
    </row>
    <row r="493" spans="1:13">
      <c r="A493" s="41" t="s">
        <v>4141</v>
      </c>
      <c r="B493" s="41" t="str">
        <f>_xlfn.TEXTAFTER(_xlfn.TEXTBEFORE(tblCost[[#This Row],[RequirementID]],".",-2),"cost.")</f>
        <v>building.station@1</v>
      </c>
      <c r="C493" s="41" t="str">
        <f>_xlfn.XLOOKUP(tblCost[[#This Row],[TargetID]],tblTargets[TargetID],tblTargets[DisplayName],"")</f>
        <v>Station Lv 1</v>
      </c>
      <c r="D493" s="41" t="str">
        <f>_xlfn.XLOOKUP(tblCost[[#This Row],[TargetID]],tblTargets[TargetID],tblTargets[TargetType],"")</f>
        <v>BUILDING</v>
      </c>
      <c r="E493" s="41" t="s">
        <v>716</v>
      </c>
      <c r="F493" s="62" t="str">
        <f>RIGHT(tblCost[[#This Row],[RequirementID]],1)</f>
        <v>1</v>
      </c>
      <c r="G493" s="41">
        <v>1000</v>
      </c>
      <c r="H493" t="b">
        <f>COUNTIFS(tblCostChecklist[RequirementID],tblCost[[#This Row],[RequirementID]],tblCostChecklist[PlayerPaid],TRUE)&gt;0</f>
        <v>0</v>
      </c>
      <c r="I493" s="41">
        <f>COUNTIF(tblCost[TargetID],tblCost[[#This Row],[TargetID]])</f>
        <v>9</v>
      </c>
      <c r="J493" s="41">
        <f>COUNTIFS(tblCost[TargetID],tblCost[[#This Row],[TargetID]],tblCost[PlayerPaid],TRUE)</f>
        <v>0</v>
      </c>
      <c r="K493" s="41">
        <f>tblCost[[#This Row],[TargetRequirements]]-tblCost[[#This Row],[CompletedRequirements]]</f>
        <v>9</v>
      </c>
      <c r="L493" s="41" t="b">
        <f>tblCost[[#This Row],[RemainingRequirements]]=0</f>
        <v>0</v>
      </c>
      <c r="M493" s="43">
        <f>IF(tblCost[[#This Row],[TargetRequirements]]=0,0,tblCost[[#This Row],[CompletedRequirements]]/tblCost[[#This Row],[TargetRequirements]])</f>
        <v>0</v>
      </c>
    </row>
    <row r="494" spans="1:13">
      <c r="A494" s="41" t="s">
        <v>4142</v>
      </c>
      <c r="B494" s="41" t="str">
        <f>_xlfn.TEXTAFTER(_xlfn.TEXTBEFORE(tblCost[[#This Row],[RequirementID]],".",-2),"cost.")</f>
        <v>building.station@1</v>
      </c>
      <c r="C494" s="41" t="str">
        <f>_xlfn.XLOOKUP(tblCost[[#This Row],[TargetID]],tblTargets[TargetID],tblTargets[DisplayName],"")</f>
        <v>Station Lv 1</v>
      </c>
      <c r="D494" s="41" t="str">
        <f>_xlfn.XLOOKUP(tblCost[[#This Row],[TargetID]],tblTargets[TargetID],tblTargets[TargetType],"")</f>
        <v>BUILDING</v>
      </c>
      <c r="E494" s="41" t="s">
        <v>680</v>
      </c>
      <c r="F494" s="62" t="str">
        <f>RIGHT(tblCost[[#This Row],[RequirementID]],1)</f>
        <v>1</v>
      </c>
      <c r="G494" s="41">
        <v>1</v>
      </c>
      <c r="H494" t="b">
        <f>COUNTIFS(tblCostChecklist[RequirementID],tblCost[[#This Row],[RequirementID]],tblCostChecklist[PlayerPaid],TRUE)&gt;0</f>
        <v>0</v>
      </c>
      <c r="I494" s="41">
        <f>COUNTIF(tblCost[TargetID],tblCost[[#This Row],[TargetID]])</f>
        <v>9</v>
      </c>
      <c r="J494" s="41">
        <f>COUNTIFS(tblCost[TargetID],tblCost[[#This Row],[TargetID]],tblCost[PlayerPaid],TRUE)</f>
        <v>0</v>
      </c>
      <c r="K494" s="41">
        <f>tblCost[[#This Row],[TargetRequirements]]-tblCost[[#This Row],[CompletedRequirements]]</f>
        <v>9</v>
      </c>
      <c r="L494" s="41" t="b">
        <f>tblCost[[#This Row],[RemainingRequirements]]=0</f>
        <v>0</v>
      </c>
      <c r="M494" s="43">
        <f>IF(tblCost[[#This Row],[TargetRequirements]]=0,0,tblCost[[#This Row],[CompletedRequirements]]/tblCost[[#This Row],[TargetRequirements]])</f>
        <v>0</v>
      </c>
    </row>
    <row r="495" spans="1:13">
      <c r="A495" s="41" t="s">
        <v>4143</v>
      </c>
      <c r="B495" s="41" t="str">
        <f>_xlfn.TEXTAFTER(_xlfn.TEXTBEFORE(tblCost[[#This Row],[RequirementID]],".",-2),"cost.")</f>
        <v>building.station@1</v>
      </c>
      <c r="C495" s="41" t="str">
        <f>_xlfn.XLOOKUP(tblCost[[#This Row],[TargetID]],tblTargets[TargetID],tblTargets[DisplayName],"")</f>
        <v>Station Lv 1</v>
      </c>
      <c r="D495" s="41" t="str">
        <f>_xlfn.XLOOKUP(tblCost[[#This Row],[TargetID]],tblTargets[TargetID],tblTargets[TargetType],"")</f>
        <v>BUILDING</v>
      </c>
      <c r="E495" s="41" t="s">
        <v>682</v>
      </c>
      <c r="F495" s="62" t="str">
        <f>RIGHT(tblCost[[#This Row],[RequirementID]],1)</f>
        <v>1</v>
      </c>
      <c r="G495" s="41">
        <v>10</v>
      </c>
      <c r="H495" t="b">
        <f>COUNTIFS(tblCostChecklist[RequirementID],tblCost[[#This Row],[RequirementID]],tblCostChecklist[PlayerPaid],TRUE)&gt;0</f>
        <v>0</v>
      </c>
      <c r="I495" s="41">
        <f>COUNTIF(tblCost[TargetID],tblCost[[#This Row],[TargetID]])</f>
        <v>9</v>
      </c>
      <c r="J495" s="41">
        <f>COUNTIFS(tblCost[TargetID],tblCost[[#This Row],[TargetID]],tblCost[PlayerPaid],TRUE)</f>
        <v>0</v>
      </c>
      <c r="K495" s="41">
        <f>tblCost[[#This Row],[TargetRequirements]]-tblCost[[#This Row],[CompletedRequirements]]</f>
        <v>9</v>
      </c>
      <c r="L495" s="41" t="b">
        <f>tblCost[[#This Row],[RemainingRequirements]]=0</f>
        <v>0</v>
      </c>
      <c r="M495" s="43">
        <f>IF(tblCost[[#This Row],[TargetRequirements]]=0,0,tblCost[[#This Row],[CompletedRequirements]]/tblCost[[#This Row],[TargetRequirements]])</f>
        <v>0</v>
      </c>
    </row>
    <row r="496" spans="1:13">
      <c r="A496" s="41" t="s">
        <v>4144</v>
      </c>
      <c r="B496" s="41" t="str">
        <f>_xlfn.TEXTAFTER(_xlfn.TEXTBEFORE(tblCost[[#This Row],[RequirementID]],".",-2),"cost.")</f>
        <v>building.station@1</v>
      </c>
      <c r="C496" s="41" t="str">
        <f>_xlfn.XLOOKUP(tblCost[[#This Row],[TargetID]],tblTargets[TargetID],tblTargets[DisplayName],"")</f>
        <v>Station Lv 1</v>
      </c>
      <c r="D496" s="41" t="str">
        <f>_xlfn.XLOOKUP(tblCost[[#This Row],[TargetID]],tblTargets[TargetID],tblTargets[TargetType],"")</f>
        <v>BUILDING</v>
      </c>
      <c r="E496" s="41" t="s">
        <v>662</v>
      </c>
      <c r="F496" s="62" t="str">
        <f>RIGHT(tblCost[[#This Row],[RequirementID]],1)</f>
        <v>1</v>
      </c>
      <c r="G496" s="41">
        <v>20</v>
      </c>
      <c r="H496" t="b">
        <f>COUNTIFS(tblCostChecklist[RequirementID],tblCost[[#This Row],[RequirementID]],tblCostChecklist[PlayerPaid],TRUE)&gt;0</f>
        <v>0</v>
      </c>
      <c r="I496" s="41">
        <f>COUNTIF(tblCost[TargetID],tblCost[[#This Row],[TargetID]])</f>
        <v>9</v>
      </c>
      <c r="J496" s="41">
        <f>COUNTIFS(tblCost[TargetID],tblCost[[#This Row],[TargetID]],tblCost[PlayerPaid],TRUE)</f>
        <v>0</v>
      </c>
      <c r="K496" s="41">
        <f>tblCost[[#This Row],[TargetRequirements]]-tblCost[[#This Row],[CompletedRequirements]]</f>
        <v>9</v>
      </c>
      <c r="L496" s="41" t="b">
        <f>tblCost[[#This Row],[RemainingRequirements]]=0</f>
        <v>0</v>
      </c>
      <c r="M496" s="43">
        <f>IF(tblCost[[#This Row],[TargetRequirements]]=0,0,tblCost[[#This Row],[CompletedRequirements]]/tblCost[[#This Row],[TargetRequirements]])</f>
        <v>0</v>
      </c>
    </row>
    <row r="497" spans="1:13">
      <c r="A497" s="41" t="s">
        <v>4145</v>
      </c>
      <c r="B497" s="41" t="str">
        <f>_xlfn.TEXTAFTER(_xlfn.TEXTBEFORE(tblCost[[#This Row],[RequirementID]],".",-2),"cost.")</f>
        <v>building.tailor@1</v>
      </c>
      <c r="C497" s="41" t="str">
        <f>_xlfn.XLOOKUP(tblCost[[#This Row],[TargetID]],tblTargets[TargetID],tblTargets[DisplayName],"")</f>
        <v>Tailor Lv 1</v>
      </c>
      <c r="D497" s="41" t="str">
        <f>_xlfn.XLOOKUP(tblCost[[#This Row],[TargetID]],tblTargets[TargetID],tblTargets[TargetType],"")</f>
        <v>BUILDING</v>
      </c>
      <c r="E497" s="41" t="s">
        <v>708</v>
      </c>
      <c r="F497" s="62" t="str">
        <f>RIGHT(tblCost[[#This Row],[RequirementID]],1)</f>
        <v>1</v>
      </c>
      <c r="G497" s="41">
        <v>4</v>
      </c>
      <c r="H497" t="b">
        <f>COUNTIFS(tblCostChecklist[RequirementID],tblCost[[#This Row],[RequirementID]],tblCostChecklist[PlayerPaid],TRUE)&gt;0</f>
        <v>0</v>
      </c>
      <c r="I497" s="41">
        <f>COUNTIF(tblCost[TargetID],tblCost[[#This Row],[TargetID]])</f>
        <v>6</v>
      </c>
      <c r="J497" s="41">
        <f>COUNTIFS(tblCost[TargetID],tblCost[[#This Row],[TargetID]],tblCost[PlayerPaid],TRUE)</f>
        <v>0</v>
      </c>
      <c r="K497" s="41">
        <f>tblCost[[#This Row],[TargetRequirements]]-tblCost[[#This Row],[CompletedRequirements]]</f>
        <v>6</v>
      </c>
      <c r="L497" s="41" t="b">
        <f>tblCost[[#This Row],[RemainingRequirements]]=0</f>
        <v>0</v>
      </c>
      <c r="M497" s="43">
        <f>IF(tblCost[[#This Row],[TargetRequirements]]=0,0,tblCost[[#This Row],[CompletedRequirements]]/tblCost[[#This Row],[TargetRequirements]])</f>
        <v>0</v>
      </c>
    </row>
    <row r="498" spans="1:13">
      <c r="A498" s="41" t="s">
        <v>4146</v>
      </c>
      <c r="B498" s="41" t="str">
        <f>_xlfn.TEXTAFTER(_xlfn.TEXTBEFORE(tblCost[[#This Row],[RequirementID]],".",-2),"cost.")</f>
        <v>building.tailor@1</v>
      </c>
      <c r="C498" s="41" t="str">
        <f>_xlfn.XLOOKUP(tblCost[[#This Row],[TargetID]],tblTargets[TargetID],tblTargets[DisplayName],"")</f>
        <v>Tailor Lv 1</v>
      </c>
      <c r="D498" s="41" t="str">
        <f>_xlfn.XLOOKUP(tblCost[[#This Row],[TargetID]],tblTargets[TargetID],tblTargets[TargetType],"")</f>
        <v>BUILDING</v>
      </c>
      <c r="E498" s="41" t="s">
        <v>666</v>
      </c>
      <c r="F498" s="62" t="str">
        <f>RIGHT(tblCost[[#This Row],[RequirementID]],1)</f>
        <v>1</v>
      </c>
      <c r="G498" s="41">
        <v>600</v>
      </c>
      <c r="H498" t="b">
        <f>COUNTIFS(tblCostChecklist[RequirementID],tblCost[[#This Row],[RequirementID]],tblCostChecklist[PlayerPaid],TRUE)&gt;0</f>
        <v>0</v>
      </c>
      <c r="I498" s="41">
        <f>COUNTIF(tblCost[TargetID],tblCost[[#This Row],[TargetID]])</f>
        <v>6</v>
      </c>
      <c r="J498" s="41">
        <f>COUNTIFS(tblCost[TargetID],tblCost[[#This Row],[TargetID]],tblCost[PlayerPaid],TRUE)</f>
        <v>0</v>
      </c>
      <c r="K498" s="41">
        <f>tblCost[[#This Row],[TargetRequirements]]-tblCost[[#This Row],[CompletedRequirements]]</f>
        <v>6</v>
      </c>
      <c r="L498" s="41" t="b">
        <f>tblCost[[#This Row],[RemainingRequirements]]=0</f>
        <v>0</v>
      </c>
      <c r="M498" s="43">
        <f>IF(tblCost[[#This Row],[TargetRequirements]]=0,0,tblCost[[#This Row],[CompletedRequirements]]/tblCost[[#This Row],[TargetRequirements]])</f>
        <v>0</v>
      </c>
    </row>
    <row r="499" spans="1:13">
      <c r="A499" s="41" t="s">
        <v>4147</v>
      </c>
      <c r="B499" s="41" t="str">
        <f>_xlfn.TEXTAFTER(_xlfn.TEXTBEFORE(tblCost[[#This Row],[RequirementID]],".",-2),"cost.")</f>
        <v>building.tailor@1</v>
      </c>
      <c r="C499" s="41" t="str">
        <f>_xlfn.XLOOKUP(tblCost[[#This Row],[TargetID]],tblTargets[TargetID],tblTargets[DisplayName],"")</f>
        <v>Tailor Lv 1</v>
      </c>
      <c r="D499" s="41" t="str">
        <f>_xlfn.XLOOKUP(tblCost[[#This Row],[TargetID]],tblTargets[TargetID],tblTargets[TargetType],"")</f>
        <v>BUILDING</v>
      </c>
      <c r="E499" s="41" t="s">
        <v>658</v>
      </c>
      <c r="F499" s="62" t="str">
        <f>RIGHT(tblCost[[#This Row],[RequirementID]],1)</f>
        <v>1</v>
      </c>
      <c r="G499" s="41">
        <v>600</v>
      </c>
      <c r="H499" t="b">
        <f>COUNTIFS(tblCostChecklist[RequirementID],tblCost[[#This Row],[RequirementID]],tblCostChecklist[PlayerPaid],TRUE)&gt;0</f>
        <v>0</v>
      </c>
      <c r="I499" s="41">
        <f>COUNTIF(tblCost[TargetID],tblCost[[#This Row],[TargetID]])</f>
        <v>6</v>
      </c>
      <c r="J499" s="41">
        <f>COUNTIFS(tblCost[TargetID],tblCost[[#This Row],[TargetID]],tblCost[PlayerPaid],TRUE)</f>
        <v>0</v>
      </c>
      <c r="K499" s="41">
        <f>tblCost[[#This Row],[TargetRequirements]]-tblCost[[#This Row],[CompletedRequirements]]</f>
        <v>6</v>
      </c>
      <c r="L499" s="41" t="b">
        <f>tblCost[[#This Row],[RemainingRequirements]]=0</f>
        <v>0</v>
      </c>
      <c r="M499" s="43">
        <f>IF(tblCost[[#This Row],[TargetRequirements]]=0,0,tblCost[[#This Row],[CompletedRequirements]]/tblCost[[#This Row],[TargetRequirements]])</f>
        <v>0</v>
      </c>
    </row>
    <row r="500" spans="1:13">
      <c r="A500" s="41" t="s">
        <v>4148</v>
      </c>
      <c r="B500" s="41" t="str">
        <f>_xlfn.TEXTAFTER(_xlfn.TEXTBEFORE(tblCost[[#This Row],[RequirementID]],".",-2),"cost.")</f>
        <v>building.tailor@1</v>
      </c>
      <c r="C500" s="41" t="str">
        <f>_xlfn.XLOOKUP(tblCost[[#This Row],[TargetID]],tblTargets[TargetID],tblTargets[DisplayName],"")</f>
        <v>Tailor Lv 1</v>
      </c>
      <c r="D500" s="41" t="str">
        <f>_xlfn.XLOOKUP(tblCost[[#This Row],[TargetID]],tblTargets[TargetID],tblTargets[TargetType],"")</f>
        <v>BUILDING</v>
      </c>
      <c r="E500" s="41" t="s">
        <v>717</v>
      </c>
      <c r="F500" s="62" t="str">
        <f>RIGHT(tblCost[[#This Row],[RequirementID]],1)</f>
        <v>1</v>
      </c>
      <c r="G500" s="41">
        <v>300</v>
      </c>
      <c r="H500" t="b">
        <f>COUNTIFS(tblCostChecklist[RequirementID],tblCost[[#This Row],[RequirementID]],tblCostChecklist[PlayerPaid],TRUE)&gt;0</f>
        <v>0</v>
      </c>
      <c r="I500" s="41">
        <f>COUNTIF(tblCost[TargetID],tblCost[[#This Row],[TargetID]])</f>
        <v>6</v>
      </c>
      <c r="J500" s="41">
        <f>COUNTIFS(tblCost[TargetID],tblCost[[#This Row],[TargetID]],tblCost[PlayerPaid],TRUE)</f>
        <v>0</v>
      </c>
      <c r="K500" s="41">
        <f>tblCost[[#This Row],[TargetRequirements]]-tblCost[[#This Row],[CompletedRequirements]]</f>
        <v>6</v>
      </c>
      <c r="L500" s="41" t="b">
        <f>tblCost[[#This Row],[RemainingRequirements]]=0</f>
        <v>0</v>
      </c>
      <c r="M500" s="43">
        <f>IF(tblCost[[#This Row],[TargetRequirements]]=0,0,tblCost[[#This Row],[CompletedRequirements]]/tblCost[[#This Row],[TargetRequirements]])</f>
        <v>0</v>
      </c>
    </row>
    <row r="501" spans="1:13">
      <c r="A501" s="41" t="s">
        <v>4149</v>
      </c>
      <c r="B501" s="41" t="str">
        <f>_xlfn.TEXTAFTER(_xlfn.TEXTBEFORE(tblCost[[#This Row],[RequirementID]],".",-2),"cost.")</f>
        <v>building.tailor@1</v>
      </c>
      <c r="C501" s="41" t="str">
        <f>_xlfn.XLOOKUP(tblCost[[#This Row],[TargetID]],tblTargets[TargetID],tblTargets[DisplayName],"")</f>
        <v>Tailor Lv 1</v>
      </c>
      <c r="D501" s="41" t="str">
        <f>_xlfn.XLOOKUP(tblCost[[#This Row],[TargetID]],tblTargets[TargetID],tblTargets[TargetType],"")</f>
        <v>BUILDING</v>
      </c>
      <c r="E501" s="41" t="s">
        <v>711</v>
      </c>
      <c r="F501" s="62" t="str">
        <f>RIGHT(tblCost[[#This Row],[RequirementID]],1)</f>
        <v>1</v>
      </c>
      <c r="G501" s="41">
        <v>10</v>
      </c>
      <c r="H501" t="b">
        <f>COUNTIFS(tblCostChecklist[RequirementID],tblCost[[#This Row],[RequirementID]],tblCostChecklist[PlayerPaid],TRUE)&gt;0</f>
        <v>0</v>
      </c>
      <c r="I501" s="41">
        <f>COUNTIF(tblCost[TargetID],tblCost[[#This Row],[TargetID]])</f>
        <v>6</v>
      </c>
      <c r="J501" s="41">
        <f>COUNTIFS(tblCost[TargetID],tblCost[[#This Row],[TargetID]],tblCost[PlayerPaid],TRUE)</f>
        <v>0</v>
      </c>
      <c r="K501" s="41">
        <f>tblCost[[#This Row],[TargetRequirements]]-tblCost[[#This Row],[CompletedRequirements]]</f>
        <v>6</v>
      </c>
      <c r="L501" s="41" t="b">
        <f>tblCost[[#This Row],[RemainingRequirements]]=0</f>
        <v>0</v>
      </c>
      <c r="M501" s="43">
        <f>IF(tblCost[[#This Row],[TargetRequirements]]=0,0,tblCost[[#This Row],[CompletedRequirements]]/tblCost[[#This Row],[TargetRequirements]])</f>
        <v>0</v>
      </c>
    </row>
    <row r="502" spans="1:13">
      <c r="A502" s="41" t="s">
        <v>4150</v>
      </c>
      <c r="B502" s="41" t="str">
        <f>_xlfn.TEXTAFTER(_xlfn.TEXTBEFORE(tblCost[[#This Row],[RequirementID]],".",-2),"cost.")</f>
        <v>building.tailor@1</v>
      </c>
      <c r="C502" s="41" t="str">
        <f>_xlfn.XLOOKUP(tblCost[[#This Row],[TargetID]],tblTargets[TargetID],tblTargets[DisplayName],"")</f>
        <v>Tailor Lv 1</v>
      </c>
      <c r="D502" s="41" t="str">
        <f>_xlfn.XLOOKUP(tblCost[[#This Row],[TargetID]],tblTargets[TargetID],tblTargets[TargetType],"")</f>
        <v>BUILDING</v>
      </c>
      <c r="E502" s="41" t="s">
        <v>697</v>
      </c>
      <c r="F502" s="62" t="str">
        <f>RIGHT(tblCost[[#This Row],[RequirementID]],1)</f>
        <v>1</v>
      </c>
      <c r="G502" s="41">
        <v>10</v>
      </c>
      <c r="H502" t="b">
        <f>COUNTIFS(tblCostChecklist[RequirementID],tblCost[[#This Row],[RequirementID]],tblCostChecklist[PlayerPaid],TRUE)&gt;0</f>
        <v>0</v>
      </c>
      <c r="I502" s="41">
        <f>COUNTIF(tblCost[TargetID],tblCost[[#This Row],[TargetID]])</f>
        <v>6</v>
      </c>
      <c r="J502" s="41">
        <f>COUNTIFS(tblCost[TargetID],tblCost[[#This Row],[TargetID]],tblCost[PlayerPaid],TRUE)</f>
        <v>0</v>
      </c>
      <c r="K502" s="41">
        <f>tblCost[[#This Row],[TargetRequirements]]-tblCost[[#This Row],[CompletedRequirements]]</f>
        <v>6</v>
      </c>
      <c r="L502" s="41" t="b">
        <f>tblCost[[#This Row],[RemainingRequirements]]=0</f>
        <v>0</v>
      </c>
      <c r="M502" s="43">
        <f>IF(tblCost[[#This Row],[TargetRequirements]]=0,0,tblCost[[#This Row],[CompletedRequirements]]/tblCost[[#This Row],[TargetRequirements]])</f>
        <v>0</v>
      </c>
    </row>
    <row r="503" spans="1:13">
      <c r="A503" s="41" t="s">
        <v>4151</v>
      </c>
      <c r="B503" s="41" t="str">
        <f>_xlfn.TEXTAFTER(_xlfn.TEXTBEFORE(tblCost[[#This Row],[RequirementID]],".",-2),"cost.")</f>
        <v>building.tailor@2</v>
      </c>
      <c r="C503" s="41" t="str">
        <f>_xlfn.XLOOKUP(tblCost[[#This Row],[TargetID]],tblTargets[TargetID],tblTargets[DisplayName],"")</f>
        <v>Tailor Lv 2</v>
      </c>
      <c r="D503" s="41" t="str">
        <f>_xlfn.XLOOKUP(tblCost[[#This Row],[TargetID]],tblTargets[TargetID],tblTargets[TargetType],"")</f>
        <v>BUILDING</v>
      </c>
      <c r="E503" s="41" t="s">
        <v>708</v>
      </c>
      <c r="F503" s="62" t="str">
        <f>RIGHT(tblCost[[#This Row],[RequirementID]],1)</f>
        <v>1</v>
      </c>
      <c r="G503" s="41">
        <v>6</v>
      </c>
      <c r="H503" t="b">
        <f>COUNTIFS(tblCostChecklist[RequirementID],tblCost[[#This Row],[RequirementID]],tblCostChecklist[PlayerPaid],TRUE)&gt;0</f>
        <v>0</v>
      </c>
      <c r="I503" s="41">
        <f>COUNTIF(tblCost[TargetID],tblCost[[#This Row],[TargetID]])</f>
        <v>6</v>
      </c>
      <c r="J503" s="41">
        <f>COUNTIFS(tblCost[TargetID],tblCost[[#This Row],[TargetID]],tblCost[PlayerPaid],TRUE)</f>
        <v>0</v>
      </c>
      <c r="K503" s="41">
        <f>tblCost[[#This Row],[TargetRequirements]]-tblCost[[#This Row],[CompletedRequirements]]</f>
        <v>6</v>
      </c>
      <c r="L503" s="41" t="b">
        <f>tblCost[[#This Row],[RemainingRequirements]]=0</f>
        <v>0</v>
      </c>
      <c r="M503" s="43">
        <f>IF(tblCost[[#This Row],[TargetRequirements]]=0,0,tblCost[[#This Row],[CompletedRequirements]]/tblCost[[#This Row],[TargetRequirements]])</f>
        <v>0</v>
      </c>
    </row>
    <row r="504" spans="1:13">
      <c r="A504" s="41" t="s">
        <v>4152</v>
      </c>
      <c r="B504" s="41" t="str">
        <f>_xlfn.TEXTAFTER(_xlfn.TEXTBEFORE(tblCost[[#This Row],[RequirementID]],".",-2),"cost.")</f>
        <v>building.tailor@2</v>
      </c>
      <c r="C504" s="41" t="str">
        <f>_xlfn.XLOOKUP(tblCost[[#This Row],[TargetID]],tblTargets[TargetID],tblTargets[DisplayName],"")</f>
        <v>Tailor Lv 2</v>
      </c>
      <c r="D504" s="41" t="str">
        <f>_xlfn.XLOOKUP(tblCost[[#This Row],[TargetID]],tblTargets[TargetID],tblTargets[TargetType],"")</f>
        <v>BUILDING</v>
      </c>
      <c r="E504" s="41" t="s">
        <v>666</v>
      </c>
      <c r="F504" s="62" t="str">
        <f>RIGHT(tblCost[[#This Row],[RequirementID]],1)</f>
        <v>1</v>
      </c>
      <c r="G504" s="41">
        <v>800</v>
      </c>
      <c r="H504" t="b">
        <f>COUNTIFS(tblCostChecklist[RequirementID],tblCost[[#This Row],[RequirementID]],tblCostChecklist[PlayerPaid],TRUE)&gt;0</f>
        <v>0</v>
      </c>
      <c r="I504" s="41">
        <f>COUNTIF(tblCost[TargetID],tblCost[[#This Row],[TargetID]])</f>
        <v>6</v>
      </c>
      <c r="J504" s="41">
        <f>COUNTIFS(tblCost[TargetID],tblCost[[#This Row],[TargetID]],tblCost[PlayerPaid],TRUE)</f>
        <v>0</v>
      </c>
      <c r="K504" s="41">
        <f>tblCost[[#This Row],[TargetRequirements]]-tblCost[[#This Row],[CompletedRequirements]]</f>
        <v>6</v>
      </c>
      <c r="L504" s="41" t="b">
        <f>tblCost[[#This Row],[RemainingRequirements]]=0</f>
        <v>0</v>
      </c>
      <c r="M504" s="43">
        <f>IF(tblCost[[#This Row],[TargetRequirements]]=0,0,tblCost[[#This Row],[CompletedRequirements]]/tblCost[[#This Row],[TargetRequirements]])</f>
        <v>0</v>
      </c>
    </row>
    <row r="505" spans="1:13">
      <c r="A505" s="41" t="s">
        <v>4153</v>
      </c>
      <c r="B505" s="41" t="str">
        <f>_xlfn.TEXTAFTER(_xlfn.TEXTBEFORE(tblCost[[#This Row],[RequirementID]],".",-2),"cost.")</f>
        <v>building.tailor@2</v>
      </c>
      <c r="C505" s="41" t="str">
        <f>_xlfn.XLOOKUP(tblCost[[#This Row],[TargetID]],tblTargets[TargetID],tblTargets[DisplayName],"")</f>
        <v>Tailor Lv 2</v>
      </c>
      <c r="D505" s="41" t="str">
        <f>_xlfn.XLOOKUP(tblCost[[#This Row],[TargetID]],tblTargets[TargetID],tblTargets[TargetType],"")</f>
        <v>BUILDING</v>
      </c>
      <c r="E505" s="41" t="s">
        <v>701</v>
      </c>
      <c r="F505" s="62" t="str">
        <f>RIGHT(tblCost[[#This Row],[RequirementID]],1)</f>
        <v>1</v>
      </c>
      <c r="G505" s="41">
        <v>800</v>
      </c>
      <c r="H505" t="b">
        <f>COUNTIFS(tblCostChecklist[RequirementID],tblCost[[#This Row],[RequirementID]],tblCostChecklist[PlayerPaid],TRUE)&gt;0</f>
        <v>0</v>
      </c>
      <c r="I505" s="41">
        <f>COUNTIF(tblCost[TargetID],tblCost[[#This Row],[TargetID]])</f>
        <v>6</v>
      </c>
      <c r="J505" s="41">
        <f>COUNTIFS(tblCost[TargetID],tblCost[[#This Row],[TargetID]],tblCost[PlayerPaid],TRUE)</f>
        <v>0</v>
      </c>
      <c r="K505" s="41">
        <f>tblCost[[#This Row],[TargetRequirements]]-tblCost[[#This Row],[CompletedRequirements]]</f>
        <v>6</v>
      </c>
      <c r="L505" s="41" t="b">
        <f>tblCost[[#This Row],[RemainingRequirements]]=0</f>
        <v>0</v>
      </c>
      <c r="M505" s="43">
        <f>IF(tblCost[[#This Row],[TargetRequirements]]=0,0,tblCost[[#This Row],[CompletedRequirements]]/tblCost[[#This Row],[TargetRequirements]])</f>
        <v>0</v>
      </c>
    </row>
    <row r="506" spans="1:13">
      <c r="A506" s="41" t="s">
        <v>4154</v>
      </c>
      <c r="B506" s="41" t="str">
        <f>_xlfn.TEXTAFTER(_xlfn.TEXTBEFORE(tblCost[[#This Row],[RequirementID]],".",-2),"cost.")</f>
        <v>building.tailor@2</v>
      </c>
      <c r="C506" s="41" t="str">
        <f>_xlfn.XLOOKUP(tblCost[[#This Row],[TargetID]],tblTargets[TargetID],tblTargets[DisplayName],"")</f>
        <v>Tailor Lv 2</v>
      </c>
      <c r="D506" s="41" t="str">
        <f>_xlfn.XLOOKUP(tblCost[[#This Row],[TargetID]],tblTargets[TargetID],tblTargets[TargetType],"")</f>
        <v>BUILDING</v>
      </c>
      <c r="E506" s="41" t="s">
        <v>717</v>
      </c>
      <c r="F506" s="62" t="str">
        <f>RIGHT(tblCost[[#This Row],[RequirementID]],1)</f>
        <v>1</v>
      </c>
      <c r="G506" s="41">
        <v>400</v>
      </c>
      <c r="H506" t="b">
        <f>COUNTIFS(tblCostChecklist[RequirementID],tblCost[[#This Row],[RequirementID]],tblCostChecklist[PlayerPaid],TRUE)&gt;0</f>
        <v>0</v>
      </c>
      <c r="I506" s="41">
        <f>COUNTIF(tblCost[TargetID],tblCost[[#This Row],[TargetID]])</f>
        <v>6</v>
      </c>
      <c r="J506" s="41">
        <f>COUNTIFS(tblCost[TargetID],tblCost[[#This Row],[TargetID]],tblCost[PlayerPaid],TRUE)</f>
        <v>0</v>
      </c>
      <c r="K506" s="41">
        <f>tblCost[[#This Row],[TargetRequirements]]-tblCost[[#This Row],[CompletedRequirements]]</f>
        <v>6</v>
      </c>
      <c r="L506" s="41" t="b">
        <f>tblCost[[#This Row],[RemainingRequirements]]=0</f>
        <v>0</v>
      </c>
      <c r="M506" s="43">
        <f>IF(tblCost[[#This Row],[TargetRequirements]]=0,0,tblCost[[#This Row],[CompletedRequirements]]/tblCost[[#This Row],[TargetRequirements]])</f>
        <v>0</v>
      </c>
    </row>
    <row r="507" spans="1:13">
      <c r="A507" s="41" t="s">
        <v>4155</v>
      </c>
      <c r="B507" s="41" t="str">
        <f>_xlfn.TEXTAFTER(_xlfn.TEXTBEFORE(tblCost[[#This Row],[RequirementID]],".",-2),"cost.")</f>
        <v>building.tailor@2</v>
      </c>
      <c r="C507" s="41" t="str">
        <f>_xlfn.XLOOKUP(tblCost[[#This Row],[TargetID]],tblTargets[TargetID],tblTargets[DisplayName],"")</f>
        <v>Tailor Lv 2</v>
      </c>
      <c r="D507" s="41" t="str">
        <f>_xlfn.XLOOKUP(tblCost[[#This Row],[TargetID]],tblTargets[TargetID],tblTargets[TargetType],"")</f>
        <v>BUILDING</v>
      </c>
      <c r="E507" s="41" t="s">
        <v>711</v>
      </c>
      <c r="F507" s="62" t="str">
        <f>RIGHT(tblCost[[#This Row],[RequirementID]],1)</f>
        <v>1</v>
      </c>
      <c r="G507" s="41">
        <v>20</v>
      </c>
      <c r="H507" t="b">
        <f>COUNTIFS(tblCostChecklist[RequirementID],tblCost[[#This Row],[RequirementID]],tblCostChecklist[PlayerPaid],TRUE)&gt;0</f>
        <v>0</v>
      </c>
      <c r="I507" s="41">
        <f>COUNTIF(tblCost[TargetID],tblCost[[#This Row],[TargetID]])</f>
        <v>6</v>
      </c>
      <c r="J507" s="41">
        <f>COUNTIFS(tblCost[TargetID],tblCost[[#This Row],[TargetID]],tblCost[PlayerPaid],TRUE)</f>
        <v>0</v>
      </c>
      <c r="K507" s="41">
        <f>tblCost[[#This Row],[TargetRequirements]]-tblCost[[#This Row],[CompletedRequirements]]</f>
        <v>6</v>
      </c>
      <c r="L507" s="41" t="b">
        <f>tblCost[[#This Row],[RemainingRequirements]]=0</f>
        <v>0</v>
      </c>
      <c r="M507" s="43">
        <f>IF(tblCost[[#This Row],[TargetRequirements]]=0,0,tblCost[[#This Row],[CompletedRequirements]]/tblCost[[#This Row],[TargetRequirements]])</f>
        <v>0</v>
      </c>
    </row>
    <row r="508" spans="1:13">
      <c r="A508" s="41" t="s">
        <v>4156</v>
      </c>
      <c r="B508" s="41" t="str">
        <f>_xlfn.TEXTAFTER(_xlfn.TEXTBEFORE(tblCost[[#This Row],[RequirementID]],".",-2),"cost.")</f>
        <v>building.tailor@2</v>
      </c>
      <c r="C508" s="41" t="str">
        <f>_xlfn.XLOOKUP(tblCost[[#This Row],[TargetID]],tblTargets[TargetID],tblTargets[DisplayName],"")</f>
        <v>Tailor Lv 2</v>
      </c>
      <c r="D508" s="41" t="str">
        <f>_xlfn.XLOOKUP(tblCost[[#This Row],[TargetID]],tblTargets[TargetID],tblTargets[TargetType],"")</f>
        <v>BUILDING</v>
      </c>
      <c r="E508" s="41" t="s">
        <v>674</v>
      </c>
      <c r="F508" s="62" t="str">
        <f>RIGHT(tblCost[[#This Row],[RequirementID]],1)</f>
        <v>1</v>
      </c>
      <c r="G508" s="41">
        <v>20</v>
      </c>
      <c r="H508" t="b">
        <f>COUNTIFS(tblCostChecklist[RequirementID],tblCost[[#This Row],[RequirementID]],tblCostChecklist[PlayerPaid],TRUE)&gt;0</f>
        <v>0</v>
      </c>
      <c r="I508" s="41">
        <f>COUNTIF(tblCost[TargetID],tblCost[[#This Row],[TargetID]])</f>
        <v>6</v>
      </c>
      <c r="J508" s="41">
        <f>COUNTIFS(tblCost[TargetID],tblCost[[#This Row],[TargetID]],tblCost[PlayerPaid],TRUE)</f>
        <v>0</v>
      </c>
      <c r="K508" s="41">
        <f>tblCost[[#This Row],[TargetRequirements]]-tblCost[[#This Row],[CompletedRequirements]]</f>
        <v>6</v>
      </c>
      <c r="L508" s="41" t="b">
        <f>tblCost[[#This Row],[RemainingRequirements]]=0</f>
        <v>0</v>
      </c>
      <c r="M508" s="43">
        <f>IF(tblCost[[#This Row],[TargetRequirements]]=0,0,tblCost[[#This Row],[CompletedRequirements]]/tblCost[[#This Row],[TargetRequirements]])</f>
        <v>0</v>
      </c>
    </row>
    <row r="509" spans="1:13">
      <c r="A509" s="41" t="s">
        <v>4157</v>
      </c>
      <c r="B509" s="41" t="str">
        <f>_xlfn.TEXTAFTER(_xlfn.TEXTBEFORE(tblCost[[#This Row],[RequirementID]],".",-2),"cost.")</f>
        <v>building.tailor@3</v>
      </c>
      <c r="C509" s="41" t="str">
        <f>_xlfn.XLOOKUP(tblCost[[#This Row],[TargetID]],tblTargets[TargetID],tblTargets[DisplayName],"")</f>
        <v>Tailor Lv 3</v>
      </c>
      <c r="D509" s="41" t="str">
        <f>_xlfn.XLOOKUP(tblCost[[#This Row],[TargetID]],tblTargets[TargetID],tblTargets[TargetType],"")</f>
        <v>BUILDING</v>
      </c>
      <c r="E509" s="41" t="s">
        <v>708</v>
      </c>
      <c r="F509" s="62" t="str">
        <f>RIGHT(tblCost[[#This Row],[RequirementID]],1)</f>
        <v>1</v>
      </c>
      <c r="G509" s="41">
        <v>8</v>
      </c>
      <c r="H509" t="b">
        <f>COUNTIFS(tblCostChecklist[RequirementID],tblCost[[#This Row],[RequirementID]],tblCostChecklist[PlayerPaid],TRUE)&gt;0</f>
        <v>0</v>
      </c>
      <c r="I509" s="41">
        <f>COUNTIF(tblCost[TargetID],tblCost[[#This Row],[TargetID]])</f>
        <v>6</v>
      </c>
      <c r="J509" s="41">
        <f>COUNTIFS(tblCost[TargetID],tblCost[[#This Row],[TargetID]],tblCost[PlayerPaid],TRUE)</f>
        <v>0</v>
      </c>
      <c r="K509" s="41">
        <f>tblCost[[#This Row],[TargetRequirements]]-tblCost[[#This Row],[CompletedRequirements]]</f>
        <v>6</v>
      </c>
      <c r="L509" s="41" t="b">
        <f>tblCost[[#This Row],[RemainingRequirements]]=0</f>
        <v>0</v>
      </c>
      <c r="M509" s="43">
        <f>IF(tblCost[[#This Row],[TargetRequirements]]=0,0,tblCost[[#This Row],[CompletedRequirements]]/tblCost[[#This Row],[TargetRequirements]])</f>
        <v>0</v>
      </c>
    </row>
    <row r="510" spans="1:13">
      <c r="A510" s="41" t="s">
        <v>4158</v>
      </c>
      <c r="B510" s="41" t="str">
        <f>_xlfn.TEXTAFTER(_xlfn.TEXTBEFORE(tblCost[[#This Row],[RequirementID]],".",-2),"cost.")</f>
        <v>building.tailor@3</v>
      </c>
      <c r="C510" s="41" t="str">
        <f>_xlfn.XLOOKUP(tblCost[[#This Row],[TargetID]],tblTargets[TargetID],tblTargets[DisplayName],"")</f>
        <v>Tailor Lv 3</v>
      </c>
      <c r="D510" s="41" t="str">
        <f>_xlfn.XLOOKUP(tblCost[[#This Row],[TargetID]],tblTargets[TargetID],tblTargets[TargetType],"")</f>
        <v>BUILDING</v>
      </c>
      <c r="E510" s="41" t="s">
        <v>666</v>
      </c>
      <c r="F510" s="62" t="str">
        <f>RIGHT(tblCost[[#This Row],[RequirementID]],1)</f>
        <v>1</v>
      </c>
      <c r="G510" s="41">
        <v>1000</v>
      </c>
      <c r="H510" t="b">
        <f>COUNTIFS(tblCostChecklist[RequirementID],tblCost[[#This Row],[RequirementID]],tblCostChecklist[PlayerPaid],TRUE)&gt;0</f>
        <v>0</v>
      </c>
      <c r="I510" s="41">
        <f>COUNTIF(tblCost[TargetID],tblCost[[#This Row],[TargetID]])</f>
        <v>6</v>
      </c>
      <c r="J510" s="41">
        <f>COUNTIFS(tblCost[TargetID],tblCost[[#This Row],[TargetID]],tblCost[PlayerPaid],TRUE)</f>
        <v>0</v>
      </c>
      <c r="K510" s="41">
        <f>tblCost[[#This Row],[TargetRequirements]]-tblCost[[#This Row],[CompletedRequirements]]</f>
        <v>6</v>
      </c>
      <c r="L510" s="41" t="b">
        <f>tblCost[[#This Row],[RemainingRequirements]]=0</f>
        <v>0</v>
      </c>
      <c r="M510" s="43">
        <f>IF(tblCost[[#This Row],[TargetRequirements]]=0,0,tblCost[[#This Row],[CompletedRequirements]]/tblCost[[#This Row],[TargetRequirements]])</f>
        <v>0</v>
      </c>
    </row>
    <row r="511" spans="1:13">
      <c r="A511" s="41" t="s">
        <v>4159</v>
      </c>
      <c r="B511" s="41" t="str">
        <f>_xlfn.TEXTAFTER(_xlfn.TEXTBEFORE(tblCost[[#This Row],[RequirementID]],".",-2),"cost.")</f>
        <v>building.tailor@3</v>
      </c>
      <c r="C511" s="41" t="str">
        <f>_xlfn.XLOOKUP(tblCost[[#This Row],[TargetID]],tblTargets[TargetID],tblTargets[DisplayName],"")</f>
        <v>Tailor Lv 3</v>
      </c>
      <c r="D511" s="41" t="str">
        <f>_xlfn.XLOOKUP(tblCost[[#This Row],[TargetID]],tblTargets[TargetID],tblTargets[TargetType],"")</f>
        <v>BUILDING</v>
      </c>
      <c r="E511" s="41" t="s">
        <v>701</v>
      </c>
      <c r="F511" s="62" t="str">
        <f>RIGHT(tblCost[[#This Row],[RequirementID]],1)</f>
        <v>1</v>
      </c>
      <c r="G511" s="41">
        <v>1000</v>
      </c>
      <c r="H511" t="b">
        <f>COUNTIFS(tblCostChecklist[RequirementID],tblCost[[#This Row],[RequirementID]],tblCostChecklist[PlayerPaid],TRUE)&gt;0</f>
        <v>0</v>
      </c>
      <c r="I511" s="41">
        <f>COUNTIF(tblCost[TargetID],tblCost[[#This Row],[TargetID]])</f>
        <v>6</v>
      </c>
      <c r="J511" s="41">
        <f>COUNTIFS(tblCost[TargetID],tblCost[[#This Row],[TargetID]],tblCost[PlayerPaid],TRUE)</f>
        <v>0</v>
      </c>
      <c r="K511" s="41">
        <f>tblCost[[#This Row],[TargetRequirements]]-tblCost[[#This Row],[CompletedRequirements]]</f>
        <v>6</v>
      </c>
      <c r="L511" s="41" t="b">
        <f>tblCost[[#This Row],[RemainingRequirements]]=0</f>
        <v>0</v>
      </c>
      <c r="M511" s="43">
        <f>IF(tblCost[[#This Row],[TargetRequirements]]=0,0,tblCost[[#This Row],[CompletedRequirements]]/tblCost[[#This Row],[TargetRequirements]])</f>
        <v>0</v>
      </c>
    </row>
    <row r="512" spans="1:13">
      <c r="A512" s="41" t="s">
        <v>4160</v>
      </c>
      <c r="B512" s="41" t="str">
        <f>_xlfn.TEXTAFTER(_xlfn.TEXTBEFORE(tblCost[[#This Row],[RequirementID]],".",-2),"cost.")</f>
        <v>building.tailor@3</v>
      </c>
      <c r="C512" s="41" t="str">
        <f>_xlfn.XLOOKUP(tblCost[[#This Row],[TargetID]],tblTargets[TargetID],tblTargets[DisplayName],"")</f>
        <v>Tailor Lv 3</v>
      </c>
      <c r="D512" s="41" t="str">
        <f>_xlfn.XLOOKUP(tblCost[[#This Row],[TargetID]],tblTargets[TargetID],tblTargets[TargetType],"")</f>
        <v>BUILDING</v>
      </c>
      <c r="E512" s="41" t="s">
        <v>717</v>
      </c>
      <c r="F512" s="62" t="str">
        <f>RIGHT(tblCost[[#This Row],[RequirementID]],1)</f>
        <v>1</v>
      </c>
      <c r="G512" s="41">
        <v>500</v>
      </c>
      <c r="H512" t="b">
        <f>COUNTIFS(tblCostChecklist[RequirementID],tblCost[[#This Row],[RequirementID]],tblCostChecklist[PlayerPaid],TRUE)&gt;0</f>
        <v>0</v>
      </c>
      <c r="I512" s="41">
        <f>COUNTIF(tblCost[TargetID],tblCost[[#This Row],[TargetID]])</f>
        <v>6</v>
      </c>
      <c r="J512" s="41">
        <f>COUNTIFS(tblCost[TargetID],tblCost[[#This Row],[TargetID]],tblCost[PlayerPaid],TRUE)</f>
        <v>0</v>
      </c>
      <c r="K512" s="41">
        <f>tblCost[[#This Row],[TargetRequirements]]-tblCost[[#This Row],[CompletedRequirements]]</f>
        <v>6</v>
      </c>
      <c r="L512" s="41" t="b">
        <f>tblCost[[#This Row],[RemainingRequirements]]=0</f>
        <v>0</v>
      </c>
      <c r="M512" s="43">
        <f>IF(tblCost[[#This Row],[TargetRequirements]]=0,0,tblCost[[#This Row],[CompletedRequirements]]/tblCost[[#This Row],[TargetRequirements]])</f>
        <v>0</v>
      </c>
    </row>
    <row r="513" spans="1:13">
      <c r="A513" s="41" t="s">
        <v>4161</v>
      </c>
      <c r="B513" s="41" t="str">
        <f>_xlfn.TEXTAFTER(_xlfn.TEXTBEFORE(tblCost[[#This Row],[RequirementID]],".",-2),"cost.")</f>
        <v>building.tailor@3</v>
      </c>
      <c r="C513" s="41" t="str">
        <f>_xlfn.XLOOKUP(tblCost[[#This Row],[TargetID]],tblTargets[TargetID],tblTargets[DisplayName],"")</f>
        <v>Tailor Lv 3</v>
      </c>
      <c r="D513" s="41" t="str">
        <f>_xlfn.XLOOKUP(tblCost[[#This Row],[TargetID]],tblTargets[TargetID],tblTargets[TargetType],"")</f>
        <v>BUILDING</v>
      </c>
      <c r="E513" s="41" t="s">
        <v>716</v>
      </c>
      <c r="F513" s="62" t="str">
        <f>RIGHT(tblCost[[#This Row],[RequirementID]],1)</f>
        <v>1</v>
      </c>
      <c r="G513" s="41">
        <v>100</v>
      </c>
      <c r="H513" t="b">
        <f>COUNTIFS(tblCostChecklist[RequirementID],tblCost[[#This Row],[RequirementID]],tblCostChecklist[PlayerPaid],TRUE)&gt;0</f>
        <v>0</v>
      </c>
      <c r="I513" s="41">
        <f>COUNTIF(tblCost[TargetID],tblCost[[#This Row],[TargetID]])</f>
        <v>6</v>
      </c>
      <c r="J513" s="41">
        <f>COUNTIFS(tblCost[TargetID],tblCost[[#This Row],[TargetID]],tblCost[PlayerPaid],TRUE)</f>
        <v>0</v>
      </c>
      <c r="K513" s="41">
        <f>tblCost[[#This Row],[TargetRequirements]]-tblCost[[#This Row],[CompletedRequirements]]</f>
        <v>6</v>
      </c>
      <c r="L513" s="41" t="b">
        <f>tblCost[[#This Row],[RemainingRequirements]]=0</f>
        <v>0</v>
      </c>
      <c r="M513" s="43">
        <f>IF(tblCost[[#This Row],[TargetRequirements]]=0,0,tblCost[[#This Row],[CompletedRequirements]]/tblCost[[#This Row],[TargetRequirements]])</f>
        <v>0</v>
      </c>
    </row>
    <row r="514" spans="1:13">
      <c r="A514" s="41" t="s">
        <v>4162</v>
      </c>
      <c r="B514" s="41" t="str">
        <f>_xlfn.TEXTAFTER(_xlfn.TEXTBEFORE(tblCost[[#This Row],[RequirementID]],".",-2),"cost.")</f>
        <v>building.tailor@3</v>
      </c>
      <c r="C514" s="41" t="str">
        <f>_xlfn.XLOOKUP(tblCost[[#This Row],[TargetID]],tblTargets[TargetID],tblTargets[DisplayName],"")</f>
        <v>Tailor Lv 3</v>
      </c>
      <c r="D514" s="41" t="str">
        <f>_xlfn.XLOOKUP(tblCost[[#This Row],[TargetID]],tblTargets[TargetID],tblTargets[TargetType],"")</f>
        <v>BUILDING</v>
      </c>
      <c r="E514" s="41" t="s">
        <v>711</v>
      </c>
      <c r="F514" s="62" t="str">
        <f>RIGHT(tblCost[[#This Row],[RequirementID]],1)</f>
        <v>1</v>
      </c>
      <c r="G514" s="41">
        <v>30</v>
      </c>
      <c r="H514" t="b">
        <f>COUNTIFS(tblCostChecklist[RequirementID],tblCost[[#This Row],[RequirementID]],tblCostChecklist[PlayerPaid],TRUE)&gt;0</f>
        <v>0</v>
      </c>
      <c r="I514" s="41">
        <f>COUNTIF(tblCost[TargetID],tblCost[[#This Row],[TargetID]])</f>
        <v>6</v>
      </c>
      <c r="J514" s="41">
        <f>COUNTIFS(tblCost[TargetID],tblCost[[#This Row],[TargetID]],tblCost[PlayerPaid],TRUE)</f>
        <v>0</v>
      </c>
      <c r="K514" s="41">
        <f>tblCost[[#This Row],[TargetRequirements]]-tblCost[[#This Row],[CompletedRequirements]]</f>
        <v>6</v>
      </c>
      <c r="L514" s="41" t="b">
        <f>tblCost[[#This Row],[RemainingRequirements]]=0</f>
        <v>0</v>
      </c>
      <c r="M514" s="43">
        <f>IF(tblCost[[#This Row],[TargetRequirements]]=0,0,tblCost[[#This Row],[CompletedRequirements]]/tblCost[[#This Row],[TargetRequirements]])</f>
        <v>0</v>
      </c>
    </row>
    <row r="515" spans="1:13">
      <c r="A515" s="41" t="s">
        <v>4163</v>
      </c>
      <c r="B515" s="41" t="str">
        <f>_xlfn.TEXTAFTER(_xlfn.TEXTBEFORE(tblCost[[#This Row],[RequirementID]],".",-2),"cost.")</f>
        <v>building.train@1</v>
      </c>
      <c r="C515" s="41" t="str">
        <f>_xlfn.XLOOKUP(tblCost[[#This Row],[TargetID]],tblTargets[TargetID],tblTargets[DisplayName],"")</f>
        <v>Train Lv 1</v>
      </c>
      <c r="D515" s="41" t="str">
        <f>_xlfn.XLOOKUP(tblCost[[#This Row],[TargetID]],tblTargets[TargetID],tblTargets[TargetType],"")</f>
        <v>BUILDING</v>
      </c>
      <c r="E515" s="41" t="s">
        <v>708</v>
      </c>
      <c r="F515" s="62" t="str">
        <f>RIGHT(tblCost[[#This Row],[RequirementID]],1)</f>
        <v>1</v>
      </c>
      <c r="G515" s="41">
        <v>10</v>
      </c>
      <c r="H515" t="b">
        <f>COUNTIFS(tblCostChecklist[RequirementID],tblCost[[#This Row],[RequirementID]],tblCostChecklist[PlayerPaid],TRUE)&gt;0</f>
        <v>0</v>
      </c>
      <c r="I515" s="41">
        <f>COUNTIF(tblCost[TargetID],tblCost[[#This Row],[TargetID]])</f>
        <v>7</v>
      </c>
      <c r="J515" s="41">
        <f>COUNTIFS(tblCost[TargetID],tblCost[[#This Row],[TargetID]],tblCost[PlayerPaid],TRUE)</f>
        <v>0</v>
      </c>
      <c r="K515" s="41">
        <f>tblCost[[#This Row],[TargetRequirements]]-tblCost[[#This Row],[CompletedRequirements]]</f>
        <v>7</v>
      </c>
      <c r="L515" s="41" t="b">
        <f>tblCost[[#This Row],[RemainingRequirements]]=0</f>
        <v>0</v>
      </c>
      <c r="M515" s="43">
        <f>IF(tblCost[[#This Row],[TargetRequirements]]=0,0,tblCost[[#This Row],[CompletedRequirements]]/tblCost[[#This Row],[TargetRequirements]])</f>
        <v>0</v>
      </c>
    </row>
    <row r="516" spans="1:13">
      <c r="A516" s="41" t="s">
        <v>4164</v>
      </c>
      <c r="B516" s="41" t="str">
        <f>_xlfn.TEXTAFTER(_xlfn.TEXTBEFORE(tblCost[[#This Row],[RequirementID]],".",-2),"cost.")</f>
        <v>building.train@1</v>
      </c>
      <c r="C516" s="41" t="str">
        <f>_xlfn.XLOOKUP(tblCost[[#This Row],[TargetID]],tblTargets[TargetID],tblTargets[DisplayName],"")</f>
        <v>Train Lv 1</v>
      </c>
      <c r="D516" s="41" t="str">
        <f>_xlfn.XLOOKUP(tblCost[[#This Row],[TargetID]],tblTargets[TargetID],tblTargets[TargetType],"")</f>
        <v>BUILDING</v>
      </c>
      <c r="E516" s="41" t="s">
        <v>666</v>
      </c>
      <c r="F516" s="62" t="str">
        <f>RIGHT(tblCost[[#This Row],[RequirementID]],1)</f>
        <v>1</v>
      </c>
      <c r="G516" s="41">
        <v>2000</v>
      </c>
      <c r="H516" t="b">
        <f>COUNTIFS(tblCostChecklist[RequirementID],tblCost[[#This Row],[RequirementID]],tblCostChecklist[PlayerPaid],TRUE)&gt;0</f>
        <v>0</v>
      </c>
      <c r="I516" s="41">
        <f>COUNTIF(tblCost[TargetID],tblCost[[#This Row],[TargetID]])</f>
        <v>7</v>
      </c>
      <c r="J516" s="41">
        <f>COUNTIFS(tblCost[TargetID],tblCost[[#This Row],[TargetID]],tblCost[PlayerPaid],TRUE)</f>
        <v>0</v>
      </c>
      <c r="K516" s="41">
        <f>tblCost[[#This Row],[TargetRequirements]]-tblCost[[#This Row],[CompletedRequirements]]</f>
        <v>7</v>
      </c>
      <c r="L516" s="41" t="b">
        <f>tblCost[[#This Row],[RemainingRequirements]]=0</f>
        <v>0</v>
      </c>
      <c r="M516" s="43">
        <f>IF(tblCost[[#This Row],[TargetRequirements]]=0,0,tblCost[[#This Row],[CompletedRequirements]]/tblCost[[#This Row],[TargetRequirements]])</f>
        <v>0</v>
      </c>
    </row>
    <row r="517" spans="1:13">
      <c r="A517" s="41" t="s">
        <v>4165</v>
      </c>
      <c r="B517" s="41" t="str">
        <f>_xlfn.TEXTAFTER(_xlfn.TEXTBEFORE(tblCost[[#This Row],[RequirementID]],".",-2),"cost.")</f>
        <v>building.train@1</v>
      </c>
      <c r="C517" s="41" t="str">
        <f>_xlfn.XLOOKUP(tblCost[[#This Row],[TargetID]],tblTargets[TargetID],tblTargets[DisplayName],"")</f>
        <v>Train Lv 1</v>
      </c>
      <c r="D517" s="41" t="str">
        <f>_xlfn.XLOOKUP(tblCost[[#This Row],[TargetID]],tblTargets[TargetID],tblTargets[TargetType],"")</f>
        <v>BUILDING</v>
      </c>
      <c r="E517" s="41" t="s">
        <v>716</v>
      </c>
      <c r="F517" s="62" t="str">
        <f>RIGHT(tblCost[[#This Row],[RequirementID]],1)</f>
        <v>1</v>
      </c>
      <c r="G517" s="41">
        <v>3000</v>
      </c>
      <c r="H517" t="b">
        <f>COUNTIFS(tblCostChecklist[RequirementID],tblCost[[#This Row],[RequirementID]],tblCostChecklist[PlayerPaid],TRUE)&gt;0</f>
        <v>0</v>
      </c>
      <c r="I517" s="41">
        <f>COUNTIF(tblCost[TargetID],tblCost[[#This Row],[TargetID]])</f>
        <v>7</v>
      </c>
      <c r="J517" s="41">
        <f>COUNTIFS(tblCost[TargetID],tblCost[[#This Row],[TargetID]],tblCost[PlayerPaid],TRUE)</f>
        <v>0</v>
      </c>
      <c r="K517" s="41">
        <f>tblCost[[#This Row],[TargetRequirements]]-tblCost[[#This Row],[CompletedRequirements]]</f>
        <v>7</v>
      </c>
      <c r="L517" s="41" t="b">
        <f>tblCost[[#This Row],[RemainingRequirements]]=0</f>
        <v>0</v>
      </c>
      <c r="M517" s="43">
        <f>IF(tblCost[[#This Row],[TargetRequirements]]=0,0,tblCost[[#This Row],[CompletedRequirements]]/tblCost[[#This Row],[TargetRequirements]])</f>
        <v>0</v>
      </c>
    </row>
    <row r="518" spans="1:13">
      <c r="A518" s="41" t="s">
        <v>4166</v>
      </c>
      <c r="B518" s="41" t="str">
        <f>_xlfn.TEXTAFTER(_xlfn.TEXTBEFORE(tblCost[[#This Row],[RequirementID]],".",-2),"cost.")</f>
        <v>building.train@1</v>
      </c>
      <c r="C518" s="41" t="str">
        <f>_xlfn.XLOOKUP(tblCost[[#This Row],[TargetID]],tblTargets[TargetID],tblTargets[DisplayName],"")</f>
        <v>Train Lv 1</v>
      </c>
      <c r="D518" s="41" t="str">
        <f>_xlfn.XLOOKUP(tblCost[[#This Row],[TargetID]],tblTargets[TargetID],tblTargets[TargetType],"")</f>
        <v>BUILDING</v>
      </c>
      <c r="E518" s="41" t="s">
        <v>693</v>
      </c>
      <c r="F518" s="62" t="str">
        <f>RIGHT(tblCost[[#This Row],[RequirementID]],1)</f>
        <v>1</v>
      </c>
      <c r="G518" s="41">
        <v>100</v>
      </c>
      <c r="H518" t="b">
        <f>COUNTIFS(tblCostChecklist[RequirementID],tblCost[[#This Row],[RequirementID]],tblCostChecklist[PlayerPaid],TRUE)&gt;0</f>
        <v>0</v>
      </c>
      <c r="I518" s="41">
        <f>COUNTIF(tblCost[TargetID],tblCost[[#This Row],[TargetID]])</f>
        <v>7</v>
      </c>
      <c r="J518" s="41">
        <f>COUNTIFS(tblCost[TargetID],tblCost[[#This Row],[TargetID]],tblCost[PlayerPaid],TRUE)</f>
        <v>0</v>
      </c>
      <c r="K518" s="41">
        <f>tblCost[[#This Row],[TargetRequirements]]-tblCost[[#This Row],[CompletedRequirements]]</f>
        <v>7</v>
      </c>
      <c r="L518" s="41" t="b">
        <f>tblCost[[#This Row],[RemainingRequirements]]=0</f>
        <v>0</v>
      </c>
      <c r="M518" s="43">
        <f>IF(tblCost[[#This Row],[TargetRequirements]]=0,0,tblCost[[#This Row],[CompletedRequirements]]/tblCost[[#This Row],[TargetRequirements]])</f>
        <v>0</v>
      </c>
    </row>
    <row r="519" spans="1:13">
      <c r="A519" s="41" t="s">
        <v>4167</v>
      </c>
      <c r="B519" s="41" t="str">
        <f>_xlfn.TEXTAFTER(_xlfn.TEXTBEFORE(tblCost[[#This Row],[RequirementID]],".",-2),"cost.")</f>
        <v>building.train@1</v>
      </c>
      <c r="C519" s="41" t="str">
        <f>_xlfn.XLOOKUP(tblCost[[#This Row],[TargetID]],tblTargets[TargetID],tblTargets[DisplayName],"")</f>
        <v>Train Lv 1</v>
      </c>
      <c r="D519" s="41" t="str">
        <f>_xlfn.XLOOKUP(tblCost[[#This Row],[TargetID]],tblTargets[TargetID],tblTargets[TargetType],"")</f>
        <v>BUILDING</v>
      </c>
      <c r="E519" s="41" t="s">
        <v>686</v>
      </c>
      <c r="F519" s="62" t="str">
        <f>RIGHT(tblCost[[#This Row],[RequirementID]],1)</f>
        <v>1</v>
      </c>
      <c r="G519" s="41">
        <v>80</v>
      </c>
      <c r="H519" t="b">
        <f>COUNTIFS(tblCostChecklist[RequirementID],tblCost[[#This Row],[RequirementID]],tblCostChecklist[PlayerPaid],TRUE)&gt;0</f>
        <v>0</v>
      </c>
      <c r="I519" s="41">
        <f>COUNTIF(tblCost[TargetID],tblCost[[#This Row],[TargetID]])</f>
        <v>7</v>
      </c>
      <c r="J519" s="41">
        <f>COUNTIFS(tblCost[TargetID],tblCost[[#This Row],[TargetID]],tblCost[PlayerPaid],TRUE)</f>
        <v>0</v>
      </c>
      <c r="K519" s="41">
        <f>tblCost[[#This Row],[TargetRequirements]]-tblCost[[#This Row],[CompletedRequirements]]</f>
        <v>7</v>
      </c>
      <c r="L519" s="41" t="b">
        <f>tblCost[[#This Row],[RemainingRequirements]]=0</f>
        <v>0</v>
      </c>
      <c r="M519" s="43">
        <f>IF(tblCost[[#This Row],[TargetRequirements]]=0,0,tblCost[[#This Row],[CompletedRequirements]]/tblCost[[#This Row],[TargetRequirements]])</f>
        <v>0</v>
      </c>
    </row>
    <row r="520" spans="1:13">
      <c r="A520" s="41" t="s">
        <v>4168</v>
      </c>
      <c r="B520" s="41" t="str">
        <f>_xlfn.TEXTAFTER(_xlfn.TEXTBEFORE(tblCost[[#This Row],[RequirementID]],".",-2),"cost.")</f>
        <v>building.train@1</v>
      </c>
      <c r="C520" s="41" t="str">
        <f>_xlfn.XLOOKUP(tblCost[[#This Row],[TargetID]],tblTargets[TargetID],tblTargets[DisplayName],"")</f>
        <v>Train Lv 1</v>
      </c>
      <c r="D520" s="41" t="str">
        <f>_xlfn.XLOOKUP(tblCost[[#This Row],[TargetID]],tblTargets[TargetID],tblTargets[TargetType],"")</f>
        <v>BUILDING</v>
      </c>
      <c r="E520" s="41" t="s">
        <v>674</v>
      </c>
      <c r="F520" s="62" t="str">
        <f>RIGHT(tblCost[[#This Row],[RequirementID]],1)</f>
        <v>1</v>
      </c>
      <c r="G520" s="41">
        <v>10</v>
      </c>
      <c r="H520" t="b">
        <f>COUNTIFS(tblCostChecklist[RequirementID],tblCost[[#This Row],[RequirementID]],tblCostChecklist[PlayerPaid],TRUE)&gt;0</f>
        <v>0</v>
      </c>
      <c r="I520" s="41">
        <f>COUNTIF(tblCost[TargetID],tblCost[[#This Row],[TargetID]])</f>
        <v>7</v>
      </c>
      <c r="J520" s="41">
        <f>COUNTIFS(tblCost[TargetID],tblCost[[#This Row],[TargetID]],tblCost[PlayerPaid],TRUE)</f>
        <v>0</v>
      </c>
      <c r="K520" s="41">
        <f>tblCost[[#This Row],[TargetRequirements]]-tblCost[[#This Row],[CompletedRequirements]]</f>
        <v>7</v>
      </c>
      <c r="L520" s="41" t="b">
        <f>tblCost[[#This Row],[RemainingRequirements]]=0</f>
        <v>0</v>
      </c>
      <c r="M520" s="43">
        <f>IF(tblCost[[#This Row],[TargetRequirements]]=0,0,tblCost[[#This Row],[CompletedRequirements]]/tblCost[[#This Row],[TargetRequirements]])</f>
        <v>0</v>
      </c>
    </row>
    <row r="521" spans="1:13">
      <c r="A521" s="41" t="s">
        <v>4169</v>
      </c>
      <c r="B521" s="41" t="str">
        <f>_xlfn.TEXTAFTER(_xlfn.TEXTBEFORE(tblCost[[#This Row],[RequirementID]],".",-2),"cost.")</f>
        <v>building.train@1</v>
      </c>
      <c r="C521" s="41" t="str">
        <f>_xlfn.XLOOKUP(tblCost[[#This Row],[TargetID]],tblTargets[TargetID],tblTargets[DisplayName],"")</f>
        <v>Train Lv 1</v>
      </c>
      <c r="D521" s="41" t="str">
        <f>_xlfn.XLOOKUP(tblCost[[#This Row],[TargetID]],tblTargets[TargetID],tblTargets[TargetType],"")</f>
        <v>BUILDING</v>
      </c>
      <c r="E521" s="41" t="s">
        <v>662</v>
      </c>
      <c r="F521" s="62" t="str">
        <f>RIGHT(tblCost[[#This Row],[RequirementID]],1)</f>
        <v>1</v>
      </c>
      <c r="G521" s="41">
        <v>100</v>
      </c>
      <c r="H521" t="b">
        <f>COUNTIFS(tblCostChecklist[RequirementID],tblCost[[#This Row],[RequirementID]],tblCostChecklist[PlayerPaid],TRUE)&gt;0</f>
        <v>0</v>
      </c>
      <c r="I521" s="41">
        <f>COUNTIF(tblCost[TargetID],tblCost[[#This Row],[TargetID]])</f>
        <v>7</v>
      </c>
      <c r="J521" s="41">
        <f>COUNTIFS(tblCost[TargetID],tblCost[[#This Row],[TargetID]],tblCost[PlayerPaid],TRUE)</f>
        <v>0</v>
      </c>
      <c r="K521" s="41">
        <f>tblCost[[#This Row],[TargetRequirements]]-tblCost[[#This Row],[CompletedRequirements]]</f>
        <v>7</v>
      </c>
      <c r="L521" s="41" t="b">
        <f>tblCost[[#This Row],[RemainingRequirements]]=0</f>
        <v>0</v>
      </c>
      <c r="M521" s="43">
        <f>IF(tblCost[[#This Row],[TargetRequirements]]=0,0,tblCost[[#This Row],[CompletedRequirements]]/tblCost[[#This Row],[TargetRequirements]])</f>
        <v>0</v>
      </c>
    </row>
    <row r="522" spans="1:13">
      <c r="A522" s="41" t="s">
        <v>4170</v>
      </c>
      <c r="B522" s="41" t="str">
        <f>_xlfn.TEXTAFTER(_xlfn.TEXTBEFORE(tblCost[[#This Row],[RequirementID]],".",-2),"cost.")</f>
        <v>building.train@2</v>
      </c>
      <c r="C522" s="41" t="str">
        <f>_xlfn.XLOOKUP(tblCost[[#This Row],[TargetID]],tblTargets[TargetID],tblTargets[DisplayName],"")</f>
        <v>Train Lv 2</v>
      </c>
      <c r="D522" s="41" t="str">
        <f>_xlfn.XLOOKUP(tblCost[[#This Row],[TargetID]],tblTargets[TargetID],tblTargets[TargetType],"")</f>
        <v>BUILDING</v>
      </c>
      <c r="E522" s="41" t="s">
        <v>708</v>
      </c>
      <c r="F522" s="62" t="str">
        <f>RIGHT(tblCost[[#This Row],[RequirementID]],1)</f>
        <v>1</v>
      </c>
      <c r="G522" s="41">
        <v>10</v>
      </c>
      <c r="H522" t="b">
        <f>COUNTIFS(tblCostChecklist[RequirementID],tblCost[[#This Row],[RequirementID]],tblCostChecklist[PlayerPaid],TRUE)&gt;0</f>
        <v>0</v>
      </c>
      <c r="I522" s="41">
        <f>COUNTIF(tblCost[TargetID],tblCost[[#This Row],[TargetID]])</f>
        <v>6</v>
      </c>
      <c r="J522" s="41">
        <f>COUNTIFS(tblCost[TargetID],tblCost[[#This Row],[TargetID]],tblCost[PlayerPaid],TRUE)</f>
        <v>0</v>
      </c>
      <c r="K522" s="41">
        <f>tblCost[[#This Row],[TargetRequirements]]-tblCost[[#This Row],[CompletedRequirements]]</f>
        <v>6</v>
      </c>
      <c r="L522" s="41" t="b">
        <f>tblCost[[#This Row],[RemainingRequirements]]=0</f>
        <v>0</v>
      </c>
      <c r="M522" s="43">
        <f>IF(tblCost[[#This Row],[TargetRequirements]]=0,0,tblCost[[#This Row],[CompletedRequirements]]/tblCost[[#This Row],[TargetRequirements]])</f>
        <v>0</v>
      </c>
    </row>
    <row r="523" spans="1:13">
      <c r="A523" s="41" t="s">
        <v>4171</v>
      </c>
      <c r="B523" s="41" t="str">
        <f>_xlfn.TEXTAFTER(_xlfn.TEXTBEFORE(tblCost[[#This Row],[RequirementID]],".",-2),"cost.")</f>
        <v>building.train@2</v>
      </c>
      <c r="C523" s="41" t="str">
        <f>_xlfn.XLOOKUP(tblCost[[#This Row],[TargetID]],tblTargets[TargetID],tblTargets[DisplayName],"")</f>
        <v>Train Lv 2</v>
      </c>
      <c r="D523" s="41" t="str">
        <f>_xlfn.XLOOKUP(tblCost[[#This Row],[TargetID]],tblTargets[TargetID],tblTargets[TargetType],"")</f>
        <v>BUILDING</v>
      </c>
      <c r="E523" s="41" t="s">
        <v>666</v>
      </c>
      <c r="F523" s="62" t="str">
        <f>RIGHT(tblCost[[#This Row],[RequirementID]],1)</f>
        <v>1</v>
      </c>
      <c r="G523" s="41">
        <v>2000</v>
      </c>
      <c r="H523" t="b">
        <f>COUNTIFS(tblCostChecklist[RequirementID],tblCost[[#This Row],[RequirementID]],tblCostChecklist[PlayerPaid],TRUE)&gt;0</f>
        <v>0</v>
      </c>
      <c r="I523" s="41">
        <f>COUNTIF(tblCost[TargetID],tblCost[[#This Row],[TargetID]])</f>
        <v>6</v>
      </c>
      <c r="J523" s="41">
        <f>COUNTIFS(tblCost[TargetID],tblCost[[#This Row],[TargetID]],tblCost[PlayerPaid],TRUE)</f>
        <v>0</v>
      </c>
      <c r="K523" s="41">
        <f>tblCost[[#This Row],[TargetRequirements]]-tblCost[[#This Row],[CompletedRequirements]]</f>
        <v>6</v>
      </c>
      <c r="L523" s="41" t="b">
        <f>tblCost[[#This Row],[RemainingRequirements]]=0</f>
        <v>0</v>
      </c>
      <c r="M523" s="43">
        <f>IF(tblCost[[#This Row],[TargetRequirements]]=0,0,tblCost[[#This Row],[CompletedRequirements]]/tblCost[[#This Row],[TargetRequirements]])</f>
        <v>0</v>
      </c>
    </row>
    <row r="524" spans="1:13">
      <c r="A524" s="41" t="s">
        <v>4172</v>
      </c>
      <c r="B524" s="41" t="str">
        <f>_xlfn.TEXTAFTER(_xlfn.TEXTBEFORE(tblCost[[#This Row],[RequirementID]],".",-2),"cost.")</f>
        <v>building.train@2</v>
      </c>
      <c r="C524" s="41" t="str">
        <f>_xlfn.XLOOKUP(tblCost[[#This Row],[TargetID]],tblTargets[TargetID],tblTargets[DisplayName],"")</f>
        <v>Train Lv 2</v>
      </c>
      <c r="D524" s="41" t="str">
        <f>_xlfn.XLOOKUP(tblCost[[#This Row],[TargetID]],tblTargets[TargetID],tblTargets[TargetType],"")</f>
        <v>BUILDING</v>
      </c>
      <c r="E524" s="41" t="s">
        <v>716</v>
      </c>
      <c r="F524" s="62" t="str">
        <f>RIGHT(tblCost[[#This Row],[RequirementID]],1)</f>
        <v>1</v>
      </c>
      <c r="G524" s="41">
        <v>1000</v>
      </c>
      <c r="H524" t="b">
        <f>COUNTIFS(tblCostChecklist[RequirementID],tblCost[[#This Row],[RequirementID]],tblCostChecklist[PlayerPaid],TRUE)&gt;0</f>
        <v>0</v>
      </c>
      <c r="I524" s="41">
        <f>COUNTIF(tblCost[TargetID],tblCost[[#This Row],[TargetID]])</f>
        <v>6</v>
      </c>
      <c r="J524" s="41">
        <f>COUNTIFS(tblCost[TargetID],tblCost[[#This Row],[TargetID]],tblCost[PlayerPaid],TRUE)</f>
        <v>0</v>
      </c>
      <c r="K524" s="41">
        <f>tblCost[[#This Row],[TargetRequirements]]-tblCost[[#This Row],[CompletedRequirements]]</f>
        <v>6</v>
      </c>
      <c r="L524" s="41" t="b">
        <f>tblCost[[#This Row],[RemainingRequirements]]=0</f>
        <v>0</v>
      </c>
      <c r="M524" s="43">
        <f>IF(tblCost[[#This Row],[TargetRequirements]]=0,0,tblCost[[#This Row],[CompletedRequirements]]/tblCost[[#This Row],[TargetRequirements]])</f>
        <v>0</v>
      </c>
    </row>
    <row r="525" spans="1:13">
      <c r="A525" s="41" t="s">
        <v>4173</v>
      </c>
      <c r="B525" s="41" t="str">
        <f>_xlfn.TEXTAFTER(_xlfn.TEXTBEFORE(tblCost[[#This Row],[RequirementID]],".",-2),"cost.")</f>
        <v>building.train@2</v>
      </c>
      <c r="C525" s="41" t="str">
        <f>_xlfn.XLOOKUP(tblCost[[#This Row],[TargetID]],tblTargets[TargetID],tblTargets[DisplayName],"")</f>
        <v>Train Lv 2</v>
      </c>
      <c r="D525" s="41" t="str">
        <f>_xlfn.XLOOKUP(tblCost[[#This Row],[TargetID]],tblTargets[TargetID],tblTargets[TargetType],"")</f>
        <v>BUILDING</v>
      </c>
      <c r="E525" s="41" t="s">
        <v>686</v>
      </c>
      <c r="F525" s="62" t="str">
        <f>RIGHT(tblCost[[#This Row],[RequirementID]],1)</f>
        <v>1</v>
      </c>
      <c r="G525" s="41">
        <v>40</v>
      </c>
      <c r="H525" t="b">
        <f>COUNTIFS(tblCostChecklist[RequirementID],tblCost[[#This Row],[RequirementID]],tblCostChecklist[PlayerPaid],TRUE)&gt;0</f>
        <v>0</v>
      </c>
      <c r="I525" s="41">
        <f>COUNTIF(tblCost[TargetID],tblCost[[#This Row],[TargetID]])</f>
        <v>6</v>
      </c>
      <c r="J525" s="41">
        <f>COUNTIFS(tblCost[TargetID],tblCost[[#This Row],[TargetID]],tblCost[PlayerPaid],TRUE)</f>
        <v>0</v>
      </c>
      <c r="K525" s="41">
        <f>tblCost[[#This Row],[TargetRequirements]]-tblCost[[#This Row],[CompletedRequirements]]</f>
        <v>6</v>
      </c>
      <c r="L525" s="41" t="b">
        <f>tblCost[[#This Row],[RemainingRequirements]]=0</f>
        <v>0</v>
      </c>
      <c r="M525" s="43">
        <f>IF(tblCost[[#This Row],[TargetRequirements]]=0,0,tblCost[[#This Row],[CompletedRequirements]]/tblCost[[#This Row],[TargetRequirements]])</f>
        <v>0</v>
      </c>
    </row>
    <row r="526" spans="1:13">
      <c r="A526" s="41" t="s">
        <v>4174</v>
      </c>
      <c r="B526" s="41" t="str">
        <f>_xlfn.TEXTAFTER(_xlfn.TEXTBEFORE(tblCost[[#This Row],[RequirementID]],".",-2),"cost.")</f>
        <v>building.train@2</v>
      </c>
      <c r="C526" s="41" t="str">
        <f>_xlfn.XLOOKUP(tblCost[[#This Row],[TargetID]],tblTargets[TargetID],tblTargets[DisplayName],"")</f>
        <v>Train Lv 2</v>
      </c>
      <c r="D526" s="41" t="str">
        <f>_xlfn.XLOOKUP(tblCost[[#This Row],[TargetID]],tblTargets[TargetID],tblTargets[TargetType],"")</f>
        <v>BUILDING</v>
      </c>
      <c r="E526" s="41" t="s">
        <v>687</v>
      </c>
      <c r="F526" s="62" t="str">
        <f>RIGHT(tblCost[[#This Row],[RequirementID]],1)</f>
        <v>1</v>
      </c>
      <c r="G526" s="41">
        <v>30</v>
      </c>
      <c r="H526" t="b">
        <f>COUNTIFS(tblCostChecklist[RequirementID],tblCost[[#This Row],[RequirementID]],tblCostChecklist[PlayerPaid],TRUE)&gt;0</f>
        <v>0</v>
      </c>
      <c r="I526" s="41">
        <f>COUNTIF(tblCost[TargetID],tblCost[[#This Row],[TargetID]])</f>
        <v>6</v>
      </c>
      <c r="J526" s="41">
        <f>COUNTIFS(tblCost[TargetID],tblCost[[#This Row],[TargetID]],tblCost[PlayerPaid],TRUE)</f>
        <v>0</v>
      </c>
      <c r="K526" s="41">
        <f>tblCost[[#This Row],[TargetRequirements]]-tblCost[[#This Row],[CompletedRequirements]]</f>
        <v>6</v>
      </c>
      <c r="L526" s="41" t="b">
        <f>tblCost[[#This Row],[RemainingRequirements]]=0</f>
        <v>0</v>
      </c>
      <c r="M526" s="43">
        <f>IF(tblCost[[#This Row],[TargetRequirements]]=0,0,tblCost[[#This Row],[CompletedRequirements]]/tblCost[[#This Row],[TargetRequirements]])</f>
        <v>0</v>
      </c>
    </row>
    <row r="527" spans="1:13">
      <c r="A527" s="41" t="s">
        <v>4175</v>
      </c>
      <c r="B527" s="41" t="str">
        <f>_xlfn.TEXTAFTER(_xlfn.TEXTBEFORE(tblCost[[#This Row],[RequirementID]],".",-2),"cost.")</f>
        <v>building.train@2</v>
      </c>
      <c r="C527" s="41" t="str">
        <f>_xlfn.XLOOKUP(tblCost[[#This Row],[TargetID]],tblTargets[TargetID],tblTargets[DisplayName],"")</f>
        <v>Train Lv 2</v>
      </c>
      <c r="D527" s="41" t="str">
        <f>_xlfn.XLOOKUP(tblCost[[#This Row],[TargetID]],tblTargets[TargetID],tblTargets[TargetType],"")</f>
        <v>BUILDING</v>
      </c>
      <c r="E527" s="41" t="s">
        <v>662</v>
      </c>
      <c r="F527" s="62" t="str">
        <f>RIGHT(tblCost[[#This Row],[RequirementID]],1)</f>
        <v>1</v>
      </c>
      <c r="G527" s="41">
        <v>40</v>
      </c>
      <c r="H527" t="b">
        <f>COUNTIFS(tblCostChecklist[RequirementID],tblCost[[#This Row],[RequirementID]],tblCostChecklist[PlayerPaid],TRUE)&gt;0</f>
        <v>0</v>
      </c>
      <c r="I527" s="41">
        <f>COUNTIF(tblCost[TargetID],tblCost[[#This Row],[TargetID]])</f>
        <v>6</v>
      </c>
      <c r="J527" s="41">
        <f>COUNTIFS(tblCost[TargetID],tblCost[[#This Row],[TargetID]],tblCost[PlayerPaid],TRUE)</f>
        <v>0</v>
      </c>
      <c r="K527" s="41">
        <f>tblCost[[#This Row],[TargetRequirements]]-tblCost[[#This Row],[CompletedRequirements]]</f>
        <v>6</v>
      </c>
      <c r="L527" s="41" t="b">
        <f>tblCost[[#This Row],[RemainingRequirements]]=0</f>
        <v>0</v>
      </c>
      <c r="M527" s="43">
        <f>IF(tblCost[[#This Row],[TargetRequirements]]=0,0,tblCost[[#This Row],[CompletedRequirements]]/tblCost[[#This Row],[TargetRequirements]])</f>
        <v>0</v>
      </c>
    </row>
    <row r="528" spans="1:13">
      <c r="A528" s="41" t="s">
        <v>4176</v>
      </c>
      <c r="B528" s="41" t="str">
        <f>_xlfn.TEXTAFTER(_xlfn.TEXTBEFORE(tblCost[[#This Row],[RequirementID]],".",-2),"cost.")</f>
        <v>building.train_freight_carriage@1</v>
      </c>
      <c r="C528" s="41" t="str">
        <f>_xlfn.XLOOKUP(tblCost[[#This Row],[TargetID]],tblTargets[TargetID],tblTargets[DisplayName],"")</f>
        <v>Train: Freight Carriage Lv 1</v>
      </c>
      <c r="D528" s="41" t="str">
        <f>_xlfn.XLOOKUP(tblCost[[#This Row],[TargetID]],tblTargets[TargetID],tblTargets[TargetType],"")</f>
        <v>BUILDING</v>
      </c>
      <c r="E528" s="41" t="s">
        <v>708</v>
      </c>
      <c r="F528" s="62" t="str">
        <f>RIGHT(tblCost[[#This Row],[RequirementID]],1)</f>
        <v>1</v>
      </c>
      <c r="G528" s="41">
        <v>2</v>
      </c>
      <c r="H528" t="b">
        <f>COUNTIFS(tblCostChecklist[RequirementID],tblCost[[#This Row],[RequirementID]],tblCostChecklist[PlayerPaid],TRUE)&gt;0</f>
        <v>0</v>
      </c>
      <c r="I528" s="41">
        <f>COUNTIF(tblCost[TargetID],tblCost[[#This Row],[TargetID]])</f>
        <v>6</v>
      </c>
      <c r="J528" s="41">
        <f>COUNTIFS(tblCost[TargetID],tblCost[[#This Row],[TargetID]],tblCost[PlayerPaid],TRUE)</f>
        <v>0</v>
      </c>
      <c r="K528" s="41">
        <f>tblCost[[#This Row],[TargetRequirements]]-tblCost[[#This Row],[CompletedRequirements]]</f>
        <v>6</v>
      </c>
      <c r="L528" s="41" t="b">
        <f>tblCost[[#This Row],[RemainingRequirements]]=0</f>
        <v>0</v>
      </c>
      <c r="M528" s="43">
        <f>IF(tblCost[[#This Row],[TargetRequirements]]=0,0,tblCost[[#This Row],[CompletedRequirements]]/tblCost[[#This Row],[TargetRequirements]])</f>
        <v>0</v>
      </c>
    </row>
    <row r="529" spans="1:13">
      <c r="A529" s="41" t="s">
        <v>4177</v>
      </c>
      <c r="B529" s="41" t="str">
        <f>_xlfn.TEXTAFTER(_xlfn.TEXTBEFORE(tblCost[[#This Row],[RequirementID]],".",-2),"cost.")</f>
        <v>building.train_freight_carriage@1</v>
      </c>
      <c r="C529" s="41" t="str">
        <f>_xlfn.XLOOKUP(tblCost[[#This Row],[TargetID]],tblTargets[TargetID],tblTargets[DisplayName],"")</f>
        <v>Train: Freight Carriage Lv 1</v>
      </c>
      <c r="D529" s="41" t="str">
        <f>_xlfn.XLOOKUP(tblCost[[#This Row],[TargetID]],tblTargets[TargetID],tblTargets[TargetType],"")</f>
        <v>BUILDING</v>
      </c>
      <c r="E529" s="41" t="s">
        <v>666</v>
      </c>
      <c r="F529" s="62" t="str">
        <f>RIGHT(tblCost[[#This Row],[RequirementID]],1)</f>
        <v>1</v>
      </c>
      <c r="G529" s="41">
        <v>500</v>
      </c>
      <c r="H529" t="b">
        <f>COUNTIFS(tblCostChecklist[RequirementID],tblCost[[#This Row],[RequirementID]],tblCostChecklist[PlayerPaid],TRUE)&gt;0</f>
        <v>0</v>
      </c>
      <c r="I529" s="41">
        <f>COUNTIF(tblCost[TargetID],tblCost[[#This Row],[TargetID]])</f>
        <v>6</v>
      </c>
      <c r="J529" s="41">
        <f>COUNTIFS(tblCost[TargetID],tblCost[[#This Row],[TargetID]],tblCost[PlayerPaid],TRUE)</f>
        <v>0</v>
      </c>
      <c r="K529" s="41">
        <f>tblCost[[#This Row],[TargetRequirements]]-tblCost[[#This Row],[CompletedRequirements]]</f>
        <v>6</v>
      </c>
      <c r="L529" s="41" t="b">
        <f>tblCost[[#This Row],[RemainingRequirements]]=0</f>
        <v>0</v>
      </c>
      <c r="M529" s="43">
        <f>IF(tblCost[[#This Row],[TargetRequirements]]=0,0,tblCost[[#This Row],[CompletedRequirements]]/tblCost[[#This Row],[TargetRequirements]])</f>
        <v>0</v>
      </c>
    </row>
    <row r="530" spans="1:13">
      <c r="A530" s="41" t="s">
        <v>4178</v>
      </c>
      <c r="B530" s="41" t="str">
        <f>_xlfn.TEXTAFTER(_xlfn.TEXTBEFORE(tblCost[[#This Row],[RequirementID]],".",-2),"cost.")</f>
        <v>building.train_freight_carriage@1</v>
      </c>
      <c r="C530" s="41" t="str">
        <f>_xlfn.XLOOKUP(tblCost[[#This Row],[TargetID]],tblTargets[TargetID],tblTargets[DisplayName],"")</f>
        <v>Train: Freight Carriage Lv 1</v>
      </c>
      <c r="D530" s="41" t="str">
        <f>_xlfn.XLOOKUP(tblCost[[#This Row],[TargetID]],tblTargets[TargetID],tblTargets[TargetType],"")</f>
        <v>BUILDING</v>
      </c>
      <c r="E530" s="41" t="s">
        <v>701</v>
      </c>
      <c r="F530" s="62" t="str">
        <f>RIGHT(tblCost[[#This Row],[RequirementID]],1)</f>
        <v>1</v>
      </c>
      <c r="G530" s="41">
        <v>500</v>
      </c>
      <c r="H530" t="b">
        <f>COUNTIFS(tblCostChecklist[RequirementID],tblCost[[#This Row],[RequirementID]],tblCostChecklist[PlayerPaid],TRUE)&gt;0</f>
        <v>0</v>
      </c>
      <c r="I530" s="41">
        <f>COUNTIF(tblCost[TargetID],tblCost[[#This Row],[TargetID]])</f>
        <v>6</v>
      </c>
      <c r="J530" s="41">
        <f>COUNTIFS(tblCost[TargetID],tblCost[[#This Row],[TargetID]],tblCost[PlayerPaid],TRUE)</f>
        <v>0</v>
      </c>
      <c r="K530" s="41">
        <f>tblCost[[#This Row],[TargetRequirements]]-tblCost[[#This Row],[CompletedRequirements]]</f>
        <v>6</v>
      </c>
      <c r="L530" s="41" t="b">
        <f>tblCost[[#This Row],[RemainingRequirements]]=0</f>
        <v>0</v>
      </c>
      <c r="M530" s="43">
        <f>IF(tblCost[[#This Row],[TargetRequirements]]=0,0,tblCost[[#This Row],[CompletedRequirements]]/tblCost[[#This Row],[TargetRequirements]])</f>
        <v>0</v>
      </c>
    </row>
    <row r="531" spans="1:13">
      <c r="A531" s="41" t="s">
        <v>4179</v>
      </c>
      <c r="B531" s="41" t="str">
        <f>_xlfn.TEXTAFTER(_xlfn.TEXTBEFORE(tblCost[[#This Row],[RequirementID]],".",-2),"cost.")</f>
        <v>building.train_freight_carriage@1</v>
      </c>
      <c r="C531" s="41" t="str">
        <f>_xlfn.XLOOKUP(tblCost[[#This Row],[TargetID]],tblTargets[TargetID],tblTargets[DisplayName],"")</f>
        <v>Train: Freight Carriage Lv 1</v>
      </c>
      <c r="D531" s="41" t="str">
        <f>_xlfn.XLOOKUP(tblCost[[#This Row],[TargetID]],tblTargets[TargetID],tblTargets[TargetType],"")</f>
        <v>BUILDING</v>
      </c>
      <c r="E531" s="41" t="s">
        <v>716</v>
      </c>
      <c r="F531" s="62" t="str">
        <f>RIGHT(tblCost[[#This Row],[RequirementID]],1)</f>
        <v>1</v>
      </c>
      <c r="G531" s="41">
        <v>250</v>
      </c>
      <c r="H531" t="b">
        <f>COUNTIFS(tblCostChecklist[RequirementID],tblCost[[#This Row],[RequirementID]],tblCostChecklist[PlayerPaid],TRUE)&gt;0</f>
        <v>0</v>
      </c>
      <c r="I531" s="41">
        <f>COUNTIF(tblCost[TargetID],tblCost[[#This Row],[TargetID]])</f>
        <v>6</v>
      </c>
      <c r="J531" s="41">
        <f>COUNTIFS(tblCost[TargetID],tblCost[[#This Row],[TargetID]],tblCost[PlayerPaid],TRUE)</f>
        <v>0</v>
      </c>
      <c r="K531" s="41">
        <f>tblCost[[#This Row],[TargetRequirements]]-tblCost[[#This Row],[CompletedRequirements]]</f>
        <v>6</v>
      </c>
      <c r="L531" s="41" t="b">
        <f>tblCost[[#This Row],[RemainingRequirements]]=0</f>
        <v>0</v>
      </c>
      <c r="M531" s="43">
        <f>IF(tblCost[[#This Row],[TargetRequirements]]=0,0,tblCost[[#This Row],[CompletedRequirements]]/tblCost[[#This Row],[TargetRequirements]])</f>
        <v>0</v>
      </c>
    </row>
    <row r="532" spans="1:13">
      <c r="A532" s="41" t="s">
        <v>4180</v>
      </c>
      <c r="B532" s="41" t="str">
        <f>_xlfn.TEXTAFTER(_xlfn.TEXTBEFORE(tblCost[[#This Row],[RequirementID]],".",-2),"cost.")</f>
        <v>building.train_freight_carriage@1</v>
      </c>
      <c r="C532" s="41" t="str">
        <f>_xlfn.XLOOKUP(tblCost[[#This Row],[TargetID]],tblTargets[TargetID],tblTargets[DisplayName],"")</f>
        <v>Train: Freight Carriage Lv 1</v>
      </c>
      <c r="D532" s="41" t="str">
        <f>_xlfn.XLOOKUP(tblCost[[#This Row],[TargetID]],tblTargets[TargetID],tblTargets[TargetType],"")</f>
        <v>BUILDING</v>
      </c>
      <c r="E532" s="41" t="s">
        <v>686</v>
      </c>
      <c r="F532" s="62" t="str">
        <f>RIGHT(tblCost[[#This Row],[RequirementID]],1)</f>
        <v>1</v>
      </c>
      <c r="G532" s="41">
        <v>12</v>
      </c>
      <c r="H532" t="b">
        <f>COUNTIFS(tblCostChecklist[RequirementID],tblCost[[#This Row],[RequirementID]],tblCostChecklist[PlayerPaid],TRUE)&gt;0</f>
        <v>0</v>
      </c>
      <c r="I532" s="41">
        <f>COUNTIF(tblCost[TargetID],tblCost[[#This Row],[TargetID]])</f>
        <v>6</v>
      </c>
      <c r="J532" s="41">
        <f>COUNTIFS(tblCost[TargetID],tblCost[[#This Row],[TargetID]],tblCost[PlayerPaid],TRUE)</f>
        <v>0</v>
      </c>
      <c r="K532" s="41">
        <f>tblCost[[#This Row],[TargetRequirements]]-tblCost[[#This Row],[CompletedRequirements]]</f>
        <v>6</v>
      </c>
      <c r="L532" s="41" t="b">
        <f>tblCost[[#This Row],[RemainingRequirements]]=0</f>
        <v>0</v>
      </c>
      <c r="M532" s="43">
        <f>IF(tblCost[[#This Row],[TargetRequirements]]=0,0,tblCost[[#This Row],[CompletedRequirements]]/tblCost[[#This Row],[TargetRequirements]])</f>
        <v>0</v>
      </c>
    </row>
    <row r="533" spans="1:13">
      <c r="A533" s="41" t="s">
        <v>4181</v>
      </c>
      <c r="B533" s="41" t="str">
        <f>_xlfn.TEXTAFTER(_xlfn.TEXTBEFORE(tblCost[[#This Row],[RequirementID]],".",-2),"cost.")</f>
        <v>building.train_freight_carriage@1</v>
      </c>
      <c r="C533" s="41" t="str">
        <f>_xlfn.XLOOKUP(tblCost[[#This Row],[TargetID]],tblTargets[TargetID],tblTargets[DisplayName],"")</f>
        <v>Train: Freight Carriage Lv 1</v>
      </c>
      <c r="D533" s="41" t="str">
        <f>_xlfn.XLOOKUP(tblCost[[#This Row],[TargetID]],tblTargets[TargetID],tblTargets[TargetType],"")</f>
        <v>BUILDING</v>
      </c>
      <c r="E533" s="41" t="s">
        <v>662</v>
      </c>
      <c r="F533" s="62" t="str">
        <f>RIGHT(tblCost[[#This Row],[RequirementID]],1)</f>
        <v>1</v>
      </c>
      <c r="G533" s="41">
        <v>15</v>
      </c>
      <c r="H533" t="b">
        <f>COUNTIFS(tblCostChecklist[RequirementID],tblCost[[#This Row],[RequirementID]],tblCostChecklist[PlayerPaid],TRUE)&gt;0</f>
        <v>0</v>
      </c>
      <c r="I533" s="41">
        <f>COUNTIF(tblCost[TargetID],tblCost[[#This Row],[TargetID]])</f>
        <v>6</v>
      </c>
      <c r="J533" s="41">
        <f>COUNTIFS(tblCost[TargetID],tblCost[[#This Row],[TargetID]],tblCost[PlayerPaid],TRUE)</f>
        <v>0</v>
      </c>
      <c r="K533" s="41">
        <f>tblCost[[#This Row],[TargetRequirements]]-tblCost[[#This Row],[CompletedRequirements]]</f>
        <v>6</v>
      </c>
      <c r="L533" s="41" t="b">
        <f>tblCost[[#This Row],[RemainingRequirements]]=0</f>
        <v>0</v>
      </c>
      <c r="M533" s="43">
        <f>IF(tblCost[[#This Row],[TargetRequirements]]=0,0,tblCost[[#This Row],[CompletedRequirements]]/tblCost[[#This Row],[TargetRequirements]])</f>
        <v>0</v>
      </c>
    </row>
    <row r="534" spans="1:13">
      <c r="A534" s="41" t="s">
        <v>4182</v>
      </c>
      <c r="B534" s="41" t="str">
        <f>_xlfn.TEXTAFTER(_xlfn.TEXTBEFORE(tblCost[[#This Row],[RequirementID]],".",-2),"cost.")</f>
        <v>building.train_freight_carriage@2</v>
      </c>
      <c r="C534" s="41" t="str">
        <f>_xlfn.XLOOKUP(tblCost[[#This Row],[TargetID]],tblTargets[TargetID],tblTargets[DisplayName],"")</f>
        <v>Train: Freight Carriage Lv 2</v>
      </c>
      <c r="D534" s="41" t="str">
        <f>_xlfn.XLOOKUP(tblCost[[#This Row],[TargetID]],tblTargets[TargetID],tblTargets[TargetType],"")</f>
        <v>BUILDING</v>
      </c>
      <c r="E534" s="41" t="s">
        <v>708</v>
      </c>
      <c r="F534" s="62" t="str">
        <f>RIGHT(tblCost[[#This Row],[RequirementID]],1)</f>
        <v>1</v>
      </c>
      <c r="G534" s="41">
        <v>2</v>
      </c>
      <c r="H534" t="b">
        <f>COUNTIFS(tblCostChecklist[RequirementID],tblCost[[#This Row],[RequirementID]],tblCostChecklist[PlayerPaid],TRUE)&gt;0</f>
        <v>0</v>
      </c>
      <c r="I534" s="41">
        <f>COUNTIF(tblCost[TargetID],tblCost[[#This Row],[TargetID]])</f>
        <v>5</v>
      </c>
      <c r="J534" s="41">
        <f>COUNTIFS(tblCost[TargetID],tblCost[[#This Row],[TargetID]],tblCost[PlayerPaid],TRUE)</f>
        <v>0</v>
      </c>
      <c r="K534" s="41">
        <f>tblCost[[#This Row],[TargetRequirements]]-tblCost[[#This Row],[CompletedRequirements]]</f>
        <v>5</v>
      </c>
      <c r="L534" s="41" t="b">
        <f>tblCost[[#This Row],[RemainingRequirements]]=0</f>
        <v>0</v>
      </c>
      <c r="M534" s="43">
        <f>IF(tblCost[[#This Row],[TargetRequirements]]=0,0,tblCost[[#This Row],[CompletedRequirements]]/tblCost[[#This Row],[TargetRequirements]])</f>
        <v>0</v>
      </c>
    </row>
    <row r="535" spans="1:13">
      <c r="A535" s="41" t="s">
        <v>4183</v>
      </c>
      <c r="B535" s="41" t="str">
        <f>_xlfn.TEXTAFTER(_xlfn.TEXTBEFORE(tblCost[[#This Row],[RequirementID]],".",-2),"cost.")</f>
        <v>building.train_freight_carriage@2</v>
      </c>
      <c r="C535" s="41" t="str">
        <f>_xlfn.XLOOKUP(tblCost[[#This Row],[TargetID]],tblTargets[TargetID],tblTargets[DisplayName],"")</f>
        <v>Train: Freight Carriage Lv 2</v>
      </c>
      <c r="D535" s="41" t="str">
        <f>_xlfn.XLOOKUP(tblCost[[#This Row],[TargetID]],tblTargets[TargetID],tblTargets[TargetType],"")</f>
        <v>BUILDING</v>
      </c>
      <c r="E535" s="41" t="s">
        <v>666</v>
      </c>
      <c r="F535" s="62" t="str">
        <f>RIGHT(tblCost[[#This Row],[RequirementID]],1)</f>
        <v>1</v>
      </c>
      <c r="G535" s="41">
        <v>500</v>
      </c>
      <c r="H535" t="b">
        <f>COUNTIFS(tblCostChecklist[RequirementID],tblCost[[#This Row],[RequirementID]],tblCostChecklist[PlayerPaid],TRUE)&gt;0</f>
        <v>0</v>
      </c>
      <c r="I535" s="41">
        <f>COUNTIF(tblCost[TargetID],tblCost[[#This Row],[TargetID]])</f>
        <v>5</v>
      </c>
      <c r="J535" s="41">
        <f>COUNTIFS(tblCost[TargetID],tblCost[[#This Row],[TargetID]],tblCost[PlayerPaid],TRUE)</f>
        <v>0</v>
      </c>
      <c r="K535" s="41">
        <f>tblCost[[#This Row],[TargetRequirements]]-tblCost[[#This Row],[CompletedRequirements]]</f>
        <v>5</v>
      </c>
      <c r="L535" s="41" t="b">
        <f>tblCost[[#This Row],[RemainingRequirements]]=0</f>
        <v>0</v>
      </c>
      <c r="M535" s="43">
        <f>IF(tblCost[[#This Row],[TargetRequirements]]=0,0,tblCost[[#This Row],[CompletedRequirements]]/tblCost[[#This Row],[TargetRequirements]])</f>
        <v>0</v>
      </c>
    </row>
    <row r="536" spans="1:13">
      <c r="A536" s="41" t="s">
        <v>4184</v>
      </c>
      <c r="B536" s="41" t="str">
        <f>_xlfn.TEXTAFTER(_xlfn.TEXTBEFORE(tblCost[[#This Row],[RequirementID]],".",-2),"cost.")</f>
        <v>building.train_freight_carriage@2</v>
      </c>
      <c r="C536" s="41" t="str">
        <f>_xlfn.XLOOKUP(tblCost[[#This Row],[TargetID]],tblTargets[TargetID],tblTargets[DisplayName],"")</f>
        <v>Train: Freight Carriage Lv 2</v>
      </c>
      <c r="D536" s="41" t="str">
        <f>_xlfn.XLOOKUP(tblCost[[#This Row],[TargetID]],tblTargets[TargetID],tblTargets[TargetType],"")</f>
        <v>BUILDING</v>
      </c>
      <c r="E536" s="41" t="s">
        <v>701</v>
      </c>
      <c r="F536" s="62" t="str">
        <f>RIGHT(tblCost[[#This Row],[RequirementID]],1)</f>
        <v>1</v>
      </c>
      <c r="G536" s="41">
        <v>500</v>
      </c>
      <c r="H536" t="b">
        <f>COUNTIFS(tblCostChecklist[RequirementID],tblCost[[#This Row],[RequirementID]],tblCostChecklist[PlayerPaid],TRUE)&gt;0</f>
        <v>0</v>
      </c>
      <c r="I536" s="41">
        <f>COUNTIF(tblCost[TargetID],tblCost[[#This Row],[TargetID]])</f>
        <v>5</v>
      </c>
      <c r="J536" s="41">
        <f>COUNTIFS(tblCost[TargetID],tblCost[[#This Row],[TargetID]],tblCost[PlayerPaid],TRUE)</f>
        <v>0</v>
      </c>
      <c r="K536" s="41">
        <f>tblCost[[#This Row],[TargetRequirements]]-tblCost[[#This Row],[CompletedRequirements]]</f>
        <v>5</v>
      </c>
      <c r="L536" s="41" t="b">
        <f>tblCost[[#This Row],[RemainingRequirements]]=0</f>
        <v>0</v>
      </c>
      <c r="M536" s="43">
        <f>IF(tblCost[[#This Row],[TargetRequirements]]=0,0,tblCost[[#This Row],[CompletedRequirements]]/tblCost[[#This Row],[TargetRequirements]])</f>
        <v>0</v>
      </c>
    </row>
    <row r="537" spans="1:13">
      <c r="A537" s="41" t="s">
        <v>4185</v>
      </c>
      <c r="B537" s="41" t="str">
        <f>_xlfn.TEXTAFTER(_xlfn.TEXTBEFORE(tblCost[[#This Row],[RequirementID]],".",-2),"cost.")</f>
        <v>building.train_freight_carriage@2</v>
      </c>
      <c r="C537" s="41" t="str">
        <f>_xlfn.XLOOKUP(tblCost[[#This Row],[TargetID]],tblTargets[TargetID],tblTargets[DisplayName],"")</f>
        <v>Train: Freight Carriage Lv 2</v>
      </c>
      <c r="D537" s="41" t="str">
        <f>_xlfn.XLOOKUP(tblCost[[#This Row],[TargetID]],tblTargets[TargetID],tblTargets[TargetType],"")</f>
        <v>BUILDING</v>
      </c>
      <c r="E537" s="41" t="s">
        <v>716</v>
      </c>
      <c r="F537" s="62" t="str">
        <f>RIGHT(tblCost[[#This Row],[RequirementID]],1)</f>
        <v>1</v>
      </c>
      <c r="G537" s="41">
        <v>250</v>
      </c>
      <c r="H537" t="b">
        <f>COUNTIFS(tblCostChecklist[RequirementID],tblCost[[#This Row],[RequirementID]],tblCostChecklist[PlayerPaid],TRUE)&gt;0</f>
        <v>0</v>
      </c>
      <c r="I537" s="41">
        <f>COUNTIF(tblCost[TargetID],tblCost[[#This Row],[TargetID]])</f>
        <v>5</v>
      </c>
      <c r="J537" s="41">
        <f>COUNTIFS(tblCost[TargetID],tblCost[[#This Row],[TargetID]],tblCost[PlayerPaid],TRUE)</f>
        <v>0</v>
      </c>
      <c r="K537" s="41">
        <f>tblCost[[#This Row],[TargetRequirements]]-tblCost[[#This Row],[CompletedRequirements]]</f>
        <v>5</v>
      </c>
      <c r="L537" s="41" t="b">
        <f>tblCost[[#This Row],[RemainingRequirements]]=0</f>
        <v>0</v>
      </c>
      <c r="M537" s="43">
        <f>IF(tblCost[[#This Row],[TargetRequirements]]=0,0,tblCost[[#This Row],[CompletedRequirements]]/tblCost[[#This Row],[TargetRequirements]])</f>
        <v>0</v>
      </c>
    </row>
    <row r="538" spans="1:13">
      <c r="A538" s="41" t="s">
        <v>4186</v>
      </c>
      <c r="B538" s="41" t="str">
        <f>_xlfn.TEXTAFTER(_xlfn.TEXTBEFORE(tblCost[[#This Row],[RequirementID]],".",-2),"cost.")</f>
        <v>building.train_freight_carriage@2</v>
      </c>
      <c r="C538" s="41" t="str">
        <f>_xlfn.XLOOKUP(tblCost[[#This Row],[TargetID]],tblTargets[TargetID],tblTargets[DisplayName],"")</f>
        <v>Train: Freight Carriage Lv 2</v>
      </c>
      <c r="D538" s="41" t="str">
        <f>_xlfn.XLOOKUP(tblCost[[#This Row],[TargetID]],tblTargets[TargetID],tblTargets[TargetType],"")</f>
        <v>BUILDING</v>
      </c>
      <c r="E538" s="41" t="s">
        <v>686</v>
      </c>
      <c r="F538" s="62" t="str">
        <f>RIGHT(tblCost[[#This Row],[RequirementID]],1)</f>
        <v>1</v>
      </c>
      <c r="G538" s="41">
        <v>12</v>
      </c>
      <c r="H538" t="b">
        <f>COUNTIFS(tblCostChecklist[RequirementID],tblCost[[#This Row],[RequirementID]],tblCostChecklist[PlayerPaid],TRUE)&gt;0</f>
        <v>0</v>
      </c>
      <c r="I538" s="41">
        <f>COUNTIF(tblCost[TargetID],tblCost[[#This Row],[TargetID]])</f>
        <v>5</v>
      </c>
      <c r="J538" s="41">
        <f>COUNTIFS(tblCost[TargetID],tblCost[[#This Row],[TargetID]],tblCost[PlayerPaid],TRUE)</f>
        <v>0</v>
      </c>
      <c r="K538" s="41">
        <f>tblCost[[#This Row],[TargetRequirements]]-tblCost[[#This Row],[CompletedRequirements]]</f>
        <v>5</v>
      </c>
      <c r="L538" s="41" t="b">
        <f>tblCost[[#This Row],[RemainingRequirements]]=0</f>
        <v>0</v>
      </c>
      <c r="M538" s="43">
        <f>IF(tblCost[[#This Row],[TargetRequirements]]=0,0,tblCost[[#This Row],[CompletedRequirements]]/tblCost[[#This Row],[TargetRequirements]])</f>
        <v>0</v>
      </c>
    </row>
    <row r="539" spans="1:13">
      <c r="A539" s="41" t="s">
        <v>4187</v>
      </c>
      <c r="B539" s="41" t="str">
        <f>_xlfn.TEXTAFTER(_xlfn.TEXTBEFORE(tblCost[[#This Row],[RequirementID]],".",-2),"cost.")</f>
        <v>building.train_passenger_carriage@1</v>
      </c>
      <c r="C539" s="41" t="str">
        <f>_xlfn.XLOOKUP(tblCost[[#This Row],[TargetID]],tblTargets[TargetID],tblTargets[DisplayName],"")</f>
        <v>Train: Passenger Carriage Lv 1</v>
      </c>
      <c r="D539" s="41" t="str">
        <f>_xlfn.XLOOKUP(tblCost[[#This Row],[TargetID]],tblTargets[TargetID],tblTargets[TargetType],"")</f>
        <v>BUILDING</v>
      </c>
      <c r="E539" s="41" t="s">
        <v>708</v>
      </c>
      <c r="F539" s="62" t="str">
        <f>RIGHT(tblCost[[#This Row],[RequirementID]],1)</f>
        <v>1</v>
      </c>
      <c r="G539" s="41">
        <v>2</v>
      </c>
      <c r="H539" t="b">
        <f>COUNTIFS(tblCostChecklist[RequirementID],tblCost[[#This Row],[RequirementID]],tblCostChecklist[PlayerPaid],TRUE)&gt;0</f>
        <v>0</v>
      </c>
      <c r="I539" s="41">
        <f>COUNTIF(tblCost[TargetID],tblCost[[#This Row],[TargetID]])</f>
        <v>7</v>
      </c>
      <c r="J539" s="41">
        <f>COUNTIFS(tblCost[TargetID],tblCost[[#This Row],[TargetID]],tblCost[PlayerPaid],TRUE)</f>
        <v>0</v>
      </c>
      <c r="K539" s="41">
        <f>tblCost[[#This Row],[TargetRequirements]]-tblCost[[#This Row],[CompletedRequirements]]</f>
        <v>7</v>
      </c>
      <c r="L539" s="41" t="b">
        <f>tblCost[[#This Row],[RemainingRequirements]]=0</f>
        <v>0</v>
      </c>
      <c r="M539" s="43">
        <f>IF(tblCost[[#This Row],[TargetRequirements]]=0,0,tblCost[[#This Row],[CompletedRequirements]]/tblCost[[#This Row],[TargetRequirements]])</f>
        <v>0</v>
      </c>
    </row>
    <row r="540" spans="1:13">
      <c r="A540" s="41" t="s">
        <v>4188</v>
      </c>
      <c r="B540" s="41" t="str">
        <f>_xlfn.TEXTAFTER(_xlfn.TEXTBEFORE(tblCost[[#This Row],[RequirementID]],".",-2),"cost.")</f>
        <v>building.train_passenger_carriage@1</v>
      </c>
      <c r="C540" s="41" t="str">
        <f>_xlfn.XLOOKUP(tblCost[[#This Row],[TargetID]],tblTargets[TargetID],tblTargets[DisplayName],"")</f>
        <v>Train: Passenger Carriage Lv 1</v>
      </c>
      <c r="D540" s="41" t="str">
        <f>_xlfn.XLOOKUP(tblCost[[#This Row],[TargetID]],tblTargets[TargetID],tblTargets[TargetType],"")</f>
        <v>BUILDING</v>
      </c>
      <c r="E540" s="41" t="s">
        <v>666</v>
      </c>
      <c r="F540" s="62" t="str">
        <f>RIGHT(tblCost[[#This Row],[RequirementID]],1)</f>
        <v>1</v>
      </c>
      <c r="G540" s="41">
        <v>500</v>
      </c>
      <c r="H540" t="b">
        <f>COUNTIFS(tblCostChecklist[RequirementID],tblCost[[#This Row],[RequirementID]],tblCostChecklist[PlayerPaid],TRUE)&gt;0</f>
        <v>0</v>
      </c>
      <c r="I540" s="41">
        <f>COUNTIF(tblCost[TargetID],tblCost[[#This Row],[TargetID]])</f>
        <v>7</v>
      </c>
      <c r="J540" s="41">
        <f>COUNTIFS(tblCost[TargetID],tblCost[[#This Row],[TargetID]],tblCost[PlayerPaid],TRUE)</f>
        <v>0</v>
      </c>
      <c r="K540" s="41">
        <f>tblCost[[#This Row],[TargetRequirements]]-tblCost[[#This Row],[CompletedRequirements]]</f>
        <v>7</v>
      </c>
      <c r="L540" s="41" t="b">
        <f>tblCost[[#This Row],[RemainingRequirements]]=0</f>
        <v>0</v>
      </c>
      <c r="M540" s="43">
        <f>IF(tblCost[[#This Row],[TargetRequirements]]=0,0,tblCost[[#This Row],[CompletedRequirements]]/tblCost[[#This Row],[TargetRequirements]])</f>
        <v>0</v>
      </c>
    </row>
    <row r="541" spans="1:13">
      <c r="A541" s="41" t="s">
        <v>4189</v>
      </c>
      <c r="B541" s="41" t="str">
        <f>_xlfn.TEXTAFTER(_xlfn.TEXTBEFORE(tblCost[[#This Row],[RequirementID]],".",-2),"cost.")</f>
        <v>building.train_passenger_carriage@1</v>
      </c>
      <c r="C541" s="41" t="str">
        <f>_xlfn.XLOOKUP(tblCost[[#This Row],[TargetID]],tblTargets[TargetID],tblTargets[DisplayName],"")</f>
        <v>Train: Passenger Carriage Lv 1</v>
      </c>
      <c r="D541" s="41" t="str">
        <f>_xlfn.XLOOKUP(tblCost[[#This Row],[TargetID]],tblTargets[TargetID],tblTargets[TargetType],"")</f>
        <v>BUILDING</v>
      </c>
      <c r="E541" s="41" t="s">
        <v>701</v>
      </c>
      <c r="F541" s="62" t="str">
        <f>RIGHT(tblCost[[#This Row],[RequirementID]],1)</f>
        <v>1</v>
      </c>
      <c r="G541" s="41">
        <v>600</v>
      </c>
      <c r="H541" t="b">
        <f>COUNTIFS(tblCostChecklist[RequirementID],tblCost[[#This Row],[RequirementID]],tblCostChecklist[PlayerPaid],TRUE)&gt;0</f>
        <v>0</v>
      </c>
      <c r="I541" s="41">
        <f>COUNTIF(tblCost[TargetID],tblCost[[#This Row],[TargetID]])</f>
        <v>7</v>
      </c>
      <c r="J541" s="41">
        <f>COUNTIFS(tblCost[TargetID],tblCost[[#This Row],[TargetID]],tblCost[PlayerPaid],TRUE)</f>
        <v>0</v>
      </c>
      <c r="K541" s="41">
        <f>tblCost[[#This Row],[TargetRequirements]]-tblCost[[#This Row],[CompletedRequirements]]</f>
        <v>7</v>
      </c>
      <c r="L541" s="41" t="b">
        <f>tblCost[[#This Row],[RemainingRequirements]]=0</f>
        <v>0</v>
      </c>
      <c r="M541" s="43">
        <f>IF(tblCost[[#This Row],[TargetRequirements]]=0,0,tblCost[[#This Row],[CompletedRequirements]]/tblCost[[#This Row],[TargetRequirements]])</f>
        <v>0</v>
      </c>
    </row>
    <row r="542" spans="1:13">
      <c r="A542" s="41" t="s">
        <v>4190</v>
      </c>
      <c r="B542" s="41" t="str">
        <f>_xlfn.TEXTAFTER(_xlfn.TEXTBEFORE(tblCost[[#This Row],[RequirementID]],".",-2),"cost.")</f>
        <v>building.train_passenger_carriage@1</v>
      </c>
      <c r="C542" s="41" t="str">
        <f>_xlfn.XLOOKUP(tblCost[[#This Row],[TargetID]],tblTargets[TargetID],tblTargets[DisplayName],"")</f>
        <v>Train: Passenger Carriage Lv 1</v>
      </c>
      <c r="D542" s="41" t="str">
        <f>_xlfn.XLOOKUP(tblCost[[#This Row],[TargetID]],tblTargets[TargetID],tblTargets[TargetType],"")</f>
        <v>BUILDING</v>
      </c>
      <c r="E542" s="41" t="s">
        <v>716</v>
      </c>
      <c r="F542" s="62" t="str">
        <f>RIGHT(tblCost[[#This Row],[RequirementID]],1)</f>
        <v>1</v>
      </c>
      <c r="G542" s="41">
        <v>200</v>
      </c>
      <c r="H542" t="b">
        <f>COUNTIFS(tblCostChecklist[RequirementID],tblCost[[#This Row],[RequirementID]],tblCostChecklist[PlayerPaid],TRUE)&gt;0</f>
        <v>0</v>
      </c>
      <c r="I542" s="41">
        <f>COUNTIF(tblCost[TargetID],tblCost[[#This Row],[TargetID]])</f>
        <v>7</v>
      </c>
      <c r="J542" s="41">
        <f>COUNTIFS(tblCost[TargetID],tblCost[[#This Row],[TargetID]],tblCost[PlayerPaid],TRUE)</f>
        <v>0</v>
      </c>
      <c r="K542" s="41">
        <f>tblCost[[#This Row],[TargetRequirements]]-tblCost[[#This Row],[CompletedRequirements]]</f>
        <v>7</v>
      </c>
      <c r="L542" s="41" t="b">
        <f>tblCost[[#This Row],[RemainingRequirements]]=0</f>
        <v>0</v>
      </c>
      <c r="M542" s="43">
        <f>IF(tblCost[[#This Row],[TargetRequirements]]=0,0,tblCost[[#This Row],[CompletedRequirements]]/tblCost[[#This Row],[TargetRequirements]])</f>
        <v>0</v>
      </c>
    </row>
    <row r="543" spans="1:13">
      <c r="A543" s="41" t="s">
        <v>4191</v>
      </c>
      <c r="B543" s="41" t="str">
        <f>_xlfn.TEXTAFTER(_xlfn.TEXTBEFORE(tblCost[[#This Row],[RequirementID]],".",-2),"cost.")</f>
        <v>building.train_passenger_carriage@1</v>
      </c>
      <c r="C543" s="41" t="str">
        <f>_xlfn.XLOOKUP(tblCost[[#This Row],[TargetID]],tblTargets[TargetID],tblTargets[DisplayName],"")</f>
        <v>Train: Passenger Carriage Lv 1</v>
      </c>
      <c r="D543" s="41" t="str">
        <f>_xlfn.XLOOKUP(tblCost[[#This Row],[TargetID]],tblTargets[TargetID],tblTargets[TargetType],"")</f>
        <v>BUILDING</v>
      </c>
      <c r="E543" s="41" t="s">
        <v>686</v>
      </c>
      <c r="F543" s="62" t="str">
        <f>RIGHT(tblCost[[#This Row],[RequirementID]],1)</f>
        <v>1</v>
      </c>
      <c r="G543" s="41">
        <v>12</v>
      </c>
      <c r="H543" t="b">
        <f>COUNTIFS(tblCostChecklist[RequirementID],tblCost[[#This Row],[RequirementID]],tblCostChecklist[PlayerPaid],TRUE)&gt;0</f>
        <v>0</v>
      </c>
      <c r="I543" s="41">
        <f>COUNTIF(tblCost[TargetID],tblCost[[#This Row],[TargetID]])</f>
        <v>7</v>
      </c>
      <c r="J543" s="41">
        <f>COUNTIFS(tblCost[TargetID],tblCost[[#This Row],[TargetID]],tblCost[PlayerPaid],TRUE)</f>
        <v>0</v>
      </c>
      <c r="K543" s="41">
        <f>tblCost[[#This Row],[TargetRequirements]]-tblCost[[#This Row],[CompletedRequirements]]</f>
        <v>7</v>
      </c>
      <c r="L543" s="41" t="b">
        <f>tblCost[[#This Row],[RemainingRequirements]]=0</f>
        <v>0</v>
      </c>
      <c r="M543" s="43">
        <f>IF(tblCost[[#This Row],[TargetRequirements]]=0,0,tblCost[[#This Row],[CompletedRequirements]]/tblCost[[#This Row],[TargetRequirements]])</f>
        <v>0</v>
      </c>
    </row>
    <row r="544" spans="1:13">
      <c r="A544" s="41" t="s">
        <v>4192</v>
      </c>
      <c r="B544" s="41" t="str">
        <f>_xlfn.TEXTAFTER(_xlfn.TEXTBEFORE(tblCost[[#This Row],[RequirementID]],".",-2),"cost.")</f>
        <v>building.train_passenger_carriage@1</v>
      </c>
      <c r="C544" s="41" t="str">
        <f>_xlfn.XLOOKUP(tblCost[[#This Row],[TargetID]],tblTargets[TargetID],tblTargets[DisplayName],"")</f>
        <v>Train: Passenger Carriage Lv 1</v>
      </c>
      <c r="D544" s="41" t="str">
        <f>_xlfn.XLOOKUP(tblCost[[#This Row],[TargetID]],tblTargets[TargetID],tblTargets[TargetType],"")</f>
        <v>BUILDING</v>
      </c>
      <c r="E544" s="41" t="s">
        <v>674</v>
      </c>
      <c r="F544" s="62" t="str">
        <f>RIGHT(tblCost[[#This Row],[RequirementID]],1)</f>
        <v>1</v>
      </c>
      <c r="G544" s="41">
        <v>12</v>
      </c>
      <c r="H544" t="b">
        <f>COUNTIFS(tblCostChecklist[RequirementID],tblCost[[#This Row],[RequirementID]],tblCostChecklist[PlayerPaid],TRUE)&gt;0</f>
        <v>0</v>
      </c>
      <c r="I544" s="41">
        <f>COUNTIF(tblCost[TargetID],tblCost[[#This Row],[TargetID]])</f>
        <v>7</v>
      </c>
      <c r="J544" s="41">
        <f>COUNTIFS(tblCost[TargetID],tblCost[[#This Row],[TargetID]],tblCost[PlayerPaid],TRUE)</f>
        <v>0</v>
      </c>
      <c r="K544" s="41">
        <f>tblCost[[#This Row],[TargetRequirements]]-tblCost[[#This Row],[CompletedRequirements]]</f>
        <v>7</v>
      </c>
      <c r="L544" s="41" t="b">
        <f>tblCost[[#This Row],[RemainingRequirements]]=0</f>
        <v>0</v>
      </c>
      <c r="M544" s="43">
        <f>IF(tblCost[[#This Row],[TargetRequirements]]=0,0,tblCost[[#This Row],[CompletedRequirements]]/tblCost[[#This Row],[TargetRequirements]])</f>
        <v>0</v>
      </c>
    </row>
    <row r="545" spans="1:13">
      <c r="A545" s="41" t="s">
        <v>4193</v>
      </c>
      <c r="B545" s="41" t="str">
        <f>_xlfn.TEXTAFTER(_xlfn.TEXTBEFORE(tblCost[[#This Row],[RequirementID]],".",-2),"cost.")</f>
        <v>building.train_passenger_carriage@1</v>
      </c>
      <c r="C545" s="41" t="str">
        <f>_xlfn.XLOOKUP(tblCost[[#This Row],[TargetID]],tblTargets[TargetID],tblTargets[DisplayName],"")</f>
        <v>Train: Passenger Carriage Lv 1</v>
      </c>
      <c r="D545" s="41" t="str">
        <f>_xlfn.XLOOKUP(tblCost[[#This Row],[TargetID]],tblTargets[TargetID],tblTargets[TargetType],"")</f>
        <v>BUILDING</v>
      </c>
      <c r="E545" s="41" t="s">
        <v>662</v>
      </c>
      <c r="F545" s="62" t="str">
        <f>RIGHT(tblCost[[#This Row],[RequirementID]],1)</f>
        <v>1</v>
      </c>
      <c r="G545" s="41">
        <v>15</v>
      </c>
      <c r="H545" t="b">
        <f>COUNTIFS(tblCostChecklist[RequirementID],tblCost[[#This Row],[RequirementID]],tblCostChecklist[PlayerPaid],TRUE)&gt;0</f>
        <v>0</v>
      </c>
      <c r="I545" s="41">
        <f>COUNTIF(tblCost[TargetID],tblCost[[#This Row],[TargetID]])</f>
        <v>7</v>
      </c>
      <c r="J545" s="41">
        <f>COUNTIFS(tblCost[TargetID],tblCost[[#This Row],[TargetID]],tblCost[PlayerPaid],TRUE)</f>
        <v>0</v>
      </c>
      <c r="K545" s="41">
        <f>tblCost[[#This Row],[TargetRequirements]]-tblCost[[#This Row],[CompletedRequirements]]</f>
        <v>7</v>
      </c>
      <c r="L545" s="41" t="b">
        <f>tblCost[[#This Row],[RemainingRequirements]]=0</f>
        <v>0</v>
      </c>
      <c r="M545" s="43">
        <f>IF(tblCost[[#This Row],[TargetRequirements]]=0,0,tblCost[[#This Row],[CompletedRequirements]]/tblCost[[#This Row],[TargetRequirements]])</f>
        <v>0</v>
      </c>
    </row>
    <row r="546" spans="1:13">
      <c r="A546" s="41" t="s">
        <v>4194</v>
      </c>
      <c r="B546" s="41" t="str">
        <f>_xlfn.TEXTAFTER(_xlfn.TEXTBEFORE(tblCost[[#This Row],[RequirementID]],".",-2),"cost.")</f>
        <v>building.train_passenger_carriage@2</v>
      </c>
      <c r="C546" s="41" t="str">
        <f>_xlfn.XLOOKUP(tblCost[[#This Row],[TargetID]],tblTargets[TargetID],tblTargets[DisplayName],"")</f>
        <v>Train: Passenger Carriage Lv 2</v>
      </c>
      <c r="D546" s="41" t="str">
        <f>_xlfn.XLOOKUP(tblCost[[#This Row],[TargetID]],tblTargets[TargetID],tblTargets[TargetType],"")</f>
        <v>BUILDING</v>
      </c>
      <c r="E546" s="41" t="s">
        <v>708</v>
      </c>
      <c r="F546" s="62" t="str">
        <f>RIGHT(tblCost[[#This Row],[RequirementID]],1)</f>
        <v>1</v>
      </c>
      <c r="G546" s="41">
        <v>2</v>
      </c>
      <c r="H546" t="b">
        <f>COUNTIFS(tblCostChecklist[RequirementID],tblCost[[#This Row],[RequirementID]],tblCostChecklist[PlayerPaid],TRUE)&gt;0</f>
        <v>0</v>
      </c>
      <c r="I546" s="41">
        <f>COUNTIF(tblCost[TargetID],tblCost[[#This Row],[TargetID]])</f>
        <v>6</v>
      </c>
      <c r="J546" s="41">
        <f>COUNTIFS(tblCost[TargetID],tblCost[[#This Row],[TargetID]],tblCost[PlayerPaid],TRUE)</f>
        <v>0</v>
      </c>
      <c r="K546" s="41">
        <f>tblCost[[#This Row],[TargetRequirements]]-tblCost[[#This Row],[CompletedRequirements]]</f>
        <v>6</v>
      </c>
      <c r="L546" s="41" t="b">
        <f>tblCost[[#This Row],[RemainingRequirements]]=0</f>
        <v>0</v>
      </c>
      <c r="M546" s="43">
        <f>IF(tblCost[[#This Row],[TargetRequirements]]=0,0,tblCost[[#This Row],[CompletedRequirements]]/tblCost[[#This Row],[TargetRequirements]])</f>
        <v>0</v>
      </c>
    </row>
    <row r="547" spans="1:13">
      <c r="A547" s="41" t="s">
        <v>4195</v>
      </c>
      <c r="B547" s="41" t="str">
        <f>_xlfn.TEXTAFTER(_xlfn.TEXTBEFORE(tblCost[[#This Row],[RequirementID]],".",-2),"cost.")</f>
        <v>building.train_passenger_carriage@2</v>
      </c>
      <c r="C547" s="41" t="str">
        <f>_xlfn.XLOOKUP(tblCost[[#This Row],[TargetID]],tblTargets[TargetID],tblTargets[DisplayName],"")</f>
        <v>Train: Passenger Carriage Lv 2</v>
      </c>
      <c r="D547" s="41" t="str">
        <f>_xlfn.XLOOKUP(tblCost[[#This Row],[TargetID]],tblTargets[TargetID],tblTargets[TargetType],"")</f>
        <v>BUILDING</v>
      </c>
      <c r="E547" s="41" t="s">
        <v>666</v>
      </c>
      <c r="F547" s="62" t="str">
        <f>RIGHT(tblCost[[#This Row],[RequirementID]],1)</f>
        <v>1</v>
      </c>
      <c r="G547" s="41">
        <v>500</v>
      </c>
      <c r="H547" t="b">
        <f>COUNTIFS(tblCostChecklist[RequirementID],tblCost[[#This Row],[RequirementID]],tblCostChecklist[PlayerPaid],TRUE)&gt;0</f>
        <v>0</v>
      </c>
      <c r="I547" s="41">
        <f>COUNTIF(tblCost[TargetID],tblCost[[#This Row],[TargetID]])</f>
        <v>6</v>
      </c>
      <c r="J547" s="41">
        <f>COUNTIFS(tblCost[TargetID],tblCost[[#This Row],[TargetID]],tblCost[PlayerPaid],TRUE)</f>
        <v>0</v>
      </c>
      <c r="K547" s="41">
        <f>tblCost[[#This Row],[TargetRequirements]]-tblCost[[#This Row],[CompletedRequirements]]</f>
        <v>6</v>
      </c>
      <c r="L547" s="41" t="b">
        <f>tblCost[[#This Row],[RemainingRequirements]]=0</f>
        <v>0</v>
      </c>
      <c r="M547" s="43">
        <f>IF(tblCost[[#This Row],[TargetRequirements]]=0,0,tblCost[[#This Row],[CompletedRequirements]]/tblCost[[#This Row],[TargetRequirements]])</f>
        <v>0</v>
      </c>
    </row>
    <row r="548" spans="1:13">
      <c r="A548" s="41" t="s">
        <v>4196</v>
      </c>
      <c r="B548" s="41" t="str">
        <f>_xlfn.TEXTAFTER(_xlfn.TEXTBEFORE(tblCost[[#This Row],[RequirementID]],".",-2),"cost.")</f>
        <v>building.train_passenger_carriage@2</v>
      </c>
      <c r="C548" s="41" t="str">
        <f>_xlfn.XLOOKUP(tblCost[[#This Row],[TargetID]],tblTargets[TargetID],tblTargets[DisplayName],"")</f>
        <v>Train: Passenger Carriage Lv 2</v>
      </c>
      <c r="D548" s="41" t="str">
        <f>_xlfn.XLOOKUP(tblCost[[#This Row],[TargetID]],tblTargets[TargetID],tblTargets[TargetType],"")</f>
        <v>BUILDING</v>
      </c>
      <c r="E548" s="41" t="s">
        <v>701</v>
      </c>
      <c r="F548" s="62" t="str">
        <f>RIGHT(tblCost[[#This Row],[RequirementID]],1)</f>
        <v>1</v>
      </c>
      <c r="G548" s="41">
        <v>600</v>
      </c>
      <c r="H548" t="b">
        <f>COUNTIFS(tblCostChecklist[RequirementID],tblCost[[#This Row],[RequirementID]],tblCostChecklist[PlayerPaid],TRUE)&gt;0</f>
        <v>0</v>
      </c>
      <c r="I548" s="41">
        <f>COUNTIF(tblCost[TargetID],tblCost[[#This Row],[TargetID]])</f>
        <v>6</v>
      </c>
      <c r="J548" s="41">
        <f>COUNTIFS(tblCost[TargetID],tblCost[[#This Row],[TargetID]],tblCost[PlayerPaid],TRUE)</f>
        <v>0</v>
      </c>
      <c r="K548" s="41">
        <f>tblCost[[#This Row],[TargetRequirements]]-tblCost[[#This Row],[CompletedRequirements]]</f>
        <v>6</v>
      </c>
      <c r="L548" s="41" t="b">
        <f>tblCost[[#This Row],[RemainingRequirements]]=0</f>
        <v>0</v>
      </c>
      <c r="M548" s="43">
        <f>IF(tblCost[[#This Row],[TargetRequirements]]=0,0,tblCost[[#This Row],[CompletedRequirements]]/tblCost[[#This Row],[TargetRequirements]])</f>
        <v>0</v>
      </c>
    </row>
    <row r="549" spans="1:13">
      <c r="A549" s="41" t="s">
        <v>4197</v>
      </c>
      <c r="B549" s="41" t="str">
        <f>_xlfn.TEXTAFTER(_xlfn.TEXTBEFORE(tblCost[[#This Row],[RequirementID]],".",-2),"cost.")</f>
        <v>building.train_passenger_carriage@2</v>
      </c>
      <c r="C549" s="41" t="str">
        <f>_xlfn.XLOOKUP(tblCost[[#This Row],[TargetID]],tblTargets[TargetID],tblTargets[DisplayName],"")</f>
        <v>Train: Passenger Carriage Lv 2</v>
      </c>
      <c r="D549" s="41" t="str">
        <f>_xlfn.XLOOKUP(tblCost[[#This Row],[TargetID]],tblTargets[TargetID],tblTargets[TargetType],"")</f>
        <v>BUILDING</v>
      </c>
      <c r="E549" s="41" t="s">
        <v>716</v>
      </c>
      <c r="F549" s="62" t="str">
        <f>RIGHT(tblCost[[#This Row],[RequirementID]],1)</f>
        <v>1</v>
      </c>
      <c r="G549" s="41">
        <v>200</v>
      </c>
      <c r="H549" t="b">
        <f>COUNTIFS(tblCostChecklist[RequirementID],tblCost[[#This Row],[RequirementID]],tblCostChecklist[PlayerPaid],TRUE)&gt;0</f>
        <v>0</v>
      </c>
      <c r="I549" s="41">
        <f>COUNTIF(tblCost[TargetID],tblCost[[#This Row],[TargetID]])</f>
        <v>6</v>
      </c>
      <c r="J549" s="41">
        <f>COUNTIFS(tblCost[TargetID],tblCost[[#This Row],[TargetID]],tblCost[PlayerPaid],TRUE)</f>
        <v>0</v>
      </c>
      <c r="K549" s="41">
        <f>tblCost[[#This Row],[TargetRequirements]]-tblCost[[#This Row],[CompletedRequirements]]</f>
        <v>6</v>
      </c>
      <c r="L549" s="41" t="b">
        <f>tblCost[[#This Row],[RemainingRequirements]]=0</f>
        <v>0</v>
      </c>
      <c r="M549" s="43">
        <f>IF(tblCost[[#This Row],[TargetRequirements]]=0,0,tblCost[[#This Row],[CompletedRequirements]]/tblCost[[#This Row],[TargetRequirements]])</f>
        <v>0</v>
      </c>
    </row>
    <row r="550" spans="1:13">
      <c r="A550" s="41" t="s">
        <v>4198</v>
      </c>
      <c r="B550" s="41" t="str">
        <f>_xlfn.TEXTAFTER(_xlfn.TEXTBEFORE(tblCost[[#This Row],[RequirementID]],".",-2),"cost.")</f>
        <v>building.train_passenger_carriage@2</v>
      </c>
      <c r="C550" s="41" t="str">
        <f>_xlfn.XLOOKUP(tblCost[[#This Row],[TargetID]],tblTargets[TargetID],tblTargets[DisplayName],"")</f>
        <v>Train: Passenger Carriage Lv 2</v>
      </c>
      <c r="D550" s="41" t="str">
        <f>_xlfn.XLOOKUP(tblCost[[#This Row],[TargetID]],tblTargets[TargetID],tblTargets[TargetType],"")</f>
        <v>BUILDING</v>
      </c>
      <c r="E550" s="41" t="s">
        <v>686</v>
      </c>
      <c r="F550" s="62" t="str">
        <f>RIGHT(tblCost[[#This Row],[RequirementID]],1)</f>
        <v>1</v>
      </c>
      <c r="G550" s="41">
        <v>12</v>
      </c>
      <c r="H550" t="b">
        <f>COUNTIFS(tblCostChecklist[RequirementID],tblCost[[#This Row],[RequirementID]],tblCostChecklist[PlayerPaid],TRUE)&gt;0</f>
        <v>0</v>
      </c>
      <c r="I550" s="41">
        <f>COUNTIF(tblCost[TargetID],tblCost[[#This Row],[TargetID]])</f>
        <v>6</v>
      </c>
      <c r="J550" s="41">
        <f>COUNTIFS(tblCost[TargetID],tblCost[[#This Row],[TargetID]],tblCost[PlayerPaid],TRUE)</f>
        <v>0</v>
      </c>
      <c r="K550" s="41">
        <f>tblCost[[#This Row],[TargetRequirements]]-tblCost[[#This Row],[CompletedRequirements]]</f>
        <v>6</v>
      </c>
      <c r="L550" s="41" t="b">
        <f>tblCost[[#This Row],[RemainingRequirements]]=0</f>
        <v>0</v>
      </c>
      <c r="M550" s="43">
        <f>IF(tblCost[[#This Row],[TargetRequirements]]=0,0,tblCost[[#This Row],[CompletedRequirements]]/tblCost[[#This Row],[TargetRequirements]])</f>
        <v>0</v>
      </c>
    </row>
    <row r="551" spans="1:13">
      <c r="A551" s="41" t="s">
        <v>4199</v>
      </c>
      <c r="B551" s="41" t="str">
        <f>_xlfn.TEXTAFTER(_xlfn.TEXTBEFORE(tblCost[[#This Row],[RequirementID]],".",-2),"cost.")</f>
        <v>building.train_passenger_carriage@2</v>
      </c>
      <c r="C551" s="41" t="str">
        <f>_xlfn.XLOOKUP(tblCost[[#This Row],[TargetID]],tblTargets[TargetID],tblTargets[DisplayName],"")</f>
        <v>Train: Passenger Carriage Lv 2</v>
      </c>
      <c r="D551" s="41" t="str">
        <f>_xlfn.XLOOKUP(tblCost[[#This Row],[TargetID]],tblTargets[TargetID],tblTargets[TargetType],"")</f>
        <v>BUILDING</v>
      </c>
      <c r="E551" s="41" t="s">
        <v>674</v>
      </c>
      <c r="F551" s="62" t="str">
        <f>RIGHT(tblCost[[#This Row],[RequirementID]],1)</f>
        <v>1</v>
      </c>
      <c r="G551" s="41">
        <v>12</v>
      </c>
      <c r="H551" t="b">
        <f>COUNTIFS(tblCostChecklist[RequirementID],tblCost[[#This Row],[RequirementID]],tblCostChecklist[PlayerPaid],TRUE)&gt;0</f>
        <v>0</v>
      </c>
      <c r="I551" s="41">
        <f>COUNTIF(tblCost[TargetID],tblCost[[#This Row],[TargetID]])</f>
        <v>6</v>
      </c>
      <c r="J551" s="41">
        <f>COUNTIFS(tblCost[TargetID],tblCost[[#This Row],[TargetID]],tblCost[PlayerPaid],TRUE)</f>
        <v>0</v>
      </c>
      <c r="K551" s="41">
        <f>tblCost[[#This Row],[TargetRequirements]]-tblCost[[#This Row],[CompletedRequirements]]</f>
        <v>6</v>
      </c>
      <c r="L551" s="41" t="b">
        <f>tblCost[[#This Row],[RemainingRequirements]]=0</f>
        <v>0</v>
      </c>
      <c r="M551" s="43">
        <f>IF(tblCost[[#This Row],[TargetRequirements]]=0,0,tblCost[[#This Row],[CompletedRequirements]]/tblCost[[#This Row],[TargetRequirements]])</f>
        <v>0</v>
      </c>
    </row>
    <row r="552" spans="1:13">
      <c r="A552" s="41" t="s">
        <v>4200</v>
      </c>
      <c r="B552" s="41" t="str">
        <f>_xlfn.TEXTAFTER(_xlfn.TEXTBEFORE(tblCost[[#This Row],[RequirementID]],".",-2),"cost.")</f>
        <v>building.warehouse@1</v>
      </c>
      <c r="C552" s="41" t="str">
        <f>_xlfn.XLOOKUP(tblCost[[#This Row],[TargetID]],tblTargets[TargetID],tblTargets[DisplayName],"")</f>
        <v>Warehouse Lv 1</v>
      </c>
      <c r="D552" s="41" t="str">
        <f>_xlfn.XLOOKUP(tblCost[[#This Row],[TargetID]],tblTargets[TargetID],tblTargets[TargetType],"")</f>
        <v>BUILDING</v>
      </c>
      <c r="E552" s="41" t="s">
        <v>708</v>
      </c>
      <c r="F552" s="62" t="str">
        <f>RIGHT(tblCost[[#This Row],[RequirementID]],1)</f>
        <v>1</v>
      </c>
      <c r="G552" s="41">
        <v>1</v>
      </c>
      <c r="H552" t="b">
        <f>COUNTIFS(tblCostChecklist[RequirementID],tblCost[[#This Row],[RequirementID]],tblCostChecklist[PlayerPaid],TRUE)&gt;0</f>
        <v>0</v>
      </c>
      <c r="I552" s="41">
        <f>COUNTIF(tblCost[TargetID],tblCost[[#This Row],[TargetID]])</f>
        <v>4</v>
      </c>
      <c r="J552" s="41">
        <f>COUNTIFS(tblCost[TargetID],tblCost[[#This Row],[TargetID]],tblCost[PlayerPaid],TRUE)</f>
        <v>0</v>
      </c>
      <c r="K552" s="41">
        <f>tblCost[[#This Row],[TargetRequirements]]-tblCost[[#This Row],[CompletedRequirements]]</f>
        <v>4</v>
      </c>
      <c r="L552" s="41" t="b">
        <f>tblCost[[#This Row],[RemainingRequirements]]=0</f>
        <v>0</v>
      </c>
      <c r="M552" s="43">
        <f>IF(tblCost[[#This Row],[TargetRequirements]]=0,0,tblCost[[#This Row],[CompletedRequirements]]/tblCost[[#This Row],[TargetRequirements]])</f>
        <v>0</v>
      </c>
    </row>
    <row r="553" spans="1:13">
      <c r="A553" s="41" t="s">
        <v>4201</v>
      </c>
      <c r="B553" s="41" t="str">
        <f>_xlfn.TEXTAFTER(_xlfn.TEXTBEFORE(tblCost[[#This Row],[RequirementID]],".",-2),"cost.")</f>
        <v>building.warehouse@1</v>
      </c>
      <c r="C553" s="41" t="str">
        <f>_xlfn.XLOOKUP(tblCost[[#This Row],[TargetID]],tblTargets[TargetID],tblTargets[DisplayName],"")</f>
        <v>Warehouse Lv 1</v>
      </c>
      <c r="D553" s="41" t="str">
        <f>_xlfn.XLOOKUP(tblCost[[#This Row],[TargetID]],tblTargets[TargetID],tblTargets[TargetType],"")</f>
        <v>BUILDING</v>
      </c>
      <c r="E553" s="41" t="s">
        <v>666</v>
      </c>
      <c r="F553" s="62" t="str">
        <f>RIGHT(tblCost[[#This Row],[RequirementID]],1)</f>
        <v>1</v>
      </c>
      <c r="G553" s="41">
        <v>100</v>
      </c>
      <c r="H553" t="b">
        <f>COUNTIFS(tblCostChecklist[RequirementID],tblCost[[#This Row],[RequirementID]],tblCostChecklist[PlayerPaid],TRUE)&gt;0</f>
        <v>0</v>
      </c>
      <c r="I553" s="41">
        <f>COUNTIF(tblCost[TargetID],tblCost[[#This Row],[TargetID]])</f>
        <v>4</v>
      </c>
      <c r="J553" s="41">
        <f>COUNTIFS(tblCost[TargetID],tblCost[[#This Row],[TargetID]],tblCost[PlayerPaid],TRUE)</f>
        <v>0</v>
      </c>
      <c r="K553" s="41">
        <f>tblCost[[#This Row],[TargetRequirements]]-tblCost[[#This Row],[CompletedRequirements]]</f>
        <v>4</v>
      </c>
      <c r="L553" s="41" t="b">
        <f>tblCost[[#This Row],[RemainingRequirements]]=0</f>
        <v>0</v>
      </c>
      <c r="M553" s="43">
        <f>IF(tblCost[[#This Row],[TargetRequirements]]=0,0,tblCost[[#This Row],[CompletedRequirements]]/tblCost[[#This Row],[TargetRequirements]])</f>
        <v>0</v>
      </c>
    </row>
    <row r="554" spans="1:13">
      <c r="A554" s="41" t="s">
        <v>4202</v>
      </c>
      <c r="B554" s="41" t="str">
        <f>_xlfn.TEXTAFTER(_xlfn.TEXTBEFORE(tblCost[[#This Row],[RequirementID]],".",-2),"cost.")</f>
        <v>building.warehouse@1</v>
      </c>
      <c r="C554" s="41" t="str">
        <f>_xlfn.XLOOKUP(tblCost[[#This Row],[TargetID]],tblTargets[TargetID],tblTargets[DisplayName],"")</f>
        <v>Warehouse Lv 1</v>
      </c>
      <c r="D554" s="41" t="str">
        <f>_xlfn.XLOOKUP(tblCost[[#This Row],[TargetID]],tblTargets[TargetID],tblTargets[TargetType],"")</f>
        <v>BUILDING</v>
      </c>
      <c r="E554" s="41" t="s">
        <v>723</v>
      </c>
      <c r="F554" s="62" t="str">
        <f>RIGHT(tblCost[[#This Row],[RequirementID]],1)</f>
        <v>1</v>
      </c>
      <c r="G554" s="41">
        <v>60</v>
      </c>
      <c r="H554" t="b">
        <f>COUNTIFS(tblCostChecklist[RequirementID],tblCost[[#This Row],[RequirementID]],tblCostChecklist[PlayerPaid],TRUE)&gt;0</f>
        <v>0</v>
      </c>
      <c r="I554" s="41">
        <f>COUNTIF(tblCost[TargetID],tblCost[[#This Row],[TargetID]])</f>
        <v>4</v>
      </c>
      <c r="J554" s="41">
        <f>COUNTIFS(tblCost[TargetID],tblCost[[#This Row],[TargetID]],tblCost[PlayerPaid],TRUE)</f>
        <v>0</v>
      </c>
      <c r="K554" s="41">
        <f>tblCost[[#This Row],[TargetRequirements]]-tblCost[[#This Row],[CompletedRequirements]]</f>
        <v>4</v>
      </c>
      <c r="L554" s="41" t="b">
        <f>tblCost[[#This Row],[RemainingRequirements]]=0</f>
        <v>0</v>
      </c>
      <c r="M554" s="43">
        <f>IF(tblCost[[#This Row],[TargetRequirements]]=0,0,tblCost[[#This Row],[CompletedRequirements]]/tblCost[[#This Row],[TargetRequirements]])</f>
        <v>0</v>
      </c>
    </row>
    <row r="555" spans="1:13">
      <c r="A555" s="41" t="s">
        <v>4203</v>
      </c>
      <c r="B555" s="41" t="str">
        <f>_xlfn.TEXTAFTER(_xlfn.TEXTBEFORE(tblCost[[#This Row],[RequirementID]],".",-2),"cost.")</f>
        <v>building.warehouse@1</v>
      </c>
      <c r="C555" s="41" t="str">
        <f>_xlfn.XLOOKUP(tblCost[[#This Row],[TargetID]],tblTargets[TargetID],tblTargets[DisplayName],"")</f>
        <v>Warehouse Lv 1</v>
      </c>
      <c r="D555" s="41" t="str">
        <f>_xlfn.XLOOKUP(tblCost[[#This Row],[TargetID]],tblTargets[TargetID],tblTargets[TargetType],"")</f>
        <v>BUILDING</v>
      </c>
      <c r="E555" s="41" t="s">
        <v>717</v>
      </c>
      <c r="F555" s="62" t="str">
        <f>RIGHT(tblCost[[#This Row],[RequirementID]],1)</f>
        <v>1</v>
      </c>
      <c r="G555" s="41">
        <v>60</v>
      </c>
      <c r="H555" t="b">
        <f>COUNTIFS(tblCostChecklist[RequirementID],tblCost[[#This Row],[RequirementID]],tblCostChecklist[PlayerPaid],TRUE)&gt;0</f>
        <v>0</v>
      </c>
      <c r="I555" s="41">
        <f>COUNTIF(tblCost[TargetID],tblCost[[#This Row],[TargetID]])</f>
        <v>4</v>
      </c>
      <c r="J555" s="41">
        <f>COUNTIFS(tblCost[TargetID],tblCost[[#This Row],[TargetID]],tblCost[PlayerPaid],TRUE)</f>
        <v>0</v>
      </c>
      <c r="K555" s="41">
        <f>tblCost[[#This Row],[TargetRequirements]]-tblCost[[#This Row],[CompletedRequirements]]</f>
        <v>4</v>
      </c>
      <c r="L555" s="41" t="b">
        <f>tblCost[[#This Row],[RemainingRequirements]]=0</f>
        <v>0</v>
      </c>
      <c r="M555" s="43">
        <f>IF(tblCost[[#This Row],[TargetRequirements]]=0,0,tblCost[[#This Row],[CompletedRequirements]]/tblCost[[#This Row],[TargetRequirements]])</f>
        <v>0</v>
      </c>
    </row>
    <row r="556" spans="1:13">
      <c r="A556" s="41" t="s">
        <v>4204</v>
      </c>
      <c r="B556" s="41" t="str">
        <f>_xlfn.TEXTAFTER(_xlfn.TEXTBEFORE(tblCost[[#This Row],[RequirementID]],".",-2),"cost.")</f>
        <v>building.warehouse@2</v>
      </c>
      <c r="C556" s="41" t="str">
        <f>_xlfn.XLOOKUP(tblCost[[#This Row],[TargetID]],tblTargets[TargetID],tblTargets[DisplayName],"")</f>
        <v>Warehouse Lv 2</v>
      </c>
      <c r="D556" s="41" t="str">
        <f>_xlfn.XLOOKUP(tblCost[[#This Row],[TargetID]],tblTargets[TargetID],tblTargets[TargetType],"")</f>
        <v>BUILDING</v>
      </c>
      <c r="E556" s="41" t="s">
        <v>708</v>
      </c>
      <c r="F556" s="62" t="str">
        <f>RIGHT(tblCost[[#This Row],[RequirementID]],1)</f>
        <v>1</v>
      </c>
      <c r="G556" s="41">
        <v>2</v>
      </c>
      <c r="H556" t="b">
        <f>COUNTIFS(tblCostChecklist[RequirementID],tblCost[[#This Row],[RequirementID]],tblCostChecklist[PlayerPaid],TRUE)&gt;0</f>
        <v>0</v>
      </c>
      <c r="I556" s="41">
        <f>COUNTIF(tblCost[TargetID],tblCost[[#This Row],[TargetID]])</f>
        <v>4</v>
      </c>
      <c r="J556" s="41">
        <f>COUNTIFS(tblCost[TargetID],tblCost[[#This Row],[TargetID]],tblCost[PlayerPaid],TRUE)</f>
        <v>0</v>
      </c>
      <c r="K556" s="41">
        <f>tblCost[[#This Row],[TargetRequirements]]-tblCost[[#This Row],[CompletedRequirements]]</f>
        <v>4</v>
      </c>
      <c r="L556" s="41" t="b">
        <f>tblCost[[#This Row],[RemainingRequirements]]=0</f>
        <v>0</v>
      </c>
      <c r="M556" s="43">
        <f>IF(tblCost[[#This Row],[TargetRequirements]]=0,0,tblCost[[#This Row],[CompletedRequirements]]/tblCost[[#This Row],[TargetRequirements]])</f>
        <v>0</v>
      </c>
    </row>
    <row r="557" spans="1:13">
      <c r="A557" s="41" t="s">
        <v>4205</v>
      </c>
      <c r="B557" s="41" t="str">
        <f>_xlfn.TEXTAFTER(_xlfn.TEXTBEFORE(tblCost[[#This Row],[RequirementID]],".",-2),"cost.")</f>
        <v>building.warehouse@2</v>
      </c>
      <c r="C557" s="41" t="str">
        <f>_xlfn.XLOOKUP(tblCost[[#This Row],[TargetID]],tblTargets[TargetID],tblTargets[DisplayName],"")</f>
        <v>Warehouse Lv 2</v>
      </c>
      <c r="D557" s="41" t="str">
        <f>_xlfn.XLOOKUP(tblCost[[#This Row],[TargetID]],tblTargets[TargetID],tblTargets[TargetType],"")</f>
        <v>BUILDING</v>
      </c>
      <c r="E557" s="41" t="s">
        <v>666</v>
      </c>
      <c r="F557" s="62" t="str">
        <f>RIGHT(tblCost[[#This Row],[RequirementID]],1)</f>
        <v>1</v>
      </c>
      <c r="G557" s="41">
        <v>200</v>
      </c>
      <c r="H557" t="b">
        <f>COUNTIFS(tblCostChecklist[RequirementID],tblCost[[#This Row],[RequirementID]],tblCostChecklist[PlayerPaid],TRUE)&gt;0</f>
        <v>0</v>
      </c>
      <c r="I557" s="41">
        <f>COUNTIF(tblCost[TargetID],tblCost[[#This Row],[TargetID]])</f>
        <v>4</v>
      </c>
      <c r="J557" s="41">
        <f>COUNTIFS(tblCost[TargetID],tblCost[[#This Row],[TargetID]],tblCost[PlayerPaid],TRUE)</f>
        <v>0</v>
      </c>
      <c r="K557" s="41">
        <f>tblCost[[#This Row],[TargetRequirements]]-tblCost[[#This Row],[CompletedRequirements]]</f>
        <v>4</v>
      </c>
      <c r="L557" s="41" t="b">
        <f>tblCost[[#This Row],[RemainingRequirements]]=0</f>
        <v>0</v>
      </c>
      <c r="M557" s="43">
        <f>IF(tblCost[[#This Row],[TargetRequirements]]=0,0,tblCost[[#This Row],[CompletedRequirements]]/tblCost[[#This Row],[TargetRequirements]])</f>
        <v>0</v>
      </c>
    </row>
    <row r="558" spans="1:13">
      <c r="A558" s="41" t="s">
        <v>4206</v>
      </c>
      <c r="B558" s="41" t="str">
        <f>_xlfn.TEXTAFTER(_xlfn.TEXTBEFORE(tblCost[[#This Row],[RequirementID]],".",-2),"cost.")</f>
        <v>building.warehouse@2</v>
      </c>
      <c r="C558" s="41" t="str">
        <f>_xlfn.XLOOKUP(tblCost[[#This Row],[TargetID]],tblTargets[TargetID],tblTargets[DisplayName],"")</f>
        <v>Warehouse Lv 2</v>
      </c>
      <c r="D558" s="41" t="str">
        <f>_xlfn.XLOOKUP(tblCost[[#This Row],[TargetID]],tblTargets[TargetID],tblTargets[TargetType],"")</f>
        <v>BUILDING</v>
      </c>
      <c r="E558" s="41" t="s">
        <v>723</v>
      </c>
      <c r="F558" s="62" t="str">
        <f>RIGHT(tblCost[[#This Row],[RequirementID]],1)</f>
        <v>1</v>
      </c>
      <c r="G558" s="41">
        <v>80</v>
      </c>
      <c r="H558" t="b">
        <f>COUNTIFS(tblCostChecklist[RequirementID],tblCost[[#This Row],[RequirementID]],tblCostChecklist[PlayerPaid],TRUE)&gt;0</f>
        <v>0</v>
      </c>
      <c r="I558" s="41">
        <f>COUNTIF(tblCost[TargetID],tblCost[[#This Row],[TargetID]])</f>
        <v>4</v>
      </c>
      <c r="J558" s="41">
        <f>COUNTIFS(tblCost[TargetID],tblCost[[#This Row],[TargetID]],tblCost[PlayerPaid],TRUE)</f>
        <v>0</v>
      </c>
      <c r="K558" s="41">
        <f>tblCost[[#This Row],[TargetRequirements]]-tblCost[[#This Row],[CompletedRequirements]]</f>
        <v>4</v>
      </c>
      <c r="L558" s="41" t="b">
        <f>tblCost[[#This Row],[RemainingRequirements]]=0</f>
        <v>0</v>
      </c>
      <c r="M558" s="43">
        <f>IF(tblCost[[#This Row],[TargetRequirements]]=0,0,tblCost[[#This Row],[CompletedRequirements]]/tblCost[[#This Row],[TargetRequirements]])</f>
        <v>0</v>
      </c>
    </row>
    <row r="559" spans="1:13">
      <c r="A559" s="41" t="s">
        <v>4207</v>
      </c>
      <c r="B559" s="41" t="str">
        <f>_xlfn.TEXTAFTER(_xlfn.TEXTBEFORE(tblCost[[#This Row],[RequirementID]],".",-2),"cost.")</f>
        <v>building.warehouse@2</v>
      </c>
      <c r="C559" s="41" t="str">
        <f>_xlfn.XLOOKUP(tblCost[[#This Row],[TargetID]],tblTargets[TargetID],tblTargets[DisplayName],"")</f>
        <v>Warehouse Lv 2</v>
      </c>
      <c r="D559" s="41" t="str">
        <f>_xlfn.XLOOKUP(tblCost[[#This Row],[TargetID]],tblTargets[TargetID],tblTargets[TargetType],"")</f>
        <v>BUILDING</v>
      </c>
      <c r="E559" s="41" t="s">
        <v>717</v>
      </c>
      <c r="F559" s="62" t="str">
        <f>RIGHT(tblCost[[#This Row],[RequirementID]],1)</f>
        <v>1</v>
      </c>
      <c r="G559" s="41">
        <v>80</v>
      </c>
      <c r="H559" t="b">
        <f>COUNTIFS(tblCostChecklist[RequirementID],tblCost[[#This Row],[RequirementID]],tblCostChecklist[PlayerPaid],TRUE)&gt;0</f>
        <v>0</v>
      </c>
      <c r="I559" s="41">
        <f>COUNTIF(tblCost[TargetID],tblCost[[#This Row],[TargetID]])</f>
        <v>4</v>
      </c>
      <c r="J559" s="41">
        <f>COUNTIFS(tblCost[TargetID],tblCost[[#This Row],[TargetID]],tblCost[PlayerPaid],TRUE)</f>
        <v>0</v>
      </c>
      <c r="K559" s="41">
        <f>tblCost[[#This Row],[TargetRequirements]]-tblCost[[#This Row],[CompletedRequirements]]</f>
        <v>4</v>
      </c>
      <c r="L559" s="41" t="b">
        <f>tblCost[[#This Row],[RemainingRequirements]]=0</f>
        <v>0</v>
      </c>
      <c r="M559" s="43">
        <f>IF(tblCost[[#This Row],[TargetRequirements]]=0,0,tblCost[[#This Row],[CompletedRequirements]]/tblCost[[#This Row],[TargetRequirements]])</f>
        <v>0</v>
      </c>
    </row>
    <row r="560" spans="1:13">
      <c r="A560" s="41" t="s">
        <v>4208</v>
      </c>
      <c r="B560" s="41" t="str">
        <f>_xlfn.TEXTAFTER(_xlfn.TEXTBEFORE(tblCost[[#This Row],[RequirementID]],".",-2),"cost.")</f>
        <v>building.warehouse@3</v>
      </c>
      <c r="C560" s="41" t="str">
        <f>_xlfn.XLOOKUP(tblCost[[#This Row],[TargetID]],tblTargets[TargetID],tblTargets[DisplayName],"")</f>
        <v>Warehouse Lv 3</v>
      </c>
      <c r="D560" s="41" t="str">
        <f>_xlfn.XLOOKUP(tblCost[[#This Row],[TargetID]],tblTargets[TargetID],tblTargets[TargetType],"")</f>
        <v>BUILDING</v>
      </c>
      <c r="E560" s="41" t="s">
        <v>708</v>
      </c>
      <c r="F560" s="62" t="str">
        <f>RIGHT(tblCost[[#This Row],[RequirementID]],1)</f>
        <v>1</v>
      </c>
      <c r="G560" s="41">
        <v>3</v>
      </c>
      <c r="H560" t="b">
        <f>COUNTIFS(tblCostChecklist[RequirementID],tblCost[[#This Row],[RequirementID]],tblCostChecklist[PlayerPaid],TRUE)&gt;0</f>
        <v>0</v>
      </c>
      <c r="I560" s="41">
        <f>COUNTIF(tblCost[TargetID],tblCost[[#This Row],[TargetID]])</f>
        <v>4</v>
      </c>
      <c r="J560" s="41">
        <f>COUNTIFS(tblCost[TargetID],tblCost[[#This Row],[TargetID]],tblCost[PlayerPaid],TRUE)</f>
        <v>0</v>
      </c>
      <c r="K560" s="41">
        <f>tblCost[[#This Row],[TargetRequirements]]-tblCost[[#This Row],[CompletedRequirements]]</f>
        <v>4</v>
      </c>
      <c r="L560" s="41" t="b">
        <f>tblCost[[#This Row],[RemainingRequirements]]=0</f>
        <v>0</v>
      </c>
      <c r="M560" s="43">
        <f>IF(tblCost[[#This Row],[TargetRequirements]]=0,0,tblCost[[#This Row],[CompletedRequirements]]/tblCost[[#This Row],[TargetRequirements]])</f>
        <v>0</v>
      </c>
    </row>
    <row r="561" spans="1:13">
      <c r="A561" s="41" t="s">
        <v>4209</v>
      </c>
      <c r="B561" s="41" t="str">
        <f>_xlfn.TEXTAFTER(_xlfn.TEXTBEFORE(tblCost[[#This Row],[RequirementID]],".",-2),"cost.")</f>
        <v>building.warehouse@3</v>
      </c>
      <c r="C561" s="41" t="str">
        <f>_xlfn.XLOOKUP(tblCost[[#This Row],[TargetID]],tblTargets[TargetID],tblTargets[DisplayName],"")</f>
        <v>Warehouse Lv 3</v>
      </c>
      <c r="D561" s="41" t="str">
        <f>_xlfn.XLOOKUP(tblCost[[#This Row],[TargetID]],tblTargets[TargetID],tblTargets[TargetType],"")</f>
        <v>BUILDING</v>
      </c>
      <c r="E561" s="41" t="s">
        <v>666</v>
      </c>
      <c r="F561" s="62" t="str">
        <f>RIGHT(tblCost[[#This Row],[RequirementID]],1)</f>
        <v>1</v>
      </c>
      <c r="G561" s="41">
        <v>300</v>
      </c>
      <c r="H561" t="b">
        <f>COUNTIFS(tblCostChecklist[RequirementID],tblCost[[#This Row],[RequirementID]],tblCostChecklist[PlayerPaid],TRUE)&gt;0</f>
        <v>0</v>
      </c>
      <c r="I561" s="41">
        <f>COUNTIF(tblCost[TargetID],tblCost[[#This Row],[TargetID]])</f>
        <v>4</v>
      </c>
      <c r="J561" s="41">
        <f>COUNTIFS(tblCost[TargetID],tblCost[[#This Row],[TargetID]],tblCost[PlayerPaid],TRUE)</f>
        <v>0</v>
      </c>
      <c r="K561" s="41">
        <f>tblCost[[#This Row],[TargetRequirements]]-tblCost[[#This Row],[CompletedRequirements]]</f>
        <v>4</v>
      </c>
      <c r="L561" s="41" t="b">
        <f>tblCost[[#This Row],[RemainingRequirements]]=0</f>
        <v>0</v>
      </c>
      <c r="M561" s="43">
        <f>IF(tblCost[[#This Row],[TargetRequirements]]=0,0,tblCost[[#This Row],[CompletedRequirements]]/tblCost[[#This Row],[TargetRequirements]])</f>
        <v>0</v>
      </c>
    </row>
    <row r="562" spans="1:13">
      <c r="A562" s="41" t="s">
        <v>4210</v>
      </c>
      <c r="B562" s="41" t="str">
        <f>_xlfn.TEXTAFTER(_xlfn.TEXTBEFORE(tblCost[[#This Row],[RequirementID]],".",-2),"cost.")</f>
        <v>building.warehouse@3</v>
      </c>
      <c r="C562" s="41" t="str">
        <f>_xlfn.XLOOKUP(tblCost[[#This Row],[TargetID]],tblTargets[TargetID],tblTargets[DisplayName],"")</f>
        <v>Warehouse Lv 3</v>
      </c>
      <c r="D562" s="41" t="str">
        <f>_xlfn.XLOOKUP(tblCost[[#This Row],[TargetID]],tblTargets[TargetID],tblTargets[TargetType],"")</f>
        <v>BUILDING</v>
      </c>
      <c r="E562" s="41" t="s">
        <v>658</v>
      </c>
      <c r="F562" s="62" t="str">
        <f>RIGHT(tblCost[[#This Row],[RequirementID]],1)</f>
        <v>1</v>
      </c>
      <c r="G562" s="41">
        <v>200</v>
      </c>
      <c r="H562" t="b">
        <f>COUNTIFS(tblCostChecklist[RequirementID],tblCost[[#This Row],[RequirementID]],tblCostChecklist[PlayerPaid],TRUE)&gt;0</f>
        <v>0</v>
      </c>
      <c r="I562" s="41">
        <f>COUNTIF(tblCost[TargetID],tblCost[[#This Row],[TargetID]])</f>
        <v>4</v>
      </c>
      <c r="J562" s="41">
        <f>COUNTIFS(tblCost[TargetID],tblCost[[#This Row],[TargetID]],tblCost[PlayerPaid],TRUE)</f>
        <v>0</v>
      </c>
      <c r="K562" s="41">
        <f>tblCost[[#This Row],[TargetRequirements]]-tblCost[[#This Row],[CompletedRequirements]]</f>
        <v>4</v>
      </c>
      <c r="L562" s="41" t="b">
        <f>tblCost[[#This Row],[RemainingRequirements]]=0</f>
        <v>0</v>
      </c>
      <c r="M562" s="43">
        <f>IF(tblCost[[#This Row],[TargetRequirements]]=0,0,tblCost[[#This Row],[CompletedRequirements]]/tblCost[[#This Row],[TargetRequirements]])</f>
        <v>0</v>
      </c>
    </row>
    <row r="563" spans="1:13">
      <c r="A563" s="41" t="s">
        <v>4211</v>
      </c>
      <c r="B563" s="41" t="str">
        <f>_xlfn.TEXTAFTER(_xlfn.TEXTBEFORE(tblCost[[#This Row],[RequirementID]],".",-2),"cost.")</f>
        <v>building.warehouse@3</v>
      </c>
      <c r="C563" s="41" t="str">
        <f>_xlfn.XLOOKUP(tblCost[[#This Row],[TargetID]],tblTargets[TargetID],tblTargets[DisplayName],"")</f>
        <v>Warehouse Lv 3</v>
      </c>
      <c r="D563" s="41" t="str">
        <f>_xlfn.XLOOKUP(tblCost[[#This Row],[TargetID]],tblTargets[TargetID],tblTargets[TargetType],"")</f>
        <v>BUILDING</v>
      </c>
      <c r="E563" s="41" t="s">
        <v>717</v>
      </c>
      <c r="F563" s="62" t="str">
        <f>RIGHT(tblCost[[#This Row],[RequirementID]],1)</f>
        <v>1</v>
      </c>
      <c r="G563" s="41">
        <v>100</v>
      </c>
      <c r="H563" t="b">
        <f>COUNTIFS(tblCostChecklist[RequirementID],tblCost[[#This Row],[RequirementID]],tblCostChecklist[PlayerPaid],TRUE)&gt;0</f>
        <v>0</v>
      </c>
      <c r="I563" s="41">
        <f>COUNTIF(tblCost[TargetID],tblCost[[#This Row],[TargetID]])</f>
        <v>4</v>
      </c>
      <c r="J563" s="41">
        <f>COUNTIFS(tblCost[TargetID],tblCost[[#This Row],[TargetID]],tblCost[PlayerPaid],TRUE)</f>
        <v>0</v>
      </c>
      <c r="K563" s="41">
        <f>tblCost[[#This Row],[TargetRequirements]]-tblCost[[#This Row],[CompletedRequirements]]</f>
        <v>4</v>
      </c>
      <c r="L563" s="41" t="b">
        <f>tblCost[[#This Row],[RemainingRequirements]]=0</f>
        <v>0</v>
      </c>
      <c r="M563" s="43">
        <f>IF(tblCost[[#This Row],[TargetRequirements]]=0,0,tblCost[[#This Row],[CompletedRequirements]]/tblCost[[#This Row],[TargetRequirements]])</f>
        <v>0</v>
      </c>
    </row>
    <row r="564" spans="1:13">
      <c r="A564" s="41" t="s">
        <v>4212</v>
      </c>
      <c r="B564" s="41" t="str">
        <f>_xlfn.TEXTAFTER(_xlfn.TEXTBEFORE(tblCost[[#This Row],[RequirementID]],".",-2),"cost.")</f>
        <v>building.warehouse@4</v>
      </c>
      <c r="C564" s="41" t="str">
        <f>_xlfn.XLOOKUP(tblCost[[#This Row],[TargetID]],tblTargets[TargetID],tblTargets[DisplayName],"")</f>
        <v>Warehouse Lv 4</v>
      </c>
      <c r="D564" s="41" t="str">
        <f>_xlfn.XLOOKUP(tblCost[[#This Row],[TargetID]],tblTargets[TargetID],tblTargets[TargetType],"")</f>
        <v>BUILDING</v>
      </c>
      <c r="E564" s="41" t="s">
        <v>708</v>
      </c>
      <c r="F564" s="62" t="str">
        <f>RIGHT(tblCost[[#This Row],[RequirementID]],1)</f>
        <v>1</v>
      </c>
      <c r="G564" s="41">
        <v>4</v>
      </c>
      <c r="H564" t="b">
        <f>COUNTIFS(tblCostChecklist[RequirementID],tblCost[[#This Row],[RequirementID]],tblCostChecklist[PlayerPaid],TRUE)&gt;0</f>
        <v>0</v>
      </c>
      <c r="I564" s="41">
        <f>COUNTIF(tblCost[TargetID],tblCost[[#This Row],[TargetID]])</f>
        <v>4</v>
      </c>
      <c r="J564" s="41">
        <f>COUNTIFS(tblCost[TargetID],tblCost[[#This Row],[TargetID]],tblCost[PlayerPaid],TRUE)</f>
        <v>0</v>
      </c>
      <c r="K564" s="41">
        <f>tblCost[[#This Row],[TargetRequirements]]-tblCost[[#This Row],[CompletedRequirements]]</f>
        <v>4</v>
      </c>
      <c r="L564" s="41" t="b">
        <f>tblCost[[#This Row],[RemainingRequirements]]=0</f>
        <v>0</v>
      </c>
      <c r="M564" s="43">
        <f>IF(tblCost[[#This Row],[TargetRequirements]]=0,0,tblCost[[#This Row],[CompletedRequirements]]/tblCost[[#This Row],[TargetRequirements]])</f>
        <v>0</v>
      </c>
    </row>
    <row r="565" spans="1:13">
      <c r="A565" s="41" t="s">
        <v>4213</v>
      </c>
      <c r="B565" s="41" t="str">
        <f>_xlfn.TEXTAFTER(_xlfn.TEXTBEFORE(tblCost[[#This Row],[RequirementID]],".",-2),"cost.")</f>
        <v>building.warehouse@4</v>
      </c>
      <c r="C565" s="41" t="str">
        <f>_xlfn.XLOOKUP(tblCost[[#This Row],[TargetID]],tblTargets[TargetID],tblTargets[DisplayName],"")</f>
        <v>Warehouse Lv 4</v>
      </c>
      <c r="D565" s="41" t="str">
        <f>_xlfn.XLOOKUP(tblCost[[#This Row],[TargetID]],tblTargets[TargetID],tblTargets[TargetType],"")</f>
        <v>BUILDING</v>
      </c>
      <c r="E565" s="41" t="s">
        <v>666</v>
      </c>
      <c r="F565" s="62" t="str">
        <f>RIGHT(tblCost[[#This Row],[RequirementID]],1)</f>
        <v>1</v>
      </c>
      <c r="G565" s="41">
        <v>400</v>
      </c>
      <c r="H565" t="b">
        <f>COUNTIFS(tblCostChecklist[RequirementID],tblCost[[#This Row],[RequirementID]],tblCostChecklist[PlayerPaid],TRUE)&gt;0</f>
        <v>0</v>
      </c>
      <c r="I565" s="41">
        <f>COUNTIF(tblCost[TargetID],tblCost[[#This Row],[TargetID]])</f>
        <v>4</v>
      </c>
      <c r="J565" s="41">
        <f>COUNTIFS(tblCost[TargetID],tblCost[[#This Row],[TargetID]],tblCost[PlayerPaid],TRUE)</f>
        <v>0</v>
      </c>
      <c r="K565" s="41">
        <f>tblCost[[#This Row],[TargetRequirements]]-tblCost[[#This Row],[CompletedRequirements]]</f>
        <v>4</v>
      </c>
      <c r="L565" s="41" t="b">
        <f>tblCost[[#This Row],[RemainingRequirements]]=0</f>
        <v>0</v>
      </c>
      <c r="M565" s="43">
        <f>IF(tblCost[[#This Row],[TargetRequirements]]=0,0,tblCost[[#This Row],[CompletedRequirements]]/tblCost[[#This Row],[TargetRequirements]])</f>
        <v>0</v>
      </c>
    </row>
    <row r="566" spans="1:13">
      <c r="A566" s="41" t="s">
        <v>4214</v>
      </c>
      <c r="B566" s="41" t="str">
        <f>_xlfn.TEXTAFTER(_xlfn.TEXTBEFORE(tblCost[[#This Row],[RequirementID]],".",-2),"cost.")</f>
        <v>building.warehouse@4</v>
      </c>
      <c r="C566" s="41" t="str">
        <f>_xlfn.XLOOKUP(tblCost[[#This Row],[TargetID]],tblTargets[TargetID],tblTargets[DisplayName],"")</f>
        <v>Warehouse Lv 4</v>
      </c>
      <c r="D566" s="41" t="str">
        <f>_xlfn.XLOOKUP(tblCost[[#This Row],[TargetID]],tblTargets[TargetID],tblTargets[TargetType],"")</f>
        <v>BUILDING</v>
      </c>
      <c r="E566" s="41" t="s">
        <v>658</v>
      </c>
      <c r="F566" s="62" t="str">
        <f>RIGHT(tblCost[[#This Row],[RequirementID]],1)</f>
        <v>1</v>
      </c>
      <c r="G566" s="41">
        <v>280</v>
      </c>
      <c r="H566" t="b">
        <f>COUNTIFS(tblCostChecklist[RequirementID],tblCost[[#This Row],[RequirementID]],tblCostChecklist[PlayerPaid],TRUE)&gt;0</f>
        <v>0</v>
      </c>
      <c r="I566" s="41">
        <f>COUNTIF(tblCost[TargetID],tblCost[[#This Row],[TargetID]])</f>
        <v>4</v>
      </c>
      <c r="J566" s="41">
        <f>COUNTIFS(tblCost[TargetID],tblCost[[#This Row],[TargetID]],tblCost[PlayerPaid],TRUE)</f>
        <v>0</v>
      </c>
      <c r="K566" s="41">
        <f>tblCost[[#This Row],[TargetRequirements]]-tblCost[[#This Row],[CompletedRequirements]]</f>
        <v>4</v>
      </c>
      <c r="L566" s="41" t="b">
        <f>tblCost[[#This Row],[RemainingRequirements]]=0</f>
        <v>0</v>
      </c>
      <c r="M566" s="43">
        <f>IF(tblCost[[#This Row],[TargetRequirements]]=0,0,tblCost[[#This Row],[CompletedRequirements]]/tblCost[[#This Row],[TargetRequirements]])</f>
        <v>0</v>
      </c>
    </row>
    <row r="567" spans="1:13">
      <c r="A567" s="41" t="s">
        <v>4215</v>
      </c>
      <c r="B567" s="41" t="str">
        <f>_xlfn.TEXTAFTER(_xlfn.TEXTBEFORE(tblCost[[#This Row],[RequirementID]],".",-2),"cost.")</f>
        <v>building.warehouse@4</v>
      </c>
      <c r="C567" s="41" t="str">
        <f>_xlfn.XLOOKUP(tblCost[[#This Row],[TargetID]],tblTargets[TargetID],tblTargets[DisplayName],"")</f>
        <v>Warehouse Lv 4</v>
      </c>
      <c r="D567" s="41" t="str">
        <f>_xlfn.XLOOKUP(tblCost[[#This Row],[TargetID]],tblTargets[TargetID],tblTargets[TargetType],"")</f>
        <v>BUILDING</v>
      </c>
      <c r="E567" s="41" t="s">
        <v>717</v>
      </c>
      <c r="F567" s="62" t="str">
        <f>RIGHT(tblCost[[#This Row],[RequirementID]],1)</f>
        <v>1</v>
      </c>
      <c r="G567" s="41">
        <v>140</v>
      </c>
      <c r="H567" t="b">
        <f>COUNTIFS(tblCostChecklist[RequirementID],tblCost[[#This Row],[RequirementID]],tblCostChecklist[PlayerPaid],TRUE)&gt;0</f>
        <v>0</v>
      </c>
      <c r="I567" s="41">
        <f>COUNTIF(tblCost[TargetID],tblCost[[#This Row],[TargetID]])</f>
        <v>4</v>
      </c>
      <c r="J567" s="41">
        <f>COUNTIFS(tblCost[TargetID],tblCost[[#This Row],[TargetID]],tblCost[PlayerPaid],TRUE)</f>
        <v>0</v>
      </c>
      <c r="K567" s="41">
        <f>tblCost[[#This Row],[TargetRequirements]]-tblCost[[#This Row],[CompletedRequirements]]</f>
        <v>4</v>
      </c>
      <c r="L567" s="41" t="b">
        <f>tblCost[[#This Row],[RemainingRequirements]]=0</f>
        <v>0</v>
      </c>
      <c r="M567" s="43">
        <f>IF(tblCost[[#This Row],[TargetRequirements]]=0,0,tblCost[[#This Row],[CompletedRequirements]]/tblCost[[#This Row],[TargetRequirements]])</f>
        <v>0</v>
      </c>
    </row>
    <row r="568" spans="1:13">
      <c r="A568" s="41" t="s">
        <v>4216</v>
      </c>
      <c r="B568" s="41" t="str">
        <f>_xlfn.TEXTAFTER(_xlfn.TEXTBEFORE(tblCost[[#This Row],[RequirementID]],".",-2),"cost.")</f>
        <v>building.warehouse@5</v>
      </c>
      <c r="C568" s="41" t="str">
        <f>_xlfn.XLOOKUP(tblCost[[#This Row],[TargetID]],tblTargets[TargetID],tblTargets[DisplayName],"")</f>
        <v>Warehouse Lv 5</v>
      </c>
      <c r="D568" s="41" t="str">
        <f>_xlfn.XLOOKUP(tblCost[[#This Row],[TargetID]],tblTargets[TargetID],tblTargets[TargetType],"")</f>
        <v>BUILDING</v>
      </c>
      <c r="E568" s="41" t="s">
        <v>708</v>
      </c>
      <c r="F568" s="62" t="str">
        <f>RIGHT(tblCost[[#This Row],[RequirementID]],1)</f>
        <v>1</v>
      </c>
      <c r="G568" s="41">
        <v>5</v>
      </c>
      <c r="H568" t="b">
        <f>COUNTIFS(tblCostChecklist[RequirementID],tblCost[[#This Row],[RequirementID]],tblCostChecklist[PlayerPaid],TRUE)&gt;0</f>
        <v>0</v>
      </c>
      <c r="I568" s="41">
        <f>COUNTIF(tblCost[TargetID],tblCost[[#This Row],[TargetID]])</f>
        <v>4</v>
      </c>
      <c r="J568" s="41">
        <f>COUNTIFS(tblCost[TargetID],tblCost[[#This Row],[TargetID]],tblCost[PlayerPaid],TRUE)</f>
        <v>0</v>
      </c>
      <c r="K568" s="41">
        <f>tblCost[[#This Row],[TargetRequirements]]-tblCost[[#This Row],[CompletedRequirements]]</f>
        <v>4</v>
      </c>
      <c r="L568" s="41" t="b">
        <f>tblCost[[#This Row],[RemainingRequirements]]=0</f>
        <v>0</v>
      </c>
      <c r="M568" s="43">
        <f>IF(tblCost[[#This Row],[TargetRequirements]]=0,0,tblCost[[#This Row],[CompletedRequirements]]/tblCost[[#This Row],[TargetRequirements]])</f>
        <v>0</v>
      </c>
    </row>
    <row r="569" spans="1:13">
      <c r="A569" s="41" t="s">
        <v>4217</v>
      </c>
      <c r="B569" s="41" t="str">
        <f>_xlfn.TEXTAFTER(_xlfn.TEXTBEFORE(tblCost[[#This Row],[RequirementID]],".",-2),"cost.")</f>
        <v>building.warehouse@5</v>
      </c>
      <c r="C569" s="41" t="str">
        <f>_xlfn.XLOOKUP(tblCost[[#This Row],[TargetID]],tblTargets[TargetID],tblTargets[DisplayName],"")</f>
        <v>Warehouse Lv 5</v>
      </c>
      <c r="D569" s="41" t="str">
        <f>_xlfn.XLOOKUP(tblCost[[#This Row],[TargetID]],tblTargets[TargetID],tblTargets[TargetType],"")</f>
        <v>BUILDING</v>
      </c>
      <c r="E569" s="41" t="s">
        <v>666</v>
      </c>
      <c r="F569" s="62" t="str">
        <f>RIGHT(tblCost[[#This Row],[RequirementID]],1)</f>
        <v>1</v>
      </c>
      <c r="G569" s="41">
        <v>500</v>
      </c>
      <c r="H569" t="b">
        <f>COUNTIFS(tblCostChecklist[RequirementID],tblCost[[#This Row],[RequirementID]],tblCostChecklist[PlayerPaid],TRUE)&gt;0</f>
        <v>0</v>
      </c>
      <c r="I569" s="41">
        <f>COUNTIF(tblCost[TargetID],tblCost[[#This Row],[TargetID]])</f>
        <v>4</v>
      </c>
      <c r="J569" s="41">
        <f>COUNTIFS(tblCost[TargetID],tblCost[[#This Row],[TargetID]],tblCost[PlayerPaid],TRUE)</f>
        <v>0</v>
      </c>
      <c r="K569" s="41">
        <f>tblCost[[#This Row],[TargetRequirements]]-tblCost[[#This Row],[CompletedRequirements]]</f>
        <v>4</v>
      </c>
      <c r="L569" s="41" t="b">
        <f>tblCost[[#This Row],[RemainingRequirements]]=0</f>
        <v>0</v>
      </c>
      <c r="M569" s="43">
        <f>IF(tblCost[[#This Row],[TargetRequirements]]=0,0,tblCost[[#This Row],[CompletedRequirements]]/tblCost[[#This Row],[TargetRequirements]])</f>
        <v>0</v>
      </c>
    </row>
    <row r="570" spans="1:13">
      <c r="A570" s="41" t="s">
        <v>4218</v>
      </c>
      <c r="B570" s="41" t="str">
        <f>_xlfn.TEXTAFTER(_xlfn.TEXTBEFORE(tblCost[[#This Row],[RequirementID]],".",-2),"cost.")</f>
        <v>building.warehouse@5</v>
      </c>
      <c r="C570" s="41" t="str">
        <f>_xlfn.XLOOKUP(tblCost[[#This Row],[TargetID]],tblTargets[TargetID],tblTargets[DisplayName],"")</f>
        <v>Warehouse Lv 5</v>
      </c>
      <c r="D570" s="41" t="str">
        <f>_xlfn.XLOOKUP(tblCost[[#This Row],[TargetID]],tblTargets[TargetID],tblTargets[TargetType],"")</f>
        <v>BUILDING</v>
      </c>
      <c r="E570" s="41" t="s">
        <v>658</v>
      </c>
      <c r="F570" s="62" t="str">
        <f>RIGHT(tblCost[[#This Row],[RequirementID]],1)</f>
        <v>1</v>
      </c>
      <c r="G570" s="41">
        <v>360</v>
      </c>
      <c r="H570" t="b">
        <f>COUNTIFS(tblCostChecklist[RequirementID],tblCost[[#This Row],[RequirementID]],tblCostChecklist[PlayerPaid],TRUE)&gt;0</f>
        <v>0</v>
      </c>
      <c r="I570" s="41">
        <f>COUNTIF(tblCost[TargetID],tblCost[[#This Row],[TargetID]])</f>
        <v>4</v>
      </c>
      <c r="J570" s="41">
        <f>COUNTIFS(tblCost[TargetID],tblCost[[#This Row],[TargetID]],tblCost[PlayerPaid],TRUE)</f>
        <v>0</v>
      </c>
      <c r="K570" s="41">
        <f>tblCost[[#This Row],[TargetRequirements]]-tblCost[[#This Row],[CompletedRequirements]]</f>
        <v>4</v>
      </c>
      <c r="L570" s="41" t="b">
        <f>tblCost[[#This Row],[RemainingRequirements]]=0</f>
        <v>0</v>
      </c>
      <c r="M570" s="43">
        <f>IF(tblCost[[#This Row],[TargetRequirements]]=0,0,tblCost[[#This Row],[CompletedRequirements]]/tblCost[[#This Row],[TargetRequirements]])</f>
        <v>0</v>
      </c>
    </row>
    <row r="571" spans="1:13">
      <c r="A571" s="41" t="s">
        <v>4219</v>
      </c>
      <c r="B571" s="41" t="str">
        <f>_xlfn.TEXTAFTER(_xlfn.TEXTBEFORE(tblCost[[#This Row],[RequirementID]],".",-2),"cost.")</f>
        <v>building.warehouse@5</v>
      </c>
      <c r="C571" s="41" t="str">
        <f>_xlfn.XLOOKUP(tblCost[[#This Row],[TargetID]],tblTargets[TargetID],tblTargets[DisplayName],"")</f>
        <v>Warehouse Lv 5</v>
      </c>
      <c r="D571" s="41" t="str">
        <f>_xlfn.XLOOKUP(tblCost[[#This Row],[TargetID]],tblTargets[TargetID],tblTargets[TargetType],"")</f>
        <v>BUILDING</v>
      </c>
      <c r="E571" s="41" t="s">
        <v>717</v>
      </c>
      <c r="F571" s="62" t="str">
        <f>RIGHT(tblCost[[#This Row],[RequirementID]],1)</f>
        <v>1</v>
      </c>
      <c r="G571" s="41">
        <v>180</v>
      </c>
      <c r="H571" t="b">
        <f>COUNTIFS(tblCostChecklist[RequirementID],tblCost[[#This Row],[RequirementID]],tblCostChecklist[PlayerPaid],TRUE)&gt;0</f>
        <v>0</v>
      </c>
      <c r="I571" s="41">
        <f>COUNTIF(tblCost[TargetID],tblCost[[#This Row],[TargetID]])</f>
        <v>4</v>
      </c>
      <c r="J571" s="41">
        <f>COUNTIFS(tblCost[TargetID],tblCost[[#This Row],[TargetID]],tblCost[PlayerPaid],TRUE)</f>
        <v>0</v>
      </c>
      <c r="K571" s="41">
        <f>tblCost[[#This Row],[TargetRequirements]]-tblCost[[#This Row],[CompletedRequirements]]</f>
        <v>4</v>
      </c>
      <c r="L571" s="41" t="b">
        <f>tblCost[[#This Row],[RemainingRequirements]]=0</f>
        <v>0</v>
      </c>
      <c r="M571" s="43">
        <f>IF(tblCost[[#This Row],[TargetRequirements]]=0,0,tblCost[[#This Row],[CompletedRequirements]]/tblCost[[#This Row],[TargetRequirements]])</f>
        <v>0</v>
      </c>
    </row>
    <row r="572" spans="1:13">
      <c r="A572" s="41" t="s">
        <v>4220</v>
      </c>
      <c r="B572" s="41" t="str">
        <f>_xlfn.TEXTAFTER(_xlfn.TEXTBEFORE(tblCost[[#This Row],[RequirementID]],".",-2),"cost.")</f>
        <v>building.warehouse@6</v>
      </c>
      <c r="C572" s="41" t="str">
        <f>_xlfn.XLOOKUP(tblCost[[#This Row],[TargetID]],tblTargets[TargetID],tblTargets[DisplayName],"")</f>
        <v>Warehouse Lv 6</v>
      </c>
      <c r="D572" s="41" t="str">
        <f>_xlfn.XLOOKUP(tblCost[[#This Row],[TargetID]],tblTargets[TargetID],tblTargets[TargetType],"")</f>
        <v>BUILDING</v>
      </c>
      <c r="E572" s="41" t="s">
        <v>708</v>
      </c>
      <c r="F572" s="62" t="str">
        <f>RIGHT(tblCost[[#This Row],[RequirementID]],1)</f>
        <v>1</v>
      </c>
      <c r="G572" s="41">
        <v>6</v>
      </c>
      <c r="H572" t="b">
        <f>COUNTIFS(tblCostChecklist[RequirementID],tblCost[[#This Row],[RequirementID]],tblCostChecklist[PlayerPaid],TRUE)&gt;0</f>
        <v>0</v>
      </c>
      <c r="I572" s="41">
        <f>COUNTIF(tblCost[TargetID],tblCost[[#This Row],[TargetID]])</f>
        <v>5</v>
      </c>
      <c r="J572" s="41">
        <f>COUNTIFS(tblCost[TargetID],tblCost[[#This Row],[TargetID]],tblCost[PlayerPaid],TRUE)</f>
        <v>0</v>
      </c>
      <c r="K572" s="41">
        <f>tblCost[[#This Row],[TargetRequirements]]-tblCost[[#This Row],[CompletedRequirements]]</f>
        <v>5</v>
      </c>
      <c r="L572" s="41" t="b">
        <f>tblCost[[#This Row],[RemainingRequirements]]=0</f>
        <v>0</v>
      </c>
      <c r="M572" s="43">
        <f>IF(tblCost[[#This Row],[TargetRequirements]]=0,0,tblCost[[#This Row],[CompletedRequirements]]/tblCost[[#This Row],[TargetRequirements]])</f>
        <v>0</v>
      </c>
    </row>
    <row r="573" spans="1:13">
      <c r="A573" s="41" t="s">
        <v>4221</v>
      </c>
      <c r="B573" s="41" t="str">
        <f>_xlfn.TEXTAFTER(_xlfn.TEXTBEFORE(tblCost[[#This Row],[RequirementID]],".",-2),"cost.")</f>
        <v>building.warehouse@6</v>
      </c>
      <c r="C573" s="41" t="str">
        <f>_xlfn.XLOOKUP(tblCost[[#This Row],[TargetID]],tblTargets[TargetID],tblTargets[DisplayName],"")</f>
        <v>Warehouse Lv 6</v>
      </c>
      <c r="D573" s="41" t="str">
        <f>_xlfn.XLOOKUP(tblCost[[#This Row],[TargetID]],tblTargets[TargetID],tblTargets[TargetType],"")</f>
        <v>BUILDING</v>
      </c>
      <c r="E573" s="41" t="s">
        <v>666</v>
      </c>
      <c r="F573" s="62" t="str">
        <f>RIGHT(tblCost[[#This Row],[RequirementID]],1)</f>
        <v>1</v>
      </c>
      <c r="G573" s="41">
        <v>600</v>
      </c>
      <c r="H573" t="b">
        <f>COUNTIFS(tblCostChecklist[RequirementID],tblCost[[#This Row],[RequirementID]],tblCostChecklist[PlayerPaid],TRUE)&gt;0</f>
        <v>0</v>
      </c>
      <c r="I573" s="41">
        <f>COUNTIF(tblCost[TargetID],tblCost[[#This Row],[TargetID]])</f>
        <v>5</v>
      </c>
      <c r="J573" s="41">
        <f>COUNTIFS(tblCost[TargetID],tblCost[[#This Row],[TargetID]],tblCost[PlayerPaid],TRUE)</f>
        <v>0</v>
      </c>
      <c r="K573" s="41">
        <f>tblCost[[#This Row],[TargetRequirements]]-tblCost[[#This Row],[CompletedRequirements]]</f>
        <v>5</v>
      </c>
      <c r="L573" s="41" t="b">
        <f>tblCost[[#This Row],[RemainingRequirements]]=0</f>
        <v>0</v>
      </c>
      <c r="M573" s="43">
        <f>IF(tblCost[[#This Row],[TargetRequirements]]=0,0,tblCost[[#This Row],[CompletedRequirements]]/tblCost[[#This Row],[TargetRequirements]])</f>
        <v>0</v>
      </c>
    </row>
    <row r="574" spans="1:13">
      <c r="A574" s="41" t="s">
        <v>4222</v>
      </c>
      <c r="B574" s="41" t="str">
        <f>_xlfn.TEXTAFTER(_xlfn.TEXTBEFORE(tblCost[[#This Row],[RequirementID]],".",-2),"cost.")</f>
        <v>building.warehouse@6</v>
      </c>
      <c r="C574" s="41" t="str">
        <f>_xlfn.XLOOKUP(tblCost[[#This Row],[TargetID]],tblTargets[TargetID],tblTargets[DisplayName],"")</f>
        <v>Warehouse Lv 6</v>
      </c>
      <c r="D574" s="41" t="str">
        <f>_xlfn.XLOOKUP(tblCost[[#This Row],[TargetID]],tblTargets[TargetID],tblTargets[TargetType],"")</f>
        <v>BUILDING</v>
      </c>
      <c r="E574" s="41" t="s">
        <v>658</v>
      </c>
      <c r="F574" s="62" t="str">
        <f>RIGHT(tblCost[[#This Row],[RequirementID]],1)</f>
        <v>1</v>
      </c>
      <c r="G574" s="41">
        <v>440</v>
      </c>
      <c r="H574" t="b">
        <f>COUNTIFS(tblCostChecklist[RequirementID],tblCost[[#This Row],[RequirementID]],tblCostChecklist[PlayerPaid],TRUE)&gt;0</f>
        <v>0</v>
      </c>
      <c r="I574" s="41">
        <f>COUNTIF(tblCost[TargetID],tblCost[[#This Row],[TargetID]])</f>
        <v>5</v>
      </c>
      <c r="J574" s="41">
        <f>COUNTIFS(tblCost[TargetID],tblCost[[#This Row],[TargetID]],tblCost[PlayerPaid],TRUE)</f>
        <v>0</v>
      </c>
      <c r="K574" s="41">
        <f>tblCost[[#This Row],[TargetRequirements]]-tblCost[[#This Row],[CompletedRequirements]]</f>
        <v>5</v>
      </c>
      <c r="L574" s="41" t="b">
        <f>tblCost[[#This Row],[RemainingRequirements]]=0</f>
        <v>0</v>
      </c>
      <c r="M574" s="43">
        <f>IF(tblCost[[#This Row],[TargetRequirements]]=0,0,tblCost[[#This Row],[CompletedRequirements]]/tblCost[[#This Row],[TargetRequirements]])</f>
        <v>0</v>
      </c>
    </row>
    <row r="575" spans="1:13">
      <c r="A575" s="41" t="s">
        <v>4223</v>
      </c>
      <c r="B575" s="41" t="str">
        <f>_xlfn.TEXTAFTER(_xlfn.TEXTBEFORE(tblCost[[#This Row],[RequirementID]],".",-2),"cost.")</f>
        <v>building.warehouse@6</v>
      </c>
      <c r="C575" s="41" t="str">
        <f>_xlfn.XLOOKUP(tblCost[[#This Row],[TargetID]],tblTargets[TargetID],tblTargets[DisplayName],"")</f>
        <v>Warehouse Lv 6</v>
      </c>
      <c r="D575" s="41" t="str">
        <f>_xlfn.XLOOKUP(tblCost[[#This Row],[TargetID]],tblTargets[TargetID],tblTargets[TargetType],"")</f>
        <v>BUILDING</v>
      </c>
      <c r="E575" s="41" t="s">
        <v>717</v>
      </c>
      <c r="F575" s="62" t="str">
        <f>RIGHT(tblCost[[#This Row],[RequirementID]],1)</f>
        <v>1</v>
      </c>
      <c r="G575" s="41">
        <v>220</v>
      </c>
      <c r="H575" t="b">
        <f>COUNTIFS(tblCostChecklist[RequirementID],tblCost[[#This Row],[RequirementID]],tblCostChecklist[PlayerPaid],TRUE)&gt;0</f>
        <v>0</v>
      </c>
      <c r="I575" s="41">
        <f>COUNTIF(tblCost[TargetID],tblCost[[#This Row],[TargetID]])</f>
        <v>5</v>
      </c>
      <c r="J575" s="41">
        <f>COUNTIFS(tblCost[TargetID],tblCost[[#This Row],[TargetID]],tblCost[PlayerPaid],TRUE)</f>
        <v>0</v>
      </c>
      <c r="K575" s="41">
        <f>tblCost[[#This Row],[TargetRequirements]]-tblCost[[#This Row],[CompletedRequirements]]</f>
        <v>5</v>
      </c>
      <c r="L575" s="41" t="b">
        <f>tblCost[[#This Row],[RemainingRequirements]]=0</f>
        <v>0</v>
      </c>
      <c r="M575" s="43">
        <f>IF(tblCost[[#This Row],[TargetRequirements]]=0,0,tblCost[[#This Row],[CompletedRequirements]]/tblCost[[#This Row],[TargetRequirements]])</f>
        <v>0</v>
      </c>
    </row>
    <row r="576" spans="1:13">
      <c r="A576" s="41" t="s">
        <v>4224</v>
      </c>
      <c r="B576" s="41" t="str">
        <f>_xlfn.TEXTAFTER(_xlfn.TEXTBEFORE(tblCost[[#This Row],[RequirementID]],".",-2),"cost.")</f>
        <v>building.warehouse@6</v>
      </c>
      <c r="C576" s="41" t="str">
        <f>_xlfn.XLOOKUP(tblCost[[#This Row],[TargetID]],tblTargets[TargetID],tblTargets[DisplayName],"")</f>
        <v>Warehouse Lv 6</v>
      </c>
      <c r="D576" s="41" t="str">
        <f>_xlfn.XLOOKUP(tblCost[[#This Row],[TargetID]],tblTargets[TargetID],tblTargets[TargetType],"")</f>
        <v>BUILDING</v>
      </c>
      <c r="E576" s="41" t="s">
        <v>716</v>
      </c>
      <c r="F576" s="62" t="str">
        <f>RIGHT(tblCost[[#This Row],[RequirementID]],1)</f>
        <v>1</v>
      </c>
      <c r="G576" s="41">
        <v>20</v>
      </c>
      <c r="H576" t="b">
        <f>COUNTIFS(tblCostChecklist[RequirementID],tblCost[[#This Row],[RequirementID]],tblCostChecklist[PlayerPaid],TRUE)&gt;0</f>
        <v>0</v>
      </c>
      <c r="I576" s="41">
        <f>COUNTIF(tblCost[TargetID],tblCost[[#This Row],[TargetID]])</f>
        <v>5</v>
      </c>
      <c r="J576" s="41">
        <f>COUNTIFS(tblCost[TargetID],tblCost[[#This Row],[TargetID]],tblCost[PlayerPaid],TRUE)</f>
        <v>0</v>
      </c>
      <c r="K576" s="41">
        <f>tblCost[[#This Row],[TargetRequirements]]-tblCost[[#This Row],[CompletedRequirements]]</f>
        <v>5</v>
      </c>
      <c r="L576" s="41" t="b">
        <f>tblCost[[#This Row],[RemainingRequirements]]=0</f>
        <v>0</v>
      </c>
      <c r="M576" s="43">
        <f>IF(tblCost[[#This Row],[TargetRequirements]]=0,0,tblCost[[#This Row],[CompletedRequirements]]/tblCost[[#This Row],[TargetRequirements]])</f>
        <v>0</v>
      </c>
    </row>
    <row r="577" spans="1:13">
      <c r="A577" s="41" t="s">
        <v>4225</v>
      </c>
      <c r="B577" s="41" t="str">
        <f>_xlfn.TEXTAFTER(_xlfn.TEXTBEFORE(tblCost[[#This Row],[RequirementID]],".",-2),"cost.")</f>
        <v>building.warehouse@7</v>
      </c>
      <c r="C577" s="41" t="str">
        <f>_xlfn.XLOOKUP(tblCost[[#This Row],[TargetID]],tblTargets[TargetID],tblTargets[DisplayName],"")</f>
        <v>Warehouse Lv 7</v>
      </c>
      <c r="D577" s="41" t="str">
        <f>_xlfn.XLOOKUP(tblCost[[#This Row],[TargetID]],tblTargets[TargetID],tblTargets[TargetType],"")</f>
        <v>BUILDING</v>
      </c>
      <c r="E577" s="41" t="s">
        <v>708</v>
      </c>
      <c r="F577" s="62" t="str">
        <f>RIGHT(tblCost[[#This Row],[RequirementID]],1)</f>
        <v>1</v>
      </c>
      <c r="G577" s="41">
        <v>7</v>
      </c>
      <c r="H577" t="b">
        <f>COUNTIFS(tblCostChecklist[RequirementID],tblCost[[#This Row],[RequirementID]],tblCostChecklist[PlayerPaid],TRUE)&gt;0</f>
        <v>0</v>
      </c>
      <c r="I577" s="41">
        <f>COUNTIF(tblCost[TargetID],tblCost[[#This Row],[TargetID]])</f>
        <v>5</v>
      </c>
      <c r="J577" s="41">
        <f>COUNTIFS(tblCost[TargetID],tblCost[[#This Row],[TargetID]],tblCost[PlayerPaid],TRUE)</f>
        <v>0</v>
      </c>
      <c r="K577" s="41">
        <f>tblCost[[#This Row],[TargetRequirements]]-tblCost[[#This Row],[CompletedRequirements]]</f>
        <v>5</v>
      </c>
      <c r="L577" s="41" t="b">
        <f>tblCost[[#This Row],[RemainingRequirements]]=0</f>
        <v>0</v>
      </c>
      <c r="M577" s="43">
        <f>IF(tblCost[[#This Row],[TargetRequirements]]=0,0,tblCost[[#This Row],[CompletedRequirements]]/tblCost[[#This Row],[TargetRequirements]])</f>
        <v>0</v>
      </c>
    </row>
    <row r="578" spans="1:13">
      <c r="A578" s="41" t="s">
        <v>4226</v>
      </c>
      <c r="B578" s="41" t="str">
        <f>_xlfn.TEXTAFTER(_xlfn.TEXTBEFORE(tblCost[[#This Row],[RequirementID]],".",-2),"cost.")</f>
        <v>building.warehouse@7</v>
      </c>
      <c r="C578" s="41" t="str">
        <f>_xlfn.XLOOKUP(tblCost[[#This Row],[TargetID]],tblTargets[TargetID],tblTargets[DisplayName],"")</f>
        <v>Warehouse Lv 7</v>
      </c>
      <c r="D578" s="41" t="str">
        <f>_xlfn.XLOOKUP(tblCost[[#This Row],[TargetID]],tblTargets[TargetID],tblTargets[TargetType],"")</f>
        <v>BUILDING</v>
      </c>
      <c r="E578" s="41" t="s">
        <v>666</v>
      </c>
      <c r="F578" s="62" t="str">
        <f>RIGHT(tblCost[[#This Row],[RequirementID]],1)</f>
        <v>1</v>
      </c>
      <c r="G578" s="41">
        <v>700</v>
      </c>
      <c r="H578" t="b">
        <f>COUNTIFS(tblCostChecklist[RequirementID],tblCost[[#This Row],[RequirementID]],tblCostChecklist[PlayerPaid],TRUE)&gt;0</f>
        <v>0</v>
      </c>
      <c r="I578" s="41">
        <f>COUNTIF(tblCost[TargetID],tblCost[[#This Row],[TargetID]])</f>
        <v>5</v>
      </c>
      <c r="J578" s="41">
        <f>COUNTIFS(tblCost[TargetID],tblCost[[#This Row],[TargetID]],tblCost[PlayerPaid],TRUE)</f>
        <v>0</v>
      </c>
      <c r="K578" s="41">
        <f>tblCost[[#This Row],[TargetRequirements]]-tblCost[[#This Row],[CompletedRequirements]]</f>
        <v>5</v>
      </c>
      <c r="L578" s="41" t="b">
        <f>tblCost[[#This Row],[RemainingRequirements]]=0</f>
        <v>0</v>
      </c>
      <c r="M578" s="43">
        <f>IF(tblCost[[#This Row],[TargetRequirements]]=0,0,tblCost[[#This Row],[CompletedRequirements]]/tblCost[[#This Row],[TargetRequirements]])</f>
        <v>0</v>
      </c>
    </row>
    <row r="579" spans="1:13">
      <c r="A579" s="41" t="s">
        <v>4227</v>
      </c>
      <c r="B579" s="41" t="str">
        <f>_xlfn.TEXTAFTER(_xlfn.TEXTBEFORE(tblCost[[#This Row],[RequirementID]],".",-2),"cost.")</f>
        <v>building.warehouse@7</v>
      </c>
      <c r="C579" s="41" t="str">
        <f>_xlfn.XLOOKUP(tblCost[[#This Row],[TargetID]],tblTargets[TargetID],tblTargets[DisplayName],"")</f>
        <v>Warehouse Lv 7</v>
      </c>
      <c r="D579" s="41" t="str">
        <f>_xlfn.XLOOKUP(tblCost[[#This Row],[TargetID]],tblTargets[TargetID],tblTargets[TargetType],"")</f>
        <v>BUILDING</v>
      </c>
      <c r="E579" s="41" t="s">
        <v>658</v>
      </c>
      <c r="F579" s="62" t="str">
        <f>RIGHT(tblCost[[#This Row],[RequirementID]],1)</f>
        <v>1</v>
      </c>
      <c r="G579" s="41">
        <v>520</v>
      </c>
      <c r="H579" t="b">
        <f>COUNTIFS(tblCostChecklist[RequirementID],tblCost[[#This Row],[RequirementID]],tblCostChecklist[PlayerPaid],TRUE)&gt;0</f>
        <v>0</v>
      </c>
      <c r="I579" s="41">
        <f>COUNTIF(tblCost[TargetID],tblCost[[#This Row],[TargetID]])</f>
        <v>5</v>
      </c>
      <c r="J579" s="41">
        <f>COUNTIFS(tblCost[TargetID],tblCost[[#This Row],[TargetID]],tblCost[PlayerPaid],TRUE)</f>
        <v>0</v>
      </c>
      <c r="K579" s="41">
        <f>tblCost[[#This Row],[TargetRequirements]]-tblCost[[#This Row],[CompletedRequirements]]</f>
        <v>5</v>
      </c>
      <c r="L579" s="41" t="b">
        <f>tblCost[[#This Row],[RemainingRequirements]]=0</f>
        <v>0</v>
      </c>
      <c r="M579" s="43">
        <f>IF(tblCost[[#This Row],[TargetRequirements]]=0,0,tblCost[[#This Row],[CompletedRequirements]]/tblCost[[#This Row],[TargetRequirements]])</f>
        <v>0</v>
      </c>
    </row>
    <row r="580" spans="1:13">
      <c r="A580" s="41" t="s">
        <v>4228</v>
      </c>
      <c r="B580" s="41" t="str">
        <f>_xlfn.TEXTAFTER(_xlfn.TEXTBEFORE(tblCost[[#This Row],[RequirementID]],".",-2),"cost.")</f>
        <v>building.warehouse@7</v>
      </c>
      <c r="C580" s="41" t="str">
        <f>_xlfn.XLOOKUP(tblCost[[#This Row],[TargetID]],tblTargets[TargetID],tblTargets[DisplayName],"")</f>
        <v>Warehouse Lv 7</v>
      </c>
      <c r="D580" s="41" t="str">
        <f>_xlfn.XLOOKUP(tblCost[[#This Row],[TargetID]],tblTargets[TargetID],tblTargets[TargetType],"")</f>
        <v>BUILDING</v>
      </c>
      <c r="E580" s="41" t="s">
        <v>717</v>
      </c>
      <c r="F580" s="62" t="str">
        <f>RIGHT(tblCost[[#This Row],[RequirementID]],1)</f>
        <v>1</v>
      </c>
      <c r="G580" s="41">
        <v>260</v>
      </c>
      <c r="H580" t="b">
        <f>COUNTIFS(tblCostChecklist[RequirementID],tblCost[[#This Row],[RequirementID]],tblCostChecklist[PlayerPaid],TRUE)&gt;0</f>
        <v>0</v>
      </c>
      <c r="I580" s="41">
        <f>COUNTIF(tblCost[TargetID],tblCost[[#This Row],[TargetID]])</f>
        <v>5</v>
      </c>
      <c r="J580" s="41">
        <f>COUNTIFS(tblCost[TargetID],tblCost[[#This Row],[TargetID]],tblCost[PlayerPaid],TRUE)</f>
        <v>0</v>
      </c>
      <c r="K580" s="41">
        <f>tblCost[[#This Row],[TargetRequirements]]-tblCost[[#This Row],[CompletedRequirements]]</f>
        <v>5</v>
      </c>
      <c r="L580" s="41" t="b">
        <f>tblCost[[#This Row],[RemainingRequirements]]=0</f>
        <v>0</v>
      </c>
      <c r="M580" s="43">
        <f>IF(tblCost[[#This Row],[TargetRequirements]]=0,0,tblCost[[#This Row],[CompletedRequirements]]/tblCost[[#This Row],[TargetRequirements]])</f>
        <v>0</v>
      </c>
    </row>
    <row r="581" spans="1:13">
      <c r="A581" s="41" t="s">
        <v>4229</v>
      </c>
      <c r="B581" s="41" t="str">
        <f>_xlfn.TEXTAFTER(_xlfn.TEXTBEFORE(tblCost[[#This Row],[RequirementID]],".",-2),"cost.")</f>
        <v>building.warehouse@7</v>
      </c>
      <c r="C581" s="41" t="str">
        <f>_xlfn.XLOOKUP(tblCost[[#This Row],[TargetID]],tblTargets[TargetID],tblTargets[DisplayName],"")</f>
        <v>Warehouse Lv 7</v>
      </c>
      <c r="D581" s="41" t="str">
        <f>_xlfn.XLOOKUP(tblCost[[#This Row],[TargetID]],tblTargets[TargetID],tblTargets[TargetType],"")</f>
        <v>BUILDING</v>
      </c>
      <c r="E581" s="41" t="s">
        <v>716</v>
      </c>
      <c r="F581" s="62" t="str">
        <f>RIGHT(tblCost[[#This Row],[RequirementID]],1)</f>
        <v>1</v>
      </c>
      <c r="G581" s="41">
        <v>30</v>
      </c>
      <c r="H581" t="b">
        <f>COUNTIFS(tblCostChecklist[RequirementID],tblCost[[#This Row],[RequirementID]],tblCostChecklist[PlayerPaid],TRUE)&gt;0</f>
        <v>0</v>
      </c>
      <c r="I581" s="41">
        <f>COUNTIF(tblCost[TargetID],tblCost[[#This Row],[TargetID]])</f>
        <v>5</v>
      </c>
      <c r="J581" s="41">
        <f>COUNTIFS(tblCost[TargetID],tblCost[[#This Row],[TargetID]],tblCost[PlayerPaid],TRUE)</f>
        <v>0</v>
      </c>
      <c r="K581" s="41">
        <f>tblCost[[#This Row],[TargetRequirements]]-tblCost[[#This Row],[CompletedRequirements]]</f>
        <v>5</v>
      </c>
      <c r="L581" s="41" t="b">
        <f>tblCost[[#This Row],[RemainingRequirements]]=0</f>
        <v>0</v>
      </c>
      <c r="M581" s="43">
        <f>IF(tblCost[[#This Row],[TargetRequirements]]=0,0,tblCost[[#This Row],[CompletedRequirements]]/tblCost[[#This Row],[TargetRequirements]])</f>
        <v>0</v>
      </c>
    </row>
    <row r="582" spans="1:13">
      <c r="A582" s="41" t="s">
        <v>4230</v>
      </c>
      <c r="B582" s="41" t="str">
        <f>_xlfn.TEXTAFTER(_xlfn.TEXTBEFORE(tblCost[[#This Row],[RequirementID]],".",-2),"cost.")</f>
        <v>building.windmill@1</v>
      </c>
      <c r="C582" s="41" t="str">
        <f>_xlfn.XLOOKUP(tblCost[[#This Row],[TargetID]],tblTargets[TargetID],tblTargets[DisplayName],"")</f>
        <v>Windmill Lv 1</v>
      </c>
      <c r="D582" s="41" t="str">
        <f>_xlfn.XLOOKUP(tblCost[[#This Row],[TargetID]],tblTargets[TargetID],tblTargets[TargetType],"")</f>
        <v>BUILDING</v>
      </c>
      <c r="E582" s="41" t="s">
        <v>708</v>
      </c>
      <c r="F582" s="62" t="str">
        <f>RIGHT(tblCost[[#This Row],[RequirementID]],1)</f>
        <v>1</v>
      </c>
      <c r="G582" s="41">
        <v>1</v>
      </c>
      <c r="H582" t="b">
        <f>COUNTIFS(tblCostChecklist[RequirementID],tblCost[[#This Row],[RequirementID]],tblCostChecklist[PlayerPaid],TRUE)&gt;0</f>
        <v>0</v>
      </c>
      <c r="I582" s="41">
        <f>COUNTIF(tblCost[TargetID],tblCost[[#This Row],[TargetID]])</f>
        <v>5</v>
      </c>
      <c r="J582" s="41">
        <f>COUNTIFS(tblCost[TargetID],tblCost[[#This Row],[TargetID]],tblCost[PlayerPaid],TRUE)</f>
        <v>0</v>
      </c>
      <c r="K582" s="41">
        <f>tblCost[[#This Row],[TargetRequirements]]-tblCost[[#This Row],[CompletedRequirements]]</f>
        <v>5</v>
      </c>
      <c r="L582" s="41" t="b">
        <f>tblCost[[#This Row],[RemainingRequirements]]=0</f>
        <v>0</v>
      </c>
      <c r="M582" s="43">
        <f>IF(tblCost[[#This Row],[TargetRequirements]]=0,0,tblCost[[#This Row],[CompletedRequirements]]/tblCost[[#This Row],[TargetRequirements]])</f>
        <v>0</v>
      </c>
    </row>
    <row r="583" spans="1:13">
      <c r="A583" s="41" t="s">
        <v>4231</v>
      </c>
      <c r="B583" s="41" t="str">
        <f>_xlfn.TEXTAFTER(_xlfn.TEXTBEFORE(tblCost[[#This Row],[RequirementID]],".",-2),"cost.")</f>
        <v>building.windmill@1</v>
      </c>
      <c r="C583" s="41" t="str">
        <f>_xlfn.XLOOKUP(tblCost[[#This Row],[TargetID]],tblTargets[TargetID],tblTargets[DisplayName],"")</f>
        <v>Windmill Lv 1</v>
      </c>
      <c r="D583" s="41" t="str">
        <f>_xlfn.XLOOKUP(tblCost[[#This Row],[TargetID]],tblTargets[TargetID],tblTargets[TargetType],"")</f>
        <v>BUILDING</v>
      </c>
      <c r="E583" s="41" t="s">
        <v>666</v>
      </c>
      <c r="F583" s="62" t="str">
        <f>RIGHT(tblCost[[#This Row],[RequirementID]],1)</f>
        <v>1</v>
      </c>
      <c r="G583" s="41">
        <v>300</v>
      </c>
      <c r="H583" t="b">
        <f>COUNTIFS(tblCostChecklist[RequirementID],tblCost[[#This Row],[RequirementID]],tblCostChecklist[PlayerPaid],TRUE)&gt;0</f>
        <v>0</v>
      </c>
      <c r="I583" s="41">
        <f>COUNTIF(tblCost[TargetID],tblCost[[#This Row],[TargetID]])</f>
        <v>5</v>
      </c>
      <c r="J583" s="41">
        <f>COUNTIFS(tblCost[TargetID],tblCost[[#This Row],[TargetID]],tblCost[PlayerPaid],TRUE)</f>
        <v>0</v>
      </c>
      <c r="K583" s="41">
        <f>tblCost[[#This Row],[TargetRequirements]]-tblCost[[#This Row],[CompletedRequirements]]</f>
        <v>5</v>
      </c>
      <c r="L583" s="41" t="b">
        <f>tblCost[[#This Row],[RemainingRequirements]]=0</f>
        <v>0</v>
      </c>
      <c r="M583" s="43">
        <f>IF(tblCost[[#This Row],[TargetRequirements]]=0,0,tblCost[[#This Row],[CompletedRequirements]]/tblCost[[#This Row],[TargetRequirements]])</f>
        <v>0</v>
      </c>
    </row>
    <row r="584" spans="1:13">
      <c r="A584" s="41" t="s">
        <v>4232</v>
      </c>
      <c r="B584" s="41" t="str">
        <f>_xlfn.TEXTAFTER(_xlfn.TEXTBEFORE(tblCost[[#This Row],[RequirementID]],".",-2),"cost.")</f>
        <v>building.windmill@1</v>
      </c>
      <c r="C584" s="41" t="str">
        <f>_xlfn.XLOOKUP(tblCost[[#This Row],[TargetID]],tblTargets[TargetID],tblTargets[DisplayName],"")</f>
        <v>Windmill Lv 1</v>
      </c>
      <c r="D584" s="41" t="str">
        <f>_xlfn.XLOOKUP(tblCost[[#This Row],[TargetID]],tblTargets[TargetID],tblTargets[TargetType],"")</f>
        <v>BUILDING</v>
      </c>
      <c r="E584" s="41" t="s">
        <v>723</v>
      </c>
      <c r="F584" s="62" t="str">
        <f>RIGHT(tblCost[[#This Row],[RequirementID]],1)</f>
        <v>1</v>
      </c>
      <c r="G584" s="41">
        <v>150</v>
      </c>
      <c r="H584" t="b">
        <f>COUNTIFS(tblCostChecklist[RequirementID],tblCost[[#This Row],[RequirementID]],tblCostChecklist[PlayerPaid],TRUE)&gt;0</f>
        <v>0</v>
      </c>
      <c r="I584" s="41">
        <f>COUNTIF(tblCost[TargetID],tblCost[[#This Row],[TargetID]])</f>
        <v>5</v>
      </c>
      <c r="J584" s="41">
        <f>COUNTIFS(tblCost[TargetID],tblCost[[#This Row],[TargetID]],tblCost[PlayerPaid],TRUE)</f>
        <v>0</v>
      </c>
      <c r="K584" s="41">
        <f>tblCost[[#This Row],[TargetRequirements]]-tblCost[[#This Row],[CompletedRequirements]]</f>
        <v>5</v>
      </c>
      <c r="L584" s="41" t="b">
        <f>tblCost[[#This Row],[RemainingRequirements]]=0</f>
        <v>0</v>
      </c>
      <c r="M584" s="43">
        <f>IF(tblCost[[#This Row],[TargetRequirements]]=0,0,tblCost[[#This Row],[CompletedRequirements]]/tblCost[[#This Row],[TargetRequirements]])</f>
        <v>0</v>
      </c>
    </row>
    <row r="585" spans="1:13">
      <c r="A585" s="41" t="s">
        <v>4233</v>
      </c>
      <c r="B585" s="41" t="str">
        <f>_xlfn.TEXTAFTER(_xlfn.TEXTBEFORE(tblCost[[#This Row],[RequirementID]],".",-2),"cost.")</f>
        <v>building.windmill@1</v>
      </c>
      <c r="C585" s="41" t="str">
        <f>_xlfn.XLOOKUP(tblCost[[#This Row],[TargetID]],tblTargets[TargetID],tblTargets[DisplayName],"")</f>
        <v>Windmill Lv 1</v>
      </c>
      <c r="D585" s="41" t="str">
        <f>_xlfn.XLOOKUP(tblCost[[#This Row],[TargetID]],tblTargets[TargetID],tblTargets[TargetType],"")</f>
        <v>BUILDING</v>
      </c>
      <c r="E585" s="41" t="s">
        <v>717</v>
      </c>
      <c r="F585" s="62" t="str">
        <f>RIGHT(tblCost[[#This Row],[RequirementID]],1)</f>
        <v>1</v>
      </c>
      <c r="G585" s="41">
        <v>150</v>
      </c>
      <c r="H585" t="b">
        <f>COUNTIFS(tblCostChecklist[RequirementID],tblCost[[#This Row],[RequirementID]],tblCostChecklist[PlayerPaid],TRUE)&gt;0</f>
        <v>0</v>
      </c>
      <c r="I585" s="41">
        <f>COUNTIF(tblCost[TargetID],tblCost[[#This Row],[TargetID]])</f>
        <v>5</v>
      </c>
      <c r="J585" s="41">
        <f>COUNTIFS(tblCost[TargetID],tblCost[[#This Row],[TargetID]],tblCost[PlayerPaid],TRUE)</f>
        <v>0</v>
      </c>
      <c r="K585" s="41">
        <f>tblCost[[#This Row],[TargetRequirements]]-tblCost[[#This Row],[CompletedRequirements]]</f>
        <v>5</v>
      </c>
      <c r="L585" s="41" t="b">
        <f>tblCost[[#This Row],[RemainingRequirements]]=0</f>
        <v>0</v>
      </c>
      <c r="M585" s="43">
        <f>IF(tblCost[[#This Row],[TargetRequirements]]=0,0,tblCost[[#This Row],[CompletedRequirements]]/tblCost[[#This Row],[TargetRequirements]])</f>
        <v>0</v>
      </c>
    </row>
    <row r="586" spans="1:13">
      <c r="A586" s="41" t="s">
        <v>4234</v>
      </c>
      <c r="B586" s="41" t="str">
        <f>_xlfn.TEXTAFTER(_xlfn.TEXTBEFORE(tblCost[[#This Row],[RequirementID]],".",-2),"cost.")</f>
        <v>building.windmill@1</v>
      </c>
      <c r="C586" s="41" t="str">
        <f>_xlfn.XLOOKUP(tblCost[[#This Row],[TargetID]],tblTargets[TargetID],tblTargets[DisplayName],"")</f>
        <v>Windmill Lv 1</v>
      </c>
      <c r="D586" s="41" t="str">
        <f>_xlfn.XLOOKUP(tblCost[[#This Row],[TargetID]],tblTargets[TargetID],tblTargets[TargetType],"")</f>
        <v>BUILDING</v>
      </c>
      <c r="E586" s="41" t="s">
        <v>716</v>
      </c>
      <c r="F586" s="62" t="str">
        <f>RIGHT(tblCost[[#This Row],[RequirementID]],1)</f>
        <v>1</v>
      </c>
      <c r="G586" s="41">
        <v>40</v>
      </c>
      <c r="H586" t="b">
        <f>COUNTIFS(tblCostChecklist[RequirementID],tblCost[[#This Row],[RequirementID]],tblCostChecklist[PlayerPaid],TRUE)&gt;0</f>
        <v>0</v>
      </c>
      <c r="I586" s="41">
        <f>COUNTIF(tblCost[TargetID],tblCost[[#This Row],[TargetID]])</f>
        <v>5</v>
      </c>
      <c r="J586" s="41">
        <f>COUNTIFS(tblCost[TargetID],tblCost[[#This Row],[TargetID]],tblCost[PlayerPaid],TRUE)</f>
        <v>0</v>
      </c>
      <c r="K586" s="41">
        <f>tblCost[[#This Row],[TargetRequirements]]-tblCost[[#This Row],[CompletedRequirements]]</f>
        <v>5</v>
      </c>
      <c r="L586" s="41" t="b">
        <f>tblCost[[#This Row],[RemainingRequirements]]=0</f>
        <v>0</v>
      </c>
      <c r="M586" s="43">
        <f>IF(tblCost[[#This Row],[TargetRequirements]]=0,0,tblCost[[#This Row],[CompletedRequirements]]/tblCost[[#This Row],[TargetRequirements]])</f>
        <v>0</v>
      </c>
    </row>
    <row r="587" spans="1:13">
      <c r="A587" s="41" t="s">
        <v>4235</v>
      </c>
      <c r="B587" s="41" t="str">
        <f>_xlfn.TEXTAFTER(_xlfn.TEXTBEFORE(tblCost[[#This Row],[RequirementID]],".",-2),"cost.")</f>
        <v>building.windmill@2</v>
      </c>
      <c r="C587" s="41" t="str">
        <f>_xlfn.XLOOKUP(tblCost[[#This Row],[TargetID]],tblTargets[TargetID],tblTargets[DisplayName],"")</f>
        <v>Windmill Lv 2</v>
      </c>
      <c r="D587" s="41" t="str">
        <f>_xlfn.XLOOKUP(tblCost[[#This Row],[TargetID]],tblTargets[TargetID],tblTargets[TargetType],"")</f>
        <v>BUILDING</v>
      </c>
      <c r="E587" s="41" t="s">
        <v>708</v>
      </c>
      <c r="F587" s="62" t="str">
        <f>RIGHT(tblCost[[#This Row],[RequirementID]],1)</f>
        <v>1</v>
      </c>
      <c r="G587" s="41">
        <v>3</v>
      </c>
      <c r="H587" t="b">
        <f>COUNTIFS(tblCostChecklist[RequirementID],tblCost[[#This Row],[RequirementID]],tblCostChecklist[PlayerPaid],TRUE)&gt;0</f>
        <v>0</v>
      </c>
      <c r="I587" s="41">
        <f>COUNTIF(tblCost[TargetID],tblCost[[#This Row],[TargetID]])</f>
        <v>5</v>
      </c>
      <c r="J587" s="41">
        <f>COUNTIFS(tblCost[TargetID],tblCost[[#This Row],[TargetID]],tblCost[PlayerPaid],TRUE)</f>
        <v>0</v>
      </c>
      <c r="K587" s="41">
        <f>tblCost[[#This Row],[TargetRequirements]]-tblCost[[#This Row],[CompletedRequirements]]</f>
        <v>5</v>
      </c>
      <c r="L587" s="41" t="b">
        <f>tblCost[[#This Row],[RemainingRequirements]]=0</f>
        <v>0</v>
      </c>
      <c r="M587" s="43">
        <f>IF(tblCost[[#This Row],[TargetRequirements]]=0,0,tblCost[[#This Row],[CompletedRequirements]]/tblCost[[#This Row],[TargetRequirements]])</f>
        <v>0</v>
      </c>
    </row>
    <row r="588" spans="1:13">
      <c r="A588" s="41" t="s">
        <v>4236</v>
      </c>
      <c r="B588" s="41" t="str">
        <f>_xlfn.TEXTAFTER(_xlfn.TEXTBEFORE(tblCost[[#This Row],[RequirementID]],".",-2),"cost.")</f>
        <v>building.windmill@2</v>
      </c>
      <c r="C588" s="41" t="str">
        <f>_xlfn.XLOOKUP(tblCost[[#This Row],[TargetID]],tblTargets[TargetID],tblTargets[DisplayName],"")</f>
        <v>Windmill Lv 2</v>
      </c>
      <c r="D588" s="41" t="str">
        <f>_xlfn.XLOOKUP(tblCost[[#This Row],[TargetID]],tblTargets[TargetID],tblTargets[TargetType],"")</f>
        <v>BUILDING</v>
      </c>
      <c r="E588" s="41" t="s">
        <v>666</v>
      </c>
      <c r="F588" s="62" t="str">
        <f>RIGHT(tblCost[[#This Row],[RequirementID]],1)</f>
        <v>1</v>
      </c>
      <c r="G588" s="41">
        <v>500</v>
      </c>
      <c r="H588" t="b">
        <f>COUNTIFS(tblCostChecklist[RequirementID],tblCost[[#This Row],[RequirementID]],tblCostChecklist[PlayerPaid],TRUE)&gt;0</f>
        <v>0</v>
      </c>
      <c r="I588" s="41">
        <f>COUNTIF(tblCost[TargetID],tblCost[[#This Row],[TargetID]])</f>
        <v>5</v>
      </c>
      <c r="J588" s="41">
        <f>COUNTIFS(tblCost[TargetID],tblCost[[#This Row],[TargetID]],tblCost[PlayerPaid],TRUE)</f>
        <v>0</v>
      </c>
      <c r="K588" s="41">
        <f>tblCost[[#This Row],[TargetRequirements]]-tblCost[[#This Row],[CompletedRequirements]]</f>
        <v>5</v>
      </c>
      <c r="L588" s="41" t="b">
        <f>tblCost[[#This Row],[RemainingRequirements]]=0</f>
        <v>0</v>
      </c>
      <c r="M588" s="43">
        <f>IF(tblCost[[#This Row],[TargetRequirements]]=0,0,tblCost[[#This Row],[CompletedRequirements]]/tblCost[[#This Row],[TargetRequirements]])</f>
        <v>0</v>
      </c>
    </row>
    <row r="589" spans="1:13">
      <c r="A589" s="41" t="s">
        <v>4237</v>
      </c>
      <c r="B589" s="41" t="str">
        <f>_xlfn.TEXTAFTER(_xlfn.TEXTBEFORE(tblCost[[#This Row],[RequirementID]],".",-2),"cost.")</f>
        <v>building.windmill@2</v>
      </c>
      <c r="C589" s="41" t="str">
        <f>_xlfn.XLOOKUP(tblCost[[#This Row],[TargetID]],tblTargets[TargetID],tblTargets[DisplayName],"")</f>
        <v>Windmill Lv 2</v>
      </c>
      <c r="D589" s="41" t="str">
        <f>_xlfn.XLOOKUP(tblCost[[#This Row],[TargetID]],tblTargets[TargetID],tblTargets[TargetType],"")</f>
        <v>BUILDING</v>
      </c>
      <c r="E589" s="41" t="s">
        <v>658</v>
      </c>
      <c r="F589" s="62" t="str">
        <f>RIGHT(tblCost[[#This Row],[RequirementID]],1)</f>
        <v>1</v>
      </c>
      <c r="G589" s="41">
        <v>400</v>
      </c>
      <c r="H589" t="b">
        <f>COUNTIFS(tblCostChecklist[RequirementID],tblCost[[#This Row],[RequirementID]],tblCostChecklist[PlayerPaid],TRUE)&gt;0</f>
        <v>0</v>
      </c>
      <c r="I589" s="41">
        <f>COUNTIF(tblCost[TargetID],tblCost[[#This Row],[TargetID]])</f>
        <v>5</v>
      </c>
      <c r="J589" s="41">
        <f>COUNTIFS(tblCost[TargetID],tblCost[[#This Row],[TargetID]],tblCost[PlayerPaid],TRUE)</f>
        <v>0</v>
      </c>
      <c r="K589" s="41">
        <f>tblCost[[#This Row],[TargetRequirements]]-tblCost[[#This Row],[CompletedRequirements]]</f>
        <v>5</v>
      </c>
      <c r="L589" s="41" t="b">
        <f>tblCost[[#This Row],[RemainingRequirements]]=0</f>
        <v>0</v>
      </c>
      <c r="M589" s="43">
        <f>IF(tblCost[[#This Row],[TargetRequirements]]=0,0,tblCost[[#This Row],[CompletedRequirements]]/tblCost[[#This Row],[TargetRequirements]])</f>
        <v>0</v>
      </c>
    </row>
    <row r="590" spans="1:13">
      <c r="A590" s="41" t="s">
        <v>4238</v>
      </c>
      <c r="B590" s="41" t="str">
        <f>_xlfn.TEXTAFTER(_xlfn.TEXTBEFORE(tblCost[[#This Row],[RequirementID]],".",-2),"cost.")</f>
        <v>building.windmill@2</v>
      </c>
      <c r="C590" s="41" t="str">
        <f>_xlfn.XLOOKUP(tblCost[[#This Row],[TargetID]],tblTargets[TargetID],tblTargets[DisplayName],"")</f>
        <v>Windmill Lv 2</v>
      </c>
      <c r="D590" s="41" t="str">
        <f>_xlfn.XLOOKUP(tblCost[[#This Row],[TargetID]],tblTargets[TargetID],tblTargets[TargetType],"")</f>
        <v>BUILDING</v>
      </c>
      <c r="E590" s="41" t="s">
        <v>717</v>
      </c>
      <c r="F590" s="62" t="str">
        <f>RIGHT(tblCost[[#This Row],[RequirementID]],1)</f>
        <v>1</v>
      </c>
      <c r="G590" s="41">
        <v>200</v>
      </c>
      <c r="H590" t="b">
        <f>COUNTIFS(tblCostChecklist[RequirementID],tblCost[[#This Row],[RequirementID]],tblCostChecklist[PlayerPaid],TRUE)&gt;0</f>
        <v>0</v>
      </c>
      <c r="I590" s="41">
        <f>COUNTIF(tblCost[TargetID],tblCost[[#This Row],[TargetID]])</f>
        <v>5</v>
      </c>
      <c r="J590" s="41">
        <f>COUNTIFS(tblCost[TargetID],tblCost[[#This Row],[TargetID]],tblCost[PlayerPaid],TRUE)</f>
        <v>0</v>
      </c>
      <c r="K590" s="41">
        <f>tblCost[[#This Row],[TargetRequirements]]-tblCost[[#This Row],[CompletedRequirements]]</f>
        <v>5</v>
      </c>
      <c r="L590" s="41" t="b">
        <f>tblCost[[#This Row],[RemainingRequirements]]=0</f>
        <v>0</v>
      </c>
      <c r="M590" s="43">
        <f>IF(tblCost[[#This Row],[TargetRequirements]]=0,0,tblCost[[#This Row],[CompletedRequirements]]/tblCost[[#This Row],[TargetRequirements]])</f>
        <v>0</v>
      </c>
    </row>
    <row r="591" spans="1:13">
      <c r="A591" s="41" t="s">
        <v>4239</v>
      </c>
      <c r="B591" s="41" t="str">
        <f>_xlfn.TEXTAFTER(_xlfn.TEXTBEFORE(tblCost[[#This Row],[RequirementID]],".",-2),"cost.")</f>
        <v>building.windmill@2</v>
      </c>
      <c r="C591" s="41" t="str">
        <f>_xlfn.XLOOKUP(tblCost[[#This Row],[TargetID]],tblTargets[TargetID],tblTargets[DisplayName],"")</f>
        <v>Windmill Lv 2</v>
      </c>
      <c r="D591" s="41" t="str">
        <f>_xlfn.XLOOKUP(tblCost[[#This Row],[TargetID]],tblTargets[TargetID],tblTargets[TargetType],"")</f>
        <v>BUILDING</v>
      </c>
      <c r="E591" s="41" t="s">
        <v>690</v>
      </c>
      <c r="F591" s="62" t="str">
        <f>RIGHT(tblCost[[#This Row],[RequirementID]],1)</f>
        <v>1</v>
      </c>
      <c r="G591" s="41">
        <v>30</v>
      </c>
      <c r="H591" t="b">
        <f>COUNTIFS(tblCostChecklist[RequirementID],tblCost[[#This Row],[RequirementID]],tblCostChecklist[PlayerPaid],TRUE)&gt;0</f>
        <v>0</v>
      </c>
      <c r="I591" s="41">
        <f>COUNTIF(tblCost[TargetID],tblCost[[#This Row],[TargetID]])</f>
        <v>5</v>
      </c>
      <c r="J591" s="41">
        <f>COUNTIFS(tblCost[TargetID],tblCost[[#This Row],[TargetID]],tblCost[PlayerPaid],TRUE)</f>
        <v>0</v>
      </c>
      <c r="K591" s="41">
        <f>tblCost[[#This Row],[TargetRequirements]]-tblCost[[#This Row],[CompletedRequirements]]</f>
        <v>5</v>
      </c>
      <c r="L591" s="41" t="b">
        <f>tblCost[[#This Row],[RemainingRequirements]]=0</f>
        <v>0</v>
      </c>
      <c r="M591" s="43">
        <f>IF(tblCost[[#This Row],[TargetRequirements]]=0,0,tblCost[[#This Row],[CompletedRequirements]]/tblCost[[#This Row],[TargetRequirements]])</f>
        <v>0</v>
      </c>
    </row>
    <row r="592" spans="1:13">
      <c r="A592" s="41" t="s">
        <v>4240</v>
      </c>
      <c r="B592" s="41" t="str">
        <f>_xlfn.TEXTAFTER(_xlfn.TEXTBEFORE(tblCost[[#This Row],[RequirementID]],".",-2),"cost.")</f>
        <v>building.workshop@1</v>
      </c>
      <c r="C592" s="41" t="str">
        <f>_xlfn.XLOOKUP(tblCost[[#This Row],[TargetID]],tblTargets[TargetID],tblTargets[DisplayName],"")</f>
        <v>Workshop Lv 1</v>
      </c>
      <c r="D592" s="41" t="str">
        <f>_xlfn.XLOOKUP(tblCost[[#This Row],[TargetID]],tblTargets[TargetID],tblTargets[TargetType],"")</f>
        <v>BUILDING</v>
      </c>
      <c r="E592" s="41" t="s">
        <v>708</v>
      </c>
      <c r="F592" s="62" t="str">
        <f>RIGHT(tblCost[[#This Row],[RequirementID]],1)</f>
        <v>1</v>
      </c>
      <c r="G592" s="41">
        <v>1</v>
      </c>
      <c r="H592" t="b">
        <f>COUNTIFS(tblCostChecklist[RequirementID],tblCost[[#This Row],[RequirementID]],tblCostChecklist[PlayerPaid],TRUE)&gt;0</f>
        <v>0</v>
      </c>
      <c r="I592" s="41">
        <f>COUNTIF(tblCost[TargetID],tblCost[[#This Row],[TargetID]])</f>
        <v>4</v>
      </c>
      <c r="J592" s="41">
        <f>COUNTIFS(tblCost[TargetID],tblCost[[#This Row],[TargetID]],tblCost[PlayerPaid],TRUE)</f>
        <v>0</v>
      </c>
      <c r="K592" s="41">
        <f>tblCost[[#This Row],[TargetRequirements]]-tblCost[[#This Row],[CompletedRequirements]]</f>
        <v>4</v>
      </c>
      <c r="L592" s="41" t="b">
        <f>tblCost[[#This Row],[RemainingRequirements]]=0</f>
        <v>0</v>
      </c>
      <c r="M592" s="43">
        <f>IF(tblCost[[#This Row],[TargetRequirements]]=0,0,tblCost[[#This Row],[CompletedRequirements]]/tblCost[[#This Row],[TargetRequirements]])</f>
        <v>0</v>
      </c>
    </row>
    <row r="593" spans="1:13">
      <c r="A593" s="41" t="s">
        <v>4241</v>
      </c>
      <c r="B593" s="41" t="str">
        <f>_xlfn.TEXTAFTER(_xlfn.TEXTBEFORE(tblCost[[#This Row],[RequirementID]],".",-2),"cost.")</f>
        <v>building.workshop@1</v>
      </c>
      <c r="C593" s="41" t="str">
        <f>_xlfn.XLOOKUP(tblCost[[#This Row],[TargetID]],tblTargets[TargetID],tblTargets[DisplayName],"")</f>
        <v>Workshop Lv 1</v>
      </c>
      <c r="D593" s="41" t="str">
        <f>_xlfn.XLOOKUP(tblCost[[#This Row],[TargetID]],tblTargets[TargetID],tblTargets[TargetType],"")</f>
        <v>BUILDING</v>
      </c>
      <c r="E593" s="41" t="s">
        <v>666</v>
      </c>
      <c r="F593" s="62" t="str">
        <f>RIGHT(tblCost[[#This Row],[RequirementID]],1)</f>
        <v>1</v>
      </c>
      <c r="G593" s="41">
        <v>20</v>
      </c>
      <c r="H593" t="b">
        <f>COUNTIFS(tblCostChecklist[RequirementID],tblCost[[#This Row],[RequirementID]],tblCostChecklist[PlayerPaid],TRUE)&gt;0</f>
        <v>0</v>
      </c>
      <c r="I593" s="41">
        <f>COUNTIF(tblCost[TargetID],tblCost[[#This Row],[TargetID]])</f>
        <v>4</v>
      </c>
      <c r="J593" s="41">
        <f>COUNTIFS(tblCost[TargetID],tblCost[[#This Row],[TargetID]],tblCost[PlayerPaid],TRUE)</f>
        <v>0</v>
      </c>
      <c r="K593" s="41">
        <f>tblCost[[#This Row],[TargetRequirements]]-tblCost[[#This Row],[CompletedRequirements]]</f>
        <v>4</v>
      </c>
      <c r="L593" s="41" t="b">
        <f>tblCost[[#This Row],[RemainingRequirements]]=0</f>
        <v>0</v>
      </c>
      <c r="M593" s="43">
        <f>IF(tblCost[[#This Row],[TargetRequirements]]=0,0,tblCost[[#This Row],[CompletedRequirements]]/tblCost[[#This Row],[TargetRequirements]])</f>
        <v>0</v>
      </c>
    </row>
    <row r="594" spans="1:13">
      <c r="A594" s="41" t="s">
        <v>4242</v>
      </c>
      <c r="B594" s="41" t="str">
        <f>_xlfn.TEXTAFTER(_xlfn.TEXTBEFORE(tblCost[[#This Row],[RequirementID]],".",-2),"cost.")</f>
        <v>building.workshop@1</v>
      </c>
      <c r="C594" s="41" t="str">
        <f>_xlfn.XLOOKUP(tblCost[[#This Row],[TargetID]],tblTargets[TargetID],tblTargets[DisplayName],"")</f>
        <v>Workshop Lv 1</v>
      </c>
      <c r="D594" s="41" t="str">
        <f>_xlfn.XLOOKUP(tblCost[[#This Row],[TargetID]],tblTargets[TargetID],tblTargets[TargetType],"")</f>
        <v>BUILDING</v>
      </c>
      <c r="E594" s="41" t="s">
        <v>723</v>
      </c>
      <c r="F594" s="62" t="str">
        <f>RIGHT(tblCost[[#This Row],[RequirementID]],1)</f>
        <v>1</v>
      </c>
      <c r="G594" s="41">
        <v>10</v>
      </c>
      <c r="H594" t="b">
        <f>COUNTIFS(tblCostChecklist[RequirementID],tblCost[[#This Row],[RequirementID]],tblCostChecklist[PlayerPaid],TRUE)&gt;0</f>
        <v>0</v>
      </c>
      <c r="I594" s="41">
        <f>COUNTIF(tblCost[TargetID],tblCost[[#This Row],[TargetID]])</f>
        <v>4</v>
      </c>
      <c r="J594" s="41">
        <f>COUNTIFS(tblCost[TargetID],tblCost[[#This Row],[TargetID]],tblCost[PlayerPaid],TRUE)</f>
        <v>0</v>
      </c>
      <c r="K594" s="41">
        <f>tblCost[[#This Row],[TargetRequirements]]-tblCost[[#This Row],[CompletedRequirements]]</f>
        <v>4</v>
      </c>
      <c r="L594" s="41" t="b">
        <f>tblCost[[#This Row],[RemainingRequirements]]=0</f>
        <v>0</v>
      </c>
      <c r="M594" s="43">
        <f>IF(tblCost[[#This Row],[TargetRequirements]]=0,0,tblCost[[#This Row],[CompletedRequirements]]/tblCost[[#This Row],[TargetRequirements]])</f>
        <v>0</v>
      </c>
    </row>
    <row r="595" spans="1:13">
      <c r="A595" s="41" t="s">
        <v>4243</v>
      </c>
      <c r="B595" s="41" t="str">
        <f>_xlfn.TEXTAFTER(_xlfn.TEXTBEFORE(tblCost[[#This Row],[RequirementID]],".",-2),"cost.")</f>
        <v>building.workshop@1</v>
      </c>
      <c r="C595" s="41" t="str">
        <f>_xlfn.XLOOKUP(tblCost[[#This Row],[TargetID]],tblTargets[TargetID],tblTargets[DisplayName],"")</f>
        <v>Workshop Lv 1</v>
      </c>
      <c r="D595" s="41" t="str">
        <f>_xlfn.XLOOKUP(tblCost[[#This Row],[TargetID]],tblTargets[TargetID],tblTargets[TargetType],"")</f>
        <v>BUILDING</v>
      </c>
      <c r="E595" s="41" t="s">
        <v>717</v>
      </c>
      <c r="F595" s="62" t="str">
        <f>RIGHT(tblCost[[#This Row],[RequirementID]],1)</f>
        <v>1</v>
      </c>
      <c r="G595" s="41">
        <v>10</v>
      </c>
      <c r="H595" t="b">
        <f>COUNTIFS(tblCostChecklist[RequirementID],tblCost[[#This Row],[RequirementID]],tblCostChecklist[PlayerPaid],TRUE)&gt;0</f>
        <v>0</v>
      </c>
      <c r="I595" s="41">
        <f>COUNTIF(tblCost[TargetID],tblCost[[#This Row],[TargetID]])</f>
        <v>4</v>
      </c>
      <c r="J595" s="41">
        <f>COUNTIFS(tblCost[TargetID],tblCost[[#This Row],[TargetID]],tblCost[PlayerPaid],TRUE)</f>
        <v>0</v>
      </c>
      <c r="K595" s="41">
        <f>tblCost[[#This Row],[TargetRequirements]]-tblCost[[#This Row],[CompletedRequirements]]</f>
        <v>4</v>
      </c>
      <c r="L595" s="41" t="b">
        <f>tblCost[[#This Row],[RemainingRequirements]]=0</f>
        <v>0</v>
      </c>
      <c r="M595" s="43">
        <f>IF(tblCost[[#This Row],[TargetRequirements]]=0,0,tblCost[[#This Row],[CompletedRequirements]]/tblCost[[#This Row],[TargetRequirements]])</f>
        <v>0</v>
      </c>
    </row>
    <row r="596" spans="1:13">
      <c r="A596" s="41" t="s">
        <v>4244</v>
      </c>
      <c r="B596" s="41" t="str">
        <f>_xlfn.TEXTAFTER(_xlfn.TEXTBEFORE(tblCost[[#This Row],[RequirementID]],".",-2),"cost.")</f>
        <v>building.workshop@2</v>
      </c>
      <c r="C596" s="41" t="str">
        <f>_xlfn.XLOOKUP(tblCost[[#This Row],[TargetID]],tblTargets[TargetID],tblTargets[DisplayName],"")</f>
        <v>Workshop Lv 2</v>
      </c>
      <c r="D596" s="41" t="str">
        <f>_xlfn.XLOOKUP(tblCost[[#This Row],[TargetID]],tblTargets[TargetID],tblTargets[TargetType],"")</f>
        <v>BUILDING</v>
      </c>
      <c r="E596" s="41" t="s">
        <v>708</v>
      </c>
      <c r="F596" s="62" t="str">
        <f>RIGHT(tblCost[[#This Row],[RequirementID]],1)</f>
        <v>1</v>
      </c>
      <c r="G596" s="41">
        <v>2</v>
      </c>
      <c r="H596" t="b">
        <f>COUNTIFS(tblCostChecklist[RequirementID],tblCost[[#This Row],[RequirementID]],tblCostChecklist[PlayerPaid],TRUE)&gt;0</f>
        <v>0</v>
      </c>
      <c r="I596" s="41">
        <f>COUNTIF(tblCost[TargetID],tblCost[[#This Row],[TargetID]])</f>
        <v>4</v>
      </c>
      <c r="J596" s="41">
        <f>COUNTIFS(tblCost[TargetID],tblCost[[#This Row],[TargetID]],tblCost[PlayerPaid],TRUE)</f>
        <v>0</v>
      </c>
      <c r="K596" s="41">
        <f>tblCost[[#This Row],[TargetRequirements]]-tblCost[[#This Row],[CompletedRequirements]]</f>
        <v>4</v>
      </c>
      <c r="L596" s="41" t="b">
        <f>tblCost[[#This Row],[RemainingRequirements]]=0</f>
        <v>0</v>
      </c>
      <c r="M596" s="43">
        <f>IF(tblCost[[#This Row],[TargetRequirements]]=0,0,tblCost[[#This Row],[CompletedRequirements]]/tblCost[[#This Row],[TargetRequirements]])</f>
        <v>0</v>
      </c>
    </row>
    <row r="597" spans="1:13">
      <c r="A597" s="41" t="s">
        <v>4245</v>
      </c>
      <c r="B597" s="41" t="str">
        <f>_xlfn.TEXTAFTER(_xlfn.TEXTBEFORE(tblCost[[#This Row],[RequirementID]],".",-2),"cost.")</f>
        <v>building.workshop@2</v>
      </c>
      <c r="C597" s="41" t="str">
        <f>_xlfn.XLOOKUP(tblCost[[#This Row],[TargetID]],tblTargets[TargetID],tblTargets[DisplayName],"")</f>
        <v>Workshop Lv 2</v>
      </c>
      <c r="D597" s="41" t="str">
        <f>_xlfn.XLOOKUP(tblCost[[#This Row],[TargetID]],tblTargets[TargetID],tblTargets[TargetType],"")</f>
        <v>BUILDING</v>
      </c>
      <c r="E597" s="41" t="s">
        <v>666</v>
      </c>
      <c r="F597" s="62" t="str">
        <f>RIGHT(tblCost[[#This Row],[RequirementID]],1)</f>
        <v>1</v>
      </c>
      <c r="G597" s="41">
        <v>80</v>
      </c>
      <c r="H597" t="b">
        <f>COUNTIFS(tblCostChecklist[RequirementID],tblCost[[#This Row],[RequirementID]],tblCostChecklist[PlayerPaid],TRUE)&gt;0</f>
        <v>0</v>
      </c>
      <c r="I597" s="41">
        <f>COUNTIF(tblCost[TargetID],tblCost[[#This Row],[TargetID]])</f>
        <v>4</v>
      </c>
      <c r="J597" s="41">
        <f>COUNTIFS(tblCost[TargetID],tblCost[[#This Row],[TargetID]],tblCost[PlayerPaid],TRUE)</f>
        <v>0</v>
      </c>
      <c r="K597" s="41">
        <f>tblCost[[#This Row],[TargetRequirements]]-tblCost[[#This Row],[CompletedRequirements]]</f>
        <v>4</v>
      </c>
      <c r="L597" s="41" t="b">
        <f>tblCost[[#This Row],[RemainingRequirements]]=0</f>
        <v>0</v>
      </c>
      <c r="M597" s="43">
        <f>IF(tblCost[[#This Row],[TargetRequirements]]=0,0,tblCost[[#This Row],[CompletedRequirements]]/tblCost[[#This Row],[TargetRequirements]])</f>
        <v>0</v>
      </c>
    </row>
    <row r="598" spans="1:13">
      <c r="A598" s="41" t="s">
        <v>4246</v>
      </c>
      <c r="B598" s="41" t="str">
        <f>_xlfn.TEXTAFTER(_xlfn.TEXTBEFORE(tblCost[[#This Row],[RequirementID]],".",-2),"cost.")</f>
        <v>building.workshop@2</v>
      </c>
      <c r="C598" s="41" t="str">
        <f>_xlfn.XLOOKUP(tblCost[[#This Row],[TargetID]],tblTargets[TargetID],tblTargets[DisplayName],"")</f>
        <v>Workshop Lv 2</v>
      </c>
      <c r="D598" s="41" t="str">
        <f>_xlfn.XLOOKUP(tblCost[[#This Row],[TargetID]],tblTargets[TargetID],tblTargets[TargetType],"")</f>
        <v>BUILDING</v>
      </c>
      <c r="E598" s="41" t="s">
        <v>723</v>
      </c>
      <c r="F598" s="62" t="str">
        <f>RIGHT(tblCost[[#This Row],[RequirementID]],1)</f>
        <v>1</v>
      </c>
      <c r="G598" s="41">
        <v>40</v>
      </c>
      <c r="H598" t="b">
        <f>COUNTIFS(tblCostChecklist[RequirementID],tblCost[[#This Row],[RequirementID]],tblCostChecklist[PlayerPaid],TRUE)&gt;0</f>
        <v>0</v>
      </c>
      <c r="I598" s="41">
        <f>COUNTIF(tblCost[TargetID],tblCost[[#This Row],[TargetID]])</f>
        <v>4</v>
      </c>
      <c r="J598" s="41">
        <f>COUNTIFS(tblCost[TargetID],tblCost[[#This Row],[TargetID]],tblCost[PlayerPaid],TRUE)</f>
        <v>0</v>
      </c>
      <c r="K598" s="41">
        <f>tblCost[[#This Row],[TargetRequirements]]-tblCost[[#This Row],[CompletedRequirements]]</f>
        <v>4</v>
      </c>
      <c r="L598" s="41" t="b">
        <f>tblCost[[#This Row],[RemainingRequirements]]=0</f>
        <v>0</v>
      </c>
      <c r="M598" s="43">
        <f>IF(tblCost[[#This Row],[TargetRequirements]]=0,0,tblCost[[#This Row],[CompletedRequirements]]/tblCost[[#This Row],[TargetRequirements]])</f>
        <v>0</v>
      </c>
    </row>
    <row r="599" spans="1:13">
      <c r="A599" s="41" t="s">
        <v>4247</v>
      </c>
      <c r="B599" s="41" t="str">
        <f>_xlfn.TEXTAFTER(_xlfn.TEXTBEFORE(tblCost[[#This Row],[RequirementID]],".",-2),"cost.")</f>
        <v>building.workshop@2</v>
      </c>
      <c r="C599" s="41" t="str">
        <f>_xlfn.XLOOKUP(tblCost[[#This Row],[TargetID]],tblTargets[TargetID],tblTargets[DisplayName],"")</f>
        <v>Workshop Lv 2</v>
      </c>
      <c r="D599" s="41" t="str">
        <f>_xlfn.XLOOKUP(tblCost[[#This Row],[TargetID]],tblTargets[TargetID],tblTargets[TargetType],"")</f>
        <v>BUILDING</v>
      </c>
      <c r="E599" s="41" t="s">
        <v>717</v>
      </c>
      <c r="F599" s="62" t="str">
        <f>RIGHT(tblCost[[#This Row],[RequirementID]],1)</f>
        <v>1</v>
      </c>
      <c r="G599" s="41">
        <v>40</v>
      </c>
      <c r="H599" t="b">
        <f>COUNTIFS(tblCostChecklist[RequirementID],tblCost[[#This Row],[RequirementID]],tblCostChecklist[PlayerPaid],TRUE)&gt;0</f>
        <v>0</v>
      </c>
      <c r="I599" s="41">
        <f>COUNTIF(tblCost[TargetID],tblCost[[#This Row],[TargetID]])</f>
        <v>4</v>
      </c>
      <c r="J599" s="41">
        <f>COUNTIFS(tblCost[TargetID],tblCost[[#This Row],[TargetID]],tblCost[PlayerPaid],TRUE)</f>
        <v>0</v>
      </c>
      <c r="K599" s="41">
        <f>tblCost[[#This Row],[TargetRequirements]]-tblCost[[#This Row],[CompletedRequirements]]</f>
        <v>4</v>
      </c>
      <c r="L599" s="41" t="b">
        <f>tblCost[[#This Row],[RemainingRequirements]]=0</f>
        <v>0</v>
      </c>
      <c r="M599" s="43">
        <f>IF(tblCost[[#This Row],[TargetRequirements]]=0,0,tblCost[[#This Row],[CompletedRequirements]]/tblCost[[#This Row],[TargetRequirements]])</f>
        <v>0</v>
      </c>
    </row>
    <row r="600" spans="1:13">
      <c r="A600" s="41" t="s">
        <v>4248</v>
      </c>
      <c r="B600" s="41" t="str">
        <f>_xlfn.TEXTAFTER(_xlfn.TEXTBEFORE(tblCost[[#This Row],[RequirementID]],".",-2),"cost.")</f>
        <v>building.workshop@3</v>
      </c>
      <c r="C600" s="41" t="str">
        <f>_xlfn.XLOOKUP(tblCost[[#This Row],[TargetID]],tblTargets[TargetID],tblTargets[DisplayName],"")</f>
        <v>Workshop Lv 3</v>
      </c>
      <c r="D600" s="41" t="str">
        <f>_xlfn.XLOOKUP(tblCost[[#This Row],[TargetID]],tblTargets[TargetID],tblTargets[TargetType],"")</f>
        <v>BUILDING</v>
      </c>
      <c r="E600" s="41" t="s">
        <v>708</v>
      </c>
      <c r="F600" s="62" t="str">
        <f>RIGHT(tblCost[[#This Row],[RequirementID]],1)</f>
        <v>1</v>
      </c>
      <c r="G600" s="41">
        <v>3</v>
      </c>
      <c r="H600" t="b">
        <f>COUNTIFS(tblCostChecklist[RequirementID],tblCost[[#This Row],[RequirementID]],tblCostChecklist[PlayerPaid],TRUE)&gt;0</f>
        <v>0</v>
      </c>
      <c r="I600" s="41">
        <f>COUNTIF(tblCost[TargetID],tblCost[[#This Row],[TargetID]])</f>
        <v>4</v>
      </c>
      <c r="J600" s="41">
        <f>COUNTIFS(tblCost[TargetID],tblCost[[#This Row],[TargetID]],tblCost[PlayerPaid],TRUE)</f>
        <v>0</v>
      </c>
      <c r="K600" s="41">
        <f>tblCost[[#This Row],[TargetRequirements]]-tblCost[[#This Row],[CompletedRequirements]]</f>
        <v>4</v>
      </c>
      <c r="L600" s="41" t="b">
        <f>tblCost[[#This Row],[RemainingRequirements]]=0</f>
        <v>0</v>
      </c>
      <c r="M600" s="43">
        <f>IF(tblCost[[#This Row],[TargetRequirements]]=0,0,tblCost[[#This Row],[CompletedRequirements]]/tblCost[[#This Row],[TargetRequirements]])</f>
        <v>0</v>
      </c>
    </row>
    <row r="601" spans="1:13">
      <c r="A601" s="41" t="s">
        <v>4249</v>
      </c>
      <c r="B601" s="41" t="str">
        <f>_xlfn.TEXTAFTER(_xlfn.TEXTBEFORE(tblCost[[#This Row],[RequirementID]],".",-2),"cost.")</f>
        <v>building.workshop@3</v>
      </c>
      <c r="C601" s="41" t="str">
        <f>_xlfn.XLOOKUP(tblCost[[#This Row],[TargetID]],tblTargets[TargetID],tblTargets[DisplayName],"")</f>
        <v>Workshop Lv 3</v>
      </c>
      <c r="D601" s="41" t="str">
        <f>_xlfn.XLOOKUP(tblCost[[#This Row],[TargetID]],tblTargets[TargetID],tblTargets[TargetType],"")</f>
        <v>BUILDING</v>
      </c>
      <c r="E601" s="41" t="s">
        <v>666</v>
      </c>
      <c r="F601" s="62" t="str">
        <f>RIGHT(tblCost[[#This Row],[RequirementID]],1)</f>
        <v>1</v>
      </c>
      <c r="G601" s="41">
        <v>160</v>
      </c>
      <c r="H601" t="b">
        <f>COUNTIFS(tblCostChecklist[RequirementID],tblCost[[#This Row],[RequirementID]],tblCostChecklist[PlayerPaid],TRUE)&gt;0</f>
        <v>0</v>
      </c>
      <c r="I601" s="41">
        <f>COUNTIF(tblCost[TargetID],tblCost[[#This Row],[TargetID]])</f>
        <v>4</v>
      </c>
      <c r="J601" s="41">
        <f>COUNTIFS(tblCost[TargetID],tblCost[[#This Row],[TargetID]],tblCost[PlayerPaid],TRUE)</f>
        <v>0</v>
      </c>
      <c r="K601" s="41">
        <f>tblCost[[#This Row],[TargetRequirements]]-tblCost[[#This Row],[CompletedRequirements]]</f>
        <v>4</v>
      </c>
      <c r="L601" s="41" t="b">
        <f>tblCost[[#This Row],[RemainingRequirements]]=0</f>
        <v>0</v>
      </c>
      <c r="M601" s="43">
        <f>IF(tblCost[[#This Row],[TargetRequirements]]=0,0,tblCost[[#This Row],[CompletedRequirements]]/tblCost[[#This Row],[TargetRequirements]])</f>
        <v>0</v>
      </c>
    </row>
    <row r="602" spans="1:13">
      <c r="A602" s="41" t="s">
        <v>4250</v>
      </c>
      <c r="B602" s="41" t="str">
        <f>_xlfn.TEXTAFTER(_xlfn.TEXTBEFORE(tblCost[[#This Row],[RequirementID]],".",-2),"cost.")</f>
        <v>building.workshop@3</v>
      </c>
      <c r="C602" s="41" t="str">
        <f>_xlfn.XLOOKUP(tblCost[[#This Row],[TargetID]],tblTargets[TargetID],tblTargets[DisplayName],"")</f>
        <v>Workshop Lv 3</v>
      </c>
      <c r="D602" s="41" t="str">
        <f>_xlfn.XLOOKUP(tblCost[[#This Row],[TargetID]],tblTargets[TargetID],tblTargets[TargetType],"")</f>
        <v>BUILDING</v>
      </c>
      <c r="E602" s="41" t="s">
        <v>658</v>
      </c>
      <c r="F602" s="62" t="str">
        <f>RIGHT(tblCost[[#This Row],[RequirementID]],1)</f>
        <v>1</v>
      </c>
      <c r="G602" s="41">
        <v>160</v>
      </c>
      <c r="H602" t="b">
        <f>COUNTIFS(tblCostChecklist[RequirementID],tblCost[[#This Row],[RequirementID]],tblCostChecklist[PlayerPaid],TRUE)&gt;0</f>
        <v>0</v>
      </c>
      <c r="I602" s="41">
        <f>COUNTIF(tblCost[TargetID],tblCost[[#This Row],[TargetID]])</f>
        <v>4</v>
      </c>
      <c r="J602" s="41">
        <f>COUNTIFS(tblCost[TargetID],tblCost[[#This Row],[TargetID]],tblCost[PlayerPaid],TRUE)</f>
        <v>0</v>
      </c>
      <c r="K602" s="41">
        <f>tblCost[[#This Row],[TargetRequirements]]-tblCost[[#This Row],[CompletedRequirements]]</f>
        <v>4</v>
      </c>
      <c r="L602" s="41" t="b">
        <f>tblCost[[#This Row],[RemainingRequirements]]=0</f>
        <v>0</v>
      </c>
      <c r="M602" s="43">
        <f>IF(tblCost[[#This Row],[TargetRequirements]]=0,0,tblCost[[#This Row],[CompletedRequirements]]/tblCost[[#This Row],[TargetRequirements]])</f>
        <v>0</v>
      </c>
    </row>
    <row r="603" spans="1:13">
      <c r="A603" s="41" t="s">
        <v>4251</v>
      </c>
      <c r="B603" s="41" t="str">
        <f>_xlfn.TEXTAFTER(_xlfn.TEXTBEFORE(tblCost[[#This Row],[RequirementID]],".",-2),"cost.")</f>
        <v>building.workshop@3</v>
      </c>
      <c r="C603" s="41" t="str">
        <f>_xlfn.XLOOKUP(tblCost[[#This Row],[TargetID]],tblTargets[TargetID],tblTargets[DisplayName],"")</f>
        <v>Workshop Lv 3</v>
      </c>
      <c r="D603" s="41" t="str">
        <f>_xlfn.XLOOKUP(tblCost[[#This Row],[TargetID]],tblTargets[TargetID],tblTargets[TargetType],"")</f>
        <v>BUILDING</v>
      </c>
      <c r="E603" s="41" t="s">
        <v>717</v>
      </c>
      <c r="F603" s="62" t="str">
        <f>RIGHT(tblCost[[#This Row],[RequirementID]],1)</f>
        <v>1</v>
      </c>
      <c r="G603" s="41">
        <v>80</v>
      </c>
      <c r="H603" t="b">
        <f>COUNTIFS(tblCostChecklist[RequirementID],tblCost[[#This Row],[RequirementID]],tblCostChecklist[PlayerPaid],TRUE)&gt;0</f>
        <v>0</v>
      </c>
      <c r="I603" s="41">
        <f>COUNTIF(tblCost[TargetID],tblCost[[#This Row],[TargetID]])</f>
        <v>4</v>
      </c>
      <c r="J603" s="41">
        <f>COUNTIFS(tblCost[TargetID],tblCost[[#This Row],[TargetID]],tblCost[PlayerPaid],TRUE)</f>
        <v>0</v>
      </c>
      <c r="K603" s="41">
        <f>tblCost[[#This Row],[TargetRequirements]]-tblCost[[#This Row],[CompletedRequirements]]</f>
        <v>4</v>
      </c>
      <c r="L603" s="41" t="b">
        <f>tblCost[[#This Row],[RemainingRequirements]]=0</f>
        <v>0</v>
      </c>
      <c r="M603" s="43">
        <f>IF(tblCost[[#This Row],[TargetRequirements]]=0,0,tblCost[[#This Row],[CompletedRequirements]]/tblCost[[#This Row],[TargetRequirements]])</f>
        <v>0</v>
      </c>
    </row>
    <row r="604" spans="1:13">
      <c r="A604" s="41" t="s">
        <v>4252</v>
      </c>
      <c r="B604" s="41" t="str">
        <f>_xlfn.TEXTAFTER(_xlfn.TEXTBEFORE(tblCost[[#This Row],[RequirementID]],".",-2),"cost.")</f>
        <v>building.workshop@4</v>
      </c>
      <c r="C604" s="41" t="str">
        <f>_xlfn.XLOOKUP(tblCost[[#This Row],[TargetID]],tblTargets[TargetID],tblTargets[DisplayName],"")</f>
        <v>Workshop Lv 4</v>
      </c>
      <c r="D604" s="41" t="str">
        <f>_xlfn.XLOOKUP(tblCost[[#This Row],[TargetID]],tblTargets[TargetID],tblTargets[TargetType],"")</f>
        <v>BUILDING</v>
      </c>
      <c r="E604" s="41" t="s">
        <v>708</v>
      </c>
      <c r="F604" s="62" t="str">
        <f>RIGHT(tblCost[[#This Row],[RequirementID]],1)</f>
        <v>1</v>
      </c>
      <c r="G604" s="41">
        <v>4</v>
      </c>
      <c r="H604" t="b">
        <f>COUNTIFS(tblCostChecklist[RequirementID],tblCost[[#This Row],[RequirementID]],tblCostChecklist[PlayerPaid],TRUE)&gt;0</f>
        <v>0</v>
      </c>
      <c r="I604" s="41">
        <f>COUNTIF(tblCost[TargetID],tblCost[[#This Row],[TargetID]])</f>
        <v>5</v>
      </c>
      <c r="J604" s="41">
        <f>COUNTIFS(tblCost[TargetID],tblCost[[#This Row],[TargetID]],tblCost[PlayerPaid],TRUE)</f>
        <v>0</v>
      </c>
      <c r="K604" s="41">
        <f>tblCost[[#This Row],[TargetRequirements]]-tblCost[[#This Row],[CompletedRequirements]]</f>
        <v>5</v>
      </c>
      <c r="L604" s="41" t="b">
        <f>tblCost[[#This Row],[RemainingRequirements]]=0</f>
        <v>0</v>
      </c>
      <c r="M604" s="43">
        <f>IF(tblCost[[#This Row],[TargetRequirements]]=0,0,tblCost[[#This Row],[CompletedRequirements]]/tblCost[[#This Row],[TargetRequirements]])</f>
        <v>0</v>
      </c>
    </row>
    <row r="605" spans="1:13">
      <c r="A605" s="41" t="s">
        <v>4253</v>
      </c>
      <c r="B605" s="41" t="str">
        <f>_xlfn.TEXTAFTER(_xlfn.TEXTBEFORE(tblCost[[#This Row],[RequirementID]],".",-2),"cost.")</f>
        <v>building.workshop@4</v>
      </c>
      <c r="C605" s="41" t="str">
        <f>_xlfn.XLOOKUP(tblCost[[#This Row],[TargetID]],tblTargets[TargetID],tblTargets[DisplayName],"")</f>
        <v>Workshop Lv 4</v>
      </c>
      <c r="D605" s="41" t="str">
        <f>_xlfn.XLOOKUP(tblCost[[#This Row],[TargetID]],tblTargets[TargetID],tblTargets[TargetType],"")</f>
        <v>BUILDING</v>
      </c>
      <c r="E605" s="41" t="s">
        <v>666</v>
      </c>
      <c r="F605" s="62" t="str">
        <f>RIGHT(tblCost[[#This Row],[RequirementID]],1)</f>
        <v>1</v>
      </c>
      <c r="G605" s="41">
        <v>500</v>
      </c>
      <c r="H605" t="b">
        <f>COUNTIFS(tblCostChecklist[RequirementID],tblCost[[#This Row],[RequirementID]],tblCostChecklist[PlayerPaid],TRUE)&gt;0</f>
        <v>0</v>
      </c>
      <c r="I605" s="41">
        <f>COUNTIF(tblCost[TargetID],tblCost[[#This Row],[TargetID]])</f>
        <v>5</v>
      </c>
      <c r="J605" s="41">
        <f>COUNTIFS(tblCost[TargetID],tblCost[[#This Row],[TargetID]],tblCost[PlayerPaid],TRUE)</f>
        <v>0</v>
      </c>
      <c r="K605" s="41">
        <f>tblCost[[#This Row],[TargetRequirements]]-tblCost[[#This Row],[CompletedRequirements]]</f>
        <v>5</v>
      </c>
      <c r="L605" s="41" t="b">
        <f>tblCost[[#This Row],[RemainingRequirements]]=0</f>
        <v>0</v>
      </c>
      <c r="M605" s="43">
        <f>IF(tblCost[[#This Row],[TargetRequirements]]=0,0,tblCost[[#This Row],[CompletedRequirements]]/tblCost[[#This Row],[TargetRequirements]])</f>
        <v>0</v>
      </c>
    </row>
    <row r="606" spans="1:13">
      <c r="A606" s="41" t="s">
        <v>4254</v>
      </c>
      <c r="B606" s="41" t="str">
        <f>_xlfn.TEXTAFTER(_xlfn.TEXTBEFORE(tblCost[[#This Row],[RequirementID]],".",-2),"cost.")</f>
        <v>building.workshop@4</v>
      </c>
      <c r="C606" s="41" t="str">
        <f>_xlfn.XLOOKUP(tblCost[[#This Row],[TargetID]],tblTargets[TargetID],tblTargets[DisplayName],"")</f>
        <v>Workshop Lv 4</v>
      </c>
      <c r="D606" s="41" t="str">
        <f>_xlfn.XLOOKUP(tblCost[[#This Row],[TargetID]],tblTargets[TargetID],tblTargets[TargetType],"")</f>
        <v>BUILDING</v>
      </c>
      <c r="E606" s="41" t="s">
        <v>658</v>
      </c>
      <c r="F606" s="62" t="str">
        <f>RIGHT(tblCost[[#This Row],[RequirementID]],1)</f>
        <v>1</v>
      </c>
      <c r="G606" s="41">
        <v>500</v>
      </c>
      <c r="H606" t="b">
        <f>COUNTIFS(tblCostChecklist[RequirementID],tblCost[[#This Row],[RequirementID]],tblCostChecklist[PlayerPaid],TRUE)&gt;0</f>
        <v>0</v>
      </c>
      <c r="I606" s="41">
        <f>COUNTIF(tblCost[TargetID],tblCost[[#This Row],[TargetID]])</f>
        <v>5</v>
      </c>
      <c r="J606" s="41">
        <f>COUNTIFS(tblCost[TargetID],tblCost[[#This Row],[TargetID]],tblCost[PlayerPaid],TRUE)</f>
        <v>0</v>
      </c>
      <c r="K606" s="41">
        <f>tblCost[[#This Row],[TargetRequirements]]-tblCost[[#This Row],[CompletedRequirements]]</f>
        <v>5</v>
      </c>
      <c r="L606" s="41" t="b">
        <f>tblCost[[#This Row],[RemainingRequirements]]=0</f>
        <v>0</v>
      </c>
      <c r="M606" s="43">
        <f>IF(tblCost[[#This Row],[TargetRequirements]]=0,0,tblCost[[#This Row],[CompletedRequirements]]/tblCost[[#This Row],[TargetRequirements]])</f>
        <v>0</v>
      </c>
    </row>
    <row r="607" spans="1:13">
      <c r="A607" s="41" t="s">
        <v>4255</v>
      </c>
      <c r="B607" s="41" t="str">
        <f>_xlfn.TEXTAFTER(_xlfn.TEXTBEFORE(tblCost[[#This Row],[RequirementID]],".",-2),"cost.")</f>
        <v>building.workshop@4</v>
      </c>
      <c r="C607" s="41" t="str">
        <f>_xlfn.XLOOKUP(tblCost[[#This Row],[TargetID]],tblTargets[TargetID],tblTargets[DisplayName],"")</f>
        <v>Workshop Lv 4</v>
      </c>
      <c r="D607" s="41" t="str">
        <f>_xlfn.XLOOKUP(tblCost[[#This Row],[TargetID]],tblTargets[TargetID],tblTargets[TargetType],"")</f>
        <v>BUILDING</v>
      </c>
      <c r="E607" s="41" t="s">
        <v>717</v>
      </c>
      <c r="F607" s="62" t="str">
        <f>RIGHT(tblCost[[#This Row],[RequirementID]],1)</f>
        <v>1</v>
      </c>
      <c r="G607" s="41">
        <v>250</v>
      </c>
      <c r="H607" t="b">
        <f>COUNTIFS(tblCostChecklist[RequirementID],tblCost[[#This Row],[RequirementID]],tblCostChecklist[PlayerPaid],TRUE)&gt;0</f>
        <v>0</v>
      </c>
      <c r="I607" s="41">
        <f>COUNTIF(tblCost[TargetID],tblCost[[#This Row],[TargetID]])</f>
        <v>5</v>
      </c>
      <c r="J607" s="41">
        <f>COUNTIFS(tblCost[TargetID],tblCost[[#This Row],[TargetID]],tblCost[PlayerPaid],TRUE)</f>
        <v>0</v>
      </c>
      <c r="K607" s="41">
        <f>tblCost[[#This Row],[TargetRequirements]]-tblCost[[#This Row],[CompletedRequirements]]</f>
        <v>5</v>
      </c>
      <c r="L607" s="41" t="b">
        <f>tblCost[[#This Row],[RemainingRequirements]]=0</f>
        <v>0</v>
      </c>
      <c r="M607" s="43">
        <f>IF(tblCost[[#This Row],[TargetRequirements]]=0,0,tblCost[[#This Row],[CompletedRequirements]]/tblCost[[#This Row],[TargetRequirements]])</f>
        <v>0</v>
      </c>
    </row>
    <row r="608" spans="1:13">
      <c r="A608" s="41" t="s">
        <v>4256</v>
      </c>
      <c r="B608" s="41" t="str">
        <f>_xlfn.TEXTAFTER(_xlfn.TEXTBEFORE(tblCost[[#This Row],[RequirementID]],".",-2),"cost.")</f>
        <v>building.workshop@4</v>
      </c>
      <c r="C608" s="41" t="str">
        <f>_xlfn.XLOOKUP(tblCost[[#This Row],[TargetID]],tblTargets[TargetID],tblTargets[DisplayName],"")</f>
        <v>Workshop Lv 4</v>
      </c>
      <c r="D608" s="41" t="str">
        <f>_xlfn.XLOOKUP(tblCost[[#This Row],[TargetID]],tblTargets[TargetID],tblTargets[TargetType],"")</f>
        <v>BUILDING</v>
      </c>
      <c r="E608" s="41" t="s">
        <v>716</v>
      </c>
      <c r="F608" s="62" t="str">
        <f>RIGHT(tblCost[[#This Row],[RequirementID]],1)</f>
        <v>1</v>
      </c>
      <c r="G608" s="41">
        <v>20</v>
      </c>
      <c r="H608" t="b">
        <f>COUNTIFS(tblCostChecklist[RequirementID],tblCost[[#This Row],[RequirementID]],tblCostChecklist[PlayerPaid],TRUE)&gt;0</f>
        <v>0</v>
      </c>
      <c r="I608" s="41">
        <f>COUNTIF(tblCost[TargetID],tblCost[[#This Row],[TargetID]])</f>
        <v>5</v>
      </c>
      <c r="J608" s="41">
        <f>COUNTIFS(tblCost[TargetID],tblCost[[#This Row],[TargetID]],tblCost[PlayerPaid],TRUE)</f>
        <v>0</v>
      </c>
      <c r="K608" s="41">
        <f>tblCost[[#This Row],[TargetRequirements]]-tblCost[[#This Row],[CompletedRequirements]]</f>
        <v>5</v>
      </c>
      <c r="L608" s="41" t="b">
        <f>tblCost[[#This Row],[RemainingRequirements]]=0</f>
        <v>0</v>
      </c>
      <c r="M608" s="43">
        <f>IF(tblCost[[#This Row],[TargetRequirements]]=0,0,tblCost[[#This Row],[CompletedRequirements]]/tblCost[[#This Row],[TargetRequirements]])</f>
        <v>0</v>
      </c>
    </row>
    <row r="609" spans="1:13">
      <c r="A609" s="41" t="s">
        <v>4257</v>
      </c>
      <c r="B609" s="41" t="str">
        <f>_xlfn.TEXTAFTER(_xlfn.TEXTBEFORE(tblCost[[#This Row],[RequirementID]],".",-2),"cost.")</f>
        <v>building.workshop@5</v>
      </c>
      <c r="C609" s="41" t="str">
        <f>_xlfn.XLOOKUP(tblCost[[#This Row],[TargetID]],tblTargets[TargetID],tblTargets[DisplayName],"")</f>
        <v>Workshop Lv 5</v>
      </c>
      <c r="D609" s="41" t="str">
        <f>_xlfn.XLOOKUP(tblCost[[#This Row],[TargetID]],tblTargets[TargetID],tblTargets[TargetType],"")</f>
        <v>BUILDING</v>
      </c>
      <c r="E609" s="41" t="s">
        <v>708</v>
      </c>
      <c r="F609" s="62" t="str">
        <f>RIGHT(tblCost[[#This Row],[RequirementID]],1)</f>
        <v>1</v>
      </c>
      <c r="G609" s="41">
        <v>5</v>
      </c>
      <c r="H609" t="b">
        <f>COUNTIFS(tblCostChecklist[RequirementID],tblCost[[#This Row],[RequirementID]],tblCostChecklist[PlayerPaid],TRUE)&gt;0</f>
        <v>0</v>
      </c>
      <c r="I609" s="41">
        <f>COUNTIF(tblCost[TargetID],tblCost[[#This Row],[TargetID]])</f>
        <v>5</v>
      </c>
      <c r="J609" s="41">
        <f>COUNTIFS(tblCost[TargetID],tblCost[[#This Row],[TargetID]],tblCost[PlayerPaid],TRUE)</f>
        <v>0</v>
      </c>
      <c r="K609" s="41">
        <f>tblCost[[#This Row],[TargetRequirements]]-tblCost[[#This Row],[CompletedRequirements]]</f>
        <v>5</v>
      </c>
      <c r="L609" s="41" t="b">
        <f>tblCost[[#This Row],[RemainingRequirements]]=0</f>
        <v>0</v>
      </c>
      <c r="M609" s="43">
        <f>IF(tblCost[[#This Row],[TargetRequirements]]=0,0,tblCost[[#This Row],[CompletedRequirements]]/tblCost[[#This Row],[TargetRequirements]])</f>
        <v>0</v>
      </c>
    </row>
    <row r="610" spans="1:13">
      <c r="A610" s="41" t="s">
        <v>4258</v>
      </c>
      <c r="B610" s="41" t="str">
        <f>_xlfn.TEXTAFTER(_xlfn.TEXTBEFORE(tblCost[[#This Row],[RequirementID]],".",-2),"cost.")</f>
        <v>building.workshop@5</v>
      </c>
      <c r="C610" s="41" t="str">
        <f>_xlfn.XLOOKUP(tblCost[[#This Row],[TargetID]],tblTargets[TargetID],tblTargets[DisplayName],"")</f>
        <v>Workshop Lv 5</v>
      </c>
      <c r="D610" s="41" t="str">
        <f>_xlfn.XLOOKUP(tblCost[[#This Row],[TargetID]],tblTargets[TargetID],tblTargets[TargetType],"")</f>
        <v>BUILDING</v>
      </c>
      <c r="E610" s="41" t="s">
        <v>666</v>
      </c>
      <c r="F610" s="62" t="str">
        <f>RIGHT(tblCost[[#This Row],[RequirementID]],1)</f>
        <v>1</v>
      </c>
      <c r="G610" s="41">
        <v>1000</v>
      </c>
      <c r="H610" t="b">
        <f>COUNTIFS(tblCostChecklist[RequirementID],tblCost[[#This Row],[RequirementID]],tblCostChecklist[PlayerPaid],TRUE)&gt;0</f>
        <v>0</v>
      </c>
      <c r="I610" s="41">
        <f>COUNTIF(tblCost[TargetID],tblCost[[#This Row],[TargetID]])</f>
        <v>5</v>
      </c>
      <c r="J610" s="41">
        <f>COUNTIFS(tblCost[TargetID],tblCost[[#This Row],[TargetID]],tblCost[PlayerPaid],TRUE)</f>
        <v>0</v>
      </c>
      <c r="K610" s="41">
        <f>tblCost[[#This Row],[TargetRequirements]]-tblCost[[#This Row],[CompletedRequirements]]</f>
        <v>5</v>
      </c>
      <c r="L610" s="41" t="b">
        <f>tblCost[[#This Row],[RemainingRequirements]]=0</f>
        <v>0</v>
      </c>
      <c r="M610" s="43">
        <f>IF(tblCost[[#This Row],[TargetRequirements]]=0,0,tblCost[[#This Row],[CompletedRequirements]]/tblCost[[#This Row],[TargetRequirements]])</f>
        <v>0</v>
      </c>
    </row>
    <row r="611" spans="1:13">
      <c r="A611" s="41" t="s">
        <v>4259</v>
      </c>
      <c r="B611" s="41" t="str">
        <f>_xlfn.TEXTAFTER(_xlfn.TEXTBEFORE(tblCost[[#This Row],[RequirementID]],".",-2),"cost.")</f>
        <v>building.workshop@5</v>
      </c>
      <c r="C611" s="41" t="str">
        <f>_xlfn.XLOOKUP(tblCost[[#This Row],[TargetID]],tblTargets[TargetID],tblTargets[DisplayName],"")</f>
        <v>Workshop Lv 5</v>
      </c>
      <c r="D611" s="41" t="str">
        <f>_xlfn.XLOOKUP(tblCost[[#This Row],[TargetID]],tblTargets[TargetID],tblTargets[TargetType],"")</f>
        <v>BUILDING</v>
      </c>
      <c r="E611" s="41" t="s">
        <v>658</v>
      </c>
      <c r="F611" s="62" t="str">
        <f>RIGHT(tblCost[[#This Row],[RequirementID]],1)</f>
        <v>1</v>
      </c>
      <c r="G611" s="41">
        <v>600</v>
      </c>
      <c r="H611" t="b">
        <f>COUNTIFS(tblCostChecklist[RequirementID],tblCost[[#This Row],[RequirementID]],tblCostChecklist[PlayerPaid],TRUE)&gt;0</f>
        <v>0</v>
      </c>
      <c r="I611" s="41">
        <f>COUNTIF(tblCost[TargetID],tblCost[[#This Row],[TargetID]])</f>
        <v>5</v>
      </c>
      <c r="J611" s="41">
        <f>COUNTIFS(tblCost[TargetID],tblCost[[#This Row],[TargetID]],tblCost[PlayerPaid],TRUE)</f>
        <v>0</v>
      </c>
      <c r="K611" s="41">
        <f>tblCost[[#This Row],[TargetRequirements]]-tblCost[[#This Row],[CompletedRequirements]]</f>
        <v>5</v>
      </c>
      <c r="L611" s="41" t="b">
        <f>tblCost[[#This Row],[RemainingRequirements]]=0</f>
        <v>0</v>
      </c>
      <c r="M611" s="43">
        <f>IF(tblCost[[#This Row],[TargetRequirements]]=0,0,tblCost[[#This Row],[CompletedRequirements]]/tblCost[[#This Row],[TargetRequirements]])</f>
        <v>0</v>
      </c>
    </row>
    <row r="612" spans="1:13">
      <c r="A612" s="41" t="s">
        <v>4260</v>
      </c>
      <c r="B612" s="41" t="str">
        <f>_xlfn.TEXTAFTER(_xlfn.TEXTBEFORE(tblCost[[#This Row],[RequirementID]],".",-2),"cost.")</f>
        <v>building.workshop@5</v>
      </c>
      <c r="C612" s="41" t="str">
        <f>_xlfn.XLOOKUP(tblCost[[#This Row],[TargetID]],tblTargets[TargetID],tblTargets[DisplayName],"")</f>
        <v>Workshop Lv 5</v>
      </c>
      <c r="D612" s="41" t="str">
        <f>_xlfn.XLOOKUP(tblCost[[#This Row],[TargetID]],tblTargets[TargetID],tblTargets[TargetType],"")</f>
        <v>BUILDING</v>
      </c>
      <c r="E612" s="41" t="s">
        <v>717</v>
      </c>
      <c r="F612" s="62" t="str">
        <f>RIGHT(tblCost[[#This Row],[RequirementID]],1)</f>
        <v>1</v>
      </c>
      <c r="G612" s="41">
        <v>300</v>
      </c>
      <c r="H612" t="b">
        <f>COUNTIFS(tblCostChecklist[RequirementID],tblCost[[#This Row],[RequirementID]],tblCostChecklist[PlayerPaid],TRUE)&gt;0</f>
        <v>0</v>
      </c>
      <c r="I612" s="41">
        <f>COUNTIF(tblCost[TargetID],tblCost[[#This Row],[TargetID]])</f>
        <v>5</v>
      </c>
      <c r="J612" s="41">
        <f>COUNTIFS(tblCost[TargetID],tblCost[[#This Row],[TargetID]],tblCost[PlayerPaid],TRUE)</f>
        <v>0</v>
      </c>
      <c r="K612" s="41">
        <f>tblCost[[#This Row],[TargetRequirements]]-tblCost[[#This Row],[CompletedRequirements]]</f>
        <v>5</v>
      </c>
      <c r="L612" s="41" t="b">
        <f>tblCost[[#This Row],[RemainingRequirements]]=0</f>
        <v>0</v>
      </c>
      <c r="M612" s="43">
        <f>IF(tblCost[[#This Row],[TargetRequirements]]=0,0,tblCost[[#This Row],[CompletedRequirements]]/tblCost[[#This Row],[TargetRequirements]])</f>
        <v>0</v>
      </c>
    </row>
    <row r="613" spans="1:13">
      <c r="A613" s="41" t="s">
        <v>4261</v>
      </c>
      <c r="B613" s="41" t="str">
        <f>_xlfn.TEXTAFTER(_xlfn.TEXTBEFORE(tblCost[[#This Row],[RequirementID]],".",-2),"cost.")</f>
        <v>building.workshop@5</v>
      </c>
      <c r="C613" s="41" t="str">
        <f>_xlfn.XLOOKUP(tblCost[[#This Row],[TargetID]],tblTargets[TargetID],tblTargets[DisplayName],"")</f>
        <v>Workshop Lv 5</v>
      </c>
      <c r="D613" s="41" t="str">
        <f>_xlfn.XLOOKUP(tblCost[[#This Row],[TargetID]],tblTargets[TargetID],tblTargets[TargetType],"")</f>
        <v>BUILDING</v>
      </c>
      <c r="E613" s="41" t="s">
        <v>716</v>
      </c>
      <c r="F613" s="62" t="str">
        <f>RIGHT(tblCost[[#This Row],[RequirementID]],1)</f>
        <v>1</v>
      </c>
      <c r="G613" s="41">
        <v>40</v>
      </c>
      <c r="H613" t="b">
        <f>COUNTIFS(tblCostChecklist[RequirementID],tblCost[[#This Row],[RequirementID]],tblCostChecklist[PlayerPaid],TRUE)&gt;0</f>
        <v>0</v>
      </c>
      <c r="I613" s="41">
        <f>COUNTIF(tblCost[TargetID],tblCost[[#This Row],[TargetID]])</f>
        <v>5</v>
      </c>
      <c r="J613" s="41">
        <f>COUNTIFS(tblCost[TargetID],tblCost[[#This Row],[TargetID]],tblCost[PlayerPaid],TRUE)</f>
        <v>0</v>
      </c>
      <c r="K613" s="41">
        <f>tblCost[[#This Row],[TargetRequirements]]-tblCost[[#This Row],[CompletedRequirements]]</f>
        <v>5</v>
      </c>
      <c r="L613" s="41" t="b">
        <f>tblCost[[#This Row],[RemainingRequirements]]=0</f>
        <v>0</v>
      </c>
      <c r="M613" s="43">
        <f>IF(tblCost[[#This Row],[TargetRequirements]]=0,0,tblCost[[#This Row],[CompletedRequirements]]/tblCost[[#This Row],[TargetRequirements]])</f>
        <v>0</v>
      </c>
    </row>
    <row r="614" spans="1:13">
      <c r="A614" s="41" t="s">
        <v>4262</v>
      </c>
      <c r="B614" s="41" t="str">
        <f>_xlfn.TEXTAFTER(_xlfn.TEXTBEFORE(tblCost[[#This Row],[RequirementID]],".",-2),"cost.")</f>
        <v>tech.airship.titanium_longerons</v>
      </c>
      <c r="C614" s="41" t="str">
        <f>_xlfn.XLOOKUP(tblCost[[#This Row],[TargetID]],tblTargets[TargetID],tblTargets[DisplayName],"")</f>
        <v>Airship - Titanium Longerons</v>
      </c>
      <c r="D614" s="41" t="str">
        <f>_xlfn.XLOOKUP(tblCost[[#This Row],[TargetID]],tblTargets[TargetID],tblTargets[TargetType],"")</f>
        <v>TECH</v>
      </c>
      <c r="E614" s="41" t="s">
        <v>655</v>
      </c>
      <c r="F614" s="62" t="str">
        <f>RIGHT(tblCost[[#This Row],[RequirementID]],1)</f>
        <v>1</v>
      </c>
      <c r="G614" s="41">
        <v>10</v>
      </c>
      <c r="H614" t="b">
        <f>COUNTIFS(tblCostChecklist[RequirementID],tblCost[[#This Row],[RequirementID]],tblCostChecklist[PlayerPaid],TRUE)&gt;0</f>
        <v>0</v>
      </c>
      <c r="I614" s="41">
        <f>COUNTIF(tblCost[TargetID],tblCost[[#This Row],[TargetID]])</f>
        <v>6</v>
      </c>
      <c r="J614" s="41">
        <f>COUNTIFS(tblCost[TargetID],tblCost[[#This Row],[TargetID]],tblCost[PlayerPaid],TRUE)</f>
        <v>0</v>
      </c>
      <c r="K614" s="41">
        <f>tblCost[[#This Row],[TargetRequirements]]-tblCost[[#This Row],[CompletedRequirements]]</f>
        <v>6</v>
      </c>
      <c r="L614" s="41" t="b">
        <f>tblCost[[#This Row],[RemainingRequirements]]=0</f>
        <v>0</v>
      </c>
      <c r="M614" s="43">
        <f>IF(tblCost[[#This Row],[TargetRequirements]]=0,0,tblCost[[#This Row],[CompletedRequirements]]/tblCost[[#This Row],[TargetRequirements]])</f>
        <v>0</v>
      </c>
    </row>
    <row r="615" spans="1:13">
      <c r="A615" s="41" t="s">
        <v>4263</v>
      </c>
      <c r="B615" s="41" t="str">
        <f>_xlfn.TEXTAFTER(_xlfn.TEXTBEFORE(tblCost[[#This Row],[RequirementID]],".",-2),"cost.")</f>
        <v>tech.airship.titanium_longerons</v>
      </c>
      <c r="C615" s="41" t="str">
        <f>_xlfn.XLOOKUP(tblCost[[#This Row],[TargetID]],tblTargets[TargetID],tblTargets[DisplayName],"")</f>
        <v>Airship - Titanium Longerons</v>
      </c>
      <c r="D615" s="41" t="str">
        <f>_xlfn.XLOOKUP(tblCost[[#This Row],[TargetID]],tblTargets[TargetID],tblTargets[TargetType],"")</f>
        <v>TECH</v>
      </c>
      <c r="E615" s="41" t="s">
        <v>662</v>
      </c>
      <c r="F615" s="62" t="str">
        <f>RIGHT(tblCost[[#This Row],[RequirementID]],1)</f>
        <v>1</v>
      </c>
      <c r="G615" s="41">
        <v>30</v>
      </c>
      <c r="H615" t="b">
        <f>COUNTIFS(tblCostChecklist[RequirementID],tblCost[[#This Row],[RequirementID]],tblCostChecklist[PlayerPaid],TRUE)&gt;0</f>
        <v>0</v>
      </c>
      <c r="I615" s="41">
        <f>COUNTIF(tblCost[TargetID],tblCost[[#This Row],[TargetID]])</f>
        <v>6</v>
      </c>
      <c r="J615" s="41">
        <f>COUNTIFS(tblCost[TargetID],tblCost[[#This Row],[TargetID]],tblCost[PlayerPaid],TRUE)</f>
        <v>0</v>
      </c>
      <c r="K615" s="41">
        <f>tblCost[[#This Row],[TargetRequirements]]-tblCost[[#This Row],[CompletedRequirements]]</f>
        <v>6</v>
      </c>
      <c r="L615" s="41" t="b">
        <f>tblCost[[#This Row],[RemainingRequirements]]=0</f>
        <v>0</v>
      </c>
      <c r="M615" s="43">
        <f>IF(tblCost[[#This Row],[TargetRequirements]]=0,0,tblCost[[#This Row],[CompletedRequirements]]/tblCost[[#This Row],[TargetRequirements]])</f>
        <v>0</v>
      </c>
    </row>
    <row r="616" spans="1:13">
      <c r="A616" s="41" t="s">
        <v>4264</v>
      </c>
      <c r="B616" s="41" t="str">
        <f>_xlfn.TEXTAFTER(_xlfn.TEXTBEFORE(tblCost[[#This Row],[RequirementID]],".",-2),"cost.")</f>
        <v>tech.airship.titanium_longerons</v>
      </c>
      <c r="C616" s="41" t="str">
        <f>_xlfn.XLOOKUP(tblCost[[#This Row],[TargetID]],tblTargets[TargetID],tblTargets[DisplayName],"")</f>
        <v>Airship - Titanium Longerons</v>
      </c>
      <c r="D616" s="41" t="str">
        <f>_xlfn.XLOOKUP(tblCost[[#This Row],[TargetID]],tblTargets[TargetID],tblTargets[TargetType],"")</f>
        <v>TECH</v>
      </c>
      <c r="E616" s="41" t="s">
        <v>666</v>
      </c>
      <c r="F616" s="62" t="str">
        <f>RIGHT(tblCost[[#This Row],[RequirementID]],1)</f>
        <v>1</v>
      </c>
      <c r="G616" s="41">
        <v>1000</v>
      </c>
      <c r="H616" t="b">
        <f>COUNTIFS(tblCostChecklist[RequirementID],tblCost[[#This Row],[RequirementID]],tblCostChecklist[PlayerPaid],TRUE)&gt;0</f>
        <v>0</v>
      </c>
      <c r="I616" s="41">
        <f>COUNTIF(tblCost[TargetID],tblCost[[#This Row],[TargetID]])</f>
        <v>6</v>
      </c>
      <c r="J616" s="41">
        <f>COUNTIFS(tblCost[TargetID],tblCost[[#This Row],[TargetID]],tblCost[PlayerPaid],TRUE)</f>
        <v>0</v>
      </c>
      <c r="K616" s="41">
        <f>tblCost[[#This Row],[TargetRequirements]]-tblCost[[#This Row],[CompletedRequirements]]</f>
        <v>6</v>
      </c>
      <c r="L616" s="41" t="b">
        <f>tblCost[[#This Row],[RemainingRequirements]]=0</f>
        <v>0</v>
      </c>
      <c r="M616" s="43">
        <f>IF(tblCost[[#This Row],[TargetRequirements]]=0,0,tblCost[[#This Row],[CompletedRequirements]]/tblCost[[#This Row],[TargetRequirements]])</f>
        <v>0</v>
      </c>
    </row>
    <row r="617" spans="1:13">
      <c r="A617" s="41" t="s">
        <v>4265</v>
      </c>
      <c r="B617" s="41" t="str">
        <f>_xlfn.TEXTAFTER(_xlfn.TEXTBEFORE(tblCost[[#This Row],[RequirementID]],".",-2),"cost.")</f>
        <v>tech.airship.titanium_longerons</v>
      </c>
      <c r="C617" s="41" t="str">
        <f>_xlfn.XLOOKUP(tblCost[[#This Row],[TargetID]],tblTargets[TargetID],tblTargets[DisplayName],"")</f>
        <v>Airship - Titanium Longerons</v>
      </c>
      <c r="D617" s="41" t="str">
        <f>_xlfn.XLOOKUP(tblCost[[#This Row],[TargetID]],tblTargets[TargetID],tblTargets[TargetType],"")</f>
        <v>TECH</v>
      </c>
      <c r="E617" s="41" t="s">
        <v>705</v>
      </c>
      <c r="F617" s="62" t="str">
        <f>RIGHT(tblCost[[#This Row],[RequirementID]],1)</f>
        <v>1</v>
      </c>
      <c r="G617" s="41">
        <v>20</v>
      </c>
      <c r="H617" t="b">
        <f>COUNTIFS(tblCostChecklist[RequirementID],tblCost[[#This Row],[RequirementID]],tblCostChecklist[PlayerPaid],TRUE)&gt;0</f>
        <v>0</v>
      </c>
      <c r="I617" s="41">
        <f>COUNTIF(tblCost[TargetID],tblCost[[#This Row],[TargetID]])</f>
        <v>6</v>
      </c>
      <c r="J617" s="41">
        <f>COUNTIFS(tblCost[TargetID],tblCost[[#This Row],[TargetID]],tblCost[PlayerPaid],TRUE)</f>
        <v>0</v>
      </c>
      <c r="K617" s="41">
        <f>tblCost[[#This Row],[TargetRequirements]]-tblCost[[#This Row],[CompletedRequirements]]</f>
        <v>6</v>
      </c>
      <c r="L617" s="41" t="b">
        <f>tblCost[[#This Row],[RemainingRequirements]]=0</f>
        <v>0</v>
      </c>
      <c r="M617" s="43">
        <f>IF(tblCost[[#This Row],[TargetRequirements]]=0,0,tblCost[[#This Row],[CompletedRequirements]]/tblCost[[#This Row],[TargetRequirements]])</f>
        <v>0</v>
      </c>
    </row>
    <row r="618" spans="1:13">
      <c r="A618" s="41" t="s">
        <v>4266</v>
      </c>
      <c r="B618" s="41" t="str">
        <f>_xlfn.TEXTAFTER(_xlfn.TEXTBEFORE(tblCost[[#This Row],[RequirementID]],".",-2),"cost.")</f>
        <v>tech.airship.titanium_longerons</v>
      </c>
      <c r="C618" s="41" t="str">
        <f>_xlfn.XLOOKUP(tblCost[[#This Row],[TargetID]],tblTargets[TargetID],tblTargets[DisplayName],"")</f>
        <v>Airship - Titanium Longerons</v>
      </c>
      <c r="D618" s="41" t="str">
        <f>_xlfn.XLOOKUP(tblCost[[#This Row],[TargetID]],tblTargets[TargetID],tblTargets[TargetType],"")</f>
        <v>TECH</v>
      </c>
      <c r="E618" s="41" t="s">
        <v>708</v>
      </c>
      <c r="F618" s="62" t="str">
        <f>RIGHT(tblCost[[#This Row],[RequirementID]],1)</f>
        <v>1</v>
      </c>
      <c r="G618" s="41">
        <v>5</v>
      </c>
      <c r="H618" t="b">
        <f>COUNTIFS(tblCostChecklist[RequirementID],tblCost[[#This Row],[RequirementID]],tblCostChecklist[PlayerPaid],TRUE)&gt;0</f>
        <v>0</v>
      </c>
      <c r="I618" s="41">
        <f>COUNTIF(tblCost[TargetID],tblCost[[#This Row],[TargetID]])</f>
        <v>6</v>
      </c>
      <c r="J618" s="41">
        <f>COUNTIFS(tblCost[TargetID],tblCost[[#This Row],[TargetID]],tblCost[PlayerPaid],TRUE)</f>
        <v>0</v>
      </c>
      <c r="K618" s="41">
        <f>tblCost[[#This Row],[TargetRequirements]]-tblCost[[#This Row],[CompletedRequirements]]</f>
        <v>6</v>
      </c>
      <c r="L618" s="41" t="b">
        <f>tblCost[[#This Row],[RemainingRequirements]]=0</f>
        <v>0</v>
      </c>
      <c r="M618" s="43">
        <f>IF(tblCost[[#This Row],[TargetRequirements]]=0,0,tblCost[[#This Row],[CompletedRequirements]]/tblCost[[#This Row],[TargetRequirements]])</f>
        <v>0</v>
      </c>
    </row>
    <row r="619" spans="1:13">
      <c r="A619" s="41" t="s">
        <v>4267</v>
      </c>
      <c r="B619" s="41" t="str">
        <f>_xlfn.TEXTAFTER(_xlfn.TEXTBEFORE(tblCost[[#This Row],[RequirementID]],".",-2),"cost.")</f>
        <v>tech.airship.titanium_longerons</v>
      </c>
      <c r="C619" s="41" t="str">
        <f>_xlfn.XLOOKUP(tblCost[[#This Row],[TargetID]],tblTargets[TargetID],tblTargets[DisplayName],"")</f>
        <v>Airship - Titanium Longerons</v>
      </c>
      <c r="D619" s="41" t="str">
        <f>_xlfn.XLOOKUP(tblCost[[#This Row],[TargetID]],tblTargets[TargetID],tblTargets[TargetType],"")</f>
        <v>TECH</v>
      </c>
      <c r="E619" s="41" t="s">
        <v>955</v>
      </c>
      <c r="F619" s="62" t="str">
        <f>RIGHT(tblCost[[#This Row],[RequirementID]],1)</f>
        <v>1</v>
      </c>
      <c r="G619" s="41">
        <v>30</v>
      </c>
      <c r="H619" t="b">
        <f>COUNTIFS(tblCostChecklist[RequirementID],tblCost[[#This Row],[RequirementID]],tblCostChecklist[PlayerPaid],TRUE)&gt;0</f>
        <v>0</v>
      </c>
      <c r="I619" s="41">
        <f>COUNTIF(tblCost[TargetID],tblCost[[#This Row],[TargetID]])</f>
        <v>6</v>
      </c>
      <c r="J619" s="41">
        <f>COUNTIFS(tblCost[TargetID],tblCost[[#This Row],[TargetID]],tblCost[PlayerPaid],TRUE)</f>
        <v>0</v>
      </c>
      <c r="K619" s="41">
        <f>tblCost[[#This Row],[TargetRequirements]]-tblCost[[#This Row],[CompletedRequirements]]</f>
        <v>6</v>
      </c>
      <c r="L619" s="41" t="b">
        <f>tblCost[[#This Row],[RemainingRequirements]]=0</f>
        <v>0</v>
      </c>
      <c r="M619" s="43">
        <f>IF(tblCost[[#This Row],[TargetRequirements]]=0,0,tblCost[[#This Row],[CompletedRequirements]]/tblCost[[#This Row],[TargetRequirements]])</f>
        <v>0</v>
      </c>
    </row>
    <row r="620" spans="1:13">
      <c r="A620" s="41" t="s">
        <v>4268</v>
      </c>
      <c r="B620" s="41" t="str">
        <f>_xlfn.TEXTAFTER(_xlfn.TEXTBEFORE(tblCost[[#This Row],[RequirementID]],".",-2),"cost.")</f>
        <v>tech.alchemists_hut.greek_grenade</v>
      </c>
      <c r="C620" s="41" t="str">
        <f>_xlfn.XLOOKUP(tblCost[[#This Row],[TargetID]],tblTargets[TargetID],tblTargets[DisplayName],"")</f>
        <v>Alchemists Hut - Greek Grenade</v>
      </c>
      <c r="D620" s="41" t="str">
        <f>_xlfn.XLOOKUP(tblCost[[#This Row],[TargetID]],tblTargets[TargetID],tblTargets[TargetType],"")</f>
        <v>TECH</v>
      </c>
      <c r="E620" s="41" t="s">
        <v>664</v>
      </c>
      <c r="F620" s="62" t="str">
        <f>RIGHT(tblCost[[#This Row],[RequirementID]],1)</f>
        <v>1</v>
      </c>
      <c r="G620" s="41">
        <v>40</v>
      </c>
      <c r="H620" t="b">
        <f>COUNTIFS(tblCostChecklist[RequirementID],tblCost[[#This Row],[RequirementID]],tblCostChecklist[PlayerPaid],TRUE)&gt;0</f>
        <v>0</v>
      </c>
      <c r="I620" s="41">
        <f>COUNTIF(tblCost[TargetID],tblCost[[#This Row],[TargetID]])</f>
        <v>6</v>
      </c>
      <c r="J620" s="41">
        <f>COUNTIFS(tblCost[TargetID],tblCost[[#This Row],[TargetID]],tblCost[PlayerPaid],TRUE)</f>
        <v>0</v>
      </c>
      <c r="K620" s="41">
        <f>tblCost[[#This Row],[TargetRequirements]]-tblCost[[#This Row],[CompletedRequirements]]</f>
        <v>6</v>
      </c>
      <c r="L620" s="41" t="b">
        <f>tblCost[[#This Row],[RemainingRequirements]]=0</f>
        <v>0</v>
      </c>
      <c r="M620" s="43">
        <f>IF(tblCost[[#This Row],[TargetRequirements]]=0,0,tblCost[[#This Row],[CompletedRequirements]]/tblCost[[#This Row],[TargetRequirements]])</f>
        <v>0</v>
      </c>
    </row>
    <row r="621" spans="1:13">
      <c r="A621" s="41" t="s">
        <v>4269</v>
      </c>
      <c r="B621" s="41" t="str">
        <f>_xlfn.TEXTAFTER(_xlfn.TEXTBEFORE(tblCost[[#This Row],[RequirementID]],".",-2),"cost.")</f>
        <v>tech.alchemists_hut.greek_grenade</v>
      </c>
      <c r="C621" s="41" t="str">
        <f>_xlfn.XLOOKUP(tblCost[[#This Row],[TargetID]],tblTargets[TargetID],tblTargets[DisplayName],"")</f>
        <v>Alchemists Hut - Greek Grenade</v>
      </c>
      <c r="D621" s="41" t="str">
        <f>_xlfn.XLOOKUP(tblCost[[#This Row],[TargetID]],tblTargets[TargetID],tblTargets[TargetType],"")</f>
        <v>TECH</v>
      </c>
      <c r="E621" s="41" t="s">
        <v>666</v>
      </c>
      <c r="F621" s="62" t="str">
        <f>RIGHT(tblCost[[#This Row],[RequirementID]],1)</f>
        <v>1</v>
      </c>
      <c r="G621" s="41">
        <v>300</v>
      </c>
      <c r="H621" t="b">
        <f>COUNTIFS(tblCostChecklist[RequirementID],tblCost[[#This Row],[RequirementID]],tblCostChecklist[PlayerPaid],TRUE)&gt;0</f>
        <v>0</v>
      </c>
      <c r="I621" s="41">
        <f>COUNTIF(tblCost[TargetID],tblCost[[#This Row],[TargetID]])</f>
        <v>6</v>
      </c>
      <c r="J621" s="41">
        <f>COUNTIFS(tblCost[TargetID],tblCost[[#This Row],[TargetID]],tblCost[PlayerPaid],TRUE)</f>
        <v>0</v>
      </c>
      <c r="K621" s="41">
        <f>tblCost[[#This Row],[TargetRequirements]]-tblCost[[#This Row],[CompletedRequirements]]</f>
        <v>6</v>
      </c>
      <c r="L621" s="41" t="b">
        <f>tblCost[[#This Row],[RemainingRequirements]]=0</f>
        <v>0</v>
      </c>
      <c r="M621" s="43">
        <f>IF(tblCost[[#This Row],[TargetRequirements]]=0,0,tblCost[[#This Row],[CompletedRequirements]]/tblCost[[#This Row],[TargetRequirements]])</f>
        <v>0</v>
      </c>
    </row>
    <row r="622" spans="1:13">
      <c r="A622" s="41" t="s">
        <v>4270</v>
      </c>
      <c r="B622" s="41" t="str">
        <f>_xlfn.TEXTAFTER(_xlfn.TEXTBEFORE(tblCost[[#This Row],[RequirementID]],".",-2),"cost.")</f>
        <v>tech.alchemists_hut.greek_grenade</v>
      </c>
      <c r="C622" s="41" t="str">
        <f>_xlfn.XLOOKUP(tblCost[[#This Row],[TargetID]],tblTargets[TargetID],tblTargets[DisplayName],"")</f>
        <v>Alchemists Hut - Greek Grenade</v>
      </c>
      <c r="D622" s="41" t="str">
        <f>_xlfn.XLOOKUP(tblCost[[#This Row],[TargetID]],tblTargets[TargetID],tblTargets[TargetType],"")</f>
        <v>TECH</v>
      </c>
      <c r="E622" s="41" t="s">
        <v>674</v>
      </c>
      <c r="F622" s="62" t="str">
        <f>RIGHT(tblCost[[#This Row],[RequirementID]],1)</f>
        <v>1</v>
      </c>
      <c r="G622" s="41">
        <v>10</v>
      </c>
      <c r="H622" t="b">
        <f>COUNTIFS(tblCostChecklist[RequirementID],tblCost[[#This Row],[RequirementID]],tblCostChecklist[PlayerPaid],TRUE)&gt;0</f>
        <v>0</v>
      </c>
      <c r="I622" s="41">
        <f>COUNTIF(tblCost[TargetID],tblCost[[#This Row],[TargetID]])</f>
        <v>6</v>
      </c>
      <c r="J622" s="41">
        <f>COUNTIFS(tblCost[TargetID],tblCost[[#This Row],[TargetID]],tblCost[PlayerPaid],TRUE)</f>
        <v>0</v>
      </c>
      <c r="K622" s="41">
        <f>tblCost[[#This Row],[TargetRequirements]]-tblCost[[#This Row],[CompletedRequirements]]</f>
        <v>6</v>
      </c>
      <c r="L622" s="41" t="b">
        <f>tblCost[[#This Row],[RemainingRequirements]]=0</f>
        <v>0</v>
      </c>
      <c r="M622" s="43">
        <f>IF(tblCost[[#This Row],[TargetRequirements]]=0,0,tblCost[[#This Row],[CompletedRequirements]]/tblCost[[#This Row],[TargetRequirements]])</f>
        <v>0</v>
      </c>
    </row>
    <row r="623" spans="1:13">
      <c r="A623" s="41" t="s">
        <v>4271</v>
      </c>
      <c r="B623" s="41" t="str">
        <f>_xlfn.TEXTAFTER(_xlfn.TEXTBEFORE(tblCost[[#This Row],[RequirementID]],".",-2),"cost.")</f>
        <v>tech.alchemists_hut.greek_grenade</v>
      </c>
      <c r="C623" s="41" t="str">
        <f>_xlfn.XLOOKUP(tblCost[[#This Row],[TargetID]],tblTargets[TargetID],tblTargets[DisplayName],"")</f>
        <v>Alchemists Hut - Greek Grenade</v>
      </c>
      <c r="D623" s="41" t="str">
        <f>_xlfn.XLOOKUP(tblCost[[#This Row],[TargetID]],tblTargets[TargetID],tblTargets[TargetType],"")</f>
        <v>TECH</v>
      </c>
      <c r="E623" s="41" t="s">
        <v>695</v>
      </c>
      <c r="F623" s="62" t="str">
        <f>RIGHT(tblCost[[#This Row],[RequirementID]],1)</f>
        <v>1</v>
      </c>
      <c r="G623" s="41">
        <v>10</v>
      </c>
      <c r="H623" t="b">
        <f>COUNTIFS(tblCostChecklist[RequirementID],tblCost[[#This Row],[RequirementID]],tblCostChecklist[PlayerPaid],TRUE)&gt;0</f>
        <v>0</v>
      </c>
      <c r="I623" s="41">
        <f>COUNTIF(tblCost[TargetID],tblCost[[#This Row],[TargetID]])</f>
        <v>6</v>
      </c>
      <c r="J623" s="41">
        <f>COUNTIFS(tblCost[TargetID],tblCost[[#This Row],[TargetID]],tblCost[PlayerPaid],TRUE)</f>
        <v>0</v>
      </c>
      <c r="K623" s="41">
        <f>tblCost[[#This Row],[TargetRequirements]]-tblCost[[#This Row],[CompletedRequirements]]</f>
        <v>6</v>
      </c>
      <c r="L623" s="41" t="b">
        <f>tblCost[[#This Row],[RemainingRequirements]]=0</f>
        <v>0</v>
      </c>
      <c r="M623" s="43">
        <f>IF(tblCost[[#This Row],[TargetRequirements]]=0,0,tblCost[[#This Row],[CompletedRequirements]]/tblCost[[#This Row],[TargetRequirements]])</f>
        <v>0</v>
      </c>
    </row>
    <row r="624" spans="1:13">
      <c r="A624" s="41" t="s">
        <v>4272</v>
      </c>
      <c r="B624" s="41" t="str">
        <f>_xlfn.TEXTAFTER(_xlfn.TEXTBEFORE(tblCost[[#This Row],[RequirementID]],".",-2),"cost.")</f>
        <v>tech.alchemists_hut.greek_grenade</v>
      </c>
      <c r="C624" s="41" t="str">
        <f>_xlfn.XLOOKUP(tblCost[[#This Row],[TargetID]],tblTargets[TargetID],tblTargets[DisplayName],"")</f>
        <v>Alchemists Hut - Greek Grenade</v>
      </c>
      <c r="D624" s="41" t="str">
        <f>_xlfn.XLOOKUP(tblCost[[#This Row],[TargetID]],tblTargets[TargetID],tblTargets[TargetType],"")</f>
        <v>TECH</v>
      </c>
      <c r="E624" s="41" t="s">
        <v>696</v>
      </c>
      <c r="F624" s="62" t="str">
        <f>RIGHT(tblCost[[#This Row],[RequirementID]],1)</f>
        <v>1</v>
      </c>
      <c r="G624" s="41">
        <v>20</v>
      </c>
      <c r="H624" t="b">
        <f>COUNTIFS(tblCostChecklist[RequirementID],tblCost[[#This Row],[RequirementID]],tblCostChecklist[PlayerPaid],TRUE)&gt;0</f>
        <v>0</v>
      </c>
      <c r="I624" s="41">
        <f>COUNTIF(tblCost[TargetID],tblCost[[#This Row],[TargetID]])</f>
        <v>6</v>
      </c>
      <c r="J624" s="41">
        <f>COUNTIFS(tblCost[TargetID],tblCost[[#This Row],[TargetID]],tblCost[PlayerPaid],TRUE)</f>
        <v>0</v>
      </c>
      <c r="K624" s="41">
        <f>tblCost[[#This Row],[TargetRequirements]]-tblCost[[#This Row],[CompletedRequirements]]</f>
        <v>6</v>
      </c>
      <c r="L624" s="41" t="b">
        <f>tblCost[[#This Row],[RemainingRequirements]]=0</f>
        <v>0</v>
      </c>
      <c r="M624" s="43">
        <f>IF(tblCost[[#This Row],[TargetRequirements]]=0,0,tblCost[[#This Row],[CompletedRequirements]]/tblCost[[#This Row],[TargetRequirements]])</f>
        <v>0</v>
      </c>
    </row>
    <row r="625" spans="1:13">
      <c r="A625" s="41" t="s">
        <v>4273</v>
      </c>
      <c r="B625" s="41" t="str">
        <f>_xlfn.TEXTAFTER(_xlfn.TEXTBEFORE(tblCost[[#This Row],[RequirementID]],".",-2),"cost.")</f>
        <v>tech.alchemists_hut.greek_grenade</v>
      </c>
      <c r="C625" s="41" t="str">
        <f>_xlfn.XLOOKUP(tblCost[[#This Row],[TargetID]],tblTargets[TargetID],tblTargets[DisplayName],"")</f>
        <v>Alchemists Hut - Greek Grenade</v>
      </c>
      <c r="D625" s="41" t="str">
        <f>_xlfn.XLOOKUP(tblCost[[#This Row],[TargetID]],tblTargets[TargetID],tblTargets[TargetType],"")</f>
        <v>TECH</v>
      </c>
      <c r="E625" s="41" t="s">
        <v>708</v>
      </c>
      <c r="F625" s="62" t="str">
        <f>RIGHT(tblCost[[#This Row],[RequirementID]],1)</f>
        <v>1</v>
      </c>
      <c r="G625" s="41">
        <v>1</v>
      </c>
      <c r="H625" t="b">
        <f>COUNTIFS(tblCostChecklist[RequirementID],tblCost[[#This Row],[RequirementID]],tblCostChecklist[PlayerPaid],TRUE)&gt;0</f>
        <v>0</v>
      </c>
      <c r="I625" s="41">
        <f>COUNTIF(tblCost[TargetID],tblCost[[#This Row],[TargetID]])</f>
        <v>6</v>
      </c>
      <c r="J625" s="41">
        <f>COUNTIFS(tblCost[TargetID],tblCost[[#This Row],[TargetID]],tblCost[PlayerPaid],TRUE)</f>
        <v>0</v>
      </c>
      <c r="K625" s="41">
        <f>tblCost[[#This Row],[TargetRequirements]]-tblCost[[#This Row],[CompletedRequirements]]</f>
        <v>6</v>
      </c>
      <c r="L625" s="41" t="b">
        <f>tblCost[[#This Row],[RemainingRequirements]]=0</f>
        <v>0</v>
      </c>
      <c r="M625" s="43">
        <f>IF(tblCost[[#This Row],[TargetRequirements]]=0,0,tblCost[[#This Row],[CompletedRequirements]]/tblCost[[#This Row],[TargetRequirements]])</f>
        <v>0</v>
      </c>
    </row>
    <row r="626" spans="1:13">
      <c r="A626" s="41" t="s">
        <v>4274</v>
      </c>
      <c r="B626" s="41" t="str">
        <f>_xlfn.TEXTAFTER(_xlfn.TEXTBEFORE(tblCost[[#This Row],[RequirementID]],".",-2),"cost.")</f>
        <v>tech.alchemists_hut.synthetic_fertilizer</v>
      </c>
      <c r="C626" s="41" t="str">
        <f>_xlfn.XLOOKUP(tblCost[[#This Row],[TargetID]],tblTargets[TargetID],tblTargets[DisplayName],"")</f>
        <v>Alchemists Hut - Synthetic Fertilizer</v>
      </c>
      <c r="D626" s="41" t="str">
        <f>_xlfn.XLOOKUP(tblCost[[#This Row],[TargetID]],tblTargets[TargetID],tblTargets[TargetType],"")</f>
        <v>TECH</v>
      </c>
      <c r="E626" s="41" t="s">
        <v>662</v>
      </c>
      <c r="F626" s="62" t="str">
        <f>RIGHT(tblCost[[#This Row],[RequirementID]],1)</f>
        <v>1</v>
      </c>
      <c r="G626" s="41">
        <v>15</v>
      </c>
      <c r="H626" t="b">
        <f>COUNTIFS(tblCostChecklist[RequirementID],tblCost[[#This Row],[RequirementID]],tblCostChecklist[PlayerPaid],TRUE)&gt;0</f>
        <v>0</v>
      </c>
      <c r="I626" s="41">
        <f>COUNTIF(tblCost[TargetID],tblCost[[#This Row],[TargetID]])</f>
        <v>6</v>
      </c>
      <c r="J626" s="41">
        <f>COUNTIFS(tblCost[TargetID],tblCost[[#This Row],[TargetID]],tblCost[PlayerPaid],TRUE)</f>
        <v>0</v>
      </c>
      <c r="K626" s="41">
        <f>tblCost[[#This Row],[TargetRequirements]]-tblCost[[#This Row],[CompletedRequirements]]</f>
        <v>6</v>
      </c>
      <c r="L626" s="41" t="b">
        <f>tblCost[[#This Row],[RemainingRequirements]]=0</f>
        <v>0</v>
      </c>
      <c r="M626" s="43">
        <f>IF(tblCost[[#This Row],[TargetRequirements]]=0,0,tblCost[[#This Row],[CompletedRequirements]]/tblCost[[#This Row],[TargetRequirements]])</f>
        <v>0</v>
      </c>
    </row>
    <row r="627" spans="1:13">
      <c r="A627" s="41" t="s">
        <v>4275</v>
      </c>
      <c r="B627" s="41" t="str">
        <f>_xlfn.TEXTAFTER(_xlfn.TEXTBEFORE(tblCost[[#This Row],[RequirementID]],".",-2),"cost.")</f>
        <v>tech.alchemists_hut.synthetic_fertilizer</v>
      </c>
      <c r="C627" s="41" t="str">
        <f>_xlfn.XLOOKUP(tblCost[[#This Row],[TargetID]],tblTargets[TargetID],tblTargets[DisplayName],"")</f>
        <v>Alchemists Hut - Synthetic Fertilizer</v>
      </c>
      <c r="D627" s="41" t="str">
        <f>_xlfn.XLOOKUP(tblCost[[#This Row],[TargetID]],tblTargets[TargetID],tblTargets[TargetType],"")</f>
        <v>TECH</v>
      </c>
      <c r="E627" s="41" t="s">
        <v>663</v>
      </c>
      <c r="F627" s="62" t="str">
        <f>RIGHT(tblCost[[#This Row],[RequirementID]],1)</f>
        <v>1</v>
      </c>
      <c r="G627" s="41">
        <v>100</v>
      </c>
      <c r="H627" t="b">
        <f>COUNTIFS(tblCostChecklist[RequirementID],tblCost[[#This Row],[RequirementID]],tblCostChecklist[PlayerPaid],TRUE)&gt;0</f>
        <v>0</v>
      </c>
      <c r="I627" s="41">
        <f>COUNTIF(tblCost[TargetID],tblCost[[#This Row],[TargetID]])</f>
        <v>6</v>
      </c>
      <c r="J627" s="41">
        <f>COUNTIFS(tblCost[TargetID],tblCost[[#This Row],[TargetID]],tblCost[PlayerPaid],TRUE)</f>
        <v>0</v>
      </c>
      <c r="K627" s="41">
        <f>tblCost[[#This Row],[TargetRequirements]]-tblCost[[#This Row],[CompletedRequirements]]</f>
        <v>6</v>
      </c>
      <c r="L627" s="41" t="b">
        <f>tblCost[[#This Row],[RemainingRequirements]]=0</f>
        <v>0</v>
      </c>
      <c r="M627" s="43">
        <f>IF(tblCost[[#This Row],[TargetRequirements]]=0,0,tblCost[[#This Row],[CompletedRequirements]]/tblCost[[#This Row],[TargetRequirements]])</f>
        <v>0</v>
      </c>
    </row>
    <row r="628" spans="1:13">
      <c r="A628" s="41" t="s">
        <v>4276</v>
      </c>
      <c r="B628" s="41" t="str">
        <f>_xlfn.TEXTAFTER(_xlfn.TEXTBEFORE(tblCost[[#This Row],[RequirementID]],".",-2),"cost.")</f>
        <v>tech.alchemists_hut.synthetic_fertilizer</v>
      </c>
      <c r="C628" s="41" t="str">
        <f>_xlfn.XLOOKUP(tblCost[[#This Row],[TargetID]],tblTargets[TargetID],tblTargets[DisplayName],"")</f>
        <v>Alchemists Hut - Synthetic Fertilizer</v>
      </c>
      <c r="D628" s="41" t="str">
        <f>_xlfn.XLOOKUP(tblCost[[#This Row],[TargetID]],tblTargets[TargetID],tblTargets[TargetType],"")</f>
        <v>TECH</v>
      </c>
      <c r="E628" s="41" t="s">
        <v>664</v>
      </c>
      <c r="F628" s="62" t="str">
        <f>RIGHT(tblCost[[#This Row],[RequirementID]],1)</f>
        <v>1</v>
      </c>
      <c r="G628" s="41">
        <v>50</v>
      </c>
      <c r="H628" t="b">
        <f>COUNTIFS(tblCostChecklist[RequirementID],tblCost[[#This Row],[RequirementID]],tblCostChecklist[PlayerPaid],TRUE)&gt;0</f>
        <v>0</v>
      </c>
      <c r="I628" s="41">
        <f>COUNTIF(tblCost[TargetID],tblCost[[#This Row],[TargetID]])</f>
        <v>6</v>
      </c>
      <c r="J628" s="41">
        <f>COUNTIFS(tblCost[TargetID],tblCost[[#This Row],[TargetID]],tblCost[PlayerPaid],TRUE)</f>
        <v>0</v>
      </c>
      <c r="K628" s="41">
        <f>tblCost[[#This Row],[TargetRequirements]]-tblCost[[#This Row],[CompletedRequirements]]</f>
        <v>6</v>
      </c>
      <c r="L628" s="41" t="b">
        <f>tblCost[[#This Row],[RemainingRequirements]]=0</f>
        <v>0</v>
      </c>
      <c r="M628" s="43">
        <f>IF(tblCost[[#This Row],[TargetRequirements]]=0,0,tblCost[[#This Row],[CompletedRequirements]]/tblCost[[#This Row],[TargetRequirements]])</f>
        <v>0</v>
      </c>
    </row>
    <row r="629" spans="1:13">
      <c r="A629" s="41" t="s">
        <v>4277</v>
      </c>
      <c r="B629" s="41" t="str">
        <f>_xlfn.TEXTAFTER(_xlfn.TEXTBEFORE(tblCost[[#This Row],[RequirementID]],".",-2),"cost.")</f>
        <v>tech.alchemists_hut.synthetic_fertilizer</v>
      </c>
      <c r="C629" s="41" t="str">
        <f>_xlfn.XLOOKUP(tblCost[[#This Row],[TargetID]],tblTargets[TargetID],tblTargets[DisplayName],"")</f>
        <v>Alchemists Hut - Synthetic Fertilizer</v>
      </c>
      <c r="D629" s="41" t="str">
        <f>_xlfn.XLOOKUP(tblCost[[#This Row],[TargetID]],tblTargets[TargetID],tblTargets[TargetType],"")</f>
        <v>TECH</v>
      </c>
      <c r="E629" s="41" t="s">
        <v>666</v>
      </c>
      <c r="F629" s="62" t="str">
        <f>RIGHT(tblCost[[#This Row],[RequirementID]],1)</f>
        <v>1</v>
      </c>
      <c r="G629" s="41">
        <v>300</v>
      </c>
      <c r="H629" t="b">
        <f>COUNTIFS(tblCostChecklist[RequirementID],tblCost[[#This Row],[RequirementID]],tblCostChecklist[PlayerPaid],TRUE)&gt;0</f>
        <v>0</v>
      </c>
      <c r="I629" s="41">
        <f>COUNTIF(tblCost[TargetID],tblCost[[#This Row],[TargetID]])</f>
        <v>6</v>
      </c>
      <c r="J629" s="41">
        <f>COUNTIFS(tblCost[TargetID],tblCost[[#This Row],[TargetID]],tblCost[PlayerPaid],TRUE)</f>
        <v>0</v>
      </c>
      <c r="K629" s="41">
        <f>tblCost[[#This Row],[TargetRequirements]]-tblCost[[#This Row],[CompletedRequirements]]</f>
        <v>6</v>
      </c>
      <c r="L629" s="41" t="b">
        <f>tblCost[[#This Row],[RemainingRequirements]]=0</f>
        <v>0</v>
      </c>
      <c r="M629" s="43">
        <f>IF(tblCost[[#This Row],[TargetRequirements]]=0,0,tblCost[[#This Row],[CompletedRequirements]]/tblCost[[#This Row],[TargetRequirements]])</f>
        <v>0</v>
      </c>
    </row>
    <row r="630" spans="1:13">
      <c r="A630" s="41" t="s">
        <v>4278</v>
      </c>
      <c r="B630" s="41" t="str">
        <f>_xlfn.TEXTAFTER(_xlfn.TEXTBEFORE(tblCost[[#This Row],[RequirementID]],".",-2),"cost.")</f>
        <v>tech.alchemists_hut.synthetic_fertilizer</v>
      </c>
      <c r="C630" s="41" t="str">
        <f>_xlfn.XLOOKUP(tblCost[[#This Row],[TargetID]],tblTargets[TargetID],tblTargets[DisplayName],"")</f>
        <v>Alchemists Hut - Synthetic Fertilizer</v>
      </c>
      <c r="D630" s="41" t="str">
        <f>_xlfn.XLOOKUP(tblCost[[#This Row],[TargetID]],tblTargets[TargetID],tblTargets[TargetType],"")</f>
        <v>TECH</v>
      </c>
      <c r="E630" s="41" t="s">
        <v>705</v>
      </c>
      <c r="F630" s="62" t="str">
        <f>RIGHT(tblCost[[#This Row],[RequirementID]],1)</f>
        <v>1</v>
      </c>
      <c r="G630" s="41">
        <v>10</v>
      </c>
      <c r="H630" t="b">
        <f>COUNTIFS(tblCostChecklist[RequirementID],tblCost[[#This Row],[RequirementID]],tblCostChecklist[PlayerPaid],TRUE)&gt;0</f>
        <v>0</v>
      </c>
      <c r="I630" s="41">
        <f>COUNTIF(tblCost[TargetID],tblCost[[#This Row],[TargetID]])</f>
        <v>6</v>
      </c>
      <c r="J630" s="41">
        <f>COUNTIFS(tblCost[TargetID],tblCost[[#This Row],[TargetID]],tblCost[PlayerPaid],TRUE)</f>
        <v>0</v>
      </c>
      <c r="K630" s="41">
        <f>tblCost[[#This Row],[TargetRequirements]]-tblCost[[#This Row],[CompletedRequirements]]</f>
        <v>6</v>
      </c>
      <c r="L630" s="41" t="b">
        <f>tblCost[[#This Row],[RemainingRequirements]]=0</f>
        <v>0</v>
      </c>
      <c r="M630" s="43">
        <f>IF(tblCost[[#This Row],[TargetRequirements]]=0,0,tblCost[[#This Row],[CompletedRequirements]]/tblCost[[#This Row],[TargetRequirements]])</f>
        <v>0</v>
      </c>
    </row>
    <row r="631" spans="1:13">
      <c r="A631" s="41" t="s">
        <v>4279</v>
      </c>
      <c r="B631" s="41" t="str">
        <f>_xlfn.TEXTAFTER(_xlfn.TEXTBEFORE(tblCost[[#This Row],[RequirementID]],".",-2),"cost.")</f>
        <v>tech.alchemists_hut.synthetic_fertilizer</v>
      </c>
      <c r="C631" s="41" t="str">
        <f>_xlfn.XLOOKUP(tblCost[[#This Row],[TargetID]],tblTargets[TargetID],tblTargets[DisplayName],"")</f>
        <v>Alchemists Hut - Synthetic Fertilizer</v>
      </c>
      <c r="D631" s="41" t="str">
        <f>_xlfn.XLOOKUP(tblCost[[#This Row],[TargetID]],tblTargets[TargetID],tblTargets[TargetType],"")</f>
        <v>TECH</v>
      </c>
      <c r="E631" s="41" t="s">
        <v>708</v>
      </c>
      <c r="F631" s="62" t="str">
        <f>RIGHT(tblCost[[#This Row],[RequirementID]],1)</f>
        <v>1</v>
      </c>
      <c r="G631" s="41">
        <v>1</v>
      </c>
      <c r="H631" t="b">
        <f>COUNTIFS(tblCostChecklist[RequirementID],tblCost[[#This Row],[RequirementID]],tblCostChecklist[PlayerPaid],TRUE)&gt;0</f>
        <v>0</v>
      </c>
      <c r="I631" s="41">
        <f>COUNTIF(tblCost[TargetID],tblCost[[#This Row],[TargetID]])</f>
        <v>6</v>
      </c>
      <c r="J631" s="41">
        <f>COUNTIFS(tblCost[TargetID],tblCost[[#This Row],[TargetID]],tblCost[PlayerPaid],TRUE)</f>
        <v>0</v>
      </c>
      <c r="K631" s="41">
        <f>tblCost[[#This Row],[TargetRequirements]]-tblCost[[#This Row],[CompletedRequirements]]</f>
        <v>6</v>
      </c>
      <c r="L631" s="41" t="b">
        <f>tblCost[[#This Row],[RemainingRequirements]]=0</f>
        <v>0</v>
      </c>
      <c r="M631" s="43">
        <f>IF(tblCost[[#This Row],[TargetRequirements]]=0,0,tblCost[[#This Row],[CompletedRequirements]]/tblCost[[#This Row],[TargetRequirements]])</f>
        <v>0</v>
      </c>
    </row>
    <row r="632" spans="1:13">
      <c r="A632" s="41" t="s">
        <v>4280</v>
      </c>
      <c r="B632" s="41" t="str">
        <f>_xlfn.TEXTAFTER(_xlfn.TEXTBEFORE(tblCost[[#This Row],[RequirementID]],".",-2),"cost.")</f>
        <v>tech.alchemists_hut.balm</v>
      </c>
      <c r="C632" s="41" t="str">
        <f>_xlfn.XLOOKUP(tblCost[[#This Row],[TargetID]],tblTargets[TargetID],tblTargets[DisplayName],"")</f>
        <v>Alchemists Hut - Balm</v>
      </c>
      <c r="D632" s="41" t="str">
        <f>_xlfn.XLOOKUP(tblCost[[#This Row],[TargetID]],tblTargets[TargetID],tblTargets[TargetType],"")</f>
        <v>TECH</v>
      </c>
      <c r="E632" s="41" t="s">
        <v>929</v>
      </c>
      <c r="F632" s="62" t="str">
        <f>RIGHT(tblCost[[#This Row],[RequirementID]],1)</f>
        <v>1</v>
      </c>
      <c r="G632" s="41">
        <v>9</v>
      </c>
      <c r="H632" t="b">
        <f>COUNTIFS(tblCostChecklist[RequirementID],tblCost[[#This Row],[RequirementID]],tblCostChecklist[PlayerPaid],TRUE)&gt;0</f>
        <v>0</v>
      </c>
      <c r="I632" s="41">
        <f>COUNTIF(tblCost[TargetID],tblCost[[#This Row],[TargetID]])</f>
        <v>7</v>
      </c>
      <c r="J632" s="41">
        <f>COUNTIFS(tblCost[TargetID],tblCost[[#This Row],[TargetID]],tblCost[PlayerPaid],TRUE)</f>
        <v>0</v>
      </c>
      <c r="K632" s="41">
        <f>tblCost[[#This Row],[TargetRequirements]]-tblCost[[#This Row],[CompletedRequirements]]</f>
        <v>7</v>
      </c>
      <c r="L632" s="41" t="b">
        <f>tblCost[[#This Row],[RemainingRequirements]]=0</f>
        <v>0</v>
      </c>
      <c r="M632" s="43">
        <f>IF(tblCost[[#This Row],[TargetRequirements]]=0,0,tblCost[[#This Row],[CompletedRequirements]]/tblCost[[#This Row],[TargetRequirements]])</f>
        <v>0</v>
      </c>
    </row>
    <row r="633" spans="1:13">
      <c r="A633" s="41" t="s">
        <v>4281</v>
      </c>
      <c r="B633" s="41" t="str">
        <f>_xlfn.TEXTAFTER(_xlfn.TEXTBEFORE(tblCost[[#This Row],[RequirementID]],".",-2),"cost.")</f>
        <v>tech.alchemists_hut.balm</v>
      </c>
      <c r="C633" s="41" t="str">
        <f>_xlfn.XLOOKUP(tblCost[[#This Row],[TargetID]],tblTargets[TargetID],tblTargets[DisplayName],"")</f>
        <v>Alchemists Hut - Balm</v>
      </c>
      <c r="D633" s="41" t="str">
        <f>_xlfn.XLOOKUP(tblCost[[#This Row],[TargetID]],tblTargets[TargetID],tblTargets[TargetType],"")</f>
        <v>TECH</v>
      </c>
      <c r="E633" s="41" t="s">
        <v>666</v>
      </c>
      <c r="F633" s="62" t="str">
        <f>RIGHT(tblCost[[#This Row],[RequirementID]],1)</f>
        <v>1</v>
      </c>
      <c r="G633" s="41">
        <v>300</v>
      </c>
      <c r="H633" t="b">
        <f>COUNTIFS(tblCostChecklist[RequirementID],tblCost[[#This Row],[RequirementID]],tblCostChecklist[PlayerPaid],TRUE)&gt;0</f>
        <v>0</v>
      </c>
      <c r="I633" s="41">
        <f>COUNTIF(tblCost[TargetID],tblCost[[#This Row],[TargetID]])</f>
        <v>7</v>
      </c>
      <c r="J633" s="41">
        <f>COUNTIFS(tblCost[TargetID],tblCost[[#This Row],[TargetID]],tblCost[PlayerPaid],TRUE)</f>
        <v>0</v>
      </c>
      <c r="K633" s="41">
        <f>tblCost[[#This Row],[TargetRequirements]]-tblCost[[#This Row],[CompletedRequirements]]</f>
        <v>7</v>
      </c>
      <c r="L633" s="41" t="b">
        <f>tblCost[[#This Row],[RemainingRequirements]]=0</f>
        <v>0</v>
      </c>
      <c r="M633" s="43">
        <f>IF(tblCost[[#This Row],[TargetRequirements]]=0,0,tblCost[[#This Row],[CompletedRequirements]]/tblCost[[#This Row],[TargetRequirements]])</f>
        <v>0</v>
      </c>
    </row>
    <row r="634" spans="1:13">
      <c r="A634" s="41" t="s">
        <v>4282</v>
      </c>
      <c r="B634" s="41" t="str">
        <f>_xlfn.TEXTAFTER(_xlfn.TEXTBEFORE(tblCost[[#This Row],[RequirementID]],".",-2),"cost.")</f>
        <v>tech.alchemists_hut.balm</v>
      </c>
      <c r="C634" s="41" t="str">
        <f>_xlfn.XLOOKUP(tblCost[[#This Row],[TargetID]],tblTargets[TargetID],tblTargets[DisplayName],"")</f>
        <v>Alchemists Hut - Balm</v>
      </c>
      <c r="D634" s="41" t="str">
        <f>_xlfn.XLOOKUP(tblCost[[#This Row],[TargetID]],tblTargets[TargetID],tblTargets[TargetType],"")</f>
        <v>TECH</v>
      </c>
      <c r="E634" s="41" t="s">
        <v>674</v>
      </c>
      <c r="F634" s="62" t="str">
        <f>RIGHT(tblCost[[#This Row],[RequirementID]],1)</f>
        <v>1</v>
      </c>
      <c r="G634" s="41">
        <v>10</v>
      </c>
      <c r="H634" t="b">
        <f>COUNTIFS(tblCostChecklist[RequirementID],tblCost[[#This Row],[RequirementID]],tblCostChecklist[PlayerPaid],TRUE)&gt;0</f>
        <v>0</v>
      </c>
      <c r="I634" s="41">
        <f>COUNTIF(tblCost[TargetID],tblCost[[#This Row],[TargetID]])</f>
        <v>7</v>
      </c>
      <c r="J634" s="41">
        <f>COUNTIFS(tblCost[TargetID],tblCost[[#This Row],[TargetID]],tblCost[PlayerPaid],TRUE)</f>
        <v>0</v>
      </c>
      <c r="K634" s="41">
        <f>tblCost[[#This Row],[TargetRequirements]]-tblCost[[#This Row],[CompletedRequirements]]</f>
        <v>7</v>
      </c>
      <c r="L634" s="41" t="b">
        <f>tblCost[[#This Row],[RemainingRequirements]]=0</f>
        <v>0</v>
      </c>
      <c r="M634" s="43">
        <f>IF(tblCost[[#This Row],[TargetRequirements]]=0,0,tblCost[[#This Row],[CompletedRequirements]]/tblCost[[#This Row],[TargetRequirements]])</f>
        <v>0</v>
      </c>
    </row>
    <row r="635" spans="1:13">
      <c r="A635" s="41" t="s">
        <v>4283</v>
      </c>
      <c r="B635" s="41" t="str">
        <f>_xlfn.TEXTAFTER(_xlfn.TEXTBEFORE(tblCost[[#This Row],[RequirementID]],".",-2),"cost.")</f>
        <v>tech.alchemists_hut.balm</v>
      </c>
      <c r="C635" s="41" t="str">
        <f>_xlfn.XLOOKUP(tblCost[[#This Row],[TargetID]],tblTargets[TargetID],tblTargets[DisplayName],"")</f>
        <v>Alchemists Hut - Balm</v>
      </c>
      <c r="D635" s="41" t="str">
        <f>_xlfn.XLOOKUP(tblCost[[#This Row],[TargetID]],tblTargets[TargetID],tblTargets[TargetType],"")</f>
        <v>TECH</v>
      </c>
      <c r="E635" s="41" t="s">
        <v>677</v>
      </c>
      <c r="F635" s="62" t="str">
        <f>RIGHT(tblCost[[#This Row],[RequirementID]],1)</f>
        <v>1</v>
      </c>
      <c r="G635" s="41">
        <v>10</v>
      </c>
      <c r="H635" t="b">
        <f>COUNTIFS(tblCostChecklist[RequirementID],tblCost[[#This Row],[RequirementID]],tblCostChecklist[PlayerPaid],TRUE)&gt;0</f>
        <v>0</v>
      </c>
      <c r="I635" s="41">
        <f>COUNTIF(tblCost[TargetID],tblCost[[#This Row],[TargetID]])</f>
        <v>7</v>
      </c>
      <c r="J635" s="41">
        <f>COUNTIFS(tblCost[TargetID],tblCost[[#This Row],[TargetID]],tblCost[PlayerPaid],TRUE)</f>
        <v>0</v>
      </c>
      <c r="K635" s="41">
        <f>tblCost[[#This Row],[TargetRequirements]]-tblCost[[#This Row],[CompletedRequirements]]</f>
        <v>7</v>
      </c>
      <c r="L635" s="41" t="b">
        <f>tblCost[[#This Row],[RemainingRequirements]]=0</f>
        <v>0</v>
      </c>
      <c r="M635" s="43">
        <f>IF(tblCost[[#This Row],[TargetRequirements]]=0,0,tblCost[[#This Row],[CompletedRequirements]]/tblCost[[#This Row],[TargetRequirements]])</f>
        <v>0</v>
      </c>
    </row>
    <row r="636" spans="1:13">
      <c r="A636" s="41" t="s">
        <v>4284</v>
      </c>
      <c r="B636" s="41" t="str">
        <f>_xlfn.TEXTAFTER(_xlfn.TEXTBEFORE(tblCost[[#This Row],[RequirementID]],".",-2),"cost.")</f>
        <v>tech.alchemists_hut.balm</v>
      </c>
      <c r="C636" s="41" t="str">
        <f>_xlfn.XLOOKUP(tblCost[[#This Row],[TargetID]],tblTargets[TargetID],tblTargets[DisplayName],"")</f>
        <v>Alchemists Hut - Balm</v>
      </c>
      <c r="D636" s="41" t="str">
        <f>_xlfn.XLOOKUP(tblCost[[#This Row],[TargetID]],tblTargets[TargetID],tblTargets[TargetType],"")</f>
        <v>TECH</v>
      </c>
      <c r="E636" s="41" t="s">
        <v>679</v>
      </c>
      <c r="F636" s="62" t="str">
        <f>RIGHT(tblCost[[#This Row],[RequirementID]],1)</f>
        <v>1</v>
      </c>
      <c r="G636" s="41">
        <v>30</v>
      </c>
      <c r="H636" t="b">
        <f>COUNTIFS(tblCostChecklist[RequirementID],tblCost[[#This Row],[RequirementID]],tblCostChecklist[PlayerPaid],TRUE)&gt;0</f>
        <v>0</v>
      </c>
      <c r="I636" s="41">
        <f>COUNTIF(tblCost[TargetID],tblCost[[#This Row],[TargetID]])</f>
        <v>7</v>
      </c>
      <c r="J636" s="41">
        <f>COUNTIFS(tblCost[TargetID],tblCost[[#This Row],[TargetID]],tblCost[PlayerPaid],TRUE)</f>
        <v>0</v>
      </c>
      <c r="K636" s="41">
        <f>tblCost[[#This Row],[TargetRequirements]]-tblCost[[#This Row],[CompletedRequirements]]</f>
        <v>7</v>
      </c>
      <c r="L636" s="41" t="b">
        <f>tblCost[[#This Row],[RemainingRequirements]]=0</f>
        <v>0</v>
      </c>
      <c r="M636" s="43">
        <f>IF(tblCost[[#This Row],[TargetRequirements]]=0,0,tblCost[[#This Row],[CompletedRequirements]]/tblCost[[#This Row],[TargetRequirements]])</f>
        <v>0</v>
      </c>
    </row>
    <row r="637" spans="1:13">
      <c r="A637" s="41" t="s">
        <v>4285</v>
      </c>
      <c r="B637" s="41" t="str">
        <f>_xlfn.TEXTAFTER(_xlfn.TEXTBEFORE(tblCost[[#This Row],[RequirementID]],".",-2),"cost.")</f>
        <v>tech.alchemists_hut.balm</v>
      </c>
      <c r="C637" s="41" t="str">
        <f>_xlfn.XLOOKUP(tblCost[[#This Row],[TargetID]],tblTargets[TargetID],tblTargets[DisplayName],"")</f>
        <v>Alchemists Hut - Balm</v>
      </c>
      <c r="D637" s="41" t="str">
        <f>_xlfn.XLOOKUP(tblCost[[#This Row],[TargetID]],tblTargets[TargetID],tblTargets[TargetType],"")</f>
        <v>TECH</v>
      </c>
      <c r="E637" s="41" t="s">
        <v>695</v>
      </c>
      <c r="F637" s="62" t="str">
        <f>RIGHT(tblCost[[#This Row],[RequirementID]],1)</f>
        <v>1</v>
      </c>
      <c r="G637" s="41">
        <v>5</v>
      </c>
      <c r="H637" t="b">
        <f>COUNTIFS(tblCostChecklist[RequirementID],tblCost[[#This Row],[RequirementID]],tblCostChecklist[PlayerPaid],TRUE)&gt;0</f>
        <v>0</v>
      </c>
      <c r="I637" s="41">
        <f>COUNTIF(tblCost[TargetID],tblCost[[#This Row],[TargetID]])</f>
        <v>7</v>
      </c>
      <c r="J637" s="41">
        <f>COUNTIFS(tblCost[TargetID],tblCost[[#This Row],[TargetID]],tblCost[PlayerPaid],TRUE)</f>
        <v>0</v>
      </c>
      <c r="K637" s="41">
        <f>tblCost[[#This Row],[TargetRequirements]]-tblCost[[#This Row],[CompletedRequirements]]</f>
        <v>7</v>
      </c>
      <c r="L637" s="41" t="b">
        <f>tblCost[[#This Row],[RemainingRequirements]]=0</f>
        <v>0</v>
      </c>
      <c r="M637" s="43">
        <f>IF(tblCost[[#This Row],[TargetRequirements]]=0,0,tblCost[[#This Row],[CompletedRequirements]]/tblCost[[#This Row],[TargetRequirements]])</f>
        <v>0</v>
      </c>
    </row>
    <row r="638" spans="1:13">
      <c r="A638" s="41" t="s">
        <v>4286</v>
      </c>
      <c r="B638" s="41" t="str">
        <f>_xlfn.TEXTAFTER(_xlfn.TEXTBEFORE(tblCost[[#This Row],[RequirementID]],".",-2),"cost.")</f>
        <v>tech.alchemists_hut.balm</v>
      </c>
      <c r="C638" s="41" t="str">
        <f>_xlfn.XLOOKUP(tblCost[[#This Row],[TargetID]],tblTargets[TargetID],tblTargets[DisplayName],"")</f>
        <v>Alchemists Hut - Balm</v>
      </c>
      <c r="D638" s="41" t="str">
        <f>_xlfn.XLOOKUP(tblCost[[#This Row],[TargetID]],tblTargets[TargetID],tblTargets[TargetType],"")</f>
        <v>TECH</v>
      </c>
      <c r="E638" s="41" t="s">
        <v>708</v>
      </c>
      <c r="F638" s="62" t="str">
        <f>RIGHT(tblCost[[#This Row],[RequirementID]],1)</f>
        <v>1</v>
      </c>
      <c r="G638" s="41">
        <v>1</v>
      </c>
      <c r="H638" t="b">
        <f>COUNTIFS(tblCostChecklist[RequirementID],tblCost[[#This Row],[RequirementID]],tblCostChecklist[PlayerPaid],TRUE)&gt;0</f>
        <v>0</v>
      </c>
      <c r="I638" s="41">
        <f>COUNTIF(tblCost[TargetID],tblCost[[#This Row],[TargetID]])</f>
        <v>7</v>
      </c>
      <c r="J638" s="41">
        <f>COUNTIFS(tblCost[TargetID],tblCost[[#This Row],[TargetID]],tblCost[PlayerPaid],TRUE)</f>
        <v>0</v>
      </c>
      <c r="K638" s="41">
        <f>tblCost[[#This Row],[TargetRequirements]]-tblCost[[#This Row],[CompletedRequirements]]</f>
        <v>7</v>
      </c>
      <c r="L638" s="41" t="b">
        <f>tblCost[[#This Row],[RemainingRequirements]]=0</f>
        <v>0</v>
      </c>
      <c r="M638" s="43">
        <f>IF(tblCost[[#This Row],[TargetRequirements]]=0,0,tblCost[[#This Row],[CompletedRequirements]]/tblCost[[#This Row],[TargetRequirements]])</f>
        <v>0</v>
      </c>
    </row>
    <row r="639" spans="1:13">
      <c r="A639" s="41" t="s">
        <v>4287</v>
      </c>
      <c r="B639" s="41" t="str">
        <f>_xlfn.TEXTAFTER(_xlfn.TEXTBEFORE(tblCost[[#This Row],[RequirementID]],".",-2),"cost.")</f>
        <v>tech.alchemists_hut.potion_of_mental_power</v>
      </c>
      <c r="C639" s="41" t="str">
        <f>_xlfn.XLOOKUP(tblCost[[#This Row],[TargetID]],tblTargets[TargetID],tblTargets[DisplayName],"")</f>
        <v>Alchemists Hut - Potion Of Mental Power</v>
      </c>
      <c r="D639" s="41" t="str">
        <f>_xlfn.XLOOKUP(tblCost[[#This Row],[TargetID]],tblTargets[TargetID],tblTargets[TargetType],"")</f>
        <v>TECH</v>
      </c>
      <c r="E639" s="41" t="s">
        <v>929</v>
      </c>
      <c r="F639" s="62" t="str">
        <f>RIGHT(tblCost[[#This Row],[RequirementID]],1)</f>
        <v>1</v>
      </c>
      <c r="G639" s="41">
        <v>15</v>
      </c>
      <c r="H639" t="b">
        <f>COUNTIFS(tblCostChecklist[RequirementID],tblCost[[#This Row],[RequirementID]],tblCostChecklist[PlayerPaid],TRUE)&gt;0</f>
        <v>0</v>
      </c>
      <c r="I639" s="41">
        <f>COUNTIF(tblCost[TargetID],tblCost[[#This Row],[TargetID]])</f>
        <v>8</v>
      </c>
      <c r="J639" s="41">
        <f>COUNTIFS(tblCost[TargetID],tblCost[[#This Row],[TargetID]],tblCost[PlayerPaid],TRUE)</f>
        <v>0</v>
      </c>
      <c r="K639" s="41">
        <f>tblCost[[#This Row],[TargetRequirements]]-tblCost[[#This Row],[CompletedRequirements]]</f>
        <v>8</v>
      </c>
      <c r="L639" s="41" t="b">
        <f>tblCost[[#This Row],[RemainingRequirements]]=0</f>
        <v>0</v>
      </c>
      <c r="M639" s="43">
        <f>IF(tblCost[[#This Row],[TargetRequirements]]=0,0,tblCost[[#This Row],[CompletedRequirements]]/tblCost[[#This Row],[TargetRequirements]])</f>
        <v>0</v>
      </c>
    </row>
    <row r="640" spans="1:13">
      <c r="A640" s="41" t="s">
        <v>4288</v>
      </c>
      <c r="B640" s="41" t="str">
        <f>_xlfn.TEXTAFTER(_xlfn.TEXTBEFORE(tblCost[[#This Row],[RequirementID]],".",-2),"cost.")</f>
        <v>tech.alchemists_hut.potion_of_mental_power</v>
      </c>
      <c r="C640" s="41" t="str">
        <f>_xlfn.XLOOKUP(tblCost[[#This Row],[TargetID]],tblTargets[TargetID],tblTargets[DisplayName],"")</f>
        <v>Alchemists Hut - Potion Of Mental Power</v>
      </c>
      <c r="D640" s="41" t="str">
        <f>_xlfn.XLOOKUP(tblCost[[#This Row],[TargetID]],tblTargets[TargetID],tblTargets[TargetType],"")</f>
        <v>TECH</v>
      </c>
      <c r="E640" s="41" t="s">
        <v>666</v>
      </c>
      <c r="F640" s="62" t="str">
        <f>RIGHT(tblCost[[#This Row],[RequirementID]],1)</f>
        <v>1</v>
      </c>
      <c r="G640" s="41">
        <v>300</v>
      </c>
      <c r="H640" t="b">
        <f>COUNTIFS(tblCostChecklist[RequirementID],tblCost[[#This Row],[RequirementID]],tblCostChecklist[PlayerPaid],TRUE)&gt;0</f>
        <v>0</v>
      </c>
      <c r="I640" s="41">
        <f>COUNTIF(tblCost[TargetID],tblCost[[#This Row],[TargetID]])</f>
        <v>8</v>
      </c>
      <c r="J640" s="41">
        <f>COUNTIFS(tblCost[TargetID],tblCost[[#This Row],[TargetID]],tblCost[PlayerPaid],TRUE)</f>
        <v>0</v>
      </c>
      <c r="K640" s="41">
        <f>tblCost[[#This Row],[TargetRequirements]]-tblCost[[#This Row],[CompletedRequirements]]</f>
        <v>8</v>
      </c>
      <c r="L640" s="41" t="b">
        <f>tblCost[[#This Row],[RemainingRequirements]]=0</f>
        <v>0</v>
      </c>
      <c r="M640" s="43">
        <f>IF(tblCost[[#This Row],[TargetRequirements]]=0,0,tblCost[[#This Row],[CompletedRequirements]]/tblCost[[#This Row],[TargetRequirements]])</f>
        <v>0</v>
      </c>
    </row>
    <row r="641" spans="1:13">
      <c r="A641" s="41" t="s">
        <v>4289</v>
      </c>
      <c r="B641" s="41" t="str">
        <f>_xlfn.TEXTAFTER(_xlfn.TEXTBEFORE(tblCost[[#This Row],[RequirementID]],".",-2),"cost.")</f>
        <v>tech.alchemists_hut.potion_of_mental_power</v>
      </c>
      <c r="C641" s="41" t="str">
        <f>_xlfn.XLOOKUP(tblCost[[#This Row],[TargetID]],tblTargets[TargetID],tblTargets[DisplayName],"")</f>
        <v>Alchemists Hut - Potion Of Mental Power</v>
      </c>
      <c r="D641" s="41" t="str">
        <f>_xlfn.XLOOKUP(tblCost[[#This Row],[TargetID]],tblTargets[TargetID],tblTargets[TargetType],"")</f>
        <v>TECH</v>
      </c>
      <c r="E641" s="41" t="s">
        <v>935</v>
      </c>
      <c r="F641" s="62" t="str">
        <f>RIGHT(tblCost[[#This Row],[RequirementID]],1)</f>
        <v>1</v>
      </c>
      <c r="G641" s="41">
        <v>20</v>
      </c>
      <c r="H641" t="b">
        <f>COUNTIFS(tblCostChecklist[RequirementID],tblCost[[#This Row],[RequirementID]],tblCostChecklist[PlayerPaid],TRUE)&gt;0</f>
        <v>0</v>
      </c>
      <c r="I641" s="41">
        <f>COUNTIF(tblCost[TargetID],tblCost[[#This Row],[TargetID]])</f>
        <v>8</v>
      </c>
      <c r="J641" s="41">
        <f>COUNTIFS(tblCost[TargetID],tblCost[[#This Row],[TargetID]],tblCost[PlayerPaid],TRUE)</f>
        <v>0</v>
      </c>
      <c r="K641" s="41">
        <f>tblCost[[#This Row],[TargetRequirements]]-tblCost[[#This Row],[CompletedRequirements]]</f>
        <v>8</v>
      </c>
      <c r="L641" s="41" t="b">
        <f>tblCost[[#This Row],[RemainingRequirements]]=0</f>
        <v>0</v>
      </c>
      <c r="M641" s="43">
        <f>IF(tblCost[[#This Row],[TargetRequirements]]=0,0,tblCost[[#This Row],[CompletedRequirements]]/tblCost[[#This Row],[TargetRequirements]])</f>
        <v>0</v>
      </c>
    </row>
    <row r="642" spans="1:13">
      <c r="A642" s="41" t="s">
        <v>4290</v>
      </c>
      <c r="B642" s="41" t="str">
        <f>_xlfn.TEXTAFTER(_xlfn.TEXTBEFORE(tblCost[[#This Row],[RequirementID]],".",-2),"cost.")</f>
        <v>tech.alchemists_hut.potion_of_mental_power</v>
      </c>
      <c r="C642" s="41" t="str">
        <f>_xlfn.XLOOKUP(tblCost[[#This Row],[TargetID]],tblTargets[TargetID],tblTargets[DisplayName],"")</f>
        <v>Alchemists Hut - Potion Of Mental Power</v>
      </c>
      <c r="D642" s="41" t="str">
        <f>_xlfn.XLOOKUP(tblCost[[#This Row],[TargetID]],tblTargets[TargetID],tblTargets[TargetType],"")</f>
        <v>TECH</v>
      </c>
      <c r="E642" s="41" t="s">
        <v>674</v>
      </c>
      <c r="F642" s="62" t="str">
        <f>RIGHT(tblCost[[#This Row],[RequirementID]],1)</f>
        <v>1</v>
      </c>
      <c r="G642" s="41">
        <v>10</v>
      </c>
      <c r="H642" t="b">
        <f>COUNTIFS(tblCostChecklist[RequirementID],tblCost[[#This Row],[RequirementID]],tblCostChecklist[PlayerPaid],TRUE)&gt;0</f>
        <v>0</v>
      </c>
      <c r="I642" s="41">
        <f>COUNTIF(tblCost[TargetID],tblCost[[#This Row],[TargetID]])</f>
        <v>8</v>
      </c>
      <c r="J642" s="41">
        <f>COUNTIFS(tblCost[TargetID],tblCost[[#This Row],[TargetID]],tblCost[PlayerPaid],TRUE)</f>
        <v>0</v>
      </c>
      <c r="K642" s="41">
        <f>tblCost[[#This Row],[TargetRequirements]]-tblCost[[#This Row],[CompletedRequirements]]</f>
        <v>8</v>
      </c>
      <c r="L642" s="41" t="b">
        <f>tblCost[[#This Row],[RemainingRequirements]]=0</f>
        <v>0</v>
      </c>
      <c r="M642" s="43">
        <f>IF(tblCost[[#This Row],[TargetRequirements]]=0,0,tblCost[[#This Row],[CompletedRequirements]]/tblCost[[#This Row],[TargetRequirements]])</f>
        <v>0</v>
      </c>
    </row>
    <row r="643" spans="1:13">
      <c r="A643" s="41" t="s">
        <v>4291</v>
      </c>
      <c r="B643" s="41" t="str">
        <f>_xlfn.TEXTAFTER(_xlfn.TEXTBEFORE(tblCost[[#This Row],[RequirementID]],".",-2),"cost.")</f>
        <v>tech.alchemists_hut.potion_of_mental_power</v>
      </c>
      <c r="C643" s="41" t="str">
        <f>_xlfn.XLOOKUP(tblCost[[#This Row],[TargetID]],tblTargets[TargetID],tblTargets[DisplayName],"")</f>
        <v>Alchemists Hut - Potion Of Mental Power</v>
      </c>
      <c r="D643" s="41" t="str">
        <f>_xlfn.XLOOKUP(tblCost[[#This Row],[TargetID]],tblTargets[TargetID],tblTargets[TargetType],"")</f>
        <v>TECH</v>
      </c>
      <c r="E643" s="41" t="s">
        <v>677</v>
      </c>
      <c r="F643" s="62" t="str">
        <f>RIGHT(tblCost[[#This Row],[RequirementID]],1)</f>
        <v>1</v>
      </c>
      <c r="G643" s="41">
        <v>10</v>
      </c>
      <c r="H643" t="b">
        <f>COUNTIFS(tblCostChecklist[RequirementID],tblCost[[#This Row],[RequirementID]],tblCostChecklist[PlayerPaid],TRUE)&gt;0</f>
        <v>0</v>
      </c>
      <c r="I643" s="41">
        <f>COUNTIF(tblCost[TargetID],tblCost[[#This Row],[TargetID]])</f>
        <v>8</v>
      </c>
      <c r="J643" s="41">
        <f>COUNTIFS(tblCost[TargetID],tblCost[[#This Row],[TargetID]],tblCost[PlayerPaid],TRUE)</f>
        <v>0</v>
      </c>
      <c r="K643" s="41">
        <f>tblCost[[#This Row],[TargetRequirements]]-tblCost[[#This Row],[CompletedRequirements]]</f>
        <v>8</v>
      </c>
      <c r="L643" s="41" t="b">
        <f>tblCost[[#This Row],[RemainingRequirements]]=0</f>
        <v>0</v>
      </c>
      <c r="M643" s="43">
        <f>IF(tblCost[[#This Row],[TargetRequirements]]=0,0,tblCost[[#This Row],[CompletedRequirements]]/tblCost[[#This Row],[TargetRequirements]])</f>
        <v>0</v>
      </c>
    </row>
    <row r="644" spans="1:13">
      <c r="A644" s="41" t="s">
        <v>4292</v>
      </c>
      <c r="B644" s="41" t="str">
        <f>_xlfn.TEXTAFTER(_xlfn.TEXTBEFORE(tblCost[[#This Row],[RequirementID]],".",-2),"cost.")</f>
        <v>tech.alchemists_hut.potion_of_mental_power</v>
      </c>
      <c r="C644" s="41" t="str">
        <f>_xlfn.XLOOKUP(tblCost[[#This Row],[TargetID]],tblTargets[TargetID],tblTargets[DisplayName],"")</f>
        <v>Alchemists Hut - Potion Of Mental Power</v>
      </c>
      <c r="D644" s="41" t="str">
        <f>_xlfn.XLOOKUP(tblCost[[#This Row],[TargetID]],tblTargets[TargetID],tblTargets[TargetType],"")</f>
        <v>TECH</v>
      </c>
      <c r="E644" s="41" t="s">
        <v>679</v>
      </c>
      <c r="F644" s="62" t="str">
        <f>RIGHT(tblCost[[#This Row],[RequirementID]],1)</f>
        <v>1</v>
      </c>
      <c r="G644" s="41">
        <v>10</v>
      </c>
      <c r="H644" t="b">
        <f>COUNTIFS(tblCostChecklist[RequirementID],tblCost[[#This Row],[RequirementID]],tblCostChecklist[PlayerPaid],TRUE)&gt;0</f>
        <v>0</v>
      </c>
      <c r="I644" s="41">
        <f>COUNTIF(tblCost[TargetID],tblCost[[#This Row],[TargetID]])</f>
        <v>8</v>
      </c>
      <c r="J644" s="41">
        <f>COUNTIFS(tblCost[TargetID],tblCost[[#This Row],[TargetID]],tblCost[PlayerPaid],TRUE)</f>
        <v>0</v>
      </c>
      <c r="K644" s="41">
        <f>tblCost[[#This Row],[TargetRequirements]]-tblCost[[#This Row],[CompletedRequirements]]</f>
        <v>8</v>
      </c>
      <c r="L644" s="41" t="b">
        <f>tblCost[[#This Row],[RemainingRequirements]]=0</f>
        <v>0</v>
      </c>
      <c r="M644" s="43">
        <f>IF(tblCost[[#This Row],[TargetRequirements]]=0,0,tblCost[[#This Row],[CompletedRequirements]]/tblCost[[#This Row],[TargetRequirements]])</f>
        <v>0</v>
      </c>
    </row>
    <row r="645" spans="1:13">
      <c r="A645" s="41" t="s">
        <v>4293</v>
      </c>
      <c r="B645" s="41" t="str">
        <f>_xlfn.TEXTAFTER(_xlfn.TEXTBEFORE(tblCost[[#This Row],[RequirementID]],".",-2),"cost.")</f>
        <v>tech.alchemists_hut.potion_of_mental_power</v>
      </c>
      <c r="C645" s="41" t="str">
        <f>_xlfn.XLOOKUP(tblCost[[#This Row],[TargetID]],tblTargets[TargetID],tblTargets[DisplayName],"")</f>
        <v>Alchemists Hut - Potion Of Mental Power</v>
      </c>
      <c r="D645" s="41" t="str">
        <f>_xlfn.XLOOKUP(tblCost[[#This Row],[TargetID]],tblTargets[TargetID],tblTargets[TargetType],"")</f>
        <v>TECH</v>
      </c>
      <c r="E645" s="41" t="s">
        <v>705</v>
      </c>
      <c r="F645" s="62" t="str">
        <f>RIGHT(tblCost[[#This Row],[RequirementID]],1)</f>
        <v>1</v>
      </c>
      <c r="G645" s="41">
        <v>10</v>
      </c>
      <c r="H645" t="b">
        <f>COUNTIFS(tblCostChecklist[RequirementID],tblCost[[#This Row],[RequirementID]],tblCostChecklist[PlayerPaid],TRUE)&gt;0</f>
        <v>0</v>
      </c>
      <c r="I645" s="41">
        <f>COUNTIF(tblCost[TargetID],tblCost[[#This Row],[TargetID]])</f>
        <v>8</v>
      </c>
      <c r="J645" s="41">
        <f>COUNTIFS(tblCost[TargetID],tblCost[[#This Row],[TargetID]],tblCost[PlayerPaid],TRUE)</f>
        <v>0</v>
      </c>
      <c r="K645" s="41">
        <f>tblCost[[#This Row],[TargetRequirements]]-tblCost[[#This Row],[CompletedRequirements]]</f>
        <v>8</v>
      </c>
      <c r="L645" s="41" t="b">
        <f>tblCost[[#This Row],[RemainingRequirements]]=0</f>
        <v>0</v>
      </c>
      <c r="M645" s="43">
        <f>IF(tblCost[[#This Row],[TargetRequirements]]=0,0,tblCost[[#This Row],[CompletedRequirements]]/tblCost[[#This Row],[TargetRequirements]])</f>
        <v>0</v>
      </c>
    </row>
    <row r="646" spans="1:13">
      <c r="A646" s="41" t="s">
        <v>4294</v>
      </c>
      <c r="B646" s="41" t="str">
        <f>_xlfn.TEXTAFTER(_xlfn.TEXTBEFORE(tblCost[[#This Row],[RequirementID]],".",-2),"cost.")</f>
        <v>tech.alchemists_hut.potion_of_mental_power</v>
      </c>
      <c r="C646" s="41" t="str">
        <f>_xlfn.XLOOKUP(tblCost[[#This Row],[TargetID]],tblTargets[TargetID],tblTargets[DisplayName],"")</f>
        <v>Alchemists Hut - Potion Of Mental Power</v>
      </c>
      <c r="D646" s="41" t="str">
        <f>_xlfn.XLOOKUP(tblCost[[#This Row],[TargetID]],tblTargets[TargetID],tblTargets[TargetType],"")</f>
        <v>TECH</v>
      </c>
      <c r="E646" s="41" t="s">
        <v>708</v>
      </c>
      <c r="F646" s="62" t="str">
        <f>RIGHT(tblCost[[#This Row],[RequirementID]],1)</f>
        <v>1</v>
      </c>
      <c r="G646" s="41">
        <v>1</v>
      </c>
      <c r="H646" t="b">
        <f>COUNTIFS(tblCostChecklist[RequirementID],tblCost[[#This Row],[RequirementID]],tblCostChecklist[PlayerPaid],TRUE)&gt;0</f>
        <v>0</v>
      </c>
      <c r="I646" s="41">
        <f>COUNTIF(tblCost[TargetID],tblCost[[#This Row],[TargetID]])</f>
        <v>8</v>
      </c>
      <c r="J646" s="41">
        <f>COUNTIFS(tblCost[TargetID],tblCost[[#This Row],[TargetID]],tblCost[PlayerPaid],TRUE)</f>
        <v>0</v>
      </c>
      <c r="K646" s="41">
        <f>tblCost[[#This Row],[TargetRequirements]]-tblCost[[#This Row],[CompletedRequirements]]</f>
        <v>8</v>
      </c>
      <c r="L646" s="41" t="b">
        <f>tblCost[[#This Row],[RemainingRequirements]]=0</f>
        <v>0</v>
      </c>
      <c r="M646" s="43">
        <f>IF(tblCost[[#This Row],[TargetRequirements]]=0,0,tblCost[[#This Row],[CompletedRequirements]]/tblCost[[#This Row],[TargetRequirements]])</f>
        <v>0</v>
      </c>
    </row>
    <row r="647" spans="1:13">
      <c r="A647" s="41" t="s">
        <v>4295</v>
      </c>
      <c r="B647" s="41" t="str">
        <f>_xlfn.TEXTAFTER(_xlfn.TEXTBEFORE(tblCost[[#This Row],[RequirementID]],".",-2),"cost.")</f>
        <v>tech.alchemists_hut.mercury</v>
      </c>
      <c r="C647" s="41" t="str">
        <f>_xlfn.XLOOKUP(tblCost[[#This Row],[TargetID]],tblTargets[TargetID],tblTargets[DisplayName],"")</f>
        <v>Alchemists Hut - Mercury</v>
      </c>
      <c r="D647" s="41" t="str">
        <f>_xlfn.XLOOKUP(tblCost[[#This Row],[TargetID]],tblTargets[TargetID],tblTargets[TargetType],"")</f>
        <v>TECH</v>
      </c>
      <c r="E647" s="41" t="s">
        <v>663</v>
      </c>
      <c r="F647" s="62" t="str">
        <f>RIGHT(tblCost[[#This Row],[RequirementID]],1)</f>
        <v>1</v>
      </c>
      <c r="G647" s="41">
        <v>100</v>
      </c>
      <c r="H647" t="b">
        <f>COUNTIFS(tblCostChecklist[RequirementID],tblCost[[#This Row],[RequirementID]],tblCostChecklist[PlayerPaid],TRUE)&gt;0</f>
        <v>0</v>
      </c>
      <c r="I647" s="41">
        <f>COUNTIF(tblCost[TargetID],tblCost[[#This Row],[TargetID]])</f>
        <v>7</v>
      </c>
      <c r="J647" s="41">
        <f>COUNTIFS(tblCost[TargetID],tblCost[[#This Row],[TargetID]],tblCost[PlayerPaid],TRUE)</f>
        <v>0</v>
      </c>
      <c r="K647" s="41">
        <f>tblCost[[#This Row],[TargetRequirements]]-tblCost[[#This Row],[CompletedRequirements]]</f>
        <v>7</v>
      </c>
      <c r="L647" s="41" t="b">
        <f>tblCost[[#This Row],[RemainingRequirements]]=0</f>
        <v>0</v>
      </c>
      <c r="M647" s="43">
        <f>IF(tblCost[[#This Row],[TargetRequirements]]=0,0,tblCost[[#This Row],[CompletedRequirements]]/tblCost[[#This Row],[TargetRequirements]])</f>
        <v>0</v>
      </c>
    </row>
    <row r="648" spans="1:13">
      <c r="A648" s="41" t="s">
        <v>4296</v>
      </c>
      <c r="B648" s="41" t="str">
        <f>_xlfn.TEXTAFTER(_xlfn.TEXTBEFORE(tblCost[[#This Row],[RequirementID]],".",-2),"cost.")</f>
        <v>tech.alchemists_hut.mercury</v>
      </c>
      <c r="C648" s="41" t="str">
        <f>_xlfn.XLOOKUP(tblCost[[#This Row],[TargetID]],tblTargets[TargetID],tblTargets[DisplayName],"")</f>
        <v>Alchemists Hut - Mercury</v>
      </c>
      <c r="D648" s="41" t="str">
        <f>_xlfn.XLOOKUP(tblCost[[#This Row],[TargetID]],tblTargets[TargetID],tblTargets[TargetType],"")</f>
        <v>TECH</v>
      </c>
      <c r="E648" s="41" t="s">
        <v>929</v>
      </c>
      <c r="F648" s="62" t="str">
        <f>RIGHT(tblCost[[#This Row],[RequirementID]],1)</f>
        <v>1</v>
      </c>
      <c r="G648" s="41">
        <v>30</v>
      </c>
      <c r="H648" t="b">
        <f>COUNTIFS(tblCostChecklist[RequirementID],tblCost[[#This Row],[RequirementID]],tblCostChecklist[PlayerPaid],TRUE)&gt;0</f>
        <v>0</v>
      </c>
      <c r="I648" s="41">
        <f>COUNTIF(tblCost[TargetID],tblCost[[#This Row],[TargetID]])</f>
        <v>7</v>
      </c>
      <c r="J648" s="41">
        <f>COUNTIFS(tblCost[TargetID],tblCost[[#This Row],[TargetID]],tblCost[PlayerPaid],TRUE)</f>
        <v>0</v>
      </c>
      <c r="K648" s="41">
        <f>tblCost[[#This Row],[TargetRequirements]]-tblCost[[#This Row],[CompletedRequirements]]</f>
        <v>7</v>
      </c>
      <c r="L648" s="41" t="b">
        <f>tblCost[[#This Row],[RemainingRequirements]]=0</f>
        <v>0</v>
      </c>
      <c r="M648" s="43">
        <f>IF(tblCost[[#This Row],[TargetRequirements]]=0,0,tblCost[[#This Row],[CompletedRequirements]]/tblCost[[#This Row],[TargetRequirements]])</f>
        <v>0</v>
      </c>
    </row>
    <row r="649" spans="1:13">
      <c r="A649" s="41" t="s">
        <v>4297</v>
      </c>
      <c r="B649" s="41" t="str">
        <f>_xlfn.TEXTAFTER(_xlfn.TEXTBEFORE(tblCost[[#This Row],[RequirementID]],".",-2),"cost.")</f>
        <v>tech.alchemists_hut.mercury</v>
      </c>
      <c r="C649" s="41" t="str">
        <f>_xlfn.XLOOKUP(tblCost[[#This Row],[TargetID]],tblTargets[TargetID],tblTargets[DisplayName],"")</f>
        <v>Alchemists Hut - Mercury</v>
      </c>
      <c r="D649" s="41" t="str">
        <f>_xlfn.XLOOKUP(tblCost[[#This Row],[TargetID]],tblTargets[TargetID],tblTargets[TargetType],"")</f>
        <v>TECH</v>
      </c>
      <c r="E649" s="41" t="s">
        <v>666</v>
      </c>
      <c r="F649" s="62" t="str">
        <f>RIGHT(tblCost[[#This Row],[RequirementID]],1)</f>
        <v>1</v>
      </c>
      <c r="G649" s="41">
        <v>400</v>
      </c>
      <c r="H649" t="b">
        <f>COUNTIFS(tblCostChecklist[RequirementID],tblCost[[#This Row],[RequirementID]],tblCostChecklist[PlayerPaid],TRUE)&gt;0</f>
        <v>0</v>
      </c>
      <c r="I649" s="41">
        <f>COUNTIF(tblCost[TargetID],tblCost[[#This Row],[TargetID]])</f>
        <v>7</v>
      </c>
      <c r="J649" s="41">
        <f>COUNTIFS(tblCost[TargetID],tblCost[[#This Row],[TargetID]],tblCost[PlayerPaid],TRUE)</f>
        <v>0</v>
      </c>
      <c r="K649" s="41">
        <f>tblCost[[#This Row],[TargetRequirements]]-tblCost[[#This Row],[CompletedRequirements]]</f>
        <v>7</v>
      </c>
      <c r="L649" s="41" t="b">
        <f>tblCost[[#This Row],[RemainingRequirements]]=0</f>
        <v>0</v>
      </c>
      <c r="M649" s="43">
        <f>IF(tblCost[[#This Row],[TargetRequirements]]=0,0,tblCost[[#This Row],[CompletedRequirements]]/tblCost[[#This Row],[TargetRequirements]])</f>
        <v>0</v>
      </c>
    </row>
    <row r="650" spans="1:13">
      <c r="A650" s="41" t="s">
        <v>4298</v>
      </c>
      <c r="B650" s="41" t="str">
        <f>_xlfn.TEXTAFTER(_xlfn.TEXTBEFORE(tblCost[[#This Row],[RequirementID]],".",-2),"cost.")</f>
        <v>tech.alchemists_hut.mercury</v>
      </c>
      <c r="C650" s="41" t="str">
        <f>_xlfn.XLOOKUP(tblCost[[#This Row],[TargetID]],tblTargets[TargetID],tblTargets[DisplayName],"")</f>
        <v>Alchemists Hut - Mercury</v>
      </c>
      <c r="D650" s="41" t="str">
        <f>_xlfn.XLOOKUP(tblCost[[#This Row],[TargetID]],tblTargets[TargetID],tblTargets[TargetType],"")</f>
        <v>TECH</v>
      </c>
      <c r="E650" s="41" t="s">
        <v>674</v>
      </c>
      <c r="F650" s="62" t="str">
        <f>RIGHT(tblCost[[#This Row],[RequirementID]],1)</f>
        <v>1</v>
      </c>
      <c r="G650" s="41">
        <v>10</v>
      </c>
      <c r="H650" t="b">
        <f>COUNTIFS(tblCostChecklist[RequirementID],tblCost[[#This Row],[RequirementID]],tblCostChecklist[PlayerPaid],TRUE)&gt;0</f>
        <v>0</v>
      </c>
      <c r="I650" s="41">
        <f>COUNTIF(tblCost[TargetID],tblCost[[#This Row],[TargetID]])</f>
        <v>7</v>
      </c>
      <c r="J650" s="41">
        <f>COUNTIFS(tblCost[TargetID],tblCost[[#This Row],[TargetID]],tblCost[PlayerPaid],TRUE)</f>
        <v>0</v>
      </c>
      <c r="K650" s="41">
        <f>tblCost[[#This Row],[TargetRequirements]]-tblCost[[#This Row],[CompletedRequirements]]</f>
        <v>7</v>
      </c>
      <c r="L650" s="41" t="b">
        <f>tblCost[[#This Row],[RemainingRequirements]]=0</f>
        <v>0</v>
      </c>
      <c r="M650" s="43">
        <f>IF(tblCost[[#This Row],[TargetRequirements]]=0,0,tblCost[[#This Row],[CompletedRequirements]]/tblCost[[#This Row],[TargetRequirements]])</f>
        <v>0</v>
      </c>
    </row>
    <row r="651" spans="1:13">
      <c r="A651" s="41" t="s">
        <v>4299</v>
      </c>
      <c r="B651" s="41" t="str">
        <f>_xlfn.TEXTAFTER(_xlfn.TEXTBEFORE(tblCost[[#This Row],[RequirementID]],".",-2),"cost.")</f>
        <v>tech.alchemists_hut.mercury</v>
      </c>
      <c r="C651" s="41" t="str">
        <f>_xlfn.XLOOKUP(tblCost[[#This Row],[TargetID]],tblTargets[TargetID],tblTargets[DisplayName],"")</f>
        <v>Alchemists Hut - Mercury</v>
      </c>
      <c r="D651" s="41" t="str">
        <f>_xlfn.XLOOKUP(tblCost[[#This Row],[TargetID]],tblTargets[TargetID],tblTargets[TargetType],"")</f>
        <v>TECH</v>
      </c>
      <c r="E651" s="41" t="s">
        <v>677</v>
      </c>
      <c r="F651" s="62" t="str">
        <f>RIGHT(tblCost[[#This Row],[RequirementID]],1)</f>
        <v>1</v>
      </c>
      <c r="G651" s="41">
        <v>10</v>
      </c>
      <c r="H651" t="b">
        <f>COUNTIFS(tblCostChecklist[RequirementID],tblCost[[#This Row],[RequirementID]],tblCostChecklist[PlayerPaid],TRUE)&gt;0</f>
        <v>0</v>
      </c>
      <c r="I651" s="41">
        <f>COUNTIF(tblCost[TargetID],tblCost[[#This Row],[TargetID]])</f>
        <v>7</v>
      </c>
      <c r="J651" s="41">
        <f>COUNTIFS(tblCost[TargetID],tblCost[[#This Row],[TargetID]],tblCost[PlayerPaid],TRUE)</f>
        <v>0</v>
      </c>
      <c r="K651" s="41">
        <f>tblCost[[#This Row],[TargetRequirements]]-tblCost[[#This Row],[CompletedRequirements]]</f>
        <v>7</v>
      </c>
      <c r="L651" s="41" t="b">
        <f>tblCost[[#This Row],[RemainingRequirements]]=0</f>
        <v>0</v>
      </c>
      <c r="M651" s="43">
        <f>IF(tblCost[[#This Row],[TargetRequirements]]=0,0,tblCost[[#This Row],[CompletedRequirements]]/tblCost[[#This Row],[TargetRequirements]])</f>
        <v>0</v>
      </c>
    </row>
    <row r="652" spans="1:13">
      <c r="A652" s="41" t="s">
        <v>4300</v>
      </c>
      <c r="B652" s="41" t="str">
        <f>_xlfn.TEXTAFTER(_xlfn.TEXTBEFORE(tblCost[[#This Row],[RequirementID]],".",-2),"cost.")</f>
        <v>tech.alchemists_hut.mercury</v>
      </c>
      <c r="C652" s="41" t="str">
        <f>_xlfn.XLOOKUP(tblCost[[#This Row],[TargetID]],tblTargets[TargetID],tblTargets[DisplayName],"")</f>
        <v>Alchemists Hut - Mercury</v>
      </c>
      <c r="D652" s="41" t="str">
        <f>_xlfn.XLOOKUP(tblCost[[#This Row],[TargetID]],tblTargets[TargetID],tblTargets[TargetType],"")</f>
        <v>TECH</v>
      </c>
      <c r="E652" s="41" t="s">
        <v>705</v>
      </c>
      <c r="F652" s="62" t="str">
        <f>RIGHT(tblCost[[#This Row],[RequirementID]],1)</f>
        <v>1</v>
      </c>
      <c r="G652" s="41">
        <v>10</v>
      </c>
      <c r="H652" t="b">
        <f>COUNTIFS(tblCostChecklist[RequirementID],tblCost[[#This Row],[RequirementID]],tblCostChecklist[PlayerPaid],TRUE)&gt;0</f>
        <v>0</v>
      </c>
      <c r="I652" s="41">
        <f>COUNTIF(tblCost[TargetID],tblCost[[#This Row],[TargetID]])</f>
        <v>7</v>
      </c>
      <c r="J652" s="41">
        <f>COUNTIFS(tblCost[TargetID],tblCost[[#This Row],[TargetID]],tblCost[PlayerPaid],TRUE)</f>
        <v>0</v>
      </c>
      <c r="K652" s="41">
        <f>tblCost[[#This Row],[TargetRequirements]]-tblCost[[#This Row],[CompletedRequirements]]</f>
        <v>7</v>
      </c>
      <c r="L652" s="41" t="b">
        <f>tblCost[[#This Row],[RemainingRequirements]]=0</f>
        <v>0</v>
      </c>
      <c r="M652" s="43">
        <f>IF(tblCost[[#This Row],[TargetRequirements]]=0,0,tblCost[[#This Row],[CompletedRequirements]]/tblCost[[#This Row],[TargetRequirements]])</f>
        <v>0</v>
      </c>
    </row>
    <row r="653" spans="1:13">
      <c r="A653" s="41" t="s">
        <v>4301</v>
      </c>
      <c r="B653" s="41" t="str">
        <f>_xlfn.TEXTAFTER(_xlfn.TEXTBEFORE(tblCost[[#This Row],[RequirementID]],".",-2),"cost.")</f>
        <v>tech.alchemists_hut.mercury</v>
      </c>
      <c r="C653" s="41" t="str">
        <f>_xlfn.XLOOKUP(tblCost[[#This Row],[TargetID]],tblTargets[TargetID],tblTargets[DisplayName],"")</f>
        <v>Alchemists Hut - Mercury</v>
      </c>
      <c r="D653" s="41" t="str">
        <f>_xlfn.XLOOKUP(tblCost[[#This Row],[TargetID]],tblTargets[TargetID],tblTargets[TargetType],"")</f>
        <v>TECH</v>
      </c>
      <c r="E653" s="41" t="s">
        <v>708</v>
      </c>
      <c r="F653" s="62" t="str">
        <f>RIGHT(tblCost[[#This Row],[RequirementID]],1)</f>
        <v>1</v>
      </c>
      <c r="G653" s="41">
        <v>1</v>
      </c>
      <c r="H653" t="b">
        <f>COUNTIFS(tblCostChecklist[RequirementID],tblCost[[#This Row],[RequirementID]],tblCostChecklist[PlayerPaid],TRUE)&gt;0</f>
        <v>0</v>
      </c>
      <c r="I653" s="41">
        <f>COUNTIF(tblCost[TargetID],tblCost[[#This Row],[TargetID]])</f>
        <v>7</v>
      </c>
      <c r="J653" s="41">
        <f>COUNTIFS(tblCost[TargetID],tblCost[[#This Row],[TargetID]],tblCost[PlayerPaid],TRUE)</f>
        <v>0</v>
      </c>
      <c r="K653" s="41">
        <f>tblCost[[#This Row],[TargetRequirements]]-tblCost[[#This Row],[CompletedRequirements]]</f>
        <v>7</v>
      </c>
      <c r="L653" s="41" t="b">
        <f>tblCost[[#This Row],[RemainingRequirements]]=0</f>
        <v>0</v>
      </c>
      <c r="M653" s="43">
        <f>IF(tblCost[[#This Row],[TargetRequirements]]=0,0,tblCost[[#This Row],[CompletedRequirements]]/tblCost[[#This Row],[TargetRequirements]])</f>
        <v>0</v>
      </c>
    </row>
    <row r="654" spans="1:13">
      <c r="A654" s="41" t="s">
        <v>4302</v>
      </c>
      <c r="B654" s="41" t="str">
        <f>_xlfn.TEXTAFTER(_xlfn.TEXTBEFORE(tblCost[[#This Row],[RequirementID]],".",-2),"cost.")</f>
        <v>tech.alchemists_hut.gold_ingot</v>
      </c>
      <c r="C654" s="41" t="str">
        <f>_xlfn.XLOOKUP(tblCost[[#This Row],[TargetID]],tblTargets[TargetID],tblTargets[DisplayName],"")</f>
        <v>Alchemists Hut - Gold Ingot</v>
      </c>
      <c r="D654" s="41" t="str">
        <f>_xlfn.XLOOKUP(tblCost[[#This Row],[TargetID]],tblTargets[TargetID],tblTargets[TargetType],"")</f>
        <v>TECH</v>
      </c>
      <c r="E654" s="41" t="s">
        <v>655</v>
      </c>
      <c r="F654" s="62" t="str">
        <f>RIGHT(tblCost[[#This Row],[RequirementID]],1)</f>
        <v>1</v>
      </c>
      <c r="G654" s="41">
        <v>20</v>
      </c>
      <c r="H654" t="b">
        <f>COUNTIFS(tblCostChecklist[RequirementID],tblCost[[#This Row],[RequirementID]],tblCostChecklist[PlayerPaid],TRUE)&gt;0</f>
        <v>0</v>
      </c>
      <c r="I654" s="41">
        <f>COUNTIF(tblCost[TargetID],tblCost[[#This Row],[TargetID]])</f>
        <v>6</v>
      </c>
      <c r="J654" s="41">
        <f>COUNTIFS(tblCost[TargetID],tblCost[[#This Row],[TargetID]],tblCost[PlayerPaid],TRUE)</f>
        <v>0</v>
      </c>
      <c r="K654" s="41">
        <f>tblCost[[#This Row],[TargetRequirements]]-tblCost[[#This Row],[CompletedRequirements]]</f>
        <v>6</v>
      </c>
      <c r="L654" s="41" t="b">
        <f>tblCost[[#This Row],[RemainingRequirements]]=0</f>
        <v>0</v>
      </c>
      <c r="M654" s="43">
        <f>IF(tblCost[[#This Row],[TargetRequirements]]=0,0,tblCost[[#This Row],[CompletedRequirements]]/tblCost[[#This Row],[TargetRequirements]])</f>
        <v>0</v>
      </c>
    </row>
    <row r="655" spans="1:13">
      <c r="A655" s="41" t="s">
        <v>4303</v>
      </c>
      <c r="B655" s="41" t="str">
        <f>_xlfn.TEXTAFTER(_xlfn.TEXTBEFORE(tblCost[[#This Row],[RequirementID]],".",-2),"cost.")</f>
        <v>tech.alchemists_hut.gold_ingot</v>
      </c>
      <c r="C655" s="41" t="str">
        <f>_xlfn.XLOOKUP(tblCost[[#This Row],[TargetID]],tblTargets[TargetID],tblTargets[DisplayName],"")</f>
        <v>Alchemists Hut - Gold Ingot</v>
      </c>
      <c r="D655" s="41" t="str">
        <f>_xlfn.XLOOKUP(tblCost[[#This Row],[TargetID]],tblTargets[TargetID],tblTargets[TargetType],"")</f>
        <v>TECH</v>
      </c>
      <c r="E655" s="41" t="s">
        <v>663</v>
      </c>
      <c r="F655" s="62" t="str">
        <f>RIGHT(tblCost[[#This Row],[RequirementID]],1)</f>
        <v>1</v>
      </c>
      <c r="G655" s="41">
        <v>100</v>
      </c>
      <c r="H655" t="b">
        <f>COUNTIFS(tblCostChecklist[RequirementID],tblCost[[#This Row],[RequirementID]],tblCostChecklist[PlayerPaid],TRUE)&gt;0</f>
        <v>0</v>
      </c>
      <c r="I655" s="41">
        <f>COUNTIF(tblCost[TargetID],tblCost[[#This Row],[TargetID]])</f>
        <v>6</v>
      </c>
      <c r="J655" s="41">
        <f>COUNTIFS(tblCost[TargetID],tblCost[[#This Row],[TargetID]],tblCost[PlayerPaid],TRUE)</f>
        <v>0</v>
      </c>
      <c r="K655" s="41">
        <f>tblCost[[#This Row],[TargetRequirements]]-tblCost[[#This Row],[CompletedRequirements]]</f>
        <v>6</v>
      </c>
      <c r="L655" s="41" t="b">
        <f>tblCost[[#This Row],[RemainingRequirements]]=0</f>
        <v>0</v>
      </c>
      <c r="M655" s="43">
        <f>IF(tblCost[[#This Row],[TargetRequirements]]=0,0,tblCost[[#This Row],[CompletedRequirements]]/tblCost[[#This Row],[TargetRequirements]])</f>
        <v>0</v>
      </c>
    </row>
    <row r="656" spans="1:13">
      <c r="A656" s="41" t="s">
        <v>4304</v>
      </c>
      <c r="B656" s="41" t="str">
        <f>_xlfn.TEXTAFTER(_xlfn.TEXTBEFORE(tblCost[[#This Row],[RequirementID]],".",-2),"cost.")</f>
        <v>tech.alchemists_hut.gold_ingot</v>
      </c>
      <c r="C656" s="41" t="str">
        <f>_xlfn.XLOOKUP(tblCost[[#This Row],[TargetID]],tblTargets[TargetID],tblTargets[DisplayName],"")</f>
        <v>Alchemists Hut - Gold Ingot</v>
      </c>
      <c r="D656" s="41" t="str">
        <f>_xlfn.XLOOKUP(tblCost[[#This Row],[TargetID]],tblTargets[TargetID],tblTargets[TargetType],"")</f>
        <v>TECH</v>
      </c>
      <c r="E656" s="41" t="s">
        <v>677</v>
      </c>
      <c r="F656" s="62" t="str">
        <f>RIGHT(tblCost[[#This Row],[RequirementID]],1)</f>
        <v>1</v>
      </c>
      <c r="G656" s="41">
        <v>10</v>
      </c>
      <c r="H656" t="b">
        <f>COUNTIFS(tblCostChecklist[RequirementID],tblCost[[#This Row],[RequirementID]],tblCostChecklist[PlayerPaid],TRUE)&gt;0</f>
        <v>0</v>
      </c>
      <c r="I656" s="41">
        <f>COUNTIF(tblCost[TargetID],tblCost[[#This Row],[TargetID]])</f>
        <v>6</v>
      </c>
      <c r="J656" s="41">
        <f>COUNTIFS(tblCost[TargetID],tblCost[[#This Row],[TargetID]],tblCost[PlayerPaid],TRUE)</f>
        <v>0</v>
      </c>
      <c r="K656" s="41">
        <f>tblCost[[#This Row],[TargetRequirements]]-tblCost[[#This Row],[CompletedRequirements]]</f>
        <v>6</v>
      </c>
      <c r="L656" s="41" t="b">
        <f>tblCost[[#This Row],[RemainingRequirements]]=0</f>
        <v>0</v>
      </c>
      <c r="M656" s="43">
        <f>IF(tblCost[[#This Row],[TargetRequirements]]=0,0,tblCost[[#This Row],[CompletedRequirements]]/tblCost[[#This Row],[TargetRequirements]])</f>
        <v>0</v>
      </c>
    </row>
    <row r="657" spans="1:13">
      <c r="A657" s="41" t="s">
        <v>4305</v>
      </c>
      <c r="B657" s="41" t="str">
        <f>_xlfn.TEXTAFTER(_xlfn.TEXTBEFORE(tblCost[[#This Row],[RequirementID]],".",-2),"cost.")</f>
        <v>tech.alchemists_hut.gold_ingot</v>
      </c>
      <c r="C657" s="41" t="str">
        <f>_xlfn.XLOOKUP(tblCost[[#This Row],[TargetID]],tblTargets[TargetID],tblTargets[DisplayName],"")</f>
        <v>Alchemists Hut - Gold Ingot</v>
      </c>
      <c r="D657" s="41" t="str">
        <f>_xlfn.XLOOKUP(tblCost[[#This Row],[TargetID]],tblTargets[TargetID],tblTargets[TargetType],"")</f>
        <v>TECH</v>
      </c>
      <c r="E657" s="41" t="s">
        <v>680</v>
      </c>
      <c r="F657" s="62" t="str">
        <f>RIGHT(tblCost[[#This Row],[RequirementID]],1)</f>
        <v>1</v>
      </c>
      <c r="G657" s="41">
        <v>20</v>
      </c>
      <c r="H657" t="b">
        <f>COUNTIFS(tblCostChecklist[RequirementID],tblCost[[#This Row],[RequirementID]],tblCostChecklist[PlayerPaid],TRUE)&gt;0</f>
        <v>0</v>
      </c>
      <c r="I657" s="41">
        <f>COUNTIF(tblCost[TargetID],tblCost[[#This Row],[TargetID]])</f>
        <v>6</v>
      </c>
      <c r="J657" s="41">
        <f>COUNTIFS(tblCost[TargetID],tblCost[[#This Row],[TargetID]],tblCost[PlayerPaid],TRUE)</f>
        <v>0</v>
      </c>
      <c r="K657" s="41">
        <f>tblCost[[#This Row],[TargetRequirements]]-tblCost[[#This Row],[CompletedRequirements]]</f>
        <v>6</v>
      </c>
      <c r="L657" s="41" t="b">
        <f>tblCost[[#This Row],[RemainingRequirements]]=0</f>
        <v>0</v>
      </c>
      <c r="M657" s="43">
        <f>IF(tblCost[[#This Row],[TargetRequirements]]=0,0,tblCost[[#This Row],[CompletedRequirements]]/tblCost[[#This Row],[TargetRequirements]])</f>
        <v>0</v>
      </c>
    </row>
    <row r="658" spans="1:13">
      <c r="A658" s="41" t="s">
        <v>4306</v>
      </c>
      <c r="B658" s="41" t="str">
        <f>_xlfn.TEXTAFTER(_xlfn.TEXTBEFORE(tblCost[[#This Row],[RequirementID]],".",-2),"cost.")</f>
        <v>tech.alchemists_hut.gold_ingot</v>
      </c>
      <c r="C658" s="41" t="str">
        <f>_xlfn.XLOOKUP(tblCost[[#This Row],[TargetID]],tblTargets[TargetID],tblTargets[DisplayName],"")</f>
        <v>Alchemists Hut - Gold Ingot</v>
      </c>
      <c r="D658" s="41" t="str">
        <f>_xlfn.XLOOKUP(tblCost[[#This Row],[TargetID]],tblTargets[TargetID],tblTargets[TargetType],"")</f>
        <v>TECH</v>
      </c>
      <c r="E658" s="41" t="s">
        <v>687</v>
      </c>
      <c r="F658" s="62" t="str">
        <f>RIGHT(tblCost[[#This Row],[RequirementID]],1)</f>
        <v>1</v>
      </c>
      <c r="G658" s="41">
        <v>15</v>
      </c>
      <c r="H658" t="b">
        <f>COUNTIFS(tblCostChecklist[RequirementID],tblCost[[#This Row],[RequirementID]],tblCostChecklist[PlayerPaid],TRUE)&gt;0</f>
        <v>0</v>
      </c>
      <c r="I658" s="41">
        <f>COUNTIF(tblCost[TargetID],tblCost[[#This Row],[TargetID]])</f>
        <v>6</v>
      </c>
      <c r="J658" s="41">
        <f>COUNTIFS(tblCost[TargetID],tblCost[[#This Row],[TargetID]],tblCost[PlayerPaid],TRUE)</f>
        <v>0</v>
      </c>
      <c r="K658" s="41">
        <f>tblCost[[#This Row],[TargetRequirements]]-tblCost[[#This Row],[CompletedRequirements]]</f>
        <v>6</v>
      </c>
      <c r="L658" s="41" t="b">
        <f>tblCost[[#This Row],[RemainingRequirements]]=0</f>
        <v>0</v>
      </c>
      <c r="M658" s="43">
        <f>IF(tblCost[[#This Row],[TargetRequirements]]=0,0,tblCost[[#This Row],[CompletedRequirements]]/tblCost[[#This Row],[TargetRequirements]])</f>
        <v>0</v>
      </c>
    </row>
    <row r="659" spans="1:13">
      <c r="A659" s="41" t="s">
        <v>4307</v>
      </c>
      <c r="B659" s="41" t="str">
        <f>_xlfn.TEXTAFTER(_xlfn.TEXTBEFORE(tblCost[[#This Row],[RequirementID]],".",-2),"cost.")</f>
        <v>tech.alchemists_hut.gold_ingot</v>
      </c>
      <c r="C659" s="41" t="str">
        <f>_xlfn.XLOOKUP(tblCost[[#This Row],[TargetID]],tblTargets[TargetID],tblTargets[DisplayName],"")</f>
        <v>Alchemists Hut - Gold Ingot</v>
      </c>
      <c r="D659" s="41" t="str">
        <f>_xlfn.XLOOKUP(tblCost[[#This Row],[TargetID]],tblTargets[TargetID],tblTargets[TargetType],"")</f>
        <v>TECH</v>
      </c>
      <c r="E659" s="41" t="s">
        <v>708</v>
      </c>
      <c r="F659" s="62" t="str">
        <f>RIGHT(tblCost[[#This Row],[RequirementID]],1)</f>
        <v>1</v>
      </c>
      <c r="G659" s="41">
        <v>3</v>
      </c>
      <c r="H659" t="b">
        <f>COUNTIFS(tblCostChecklist[RequirementID],tblCost[[#This Row],[RequirementID]],tblCostChecklist[PlayerPaid],TRUE)&gt;0</f>
        <v>0</v>
      </c>
      <c r="I659" s="41">
        <f>COUNTIF(tblCost[TargetID],tblCost[[#This Row],[TargetID]])</f>
        <v>6</v>
      </c>
      <c r="J659" s="41">
        <f>COUNTIFS(tblCost[TargetID],tblCost[[#This Row],[TargetID]],tblCost[PlayerPaid],TRUE)</f>
        <v>0</v>
      </c>
      <c r="K659" s="41">
        <f>tblCost[[#This Row],[TargetRequirements]]-tblCost[[#This Row],[CompletedRequirements]]</f>
        <v>6</v>
      </c>
      <c r="L659" s="41" t="b">
        <f>tblCost[[#This Row],[RemainingRequirements]]=0</f>
        <v>0</v>
      </c>
      <c r="M659" s="43">
        <f>IF(tblCost[[#This Row],[TargetRequirements]]=0,0,tblCost[[#This Row],[CompletedRequirements]]/tblCost[[#This Row],[TargetRequirements]])</f>
        <v>0</v>
      </c>
    </row>
    <row r="660" spans="1:13">
      <c r="A660" s="41" t="s">
        <v>4308</v>
      </c>
      <c r="B660" s="41" t="str">
        <f>_xlfn.TEXTAFTER(_xlfn.TEXTBEFORE(tblCost[[#This Row],[RequirementID]],".",-2),"cost.")</f>
        <v>tech.alchemists_hut.madness_grenade</v>
      </c>
      <c r="C660" s="41" t="str">
        <f>_xlfn.XLOOKUP(tblCost[[#This Row],[TargetID]],tblTargets[TargetID],tblTargets[DisplayName],"")</f>
        <v>Alchemists Hut - Madness Grenade</v>
      </c>
      <c r="D660" s="41" t="str">
        <f>_xlfn.XLOOKUP(tblCost[[#This Row],[TargetID]],tblTargets[TargetID],tblTargets[TargetType],"")</f>
        <v>TECH</v>
      </c>
      <c r="E660" s="41" t="s">
        <v>655</v>
      </c>
      <c r="F660" s="62" t="str">
        <f>RIGHT(tblCost[[#This Row],[RequirementID]],1)</f>
        <v>1</v>
      </c>
      <c r="G660" s="41">
        <v>5</v>
      </c>
      <c r="H660" t="b">
        <f>COUNTIFS(tblCostChecklist[RequirementID],tblCost[[#This Row],[RequirementID]],tblCostChecklist[PlayerPaid],TRUE)&gt;0</f>
        <v>0</v>
      </c>
      <c r="I660" s="41">
        <f>COUNTIF(tblCost[TargetID],tblCost[[#This Row],[TargetID]])</f>
        <v>8</v>
      </c>
      <c r="J660" s="41">
        <f>COUNTIFS(tblCost[TargetID],tblCost[[#This Row],[TargetID]],tblCost[PlayerPaid],TRUE)</f>
        <v>0</v>
      </c>
      <c r="K660" s="41">
        <f>tblCost[[#This Row],[TargetRequirements]]-tblCost[[#This Row],[CompletedRequirements]]</f>
        <v>8</v>
      </c>
      <c r="L660" s="41" t="b">
        <f>tblCost[[#This Row],[RemainingRequirements]]=0</f>
        <v>0</v>
      </c>
      <c r="M660" s="43">
        <f>IF(tblCost[[#This Row],[TargetRequirements]]=0,0,tblCost[[#This Row],[CompletedRequirements]]/tblCost[[#This Row],[TargetRequirements]])</f>
        <v>0</v>
      </c>
    </row>
    <row r="661" spans="1:13">
      <c r="A661" s="41" t="s">
        <v>4309</v>
      </c>
      <c r="B661" s="41" t="str">
        <f>_xlfn.TEXTAFTER(_xlfn.TEXTBEFORE(tblCost[[#This Row],[RequirementID]],".",-2),"cost.")</f>
        <v>tech.alchemists_hut.madness_grenade</v>
      </c>
      <c r="C661" s="41" t="str">
        <f>_xlfn.XLOOKUP(tblCost[[#This Row],[TargetID]],tblTargets[TargetID],tblTargets[DisplayName],"")</f>
        <v>Alchemists Hut - Madness Grenade</v>
      </c>
      <c r="D661" s="41" t="str">
        <f>_xlfn.XLOOKUP(tblCost[[#This Row],[TargetID]],tblTargets[TargetID],tblTargets[TargetType],"")</f>
        <v>TECH</v>
      </c>
      <c r="E661" s="41" t="s">
        <v>666</v>
      </c>
      <c r="F661" s="62" t="str">
        <f>RIGHT(tblCost[[#This Row],[RequirementID]],1)</f>
        <v>1</v>
      </c>
      <c r="G661" s="41">
        <v>300</v>
      </c>
      <c r="H661" t="b">
        <f>COUNTIFS(tblCostChecklist[RequirementID],tblCost[[#This Row],[RequirementID]],tblCostChecklist[PlayerPaid],TRUE)&gt;0</f>
        <v>0</v>
      </c>
      <c r="I661" s="41">
        <f>COUNTIF(tblCost[TargetID],tblCost[[#This Row],[TargetID]])</f>
        <v>8</v>
      </c>
      <c r="J661" s="41">
        <f>COUNTIFS(tblCost[TargetID],tblCost[[#This Row],[TargetID]],tblCost[PlayerPaid],TRUE)</f>
        <v>0</v>
      </c>
      <c r="K661" s="41">
        <f>tblCost[[#This Row],[TargetRequirements]]-tblCost[[#This Row],[CompletedRequirements]]</f>
        <v>8</v>
      </c>
      <c r="L661" s="41" t="b">
        <f>tblCost[[#This Row],[RemainingRequirements]]=0</f>
        <v>0</v>
      </c>
      <c r="M661" s="43">
        <f>IF(tblCost[[#This Row],[TargetRequirements]]=0,0,tblCost[[#This Row],[CompletedRequirements]]/tblCost[[#This Row],[TargetRequirements]])</f>
        <v>0</v>
      </c>
    </row>
    <row r="662" spans="1:13">
      <c r="A662" s="41" t="s">
        <v>4310</v>
      </c>
      <c r="B662" s="41" t="str">
        <f>_xlfn.TEXTAFTER(_xlfn.TEXTBEFORE(tblCost[[#This Row],[RequirementID]],".",-2),"cost.")</f>
        <v>tech.alchemists_hut.madness_grenade</v>
      </c>
      <c r="C662" s="41" t="str">
        <f>_xlfn.XLOOKUP(tblCost[[#This Row],[TargetID]],tblTargets[TargetID],tblTargets[DisplayName],"")</f>
        <v>Alchemists Hut - Madness Grenade</v>
      </c>
      <c r="D662" s="41" t="str">
        <f>_xlfn.XLOOKUP(tblCost[[#This Row],[TargetID]],tblTargets[TargetID],tblTargets[TargetType],"")</f>
        <v>TECH</v>
      </c>
      <c r="E662" s="41" t="s">
        <v>674</v>
      </c>
      <c r="F662" s="62" t="str">
        <f>RIGHT(tblCost[[#This Row],[RequirementID]],1)</f>
        <v>1</v>
      </c>
      <c r="G662" s="41">
        <v>10</v>
      </c>
      <c r="H662" t="b">
        <f>COUNTIFS(tblCostChecklist[RequirementID],tblCost[[#This Row],[RequirementID]],tblCostChecklist[PlayerPaid],TRUE)&gt;0</f>
        <v>0</v>
      </c>
      <c r="I662" s="41">
        <f>COUNTIF(tblCost[TargetID],tblCost[[#This Row],[TargetID]])</f>
        <v>8</v>
      </c>
      <c r="J662" s="41">
        <f>COUNTIFS(tblCost[TargetID],tblCost[[#This Row],[TargetID]],tblCost[PlayerPaid],TRUE)</f>
        <v>0</v>
      </c>
      <c r="K662" s="41">
        <f>tblCost[[#This Row],[TargetRequirements]]-tblCost[[#This Row],[CompletedRequirements]]</f>
        <v>8</v>
      </c>
      <c r="L662" s="41" t="b">
        <f>tblCost[[#This Row],[RemainingRequirements]]=0</f>
        <v>0</v>
      </c>
      <c r="M662" s="43">
        <f>IF(tblCost[[#This Row],[TargetRequirements]]=0,0,tblCost[[#This Row],[CompletedRequirements]]/tblCost[[#This Row],[TargetRequirements]])</f>
        <v>0</v>
      </c>
    </row>
    <row r="663" spans="1:13">
      <c r="A663" s="41" t="s">
        <v>4311</v>
      </c>
      <c r="B663" s="41" t="str">
        <f>_xlfn.TEXTAFTER(_xlfn.TEXTBEFORE(tblCost[[#This Row],[RequirementID]],".",-2),"cost.")</f>
        <v>tech.alchemists_hut.madness_grenade</v>
      </c>
      <c r="C663" s="41" t="str">
        <f>_xlfn.XLOOKUP(tblCost[[#This Row],[TargetID]],tblTargets[TargetID],tblTargets[DisplayName],"")</f>
        <v>Alchemists Hut - Madness Grenade</v>
      </c>
      <c r="D663" s="41" t="str">
        <f>_xlfn.XLOOKUP(tblCost[[#This Row],[TargetID]],tblTargets[TargetID],tblTargets[TargetType],"")</f>
        <v>TECH</v>
      </c>
      <c r="E663" s="41" t="s">
        <v>677</v>
      </c>
      <c r="F663" s="62" t="str">
        <f>RIGHT(tblCost[[#This Row],[RequirementID]],1)</f>
        <v>1</v>
      </c>
      <c r="G663" s="41">
        <v>10</v>
      </c>
      <c r="H663" t="b">
        <f>COUNTIFS(tblCostChecklist[RequirementID],tblCost[[#This Row],[RequirementID]],tblCostChecklist[PlayerPaid],TRUE)&gt;0</f>
        <v>0</v>
      </c>
      <c r="I663" s="41">
        <f>COUNTIF(tblCost[TargetID],tblCost[[#This Row],[TargetID]])</f>
        <v>8</v>
      </c>
      <c r="J663" s="41">
        <f>COUNTIFS(tblCost[TargetID],tblCost[[#This Row],[TargetID]],tblCost[PlayerPaid],TRUE)</f>
        <v>0</v>
      </c>
      <c r="K663" s="41">
        <f>tblCost[[#This Row],[TargetRequirements]]-tblCost[[#This Row],[CompletedRequirements]]</f>
        <v>8</v>
      </c>
      <c r="L663" s="41" t="b">
        <f>tblCost[[#This Row],[RemainingRequirements]]=0</f>
        <v>0</v>
      </c>
      <c r="M663" s="43">
        <f>IF(tblCost[[#This Row],[TargetRequirements]]=0,0,tblCost[[#This Row],[CompletedRequirements]]/tblCost[[#This Row],[TargetRequirements]])</f>
        <v>0</v>
      </c>
    </row>
    <row r="664" spans="1:13">
      <c r="A664" s="41" t="s">
        <v>4312</v>
      </c>
      <c r="B664" s="41" t="str">
        <f>_xlfn.TEXTAFTER(_xlfn.TEXTBEFORE(tblCost[[#This Row],[RequirementID]],".",-2),"cost.")</f>
        <v>tech.alchemists_hut.madness_grenade</v>
      </c>
      <c r="C664" s="41" t="str">
        <f>_xlfn.XLOOKUP(tblCost[[#This Row],[TargetID]],tblTargets[TargetID],tblTargets[DisplayName],"")</f>
        <v>Alchemists Hut - Madness Grenade</v>
      </c>
      <c r="D664" s="41" t="str">
        <f>_xlfn.XLOOKUP(tblCost[[#This Row],[TargetID]],tblTargets[TargetID],tblTargets[TargetType],"")</f>
        <v>TECH</v>
      </c>
      <c r="E664" s="41" t="s">
        <v>678</v>
      </c>
      <c r="F664" s="62" t="str">
        <f>RIGHT(tblCost[[#This Row],[RequirementID]],1)</f>
        <v>1</v>
      </c>
      <c r="G664" s="41">
        <v>100</v>
      </c>
      <c r="H664" t="b">
        <f>COUNTIFS(tblCostChecklist[RequirementID],tblCost[[#This Row],[RequirementID]],tblCostChecklist[PlayerPaid],TRUE)&gt;0</f>
        <v>0</v>
      </c>
      <c r="I664" s="41">
        <f>COUNTIF(tblCost[TargetID],tblCost[[#This Row],[TargetID]])</f>
        <v>8</v>
      </c>
      <c r="J664" s="41">
        <f>COUNTIFS(tblCost[TargetID],tblCost[[#This Row],[TargetID]],tblCost[PlayerPaid],TRUE)</f>
        <v>0</v>
      </c>
      <c r="K664" s="41">
        <f>tblCost[[#This Row],[TargetRequirements]]-tblCost[[#This Row],[CompletedRequirements]]</f>
        <v>8</v>
      </c>
      <c r="L664" s="41" t="b">
        <f>tblCost[[#This Row],[RemainingRequirements]]=0</f>
        <v>0</v>
      </c>
      <c r="M664" s="43">
        <f>IF(tblCost[[#This Row],[TargetRequirements]]=0,0,tblCost[[#This Row],[CompletedRequirements]]/tblCost[[#This Row],[TargetRequirements]])</f>
        <v>0</v>
      </c>
    </row>
    <row r="665" spans="1:13">
      <c r="A665" s="41" t="s">
        <v>4313</v>
      </c>
      <c r="B665" s="41" t="str">
        <f>_xlfn.TEXTAFTER(_xlfn.TEXTBEFORE(tblCost[[#This Row],[RequirementID]],".",-2),"cost.")</f>
        <v>tech.alchemists_hut.madness_grenade</v>
      </c>
      <c r="C665" s="41" t="str">
        <f>_xlfn.XLOOKUP(tblCost[[#This Row],[TargetID]],tblTargets[TargetID],tblTargets[DisplayName],"")</f>
        <v>Alchemists Hut - Madness Grenade</v>
      </c>
      <c r="D665" s="41" t="str">
        <f>_xlfn.XLOOKUP(tblCost[[#This Row],[TargetID]],tblTargets[TargetID],tblTargets[TargetType],"")</f>
        <v>TECH</v>
      </c>
      <c r="E665" s="41" t="s">
        <v>679</v>
      </c>
      <c r="F665" s="62" t="str">
        <f>RIGHT(tblCost[[#This Row],[RequirementID]],1)</f>
        <v>1</v>
      </c>
      <c r="G665" s="41">
        <v>10</v>
      </c>
      <c r="H665" t="b">
        <f>COUNTIFS(tblCostChecklist[RequirementID],tblCost[[#This Row],[RequirementID]],tblCostChecklist[PlayerPaid],TRUE)&gt;0</f>
        <v>0</v>
      </c>
      <c r="I665" s="41">
        <f>COUNTIF(tblCost[TargetID],tblCost[[#This Row],[TargetID]])</f>
        <v>8</v>
      </c>
      <c r="J665" s="41">
        <f>COUNTIFS(tblCost[TargetID],tblCost[[#This Row],[TargetID]],tblCost[PlayerPaid],TRUE)</f>
        <v>0</v>
      </c>
      <c r="K665" s="41">
        <f>tblCost[[#This Row],[TargetRequirements]]-tblCost[[#This Row],[CompletedRequirements]]</f>
        <v>8</v>
      </c>
      <c r="L665" s="41" t="b">
        <f>tblCost[[#This Row],[RemainingRequirements]]=0</f>
        <v>0</v>
      </c>
      <c r="M665" s="43">
        <f>IF(tblCost[[#This Row],[TargetRequirements]]=0,0,tblCost[[#This Row],[CompletedRequirements]]/tblCost[[#This Row],[TargetRequirements]])</f>
        <v>0</v>
      </c>
    </row>
    <row r="666" spans="1:13">
      <c r="A666" s="41" t="s">
        <v>4314</v>
      </c>
      <c r="B666" s="41" t="str">
        <f>_xlfn.TEXTAFTER(_xlfn.TEXTBEFORE(tblCost[[#This Row],[RequirementID]],".",-2),"cost.")</f>
        <v>tech.alchemists_hut.madness_grenade</v>
      </c>
      <c r="C666" s="41" t="str">
        <f>_xlfn.XLOOKUP(tblCost[[#This Row],[TargetID]],tblTargets[TargetID],tblTargets[DisplayName],"")</f>
        <v>Alchemists Hut - Madness Grenade</v>
      </c>
      <c r="D666" s="41" t="str">
        <f>_xlfn.XLOOKUP(tblCost[[#This Row],[TargetID]],tblTargets[TargetID],tblTargets[TargetType],"")</f>
        <v>TECH</v>
      </c>
      <c r="E666" s="41" t="s">
        <v>687</v>
      </c>
      <c r="F666" s="62" t="str">
        <f>RIGHT(tblCost[[#This Row],[RequirementID]],1)</f>
        <v>1</v>
      </c>
      <c r="G666" s="41">
        <v>10</v>
      </c>
      <c r="H666" t="b">
        <f>COUNTIFS(tblCostChecklist[RequirementID],tblCost[[#This Row],[RequirementID]],tblCostChecklist[PlayerPaid],TRUE)&gt;0</f>
        <v>0</v>
      </c>
      <c r="I666" s="41">
        <f>COUNTIF(tblCost[TargetID],tblCost[[#This Row],[TargetID]])</f>
        <v>8</v>
      </c>
      <c r="J666" s="41">
        <f>COUNTIFS(tblCost[TargetID],tblCost[[#This Row],[TargetID]],tblCost[PlayerPaid],TRUE)</f>
        <v>0</v>
      </c>
      <c r="K666" s="41">
        <f>tblCost[[#This Row],[TargetRequirements]]-tblCost[[#This Row],[CompletedRequirements]]</f>
        <v>8</v>
      </c>
      <c r="L666" s="41" t="b">
        <f>tblCost[[#This Row],[RemainingRequirements]]=0</f>
        <v>0</v>
      </c>
      <c r="M666" s="43">
        <f>IF(tblCost[[#This Row],[TargetRequirements]]=0,0,tblCost[[#This Row],[CompletedRequirements]]/tblCost[[#This Row],[TargetRequirements]])</f>
        <v>0</v>
      </c>
    </row>
    <row r="667" spans="1:13">
      <c r="A667" s="41" t="s">
        <v>4315</v>
      </c>
      <c r="B667" s="41" t="str">
        <f>_xlfn.TEXTAFTER(_xlfn.TEXTBEFORE(tblCost[[#This Row],[RequirementID]],".",-2),"cost.")</f>
        <v>tech.alchemists_hut.madness_grenade</v>
      </c>
      <c r="C667" s="41" t="str">
        <f>_xlfn.XLOOKUP(tblCost[[#This Row],[TargetID]],tblTargets[TargetID],tblTargets[DisplayName],"")</f>
        <v>Alchemists Hut - Madness Grenade</v>
      </c>
      <c r="D667" s="41" t="str">
        <f>_xlfn.XLOOKUP(tblCost[[#This Row],[TargetID]],tblTargets[TargetID],tblTargets[TargetType],"")</f>
        <v>TECH</v>
      </c>
      <c r="E667" s="41" t="s">
        <v>708</v>
      </c>
      <c r="F667" s="62" t="str">
        <f>RIGHT(tblCost[[#This Row],[RequirementID]],1)</f>
        <v>1</v>
      </c>
      <c r="G667" s="41">
        <v>1</v>
      </c>
      <c r="H667" t="b">
        <f>COUNTIFS(tblCostChecklist[RequirementID],tblCost[[#This Row],[RequirementID]],tblCostChecklist[PlayerPaid],TRUE)&gt;0</f>
        <v>0</v>
      </c>
      <c r="I667" s="41">
        <f>COUNTIF(tblCost[TargetID],tblCost[[#This Row],[TargetID]])</f>
        <v>8</v>
      </c>
      <c r="J667" s="41">
        <f>COUNTIFS(tblCost[TargetID],tblCost[[#This Row],[TargetID]],tblCost[PlayerPaid],TRUE)</f>
        <v>0</v>
      </c>
      <c r="K667" s="41">
        <f>tblCost[[#This Row],[TargetRequirements]]-tblCost[[#This Row],[CompletedRequirements]]</f>
        <v>8</v>
      </c>
      <c r="L667" s="41" t="b">
        <f>tblCost[[#This Row],[RemainingRequirements]]=0</f>
        <v>0</v>
      </c>
      <c r="M667" s="43">
        <f>IF(tblCost[[#This Row],[TargetRequirements]]=0,0,tblCost[[#This Row],[CompletedRequirements]]/tblCost[[#This Row],[TargetRequirements]])</f>
        <v>0</v>
      </c>
    </row>
    <row r="668" spans="1:13">
      <c r="A668" s="41" t="s">
        <v>4316</v>
      </c>
      <c r="B668" s="41" t="str">
        <f>_xlfn.TEXTAFTER(_xlfn.TEXTBEFORE(tblCost[[#This Row],[RequirementID]],".",-2),"cost.")</f>
        <v>tech.alchemists_hut.potion_of_healing</v>
      </c>
      <c r="C668" s="41" t="str">
        <f>_xlfn.XLOOKUP(tblCost[[#This Row],[TargetID]],tblTargets[TargetID],tblTargets[DisplayName],"")</f>
        <v>Alchemists Hut - Potion Of Healing</v>
      </c>
      <c r="D668" s="41" t="str">
        <f>_xlfn.XLOOKUP(tblCost[[#This Row],[TargetID]],tblTargets[TargetID],tblTargets[TargetType],"")</f>
        <v>TECH</v>
      </c>
      <c r="E668" s="41" t="s">
        <v>666</v>
      </c>
      <c r="F668" s="62" t="str">
        <f>RIGHT(tblCost[[#This Row],[RequirementID]],1)</f>
        <v>1</v>
      </c>
      <c r="G668" s="41">
        <v>300</v>
      </c>
      <c r="H668" t="b">
        <f>COUNTIFS(tblCostChecklist[RequirementID],tblCost[[#This Row],[RequirementID]],tblCostChecklist[PlayerPaid],TRUE)&gt;0</f>
        <v>0</v>
      </c>
      <c r="I668" s="41">
        <f>COUNTIF(tblCost[TargetID],tblCost[[#This Row],[TargetID]])</f>
        <v>6</v>
      </c>
      <c r="J668" s="41">
        <f>COUNTIFS(tblCost[TargetID],tblCost[[#This Row],[TargetID]],tblCost[PlayerPaid],TRUE)</f>
        <v>0</v>
      </c>
      <c r="K668" s="41">
        <f>tblCost[[#This Row],[TargetRequirements]]-tblCost[[#This Row],[CompletedRequirements]]</f>
        <v>6</v>
      </c>
      <c r="L668" s="41" t="b">
        <f>tblCost[[#This Row],[RemainingRequirements]]=0</f>
        <v>0</v>
      </c>
      <c r="M668" s="43">
        <f>IF(tblCost[[#This Row],[TargetRequirements]]=0,0,tblCost[[#This Row],[CompletedRequirements]]/tblCost[[#This Row],[TargetRequirements]])</f>
        <v>0</v>
      </c>
    </row>
    <row r="669" spans="1:13">
      <c r="A669" s="41" t="s">
        <v>4317</v>
      </c>
      <c r="B669" s="41" t="str">
        <f>_xlfn.TEXTAFTER(_xlfn.TEXTBEFORE(tblCost[[#This Row],[RequirementID]],".",-2),"cost.")</f>
        <v>tech.alchemists_hut.potion_of_healing</v>
      </c>
      <c r="C669" s="41" t="str">
        <f>_xlfn.XLOOKUP(tblCost[[#This Row],[TargetID]],tblTargets[TargetID],tblTargets[DisplayName],"")</f>
        <v>Alchemists Hut - Potion Of Healing</v>
      </c>
      <c r="D669" s="41" t="str">
        <f>_xlfn.XLOOKUP(tblCost[[#This Row],[TargetID]],tblTargets[TargetID],tblTargets[TargetType],"")</f>
        <v>TECH</v>
      </c>
      <c r="E669" s="41" t="s">
        <v>667</v>
      </c>
      <c r="F669" s="62" t="str">
        <f>RIGHT(tblCost[[#This Row],[RequirementID]],1)</f>
        <v>1</v>
      </c>
      <c r="G669" s="41">
        <v>50</v>
      </c>
      <c r="H669" t="b">
        <f>COUNTIFS(tblCostChecklist[RequirementID],tblCost[[#This Row],[RequirementID]],tblCostChecklist[PlayerPaid],TRUE)&gt;0</f>
        <v>0</v>
      </c>
      <c r="I669" s="41">
        <f>COUNTIF(tblCost[TargetID],tblCost[[#This Row],[TargetID]])</f>
        <v>6</v>
      </c>
      <c r="J669" s="41">
        <f>COUNTIFS(tblCost[TargetID],tblCost[[#This Row],[TargetID]],tblCost[PlayerPaid],TRUE)</f>
        <v>0</v>
      </c>
      <c r="K669" s="41">
        <f>tblCost[[#This Row],[TargetRequirements]]-tblCost[[#This Row],[CompletedRequirements]]</f>
        <v>6</v>
      </c>
      <c r="L669" s="41" t="b">
        <f>tblCost[[#This Row],[RemainingRequirements]]=0</f>
        <v>0</v>
      </c>
      <c r="M669" s="43">
        <f>IF(tblCost[[#This Row],[TargetRequirements]]=0,0,tblCost[[#This Row],[CompletedRequirements]]/tblCost[[#This Row],[TargetRequirements]])</f>
        <v>0</v>
      </c>
    </row>
    <row r="670" spans="1:13">
      <c r="A670" s="41" t="s">
        <v>4318</v>
      </c>
      <c r="B670" s="41" t="str">
        <f>_xlfn.TEXTAFTER(_xlfn.TEXTBEFORE(tblCost[[#This Row],[RequirementID]],".",-2),"cost.")</f>
        <v>tech.alchemists_hut.potion_of_healing</v>
      </c>
      <c r="C670" s="41" t="str">
        <f>_xlfn.XLOOKUP(tblCost[[#This Row],[TargetID]],tblTargets[TargetID],tblTargets[DisplayName],"")</f>
        <v>Alchemists Hut - Potion Of Healing</v>
      </c>
      <c r="D670" s="41" t="str">
        <f>_xlfn.XLOOKUP(tblCost[[#This Row],[TargetID]],tblTargets[TargetID],tblTargets[TargetType],"")</f>
        <v>TECH</v>
      </c>
      <c r="E670" s="41" t="s">
        <v>674</v>
      </c>
      <c r="F670" s="62" t="str">
        <f>RIGHT(tblCost[[#This Row],[RequirementID]],1)</f>
        <v>1</v>
      </c>
      <c r="G670" s="41">
        <v>10</v>
      </c>
      <c r="H670" t="b">
        <f>COUNTIFS(tblCostChecklist[RequirementID],tblCost[[#This Row],[RequirementID]],tblCostChecklist[PlayerPaid],TRUE)&gt;0</f>
        <v>0</v>
      </c>
      <c r="I670" s="41">
        <f>COUNTIF(tblCost[TargetID],tblCost[[#This Row],[TargetID]])</f>
        <v>6</v>
      </c>
      <c r="J670" s="41">
        <f>COUNTIFS(tblCost[TargetID],tblCost[[#This Row],[TargetID]],tblCost[PlayerPaid],TRUE)</f>
        <v>0</v>
      </c>
      <c r="K670" s="41">
        <f>tblCost[[#This Row],[TargetRequirements]]-tblCost[[#This Row],[CompletedRequirements]]</f>
        <v>6</v>
      </c>
      <c r="L670" s="41" t="b">
        <f>tblCost[[#This Row],[RemainingRequirements]]=0</f>
        <v>0</v>
      </c>
      <c r="M670" s="43">
        <f>IF(tblCost[[#This Row],[TargetRequirements]]=0,0,tblCost[[#This Row],[CompletedRequirements]]/tblCost[[#This Row],[TargetRequirements]])</f>
        <v>0</v>
      </c>
    </row>
    <row r="671" spans="1:13">
      <c r="A671" s="41" t="s">
        <v>4319</v>
      </c>
      <c r="B671" s="41" t="str">
        <f>_xlfn.TEXTAFTER(_xlfn.TEXTBEFORE(tblCost[[#This Row],[RequirementID]],".",-2),"cost.")</f>
        <v>tech.alchemists_hut.potion_of_healing</v>
      </c>
      <c r="C671" s="41" t="str">
        <f>_xlfn.XLOOKUP(tblCost[[#This Row],[TargetID]],tblTargets[TargetID],tblTargets[DisplayName],"")</f>
        <v>Alchemists Hut - Potion Of Healing</v>
      </c>
      <c r="D671" s="41" t="str">
        <f>_xlfn.XLOOKUP(tblCost[[#This Row],[TargetID]],tblTargets[TargetID],tblTargets[TargetType],"")</f>
        <v>TECH</v>
      </c>
      <c r="E671" s="41" t="s">
        <v>696</v>
      </c>
      <c r="F671" s="62" t="str">
        <f>RIGHT(tblCost[[#This Row],[RequirementID]],1)</f>
        <v>1</v>
      </c>
      <c r="G671" s="41">
        <v>15</v>
      </c>
      <c r="H671" t="b">
        <f>COUNTIFS(tblCostChecklist[RequirementID],tblCost[[#This Row],[RequirementID]],tblCostChecklist[PlayerPaid],TRUE)&gt;0</f>
        <v>0</v>
      </c>
      <c r="I671" s="41">
        <f>COUNTIF(tblCost[TargetID],tblCost[[#This Row],[TargetID]])</f>
        <v>6</v>
      </c>
      <c r="J671" s="41">
        <f>COUNTIFS(tblCost[TargetID],tblCost[[#This Row],[TargetID]],tblCost[PlayerPaid],TRUE)</f>
        <v>0</v>
      </c>
      <c r="K671" s="41">
        <f>tblCost[[#This Row],[TargetRequirements]]-tblCost[[#This Row],[CompletedRequirements]]</f>
        <v>6</v>
      </c>
      <c r="L671" s="41" t="b">
        <f>tblCost[[#This Row],[RemainingRequirements]]=0</f>
        <v>0</v>
      </c>
      <c r="M671" s="43">
        <f>IF(tblCost[[#This Row],[TargetRequirements]]=0,0,tblCost[[#This Row],[CompletedRequirements]]/tblCost[[#This Row],[TargetRequirements]])</f>
        <v>0</v>
      </c>
    </row>
    <row r="672" spans="1:13">
      <c r="A672" s="41" t="s">
        <v>4320</v>
      </c>
      <c r="B672" s="41" t="str">
        <f>_xlfn.TEXTAFTER(_xlfn.TEXTBEFORE(tblCost[[#This Row],[RequirementID]],".",-2),"cost.")</f>
        <v>tech.alchemists_hut.potion_of_healing</v>
      </c>
      <c r="C672" s="41" t="str">
        <f>_xlfn.XLOOKUP(tblCost[[#This Row],[TargetID]],tblTargets[TargetID],tblTargets[DisplayName],"")</f>
        <v>Alchemists Hut - Potion Of Healing</v>
      </c>
      <c r="D672" s="41" t="str">
        <f>_xlfn.XLOOKUP(tblCost[[#This Row],[TargetID]],tblTargets[TargetID],tblTargets[TargetType],"")</f>
        <v>TECH</v>
      </c>
      <c r="E672" s="41" t="s">
        <v>705</v>
      </c>
      <c r="F672" s="62" t="str">
        <f>RIGHT(tblCost[[#This Row],[RequirementID]],1)</f>
        <v>1</v>
      </c>
      <c r="G672" s="41">
        <v>15</v>
      </c>
      <c r="H672" t="b">
        <f>COUNTIFS(tblCostChecklist[RequirementID],tblCost[[#This Row],[RequirementID]],tblCostChecklist[PlayerPaid],TRUE)&gt;0</f>
        <v>0</v>
      </c>
      <c r="I672" s="41">
        <f>COUNTIF(tblCost[TargetID],tblCost[[#This Row],[TargetID]])</f>
        <v>6</v>
      </c>
      <c r="J672" s="41">
        <f>COUNTIFS(tblCost[TargetID],tblCost[[#This Row],[TargetID]],tblCost[PlayerPaid],TRUE)</f>
        <v>0</v>
      </c>
      <c r="K672" s="41">
        <f>tblCost[[#This Row],[TargetRequirements]]-tblCost[[#This Row],[CompletedRequirements]]</f>
        <v>6</v>
      </c>
      <c r="L672" s="41" t="b">
        <f>tblCost[[#This Row],[RemainingRequirements]]=0</f>
        <v>0</v>
      </c>
      <c r="M672" s="43">
        <f>IF(tblCost[[#This Row],[TargetRequirements]]=0,0,tblCost[[#This Row],[CompletedRequirements]]/tblCost[[#This Row],[TargetRequirements]])</f>
        <v>0</v>
      </c>
    </row>
    <row r="673" spans="1:13">
      <c r="A673" s="41" t="s">
        <v>4321</v>
      </c>
      <c r="B673" s="41" t="str">
        <f>_xlfn.TEXTAFTER(_xlfn.TEXTBEFORE(tblCost[[#This Row],[RequirementID]],".",-2),"cost.")</f>
        <v>tech.alchemists_hut.potion_of_healing</v>
      </c>
      <c r="C673" s="41" t="str">
        <f>_xlfn.XLOOKUP(tblCost[[#This Row],[TargetID]],tblTargets[TargetID],tblTargets[DisplayName],"")</f>
        <v>Alchemists Hut - Potion Of Healing</v>
      </c>
      <c r="D673" s="41" t="str">
        <f>_xlfn.XLOOKUP(tblCost[[#This Row],[TargetID]],tblTargets[TargetID],tblTargets[TargetType],"")</f>
        <v>TECH</v>
      </c>
      <c r="E673" s="41" t="s">
        <v>708</v>
      </c>
      <c r="F673" s="62" t="str">
        <f>RIGHT(tblCost[[#This Row],[RequirementID]],1)</f>
        <v>1</v>
      </c>
      <c r="G673" s="41">
        <v>1</v>
      </c>
      <c r="H673" t="b">
        <f>COUNTIFS(tblCostChecklist[RequirementID],tblCost[[#This Row],[RequirementID]],tblCostChecklist[PlayerPaid],TRUE)&gt;0</f>
        <v>0</v>
      </c>
      <c r="I673" s="41">
        <f>COUNTIF(tblCost[TargetID],tblCost[[#This Row],[TargetID]])</f>
        <v>6</v>
      </c>
      <c r="J673" s="41">
        <f>COUNTIFS(tblCost[TargetID],tblCost[[#This Row],[TargetID]],tblCost[PlayerPaid],TRUE)</f>
        <v>0</v>
      </c>
      <c r="K673" s="41">
        <f>tblCost[[#This Row],[TargetRequirements]]-tblCost[[#This Row],[CompletedRequirements]]</f>
        <v>6</v>
      </c>
      <c r="L673" s="41" t="b">
        <f>tblCost[[#This Row],[RemainingRequirements]]=0</f>
        <v>0</v>
      </c>
      <c r="M673" s="43">
        <f>IF(tblCost[[#This Row],[TargetRequirements]]=0,0,tblCost[[#This Row],[CompletedRequirements]]/tblCost[[#This Row],[TargetRequirements]])</f>
        <v>0</v>
      </c>
    </row>
    <row r="674" spans="1:13">
      <c r="A674" s="41" t="s">
        <v>4322</v>
      </c>
      <c r="B674" s="41" t="str">
        <f>_xlfn.TEXTAFTER(_xlfn.TEXTBEFORE(tblCost[[#This Row],[RequirementID]],".",-2),"cost.")</f>
        <v>tech.alchemists_hut.potion_of_energy</v>
      </c>
      <c r="C674" s="41" t="str">
        <f>_xlfn.XLOOKUP(tblCost[[#This Row],[TargetID]],tblTargets[TargetID],tblTargets[DisplayName],"")</f>
        <v>Alchemists Hut - Potion Of Energy</v>
      </c>
      <c r="D674" s="41" t="str">
        <f>_xlfn.XLOOKUP(tblCost[[#This Row],[TargetID]],tblTargets[TargetID],tblTargets[TargetType],"")</f>
        <v>TECH</v>
      </c>
      <c r="E674" s="41" t="s">
        <v>666</v>
      </c>
      <c r="F674" s="62" t="str">
        <f>RIGHT(tblCost[[#This Row],[RequirementID]],1)</f>
        <v>1</v>
      </c>
      <c r="G674" s="41">
        <v>300</v>
      </c>
      <c r="H674" t="b">
        <f>COUNTIFS(tblCostChecklist[RequirementID],tblCost[[#This Row],[RequirementID]],tblCostChecklist[PlayerPaid],TRUE)&gt;0</f>
        <v>0</v>
      </c>
      <c r="I674" s="41">
        <f>COUNTIF(tblCost[TargetID],tblCost[[#This Row],[TargetID]])</f>
        <v>6</v>
      </c>
      <c r="J674" s="41">
        <f>COUNTIFS(tblCost[TargetID],tblCost[[#This Row],[TargetID]],tblCost[PlayerPaid],TRUE)</f>
        <v>0</v>
      </c>
      <c r="K674" s="41">
        <f>tblCost[[#This Row],[TargetRequirements]]-tblCost[[#This Row],[CompletedRequirements]]</f>
        <v>6</v>
      </c>
      <c r="L674" s="41" t="b">
        <f>tblCost[[#This Row],[RemainingRequirements]]=0</f>
        <v>0</v>
      </c>
      <c r="M674" s="43">
        <f>IF(tblCost[[#This Row],[TargetRequirements]]=0,0,tblCost[[#This Row],[CompletedRequirements]]/tblCost[[#This Row],[TargetRequirements]])</f>
        <v>0</v>
      </c>
    </row>
    <row r="675" spans="1:13">
      <c r="A675" s="41" t="s">
        <v>4323</v>
      </c>
      <c r="B675" s="41" t="str">
        <f>_xlfn.TEXTAFTER(_xlfn.TEXTBEFORE(tblCost[[#This Row],[RequirementID]],".",-2),"cost.")</f>
        <v>tech.alchemists_hut.potion_of_energy</v>
      </c>
      <c r="C675" s="41" t="str">
        <f>_xlfn.XLOOKUP(tblCost[[#This Row],[TargetID]],tblTargets[TargetID],tblTargets[DisplayName],"")</f>
        <v>Alchemists Hut - Potion Of Energy</v>
      </c>
      <c r="D675" s="41" t="str">
        <f>_xlfn.XLOOKUP(tblCost[[#This Row],[TargetID]],tblTargets[TargetID],tblTargets[TargetType],"")</f>
        <v>TECH</v>
      </c>
      <c r="E675" s="41" t="s">
        <v>667</v>
      </c>
      <c r="F675" s="62" t="str">
        <f>RIGHT(tblCost[[#This Row],[RequirementID]],1)</f>
        <v>1</v>
      </c>
      <c r="G675" s="41">
        <v>50</v>
      </c>
      <c r="H675" t="b">
        <f>COUNTIFS(tblCostChecklist[RequirementID],tblCost[[#This Row],[RequirementID]],tblCostChecklist[PlayerPaid],TRUE)&gt;0</f>
        <v>0</v>
      </c>
      <c r="I675" s="41">
        <f>COUNTIF(tblCost[TargetID],tblCost[[#This Row],[TargetID]])</f>
        <v>6</v>
      </c>
      <c r="J675" s="41">
        <f>COUNTIFS(tblCost[TargetID],tblCost[[#This Row],[TargetID]],tblCost[PlayerPaid],TRUE)</f>
        <v>0</v>
      </c>
      <c r="K675" s="41">
        <f>tblCost[[#This Row],[TargetRequirements]]-tblCost[[#This Row],[CompletedRequirements]]</f>
        <v>6</v>
      </c>
      <c r="L675" s="41" t="b">
        <f>tblCost[[#This Row],[RemainingRequirements]]=0</f>
        <v>0</v>
      </c>
      <c r="M675" s="43">
        <f>IF(tblCost[[#This Row],[TargetRequirements]]=0,0,tblCost[[#This Row],[CompletedRequirements]]/tblCost[[#This Row],[TargetRequirements]])</f>
        <v>0</v>
      </c>
    </row>
    <row r="676" spans="1:13">
      <c r="A676" s="41" t="s">
        <v>4324</v>
      </c>
      <c r="B676" s="41" t="str">
        <f>_xlfn.TEXTAFTER(_xlfn.TEXTBEFORE(tblCost[[#This Row],[RequirementID]],".",-2),"cost.")</f>
        <v>tech.alchemists_hut.potion_of_energy</v>
      </c>
      <c r="C676" s="41" t="str">
        <f>_xlfn.XLOOKUP(tblCost[[#This Row],[TargetID]],tblTargets[TargetID],tblTargets[DisplayName],"")</f>
        <v>Alchemists Hut - Potion Of Energy</v>
      </c>
      <c r="D676" s="41" t="str">
        <f>_xlfn.XLOOKUP(tblCost[[#This Row],[TargetID]],tblTargets[TargetID],tblTargets[TargetType],"")</f>
        <v>TECH</v>
      </c>
      <c r="E676" s="41" t="s">
        <v>674</v>
      </c>
      <c r="F676" s="62" t="str">
        <f>RIGHT(tblCost[[#This Row],[RequirementID]],1)</f>
        <v>1</v>
      </c>
      <c r="G676" s="41">
        <v>10</v>
      </c>
      <c r="H676" t="b">
        <f>COUNTIFS(tblCostChecklist[RequirementID],tblCost[[#This Row],[RequirementID]],tblCostChecklist[PlayerPaid],TRUE)&gt;0</f>
        <v>0</v>
      </c>
      <c r="I676" s="41">
        <f>COUNTIF(tblCost[TargetID],tblCost[[#This Row],[TargetID]])</f>
        <v>6</v>
      </c>
      <c r="J676" s="41">
        <f>COUNTIFS(tblCost[TargetID],tblCost[[#This Row],[TargetID]],tblCost[PlayerPaid],TRUE)</f>
        <v>0</v>
      </c>
      <c r="K676" s="41">
        <f>tblCost[[#This Row],[TargetRequirements]]-tblCost[[#This Row],[CompletedRequirements]]</f>
        <v>6</v>
      </c>
      <c r="L676" s="41" t="b">
        <f>tblCost[[#This Row],[RemainingRequirements]]=0</f>
        <v>0</v>
      </c>
      <c r="M676" s="43">
        <f>IF(tblCost[[#This Row],[TargetRequirements]]=0,0,tblCost[[#This Row],[CompletedRequirements]]/tblCost[[#This Row],[TargetRequirements]])</f>
        <v>0</v>
      </c>
    </row>
    <row r="677" spans="1:13">
      <c r="A677" s="41" t="s">
        <v>4325</v>
      </c>
      <c r="B677" s="41" t="str">
        <f>_xlfn.TEXTAFTER(_xlfn.TEXTBEFORE(tblCost[[#This Row],[RequirementID]],".",-2),"cost.")</f>
        <v>tech.alchemists_hut.potion_of_energy</v>
      </c>
      <c r="C677" s="41" t="str">
        <f>_xlfn.XLOOKUP(tblCost[[#This Row],[TargetID]],tblTargets[TargetID],tblTargets[DisplayName],"")</f>
        <v>Alchemists Hut - Potion Of Energy</v>
      </c>
      <c r="D677" s="41" t="str">
        <f>_xlfn.XLOOKUP(tblCost[[#This Row],[TargetID]],tblTargets[TargetID],tblTargets[TargetType],"")</f>
        <v>TECH</v>
      </c>
      <c r="E677" s="41" t="s">
        <v>696</v>
      </c>
      <c r="F677" s="62" t="str">
        <f>RIGHT(tblCost[[#This Row],[RequirementID]],1)</f>
        <v>1</v>
      </c>
      <c r="G677" s="41">
        <v>15</v>
      </c>
      <c r="H677" t="b">
        <f>COUNTIFS(tblCostChecklist[RequirementID],tblCost[[#This Row],[RequirementID]],tblCostChecklist[PlayerPaid],TRUE)&gt;0</f>
        <v>0</v>
      </c>
      <c r="I677" s="41">
        <f>COUNTIF(tblCost[TargetID],tblCost[[#This Row],[TargetID]])</f>
        <v>6</v>
      </c>
      <c r="J677" s="41">
        <f>COUNTIFS(tblCost[TargetID],tblCost[[#This Row],[TargetID]],tblCost[PlayerPaid],TRUE)</f>
        <v>0</v>
      </c>
      <c r="K677" s="41">
        <f>tblCost[[#This Row],[TargetRequirements]]-tblCost[[#This Row],[CompletedRequirements]]</f>
        <v>6</v>
      </c>
      <c r="L677" s="41" t="b">
        <f>tblCost[[#This Row],[RemainingRequirements]]=0</f>
        <v>0</v>
      </c>
      <c r="M677" s="43">
        <f>IF(tblCost[[#This Row],[TargetRequirements]]=0,0,tblCost[[#This Row],[CompletedRequirements]]/tblCost[[#This Row],[TargetRequirements]])</f>
        <v>0</v>
      </c>
    </row>
    <row r="678" spans="1:13">
      <c r="A678" s="41" t="s">
        <v>4326</v>
      </c>
      <c r="B678" s="41" t="str">
        <f>_xlfn.TEXTAFTER(_xlfn.TEXTBEFORE(tblCost[[#This Row],[RequirementID]],".",-2),"cost.")</f>
        <v>tech.alchemists_hut.potion_of_energy</v>
      </c>
      <c r="C678" s="41" t="str">
        <f>_xlfn.XLOOKUP(tblCost[[#This Row],[TargetID]],tblTargets[TargetID],tblTargets[DisplayName],"")</f>
        <v>Alchemists Hut - Potion Of Energy</v>
      </c>
      <c r="D678" s="41" t="str">
        <f>_xlfn.XLOOKUP(tblCost[[#This Row],[TargetID]],tblTargets[TargetID],tblTargets[TargetType],"")</f>
        <v>TECH</v>
      </c>
      <c r="E678" s="41" t="s">
        <v>705</v>
      </c>
      <c r="F678" s="62" t="str">
        <f>RIGHT(tblCost[[#This Row],[RequirementID]],1)</f>
        <v>1</v>
      </c>
      <c r="G678" s="41">
        <v>15</v>
      </c>
      <c r="H678" t="b">
        <f>COUNTIFS(tblCostChecklist[RequirementID],tblCost[[#This Row],[RequirementID]],tblCostChecklist[PlayerPaid],TRUE)&gt;0</f>
        <v>0</v>
      </c>
      <c r="I678" s="41">
        <f>COUNTIF(tblCost[TargetID],tblCost[[#This Row],[TargetID]])</f>
        <v>6</v>
      </c>
      <c r="J678" s="41">
        <f>COUNTIFS(tblCost[TargetID],tblCost[[#This Row],[TargetID]],tblCost[PlayerPaid],TRUE)</f>
        <v>0</v>
      </c>
      <c r="K678" s="41">
        <f>tblCost[[#This Row],[TargetRequirements]]-tblCost[[#This Row],[CompletedRequirements]]</f>
        <v>6</v>
      </c>
      <c r="L678" s="41" t="b">
        <f>tblCost[[#This Row],[RemainingRequirements]]=0</f>
        <v>0</v>
      </c>
      <c r="M678" s="43">
        <f>IF(tblCost[[#This Row],[TargetRequirements]]=0,0,tblCost[[#This Row],[CompletedRequirements]]/tblCost[[#This Row],[TargetRequirements]])</f>
        <v>0</v>
      </c>
    </row>
    <row r="679" spans="1:13">
      <c r="A679" s="41" t="s">
        <v>4327</v>
      </c>
      <c r="B679" s="41" t="str">
        <f>_xlfn.TEXTAFTER(_xlfn.TEXTBEFORE(tblCost[[#This Row],[RequirementID]],".",-2),"cost.")</f>
        <v>tech.alchemists_hut.potion_of_energy</v>
      </c>
      <c r="C679" s="41" t="str">
        <f>_xlfn.XLOOKUP(tblCost[[#This Row],[TargetID]],tblTargets[TargetID],tblTargets[DisplayName],"")</f>
        <v>Alchemists Hut - Potion Of Energy</v>
      </c>
      <c r="D679" s="41" t="str">
        <f>_xlfn.XLOOKUP(tblCost[[#This Row],[TargetID]],tblTargets[TargetID],tblTargets[TargetType],"")</f>
        <v>TECH</v>
      </c>
      <c r="E679" s="41" t="s">
        <v>708</v>
      </c>
      <c r="F679" s="62" t="str">
        <f>RIGHT(tblCost[[#This Row],[RequirementID]],1)</f>
        <v>1</v>
      </c>
      <c r="G679" s="41">
        <v>1</v>
      </c>
      <c r="H679" t="b">
        <f>COUNTIFS(tblCostChecklist[RequirementID],tblCost[[#This Row],[RequirementID]],tblCostChecklist[PlayerPaid],TRUE)&gt;0</f>
        <v>0</v>
      </c>
      <c r="I679" s="41">
        <f>COUNTIF(tblCost[TargetID],tblCost[[#This Row],[TargetID]])</f>
        <v>6</v>
      </c>
      <c r="J679" s="41">
        <f>COUNTIFS(tblCost[TargetID],tblCost[[#This Row],[TargetID]],tblCost[PlayerPaid],TRUE)</f>
        <v>0</v>
      </c>
      <c r="K679" s="41">
        <f>tblCost[[#This Row],[TargetRequirements]]-tblCost[[#This Row],[CompletedRequirements]]</f>
        <v>6</v>
      </c>
      <c r="L679" s="41" t="b">
        <f>tblCost[[#This Row],[RemainingRequirements]]=0</f>
        <v>0</v>
      </c>
      <c r="M679" s="43">
        <f>IF(tblCost[[#This Row],[TargetRequirements]]=0,0,tblCost[[#This Row],[CompletedRequirements]]/tblCost[[#This Row],[TargetRequirements]])</f>
        <v>0</v>
      </c>
    </row>
    <row r="680" spans="1:13">
      <c r="A680" s="41" t="s">
        <v>4328</v>
      </c>
      <c r="B680" s="41" t="str">
        <f>_xlfn.TEXTAFTER(_xlfn.TEXTBEFORE(tblCost[[#This Row],[RequirementID]],".",-2),"cost.")</f>
        <v>tech.alchemists_hut.potion_berserker_rage</v>
      </c>
      <c r="C680" s="41" t="str">
        <f>_xlfn.XLOOKUP(tblCost[[#This Row],[TargetID]],tblTargets[TargetID],tblTargets[DisplayName],"")</f>
        <v>Alchemists Hut - Potion Berserker Rage</v>
      </c>
      <c r="D680" s="41" t="str">
        <f>_xlfn.XLOOKUP(tblCost[[#This Row],[TargetID]],tblTargets[TargetID],tblTargets[TargetType],"")</f>
        <v>TECH</v>
      </c>
      <c r="E680" s="41" t="s">
        <v>666</v>
      </c>
      <c r="F680" s="62" t="str">
        <f>RIGHT(tblCost[[#This Row],[RequirementID]],1)</f>
        <v>1</v>
      </c>
      <c r="G680" s="41">
        <v>500</v>
      </c>
      <c r="H680" t="b">
        <f>COUNTIFS(tblCostChecklist[RequirementID],tblCost[[#This Row],[RequirementID]],tblCostChecklist[PlayerPaid],TRUE)&gt;0</f>
        <v>0</v>
      </c>
      <c r="I680" s="41">
        <f>COUNTIF(tblCost[TargetID],tblCost[[#This Row],[TargetID]])</f>
        <v>7</v>
      </c>
      <c r="J680" s="41">
        <f>COUNTIFS(tblCost[TargetID],tblCost[[#This Row],[TargetID]],tblCost[PlayerPaid],TRUE)</f>
        <v>0</v>
      </c>
      <c r="K680" s="41">
        <f>tblCost[[#This Row],[TargetRequirements]]-tblCost[[#This Row],[CompletedRequirements]]</f>
        <v>7</v>
      </c>
      <c r="L680" s="41" t="b">
        <f>tblCost[[#This Row],[RemainingRequirements]]=0</f>
        <v>0</v>
      </c>
      <c r="M680" s="43">
        <f>IF(tblCost[[#This Row],[TargetRequirements]]=0,0,tblCost[[#This Row],[CompletedRequirements]]/tblCost[[#This Row],[TargetRequirements]])</f>
        <v>0</v>
      </c>
    </row>
    <row r="681" spans="1:13">
      <c r="A681" s="41" t="s">
        <v>4329</v>
      </c>
      <c r="B681" s="41" t="str">
        <f>_xlfn.TEXTAFTER(_xlfn.TEXTBEFORE(tblCost[[#This Row],[RequirementID]],".",-2),"cost.")</f>
        <v>tech.alchemists_hut.potion_berserker_rage</v>
      </c>
      <c r="C681" s="41" t="str">
        <f>_xlfn.XLOOKUP(tblCost[[#This Row],[TargetID]],tblTargets[TargetID],tblTargets[DisplayName],"")</f>
        <v>Alchemists Hut - Potion Berserker Rage</v>
      </c>
      <c r="D681" s="41" t="str">
        <f>_xlfn.XLOOKUP(tblCost[[#This Row],[TargetID]],tblTargets[TargetID],tblTargets[TargetType],"")</f>
        <v>TECH</v>
      </c>
      <c r="E681" s="41" t="s">
        <v>674</v>
      </c>
      <c r="F681" s="62" t="str">
        <f>RIGHT(tblCost[[#This Row],[RequirementID]],1)</f>
        <v>1</v>
      </c>
      <c r="G681" s="41">
        <v>10</v>
      </c>
      <c r="H681" t="b">
        <f>COUNTIFS(tblCostChecklist[RequirementID],tblCost[[#This Row],[RequirementID]],tblCostChecklist[PlayerPaid],TRUE)&gt;0</f>
        <v>0</v>
      </c>
      <c r="I681" s="41">
        <f>COUNTIF(tblCost[TargetID],tblCost[[#This Row],[TargetID]])</f>
        <v>7</v>
      </c>
      <c r="J681" s="41">
        <f>COUNTIFS(tblCost[TargetID],tblCost[[#This Row],[TargetID]],tblCost[PlayerPaid],TRUE)</f>
        <v>0</v>
      </c>
      <c r="K681" s="41">
        <f>tblCost[[#This Row],[TargetRequirements]]-tblCost[[#This Row],[CompletedRequirements]]</f>
        <v>7</v>
      </c>
      <c r="L681" s="41" t="b">
        <f>tblCost[[#This Row],[RemainingRequirements]]=0</f>
        <v>0</v>
      </c>
      <c r="M681" s="43">
        <f>IF(tblCost[[#This Row],[TargetRequirements]]=0,0,tblCost[[#This Row],[CompletedRequirements]]/tblCost[[#This Row],[TargetRequirements]])</f>
        <v>0</v>
      </c>
    </row>
    <row r="682" spans="1:13">
      <c r="A682" s="41" t="s">
        <v>4330</v>
      </c>
      <c r="B682" s="41" t="str">
        <f>_xlfn.TEXTAFTER(_xlfn.TEXTBEFORE(tblCost[[#This Row],[RequirementID]],".",-2),"cost.")</f>
        <v>tech.alchemists_hut.potion_berserker_rage</v>
      </c>
      <c r="C682" s="41" t="str">
        <f>_xlfn.XLOOKUP(tblCost[[#This Row],[TargetID]],tblTargets[TargetID],tblTargets[DisplayName],"")</f>
        <v>Alchemists Hut - Potion Berserker Rage</v>
      </c>
      <c r="D682" s="41" t="str">
        <f>_xlfn.XLOOKUP(tblCost[[#This Row],[TargetID]],tblTargets[TargetID],tblTargets[TargetType],"")</f>
        <v>TECH</v>
      </c>
      <c r="E682" s="41" t="s">
        <v>940</v>
      </c>
      <c r="F682" s="62" t="str">
        <f>RIGHT(tblCost[[#This Row],[RequirementID]],1)</f>
        <v>1</v>
      </c>
      <c r="G682" s="41">
        <v>10</v>
      </c>
      <c r="H682" t="b">
        <f>COUNTIFS(tblCostChecklist[RequirementID],tblCost[[#This Row],[RequirementID]],tblCostChecklist[PlayerPaid],TRUE)&gt;0</f>
        <v>0</v>
      </c>
      <c r="I682" s="41">
        <f>COUNTIF(tblCost[TargetID],tblCost[[#This Row],[TargetID]])</f>
        <v>7</v>
      </c>
      <c r="J682" s="41">
        <f>COUNTIFS(tblCost[TargetID],tblCost[[#This Row],[TargetID]],tblCost[PlayerPaid],TRUE)</f>
        <v>0</v>
      </c>
      <c r="K682" s="41">
        <f>tblCost[[#This Row],[TargetRequirements]]-tblCost[[#This Row],[CompletedRequirements]]</f>
        <v>7</v>
      </c>
      <c r="L682" s="41" t="b">
        <f>tblCost[[#This Row],[RemainingRequirements]]=0</f>
        <v>0</v>
      </c>
      <c r="M682" s="43">
        <f>IF(tblCost[[#This Row],[TargetRequirements]]=0,0,tblCost[[#This Row],[CompletedRequirements]]/tblCost[[#This Row],[TargetRequirements]])</f>
        <v>0</v>
      </c>
    </row>
    <row r="683" spans="1:13">
      <c r="A683" s="41" t="s">
        <v>4331</v>
      </c>
      <c r="B683" s="41" t="str">
        <f>_xlfn.TEXTAFTER(_xlfn.TEXTBEFORE(tblCost[[#This Row],[RequirementID]],".",-2),"cost.")</f>
        <v>tech.alchemists_hut.potion_berserker_rage</v>
      </c>
      <c r="C683" s="41" t="str">
        <f>_xlfn.XLOOKUP(tblCost[[#This Row],[TargetID]],tblTargets[TargetID],tblTargets[DisplayName],"")</f>
        <v>Alchemists Hut - Potion Berserker Rage</v>
      </c>
      <c r="D683" s="41" t="str">
        <f>_xlfn.XLOOKUP(tblCost[[#This Row],[TargetID]],tblTargets[TargetID],tblTargets[TargetType],"")</f>
        <v>TECH</v>
      </c>
      <c r="E683" s="41" t="s">
        <v>696</v>
      </c>
      <c r="F683" s="62" t="str">
        <f>RIGHT(tblCost[[#This Row],[RequirementID]],1)</f>
        <v>1</v>
      </c>
      <c r="G683" s="41">
        <v>20</v>
      </c>
      <c r="H683" t="b">
        <f>COUNTIFS(tblCostChecklist[RequirementID],tblCost[[#This Row],[RequirementID]],tblCostChecklist[PlayerPaid],TRUE)&gt;0</f>
        <v>0</v>
      </c>
      <c r="I683" s="41">
        <f>COUNTIF(tblCost[TargetID],tblCost[[#This Row],[TargetID]])</f>
        <v>7</v>
      </c>
      <c r="J683" s="41">
        <f>COUNTIFS(tblCost[TargetID],tblCost[[#This Row],[TargetID]],tblCost[PlayerPaid],TRUE)</f>
        <v>0</v>
      </c>
      <c r="K683" s="41">
        <f>tblCost[[#This Row],[TargetRequirements]]-tblCost[[#This Row],[CompletedRequirements]]</f>
        <v>7</v>
      </c>
      <c r="L683" s="41" t="b">
        <f>tblCost[[#This Row],[RemainingRequirements]]=0</f>
        <v>0</v>
      </c>
      <c r="M683" s="43">
        <f>IF(tblCost[[#This Row],[TargetRequirements]]=0,0,tblCost[[#This Row],[CompletedRequirements]]/tblCost[[#This Row],[TargetRequirements]])</f>
        <v>0</v>
      </c>
    </row>
    <row r="684" spans="1:13">
      <c r="A684" s="41" t="s">
        <v>4332</v>
      </c>
      <c r="B684" s="41" t="str">
        <f>_xlfn.TEXTAFTER(_xlfn.TEXTBEFORE(tblCost[[#This Row],[RequirementID]],".",-2),"cost.")</f>
        <v>tech.alchemists_hut.potion_berserker_rage</v>
      </c>
      <c r="C684" s="41" t="str">
        <f>_xlfn.XLOOKUP(tblCost[[#This Row],[TargetID]],tblTargets[TargetID],tblTargets[DisplayName],"")</f>
        <v>Alchemists Hut - Potion Berserker Rage</v>
      </c>
      <c r="D684" s="41" t="str">
        <f>_xlfn.XLOOKUP(tblCost[[#This Row],[TargetID]],tblTargets[TargetID],tblTargets[TargetType],"")</f>
        <v>TECH</v>
      </c>
      <c r="E684" s="41" t="s">
        <v>705</v>
      </c>
      <c r="F684" s="62" t="str">
        <f>RIGHT(tblCost[[#This Row],[RequirementID]],1)</f>
        <v>1</v>
      </c>
      <c r="G684" s="41">
        <v>20</v>
      </c>
      <c r="H684" t="b">
        <f>COUNTIFS(tblCostChecklist[RequirementID],tblCost[[#This Row],[RequirementID]],tblCostChecklist[PlayerPaid],TRUE)&gt;0</f>
        <v>0</v>
      </c>
      <c r="I684" s="41">
        <f>COUNTIF(tblCost[TargetID],tblCost[[#This Row],[TargetID]])</f>
        <v>7</v>
      </c>
      <c r="J684" s="41">
        <f>COUNTIFS(tblCost[TargetID],tblCost[[#This Row],[TargetID]],tblCost[PlayerPaid],TRUE)</f>
        <v>0</v>
      </c>
      <c r="K684" s="41">
        <f>tblCost[[#This Row],[TargetRequirements]]-tblCost[[#This Row],[CompletedRequirements]]</f>
        <v>7</v>
      </c>
      <c r="L684" s="41" t="b">
        <f>tblCost[[#This Row],[RemainingRequirements]]=0</f>
        <v>0</v>
      </c>
      <c r="M684" s="43">
        <f>IF(tblCost[[#This Row],[TargetRequirements]]=0,0,tblCost[[#This Row],[CompletedRequirements]]/tblCost[[#This Row],[TargetRequirements]])</f>
        <v>0</v>
      </c>
    </row>
    <row r="685" spans="1:13">
      <c r="A685" s="41" t="s">
        <v>4333</v>
      </c>
      <c r="B685" s="41" t="str">
        <f>_xlfn.TEXTAFTER(_xlfn.TEXTBEFORE(tblCost[[#This Row],[RequirementID]],".",-2),"cost.")</f>
        <v>tech.alchemists_hut.potion_berserker_rage</v>
      </c>
      <c r="C685" s="41" t="str">
        <f>_xlfn.XLOOKUP(tblCost[[#This Row],[TargetID]],tblTargets[TargetID],tblTargets[DisplayName],"")</f>
        <v>Alchemists Hut - Potion Berserker Rage</v>
      </c>
      <c r="D685" s="41" t="str">
        <f>_xlfn.XLOOKUP(tblCost[[#This Row],[TargetID]],tblTargets[TargetID],tblTargets[TargetType],"")</f>
        <v>TECH</v>
      </c>
      <c r="E685" s="41" t="s">
        <v>708</v>
      </c>
      <c r="F685" s="62" t="str">
        <f>RIGHT(tblCost[[#This Row],[RequirementID]],1)</f>
        <v>1</v>
      </c>
      <c r="G685" s="41">
        <v>3</v>
      </c>
      <c r="H685" t="b">
        <f>COUNTIFS(tblCostChecklist[RequirementID],tblCost[[#This Row],[RequirementID]],tblCostChecklist[PlayerPaid],TRUE)&gt;0</f>
        <v>0</v>
      </c>
      <c r="I685" s="41">
        <f>COUNTIF(tblCost[TargetID],tblCost[[#This Row],[TargetID]])</f>
        <v>7</v>
      </c>
      <c r="J685" s="41">
        <f>COUNTIFS(tblCost[TargetID],tblCost[[#This Row],[TargetID]],tblCost[PlayerPaid],TRUE)</f>
        <v>0</v>
      </c>
      <c r="K685" s="41">
        <f>tblCost[[#This Row],[TargetRequirements]]-tblCost[[#This Row],[CompletedRequirements]]</f>
        <v>7</v>
      </c>
      <c r="L685" s="41" t="b">
        <f>tblCost[[#This Row],[RemainingRequirements]]=0</f>
        <v>0</v>
      </c>
      <c r="M685" s="43">
        <f>IF(tblCost[[#This Row],[TargetRequirements]]=0,0,tblCost[[#This Row],[CompletedRequirements]]/tblCost[[#This Row],[TargetRequirements]])</f>
        <v>0</v>
      </c>
    </row>
    <row r="686" spans="1:13">
      <c r="A686" s="41" t="s">
        <v>4334</v>
      </c>
      <c r="B686" s="41" t="str">
        <f>_xlfn.TEXTAFTER(_xlfn.TEXTBEFORE(tblCost[[#This Row],[RequirementID]],".",-2),"cost.")</f>
        <v>tech.alchemists_hut.potion_berserker_rage</v>
      </c>
      <c r="C686" s="41" t="str">
        <f>_xlfn.XLOOKUP(tblCost[[#This Row],[TargetID]],tblTargets[TargetID],tblTargets[DisplayName],"")</f>
        <v>Alchemists Hut - Potion Berserker Rage</v>
      </c>
      <c r="D686" s="41" t="str">
        <f>_xlfn.XLOOKUP(tblCost[[#This Row],[TargetID]],tblTargets[TargetID],tblTargets[TargetType],"")</f>
        <v>TECH</v>
      </c>
      <c r="E686" s="41" t="s">
        <v>715</v>
      </c>
      <c r="F686" s="62" t="str">
        <f>RIGHT(tblCost[[#This Row],[RequirementID]],1)</f>
        <v>1</v>
      </c>
      <c r="G686" s="41">
        <v>3</v>
      </c>
      <c r="H686" t="b">
        <f>COUNTIFS(tblCostChecklist[RequirementID],tblCost[[#This Row],[RequirementID]],tblCostChecklist[PlayerPaid],TRUE)&gt;0</f>
        <v>0</v>
      </c>
      <c r="I686" s="41">
        <f>COUNTIF(tblCost[TargetID],tblCost[[#This Row],[TargetID]])</f>
        <v>7</v>
      </c>
      <c r="J686" s="41">
        <f>COUNTIFS(tblCost[TargetID],tblCost[[#This Row],[TargetID]],tblCost[PlayerPaid],TRUE)</f>
        <v>0</v>
      </c>
      <c r="K686" s="41">
        <f>tblCost[[#This Row],[TargetRequirements]]-tblCost[[#This Row],[CompletedRequirements]]</f>
        <v>7</v>
      </c>
      <c r="L686" s="41" t="b">
        <f>tblCost[[#This Row],[RemainingRequirements]]=0</f>
        <v>0</v>
      </c>
      <c r="M686" s="43">
        <f>IF(tblCost[[#This Row],[TargetRequirements]]=0,0,tblCost[[#This Row],[CompletedRequirements]]/tblCost[[#This Row],[TargetRequirements]])</f>
        <v>0</v>
      </c>
    </row>
    <row r="687" spans="1:13">
      <c r="A687" s="41" t="s">
        <v>4335</v>
      </c>
      <c r="B687" s="41" t="str">
        <f>_xlfn.TEXTAFTER(_xlfn.TEXTBEFORE(tblCost[[#This Row],[RequirementID]],".",-2),"cost.")</f>
        <v>tech.alchemists_hut.potion_of_healing_lvl_2</v>
      </c>
      <c r="C687" s="41" t="str">
        <f>_xlfn.XLOOKUP(tblCost[[#This Row],[TargetID]],tblTargets[TargetID],tblTargets[DisplayName],"")</f>
        <v>Alchemists Hut - Potion Of Healing Lvl 2</v>
      </c>
      <c r="D687" s="41" t="str">
        <f>_xlfn.XLOOKUP(tblCost[[#This Row],[TargetID]],tblTargets[TargetID],tblTargets[TargetType],"")</f>
        <v>TECH</v>
      </c>
      <c r="E687" s="41" t="s">
        <v>928</v>
      </c>
      <c r="F687" s="62" t="str">
        <f>RIGHT(tblCost[[#This Row],[RequirementID]],1)</f>
        <v>1</v>
      </c>
      <c r="G687" s="41">
        <v>15</v>
      </c>
      <c r="H687" t="b">
        <f>COUNTIFS(tblCostChecklist[RequirementID],tblCost[[#This Row],[RequirementID]],tblCostChecklist[PlayerPaid],TRUE)&gt;0</f>
        <v>0</v>
      </c>
      <c r="I687" s="41">
        <f>COUNTIF(tblCost[TargetID],tblCost[[#This Row],[TargetID]])</f>
        <v>7</v>
      </c>
      <c r="J687" s="41">
        <f>COUNTIFS(tblCost[TargetID],tblCost[[#This Row],[TargetID]],tblCost[PlayerPaid],TRUE)</f>
        <v>0</v>
      </c>
      <c r="K687" s="41">
        <f>tblCost[[#This Row],[TargetRequirements]]-tblCost[[#This Row],[CompletedRequirements]]</f>
        <v>7</v>
      </c>
      <c r="L687" s="41" t="b">
        <f>tblCost[[#This Row],[RemainingRequirements]]=0</f>
        <v>0</v>
      </c>
      <c r="M687" s="43">
        <f>IF(tblCost[[#This Row],[TargetRequirements]]=0,0,tblCost[[#This Row],[CompletedRequirements]]/tblCost[[#This Row],[TargetRequirements]])</f>
        <v>0</v>
      </c>
    </row>
    <row r="688" spans="1:13">
      <c r="A688" s="41" t="s">
        <v>4336</v>
      </c>
      <c r="B688" s="41" t="str">
        <f>_xlfn.TEXTAFTER(_xlfn.TEXTBEFORE(tblCost[[#This Row],[RequirementID]],".",-2),"cost.")</f>
        <v>tech.alchemists_hut.potion_of_healing_lvl_2</v>
      </c>
      <c r="C688" s="41" t="str">
        <f>_xlfn.XLOOKUP(tblCost[[#This Row],[TargetID]],tblTargets[TargetID],tblTargets[DisplayName],"")</f>
        <v>Alchemists Hut - Potion Of Healing Lvl 2</v>
      </c>
      <c r="D688" s="41" t="str">
        <f>_xlfn.XLOOKUP(tblCost[[#This Row],[TargetID]],tblTargets[TargetID],tblTargets[TargetType],"")</f>
        <v>TECH</v>
      </c>
      <c r="E688" s="41" t="s">
        <v>666</v>
      </c>
      <c r="F688" s="62" t="str">
        <f>RIGHT(tblCost[[#This Row],[RequirementID]],1)</f>
        <v>1</v>
      </c>
      <c r="G688" s="41">
        <v>500</v>
      </c>
      <c r="H688" t="b">
        <f>COUNTIFS(tblCostChecklist[RequirementID],tblCost[[#This Row],[RequirementID]],tblCostChecklist[PlayerPaid],TRUE)&gt;0</f>
        <v>0</v>
      </c>
      <c r="I688" s="41">
        <f>COUNTIF(tblCost[TargetID],tblCost[[#This Row],[TargetID]])</f>
        <v>7</v>
      </c>
      <c r="J688" s="41">
        <f>COUNTIFS(tblCost[TargetID],tblCost[[#This Row],[TargetID]],tblCost[PlayerPaid],TRUE)</f>
        <v>0</v>
      </c>
      <c r="K688" s="41">
        <f>tblCost[[#This Row],[TargetRequirements]]-tblCost[[#This Row],[CompletedRequirements]]</f>
        <v>7</v>
      </c>
      <c r="L688" s="41" t="b">
        <f>tblCost[[#This Row],[RemainingRequirements]]=0</f>
        <v>0</v>
      </c>
      <c r="M688" s="43">
        <f>IF(tblCost[[#This Row],[TargetRequirements]]=0,0,tblCost[[#This Row],[CompletedRequirements]]/tblCost[[#This Row],[TargetRequirements]])</f>
        <v>0</v>
      </c>
    </row>
    <row r="689" spans="1:13">
      <c r="A689" s="41" t="s">
        <v>4337</v>
      </c>
      <c r="B689" s="41" t="str">
        <f>_xlfn.TEXTAFTER(_xlfn.TEXTBEFORE(tblCost[[#This Row],[RequirementID]],".",-2),"cost.")</f>
        <v>tech.alchemists_hut.potion_of_healing_lvl_2</v>
      </c>
      <c r="C689" s="41" t="str">
        <f>_xlfn.XLOOKUP(tblCost[[#This Row],[TargetID]],tblTargets[TargetID],tblTargets[DisplayName],"")</f>
        <v>Alchemists Hut - Potion Of Healing Lvl 2</v>
      </c>
      <c r="D689" s="41" t="str">
        <f>_xlfn.XLOOKUP(tblCost[[#This Row],[TargetID]],tblTargets[TargetID],tblTargets[TargetType],"")</f>
        <v>TECH</v>
      </c>
      <c r="E689" s="41" t="s">
        <v>940</v>
      </c>
      <c r="F689" s="62" t="str">
        <f>RIGHT(tblCost[[#This Row],[RequirementID]],1)</f>
        <v>1</v>
      </c>
      <c r="G689" s="41">
        <v>10</v>
      </c>
      <c r="H689" t="b">
        <f>COUNTIFS(tblCostChecklist[RequirementID],tblCost[[#This Row],[RequirementID]],tblCostChecklist[PlayerPaid],TRUE)&gt;0</f>
        <v>0</v>
      </c>
      <c r="I689" s="41">
        <f>COUNTIF(tblCost[TargetID],tblCost[[#This Row],[TargetID]])</f>
        <v>7</v>
      </c>
      <c r="J689" s="41">
        <f>COUNTIFS(tblCost[TargetID],tblCost[[#This Row],[TargetID]],tblCost[PlayerPaid],TRUE)</f>
        <v>0</v>
      </c>
      <c r="K689" s="41">
        <f>tblCost[[#This Row],[TargetRequirements]]-tblCost[[#This Row],[CompletedRequirements]]</f>
        <v>7</v>
      </c>
      <c r="L689" s="41" t="b">
        <f>tblCost[[#This Row],[RemainingRequirements]]=0</f>
        <v>0</v>
      </c>
      <c r="M689" s="43">
        <f>IF(tblCost[[#This Row],[TargetRequirements]]=0,0,tblCost[[#This Row],[CompletedRequirements]]/tblCost[[#This Row],[TargetRequirements]])</f>
        <v>0</v>
      </c>
    </row>
    <row r="690" spans="1:13">
      <c r="A690" s="41" t="s">
        <v>4338</v>
      </c>
      <c r="B690" s="41" t="str">
        <f>_xlfn.TEXTAFTER(_xlfn.TEXTBEFORE(tblCost[[#This Row],[RequirementID]],".",-2),"cost.")</f>
        <v>tech.alchemists_hut.potion_of_healing_lvl_2</v>
      </c>
      <c r="C690" s="41" t="str">
        <f>_xlfn.XLOOKUP(tblCost[[#This Row],[TargetID]],tblTargets[TargetID],tblTargets[DisplayName],"")</f>
        <v>Alchemists Hut - Potion Of Healing Lvl 2</v>
      </c>
      <c r="D690" s="41" t="str">
        <f>_xlfn.XLOOKUP(tblCost[[#This Row],[TargetID]],tblTargets[TargetID],tblTargets[TargetType],"")</f>
        <v>TECH</v>
      </c>
      <c r="E690" s="41" t="s">
        <v>696</v>
      </c>
      <c r="F690" s="62" t="str">
        <f>RIGHT(tblCost[[#This Row],[RequirementID]],1)</f>
        <v>1</v>
      </c>
      <c r="G690" s="41">
        <v>20</v>
      </c>
      <c r="H690" t="b">
        <f>COUNTIFS(tblCostChecklist[RequirementID],tblCost[[#This Row],[RequirementID]],tblCostChecklist[PlayerPaid],TRUE)&gt;0</f>
        <v>0</v>
      </c>
      <c r="I690" s="41">
        <f>COUNTIF(tblCost[TargetID],tblCost[[#This Row],[TargetID]])</f>
        <v>7</v>
      </c>
      <c r="J690" s="41">
        <f>COUNTIFS(tblCost[TargetID],tblCost[[#This Row],[TargetID]],tblCost[PlayerPaid],TRUE)</f>
        <v>0</v>
      </c>
      <c r="K690" s="41">
        <f>tblCost[[#This Row],[TargetRequirements]]-tblCost[[#This Row],[CompletedRequirements]]</f>
        <v>7</v>
      </c>
      <c r="L690" s="41" t="b">
        <f>tblCost[[#This Row],[RemainingRequirements]]=0</f>
        <v>0</v>
      </c>
      <c r="M690" s="43">
        <f>IF(tblCost[[#This Row],[TargetRequirements]]=0,0,tblCost[[#This Row],[CompletedRequirements]]/tblCost[[#This Row],[TargetRequirements]])</f>
        <v>0</v>
      </c>
    </row>
    <row r="691" spans="1:13">
      <c r="A691" s="41" t="s">
        <v>4339</v>
      </c>
      <c r="B691" s="41" t="str">
        <f>_xlfn.TEXTAFTER(_xlfn.TEXTBEFORE(tblCost[[#This Row],[RequirementID]],".",-2),"cost.")</f>
        <v>tech.alchemists_hut.potion_of_healing_lvl_2</v>
      </c>
      <c r="C691" s="41" t="str">
        <f>_xlfn.XLOOKUP(tblCost[[#This Row],[TargetID]],tblTargets[TargetID],tblTargets[DisplayName],"")</f>
        <v>Alchemists Hut - Potion Of Healing Lvl 2</v>
      </c>
      <c r="D691" s="41" t="str">
        <f>_xlfn.XLOOKUP(tblCost[[#This Row],[TargetID]],tblTargets[TargetID],tblTargets[TargetType],"")</f>
        <v>TECH</v>
      </c>
      <c r="E691" s="41" t="s">
        <v>944</v>
      </c>
      <c r="F691" s="62" t="str">
        <f>RIGHT(tblCost[[#This Row],[RequirementID]],1)</f>
        <v>1</v>
      </c>
      <c r="G691" s="41">
        <v>12</v>
      </c>
      <c r="H691" t="b">
        <f>COUNTIFS(tblCostChecklist[RequirementID],tblCost[[#This Row],[RequirementID]],tblCostChecklist[PlayerPaid],TRUE)&gt;0</f>
        <v>0</v>
      </c>
      <c r="I691" s="41">
        <f>COUNTIF(tblCost[TargetID],tblCost[[#This Row],[TargetID]])</f>
        <v>7</v>
      </c>
      <c r="J691" s="41">
        <f>COUNTIFS(tblCost[TargetID],tblCost[[#This Row],[TargetID]],tblCost[PlayerPaid],TRUE)</f>
        <v>0</v>
      </c>
      <c r="K691" s="41">
        <f>tblCost[[#This Row],[TargetRequirements]]-tblCost[[#This Row],[CompletedRequirements]]</f>
        <v>7</v>
      </c>
      <c r="L691" s="41" t="b">
        <f>tblCost[[#This Row],[RemainingRequirements]]=0</f>
        <v>0</v>
      </c>
      <c r="M691" s="43">
        <f>IF(tblCost[[#This Row],[TargetRequirements]]=0,0,tblCost[[#This Row],[CompletedRequirements]]/tblCost[[#This Row],[TargetRequirements]])</f>
        <v>0</v>
      </c>
    </row>
    <row r="692" spans="1:13">
      <c r="A692" s="41" t="s">
        <v>4340</v>
      </c>
      <c r="B692" s="41" t="str">
        <f>_xlfn.TEXTAFTER(_xlfn.TEXTBEFORE(tblCost[[#This Row],[RequirementID]],".",-2),"cost.")</f>
        <v>tech.alchemists_hut.potion_of_healing_lvl_2</v>
      </c>
      <c r="C692" s="41" t="str">
        <f>_xlfn.XLOOKUP(tblCost[[#This Row],[TargetID]],tblTargets[TargetID],tblTargets[DisplayName],"")</f>
        <v>Alchemists Hut - Potion Of Healing Lvl 2</v>
      </c>
      <c r="D692" s="41" t="str">
        <f>_xlfn.XLOOKUP(tblCost[[#This Row],[TargetID]],tblTargets[TargetID],tblTargets[TargetType],"")</f>
        <v>TECH</v>
      </c>
      <c r="E692" s="41" t="s">
        <v>705</v>
      </c>
      <c r="F692" s="62" t="str">
        <f>RIGHT(tblCost[[#This Row],[RequirementID]],1)</f>
        <v>1</v>
      </c>
      <c r="G692" s="41">
        <v>20</v>
      </c>
      <c r="H692" t="b">
        <f>COUNTIFS(tblCostChecklist[RequirementID],tblCost[[#This Row],[RequirementID]],tblCostChecklist[PlayerPaid],TRUE)&gt;0</f>
        <v>0</v>
      </c>
      <c r="I692" s="41">
        <f>COUNTIF(tblCost[TargetID],tblCost[[#This Row],[TargetID]])</f>
        <v>7</v>
      </c>
      <c r="J692" s="41">
        <f>COUNTIFS(tblCost[TargetID],tblCost[[#This Row],[TargetID]],tblCost[PlayerPaid],TRUE)</f>
        <v>0</v>
      </c>
      <c r="K692" s="41">
        <f>tblCost[[#This Row],[TargetRequirements]]-tblCost[[#This Row],[CompletedRequirements]]</f>
        <v>7</v>
      </c>
      <c r="L692" s="41" t="b">
        <f>tblCost[[#This Row],[RemainingRequirements]]=0</f>
        <v>0</v>
      </c>
      <c r="M692" s="43">
        <f>IF(tblCost[[#This Row],[TargetRequirements]]=0,0,tblCost[[#This Row],[CompletedRequirements]]/tblCost[[#This Row],[TargetRequirements]])</f>
        <v>0</v>
      </c>
    </row>
    <row r="693" spans="1:13">
      <c r="A693" s="41" t="s">
        <v>4341</v>
      </c>
      <c r="B693" s="41" t="str">
        <f>_xlfn.TEXTAFTER(_xlfn.TEXTBEFORE(tblCost[[#This Row],[RequirementID]],".",-2),"cost.")</f>
        <v>tech.alchemists_hut.potion_of_healing_lvl_2</v>
      </c>
      <c r="C693" s="41" t="str">
        <f>_xlfn.XLOOKUP(tblCost[[#This Row],[TargetID]],tblTargets[TargetID],tblTargets[DisplayName],"")</f>
        <v>Alchemists Hut - Potion Of Healing Lvl 2</v>
      </c>
      <c r="D693" s="41" t="str">
        <f>_xlfn.XLOOKUP(tblCost[[#This Row],[TargetID]],tblTargets[TargetID],tblTargets[TargetType],"")</f>
        <v>TECH</v>
      </c>
      <c r="E693" s="41" t="s">
        <v>708</v>
      </c>
      <c r="F693" s="62" t="str">
        <f>RIGHT(tblCost[[#This Row],[RequirementID]],1)</f>
        <v>1</v>
      </c>
      <c r="G693" s="41">
        <v>3</v>
      </c>
      <c r="H693" t="b">
        <f>COUNTIFS(tblCostChecklist[RequirementID],tblCost[[#This Row],[RequirementID]],tblCostChecklist[PlayerPaid],TRUE)&gt;0</f>
        <v>0</v>
      </c>
      <c r="I693" s="41">
        <f>COUNTIF(tblCost[TargetID],tblCost[[#This Row],[TargetID]])</f>
        <v>7</v>
      </c>
      <c r="J693" s="41">
        <f>COUNTIFS(tblCost[TargetID],tblCost[[#This Row],[TargetID]],tblCost[PlayerPaid],TRUE)</f>
        <v>0</v>
      </c>
      <c r="K693" s="41">
        <f>tblCost[[#This Row],[TargetRequirements]]-tblCost[[#This Row],[CompletedRequirements]]</f>
        <v>7</v>
      </c>
      <c r="L693" s="41" t="b">
        <f>tblCost[[#This Row],[RemainingRequirements]]=0</f>
        <v>0</v>
      </c>
      <c r="M693" s="43">
        <f>IF(tblCost[[#This Row],[TargetRequirements]]=0,0,tblCost[[#This Row],[CompletedRequirements]]/tblCost[[#This Row],[TargetRequirements]])</f>
        <v>0</v>
      </c>
    </row>
    <row r="694" spans="1:13">
      <c r="A694" s="41" t="s">
        <v>4342</v>
      </c>
      <c r="B694" s="41" t="str">
        <f>_xlfn.TEXTAFTER(_xlfn.TEXTBEFORE(tblCost[[#This Row],[RequirementID]],".",-2),"cost.")</f>
        <v>tech.alchemists_hut.potion_ambrosia</v>
      </c>
      <c r="C694" s="41" t="str">
        <f>_xlfn.XLOOKUP(tblCost[[#This Row],[TargetID]],tblTargets[TargetID],tblTargets[DisplayName],"")</f>
        <v>Alchemists Hut - Potion Ambrosia</v>
      </c>
      <c r="D694" s="41" t="str">
        <f>_xlfn.XLOOKUP(tblCost[[#This Row],[TargetID]],tblTargets[TargetID],tblTargets[TargetType],"")</f>
        <v>TECH</v>
      </c>
      <c r="E694" s="41" t="s">
        <v>928</v>
      </c>
      <c r="F694" s="62" t="str">
        <f>RIGHT(tblCost[[#This Row],[RequirementID]],1)</f>
        <v>1</v>
      </c>
      <c r="G694" s="41">
        <v>20</v>
      </c>
      <c r="H694" t="b">
        <f>COUNTIFS(tblCostChecklist[RequirementID],tblCost[[#This Row],[RequirementID]],tblCostChecklist[PlayerPaid],TRUE)&gt;0</f>
        <v>0</v>
      </c>
      <c r="I694" s="41">
        <f>COUNTIF(tblCost[TargetID],tblCost[[#This Row],[TargetID]])</f>
        <v>7</v>
      </c>
      <c r="J694" s="41">
        <f>COUNTIFS(tblCost[TargetID],tblCost[[#This Row],[TargetID]],tblCost[PlayerPaid],TRUE)</f>
        <v>0</v>
      </c>
      <c r="K694" s="41">
        <f>tblCost[[#This Row],[TargetRequirements]]-tblCost[[#This Row],[CompletedRequirements]]</f>
        <v>7</v>
      </c>
      <c r="L694" s="41" t="b">
        <f>tblCost[[#This Row],[RemainingRequirements]]=0</f>
        <v>0</v>
      </c>
      <c r="M694" s="43">
        <f>IF(tblCost[[#This Row],[TargetRequirements]]=0,0,tblCost[[#This Row],[CompletedRequirements]]/tblCost[[#This Row],[TargetRequirements]])</f>
        <v>0</v>
      </c>
    </row>
    <row r="695" spans="1:13">
      <c r="A695" s="41" t="s">
        <v>4343</v>
      </c>
      <c r="B695" s="41" t="str">
        <f>_xlfn.TEXTAFTER(_xlfn.TEXTBEFORE(tblCost[[#This Row],[RequirementID]],".",-2),"cost.")</f>
        <v>tech.alchemists_hut.potion_ambrosia</v>
      </c>
      <c r="C695" s="41" t="str">
        <f>_xlfn.XLOOKUP(tblCost[[#This Row],[TargetID]],tblTargets[TargetID],tblTargets[DisplayName],"")</f>
        <v>Alchemists Hut - Potion Ambrosia</v>
      </c>
      <c r="D695" s="41" t="str">
        <f>_xlfn.XLOOKUP(tblCost[[#This Row],[TargetID]],tblTargets[TargetID],tblTargets[TargetType],"")</f>
        <v>TECH</v>
      </c>
      <c r="E695" s="41" t="s">
        <v>666</v>
      </c>
      <c r="F695" s="62" t="str">
        <f>RIGHT(tblCost[[#This Row],[RequirementID]],1)</f>
        <v>1</v>
      </c>
      <c r="G695" s="41">
        <v>1000</v>
      </c>
      <c r="H695" t="b">
        <f>COUNTIFS(tblCostChecklist[RequirementID],tblCost[[#This Row],[RequirementID]],tblCostChecklist[PlayerPaid],TRUE)&gt;0</f>
        <v>0</v>
      </c>
      <c r="I695" s="41">
        <f>COUNTIF(tblCost[TargetID],tblCost[[#This Row],[TargetID]])</f>
        <v>7</v>
      </c>
      <c r="J695" s="41">
        <f>COUNTIFS(tblCost[TargetID],tblCost[[#This Row],[TargetID]],tblCost[PlayerPaid],TRUE)</f>
        <v>0</v>
      </c>
      <c r="K695" s="41">
        <f>tblCost[[#This Row],[TargetRequirements]]-tblCost[[#This Row],[CompletedRequirements]]</f>
        <v>7</v>
      </c>
      <c r="L695" s="41" t="b">
        <f>tblCost[[#This Row],[RemainingRequirements]]=0</f>
        <v>0</v>
      </c>
      <c r="M695" s="43">
        <f>IF(tblCost[[#This Row],[TargetRequirements]]=0,0,tblCost[[#This Row],[CompletedRequirements]]/tblCost[[#This Row],[TargetRequirements]])</f>
        <v>0</v>
      </c>
    </row>
    <row r="696" spans="1:13">
      <c r="A696" s="41" t="s">
        <v>4344</v>
      </c>
      <c r="B696" s="41" t="str">
        <f>_xlfn.TEXTAFTER(_xlfn.TEXTBEFORE(tblCost[[#This Row],[RequirementID]],".",-2),"cost.")</f>
        <v>tech.alchemists_hut.potion_ambrosia</v>
      </c>
      <c r="C696" s="41" t="str">
        <f>_xlfn.XLOOKUP(tblCost[[#This Row],[TargetID]],tblTargets[TargetID],tblTargets[DisplayName],"")</f>
        <v>Alchemists Hut - Potion Ambrosia</v>
      </c>
      <c r="D696" s="41" t="str">
        <f>_xlfn.XLOOKUP(tblCost[[#This Row],[TargetID]],tblTargets[TargetID],tblTargets[TargetType],"")</f>
        <v>TECH</v>
      </c>
      <c r="E696" s="41" t="s">
        <v>940</v>
      </c>
      <c r="F696" s="62" t="str">
        <f>RIGHT(tblCost[[#This Row],[RequirementID]],1)</f>
        <v>1</v>
      </c>
      <c r="G696" s="41">
        <v>15</v>
      </c>
      <c r="H696" t="b">
        <f>COUNTIFS(tblCostChecklist[RequirementID],tblCost[[#This Row],[RequirementID]],tblCostChecklist[PlayerPaid],TRUE)&gt;0</f>
        <v>0</v>
      </c>
      <c r="I696" s="41">
        <f>COUNTIF(tblCost[TargetID],tblCost[[#This Row],[TargetID]])</f>
        <v>7</v>
      </c>
      <c r="J696" s="41">
        <f>COUNTIFS(tblCost[TargetID],tblCost[[#This Row],[TargetID]],tblCost[PlayerPaid],TRUE)</f>
        <v>0</v>
      </c>
      <c r="K696" s="41">
        <f>tblCost[[#This Row],[TargetRequirements]]-tblCost[[#This Row],[CompletedRequirements]]</f>
        <v>7</v>
      </c>
      <c r="L696" s="41" t="b">
        <f>tblCost[[#This Row],[RemainingRequirements]]=0</f>
        <v>0</v>
      </c>
      <c r="M696" s="43">
        <f>IF(tblCost[[#This Row],[TargetRequirements]]=0,0,tblCost[[#This Row],[CompletedRequirements]]/tblCost[[#This Row],[TargetRequirements]])</f>
        <v>0</v>
      </c>
    </row>
    <row r="697" spans="1:13">
      <c r="A697" s="41" t="s">
        <v>4345</v>
      </c>
      <c r="B697" s="41" t="str">
        <f>_xlfn.TEXTAFTER(_xlfn.TEXTBEFORE(tblCost[[#This Row],[RequirementID]],".",-2),"cost.")</f>
        <v>tech.alchemists_hut.potion_ambrosia</v>
      </c>
      <c r="C697" s="41" t="str">
        <f>_xlfn.XLOOKUP(tblCost[[#This Row],[TargetID]],tblTargets[TargetID],tblTargets[DisplayName],"")</f>
        <v>Alchemists Hut - Potion Ambrosia</v>
      </c>
      <c r="D697" s="41" t="str">
        <f>_xlfn.XLOOKUP(tblCost[[#This Row],[TargetID]],tblTargets[TargetID],tblTargets[TargetType],"")</f>
        <v>TECH</v>
      </c>
      <c r="E697" s="41" t="s">
        <v>696</v>
      </c>
      <c r="F697" s="62" t="str">
        <f>RIGHT(tblCost[[#This Row],[RequirementID]],1)</f>
        <v>1</v>
      </c>
      <c r="G697" s="41">
        <v>30</v>
      </c>
      <c r="H697" t="b">
        <f>COUNTIFS(tblCostChecklist[RequirementID],tblCost[[#This Row],[RequirementID]],tblCostChecklist[PlayerPaid],TRUE)&gt;0</f>
        <v>0</v>
      </c>
      <c r="I697" s="41">
        <f>COUNTIF(tblCost[TargetID],tblCost[[#This Row],[TargetID]])</f>
        <v>7</v>
      </c>
      <c r="J697" s="41">
        <f>COUNTIFS(tblCost[TargetID],tblCost[[#This Row],[TargetID]],tblCost[PlayerPaid],TRUE)</f>
        <v>0</v>
      </c>
      <c r="K697" s="41">
        <f>tblCost[[#This Row],[TargetRequirements]]-tblCost[[#This Row],[CompletedRequirements]]</f>
        <v>7</v>
      </c>
      <c r="L697" s="41" t="b">
        <f>tblCost[[#This Row],[RemainingRequirements]]=0</f>
        <v>0</v>
      </c>
      <c r="M697" s="43">
        <f>IF(tblCost[[#This Row],[TargetRequirements]]=0,0,tblCost[[#This Row],[CompletedRequirements]]/tblCost[[#This Row],[TargetRequirements]])</f>
        <v>0</v>
      </c>
    </row>
    <row r="698" spans="1:13">
      <c r="A698" s="41" t="s">
        <v>4346</v>
      </c>
      <c r="B698" s="41" t="str">
        <f>_xlfn.TEXTAFTER(_xlfn.TEXTBEFORE(tblCost[[#This Row],[RequirementID]],".",-2),"cost.")</f>
        <v>tech.alchemists_hut.potion_ambrosia</v>
      </c>
      <c r="C698" s="41" t="str">
        <f>_xlfn.XLOOKUP(tblCost[[#This Row],[TargetID]],tblTargets[TargetID],tblTargets[DisplayName],"")</f>
        <v>Alchemists Hut - Potion Ambrosia</v>
      </c>
      <c r="D698" s="41" t="str">
        <f>_xlfn.XLOOKUP(tblCost[[#This Row],[TargetID]],tblTargets[TargetID],tblTargets[TargetType],"")</f>
        <v>TECH</v>
      </c>
      <c r="E698" s="41" t="s">
        <v>945</v>
      </c>
      <c r="F698" s="62" t="str">
        <f>RIGHT(tblCost[[#This Row],[RequirementID]],1)</f>
        <v>1</v>
      </c>
      <c r="G698" s="41">
        <v>12</v>
      </c>
      <c r="H698" t="b">
        <f>COUNTIFS(tblCostChecklist[RequirementID],tblCost[[#This Row],[RequirementID]],tblCostChecklist[PlayerPaid],TRUE)&gt;0</f>
        <v>0</v>
      </c>
      <c r="I698" s="41">
        <f>COUNTIF(tblCost[TargetID],tblCost[[#This Row],[TargetID]])</f>
        <v>7</v>
      </c>
      <c r="J698" s="41">
        <f>COUNTIFS(tblCost[TargetID],tblCost[[#This Row],[TargetID]],tblCost[PlayerPaid],TRUE)</f>
        <v>0</v>
      </c>
      <c r="K698" s="41">
        <f>tblCost[[#This Row],[TargetRequirements]]-tblCost[[#This Row],[CompletedRequirements]]</f>
        <v>7</v>
      </c>
      <c r="L698" s="41" t="b">
        <f>tblCost[[#This Row],[RemainingRequirements]]=0</f>
        <v>0</v>
      </c>
      <c r="M698" s="43">
        <f>IF(tblCost[[#This Row],[TargetRequirements]]=0,0,tblCost[[#This Row],[CompletedRequirements]]/tblCost[[#This Row],[TargetRequirements]])</f>
        <v>0</v>
      </c>
    </row>
    <row r="699" spans="1:13">
      <c r="A699" s="41" t="s">
        <v>4347</v>
      </c>
      <c r="B699" s="41" t="str">
        <f>_xlfn.TEXTAFTER(_xlfn.TEXTBEFORE(tblCost[[#This Row],[RequirementID]],".",-2),"cost.")</f>
        <v>tech.alchemists_hut.potion_ambrosia</v>
      </c>
      <c r="C699" s="41" t="str">
        <f>_xlfn.XLOOKUP(tblCost[[#This Row],[TargetID]],tblTargets[TargetID],tblTargets[DisplayName],"")</f>
        <v>Alchemists Hut - Potion Ambrosia</v>
      </c>
      <c r="D699" s="41" t="str">
        <f>_xlfn.XLOOKUP(tblCost[[#This Row],[TargetID]],tblTargets[TargetID],tblTargets[TargetType],"")</f>
        <v>TECH</v>
      </c>
      <c r="E699" s="41" t="s">
        <v>705</v>
      </c>
      <c r="F699" s="62" t="str">
        <f>RIGHT(tblCost[[#This Row],[RequirementID]],1)</f>
        <v>1</v>
      </c>
      <c r="G699" s="41">
        <v>30</v>
      </c>
      <c r="H699" t="b">
        <f>COUNTIFS(tblCostChecklist[RequirementID],tblCost[[#This Row],[RequirementID]],tblCostChecklist[PlayerPaid],TRUE)&gt;0</f>
        <v>0</v>
      </c>
      <c r="I699" s="41">
        <f>COUNTIF(tblCost[TargetID],tblCost[[#This Row],[TargetID]])</f>
        <v>7</v>
      </c>
      <c r="J699" s="41">
        <f>COUNTIFS(tblCost[TargetID],tblCost[[#This Row],[TargetID]],tblCost[PlayerPaid],TRUE)</f>
        <v>0</v>
      </c>
      <c r="K699" s="41">
        <f>tblCost[[#This Row],[TargetRequirements]]-tblCost[[#This Row],[CompletedRequirements]]</f>
        <v>7</v>
      </c>
      <c r="L699" s="41" t="b">
        <f>tblCost[[#This Row],[RemainingRequirements]]=0</f>
        <v>0</v>
      </c>
      <c r="M699" s="43">
        <f>IF(tblCost[[#This Row],[TargetRequirements]]=0,0,tblCost[[#This Row],[CompletedRequirements]]/tblCost[[#This Row],[TargetRequirements]])</f>
        <v>0</v>
      </c>
    </row>
    <row r="700" spans="1:13">
      <c r="A700" s="41" t="s">
        <v>4348</v>
      </c>
      <c r="B700" s="41" t="str">
        <f>_xlfn.TEXTAFTER(_xlfn.TEXTBEFORE(tblCost[[#This Row],[RequirementID]],".",-2),"cost.")</f>
        <v>tech.alchemists_hut.potion_ambrosia</v>
      </c>
      <c r="C700" s="41" t="str">
        <f>_xlfn.XLOOKUP(tblCost[[#This Row],[TargetID]],tblTargets[TargetID],tblTargets[DisplayName],"")</f>
        <v>Alchemists Hut - Potion Ambrosia</v>
      </c>
      <c r="D700" s="41" t="str">
        <f>_xlfn.XLOOKUP(tblCost[[#This Row],[TargetID]],tblTargets[TargetID],tblTargets[TargetType],"")</f>
        <v>TECH</v>
      </c>
      <c r="E700" s="41" t="s">
        <v>708</v>
      </c>
      <c r="F700" s="62" t="str">
        <f>RIGHT(tblCost[[#This Row],[RequirementID]],1)</f>
        <v>1</v>
      </c>
      <c r="G700" s="41">
        <v>5</v>
      </c>
      <c r="H700" t="b">
        <f>COUNTIFS(tblCostChecklist[RequirementID],tblCost[[#This Row],[RequirementID]],tblCostChecklist[PlayerPaid],TRUE)&gt;0</f>
        <v>0</v>
      </c>
      <c r="I700" s="41">
        <f>COUNTIF(tblCost[TargetID],tblCost[[#This Row],[TargetID]])</f>
        <v>7</v>
      </c>
      <c r="J700" s="41">
        <f>COUNTIFS(tblCost[TargetID],tblCost[[#This Row],[TargetID]],tblCost[PlayerPaid],TRUE)</f>
        <v>0</v>
      </c>
      <c r="K700" s="41">
        <f>tblCost[[#This Row],[TargetRequirements]]-tblCost[[#This Row],[CompletedRequirements]]</f>
        <v>7</v>
      </c>
      <c r="L700" s="41" t="b">
        <f>tblCost[[#This Row],[RemainingRequirements]]=0</f>
        <v>0</v>
      </c>
      <c r="M700" s="43">
        <f>IF(tblCost[[#This Row],[TargetRequirements]]=0,0,tblCost[[#This Row],[CompletedRequirements]]/tblCost[[#This Row],[TargetRequirements]])</f>
        <v>0</v>
      </c>
    </row>
    <row r="701" spans="1:13">
      <c r="A701" s="41" t="s">
        <v>4349</v>
      </c>
      <c r="B701" s="41" t="str">
        <f>_xlfn.TEXTAFTER(_xlfn.TEXTBEFORE(tblCost[[#This Row],[RequirementID]],".",-2),"cost.")</f>
        <v>tech.alchemists_hut.conveyor_lvl_1</v>
      </c>
      <c r="C701" s="41" t="str">
        <f>_xlfn.XLOOKUP(tblCost[[#This Row],[TargetID]],tblTargets[TargetID],tblTargets[DisplayName],"")</f>
        <v>Alchemists Hut - Conveyor Lvl 1</v>
      </c>
      <c r="D701" s="41" t="str">
        <f>_xlfn.XLOOKUP(tblCost[[#This Row],[TargetID]],tblTargets[TargetID],tblTargets[TargetType],"")</f>
        <v>TECH</v>
      </c>
      <c r="E701" s="41" t="s">
        <v>662</v>
      </c>
      <c r="F701" s="62" t="str">
        <f>RIGHT(tblCost[[#This Row],[RequirementID]],1)</f>
        <v>1</v>
      </c>
      <c r="G701" s="41">
        <v>10</v>
      </c>
      <c r="H701" t="b">
        <f>COUNTIFS(tblCostChecklist[RequirementID],tblCost[[#This Row],[RequirementID]],tblCostChecklist[PlayerPaid],TRUE)&gt;0</f>
        <v>0</v>
      </c>
      <c r="I701" s="41">
        <f>COUNTIF(tblCost[TargetID],tblCost[[#This Row],[TargetID]])</f>
        <v>6</v>
      </c>
      <c r="J701" s="41">
        <f>COUNTIFS(tblCost[TargetID],tblCost[[#This Row],[TargetID]],tblCost[PlayerPaid],TRUE)</f>
        <v>0</v>
      </c>
      <c r="K701" s="41">
        <f>tblCost[[#This Row],[TargetRequirements]]-tblCost[[#This Row],[CompletedRequirements]]</f>
        <v>6</v>
      </c>
      <c r="L701" s="41" t="b">
        <f>tblCost[[#This Row],[RemainingRequirements]]=0</f>
        <v>0</v>
      </c>
      <c r="M701" s="43">
        <f>IF(tblCost[[#This Row],[TargetRequirements]]=0,0,tblCost[[#This Row],[CompletedRequirements]]/tblCost[[#This Row],[TargetRequirements]])</f>
        <v>0</v>
      </c>
    </row>
    <row r="702" spans="1:13">
      <c r="A702" s="41" t="s">
        <v>4350</v>
      </c>
      <c r="B702" s="41" t="str">
        <f>_xlfn.TEXTAFTER(_xlfn.TEXTBEFORE(tblCost[[#This Row],[RequirementID]],".",-2),"cost.")</f>
        <v>tech.alchemists_hut.conveyor_lvl_1</v>
      </c>
      <c r="C702" s="41" t="str">
        <f>_xlfn.XLOOKUP(tblCost[[#This Row],[TargetID]],tblTargets[TargetID],tblTargets[DisplayName],"")</f>
        <v>Alchemists Hut - Conveyor Lvl 1</v>
      </c>
      <c r="D702" s="41" t="str">
        <f>_xlfn.XLOOKUP(tblCost[[#This Row],[TargetID]],tblTargets[TargetID],tblTargets[TargetType],"")</f>
        <v>TECH</v>
      </c>
      <c r="E702" s="41" t="s">
        <v>666</v>
      </c>
      <c r="F702" s="62" t="str">
        <f>RIGHT(tblCost[[#This Row],[RequirementID]],1)</f>
        <v>1</v>
      </c>
      <c r="G702" s="41">
        <v>400</v>
      </c>
      <c r="H702" t="b">
        <f>COUNTIFS(tblCostChecklist[RequirementID],tblCost[[#This Row],[RequirementID]],tblCostChecklist[PlayerPaid],TRUE)&gt;0</f>
        <v>0</v>
      </c>
      <c r="I702" s="41">
        <f>COUNTIF(tblCost[TargetID],tblCost[[#This Row],[TargetID]])</f>
        <v>6</v>
      </c>
      <c r="J702" s="41">
        <f>COUNTIFS(tblCost[TargetID],tblCost[[#This Row],[TargetID]],tblCost[PlayerPaid],TRUE)</f>
        <v>0</v>
      </c>
      <c r="K702" s="41">
        <f>tblCost[[#This Row],[TargetRequirements]]-tblCost[[#This Row],[CompletedRequirements]]</f>
        <v>6</v>
      </c>
      <c r="L702" s="41" t="b">
        <f>tblCost[[#This Row],[RemainingRequirements]]=0</f>
        <v>0</v>
      </c>
      <c r="M702" s="43">
        <f>IF(tblCost[[#This Row],[TargetRequirements]]=0,0,tblCost[[#This Row],[CompletedRequirements]]/tblCost[[#This Row],[TargetRequirements]])</f>
        <v>0</v>
      </c>
    </row>
    <row r="703" spans="1:13">
      <c r="A703" s="41" t="s">
        <v>4351</v>
      </c>
      <c r="B703" s="41" t="str">
        <f>_xlfn.TEXTAFTER(_xlfn.TEXTBEFORE(tblCost[[#This Row],[RequirementID]],".",-2),"cost.")</f>
        <v>tech.alchemists_hut.conveyor_lvl_1</v>
      </c>
      <c r="C703" s="41" t="str">
        <f>_xlfn.XLOOKUP(tblCost[[#This Row],[TargetID]],tblTargets[TargetID],tblTargets[DisplayName],"")</f>
        <v>Alchemists Hut - Conveyor Lvl 1</v>
      </c>
      <c r="D703" s="41" t="str">
        <f>_xlfn.XLOOKUP(tblCost[[#This Row],[TargetID]],tblTargets[TargetID],tblTargets[TargetType],"")</f>
        <v>TECH</v>
      </c>
      <c r="E703" s="41" t="s">
        <v>931</v>
      </c>
      <c r="F703" s="62" t="str">
        <f>RIGHT(tblCost[[#This Row],[RequirementID]],1)</f>
        <v>1</v>
      </c>
      <c r="G703" s="41">
        <v>40</v>
      </c>
      <c r="H703" t="b">
        <f>COUNTIFS(tblCostChecklist[RequirementID],tblCost[[#This Row],[RequirementID]],tblCostChecklist[PlayerPaid],TRUE)&gt;0</f>
        <v>0</v>
      </c>
      <c r="I703" s="41">
        <f>COUNTIF(tblCost[TargetID],tblCost[[#This Row],[TargetID]])</f>
        <v>6</v>
      </c>
      <c r="J703" s="41">
        <f>COUNTIFS(tblCost[TargetID],tblCost[[#This Row],[TargetID]],tblCost[PlayerPaid],TRUE)</f>
        <v>0</v>
      </c>
      <c r="K703" s="41">
        <f>tblCost[[#This Row],[TargetRequirements]]-tblCost[[#This Row],[CompletedRequirements]]</f>
        <v>6</v>
      </c>
      <c r="L703" s="41" t="b">
        <f>tblCost[[#This Row],[RemainingRequirements]]=0</f>
        <v>0</v>
      </c>
      <c r="M703" s="43">
        <f>IF(tblCost[[#This Row],[TargetRequirements]]=0,0,tblCost[[#This Row],[CompletedRequirements]]/tblCost[[#This Row],[TargetRequirements]])</f>
        <v>0</v>
      </c>
    </row>
    <row r="704" spans="1:13">
      <c r="A704" s="41" t="s">
        <v>4352</v>
      </c>
      <c r="B704" s="41" t="str">
        <f>_xlfn.TEXTAFTER(_xlfn.TEXTBEFORE(tblCost[[#This Row],[RequirementID]],".",-2),"cost.")</f>
        <v>tech.alchemists_hut.conveyor_lvl_1</v>
      </c>
      <c r="C704" s="41" t="str">
        <f>_xlfn.XLOOKUP(tblCost[[#This Row],[TargetID]],tblTargets[TargetID],tblTargets[DisplayName],"")</f>
        <v>Alchemists Hut - Conveyor Lvl 1</v>
      </c>
      <c r="D704" s="41" t="str">
        <f>_xlfn.XLOOKUP(tblCost[[#This Row],[TargetID]],tblTargets[TargetID],tblTargets[TargetType],"")</f>
        <v>TECH</v>
      </c>
      <c r="E704" s="41" t="s">
        <v>686</v>
      </c>
      <c r="F704" s="62" t="str">
        <f>RIGHT(tblCost[[#This Row],[RequirementID]],1)</f>
        <v>1</v>
      </c>
      <c r="G704" s="41">
        <v>10</v>
      </c>
      <c r="H704" t="b">
        <f>COUNTIFS(tblCostChecklist[RequirementID],tblCost[[#This Row],[RequirementID]],tblCostChecklist[PlayerPaid],TRUE)&gt;0</f>
        <v>0</v>
      </c>
      <c r="I704" s="41">
        <f>COUNTIF(tblCost[TargetID],tblCost[[#This Row],[TargetID]])</f>
        <v>6</v>
      </c>
      <c r="J704" s="41">
        <f>COUNTIFS(tblCost[TargetID],tblCost[[#This Row],[TargetID]],tblCost[PlayerPaid],TRUE)</f>
        <v>0</v>
      </c>
      <c r="K704" s="41">
        <f>tblCost[[#This Row],[TargetRequirements]]-tblCost[[#This Row],[CompletedRequirements]]</f>
        <v>6</v>
      </c>
      <c r="L704" s="41" t="b">
        <f>tblCost[[#This Row],[RemainingRequirements]]=0</f>
        <v>0</v>
      </c>
      <c r="M704" s="43">
        <f>IF(tblCost[[#This Row],[TargetRequirements]]=0,0,tblCost[[#This Row],[CompletedRequirements]]/tblCost[[#This Row],[TargetRequirements]])</f>
        <v>0</v>
      </c>
    </row>
    <row r="705" spans="1:13">
      <c r="A705" s="41" t="s">
        <v>4353</v>
      </c>
      <c r="B705" s="41" t="str">
        <f>_xlfn.TEXTAFTER(_xlfn.TEXTBEFORE(tblCost[[#This Row],[RequirementID]],".",-2),"cost.")</f>
        <v>tech.alchemists_hut.conveyor_lvl_1</v>
      </c>
      <c r="C705" s="41" t="str">
        <f>_xlfn.XLOOKUP(tblCost[[#This Row],[TargetID]],tblTargets[TargetID],tblTargets[DisplayName],"")</f>
        <v>Alchemists Hut - Conveyor Lvl 1</v>
      </c>
      <c r="D705" s="41" t="str">
        <f>_xlfn.XLOOKUP(tblCost[[#This Row],[TargetID]],tblTargets[TargetID],tblTargets[TargetType],"")</f>
        <v>TECH</v>
      </c>
      <c r="E705" s="41" t="s">
        <v>693</v>
      </c>
      <c r="F705" s="62" t="str">
        <f>RIGHT(tblCost[[#This Row],[RequirementID]],1)</f>
        <v>1</v>
      </c>
      <c r="G705" s="41">
        <v>20</v>
      </c>
      <c r="H705" t="b">
        <f>COUNTIFS(tblCostChecklist[RequirementID],tblCost[[#This Row],[RequirementID]],tblCostChecklist[PlayerPaid],TRUE)&gt;0</f>
        <v>0</v>
      </c>
      <c r="I705" s="41">
        <f>COUNTIF(tblCost[TargetID],tblCost[[#This Row],[TargetID]])</f>
        <v>6</v>
      </c>
      <c r="J705" s="41">
        <f>COUNTIFS(tblCost[TargetID],tblCost[[#This Row],[TargetID]],tblCost[PlayerPaid],TRUE)</f>
        <v>0</v>
      </c>
      <c r="K705" s="41">
        <f>tblCost[[#This Row],[TargetRequirements]]-tblCost[[#This Row],[CompletedRequirements]]</f>
        <v>6</v>
      </c>
      <c r="L705" s="41" t="b">
        <f>tblCost[[#This Row],[RemainingRequirements]]=0</f>
        <v>0</v>
      </c>
      <c r="M705" s="43">
        <f>IF(tblCost[[#This Row],[TargetRequirements]]=0,0,tblCost[[#This Row],[CompletedRequirements]]/tblCost[[#This Row],[TargetRequirements]])</f>
        <v>0</v>
      </c>
    </row>
    <row r="706" spans="1:13">
      <c r="A706" s="41" t="s">
        <v>4354</v>
      </c>
      <c r="B706" s="41" t="str">
        <f>_xlfn.TEXTAFTER(_xlfn.TEXTBEFORE(tblCost[[#This Row],[RequirementID]],".",-2),"cost.")</f>
        <v>tech.alchemists_hut.conveyor_lvl_1</v>
      </c>
      <c r="C706" s="41" t="str">
        <f>_xlfn.XLOOKUP(tblCost[[#This Row],[TargetID]],tblTargets[TargetID],tblTargets[DisplayName],"")</f>
        <v>Alchemists Hut - Conveyor Lvl 1</v>
      </c>
      <c r="D706" s="41" t="str">
        <f>_xlfn.XLOOKUP(tblCost[[#This Row],[TargetID]],tblTargets[TargetID],tblTargets[TargetType],"")</f>
        <v>TECH</v>
      </c>
      <c r="E706" s="41" t="s">
        <v>708</v>
      </c>
      <c r="F706" s="62" t="str">
        <f>RIGHT(tblCost[[#This Row],[RequirementID]],1)</f>
        <v>1</v>
      </c>
      <c r="G706" s="41">
        <v>2</v>
      </c>
      <c r="H706" t="b">
        <f>COUNTIFS(tblCostChecklist[RequirementID],tblCost[[#This Row],[RequirementID]],tblCostChecklist[PlayerPaid],TRUE)&gt;0</f>
        <v>0</v>
      </c>
      <c r="I706" s="41">
        <f>COUNTIF(tblCost[TargetID],tblCost[[#This Row],[TargetID]])</f>
        <v>6</v>
      </c>
      <c r="J706" s="41">
        <f>COUNTIFS(tblCost[TargetID],tblCost[[#This Row],[TargetID]],tblCost[PlayerPaid],TRUE)</f>
        <v>0</v>
      </c>
      <c r="K706" s="41">
        <f>tblCost[[#This Row],[TargetRequirements]]-tblCost[[#This Row],[CompletedRequirements]]</f>
        <v>6</v>
      </c>
      <c r="L706" s="41" t="b">
        <f>tblCost[[#This Row],[RemainingRequirements]]=0</f>
        <v>0</v>
      </c>
      <c r="M706" s="43">
        <f>IF(tblCost[[#This Row],[TargetRequirements]]=0,0,tblCost[[#This Row],[CompletedRequirements]]/tblCost[[#This Row],[TargetRequirements]])</f>
        <v>0</v>
      </c>
    </row>
    <row r="707" spans="1:13">
      <c r="A707" s="41" t="s">
        <v>4355</v>
      </c>
      <c r="B707" s="41" t="str">
        <f>_xlfn.TEXTAFTER(_xlfn.TEXTBEFORE(tblCost[[#This Row],[RequirementID]],".",-2),"cost.")</f>
        <v>tech.alchemists_hut.conveyor_lvl_2</v>
      </c>
      <c r="C707" s="41" t="str">
        <f>_xlfn.XLOOKUP(tblCost[[#This Row],[TargetID]],tblTargets[TargetID],tblTargets[DisplayName],"")</f>
        <v>Alchemists Hut - Conveyor Lvl 2</v>
      </c>
      <c r="D707" s="41" t="str">
        <f>_xlfn.XLOOKUP(tblCost[[#This Row],[TargetID]],tblTargets[TargetID],tblTargets[TargetType],"")</f>
        <v>TECH</v>
      </c>
      <c r="E707" s="41" t="s">
        <v>662</v>
      </c>
      <c r="F707" s="62" t="str">
        <f>RIGHT(tblCost[[#This Row],[RequirementID]],1)</f>
        <v>1</v>
      </c>
      <c r="G707" s="41">
        <v>15</v>
      </c>
      <c r="H707" t="b">
        <f>COUNTIFS(tblCostChecklist[RequirementID],tblCost[[#This Row],[RequirementID]],tblCostChecklist[PlayerPaid],TRUE)&gt;0</f>
        <v>0</v>
      </c>
      <c r="I707" s="41">
        <f>COUNTIF(tblCost[TargetID],tblCost[[#This Row],[TargetID]])</f>
        <v>6</v>
      </c>
      <c r="J707" s="41">
        <f>COUNTIFS(tblCost[TargetID],tblCost[[#This Row],[TargetID]],tblCost[PlayerPaid],TRUE)</f>
        <v>0</v>
      </c>
      <c r="K707" s="41">
        <f>tblCost[[#This Row],[TargetRequirements]]-tblCost[[#This Row],[CompletedRequirements]]</f>
        <v>6</v>
      </c>
      <c r="L707" s="41" t="b">
        <f>tblCost[[#This Row],[RemainingRequirements]]=0</f>
        <v>0</v>
      </c>
      <c r="M707" s="43">
        <f>IF(tblCost[[#This Row],[TargetRequirements]]=0,0,tblCost[[#This Row],[CompletedRequirements]]/tblCost[[#This Row],[TargetRequirements]])</f>
        <v>0</v>
      </c>
    </row>
    <row r="708" spans="1:13">
      <c r="A708" s="41" t="s">
        <v>4356</v>
      </c>
      <c r="B708" s="41" t="str">
        <f>_xlfn.TEXTAFTER(_xlfn.TEXTBEFORE(tblCost[[#This Row],[RequirementID]],".",-2),"cost.")</f>
        <v>tech.alchemists_hut.conveyor_lvl_2</v>
      </c>
      <c r="C708" s="41" t="str">
        <f>_xlfn.XLOOKUP(tblCost[[#This Row],[TargetID]],tblTargets[TargetID],tblTargets[DisplayName],"")</f>
        <v>Alchemists Hut - Conveyor Lvl 2</v>
      </c>
      <c r="D708" s="41" t="str">
        <f>_xlfn.XLOOKUP(tblCost[[#This Row],[TargetID]],tblTargets[TargetID],tblTargets[TargetType],"")</f>
        <v>TECH</v>
      </c>
      <c r="E708" s="41" t="s">
        <v>666</v>
      </c>
      <c r="F708" s="62" t="str">
        <f>RIGHT(tblCost[[#This Row],[RequirementID]],1)</f>
        <v>1</v>
      </c>
      <c r="G708" s="41">
        <v>500</v>
      </c>
      <c r="H708" t="b">
        <f>COUNTIFS(tblCostChecklist[RequirementID],tblCost[[#This Row],[RequirementID]],tblCostChecklist[PlayerPaid],TRUE)&gt;0</f>
        <v>0</v>
      </c>
      <c r="I708" s="41">
        <f>COUNTIF(tblCost[TargetID],tblCost[[#This Row],[TargetID]])</f>
        <v>6</v>
      </c>
      <c r="J708" s="41">
        <f>COUNTIFS(tblCost[TargetID],tblCost[[#This Row],[TargetID]],tblCost[PlayerPaid],TRUE)</f>
        <v>0</v>
      </c>
      <c r="K708" s="41">
        <f>tblCost[[#This Row],[TargetRequirements]]-tblCost[[#This Row],[CompletedRequirements]]</f>
        <v>6</v>
      </c>
      <c r="L708" s="41" t="b">
        <f>tblCost[[#This Row],[RemainingRequirements]]=0</f>
        <v>0</v>
      </c>
      <c r="M708" s="43">
        <f>IF(tblCost[[#This Row],[TargetRequirements]]=0,0,tblCost[[#This Row],[CompletedRequirements]]/tblCost[[#This Row],[TargetRequirements]])</f>
        <v>0</v>
      </c>
    </row>
    <row r="709" spans="1:13">
      <c r="A709" s="41" t="s">
        <v>4357</v>
      </c>
      <c r="B709" s="41" t="str">
        <f>_xlfn.TEXTAFTER(_xlfn.TEXTBEFORE(tblCost[[#This Row],[RequirementID]],".",-2),"cost.")</f>
        <v>tech.alchemists_hut.conveyor_lvl_2</v>
      </c>
      <c r="C709" s="41" t="str">
        <f>_xlfn.XLOOKUP(tblCost[[#This Row],[TargetID]],tblTargets[TargetID],tblTargets[DisplayName],"")</f>
        <v>Alchemists Hut - Conveyor Lvl 2</v>
      </c>
      <c r="D709" s="41" t="str">
        <f>_xlfn.XLOOKUP(tblCost[[#This Row],[TargetID]],tblTargets[TargetID],tblTargets[TargetType],"")</f>
        <v>TECH</v>
      </c>
      <c r="E709" s="41" t="s">
        <v>931</v>
      </c>
      <c r="F709" s="62" t="str">
        <f>RIGHT(tblCost[[#This Row],[RequirementID]],1)</f>
        <v>1</v>
      </c>
      <c r="G709" s="41">
        <v>60</v>
      </c>
      <c r="H709" t="b">
        <f>COUNTIFS(tblCostChecklist[RequirementID],tblCost[[#This Row],[RequirementID]],tblCostChecklist[PlayerPaid],TRUE)&gt;0</f>
        <v>0</v>
      </c>
      <c r="I709" s="41">
        <f>COUNTIF(tblCost[TargetID],tblCost[[#This Row],[TargetID]])</f>
        <v>6</v>
      </c>
      <c r="J709" s="41">
        <f>COUNTIFS(tblCost[TargetID],tblCost[[#This Row],[TargetID]],tblCost[PlayerPaid],TRUE)</f>
        <v>0</v>
      </c>
      <c r="K709" s="41">
        <f>tblCost[[#This Row],[TargetRequirements]]-tblCost[[#This Row],[CompletedRequirements]]</f>
        <v>6</v>
      </c>
      <c r="L709" s="41" t="b">
        <f>tblCost[[#This Row],[RemainingRequirements]]=0</f>
        <v>0</v>
      </c>
      <c r="M709" s="43">
        <f>IF(tblCost[[#This Row],[TargetRequirements]]=0,0,tblCost[[#This Row],[CompletedRequirements]]/tblCost[[#This Row],[TargetRequirements]])</f>
        <v>0</v>
      </c>
    </row>
    <row r="710" spans="1:13">
      <c r="A710" s="41" t="s">
        <v>4358</v>
      </c>
      <c r="B710" s="41" t="str">
        <f>_xlfn.TEXTAFTER(_xlfn.TEXTBEFORE(tblCost[[#This Row],[RequirementID]],".",-2),"cost.")</f>
        <v>tech.alchemists_hut.conveyor_lvl_2</v>
      </c>
      <c r="C710" s="41" t="str">
        <f>_xlfn.XLOOKUP(tblCost[[#This Row],[TargetID]],tblTargets[TargetID],tblTargets[DisplayName],"")</f>
        <v>Alchemists Hut - Conveyor Lvl 2</v>
      </c>
      <c r="D710" s="41" t="str">
        <f>_xlfn.XLOOKUP(tblCost[[#This Row],[TargetID]],tblTargets[TargetID],tblTargets[TargetType],"")</f>
        <v>TECH</v>
      </c>
      <c r="E710" s="41" t="s">
        <v>686</v>
      </c>
      <c r="F710" s="62" t="str">
        <f>RIGHT(tblCost[[#This Row],[RequirementID]],1)</f>
        <v>1</v>
      </c>
      <c r="G710" s="41">
        <v>15</v>
      </c>
      <c r="H710" t="b">
        <f>COUNTIFS(tblCostChecklist[RequirementID],tblCost[[#This Row],[RequirementID]],tblCostChecklist[PlayerPaid],TRUE)&gt;0</f>
        <v>0</v>
      </c>
      <c r="I710" s="41">
        <f>COUNTIF(tblCost[TargetID],tblCost[[#This Row],[TargetID]])</f>
        <v>6</v>
      </c>
      <c r="J710" s="41">
        <f>COUNTIFS(tblCost[TargetID],tblCost[[#This Row],[TargetID]],tblCost[PlayerPaid],TRUE)</f>
        <v>0</v>
      </c>
      <c r="K710" s="41">
        <f>tblCost[[#This Row],[TargetRequirements]]-tblCost[[#This Row],[CompletedRequirements]]</f>
        <v>6</v>
      </c>
      <c r="L710" s="41" t="b">
        <f>tblCost[[#This Row],[RemainingRequirements]]=0</f>
        <v>0</v>
      </c>
      <c r="M710" s="43">
        <f>IF(tblCost[[#This Row],[TargetRequirements]]=0,0,tblCost[[#This Row],[CompletedRequirements]]/tblCost[[#This Row],[TargetRequirements]])</f>
        <v>0</v>
      </c>
    </row>
    <row r="711" spans="1:13">
      <c r="A711" s="41" t="s">
        <v>4359</v>
      </c>
      <c r="B711" s="41" t="str">
        <f>_xlfn.TEXTAFTER(_xlfn.TEXTBEFORE(tblCost[[#This Row],[RequirementID]],".",-2),"cost.")</f>
        <v>tech.alchemists_hut.conveyor_lvl_2</v>
      </c>
      <c r="C711" s="41" t="str">
        <f>_xlfn.XLOOKUP(tblCost[[#This Row],[TargetID]],tblTargets[TargetID],tblTargets[DisplayName],"")</f>
        <v>Alchemists Hut - Conveyor Lvl 2</v>
      </c>
      <c r="D711" s="41" t="str">
        <f>_xlfn.XLOOKUP(tblCost[[#This Row],[TargetID]],tblTargets[TargetID],tblTargets[TargetType],"")</f>
        <v>TECH</v>
      </c>
      <c r="E711" s="41" t="s">
        <v>693</v>
      </c>
      <c r="F711" s="62" t="str">
        <f>RIGHT(tblCost[[#This Row],[RequirementID]],1)</f>
        <v>1</v>
      </c>
      <c r="G711" s="41">
        <v>30</v>
      </c>
      <c r="H711" t="b">
        <f>COUNTIFS(tblCostChecklist[RequirementID],tblCost[[#This Row],[RequirementID]],tblCostChecklist[PlayerPaid],TRUE)&gt;0</f>
        <v>0</v>
      </c>
      <c r="I711" s="41">
        <f>COUNTIF(tblCost[TargetID],tblCost[[#This Row],[TargetID]])</f>
        <v>6</v>
      </c>
      <c r="J711" s="41">
        <f>COUNTIFS(tblCost[TargetID],tblCost[[#This Row],[TargetID]],tblCost[PlayerPaid],TRUE)</f>
        <v>0</v>
      </c>
      <c r="K711" s="41">
        <f>tblCost[[#This Row],[TargetRequirements]]-tblCost[[#This Row],[CompletedRequirements]]</f>
        <v>6</v>
      </c>
      <c r="L711" s="41" t="b">
        <f>tblCost[[#This Row],[RemainingRequirements]]=0</f>
        <v>0</v>
      </c>
      <c r="M711" s="43">
        <f>IF(tblCost[[#This Row],[TargetRequirements]]=0,0,tblCost[[#This Row],[CompletedRequirements]]/tblCost[[#This Row],[TargetRequirements]])</f>
        <v>0</v>
      </c>
    </row>
    <row r="712" spans="1:13">
      <c r="A712" s="41" t="s">
        <v>4360</v>
      </c>
      <c r="B712" s="41" t="str">
        <f>_xlfn.TEXTAFTER(_xlfn.TEXTBEFORE(tblCost[[#This Row],[RequirementID]],".",-2),"cost.")</f>
        <v>tech.alchemists_hut.conveyor_lvl_2</v>
      </c>
      <c r="C712" s="41" t="str">
        <f>_xlfn.XLOOKUP(tblCost[[#This Row],[TargetID]],tblTargets[TargetID],tblTargets[DisplayName],"")</f>
        <v>Alchemists Hut - Conveyor Lvl 2</v>
      </c>
      <c r="D712" s="41" t="str">
        <f>_xlfn.XLOOKUP(tblCost[[#This Row],[TargetID]],tblTargets[TargetID],tblTargets[TargetType],"")</f>
        <v>TECH</v>
      </c>
      <c r="E712" s="41" t="s">
        <v>708</v>
      </c>
      <c r="F712" s="62" t="str">
        <f>RIGHT(tblCost[[#This Row],[RequirementID]],1)</f>
        <v>1</v>
      </c>
      <c r="G712" s="41">
        <v>3</v>
      </c>
      <c r="H712" t="b">
        <f>COUNTIFS(tblCostChecklist[RequirementID],tblCost[[#This Row],[RequirementID]],tblCostChecklist[PlayerPaid],TRUE)&gt;0</f>
        <v>0</v>
      </c>
      <c r="I712" s="41">
        <f>COUNTIF(tblCost[TargetID],tblCost[[#This Row],[TargetID]])</f>
        <v>6</v>
      </c>
      <c r="J712" s="41">
        <f>COUNTIFS(tblCost[TargetID],tblCost[[#This Row],[TargetID]],tblCost[PlayerPaid],TRUE)</f>
        <v>0</v>
      </c>
      <c r="K712" s="41">
        <f>tblCost[[#This Row],[TargetRequirements]]-tblCost[[#This Row],[CompletedRequirements]]</f>
        <v>6</v>
      </c>
      <c r="L712" s="41" t="b">
        <f>tblCost[[#This Row],[RemainingRequirements]]=0</f>
        <v>0</v>
      </c>
      <c r="M712" s="43">
        <f>IF(tblCost[[#This Row],[TargetRequirements]]=0,0,tblCost[[#This Row],[CompletedRequirements]]/tblCost[[#This Row],[TargetRequirements]])</f>
        <v>0</v>
      </c>
    </row>
    <row r="713" spans="1:13">
      <c r="A713" s="41" t="s">
        <v>4361</v>
      </c>
      <c r="B713" s="41" t="str">
        <f>_xlfn.TEXTAFTER(_xlfn.TEXTBEFORE(tblCost[[#This Row],[RequirementID]],".",-2),"cost.")</f>
        <v>tech.alchemists_hut.galvanization</v>
      </c>
      <c r="C713" s="41" t="str">
        <f>_xlfn.XLOOKUP(tblCost[[#This Row],[TargetID]],tblTargets[TargetID],tblTargets[DisplayName],"")</f>
        <v>Alchemists Hut - Galvanization</v>
      </c>
      <c r="D713" s="41" t="str">
        <f>_xlfn.XLOOKUP(tblCost[[#This Row],[TargetID]],tblTargets[TargetID],tblTargets[TargetType],"")</f>
        <v>TECH</v>
      </c>
      <c r="E713" s="41" t="s">
        <v>662</v>
      </c>
      <c r="F713" s="62" t="str">
        <f>RIGHT(tblCost[[#This Row],[RequirementID]],1)</f>
        <v>1</v>
      </c>
      <c r="G713" s="41">
        <v>30</v>
      </c>
      <c r="H713" t="b">
        <f>COUNTIFS(tblCostChecklist[RequirementID],tblCost[[#This Row],[RequirementID]],tblCostChecklist[PlayerPaid],TRUE)&gt;0</f>
        <v>0</v>
      </c>
      <c r="I713" s="41">
        <f>COUNTIF(tblCost[TargetID],tblCost[[#This Row],[TargetID]])</f>
        <v>5</v>
      </c>
      <c r="J713" s="41">
        <f>COUNTIFS(tblCost[TargetID],tblCost[[#This Row],[TargetID]],tblCost[PlayerPaid],TRUE)</f>
        <v>0</v>
      </c>
      <c r="K713" s="41">
        <f>tblCost[[#This Row],[TargetRequirements]]-tblCost[[#This Row],[CompletedRequirements]]</f>
        <v>5</v>
      </c>
      <c r="L713" s="41" t="b">
        <f>tblCost[[#This Row],[RemainingRequirements]]=0</f>
        <v>0</v>
      </c>
      <c r="M713" s="43">
        <f>IF(tblCost[[#This Row],[TargetRequirements]]=0,0,tblCost[[#This Row],[CompletedRequirements]]/tblCost[[#This Row],[TargetRequirements]])</f>
        <v>0</v>
      </c>
    </row>
    <row r="714" spans="1:13">
      <c r="A714" s="41" t="s">
        <v>4362</v>
      </c>
      <c r="B714" s="41" t="str">
        <f>_xlfn.TEXTAFTER(_xlfn.TEXTBEFORE(tblCost[[#This Row],[RequirementID]],".",-2),"cost.")</f>
        <v>tech.alchemists_hut.galvanization</v>
      </c>
      <c r="C714" s="41" t="str">
        <f>_xlfn.XLOOKUP(tblCost[[#This Row],[TargetID]],tblTargets[TargetID],tblTargets[DisplayName],"")</f>
        <v>Alchemists Hut - Galvanization</v>
      </c>
      <c r="D714" s="41" t="str">
        <f>_xlfn.XLOOKUP(tblCost[[#This Row],[TargetID]],tblTargets[TargetID],tblTargets[TargetType],"")</f>
        <v>TECH</v>
      </c>
      <c r="E714" s="41" t="s">
        <v>928</v>
      </c>
      <c r="F714" s="62" t="str">
        <f>RIGHT(tblCost[[#This Row],[RequirementID]],1)</f>
        <v>1</v>
      </c>
      <c r="G714" s="41">
        <v>20</v>
      </c>
      <c r="H714" t="b">
        <f>COUNTIFS(tblCostChecklist[RequirementID],tblCost[[#This Row],[RequirementID]],tblCostChecklist[PlayerPaid],TRUE)&gt;0</f>
        <v>0</v>
      </c>
      <c r="I714" s="41">
        <f>COUNTIF(tblCost[TargetID],tblCost[[#This Row],[TargetID]])</f>
        <v>5</v>
      </c>
      <c r="J714" s="41">
        <f>COUNTIFS(tblCost[TargetID],tblCost[[#This Row],[TargetID]],tblCost[PlayerPaid],TRUE)</f>
        <v>0</v>
      </c>
      <c r="K714" s="41">
        <f>tblCost[[#This Row],[TargetRequirements]]-tblCost[[#This Row],[CompletedRequirements]]</f>
        <v>5</v>
      </c>
      <c r="L714" s="41" t="b">
        <f>tblCost[[#This Row],[RemainingRequirements]]=0</f>
        <v>0</v>
      </c>
      <c r="M714" s="43">
        <f>IF(tblCost[[#This Row],[TargetRequirements]]=0,0,tblCost[[#This Row],[CompletedRequirements]]/tblCost[[#This Row],[TargetRequirements]])</f>
        <v>0</v>
      </c>
    </row>
    <row r="715" spans="1:13">
      <c r="A715" s="41" t="s">
        <v>4363</v>
      </c>
      <c r="B715" s="41" t="str">
        <f>_xlfn.TEXTAFTER(_xlfn.TEXTBEFORE(tblCost[[#This Row],[RequirementID]],".",-2),"cost.")</f>
        <v>tech.alchemists_hut.galvanization</v>
      </c>
      <c r="C715" s="41" t="str">
        <f>_xlfn.XLOOKUP(tblCost[[#This Row],[TargetID]],tblTargets[TargetID],tblTargets[DisplayName],"")</f>
        <v>Alchemists Hut - Galvanization</v>
      </c>
      <c r="D715" s="41" t="str">
        <f>_xlfn.XLOOKUP(tblCost[[#This Row],[TargetID]],tblTargets[TargetID],tblTargets[TargetType],"")</f>
        <v>TECH</v>
      </c>
      <c r="E715" s="41" t="s">
        <v>680</v>
      </c>
      <c r="F715" s="62" t="str">
        <f>RIGHT(tblCost[[#This Row],[RequirementID]],1)</f>
        <v>1</v>
      </c>
      <c r="G715" s="41">
        <v>25</v>
      </c>
      <c r="H715" t="b">
        <f>COUNTIFS(tblCostChecklist[RequirementID],tblCost[[#This Row],[RequirementID]],tblCostChecklist[PlayerPaid],TRUE)&gt;0</f>
        <v>0</v>
      </c>
      <c r="I715" s="41">
        <f>COUNTIF(tblCost[TargetID],tblCost[[#This Row],[TargetID]])</f>
        <v>5</v>
      </c>
      <c r="J715" s="41">
        <f>COUNTIFS(tblCost[TargetID],tblCost[[#This Row],[TargetID]],tblCost[PlayerPaid],TRUE)</f>
        <v>0</v>
      </c>
      <c r="K715" s="41">
        <f>tblCost[[#This Row],[TargetRequirements]]-tblCost[[#This Row],[CompletedRequirements]]</f>
        <v>5</v>
      </c>
      <c r="L715" s="41" t="b">
        <f>tblCost[[#This Row],[RemainingRequirements]]=0</f>
        <v>0</v>
      </c>
      <c r="M715" s="43">
        <f>IF(tblCost[[#This Row],[TargetRequirements]]=0,0,tblCost[[#This Row],[CompletedRequirements]]/tblCost[[#This Row],[TargetRequirements]])</f>
        <v>0</v>
      </c>
    </row>
    <row r="716" spans="1:13">
      <c r="A716" s="41" t="s">
        <v>4364</v>
      </c>
      <c r="B716" s="41" t="str">
        <f>_xlfn.TEXTAFTER(_xlfn.TEXTBEFORE(tblCost[[#This Row],[RequirementID]],".",-2),"cost.")</f>
        <v>tech.alchemists_hut.galvanization</v>
      </c>
      <c r="C716" s="41" t="str">
        <f>_xlfn.XLOOKUP(tblCost[[#This Row],[TargetID]],tblTargets[TargetID],tblTargets[DisplayName],"")</f>
        <v>Alchemists Hut - Galvanization</v>
      </c>
      <c r="D716" s="41" t="str">
        <f>_xlfn.XLOOKUP(tblCost[[#This Row],[TargetID]],tblTargets[TargetID],tblTargets[TargetType],"")</f>
        <v>TECH</v>
      </c>
      <c r="E716" s="41" t="s">
        <v>705</v>
      </c>
      <c r="F716" s="62" t="str">
        <f>RIGHT(tblCost[[#This Row],[RequirementID]],1)</f>
        <v>1</v>
      </c>
      <c r="G716" s="41">
        <v>40</v>
      </c>
      <c r="H716" t="b">
        <f>COUNTIFS(tblCostChecklist[RequirementID],tblCost[[#This Row],[RequirementID]],tblCostChecklist[PlayerPaid],TRUE)&gt;0</f>
        <v>0</v>
      </c>
      <c r="I716" s="41">
        <f>COUNTIF(tblCost[TargetID],tblCost[[#This Row],[TargetID]])</f>
        <v>5</v>
      </c>
      <c r="J716" s="41">
        <f>COUNTIFS(tblCost[TargetID],tblCost[[#This Row],[TargetID]],tblCost[PlayerPaid],TRUE)</f>
        <v>0</v>
      </c>
      <c r="K716" s="41">
        <f>tblCost[[#This Row],[TargetRequirements]]-tblCost[[#This Row],[CompletedRequirements]]</f>
        <v>5</v>
      </c>
      <c r="L716" s="41" t="b">
        <f>tblCost[[#This Row],[RemainingRequirements]]=0</f>
        <v>0</v>
      </c>
      <c r="M716" s="43">
        <f>IF(tblCost[[#This Row],[TargetRequirements]]=0,0,tblCost[[#This Row],[CompletedRequirements]]/tblCost[[#This Row],[TargetRequirements]])</f>
        <v>0</v>
      </c>
    </row>
    <row r="717" spans="1:13">
      <c r="A717" s="41" t="s">
        <v>4365</v>
      </c>
      <c r="B717" s="41" t="str">
        <f>_xlfn.TEXTAFTER(_xlfn.TEXTBEFORE(tblCost[[#This Row],[RequirementID]],".",-2),"cost.")</f>
        <v>tech.alchemists_hut.galvanization</v>
      </c>
      <c r="C717" s="41" t="str">
        <f>_xlfn.XLOOKUP(tblCost[[#This Row],[TargetID]],tblTargets[TargetID],tblTargets[DisplayName],"")</f>
        <v>Alchemists Hut - Galvanization</v>
      </c>
      <c r="D717" s="41" t="str">
        <f>_xlfn.XLOOKUP(tblCost[[#This Row],[TargetID]],tblTargets[TargetID],tblTargets[TargetType],"")</f>
        <v>TECH</v>
      </c>
      <c r="E717" s="41" t="s">
        <v>708</v>
      </c>
      <c r="F717" s="62" t="str">
        <f>RIGHT(tblCost[[#This Row],[RequirementID]],1)</f>
        <v>1</v>
      </c>
      <c r="G717" s="41">
        <v>2</v>
      </c>
      <c r="H717" t="b">
        <f>COUNTIFS(tblCostChecklist[RequirementID],tblCost[[#This Row],[RequirementID]],tblCostChecklist[PlayerPaid],TRUE)&gt;0</f>
        <v>0</v>
      </c>
      <c r="I717" s="41">
        <f>COUNTIF(tblCost[TargetID],tblCost[[#This Row],[TargetID]])</f>
        <v>5</v>
      </c>
      <c r="J717" s="41">
        <f>COUNTIFS(tblCost[TargetID],tblCost[[#This Row],[TargetID]],tblCost[PlayerPaid],TRUE)</f>
        <v>0</v>
      </c>
      <c r="K717" s="41">
        <f>tblCost[[#This Row],[TargetRequirements]]-tblCost[[#This Row],[CompletedRequirements]]</f>
        <v>5</v>
      </c>
      <c r="L717" s="41" t="b">
        <f>tblCost[[#This Row],[RemainingRequirements]]=0</f>
        <v>0</v>
      </c>
      <c r="M717" s="43">
        <f>IF(tblCost[[#This Row],[TargetRequirements]]=0,0,tblCost[[#This Row],[CompletedRequirements]]/tblCost[[#This Row],[TargetRequirements]])</f>
        <v>0</v>
      </c>
    </row>
    <row r="718" spans="1:13">
      <c r="A718" s="41" t="s">
        <v>4366</v>
      </c>
      <c r="B718" s="41" t="str">
        <f>_xlfn.TEXTAFTER(_xlfn.TEXTBEFORE(tblCost[[#This Row],[RequirementID]],".",-2),"cost.")</f>
        <v>tech.alchemists_hut.metamorphosis</v>
      </c>
      <c r="C718" s="41" t="str">
        <f>_xlfn.XLOOKUP(tblCost[[#This Row],[TargetID]],tblTargets[TargetID],tblTargets[DisplayName],"")</f>
        <v>Alchemists Hut - Metamorphosis</v>
      </c>
      <c r="D718" s="41" t="str">
        <f>_xlfn.XLOOKUP(tblCost[[#This Row],[TargetID]],tblTargets[TargetID],tblTargets[TargetType],"")</f>
        <v>TECH</v>
      </c>
      <c r="E718" s="41" t="s">
        <v>666</v>
      </c>
      <c r="F718" s="62" t="str">
        <f>RIGHT(tblCost[[#This Row],[RequirementID]],1)</f>
        <v>1</v>
      </c>
      <c r="G718" s="41">
        <v>300</v>
      </c>
      <c r="H718" t="b">
        <f>COUNTIFS(tblCostChecklist[RequirementID],tblCost[[#This Row],[RequirementID]],tblCostChecklist[PlayerPaid],TRUE)&gt;0</f>
        <v>0</v>
      </c>
      <c r="I718" s="41">
        <f>COUNTIF(tblCost[TargetID],tblCost[[#This Row],[TargetID]])</f>
        <v>6</v>
      </c>
      <c r="J718" s="41">
        <f>COUNTIFS(tblCost[TargetID],tblCost[[#This Row],[TargetID]],tblCost[PlayerPaid],TRUE)</f>
        <v>0</v>
      </c>
      <c r="K718" s="41">
        <f>tblCost[[#This Row],[TargetRequirements]]-tblCost[[#This Row],[CompletedRequirements]]</f>
        <v>6</v>
      </c>
      <c r="L718" s="41" t="b">
        <f>tblCost[[#This Row],[RemainingRequirements]]=0</f>
        <v>0</v>
      </c>
      <c r="M718" s="43">
        <f>IF(tblCost[[#This Row],[TargetRequirements]]=0,0,tblCost[[#This Row],[CompletedRequirements]]/tblCost[[#This Row],[TargetRequirements]])</f>
        <v>0</v>
      </c>
    </row>
    <row r="719" spans="1:13">
      <c r="A719" s="41" t="s">
        <v>4367</v>
      </c>
      <c r="B719" s="41" t="str">
        <f>_xlfn.TEXTAFTER(_xlfn.TEXTBEFORE(tblCost[[#This Row],[RequirementID]],".",-2),"cost.")</f>
        <v>tech.alchemists_hut.metamorphosis</v>
      </c>
      <c r="C719" s="41" t="str">
        <f>_xlfn.XLOOKUP(tblCost[[#This Row],[TargetID]],tblTargets[TargetID],tblTargets[DisplayName],"")</f>
        <v>Alchemists Hut - Metamorphosis</v>
      </c>
      <c r="D719" s="41" t="str">
        <f>_xlfn.XLOOKUP(tblCost[[#This Row],[TargetID]],tblTargets[TargetID],tblTargets[TargetType],"")</f>
        <v>TECH</v>
      </c>
      <c r="E719" s="41" t="s">
        <v>677</v>
      </c>
      <c r="F719" s="62" t="str">
        <f>RIGHT(tblCost[[#This Row],[RequirementID]],1)</f>
        <v>1</v>
      </c>
      <c r="G719" s="41">
        <v>5</v>
      </c>
      <c r="H719" t="b">
        <f>COUNTIFS(tblCostChecklist[RequirementID],tblCost[[#This Row],[RequirementID]],tblCostChecklist[PlayerPaid],TRUE)&gt;0</f>
        <v>0</v>
      </c>
      <c r="I719" s="41">
        <f>COUNTIF(tblCost[TargetID],tblCost[[#This Row],[TargetID]])</f>
        <v>6</v>
      </c>
      <c r="J719" s="41">
        <f>COUNTIFS(tblCost[TargetID],tblCost[[#This Row],[TargetID]],tblCost[PlayerPaid],TRUE)</f>
        <v>0</v>
      </c>
      <c r="K719" s="41">
        <f>tblCost[[#This Row],[TargetRequirements]]-tblCost[[#This Row],[CompletedRequirements]]</f>
        <v>6</v>
      </c>
      <c r="L719" s="41" t="b">
        <f>tblCost[[#This Row],[RemainingRequirements]]=0</f>
        <v>0</v>
      </c>
      <c r="M719" s="43">
        <f>IF(tblCost[[#This Row],[TargetRequirements]]=0,0,tblCost[[#This Row],[CompletedRequirements]]/tblCost[[#This Row],[TargetRequirements]])</f>
        <v>0</v>
      </c>
    </row>
    <row r="720" spans="1:13">
      <c r="A720" s="41" t="s">
        <v>4368</v>
      </c>
      <c r="B720" s="41" t="str">
        <f>_xlfn.TEXTAFTER(_xlfn.TEXTBEFORE(tblCost[[#This Row],[RequirementID]],".",-2),"cost.")</f>
        <v>tech.alchemists_hut.metamorphosis</v>
      </c>
      <c r="C720" s="41" t="str">
        <f>_xlfn.XLOOKUP(tblCost[[#This Row],[TargetID]],tblTargets[TargetID],tblTargets[DisplayName],"")</f>
        <v>Alchemists Hut - Metamorphosis</v>
      </c>
      <c r="D720" s="41" t="str">
        <f>_xlfn.XLOOKUP(tblCost[[#This Row],[TargetID]],tblTargets[TargetID],tblTargets[TargetType],"")</f>
        <v>TECH</v>
      </c>
      <c r="E720" s="41" t="s">
        <v>940</v>
      </c>
      <c r="F720" s="62" t="str">
        <f>RIGHT(tblCost[[#This Row],[RequirementID]],1)</f>
        <v>1</v>
      </c>
      <c r="G720" s="41">
        <v>15</v>
      </c>
      <c r="H720" t="b">
        <f>COUNTIFS(tblCostChecklist[RequirementID],tblCost[[#This Row],[RequirementID]],tblCostChecklist[PlayerPaid],TRUE)&gt;0</f>
        <v>0</v>
      </c>
      <c r="I720" s="41">
        <f>COUNTIF(tblCost[TargetID],tblCost[[#This Row],[TargetID]])</f>
        <v>6</v>
      </c>
      <c r="J720" s="41">
        <f>COUNTIFS(tblCost[TargetID],tblCost[[#This Row],[TargetID]],tblCost[PlayerPaid],TRUE)</f>
        <v>0</v>
      </c>
      <c r="K720" s="41">
        <f>tblCost[[#This Row],[TargetRequirements]]-tblCost[[#This Row],[CompletedRequirements]]</f>
        <v>6</v>
      </c>
      <c r="L720" s="41" t="b">
        <f>tblCost[[#This Row],[RemainingRequirements]]=0</f>
        <v>0</v>
      </c>
      <c r="M720" s="43">
        <f>IF(tblCost[[#This Row],[TargetRequirements]]=0,0,tblCost[[#This Row],[CompletedRequirements]]/tblCost[[#This Row],[TargetRequirements]])</f>
        <v>0</v>
      </c>
    </row>
    <row r="721" spans="1:13">
      <c r="A721" s="41" t="s">
        <v>4369</v>
      </c>
      <c r="B721" s="41" t="str">
        <f>_xlfn.TEXTAFTER(_xlfn.TEXTBEFORE(tblCost[[#This Row],[RequirementID]],".",-2),"cost.")</f>
        <v>tech.alchemists_hut.metamorphosis</v>
      </c>
      <c r="C721" s="41" t="str">
        <f>_xlfn.XLOOKUP(tblCost[[#This Row],[TargetID]],tblTargets[TargetID],tblTargets[DisplayName],"")</f>
        <v>Alchemists Hut - Metamorphosis</v>
      </c>
      <c r="D721" s="41" t="str">
        <f>_xlfn.XLOOKUP(tblCost[[#This Row],[TargetID]],tblTargets[TargetID],tblTargets[TargetType],"")</f>
        <v>TECH</v>
      </c>
      <c r="E721" s="41" t="s">
        <v>687</v>
      </c>
      <c r="F721" s="62" t="str">
        <f>RIGHT(tblCost[[#This Row],[RequirementID]],1)</f>
        <v>1</v>
      </c>
      <c r="G721" s="41">
        <v>5</v>
      </c>
      <c r="H721" t="b">
        <f>COUNTIFS(tblCostChecklist[RequirementID],tblCost[[#This Row],[RequirementID]],tblCostChecklist[PlayerPaid],TRUE)&gt;0</f>
        <v>0</v>
      </c>
      <c r="I721" s="41">
        <f>COUNTIF(tblCost[TargetID],tblCost[[#This Row],[TargetID]])</f>
        <v>6</v>
      </c>
      <c r="J721" s="41">
        <f>COUNTIFS(tblCost[TargetID],tblCost[[#This Row],[TargetID]],tblCost[PlayerPaid],TRUE)</f>
        <v>0</v>
      </c>
      <c r="K721" s="41">
        <f>tblCost[[#This Row],[TargetRequirements]]-tblCost[[#This Row],[CompletedRequirements]]</f>
        <v>6</v>
      </c>
      <c r="L721" s="41" t="b">
        <f>tblCost[[#This Row],[RemainingRequirements]]=0</f>
        <v>0</v>
      </c>
      <c r="M721" s="43">
        <f>IF(tblCost[[#This Row],[TargetRequirements]]=0,0,tblCost[[#This Row],[CompletedRequirements]]/tblCost[[#This Row],[TargetRequirements]])</f>
        <v>0</v>
      </c>
    </row>
    <row r="722" spans="1:13">
      <c r="A722" s="41" t="s">
        <v>4370</v>
      </c>
      <c r="B722" s="41" t="str">
        <f>_xlfn.TEXTAFTER(_xlfn.TEXTBEFORE(tblCost[[#This Row],[RequirementID]],".",-2),"cost.")</f>
        <v>tech.alchemists_hut.metamorphosis</v>
      </c>
      <c r="C722" s="41" t="str">
        <f>_xlfn.XLOOKUP(tblCost[[#This Row],[TargetID]],tblTargets[TargetID],tblTargets[DisplayName],"")</f>
        <v>Alchemists Hut - Metamorphosis</v>
      </c>
      <c r="D722" s="41" t="str">
        <f>_xlfn.XLOOKUP(tblCost[[#This Row],[TargetID]],tblTargets[TargetID],tblTargets[TargetType],"")</f>
        <v>TECH</v>
      </c>
      <c r="E722" s="41" t="s">
        <v>705</v>
      </c>
      <c r="F722" s="62" t="str">
        <f>RIGHT(tblCost[[#This Row],[RequirementID]],1)</f>
        <v>1</v>
      </c>
      <c r="G722" s="41">
        <v>15</v>
      </c>
      <c r="H722" t="b">
        <f>COUNTIFS(tblCostChecklist[RequirementID],tblCost[[#This Row],[RequirementID]],tblCostChecklist[PlayerPaid],TRUE)&gt;0</f>
        <v>0</v>
      </c>
      <c r="I722" s="41">
        <f>COUNTIF(tblCost[TargetID],tblCost[[#This Row],[TargetID]])</f>
        <v>6</v>
      </c>
      <c r="J722" s="41">
        <f>COUNTIFS(tblCost[TargetID],tblCost[[#This Row],[TargetID]],tblCost[PlayerPaid],TRUE)</f>
        <v>0</v>
      </c>
      <c r="K722" s="41">
        <f>tblCost[[#This Row],[TargetRequirements]]-tblCost[[#This Row],[CompletedRequirements]]</f>
        <v>6</v>
      </c>
      <c r="L722" s="41" t="b">
        <f>tblCost[[#This Row],[RemainingRequirements]]=0</f>
        <v>0</v>
      </c>
      <c r="M722" s="43">
        <f>IF(tblCost[[#This Row],[TargetRequirements]]=0,0,tblCost[[#This Row],[CompletedRequirements]]/tblCost[[#This Row],[TargetRequirements]])</f>
        <v>0</v>
      </c>
    </row>
    <row r="723" spans="1:13">
      <c r="A723" s="41" t="s">
        <v>4371</v>
      </c>
      <c r="B723" s="41" t="str">
        <f>_xlfn.TEXTAFTER(_xlfn.TEXTBEFORE(tblCost[[#This Row],[RequirementID]],".",-2),"cost.")</f>
        <v>tech.alchemists_hut.metamorphosis</v>
      </c>
      <c r="C723" s="41" t="str">
        <f>_xlfn.XLOOKUP(tblCost[[#This Row],[TargetID]],tblTargets[TargetID],tblTargets[DisplayName],"")</f>
        <v>Alchemists Hut - Metamorphosis</v>
      </c>
      <c r="D723" s="41" t="str">
        <f>_xlfn.XLOOKUP(tblCost[[#This Row],[TargetID]],tblTargets[TargetID],tblTargets[TargetType],"")</f>
        <v>TECH</v>
      </c>
      <c r="E723" s="41" t="s">
        <v>708</v>
      </c>
      <c r="F723" s="62" t="str">
        <f>RIGHT(tblCost[[#This Row],[RequirementID]],1)</f>
        <v>1</v>
      </c>
      <c r="G723" s="41">
        <v>3</v>
      </c>
      <c r="H723" t="b">
        <f>COUNTIFS(tblCostChecklist[RequirementID],tblCost[[#This Row],[RequirementID]],tblCostChecklist[PlayerPaid],TRUE)&gt;0</f>
        <v>0</v>
      </c>
      <c r="I723" s="41">
        <f>COUNTIF(tblCost[TargetID],tblCost[[#This Row],[TargetID]])</f>
        <v>6</v>
      </c>
      <c r="J723" s="41">
        <f>COUNTIFS(tblCost[TargetID],tblCost[[#This Row],[TargetID]],tblCost[PlayerPaid],TRUE)</f>
        <v>0</v>
      </c>
      <c r="K723" s="41">
        <f>tblCost[[#This Row],[TargetRequirements]]-tblCost[[#This Row],[CompletedRequirements]]</f>
        <v>6</v>
      </c>
      <c r="L723" s="41" t="b">
        <f>tblCost[[#This Row],[RemainingRequirements]]=0</f>
        <v>0</v>
      </c>
      <c r="M723" s="43">
        <f>IF(tblCost[[#This Row],[TargetRequirements]]=0,0,tblCost[[#This Row],[CompletedRequirements]]/tblCost[[#This Row],[TargetRequirements]])</f>
        <v>0</v>
      </c>
    </row>
    <row r="724" spans="1:13">
      <c r="A724" s="41" t="s">
        <v>4372</v>
      </c>
      <c r="B724" s="41" t="str">
        <f>_xlfn.TEXTAFTER(_xlfn.TEXTBEFORE(tblCost[[#This Row],[RequirementID]],".",-2),"cost.")</f>
        <v>tech.alchemists_hut.advanced_fertilizer</v>
      </c>
      <c r="C724" s="41" t="str">
        <f>_xlfn.XLOOKUP(tblCost[[#This Row],[TargetID]],tblTargets[TargetID],tblTargets[DisplayName],"")</f>
        <v>Alchemists Hut - Advanced Fertilizer</v>
      </c>
      <c r="D724" s="41" t="str">
        <f>_xlfn.XLOOKUP(tblCost[[#This Row],[TargetID]],tblTargets[TargetID],tblTargets[TargetType],"")</f>
        <v>TECH</v>
      </c>
      <c r="E724" s="41" t="s">
        <v>662</v>
      </c>
      <c r="F724" s="62" t="str">
        <f>RIGHT(tblCost[[#This Row],[RequirementID]],1)</f>
        <v>1</v>
      </c>
      <c r="G724" s="41">
        <v>30</v>
      </c>
      <c r="H724" t="b">
        <f>COUNTIFS(tblCostChecklist[RequirementID],tblCost[[#This Row],[RequirementID]],tblCostChecklist[PlayerPaid],TRUE)&gt;0</f>
        <v>0</v>
      </c>
      <c r="I724" s="41">
        <f>COUNTIF(tblCost[TargetID],tblCost[[#This Row],[TargetID]])</f>
        <v>9</v>
      </c>
      <c r="J724" s="41">
        <f>COUNTIFS(tblCost[TargetID],tblCost[[#This Row],[TargetID]],tblCost[PlayerPaid],TRUE)</f>
        <v>0</v>
      </c>
      <c r="K724" s="41">
        <f>tblCost[[#This Row],[TargetRequirements]]-tblCost[[#This Row],[CompletedRequirements]]</f>
        <v>9</v>
      </c>
      <c r="L724" s="41" t="b">
        <f>tblCost[[#This Row],[RemainingRequirements]]=0</f>
        <v>0</v>
      </c>
      <c r="M724" s="43">
        <f>IF(tblCost[[#This Row],[TargetRequirements]]=0,0,tblCost[[#This Row],[CompletedRequirements]]/tblCost[[#This Row],[TargetRequirements]])</f>
        <v>0</v>
      </c>
    </row>
    <row r="725" spans="1:13">
      <c r="A725" s="41" t="s">
        <v>4373</v>
      </c>
      <c r="B725" s="41" t="str">
        <f>_xlfn.TEXTAFTER(_xlfn.TEXTBEFORE(tblCost[[#This Row],[RequirementID]],".",-2),"cost.")</f>
        <v>tech.alchemists_hut.advanced_fertilizer</v>
      </c>
      <c r="C725" s="41" t="str">
        <f>_xlfn.XLOOKUP(tblCost[[#This Row],[TargetID]],tblTargets[TargetID],tblTargets[DisplayName],"")</f>
        <v>Alchemists Hut - Advanced Fertilizer</v>
      </c>
      <c r="D725" s="41" t="str">
        <f>_xlfn.XLOOKUP(tblCost[[#This Row],[TargetID]],tblTargets[TargetID],tblTargets[TargetType],"")</f>
        <v>TECH</v>
      </c>
      <c r="E725" s="41" t="s">
        <v>928</v>
      </c>
      <c r="F725" s="62" t="str">
        <f>RIGHT(tblCost[[#This Row],[RequirementID]],1)</f>
        <v>1</v>
      </c>
      <c r="G725" s="41">
        <v>20</v>
      </c>
      <c r="H725" t="b">
        <f>COUNTIFS(tblCostChecklist[RequirementID],tblCost[[#This Row],[RequirementID]],tblCostChecklist[PlayerPaid],TRUE)&gt;0</f>
        <v>0</v>
      </c>
      <c r="I725" s="41">
        <f>COUNTIF(tblCost[TargetID],tblCost[[#This Row],[TargetID]])</f>
        <v>9</v>
      </c>
      <c r="J725" s="41">
        <f>COUNTIFS(tblCost[TargetID],tblCost[[#This Row],[TargetID]],tblCost[PlayerPaid],TRUE)</f>
        <v>0</v>
      </c>
      <c r="K725" s="41">
        <f>tblCost[[#This Row],[TargetRequirements]]-tblCost[[#This Row],[CompletedRequirements]]</f>
        <v>9</v>
      </c>
      <c r="L725" s="41" t="b">
        <f>tblCost[[#This Row],[RemainingRequirements]]=0</f>
        <v>0</v>
      </c>
      <c r="M725" s="43">
        <f>IF(tblCost[[#This Row],[TargetRequirements]]=0,0,tblCost[[#This Row],[CompletedRequirements]]/tblCost[[#This Row],[TargetRequirements]])</f>
        <v>0</v>
      </c>
    </row>
    <row r="726" spans="1:13">
      <c r="A726" s="41" t="s">
        <v>4374</v>
      </c>
      <c r="B726" s="41" t="str">
        <f>_xlfn.TEXTAFTER(_xlfn.TEXTBEFORE(tblCost[[#This Row],[RequirementID]],".",-2),"cost.")</f>
        <v>tech.alchemists_hut.advanced_fertilizer</v>
      </c>
      <c r="C726" s="41" t="str">
        <f>_xlfn.XLOOKUP(tblCost[[#This Row],[TargetID]],tblTargets[TargetID],tblTargets[DisplayName],"")</f>
        <v>Alchemists Hut - Advanced Fertilizer</v>
      </c>
      <c r="D726" s="41" t="str">
        <f>_xlfn.XLOOKUP(tblCost[[#This Row],[TargetID]],tblTargets[TargetID],tblTargets[TargetType],"")</f>
        <v>TECH</v>
      </c>
      <c r="E726" s="41" t="s">
        <v>664</v>
      </c>
      <c r="F726" s="62" t="str">
        <f>RIGHT(tblCost[[#This Row],[RequirementID]],1)</f>
        <v>1</v>
      </c>
      <c r="G726" s="41">
        <v>100</v>
      </c>
      <c r="H726" t="b">
        <f>COUNTIFS(tblCostChecklist[RequirementID],tblCost[[#This Row],[RequirementID]],tblCostChecklist[PlayerPaid],TRUE)&gt;0</f>
        <v>0</v>
      </c>
      <c r="I726" s="41">
        <f>COUNTIF(tblCost[TargetID],tblCost[[#This Row],[TargetID]])</f>
        <v>9</v>
      </c>
      <c r="J726" s="41">
        <f>COUNTIFS(tblCost[TargetID],tblCost[[#This Row],[TargetID]],tblCost[PlayerPaid],TRUE)</f>
        <v>0</v>
      </c>
      <c r="K726" s="41">
        <f>tblCost[[#This Row],[TargetRequirements]]-tblCost[[#This Row],[CompletedRequirements]]</f>
        <v>9</v>
      </c>
      <c r="L726" s="41" t="b">
        <f>tblCost[[#This Row],[RemainingRequirements]]=0</f>
        <v>0</v>
      </c>
      <c r="M726" s="43">
        <f>IF(tblCost[[#This Row],[TargetRequirements]]=0,0,tblCost[[#This Row],[CompletedRequirements]]/tblCost[[#This Row],[TargetRequirements]])</f>
        <v>0</v>
      </c>
    </row>
    <row r="727" spans="1:13">
      <c r="A727" s="41" t="s">
        <v>4375</v>
      </c>
      <c r="B727" s="41" t="str">
        <f>_xlfn.TEXTAFTER(_xlfn.TEXTBEFORE(tblCost[[#This Row],[RequirementID]],".",-2),"cost.")</f>
        <v>tech.alchemists_hut.advanced_fertilizer</v>
      </c>
      <c r="C727" s="41" t="str">
        <f>_xlfn.XLOOKUP(tblCost[[#This Row],[TargetID]],tblTargets[TargetID],tblTargets[DisplayName],"")</f>
        <v>Alchemists Hut - Advanced Fertilizer</v>
      </c>
      <c r="D727" s="41" t="str">
        <f>_xlfn.XLOOKUP(tblCost[[#This Row],[TargetID]],tblTargets[TargetID],tblTargets[TargetType],"")</f>
        <v>TECH</v>
      </c>
      <c r="E727" s="41" t="s">
        <v>666</v>
      </c>
      <c r="F727" s="62" t="str">
        <f>RIGHT(tblCost[[#This Row],[RequirementID]],1)</f>
        <v>1</v>
      </c>
      <c r="G727" s="41">
        <v>800</v>
      </c>
      <c r="H727" t="b">
        <f>COUNTIFS(tblCostChecklist[RequirementID],tblCost[[#This Row],[RequirementID]],tblCostChecklist[PlayerPaid],TRUE)&gt;0</f>
        <v>0</v>
      </c>
      <c r="I727" s="41">
        <f>COUNTIF(tblCost[TargetID],tblCost[[#This Row],[TargetID]])</f>
        <v>9</v>
      </c>
      <c r="J727" s="41">
        <f>COUNTIFS(tblCost[TargetID],tblCost[[#This Row],[TargetID]],tblCost[PlayerPaid],TRUE)</f>
        <v>0</v>
      </c>
      <c r="K727" s="41">
        <f>tblCost[[#This Row],[TargetRequirements]]-tblCost[[#This Row],[CompletedRequirements]]</f>
        <v>9</v>
      </c>
      <c r="L727" s="41" t="b">
        <f>tblCost[[#This Row],[RemainingRequirements]]=0</f>
        <v>0</v>
      </c>
      <c r="M727" s="43">
        <f>IF(tblCost[[#This Row],[TargetRequirements]]=0,0,tblCost[[#This Row],[CompletedRequirements]]/tblCost[[#This Row],[TargetRequirements]])</f>
        <v>0</v>
      </c>
    </row>
    <row r="728" spans="1:13">
      <c r="A728" s="41" t="s">
        <v>4376</v>
      </c>
      <c r="B728" s="41" t="str">
        <f>_xlfn.TEXTAFTER(_xlfn.TEXTBEFORE(tblCost[[#This Row],[RequirementID]],".",-2),"cost.")</f>
        <v>tech.alchemists_hut.advanced_fertilizer</v>
      </c>
      <c r="C728" s="41" t="str">
        <f>_xlfn.XLOOKUP(tblCost[[#This Row],[TargetID]],tblTargets[TargetID],tblTargets[DisplayName],"")</f>
        <v>Alchemists Hut - Advanced Fertilizer</v>
      </c>
      <c r="D728" s="41" t="str">
        <f>_xlfn.XLOOKUP(tblCost[[#This Row],[TargetID]],tblTargets[TargetID],tblTargets[TargetType],"")</f>
        <v>TECH</v>
      </c>
      <c r="E728" s="41" t="s">
        <v>932</v>
      </c>
      <c r="F728" s="62" t="str">
        <f>RIGHT(tblCost[[#This Row],[RequirementID]],1)</f>
        <v>1</v>
      </c>
      <c r="G728" s="41">
        <v>50</v>
      </c>
      <c r="H728" t="b">
        <f>COUNTIFS(tblCostChecklist[RequirementID],tblCost[[#This Row],[RequirementID]],tblCostChecklist[PlayerPaid],TRUE)&gt;0</f>
        <v>0</v>
      </c>
      <c r="I728" s="41">
        <f>COUNTIF(tblCost[TargetID],tblCost[[#This Row],[TargetID]])</f>
        <v>9</v>
      </c>
      <c r="J728" s="41">
        <f>COUNTIFS(tblCost[TargetID],tblCost[[#This Row],[TargetID]],tblCost[PlayerPaid],TRUE)</f>
        <v>0</v>
      </c>
      <c r="K728" s="41">
        <f>tblCost[[#This Row],[TargetRequirements]]-tblCost[[#This Row],[CompletedRequirements]]</f>
        <v>9</v>
      </c>
      <c r="L728" s="41" t="b">
        <f>tblCost[[#This Row],[RemainingRequirements]]=0</f>
        <v>0</v>
      </c>
      <c r="M728" s="43">
        <f>IF(tblCost[[#This Row],[TargetRequirements]]=0,0,tblCost[[#This Row],[CompletedRequirements]]/tblCost[[#This Row],[TargetRequirements]])</f>
        <v>0</v>
      </c>
    </row>
    <row r="729" spans="1:13">
      <c r="A729" s="41" t="s">
        <v>4377</v>
      </c>
      <c r="B729" s="41" t="str">
        <f>_xlfn.TEXTAFTER(_xlfn.TEXTBEFORE(tblCost[[#This Row],[RequirementID]],".",-2),"cost.")</f>
        <v>tech.alchemists_hut.advanced_fertilizer</v>
      </c>
      <c r="C729" s="41" t="str">
        <f>_xlfn.XLOOKUP(tblCost[[#This Row],[TargetID]],tblTargets[TargetID],tblTargets[DisplayName],"")</f>
        <v>Alchemists Hut - Advanced Fertilizer</v>
      </c>
      <c r="D729" s="41" t="str">
        <f>_xlfn.XLOOKUP(tblCost[[#This Row],[TargetID]],tblTargets[TargetID],tblTargets[TargetType],"")</f>
        <v>TECH</v>
      </c>
      <c r="E729" s="41" t="s">
        <v>674</v>
      </c>
      <c r="F729" s="62" t="str">
        <f>RIGHT(tblCost[[#This Row],[RequirementID]],1)</f>
        <v>1</v>
      </c>
      <c r="G729" s="41">
        <v>20</v>
      </c>
      <c r="H729" t="b">
        <f>COUNTIFS(tblCostChecklist[RequirementID],tblCost[[#This Row],[RequirementID]],tblCostChecklist[PlayerPaid],TRUE)&gt;0</f>
        <v>0</v>
      </c>
      <c r="I729" s="41">
        <f>COUNTIF(tblCost[TargetID],tblCost[[#This Row],[TargetID]])</f>
        <v>9</v>
      </c>
      <c r="J729" s="41">
        <f>COUNTIFS(tblCost[TargetID],tblCost[[#This Row],[TargetID]],tblCost[PlayerPaid],TRUE)</f>
        <v>0</v>
      </c>
      <c r="K729" s="41">
        <f>tblCost[[#This Row],[TargetRequirements]]-tblCost[[#This Row],[CompletedRequirements]]</f>
        <v>9</v>
      </c>
      <c r="L729" s="41" t="b">
        <f>tblCost[[#This Row],[RemainingRequirements]]=0</f>
        <v>0</v>
      </c>
      <c r="M729" s="43">
        <f>IF(tblCost[[#This Row],[TargetRequirements]]=0,0,tblCost[[#This Row],[CompletedRequirements]]/tblCost[[#This Row],[TargetRequirements]])</f>
        <v>0</v>
      </c>
    </row>
    <row r="730" spans="1:13">
      <c r="A730" s="41" t="s">
        <v>4378</v>
      </c>
      <c r="B730" s="41" t="str">
        <f>_xlfn.TEXTAFTER(_xlfn.TEXTBEFORE(tblCost[[#This Row],[RequirementID]],".",-2),"cost.")</f>
        <v>tech.alchemists_hut.advanced_fertilizer</v>
      </c>
      <c r="C730" s="41" t="str">
        <f>_xlfn.XLOOKUP(tblCost[[#This Row],[TargetID]],tblTargets[TargetID],tblTargets[DisplayName],"")</f>
        <v>Alchemists Hut - Advanced Fertilizer</v>
      </c>
      <c r="D730" s="41" t="str">
        <f>_xlfn.XLOOKUP(tblCost[[#This Row],[TargetID]],tblTargets[TargetID],tblTargets[TargetType],"")</f>
        <v>TECH</v>
      </c>
      <c r="E730" s="41" t="s">
        <v>705</v>
      </c>
      <c r="F730" s="62" t="str">
        <f>RIGHT(tblCost[[#This Row],[RequirementID]],1)</f>
        <v>1</v>
      </c>
      <c r="G730" s="41">
        <v>20</v>
      </c>
      <c r="H730" t="b">
        <f>COUNTIFS(tblCostChecklist[RequirementID],tblCost[[#This Row],[RequirementID]],tblCostChecklist[PlayerPaid],TRUE)&gt;0</f>
        <v>0</v>
      </c>
      <c r="I730" s="41">
        <f>COUNTIF(tblCost[TargetID],tblCost[[#This Row],[TargetID]])</f>
        <v>9</v>
      </c>
      <c r="J730" s="41">
        <f>COUNTIFS(tblCost[TargetID],tblCost[[#This Row],[TargetID]],tblCost[PlayerPaid],TRUE)</f>
        <v>0</v>
      </c>
      <c r="K730" s="41">
        <f>tblCost[[#This Row],[TargetRequirements]]-tblCost[[#This Row],[CompletedRequirements]]</f>
        <v>9</v>
      </c>
      <c r="L730" s="41" t="b">
        <f>tblCost[[#This Row],[RemainingRequirements]]=0</f>
        <v>0</v>
      </c>
      <c r="M730" s="43">
        <f>IF(tblCost[[#This Row],[TargetRequirements]]=0,0,tblCost[[#This Row],[CompletedRequirements]]/tblCost[[#This Row],[TargetRequirements]])</f>
        <v>0</v>
      </c>
    </row>
    <row r="731" spans="1:13">
      <c r="A731" s="41" t="s">
        <v>4379</v>
      </c>
      <c r="B731" s="41" t="str">
        <f>_xlfn.TEXTAFTER(_xlfn.TEXTBEFORE(tblCost[[#This Row],[RequirementID]],".",-2),"cost.")</f>
        <v>tech.alchemists_hut.advanced_fertilizer</v>
      </c>
      <c r="C731" s="41" t="str">
        <f>_xlfn.XLOOKUP(tblCost[[#This Row],[TargetID]],tblTargets[TargetID],tblTargets[DisplayName],"")</f>
        <v>Alchemists Hut - Advanced Fertilizer</v>
      </c>
      <c r="D731" s="41" t="str">
        <f>_xlfn.XLOOKUP(tblCost[[#This Row],[TargetID]],tblTargets[TargetID],tblTargets[TargetType],"")</f>
        <v>TECH</v>
      </c>
      <c r="E731" s="41" t="s">
        <v>708</v>
      </c>
      <c r="F731" s="62" t="str">
        <f>RIGHT(tblCost[[#This Row],[RequirementID]],1)</f>
        <v>1</v>
      </c>
      <c r="G731" s="41">
        <v>5</v>
      </c>
      <c r="H731" t="b">
        <f>COUNTIFS(tblCostChecklist[RequirementID],tblCost[[#This Row],[RequirementID]],tblCostChecklist[PlayerPaid],TRUE)&gt;0</f>
        <v>0</v>
      </c>
      <c r="I731" s="41">
        <f>COUNTIF(tblCost[TargetID],tblCost[[#This Row],[TargetID]])</f>
        <v>9</v>
      </c>
      <c r="J731" s="41">
        <f>COUNTIFS(tblCost[TargetID],tblCost[[#This Row],[TargetID]],tblCost[PlayerPaid],TRUE)</f>
        <v>0</v>
      </c>
      <c r="K731" s="41">
        <f>tblCost[[#This Row],[TargetRequirements]]-tblCost[[#This Row],[CompletedRequirements]]</f>
        <v>9</v>
      </c>
      <c r="L731" s="41" t="b">
        <f>tblCost[[#This Row],[RemainingRequirements]]=0</f>
        <v>0</v>
      </c>
      <c r="M731" s="43">
        <f>IF(tblCost[[#This Row],[TargetRequirements]]=0,0,tblCost[[#This Row],[CompletedRequirements]]/tblCost[[#This Row],[TargetRequirements]])</f>
        <v>0</v>
      </c>
    </row>
    <row r="732" spans="1:13">
      <c r="A732" s="41" t="s">
        <v>4380</v>
      </c>
      <c r="B732" s="41" t="str">
        <f>_xlfn.TEXTAFTER(_xlfn.TEXTBEFORE(tblCost[[#This Row],[RequirementID]],".",-2),"cost.")</f>
        <v>tech.alchemists_hut.advanced_fertilizer</v>
      </c>
      <c r="C732" s="41" t="str">
        <f>_xlfn.XLOOKUP(tblCost[[#This Row],[TargetID]],tblTargets[TargetID],tblTargets[DisplayName],"")</f>
        <v>Alchemists Hut - Advanced Fertilizer</v>
      </c>
      <c r="D732" s="41" t="str">
        <f>_xlfn.XLOOKUP(tblCost[[#This Row],[TargetID]],tblTargets[TargetID],tblTargets[TargetType],"")</f>
        <v>TECH</v>
      </c>
      <c r="E732" s="41" t="s">
        <v>720</v>
      </c>
      <c r="F732" s="62" t="str">
        <f>RIGHT(tblCost[[#This Row],[RequirementID]],1)</f>
        <v>1</v>
      </c>
      <c r="G732" s="41">
        <v>10</v>
      </c>
      <c r="H732" t="b">
        <f>COUNTIFS(tblCostChecklist[RequirementID],tblCost[[#This Row],[RequirementID]],tblCostChecklist[PlayerPaid],TRUE)&gt;0</f>
        <v>0</v>
      </c>
      <c r="I732" s="41">
        <f>COUNTIF(tblCost[TargetID],tblCost[[#This Row],[TargetID]])</f>
        <v>9</v>
      </c>
      <c r="J732" s="41">
        <f>COUNTIFS(tblCost[TargetID],tblCost[[#This Row],[TargetID]],tblCost[PlayerPaid],TRUE)</f>
        <v>0</v>
      </c>
      <c r="K732" s="41">
        <f>tblCost[[#This Row],[TargetRequirements]]-tblCost[[#This Row],[CompletedRequirements]]</f>
        <v>9</v>
      </c>
      <c r="L732" s="41" t="b">
        <f>tblCost[[#This Row],[RemainingRequirements]]=0</f>
        <v>0</v>
      </c>
      <c r="M732" s="43">
        <f>IF(tblCost[[#This Row],[TargetRequirements]]=0,0,tblCost[[#This Row],[CompletedRequirements]]/tblCost[[#This Row],[TargetRequirements]])</f>
        <v>0</v>
      </c>
    </row>
    <row r="733" spans="1:13">
      <c r="A733" s="41" t="s">
        <v>4381</v>
      </c>
      <c r="B733" s="41" t="str">
        <f>_xlfn.TEXTAFTER(_xlfn.TEXTBEFORE(tblCost[[#This Row],[RequirementID]],".",-2),"cost.")</f>
        <v>tech.bridge.koi_fish</v>
      </c>
      <c r="C733" s="41" t="str">
        <f>_xlfn.XLOOKUP(tblCost[[#This Row],[TargetID]],tblTargets[TargetID],tblTargets[DisplayName],"")</f>
        <v>Bridge - Koi Fish</v>
      </c>
      <c r="D733" s="41" t="str">
        <f>_xlfn.XLOOKUP(tblCost[[#This Row],[TargetID]],tblTargets[TargetID],tblTargets[TargetType],"")</f>
        <v>TECH</v>
      </c>
      <c r="E733" s="41" t="s">
        <v>680</v>
      </c>
      <c r="F733" s="62" t="str">
        <f>RIGHT(tblCost[[#This Row],[RequirementID]],1)</f>
        <v>1</v>
      </c>
      <c r="G733" s="41">
        <v>20</v>
      </c>
      <c r="H733" t="b">
        <f>COUNTIFS(tblCostChecklist[RequirementID],tblCost[[#This Row],[RequirementID]],tblCostChecklist[PlayerPaid],TRUE)&gt;0</f>
        <v>0</v>
      </c>
      <c r="I733" s="41">
        <f>COUNTIF(tblCost[TargetID],tblCost[[#This Row],[TargetID]])</f>
        <v>6</v>
      </c>
      <c r="J733" s="41">
        <f>COUNTIFS(tblCost[TargetID],tblCost[[#This Row],[TargetID]],tblCost[PlayerPaid],TRUE)</f>
        <v>0</v>
      </c>
      <c r="K733" s="41">
        <f>tblCost[[#This Row],[TargetRequirements]]-tblCost[[#This Row],[CompletedRequirements]]</f>
        <v>6</v>
      </c>
      <c r="L733" s="41" t="b">
        <f>tblCost[[#This Row],[RemainingRequirements]]=0</f>
        <v>0</v>
      </c>
      <c r="M733" s="43">
        <f>IF(tblCost[[#This Row],[TargetRequirements]]=0,0,tblCost[[#This Row],[CompletedRequirements]]/tblCost[[#This Row],[TargetRequirements]])</f>
        <v>0</v>
      </c>
    </row>
    <row r="734" spans="1:13">
      <c r="A734" s="41" t="s">
        <v>4382</v>
      </c>
      <c r="B734" s="41" t="str">
        <f>_xlfn.TEXTAFTER(_xlfn.TEXTBEFORE(tblCost[[#This Row],[RequirementID]],".",-2),"cost.")</f>
        <v>tech.bridge.koi_fish</v>
      </c>
      <c r="C734" s="41" t="str">
        <f>_xlfn.XLOOKUP(tblCost[[#This Row],[TargetID]],tblTargets[TargetID],tblTargets[DisplayName],"")</f>
        <v>Bridge - Koi Fish</v>
      </c>
      <c r="D734" s="41" t="str">
        <f>_xlfn.XLOOKUP(tblCost[[#This Row],[TargetID]],tblTargets[TargetID],tblTargets[TargetType],"")</f>
        <v>TECH</v>
      </c>
      <c r="E734" s="41" t="s">
        <v>697</v>
      </c>
      <c r="F734" s="62" t="str">
        <f>RIGHT(tblCost[[#This Row],[RequirementID]],1)</f>
        <v>1</v>
      </c>
      <c r="G734" s="41">
        <v>20</v>
      </c>
      <c r="H734" t="b">
        <f>COUNTIFS(tblCostChecklist[RequirementID],tblCost[[#This Row],[RequirementID]],tblCostChecklist[PlayerPaid],TRUE)&gt;0</f>
        <v>0</v>
      </c>
      <c r="I734" s="41">
        <f>COUNTIF(tblCost[TargetID],tblCost[[#This Row],[TargetID]])</f>
        <v>6</v>
      </c>
      <c r="J734" s="41">
        <f>COUNTIFS(tblCost[TargetID],tblCost[[#This Row],[TargetID]],tblCost[PlayerPaid],TRUE)</f>
        <v>0</v>
      </c>
      <c r="K734" s="41">
        <f>tblCost[[#This Row],[TargetRequirements]]-tblCost[[#This Row],[CompletedRequirements]]</f>
        <v>6</v>
      </c>
      <c r="L734" s="41" t="b">
        <f>tblCost[[#This Row],[RemainingRequirements]]=0</f>
        <v>0</v>
      </c>
      <c r="M734" s="43">
        <f>IF(tblCost[[#This Row],[TargetRequirements]]=0,0,tblCost[[#This Row],[CompletedRequirements]]/tblCost[[#This Row],[TargetRequirements]])</f>
        <v>0</v>
      </c>
    </row>
    <row r="735" spans="1:13">
      <c r="A735" s="41" t="s">
        <v>4383</v>
      </c>
      <c r="B735" s="41" t="str">
        <f>_xlfn.TEXTAFTER(_xlfn.TEXTBEFORE(tblCost[[#This Row],[RequirementID]],".",-2),"cost.")</f>
        <v>tech.bridge.koi_fish</v>
      </c>
      <c r="C735" s="41" t="str">
        <f>_xlfn.XLOOKUP(tblCost[[#This Row],[TargetID]],tblTargets[TargetID],tblTargets[DisplayName],"")</f>
        <v>Bridge - Koi Fish</v>
      </c>
      <c r="D735" s="41" t="str">
        <f>_xlfn.XLOOKUP(tblCost[[#This Row],[TargetID]],tblTargets[TargetID],tblTargets[TargetType],"")</f>
        <v>TECH</v>
      </c>
      <c r="E735" s="41" t="s">
        <v>708</v>
      </c>
      <c r="F735" s="62" t="str">
        <f>RIGHT(tblCost[[#This Row],[RequirementID]],1)</f>
        <v>1</v>
      </c>
      <c r="G735" s="41">
        <v>20</v>
      </c>
      <c r="H735" t="b">
        <f>COUNTIFS(tblCostChecklist[RequirementID],tblCost[[#This Row],[RequirementID]],tblCostChecklist[PlayerPaid],TRUE)&gt;0</f>
        <v>0</v>
      </c>
      <c r="I735" s="41">
        <f>COUNTIF(tblCost[TargetID],tblCost[[#This Row],[TargetID]])</f>
        <v>6</v>
      </c>
      <c r="J735" s="41">
        <f>COUNTIFS(tblCost[TargetID],tblCost[[#This Row],[TargetID]],tblCost[PlayerPaid],TRUE)</f>
        <v>0</v>
      </c>
      <c r="K735" s="41">
        <f>tblCost[[#This Row],[TargetRequirements]]-tblCost[[#This Row],[CompletedRequirements]]</f>
        <v>6</v>
      </c>
      <c r="L735" s="41" t="b">
        <f>tblCost[[#This Row],[RemainingRequirements]]=0</f>
        <v>0</v>
      </c>
      <c r="M735" s="43">
        <f>IF(tblCost[[#This Row],[TargetRequirements]]=0,0,tblCost[[#This Row],[CompletedRequirements]]/tblCost[[#This Row],[TargetRequirements]])</f>
        <v>0</v>
      </c>
    </row>
    <row r="736" spans="1:13">
      <c r="A736" s="41" t="s">
        <v>4384</v>
      </c>
      <c r="B736" s="41" t="str">
        <f>_xlfn.TEXTAFTER(_xlfn.TEXTBEFORE(tblCost[[#This Row],[RequirementID]],".",-2),"cost.")</f>
        <v>tech.bridge.koi_fish</v>
      </c>
      <c r="C736" s="41" t="str">
        <f>_xlfn.XLOOKUP(tblCost[[#This Row],[TargetID]],tblTargets[TargetID],tblTargets[DisplayName],"")</f>
        <v>Bridge - Koi Fish</v>
      </c>
      <c r="D736" s="41" t="str">
        <f>_xlfn.XLOOKUP(tblCost[[#This Row],[TargetID]],tblTargets[TargetID],tblTargets[TargetType],"")</f>
        <v>TECH</v>
      </c>
      <c r="E736" s="41" t="s">
        <v>948</v>
      </c>
      <c r="F736" s="62" t="str">
        <f>RIGHT(tblCost[[#This Row],[RequirementID]],1)</f>
        <v>1</v>
      </c>
      <c r="G736" s="41">
        <v>20</v>
      </c>
      <c r="H736" t="b">
        <f>COUNTIFS(tblCostChecklist[RequirementID],tblCost[[#This Row],[RequirementID]],tblCostChecklist[PlayerPaid],TRUE)&gt;0</f>
        <v>0</v>
      </c>
      <c r="I736" s="41">
        <f>COUNTIF(tblCost[TargetID],tblCost[[#This Row],[TargetID]])</f>
        <v>6</v>
      </c>
      <c r="J736" s="41">
        <f>COUNTIFS(tblCost[TargetID],tblCost[[#This Row],[TargetID]],tblCost[PlayerPaid],TRUE)</f>
        <v>0</v>
      </c>
      <c r="K736" s="41">
        <f>tblCost[[#This Row],[TargetRequirements]]-tblCost[[#This Row],[CompletedRequirements]]</f>
        <v>6</v>
      </c>
      <c r="L736" s="41" t="b">
        <f>tblCost[[#This Row],[RemainingRequirements]]=0</f>
        <v>0</v>
      </c>
      <c r="M736" s="43">
        <f>IF(tblCost[[#This Row],[TargetRequirements]]=0,0,tblCost[[#This Row],[CompletedRequirements]]/tblCost[[#This Row],[TargetRequirements]])</f>
        <v>0</v>
      </c>
    </row>
    <row r="737" spans="1:13">
      <c r="A737" s="41" t="s">
        <v>4385</v>
      </c>
      <c r="B737" s="41" t="str">
        <f>_xlfn.TEXTAFTER(_xlfn.TEXTBEFORE(tblCost[[#This Row],[RequirementID]],".",-2),"cost.")</f>
        <v>tech.bridge.koi_fish</v>
      </c>
      <c r="C737" s="41" t="str">
        <f>_xlfn.XLOOKUP(tblCost[[#This Row],[TargetID]],tblTargets[TargetID],tblTargets[DisplayName],"")</f>
        <v>Bridge - Koi Fish</v>
      </c>
      <c r="D737" s="41" t="str">
        <f>_xlfn.XLOOKUP(tblCost[[#This Row],[TargetID]],tblTargets[TargetID],tblTargets[TargetType],"")</f>
        <v>TECH</v>
      </c>
      <c r="E737" s="41" t="s">
        <v>956</v>
      </c>
      <c r="F737" s="62" t="str">
        <f>RIGHT(tblCost[[#This Row],[RequirementID]],1)</f>
        <v>1</v>
      </c>
      <c r="G737" s="41">
        <v>20</v>
      </c>
      <c r="H737" t="b">
        <f>COUNTIFS(tblCostChecklist[RequirementID],tblCost[[#This Row],[RequirementID]],tblCostChecklist[PlayerPaid],TRUE)&gt;0</f>
        <v>0</v>
      </c>
      <c r="I737" s="41">
        <f>COUNTIF(tblCost[TargetID],tblCost[[#This Row],[TargetID]])</f>
        <v>6</v>
      </c>
      <c r="J737" s="41">
        <f>COUNTIFS(tblCost[TargetID],tblCost[[#This Row],[TargetID]],tblCost[PlayerPaid],TRUE)</f>
        <v>0</v>
      </c>
      <c r="K737" s="41">
        <f>tblCost[[#This Row],[TargetRequirements]]-tblCost[[#This Row],[CompletedRequirements]]</f>
        <v>6</v>
      </c>
      <c r="L737" s="41" t="b">
        <f>tblCost[[#This Row],[RemainingRequirements]]=0</f>
        <v>0</v>
      </c>
      <c r="M737" s="43">
        <f>IF(tblCost[[#This Row],[TargetRequirements]]=0,0,tblCost[[#This Row],[CompletedRequirements]]/tblCost[[#This Row],[TargetRequirements]])</f>
        <v>0</v>
      </c>
    </row>
    <row r="738" spans="1:13">
      <c r="A738" s="41" t="s">
        <v>4386</v>
      </c>
      <c r="B738" s="41" t="str">
        <f>_xlfn.TEXTAFTER(_xlfn.TEXTBEFORE(tblCost[[#This Row],[RequirementID]],".",-2),"cost.")</f>
        <v>tech.bridge.koi_fish</v>
      </c>
      <c r="C738" s="41" t="str">
        <f>_xlfn.XLOOKUP(tblCost[[#This Row],[TargetID]],tblTargets[TargetID],tblTargets[DisplayName],"")</f>
        <v>Bridge - Koi Fish</v>
      </c>
      <c r="D738" s="41" t="str">
        <f>_xlfn.XLOOKUP(tblCost[[#This Row],[TargetID]],tblTargets[TargetID],tblTargets[TargetType],"")</f>
        <v>TECH</v>
      </c>
      <c r="E738" s="41" t="s">
        <v>722</v>
      </c>
      <c r="F738" s="62" t="str">
        <f>RIGHT(tblCost[[#This Row],[RequirementID]],1)</f>
        <v>1</v>
      </c>
      <c r="G738" s="41">
        <v>20</v>
      </c>
      <c r="H738" t="b">
        <f>COUNTIFS(tblCostChecklist[RequirementID],tblCost[[#This Row],[RequirementID]],tblCostChecklist[PlayerPaid],TRUE)&gt;0</f>
        <v>0</v>
      </c>
      <c r="I738" s="41">
        <f>COUNTIF(tblCost[TargetID],tblCost[[#This Row],[TargetID]])</f>
        <v>6</v>
      </c>
      <c r="J738" s="41">
        <f>COUNTIFS(tblCost[TargetID],tblCost[[#This Row],[TargetID]],tblCost[PlayerPaid],TRUE)</f>
        <v>0</v>
      </c>
      <c r="K738" s="41">
        <f>tblCost[[#This Row],[TargetRequirements]]-tblCost[[#This Row],[CompletedRequirements]]</f>
        <v>6</v>
      </c>
      <c r="L738" s="41" t="b">
        <f>tblCost[[#This Row],[RemainingRequirements]]=0</f>
        <v>0</v>
      </c>
      <c r="M738" s="43">
        <f>IF(tblCost[[#This Row],[TargetRequirements]]=0,0,tblCost[[#This Row],[CompletedRequirements]]/tblCost[[#This Row],[TargetRequirements]])</f>
        <v>0</v>
      </c>
    </row>
    <row r="739" spans="1:13">
      <c r="A739" s="41" t="s">
        <v>4387</v>
      </c>
      <c r="B739" s="41" t="str">
        <f>_xlfn.TEXTAFTER(_xlfn.TEXTBEFORE(tblCost[[#This Row],[RequirementID]],".",-2),"cost.")</f>
        <v>tech.bridge.salmon_farming</v>
      </c>
      <c r="C739" s="41" t="str">
        <f>_xlfn.XLOOKUP(tblCost[[#This Row],[TargetID]],tblTargets[TargetID],tblTargets[DisplayName],"")</f>
        <v>Bridge - Salmon Farming</v>
      </c>
      <c r="D739" s="41" t="str">
        <f>_xlfn.XLOOKUP(tblCost[[#This Row],[TargetID]],tblTargets[TargetID],tblTargets[TargetType],"")</f>
        <v>TECH</v>
      </c>
      <c r="E739" s="41" t="s">
        <v>662</v>
      </c>
      <c r="F739" s="62" t="str">
        <f>RIGHT(tblCost[[#This Row],[RequirementID]],1)</f>
        <v>1</v>
      </c>
      <c r="G739" s="41">
        <v>20</v>
      </c>
      <c r="H739" t="b">
        <f>COUNTIFS(tblCostChecklist[RequirementID],tblCost[[#This Row],[RequirementID]],tblCostChecklist[PlayerPaid],TRUE)&gt;0</f>
        <v>0</v>
      </c>
      <c r="I739" s="41">
        <f>COUNTIF(tblCost[TargetID],tblCost[[#This Row],[TargetID]])</f>
        <v>7</v>
      </c>
      <c r="J739" s="41">
        <f>COUNTIFS(tblCost[TargetID],tblCost[[#This Row],[TargetID]],tblCost[PlayerPaid],TRUE)</f>
        <v>0</v>
      </c>
      <c r="K739" s="41">
        <f>tblCost[[#This Row],[TargetRequirements]]-tblCost[[#This Row],[CompletedRequirements]]</f>
        <v>7</v>
      </c>
      <c r="L739" s="41" t="b">
        <f>tblCost[[#This Row],[RemainingRequirements]]=0</f>
        <v>0</v>
      </c>
      <c r="M739" s="43">
        <f>IF(tblCost[[#This Row],[TargetRequirements]]=0,0,tblCost[[#This Row],[CompletedRequirements]]/tblCost[[#This Row],[TargetRequirements]])</f>
        <v>0</v>
      </c>
    </row>
    <row r="740" spans="1:13">
      <c r="A740" s="41" t="s">
        <v>4388</v>
      </c>
      <c r="B740" s="41" t="str">
        <f>_xlfn.TEXTAFTER(_xlfn.TEXTBEFORE(tblCost[[#This Row],[RequirementID]],".",-2),"cost.")</f>
        <v>tech.bridge.salmon_farming</v>
      </c>
      <c r="C740" s="41" t="str">
        <f>_xlfn.XLOOKUP(tblCost[[#This Row],[TargetID]],tblTargets[TargetID],tblTargets[DisplayName],"")</f>
        <v>Bridge - Salmon Farming</v>
      </c>
      <c r="D740" s="41" t="str">
        <f>_xlfn.XLOOKUP(tblCost[[#This Row],[TargetID]],tblTargets[TargetID],tblTargets[TargetType],"")</f>
        <v>TECH</v>
      </c>
      <c r="E740" s="41" t="s">
        <v>934</v>
      </c>
      <c r="F740" s="62" t="str">
        <f>RIGHT(tblCost[[#This Row],[RequirementID]],1)</f>
        <v>1</v>
      </c>
      <c r="G740" s="41">
        <v>40</v>
      </c>
      <c r="H740" t="b">
        <f>COUNTIFS(tblCostChecklist[RequirementID],tblCost[[#This Row],[RequirementID]],tblCostChecklist[PlayerPaid],TRUE)&gt;0</f>
        <v>0</v>
      </c>
      <c r="I740" s="41">
        <f>COUNTIF(tblCost[TargetID],tblCost[[#This Row],[TargetID]])</f>
        <v>7</v>
      </c>
      <c r="J740" s="41">
        <f>COUNTIFS(tblCost[TargetID],tblCost[[#This Row],[TargetID]],tblCost[PlayerPaid],TRUE)</f>
        <v>0</v>
      </c>
      <c r="K740" s="41">
        <f>tblCost[[#This Row],[TargetRequirements]]-tblCost[[#This Row],[CompletedRequirements]]</f>
        <v>7</v>
      </c>
      <c r="L740" s="41" t="b">
        <f>tblCost[[#This Row],[RemainingRequirements]]=0</f>
        <v>0</v>
      </c>
      <c r="M740" s="43">
        <f>IF(tblCost[[#This Row],[TargetRequirements]]=0,0,tblCost[[#This Row],[CompletedRequirements]]/tblCost[[#This Row],[TargetRequirements]])</f>
        <v>0</v>
      </c>
    </row>
    <row r="741" spans="1:13">
      <c r="A741" s="41" t="s">
        <v>4389</v>
      </c>
      <c r="B741" s="41" t="str">
        <f>_xlfn.TEXTAFTER(_xlfn.TEXTBEFORE(tblCost[[#This Row],[RequirementID]],".",-2),"cost.")</f>
        <v>tech.bridge.salmon_farming</v>
      </c>
      <c r="C741" s="41" t="str">
        <f>_xlfn.XLOOKUP(tblCost[[#This Row],[TargetID]],tblTargets[TargetID],tblTargets[DisplayName],"")</f>
        <v>Bridge - Salmon Farming</v>
      </c>
      <c r="D741" s="41" t="str">
        <f>_xlfn.XLOOKUP(tblCost[[#This Row],[TargetID]],tblTargets[TargetID],tblTargets[TargetType],"")</f>
        <v>TECH</v>
      </c>
      <c r="E741" s="41" t="s">
        <v>674</v>
      </c>
      <c r="F741" s="62" t="str">
        <f>RIGHT(tblCost[[#This Row],[RequirementID]],1)</f>
        <v>1</v>
      </c>
      <c r="G741" s="41">
        <v>20</v>
      </c>
      <c r="H741" t="b">
        <f>COUNTIFS(tblCostChecklist[RequirementID],tblCost[[#This Row],[RequirementID]],tblCostChecklist[PlayerPaid],TRUE)&gt;0</f>
        <v>0</v>
      </c>
      <c r="I741" s="41">
        <f>COUNTIF(tblCost[TargetID],tblCost[[#This Row],[TargetID]])</f>
        <v>7</v>
      </c>
      <c r="J741" s="41">
        <f>COUNTIFS(tblCost[TargetID],tblCost[[#This Row],[TargetID]],tblCost[PlayerPaid],TRUE)</f>
        <v>0</v>
      </c>
      <c r="K741" s="41">
        <f>tblCost[[#This Row],[TargetRequirements]]-tblCost[[#This Row],[CompletedRequirements]]</f>
        <v>7</v>
      </c>
      <c r="L741" s="41" t="b">
        <f>tblCost[[#This Row],[RemainingRequirements]]=0</f>
        <v>0</v>
      </c>
      <c r="M741" s="43">
        <f>IF(tblCost[[#This Row],[TargetRequirements]]=0,0,tblCost[[#This Row],[CompletedRequirements]]/tblCost[[#This Row],[TargetRequirements]])</f>
        <v>0</v>
      </c>
    </row>
    <row r="742" spans="1:13">
      <c r="A742" s="41" t="s">
        <v>4390</v>
      </c>
      <c r="B742" s="41" t="str">
        <f>_xlfn.TEXTAFTER(_xlfn.TEXTBEFORE(tblCost[[#This Row],[RequirementID]],".",-2),"cost.")</f>
        <v>tech.bridge.salmon_farming</v>
      </c>
      <c r="C742" s="41" t="str">
        <f>_xlfn.XLOOKUP(tblCost[[#This Row],[TargetID]],tblTargets[TargetID],tblTargets[DisplayName],"")</f>
        <v>Bridge - Salmon Farming</v>
      </c>
      <c r="D742" s="41" t="str">
        <f>_xlfn.XLOOKUP(tblCost[[#This Row],[TargetID]],tblTargets[TargetID],tblTargets[TargetType],"")</f>
        <v>TECH</v>
      </c>
      <c r="E742" s="41" t="s">
        <v>942</v>
      </c>
      <c r="F742" s="62" t="str">
        <f>RIGHT(tblCost[[#This Row],[RequirementID]],1)</f>
        <v>1</v>
      </c>
      <c r="G742" s="41">
        <v>10</v>
      </c>
      <c r="H742" t="b">
        <f>COUNTIFS(tblCostChecklist[RequirementID],tblCost[[#This Row],[RequirementID]],tblCostChecklist[PlayerPaid],TRUE)&gt;0</f>
        <v>0</v>
      </c>
      <c r="I742" s="41">
        <f>COUNTIF(tblCost[TargetID],tblCost[[#This Row],[TargetID]])</f>
        <v>7</v>
      </c>
      <c r="J742" s="41">
        <f>COUNTIFS(tblCost[TargetID],tblCost[[#This Row],[TargetID]],tblCost[PlayerPaid],TRUE)</f>
        <v>0</v>
      </c>
      <c r="K742" s="41">
        <f>tblCost[[#This Row],[TargetRequirements]]-tblCost[[#This Row],[CompletedRequirements]]</f>
        <v>7</v>
      </c>
      <c r="L742" s="41" t="b">
        <f>tblCost[[#This Row],[RemainingRequirements]]=0</f>
        <v>0</v>
      </c>
      <c r="M742" s="43">
        <f>IF(tblCost[[#This Row],[TargetRequirements]]=0,0,tblCost[[#This Row],[CompletedRequirements]]/tblCost[[#This Row],[TargetRequirements]])</f>
        <v>0</v>
      </c>
    </row>
    <row r="743" spans="1:13">
      <c r="A743" s="41" t="s">
        <v>4391</v>
      </c>
      <c r="B743" s="41" t="str">
        <f>_xlfn.TEXTAFTER(_xlfn.TEXTBEFORE(tblCost[[#This Row],[RequirementID]],".",-2),"cost.")</f>
        <v>tech.bridge.salmon_farming</v>
      </c>
      <c r="C743" s="41" t="str">
        <f>_xlfn.XLOOKUP(tblCost[[#This Row],[TargetID]],tblTargets[TargetID],tblTargets[DisplayName],"")</f>
        <v>Bridge - Salmon Farming</v>
      </c>
      <c r="D743" s="41" t="str">
        <f>_xlfn.XLOOKUP(tblCost[[#This Row],[TargetID]],tblTargets[TargetID],tblTargets[TargetType],"")</f>
        <v>TECH</v>
      </c>
      <c r="E743" s="41" t="s">
        <v>708</v>
      </c>
      <c r="F743" s="62" t="str">
        <f>RIGHT(tblCost[[#This Row],[RequirementID]],1)</f>
        <v>1</v>
      </c>
      <c r="G743" s="41">
        <v>15</v>
      </c>
      <c r="H743" t="b">
        <f>COUNTIFS(tblCostChecklist[RequirementID],tblCost[[#This Row],[RequirementID]],tblCostChecklist[PlayerPaid],TRUE)&gt;0</f>
        <v>0</v>
      </c>
      <c r="I743" s="41">
        <f>COUNTIF(tblCost[TargetID],tblCost[[#This Row],[TargetID]])</f>
        <v>7</v>
      </c>
      <c r="J743" s="41">
        <f>COUNTIFS(tblCost[TargetID],tblCost[[#This Row],[TargetID]],tblCost[PlayerPaid],TRUE)</f>
        <v>0</v>
      </c>
      <c r="K743" s="41">
        <f>tblCost[[#This Row],[TargetRequirements]]-tblCost[[#This Row],[CompletedRequirements]]</f>
        <v>7</v>
      </c>
      <c r="L743" s="41" t="b">
        <f>tblCost[[#This Row],[RemainingRequirements]]=0</f>
        <v>0</v>
      </c>
      <c r="M743" s="43">
        <f>IF(tblCost[[#This Row],[TargetRequirements]]=0,0,tblCost[[#This Row],[CompletedRequirements]]/tblCost[[#This Row],[TargetRequirements]])</f>
        <v>0</v>
      </c>
    </row>
    <row r="744" spans="1:13">
      <c r="A744" s="41" t="s">
        <v>4392</v>
      </c>
      <c r="B744" s="41" t="str">
        <f>_xlfn.TEXTAFTER(_xlfn.TEXTBEFORE(tblCost[[#This Row],[RequirementID]],".",-2),"cost.")</f>
        <v>tech.bridge.salmon_farming</v>
      </c>
      <c r="C744" s="41" t="str">
        <f>_xlfn.XLOOKUP(tblCost[[#This Row],[TargetID]],tblTargets[TargetID],tblTargets[DisplayName],"")</f>
        <v>Bridge - Salmon Farming</v>
      </c>
      <c r="D744" s="41" t="str">
        <f>_xlfn.XLOOKUP(tblCost[[#This Row],[TargetID]],tblTargets[TargetID],tblTargets[TargetType],"")</f>
        <v>TECH</v>
      </c>
      <c r="E744" s="41" t="s">
        <v>948</v>
      </c>
      <c r="F744" s="62" t="str">
        <f>RIGHT(tblCost[[#This Row],[RequirementID]],1)</f>
        <v>1</v>
      </c>
      <c r="G744" s="41">
        <v>20</v>
      </c>
      <c r="H744" t="b">
        <f>COUNTIFS(tblCostChecklist[RequirementID],tblCost[[#This Row],[RequirementID]],tblCostChecklist[PlayerPaid],TRUE)&gt;0</f>
        <v>0</v>
      </c>
      <c r="I744" s="41">
        <f>COUNTIF(tblCost[TargetID],tblCost[[#This Row],[TargetID]])</f>
        <v>7</v>
      </c>
      <c r="J744" s="41">
        <f>COUNTIFS(tblCost[TargetID],tblCost[[#This Row],[TargetID]],tblCost[PlayerPaid],TRUE)</f>
        <v>0</v>
      </c>
      <c r="K744" s="41">
        <f>tblCost[[#This Row],[TargetRequirements]]-tblCost[[#This Row],[CompletedRequirements]]</f>
        <v>7</v>
      </c>
      <c r="L744" s="41" t="b">
        <f>tblCost[[#This Row],[RemainingRequirements]]=0</f>
        <v>0</v>
      </c>
      <c r="M744" s="43">
        <f>IF(tblCost[[#This Row],[TargetRequirements]]=0,0,tblCost[[#This Row],[CompletedRequirements]]/tblCost[[#This Row],[TargetRequirements]])</f>
        <v>0</v>
      </c>
    </row>
    <row r="745" spans="1:13">
      <c r="A745" s="41" t="s">
        <v>4393</v>
      </c>
      <c r="B745" s="41" t="str">
        <f>_xlfn.TEXTAFTER(_xlfn.TEXTBEFORE(tblCost[[#This Row],[RequirementID]],".",-2),"cost.")</f>
        <v>tech.bridge.salmon_farming</v>
      </c>
      <c r="C745" s="41" t="str">
        <f>_xlfn.XLOOKUP(tblCost[[#This Row],[TargetID]],tblTargets[TargetID],tblTargets[DisplayName],"")</f>
        <v>Bridge - Salmon Farming</v>
      </c>
      <c r="D745" s="41" t="str">
        <f>_xlfn.XLOOKUP(tblCost[[#This Row],[TargetID]],tblTargets[TargetID],tblTargets[TargetType],"")</f>
        <v>TECH</v>
      </c>
      <c r="E745" s="41" t="s">
        <v>717</v>
      </c>
      <c r="F745" s="62" t="str">
        <f>RIGHT(tblCost[[#This Row],[RequirementID]],1)</f>
        <v>1</v>
      </c>
      <c r="G745" s="41">
        <v>400</v>
      </c>
      <c r="H745" t="b">
        <f>COUNTIFS(tblCostChecklist[RequirementID],tblCost[[#This Row],[RequirementID]],tblCostChecklist[PlayerPaid],TRUE)&gt;0</f>
        <v>0</v>
      </c>
      <c r="I745" s="41">
        <f>COUNTIF(tblCost[TargetID],tblCost[[#This Row],[TargetID]])</f>
        <v>7</v>
      </c>
      <c r="J745" s="41">
        <f>COUNTIFS(tblCost[TargetID],tblCost[[#This Row],[TargetID]],tblCost[PlayerPaid],TRUE)</f>
        <v>0</v>
      </c>
      <c r="K745" s="41">
        <f>tblCost[[#This Row],[TargetRequirements]]-tblCost[[#This Row],[CompletedRequirements]]</f>
        <v>7</v>
      </c>
      <c r="L745" s="41" t="b">
        <f>tblCost[[#This Row],[RemainingRequirements]]=0</f>
        <v>0</v>
      </c>
      <c r="M745" s="43">
        <f>IF(tblCost[[#This Row],[TargetRequirements]]=0,0,tblCost[[#This Row],[CompletedRequirements]]/tblCost[[#This Row],[TargetRequirements]])</f>
        <v>0</v>
      </c>
    </row>
    <row r="746" spans="1:13">
      <c r="A746" s="41" t="s">
        <v>4394</v>
      </c>
      <c r="B746" s="41" t="str">
        <f>_xlfn.TEXTAFTER(_xlfn.TEXTBEFORE(tblCost[[#This Row],[RequirementID]],".",-2),"cost.")</f>
        <v>tech.dairy.classical_music_for_the_farm</v>
      </c>
      <c r="C746" s="41" t="str">
        <f>_xlfn.XLOOKUP(tblCost[[#This Row],[TargetID]],tblTargets[TargetID],tblTargets[DisplayName],"")</f>
        <v>Dairy - Classical Music For The Farm</v>
      </c>
      <c r="D746" s="41" t="str">
        <f>_xlfn.XLOOKUP(tblCost[[#This Row],[TargetID]],tblTargets[TargetID],tblTargets[TargetType],"")</f>
        <v>TECH</v>
      </c>
      <c r="E746" s="41" t="s">
        <v>662</v>
      </c>
      <c r="F746" s="62" t="str">
        <f>RIGHT(tblCost[[#This Row],[RequirementID]],1)</f>
        <v>1</v>
      </c>
      <c r="G746" s="41">
        <v>20</v>
      </c>
      <c r="H746" t="b">
        <f>COUNTIFS(tblCostChecklist[RequirementID],tblCost[[#This Row],[RequirementID]],tblCostChecklist[PlayerPaid],TRUE)&gt;0</f>
        <v>0</v>
      </c>
      <c r="I746" s="41">
        <f>COUNTIF(tblCost[TargetID],tblCost[[#This Row],[TargetID]])</f>
        <v>8</v>
      </c>
      <c r="J746" s="41">
        <f>COUNTIFS(tblCost[TargetID],tblCost[[#This Row],[TargetID]],tblCost[PlayerPaid],TRUE)</f>
        <v>0</v>
      </c>
      <c r="K746" s="41">
        <f>tblCost[[#This Row],[TargetRequirements]]-tblCost[[#This Row],[CompletedRequirements]]</f>
        <v>8</v>
      </c>
      <c r="L746" s="41" t="b">
        <f>tblCost[[#This Row],[RemainingRequirements]]=0</f>
        <v>0</v>
      </c>
      <c r="M746" s="43">
        <f>IF(tblCost[[#This Row],[TargetRequirements]]=0,0,tblCost[[#This Row],[CompletedRequirements]]/tblCost[[#This Row],[TargetRequirements]])</f>
        <v>0</v>
      </c>
    </row>
    <row r="747" spans="1:13">
      <c r="A747" s="41" t="s">
        <v>4395</v>
      </c>
      <c r="B747" s="41" t="str">
        <f>_xlfn.TEXTAFTER(_xlfn.TEXTBEFORE(tblCost[[#This Row],[RequirementID]],".",-2),"cost.")</f>
        <v>tech.dairy.classical_music_for_the_farm</v>
      </c>
      <c r="C747" s="41" t="str">
        <f>_xlfn.XLOOKUP(tblCost[[#This Row],[TargetID]],tblTargets[TargetID],tblTargets[DisplayName],"")</f>
        <v>Dairy - Classical Music For The Farm</v>
      </c>
      <c r="D747" s="41" t="str">
        <f>_xlfn.XLOOKUP(tblCost[[#This Row],[TargetID]],tblTargets[TargetID],tblTargets[TargetType],"")</f>
        <v>TECH</v>
      </c>
      <c r="E747" s="41" t="s">
        <v>666</v>
      </c>
      <c r="F747" s="62" t="str">
        <f>RIGHT(tblCost[[#This Row],[RequirementID]],1)</f>
        <v>1</v>
      </c>
      <c r="G747" s="41">
        <v>500</v>
      </c>
      <c r="H747" t="b">
        <f>COUNTIFS(tblCostChecklist[RequirementID],tblCost[[#This Row],[RequirementID]],tblCostChecklist[PlayerPaid],TRUE)&gt;0</f>
        <v>0</v>
      </c>
      <c r="I747" s="41">
        <f>COUNTIF(tblCost[TargetID],tblCost[[#This Row],[TargetID]])</f>
        <v>8</v>
      </c>
      <c r="J747" s="41">
        <f>COUNTIFS(tblCost[TargetID],tblCost[[#This Row],[TargetID]],tblCost[PlayerPaid],TRUE)</f>
        <v>0</v>
      </c>
      <c r="K747" s="41">
        <f>tblCost[[#This Row],[TargetRequirements]]-tblCost[[#This Row],[CompletedRequirements]]</f>
        <v>8</v>
      </c>
      <c r="L747" s="41" t="b">
        <f>tblCost[[#This Row],[RemainingRequirements]]=0</f>
        <v>0</v>
      </c>
      <c r="M747" s="43">
        <f>IF(tblCost[[#This Row],[TargetRequirements]]=0,0,tblCost[[#This Row],[CompletedRequirements]]/tblCost[[#This Row],[TargetRequirements]])</f>
        <v>0</v>
      </c>
    </row>
    <row r="748" spans="1:13">
      <c r="A748" s="41" t="s">
        <v>4396</v>
      </c>
      <c r="B748" s="41" t="str">
        <f>_xlfn.TEXTAFTER(_xlfn.TEXTBEFORE(tblCost[[#This Row],[RequirementID]],".",-2),"cost.")</f>
        <v>tech.dairy.classical_music_for_the_farm</v>
      </c>
      <c r="C748" s="41" t="str">
        <f>_xlfn.XLOOKUP(tblCost[[#This Row],[TargetID]],tblTargets[TargetID],tblTargets[DisplayName],"")</f>
        <v>Dairy - Classical Music For The Farm</v>
      </c>
      <c r="D748" s="41" t="str">
        <f>_xlfn.XLOOKUP(tblCost[[#This Row],[TargetID]],tblTargets[TargetID],tblTargets[TargetType],"")</f>
        <v>TECH</v>
      </c>
      <c r="E748" s="41" t="s">
        <v>674</v>
      </c>
      <c r="F748" s="62" t="str">
        <f>RIGHT(tblCost[[#This Row],[RequirementID]],1)</f>
        <v>1</v>
      </c>
      <c r="G748" s="41">
        <v>20</v>
      </c>
      <c r="H748" t="b">
        <f>COUNTIFS(tblCostChecklist[RequirementID],tblCost[[#This Row],[RequirementID]],tblCostChecklist[PlayerPaid],TRUE)&gt;0</f>
        <v>0</v>
      </c>
      <c r="I748" s="41">
        <f>COUNTIF(tblCost[TargetID],tblCost[[#This Row],[TargetID]])</f>
        <v>8</v>
      </c>
      <c r="J748" s="41">
        <f>COUNTIFS(tblCost[TargetID],tblCost[[#This Row],[TargetID]],tblCost[PlayerPaid],TRUE)</f>
        <v>0</v>
      </c>
      <c r="K748" s="41">
        <f>tblCost[[#This Row],[TargetRequirements]]-tblCost[[#This Row],[CompletedRequirements]]</f>
        <v>8</v>
      </c>
      <c r="L748" s="41" t="b">
        <f>tblCost[[#This Row],[RemainingRequirements]]=0</f>
        <v>0</v>
      </c>
      <c r="M748" s="43">
        <f>IF(tblCost[[#This Row],[TargetRequirements]]=0,0,tblCost[[#This Row],[CompletedRequirements]]/tblCost[[#This Row],[TargetRequirements]])</f>
        <v>0</v>
      </c>
    </row>
    <row r="749" spans="1:13">
      <c r="A749" s="41" t="s">
        <v>4397</v>
      </c>
      <c r="B749" s="41" t="str">
        <f>_xlfn.TEXTAFTER(_xlfn.TEXTBEFORE(tblCost[[#This Row],[RequirementID]],".",-2),"cost.")</f>
        <v>tech.dairy.classical_music_for_the_farm</v>
      </c>
      <c r="C749" s="41" t="str">
        <f>_xlfn.XLOOKUP(tblCost[[#This Row],[TargetID]],tblTargets[TargetID],tblTargets[DisplayName],"")</f>
        <v>Dairy - Classical Music For The Farm</v>
      </c>
      <c r="D749" s="41" t="str">
        <f>_xlfn.XLOOKUP(tblCost[[#This Row],[TargetID]],tblTargets[TargetID],tblTargets[TargetType],"")</f>
        <v>TECH</v>
      </c>
      <c r="E749" s="41" t="s">
        <v>939</v>
      </c>
      <c r="F749" s="62" t="str">
        <f>RIGHT(tblCost[[#This Row],[RequirementID]],1)</f>
        <v>1</v>
      </c>
      <c r="G749" s="41">
        <v>4</v>
      </c>
      <c r="H749" t="b">
        <f>COUNTIFS(tblCostChecklist[RequirementID],tblCost[[#This Row],[RequirementID]],tblCostChecklist[PlayerPaid],TRUE)&gt;0</f>
        <v>0</v>
      </c>
      <c r="I749" s="41">
        <f>COUNTIF(tblCost[TargetID],tblCost[[#This Row],[TargetID]])</f>
        <v>8</v>
      </c>
      <c r="J749" s="41">
        <f>COUNTIFS(tblCost[TargetID],tblCost[[#This Row],[TargetID]],tblCost[PlayerPaid],TRUE)</f>
        <v>0</v>
      </c>
      <c r="K749" s="41">
        <f>tblCost[[#This Row],[TargetRequirements]]-tblCost[[#This Row],[CompletedRequirements]]</f>
        <v>8</v>
      </c>
      <c r="L749" s="41" t="b">
        <f>tblCost[[#This Row],[RemainingRequirements]]=0</f>
        <v>0</v>
      </c>
      <c r="M749" s="43">
        <f>IF(tblCost[[#This Row],[TargetRequirements]]=0,0,tblCost[[#This Row],[CompletedRequirements]]/tblCost[[#This Row],[TargetRequirements]])</f>
        <v>0</v>
      </c>
    </row>
    <row r="750" spans="1:13">
      <c r="A750" s="41" t="s">
        <v>4398</v>
      </c>
      <c r="B750" s="41" t="str">
        <f>_xlfn.TEXTAFTER(_xlfn.TEXTBEFORE(tblCost[[#This Row],[RequirementID]],".",-2),"cost.")</f>
        <v>tech.dairy.classical_music_for_the_farm</v>
      </c>
      <c r="C750" s="41" t="str">
        <f>_xlfn.XLOOKUP(tblCost[[#This Row],[TargetID]],tblTargets[TargetID],tblTargets[DisplayName],"")</f>
        <v>Dairy - Classical Music For The Farm</v>
      </c>
      <c r="D750" s="41" t="str">
        <f>_xlfn.XLOOKUP(tblCost[[#This Row],[TargetID]],tblTargets[TargetID],tblTargets[TargetType],"")</f>
        <v>TECH</v>
      </c>
      <c r="E750" s="41" t="s">
        <v>686</v>
      </c>
      <c r="F750" s="62" t="str">
        <f>RIGHT(tblCost[[#This Row],[RequirementID]],1)</f>
        <v>1</v>
      </c>
      <c r="G750" s="41">
        <v>15</v>
      </c>
      <c r="H750" t="b">
        <f>COUNTIFS(tblCostChecklist[RequirementID],tblCost[[#This Row],[RequirementID]],tblCostChecklist[PlayerPaid],TRUE)&gt;0</f>
        <v>0</v>
      </c>
      <c r="I750" s="41">
        <f>COUNTIF(tblCost[TargetID],tblCost[[#This Row],[TargetID]])</f>
        <v>8</v>
      </c>
      <c r="J750" s="41">
        <f>COUNTIFS(tblCost[TargetID],tblCost[[#This Row],[TargetID]],tblCost[PlayerPaid],TRUE)</f>
        <v>0</v>
      </c>
      <c r="K750" s="41">
        <f>tblCost[[#This Row],[TargetRequirements]]-tblCost[[#This Row],[CompletedRequirements]]</f>
        <v>8</v>
      </c>
      <c r="L750" s="41" t="b">
        <f>tblCost[[#This Row],[RemainingRequirements]]=0</f>
        <v>0</v>
      </c>
      <c r="M750" s="43">
        <f>IF(tblCost[[#This Row],[TargetRequirements]]=0,0,tblCost[[#This Row],[CompletedRequirements]]/tblCost[[#This Row],[TargetRequirements]])</f>
        <v>0</v>
      </c>
    </row>
    <row r="751" spans="1:13">
      <c r="A751" s="41" t="s">
        <v>4399</v>
      </c>
      <c r="B751" s="41" t="str">
        <f>_xlfn.TEXTAFTER(_xlfn.TEXTBEFORE(tblCost[[#This Row],[RequirementID]],".",-2),"cost.")</f>
        <v>tech.dairy.classical_music_for_the_farm</v>
      </c>
      <c r="C751" s="41" t="str">
        <f>_xlfn.XLOOKUP(tblCost[[#This Row],[TargetID]],tblTargets[TargetID],tblTargets[DisplayName],"")</f>
        <v>Dairy - Classical Music For The Farm</v>
      </c>
      <c r="D751" s="41" t="str">
        <f>_xlfn.XLOOKUP(tblCost[[#This Row],[TargetID]],tblTargets[TargetID],tblTargets[TargetType],"")</f>
        <v>TECH</v>
      </c>
      <c r="E751" s="41" t="s">
        <v>689</v>
      </c>
      <c r="F751" s="62" t="str">
        <f>RIGHT(tblCost[[#This Row],[RequirementID]],1)</f>
        <v>1</v>
      </c>
      <c r="G751" s="41">
        <v>20</v>
      </c>
      <c r="H751" t="b">
        <f>COUNTIFS(tblCostChecklist[RequirementID],tblCost[[#This Row],[RequirementID]],tblCostChecklist[PlayerPaid],TRUE)&gt;0</f>
        <v>0</v>
      </c>
      <c r="I751" s="41">
        <f>COUNTIF(tblCost[TargetID],tblCost[[#This Row],[TargetID]])</f>
        <v>8</v>
      </c>
      <c r="J751" s="41">
        <f>COUNTIFS(tblCost[TargetID],tblCost[[#This Row],[TargetID]],tblCost[PlayerPaid],TRUE)</f>
        <v>0</v>
      </c>
      <c r="K751" s="41">
        <f>tblCost[[#This Row],[TargetRequirements]]-tblCost[[#This Row],[CompletedRequirements]]</f>
        <v>8</v>
      </c>
      <c r="L751" s="41" t="b">
        <f>tblCost[[#This Row],[RemainingRequirements]]=0</f>
        <v>0</v>
      </c>
      <c r="M751" s="43">
        <f>IF(tblCost[[#This Row],[TargetRequirements]]=0,0,tblCost[[#This Row],[CompletedRequirements]]/tblCost[[#This Row],[TargetRequirements]])</f>
        <v>0</v>
      </c>
    </row>
    <row r="752" spans="1:13">
      <c r="A752" s="41" t="s">
        <v>4400</v>
      </c>
      <c r="B752" s="41" t="str">
        <f>_xlfn.TEXTAFTER(_xlfn.TEXTBEFORE(tblCost[[#This Row],[RequirementID]],".",-2),"cost.")</f>
        <v>tech.dairy.classical_music_for_the_farm</v>
      </c>
      <c r="C752" s="41" t="str">
        <f>_xlfn.XLOOKUP(tblCost[[#This Row],[TargetID]],tblTargets[TargetID],tblTargets[DisplayName],"")</f>
        <v>Dairy - Classical Music For The Farm</v>
      </c>
      <c r="D752" s="41" t="str">
        <f>_xlfn.XLOOKUP(tblCost[[#This Row],[TargetID]],tblTargets[TargetID],tblTargets[TargetType],"")</f>
        <v>TECH</v>
      </c>
      <c r="E752" s="41" t="s">
        <v>703</v>
      </c>
      <c r="F752" s="62" t="str">
        <f>RIGHT(tblCost[[#This Row],[RequirementID]],1)</f>
        <v>1</v>
      </c>
      <c r="G752" s="41">
        <v>20</v>
      </c>
      <c r="H752" t="b">
        <f>COUNTIFS(tblCostChecklist[RequirementID],tblCost[[#This Row],[RequirementID]],tblCostChecklist[PlayerPaid],TRUE)&gt;0</f>
        <v>0</v>
      </c>
      <c r="I752" s="41">
        <f>COUNTIF(tblCost[TargetID],tblCost[[#This Row],[TargetID]])</f>
        <v>8</v>
      </c>
      <c r="J752" s="41">
        <f>COUNTIFS(tblCost[TargetID],tblCost[[#This Row],[TargetID]],tblCost[PlayerPaid],TRUE)</f>
        <v>0</v>
      </c>
      <c r="K752" s="41">
        <f>tblCost[[#This Row],[TargetRequirements]]-tblCost[[#This Row],[CompletedRequirements]]</f>
        <v>8</v>
      </c>
      <c r="L752" s="41" t="b">
        <f>tblCost[[#This Row],[RemainingRequirements]]=0</f>
        <v>0</v>
      </c>
      <c r="M752" s="43">
        <f>IF(tblCost[[#This Row],[TargetRequirements]]=0,0,tblCost[[#This Row],[CompletedRequirements]]/tblCost[[#This Row],[TargetRequirements]])</f>
        <v>0</v>
      </c>
    </row>
    <row r="753" spans="1:13">
      <c r="A753" s="41" t="s">
        <v>4401</v>
      </c>
      <c r="B753" s="41" t="str">
        <f>_xlfn.TEXTAFTER(_xlfn.TEXTBEFORE(tblCost[[#This Row],[RequirementID]],".",-2),"cost.")</f>
        <v>tech.dairy.classical_music_for_the_farm</v>
      </c>
      <c r="C753" s="41" t="str">
        <f>_xlfn.XLOOKUP(tblCost[[#This Row],[TargetID]],tblTargets[TargetID],tblTargets[DisplayName],"")</f>
        <v>Dairy - Classical Music For The Farm</v>
      </c>
      <c r="D753" s="41" t="str">
        <f>_xlfn.XLOOKUP(tblCost[[#This Row],[TargetID]],tblTargets[TargetID],tblTargets[TargetType],"")</f>
        <v>TECH</v>
      </c>
      <c r="E753" s="41" t="s">
        <v>708</v>
      </c>
      <c r="F753" s="62" t="str">
        <f>RIGHT(tblCost[[#This Row],[RequirementID]],1)</f>
        <v>1</v>
      </c>
      <c r="G753" s="41">
        <v>3</v>
      </c>
      <c r="H753" t="b">
        <f>COUNTIFS(tblCostChecklist[RequirementID],tblCost[[#This Row],[RequirementID]],tblCostChecklist[PlayerPaid],TRUE)&gt;0</f>
        <v>0</v>
      </c>
      <c r="I753" s="41">
        <f>COUNTIF(tblCost[TargetID],tblCost[[#This Row],[TargetID]])</f>
        <v>8</v>
      </c>
      <c r="J753" s="41">
        <f>COUNTIFS(tblCost[TargetID],tblCost[[#This Row],[TargetID]],tblCost[PlayerPaid],TRUE)</f>
        <v>0</v>
      </c>
      <c r="K753" s="41">
        <f>tblCost[[#This Row],[TargetRequirements]]-tblCost[[#This Row],[CompletedRequirements]]</f>
        <v>8</v>
      </c>
      <c r="L753" s="41" t="b">
        <f>tblCost[[#This Row],[RemainingRequirements]]=0</f>
        <v>0</v>
      </c>
      <c r="M753" s="43">
        <f>IF(tblCost[[#This Row],[TargetRequirements]]=0,0,tblCost[[#This Row],[CompletedRequirements]]/tblCost[[#This Row],[TargetRequirements]])</f>
        <v>0</v>
      </c>
    </row>
    <row r="754" spans="1:13">
      <c r="A754" s="41" t="s">
        <v>4402</v>
      </c>
      <c r="B754" s="41" t="str">
        <f>_xlfn.TEXTAFTER(_xlfn.TEXTBEFORE(tblCost[[#This Row],[RequirementID]],".",-2),"cost.")</f>
        <v>tech.dairy.big_data_farming</v>
      </c>
      <c r="C754" s="41" t="str">
        <f>_xlfn.XLOOKUP(tblCost[[#This Row],[TargetID]],tblTargets[TargetID],tblTargets[DisplayName],"")</f>
        <v>Dairy - Big Data Farming</v>
      </c>
      <c r="D754" s="41" t="str">
        <f>_xlfn.XLOOKUP(tblCost[[#This Row],[TargetID]],tblTargets[TargetID],tblTargets[TargetType],"")</f>
        <v>TECH</v>
      </c>
      <c r="E754" s="41" t="s">
        <v>662</v>
      </c>
      <c r="F754" s="62" t="str">
        <f>RIGHT(tblCost[[#This Row],[RequirementID]],1)</f>
        <v>1</v>
      </c>
      <c r="G754" s="41">
        <v>32</v>
      </c>
      <c r="H754" t="b">
        <f>COUNTIFS(tblCostChecklist[RequirementID],tblCost[[#This Row],[RequirementID]],tblCostChecklist[PlayerPaid],TRUE)&gt;0</f>
        <v>0</v>
      </c>
      <c r="I754" s="41">
        <f>COUNTIF(tblCost[TargetID],tblCost[[#This Row],[TargetID]])</f>
        <v>9</v>
      </c>
      <c r="J754" s="41">
        <f>COUNTIFS(tblCost[TargetID],tblCost[[#This Row],[TargetID]],tblCost[PlayerPaid],TRUE)</f>
        <v>0</v>
      </c>
      <c r="K754" s="41">
        <f>tblCost[[#This Row],[TargetRequirements]]-tblCost[[#This Row],[CompletedRequirements]]</f>
        <v>9</v>
      </c>
      <c r="L754" s="41" t="b">
        <f>tblCost[[#This Row],[RemainingRequirements]]=0</f>
        <v>0</v>
      </c>
      <c r="M754" s="43">
        <f>IF(tblCost[[#This Row],[TargetRequirements]]=0,0,tblCost[[#This Row],[CompletedRequirements]]/tblCost[[#This Row],[TargetRequirements]])</f>
        <v>0</v>
      </c>
    </row>
    <row r="755" spans="1:13">
      <c r="A755" s="41" t="s">
        <v>4403</v>
      </c>
      <c r="B755" s="41" t="str">
        <f>_xlfn.TEXTAFTER(_xlfn.TEXTBEFORE(tblCost[[#This Row],[RequirementID]],".",-2),"cost.")</f>
        <v>tech.dairy.big_data_farming</v>
      </c>
      <c r="C755" s="41" t="str">
        <f>_xlfn.XLOOKUP(tblCost[[#This Row],[TargetID]],tblTargets[TargetID],tblTargets[DisplayName],"")</f>
        <v>Dairy - Big Data Farming</v>
      </c>
      <c r="D755" s="41" t="str">
        <f>_xlfn.XLOOKUP(tblCost[[#This Row],[TargetID]],tblTargets[TargetID],tblTargets[TargetType],"")</f>
        <v>TECH</v>
      </c>
      <c r="E755" s="41" t="s">
        <v>666</v>
      </c>
      <c r="F755" s="62" t="str">
        <f>RIGHT(tblCost[[#This Row],[RequirementID]],1)</f>
        <v>1</v>
      </c>
      <c r="G755" s="41">
        <v>1000</v>
      </c>
      <c r="H755" t="b">
        <f>COUNTIFS(tblCostChecklist[RequirementID],tblCost[[#This Row],[RequirementID]],tblCostChecklist[PlayerPaid],TRUE)&gt;0</f>
        <v>0</v>
      </c>
      <c r="I755" s="41">
        <f>COUNTIF(tblCost[TargetID],tblCost[[#This Row],[TargetID]])</f>
        <v>9</v>
      </c>
      <c r="J755" s="41">
        <f>COUNTIFS(tblCost[TargetID],tblCost[[#This Row],[TargetID]],tblCost[PlayerPaid],TRUE)</f>
        <v>0</v>
      </c>
      <c r="K755" s="41">
        <f>tblCost[[#This Row],[TargetRequirements]]-tblCost[[#This Row],[CompletedRequirements]]</f>
        <v>9</v>
      </c>
      <c r="L755" s="41" t="b">
        <f>tblCost[[#This Row],[RemainingRequirements]]=0</f>
        <v>0</v>
      </c>
      <c r="M755" s="43">
        <f>IF(tblCost[[#This Row],[TargetRequirements]]=0,0,tblCost[[#This Row],[CompletedRequirements]]/tblCost[[#This Row],[TargetRequirements]])</f>
        <v>0</v>
      </c>
    </row>
    <row r="756" spans="1:13">
      <c r="A756" s="41" t="s">
        <v>4404</v>
      </c>
      <c r="B756" s="41" t="str">
        <f>_xlfn.TEXTAFTER(_xlfn.TEXTBEFORE(tblCost[[#This Row],[RequirementID]],".",-2),"cost.")</f>
        <v>tech.dairy.big_data_farming</v>
      </c>
      <c r="C756" s="41" t="str">
        <f>_xlfn.XLOOKUP(tblCost[[#This Row],[TargetID]],tblTargets[TargetID],tblTargets[DisplayName],"")</f>
        <v>Dairy - Big Data Farming</v>
      </c>
      <c r="D756" s="41" t="str">
        <f>_xlfn.XLOOKUP(tblCost[[#This Row],[TargetID]],tblTargets[TargetID],tblTargets[TargetType],"")</f>
        <v>TECH</v>
      </c>
      <c r="E756" s="41" t="s">
        <v>686</v>
      </c>
      <c r="F756" s="62" t="str">
        <f>RIGHT(tblCost[[#This Row],[RequirementID]],1)</f>
        <v>1</v>
      </c>
      <c r="G756" s="41">
        <v>20</v>
      </c>
      <c r="H756" t="b">
        <f>COUNTIFS(tblCostChecklist[RequirementID],tblCost[[#This Row],[RequirementID]],tblCostChecklist[PlayerPaid],TRUE)&gt;0</f>
        <v>0</v>
      </c>
      <c r="I756" s="41">
        <f>COUNTIF(tblCost[TargetID],tblCost[[#This Row],[TargetID]])</f>
        <v>9</v>
      </c>
      <c r="J756" s="41">
        <f>COUNTIFS(tblCost[TargetID],tblCost[[#This Row],[TargetID]],tblCost[PlayerPaid],TRUE)</f>
        <v>0</v>
      </c>
      <c r="K756" s="41">
        <f>tblCost[[#This Row],[TargetRequirements]]-tblCost[[#This Row],[CompletedRequirements]]</f>
        <v>9</v>
      </c>
      <c r="L756" s="41" t="b">
        <f>tblCost[[#This Row],[RemainingRequirements]]=0</f>
        <v>0</v>
      </c>
      <c r="M756" s="43">
        <f>IF(tblCost[[#This Row],[TargetRequirements]]=0,0,tblCost[[#This Row],[CompletedRequirements]]/tblCost[[#This Row],[TargetRequirements]])</f>
        <v>0</v>
      </c>
    </row>
    <row r="757" spans="1:13">
      <c r="A757" s="41" t="s">
        <v>4405</v>
      </c>
      <c r="B757" s="41" t="str">
        <f>_xlfn.TEXTAFTER(_xlfn.TEXTBEFORE(tblCost[[#This Row],[RequirementID]],".",-2),"cost.")</f>
        <v>tech.dairy.big_data_farming</v>
      </c>
      <c r="C757" s="41" t="str">
        <f>_xlfn.XLOOKUP(tblCost[[#This Row],[TargetID]],tblTargets[TargetID],tblTargets[DisplayName],"")</f>
        <v>Dairy - Big Data Farming</v>
      </c>
      <c r="D757" s="41" t="str">
        <f>_xlfn.XLOOKUP(tblCost[[#This Row],[TargetID]],tblTargets[TargetID],tblTargets[TargetType],"")</f>
        <v>TECH</v>
      </c>
      <c r="E757" s="41" t="s">
        <v>689</v>
      </c>
      <c r="F757" s="62" t="str">
        <f>RIGHT(tblCost[[#This Row],[RequirementID]],1)</f>
        <v>1</v>
      </c>
      <c r="G757" s="41">
        <v>20</v>
      </c>
      <c r="H757" t="b">
        <f>COUNTIFS(tblCostChecklist[RequirementID],tblCost[[#This Row],[RequirementID]],tblCostChecklist[PlayerPaid],TRUE)&gt;0</f>
        <v>0</v>
      </c>
      <c r="I757" s="41">
        <f>COUNTIF(tblCost[TargetID],tblCost[[#This Row],[TargetID]])</f>
        <v>9</v>
      </c>
      <c r="J757" s="41">
        <f>COUNTIFS(tblCost[TargetID],tblCost[[#This Row],[TargetID]],tblCost[PlayerPaid],TRUE)</f>
        <v>0</v>
      </c>
      <c r="K757" s="41">
        <f>tblCost[[#This Row],[TargetRequirements]]-tblCost[[#This Row],[CompletedRequirements]]</f>
        <v>9</v>
      </c>
      <c r="L757" s="41" t="b">
        <f>tblCost[[#This Row],[RemainingRequirements]]=0</f>
        <v>0</v>
      </c>
      <c r="M757" s="43">
        <f>IF(tblCost[[#This Row],[TargetRequirements]]=0,0,tblCost[[#This Row],[CompletedRequirements]]/tblCost[[#This Row],[TargetRequirements]])</f>
        <v>0</v>
      </c>
    </row>
    <row r="758" spans="1:13">
      <c r="A758" s="41" t="s">
        <v>4406</v>
      </c>
      <c r="B758" s="41" t="str">
        <f>_xlfn.TEXTAFTER(_xlfn.TEXTBEFORE(tblCost[[#This Row],[RequirementID]],".",-2),"cost.")</f>
        <v>tech.dairy.big_data_farming</v>
      </c>
      <c r="C758" s="41" t="str">
        <f>_xlfn.XLOOKUP(tblCost[[#This Row],[TargetID]],tblTargets[TargetID],tblTargets[DisplayName],"")</f>
        <v>Dairy - Big Data Farming</v>
      </c>
      <c r="D758" s="41" t="str">
        <f>_xlfn.XLOOKUP(tblCost[[#This Row],[TargetID]],tblTargets[TargetID],tblTargets[TargetType],"")</f>
        <v>TECH</v>
      </c>
      <c r="E758" s="41" t="s">
        <v>697</v>
      </c>
      <c r="F758" s="62" t="str">
        <f>RIGHT(tblCost[[#This Row],[RequirementID]],1)</f>
        <v>1</v>
      </c>
      <c r="G758" s="41">
        <v>40</v>
      </c>
      <c r="H758" t="b">
        <f>COUNTIFS(tblCostChecklist[RequirementID],tblCost[[#This Row],[RequirementID]],tblCostChecklist[PlayerPaid],TRUE)&gt;0</f>
        <v>0</v>
      </c>
      <c r="I758" s="41">
        <f>COUNTIF(tblCost[TargetID],tblCost[[#This Row],[TargetID]])</f>
        <v>9</v>
      </c>
      <c r="J758" s="41">
        <f>COUNTIFS(tblCost[TargetID],tblCost[[#This Row],[TargetID]],tblCost[PlayerPaid],TRUE)</f>
        <v>0</v>
      </c>
      <c r="K758" s="41">
        <f>tblCost[[#This Row],[TargetRequirements]]-tblCost[[#This Row],[CompletedRequirements]]</f>
        <v>9</v>
      </c>
      <c r="L758" s="41" t="b">
        <f>tblCost[[#This Row],[RemainingRequirements]]=0</f>
        <v>0</v>
      </c>
      <c r="M758" s="43">
        <f>IF(tblCost[[#This Row],[TargetRequirements]]=0,0,tblCost[[#This Row],[CompletedRequirements]]/tblCost[[#This Row],[TargetRequirements]])</f>
        <v>0</v>
      </c>
    </row>
    <row r="759" spans="1:13">
      <c r="A759" s="41" t="s">
        <v>4407</v>
      </c>
      <c r="B759" s="41" t="str">
        <f>_xlfn.TEXTAFTER(_xlfn.TEXTBEFORE(tblCost[[#This Row],[RequirementID]],".",-2),"cost.")</f>
        <v>tech.dairy.big_data_farming</v>
      </c>
      <c r="C759" s="41" t="str">
        <f>_xlfn.XLOOKUP(tblCost[[#This Row],[TargetID]],tblTargets[TargetID],tblTargets[DisplayName],"")</f>
        <v>Dairy - Big Data Farming</v>
      </c>
      <c r="D759" s="41" t="str">
        <f>_xlfn.XLOOKUP(tblCost[[#This Row],[TargetID]],tblTargets[TargetID],tblTargets[TargetType],"")</f>
        <v>TECH</v>
      </c>
      <c r="E759" s="41" t="s">
        <v>703</v>
      </c>
      <c r="F759" s="62" t="str">
        <f>RIGHT(tblCost[[#This Row],[RequirementID]],1)</f>
        <v>1</v>
      </c>
      <c r="G759" s="41">
        <v>20</v>
      </c>
      <c r="H759" t="b">
        <f>COUNTIFS(tblCostChecklist[RequirementID],tblCost[[#This Row],[RequirementID]],tblCostChecklist[PlayerPaid],TRUE)&gt;0</f>
        <v>0</v>
      </c>
      <c r="I759" s="41">
        <f>COUNTIF(tblCost[TargetID],tblCost[[#This Row],[TargetID]])</f>
        <v>9</v>
      </c>
      <c r="J759" s="41">
        <f>COUNTIFS(tblCost[TargetID],tblCost[[#This Row],[TargetID]],tblCost[PlayerPaid],TRUE)</f>
        <v>0</v>
      </c>
      <c r="K759" s="41">
        <f>tblCost[[#This Row],[TargetRequirements]]-tblCost[[#This Row],[CompletedRequirements]]</f>
        <v>9</v>
      </c>
      <c r="L759" s="41" t="b">
        <f>tblCost[[#This Row],[RemainingRequirements]]=0</f>
        <v>0</v>
      </c>
      <c r="M759" s="43">
        <f>IF(tblCost[[#This Row],[TargetRequirements]]=0,0,tblCost[[#This Row],[CompletedRequirements]]/tblCost[[#This Row],[TargetRequirements]])</f>
        <v>0</v>
      </c>
    </row>
    <row r="760" spans="1:13">
      <c r="A760" s="41" t="s">
        <v>4408</v>
      </c>
      <c r="B760" s="41" t="str">
        <f>_xlfn.TEXTAFTER(_xlfn.TEXTBEFORE(tblCost[[#This Row],[RequirementID]],".",-2),"cost.")</f>
        <v>tech.dairy.big_data_farming</v>
      </c>
      <c r="C760" s="41" t="str">
        <f>_xlfn.XLOOKUP(tblCost[[#This Row],[TargetID]],tblTargets[TargetID],tblTargets[DisplayName],"")</f>
        <v>Dairy - Big Data Farming</v>
      </c>
      <c r="D760" s="41" t="str">
        <f>_xlfn.XLOOKUP(tblCost[[#This Row],[TargetID]],tblTargets[TargetID],tblTargets[TargetType],"")</f>
        <v>TECH</v>
      </c>
      <c r="E760" s="41" t="s">
        <v>708</v>
      </c>
      <c r="F760" s="62" t="str">
        <f>RIGHT(tblCost[[#This Row],[RequirementID]],1)</f>
        <v>1</v>
      </c>
      <c r="G760" s="41">
        <v>5</v>
      </c>
      <c r="H760" t="b">
        <f>COUNTIFS(tblCostChecklist[RequirementID],tblCost[[#This Row],[RequirementID]],tblCostChecklist[PlayerPaid],TRUE)&gt;0</f>
        <v>0</v>
      </c>
      <c r="I760" s="41">
        <f>COUNTIF(tblCost[TargetID],tblCost[[#This Row],[TargetID]])</f>
        <v>9</v>
      </c>
      <c r="J760" s="41">
        <f>COUNTIFS(tblCost[TargetID],tblCost[[#This Row],[TargetID]],tblCost[PlayerPaid],TRUE)</f>
        <v>0</v>
      </c>
      <c r="K760" s="41">
        <f>tblCost[[#This Row],[TargetRequirements]]-tblCost[[#This Row],[CompletedRequirements]]</f>
        <v>9</v>
      </c>
      <c r="L760" s="41" t="b">
        <f>tblCost[[#This Row],[RemainingRequirements]]=0</f>
        <v>0</v>
      </c>
      <c r="M760" s="43">
        <f>IF(tblCost[[#This Row],[TargetRequirements]]=0,0,tblCost[[#This Row],[CompletedRequirements]]/tblCost[[#This Row],[TargetRequirements]])</f>
        <v>0</v>
      </c>
    </row>
    <row r="761" spans="1:13">
      <c r="A761" s="41" t="s">
        <v>4409</v>
      </c>
      <c r="B761" s="41" t="str">
        <f>_xlfn.TEXTAFTER(_xlfn.TEXTBEFORE(tblCost[[#This Row],[RequirementID]],".",-2),"cost.")</f>
        <v>tech.dairy.big_data_farming</v>
      </c>
      <c r="C761" s="41" t="str">
        <f>_xlfn.XLOOKUP(tblCost[[#This Row],[TargetID]],tblTargets[TargetID],tblTargets[DisplayName],"")</f>
        <v>Dairy - Big Data Farming</v>
      </c>
      <c r="D761" s="41" t="str">
        <f>_xlfn.XLOOKUP(tblCost[[#This Row],[TargetID]],tblTargets[TargetID],tblTargets[TargetType],"")</f>
        <v>TECH</v>
      </c>
      <c r="E761" s="41" t="s">
        <v>955</v>
      </c>
      <c r="F761" s="62" t="str">
        <f>RIGHT(tblCost[[#This Row],[RequirementID]],1)</f>
        <v>1</v>
      </c>
      <c r="G761" s="41">
        <v>20</v>
      </c>
      <c r="H761" t="b">
        <f>COUNTIFS(tblCostChecklist[RequirementID],tblCost[[#This Row],[RequirementID]],tblCostChecklist[PlayerPaid],TRUE)&gt;0</f>
        <v>0</v>
      </c>
      <c r="I761" s="41">
        <f>COUNTIF(tblCost[TargetID],tblCost[[#This Row],[TargetID]])</f>
        <v>9</v>
      </c>
      <c r="J761" s="41">
        <f>COUNTIFS(tblCost[TargetID],tblCost[[#This Row],[TargetID]],tblCost[PlayerPaid],TRUE)</f>
        <v>0</v>
      </c>
      <c r="K761" s="41">
        <f>tblCost[[#This Row],[TargetRequirements]]-tblCost[[#This Row],[CompletedRequirements]]</f>
        <v>9</v>
      </c>
      <c r="L761" s="41" t="b">
        <f>tblCost[[#This Row],[RemainingRequirements]]=0</f>
        <v>0</v>
      </c>
      <c r="M761" s="43">
        <f>IF(tblCost[[#This Row],[TargetRequirements]]=0,0,tblCost[[#This Row],[CompletedRequirements]]/tblCost[[#This Row],[TargetRequirements]])</f>
        <v>0</v>
      </c>
    </row>
    <row r="762" spans="1:13">
      <c r="A762" s="41" t="s">
        <v>4410</v>
      </c>
      <c r="B762" s="41" t="str">
        <f>_xlfn.TEXTAFTER(_xlfn.TEXTBEFORE(tblCost[[#This Row],[RequirementID]],".",-2),"cost.")</f>
        <v>tech.dairy.big_data_farming</v>
      </c>
      <c r="C762" s="41" t="str">
        <f>_xlfn.XLOOKUP(tblCost[[#This Row],[TargetID]],tblTargets[TargetID],tblTargets[DisplayName],"")</f>
        <v>Dairy - Big Data Farming</v>
      </c>
      <c r="D762" s="41" t="str">
        <f>_xlfn.XLOOKUP(tblCost[[#This Row],[TargetID]],tblTargets[TargetID],tblTargets[TargetType],"")</f>
        <v>TECH</v>
      </c>
      <c r="E762" s="41" t="s">
        <v>958</v>
      </c>
      <c r="F762" s="62" t="str">
        <f>RIGHT(tblCost[[#This Row],[RequirementID]],1)</f>
        <v>1</v>
      </c>
      <c r="G762" s="41">
        <v>10</v>
      </c>
      <c r="H762" t="b">
        <f>COUNTIFS(tblCostChecklist[RequirementID],tblCost[[#This Row],[RequirementID]],tblCostChecklist[PlayerPaid],TRUE)&gt;0</f>
        <v>0</v>
      </c>
      <c r="I762" s="41">
        <f>COUNTIF(tblCost[TargetID],tblCost[[#This Row],[TargetID]])</f>
        <v>9</v>
      </c>
      <c r="J762" s="41">
        <f>COUNTIFS(tblCost[TargetID],tblCost[[#This Row],[TargetID]],tblCost[PlayerPaid],TRUE)</f>
        <v>0</v>
      </c>
      <c r="K762" s="41">
        <f>tblCost[[#This Row],[TargetRequirements]]-tblCost[[#This Row],[CompletedRequirements]]</f>
        <v>9</v>
      </c>
      <c r="L762" s="41" t="b">
        <f>tblCost[[#This Row],[RemainingRequirements]]=0</f>
        <v>0</v>
      </c>
      <c r="M762" s="43">
        <f>IF(tblCost[[#This Row],[TargetRequirements]]=0,0,tblCost[[#This Row],[CompletedRequirements]]/tblCost[[#This Row],[TargetRequirements]])</f>
        <v>0</v>
      </c>
    </row>
    <row r="763" spans="1:13">
      <c r="A763" s="41" t="s">
        <v>4411</v>
      </c>
      <c r="B763" s="41" t="str">
        <f>_xlfn.TEXTAFTER(_xlfn.TEXTBEFORE(tblCost[[#This Row],[RequirementID]],".",-2),"cost.")</f>
        <v>tech.dungeon.great_hall</v>
      </c>
      <c r="C763" s="41" t="str">
        <f>_xlfn.XLOOKUP(tblCost[[#This Row],[TargetID]],tblTargets[TargetID],tblTargets[DisplayName],"")</f>
        <v>Dungeon - Great Hall</v>
      </c>
      <c r="D763" s="41" t="str">
        <f>_xlfn.XLOOKUP(tblCost[[#This Row],[TargetID]],tblTargets[TargetID],tblTargets[TargetType],"")</f>
        <v>TECH</v>
      </c>
      <c r="E763" s="41" t="s">
        <v>666</v>
      </c>
      <c r="F763" s="62" t="str">
        <f>RIGHT(tblCost[[#This Row],[RequirementID]],1)</f>
        <v>1</v>
      </c>
      <c r="G763" s="41">
        <v>300</v>
      </c>
      <c r="H763" t="b">
        <f>COUNTIFS(tblCostChecklist[RequirementID],tblCost[[#This Row],[RequirementID]],tblCostChecklist[PlayerPaid],TRUE)&gt;0</f>
        <v>0</v>
      </c>
      <c r="I763" s="41">
        <f>COUNTIF(tblCost[TargetID],tblCost[[#This Row],[TargetID]])</f>
        <v>5</v>
      </c>
      <c r="J763" s="41">
        <f>COUNTIFS(tblCost[TargetID],tblCost[[#This Row],[TargetID]],tblCost[PlayerPaid],TRUE)</f>
        <v>0</v>
      </c>
      <c r="K763" s="41">
        <f>tblCost[[#This Row],[TargetRequirements]]-tblCost[[#This Row],[CompletedRequirements]]</f>
        <v>5</v>
      </c>
      <c r="L763" s="41" t="b">
        <f>tblCost[[#This Row],[RemainingRequirements]]=0</f>
        <v>0</v>
      </c>
      <c r="M763" s="43">
        <f>IF(tblCost[[#This Row],[TargetRequirements]]=0,0,tblCost[[#This Row],[CompletedRequirements]]/tblCost[[#This Row],[TargetRequirements]])</f>
        <v>0</v>
      </c>
    </row>
    <row r="764" spans="1:13">
      <c r="A764" s="41" t="s">
        <v>4412</v>
      </c>
      <c r="B764" s="41" t="str">
        <f>_xlfn.TEXTAFTER(_xlfn.TEXTBEFORE(tblCost[[#This Row],[RequirementID]],".",-2),"cost.")</f>
        <v>tech.dungeon.great_hall</v>
      </c>
      <c r="C764" s="41" t="str">
        <f>_xlfn.XLOOKUP(tblCost[[#This Row],[TargetID]],tblTargets[TargetID],tblTargets[DisplayName],"")</f>
        <v>Dungeon - Great Hall</v>
      </c>
      <c r="D764" s="41" t="str">
        <f>_xlfn.XLOOKUP(tblCost[[#This Row],[TargetID]],tblTargets[TargetID],tblTargets[TargetType],"")</f>
        <v>TECH</v>
      </c>
      <c r="E764" s="41" t="s">
        <v>671</v>
      </c>
      <c r="F764" s="62" t="str">
        <f>RIGHT(tblCost[[#This Row],[RequirementID]],1)</f>
        <v>1</v>
      </c>
      <c r="G764" s="41">
        <v>30</v>
      </c>
      <c r="H764" t="b">
        <f>COUNTIFS(tblCostChecklist[RequirementID],tblCost[[#This Row],[RequirementID]],tblCostChecklist[PlayerPaid],TRUE)&gt;0</f>
        <v>0</v>
      </c>
      <c r="I764" s="41">
        <f>COUNTIF(tblCost[TargetID],tblCost[[#This Row],[TargetID]])</f>
        <v>5</v>
      </c>
      <c r="J764" s="41">
        <f>COUNTIFS(tblCost[TargetID],tblCost[[#This Row],[TargetID]],tblCost[PlayerPaid],TRUE)</f>
        <v>0</v>
      </c>
      <c r="K764" s="41">
        <f>tblCost[[#This Row],[TargetRequirements]]-tblCost[[#This Row],[CompletedRequirements]]</f>
        <v>5</v>
      </c>
      <c r="L764" s="41" t="b">
        <f>tblCost[[#This Row],[RemainingRequirements]]=0</f>
        <v>0</v>
      </c>
      <c r="M764" s="43">
        <f>IF(tblCost[[#This Row],[TargetRequirements]]=0,0,tblCost[[#This Row],[CompletedRequirements]]/tblCost[[#This Row],[TargetRequirements]])</f>
        <v>0</v>
      </c>
    </row>
    <row r="765" spans="1:13">
      <c r="A765" s="41" t="s">
        <v>4413</v>
      </c>
      <c r="B765" s="41" t="str">
        <f>_xlfn.TEXTAFTER(_xlfn.TEXTBEFORE(tblCost[[#This Row],[RequirementID]],".",-2),"cost.")</f>
        <v>tech.dungeon.great_hall</v>
      </c>
      <c r="C765" s="41" t="str">
        <f>_xlfn.XLOOKUP(tblCost[[#This Row],[TargetID]],tblTargets[TargetID],tblTargets[DisplayName],"")</f>
        <v>Dungeon - Great Hall</v>
      </c>
      <c r="D765" s="41" t="str">
        <f>_xlfn.XLOOKUP(tblCost[[#This Row],[TargetID]],tblTargets[TargetID],tblTargets[TargetType],"")</f>
        <v>TECH</v>
      </c>
      <c r="E765" s="41" t="s">
        <v>716</v>
      </c>
      <c r="F765" s="62" t="str">
        <f>RIGHT(tblCost[[#This Row],[RequirementID]],1)</f>
        <v>1</v>
      </c>
      <c r="G765" s="41">
        <v>100</v>
      </c>
      <c r="H765" t="b">
        <f>COUNTIFS(tblCostChecklist[RequirementID],tblCost[[#This Row],[RequirementID]],tblCostChecklist[PlayerPaid],TRUE)&gt;0</f>
        <v>0</v>
      </c>
      <c r="I765" s="41">
        <f>COUNTIF(tblCost[TargetID],tblCost[[#This Row],[TargetID]])</f>
        <v>5</v>
      </c>
      <c r="J765" s="41">
        <f>COUNTIFS(tblCost[TargetID],tblCost[[#This Row],[TargetID]],tblCost[PlayerPaid],TRUE)</f>
        <v>0</v>
      </c>
      <c r="K765" s="41">
        <f>tblCost[[#This Row],[TargetRequirements]]-tblCost[[#This Row],[CompletedRequirements]]</f>
        <v>5</v>
      </c>
      <c r="L765" s="41" t="b">
        <f>tblCost[[#This Row],[RemainingRequirements]]=0</f>
        <v>0</v>
      </c>
      <c r="M765" s="43">
        <f>IF(tblCost[[#This Row],[TargetRequirements]]=0,0,tblCost[[#This Row],[CompletedRequirements]]/tblCost[[#This Row],[TargetRequirements]])</f>
        <v>0</v>
      </c>
    </row>
    <row r="766" spans="1:13">
      <c r="A766" s="41" t="s">
        <v>4414</v>
      </c>
      <c r="B766" s="41" t="str">
        <f>_xlfn.TEXTAFTER(_xlfn.TEXTBEFORE(tblCost[[#This Row],[RequirementID]],".",-2),"cost.")</f>
        <v>tech.dungeon.great_hall</v>
      </c>
      <c r="C766" s="41" t="str">
        <f>_xlfn.XLOOKUP(tblCost[[#This Row],[TargetID]],tblTargets[TargetID],tblTargets[DisplayName],"")</f>
        <v>Dungeon - Great Hall</v>
      </c>
      <c r="D766" s="41" t="str">
        <f>_xlfn.XLOOKUP(tblCost[[#This Row],[TargetID]],tblTargets[TargetID],tblTargets[TargetType],"")</f>
        <v>TECH</v>
      </c>
      <c r="E766" s="41" t="s">
        <v>717</v>
      </c>
      <c r="F766" s="62" t="str">
        <f>RIGHT(tblCost[[#This Row],[RequirementID]],1)</f>
        <v>1</v>
      </c>
      <c r="G766" s="41">
        <v>50</v>
      </c>
      <c r="H766" t="b">
        <f>COUNTIFS(tblCostChecklist[RequirementID],tblCost[[#This Row],[RequirementID]],tblCostChecklist[PlayerPaid],TRUE)&gt;0</f>
        <v>0</v>
      </c>
      <c r="I766" s="41">
        <f>COUNTIF(tblCost[TargetID],tblCost[[#This Row],[TargetID]])</f>
        <v>5</v>
      </c>
      <c r="J766" s="41">
        <f>COUNTIFS(tblCost[TargetID],tblCost[[#This Row],[TargetID]],tblCost[PlayerPaid],TRUE)</f>
        <v>0</v>
      </c>
      <c r="K766" s="41">
        <f>tblCost[[#This Row],[TargetRequirements]]-tblCost[[#This Row],[CompletedRequirements]]</f>
        <v>5</v>
      </c>
      <c r="L766" s="41" t="b">
        <f>tblCost[[#This Row],[RemainingRequirements]]=0</f>
        <v>0</v>
      </c>
      <c r="M766" s="43">
        <f>IF(tblCost[[#This Row],[TargetRequirements]]=0,0,tblCost[[#This Row],[CompletedRequirements]]/tblCost[[#This Row],[TargetRequirements]])</f>
        <v>0</v>
      </c>
    </row>
    <row r="767" spans="1:13">
      <c r="A767" s="41" t="s">
        <v>4415</v>
      </c>
      <c r="B767" s="41" t="str">
        <f>_xlfn.TEXTAFTER(_xlfn.TEXTBEFORE(tblCost[[#This Row],[RequirementID]],".",-2),"cost.")</f>
        <v>tech.dungeon.great_hall</v>
      </c>
      <c r="C767" s="41" t="str">
        <f>_xlfn.XLOOKUP(tblCost[[#This Row],[TargetID]],tblTargets[TargetID],tblTargets[DisplayName],"")</f>
        <v>Dungeon - Great Hall</v>
      </c>
      <c r="D767" s="41" t="str">
        <f>_xlfn.XLOOKUP(tblCost[[#This Row],[TargetID]],tblTargets[TargetID],tblTargets[TargetType],"")</f>
        <v>TECH</v>
      </c>
      <c r="E767" s="41" t="s">
        <v>723</v>
      </c>
      <c r="F767" s="62" t="str">
        <f>RIGHT(tblCost[[#This Row],[RequirementID]],1)</f>
        <v>1</v>
      </c>
      <c r="G767" s="41">
        <v>200</v>
      </c>
      <c r="H767" t="b">
        <f>COUNTIFS(tblCostChecklist[RequirementID],tblCost[[#This Row],[RequirementID]],tblCostChecklist[PlayerPaid],TRUE)&gt;0</f>
        <v>0</v>
      </c>
      <c r="I767" s="41">
        <f>COUNTIF(tblCost[TargetID],tblCost[[#This Row],[TargetID]])</f>
        <v>5</v>
      </c>
      <c r="J767" s="41">
        <f>COUNTIFS(tblCost[TargetID],tblCost[[#This Row],[TargetID]],tblCost[PlayerPaid],TRUE)</f>
        <v>0</v>
      </c>
      <c r="K767" s="41">
        <f>tblCost[[#This Row],[TargetRequirements]]-tblCost[[#This Row],[CompletedRequirements]]</f>
        <v>5</v>
      </c>
      <c r="L767" s="41" t="b">
        <f>tblCost[[#This Row],[RemainingRequirements]]=0</f>
        <v>0</v>
      </c>
      <c r="M767" s="43">
        <f>IF(tblCost[[#This Row],[TargetRequirements]]=0,0,tblCost[[#This Row],[CompletedRequirements]]/tblCost[[#This Row],[TargetRequirements]])</f>
        <v>0</v>
      </c>
    </row>
    <row r="768" spans="1:13">
      <c r="A768" s="41" t="s">
        <v>4416</v>
      </c>
      <c r="B768" s="41" t="str">
        <f>_xlfn.TEXTAFTER(_xlfn.TEXTBEFORE(tblCost[[#This Row],[RequirementID]],".",-2),"cost.")</f>
        <v>tech.fermentory.pasteurization</v>
      </c>
      <c r="C768" s="41" t="str">
        <f>_xlfn.XLOOKUP(tblCost[[#This Row],[TargetID]],tblTargets[TargetID],tblTargets[DisplayName],"")</f>
        <v>Fermentory - Pasteurization</v>
      </c>
      <c r="D768" s="41" t="str">
        <f>_xlfn.XLOOKUP(tblCost[[#This Row],[TargetID]],tblTargets[TargetID],tblTargets[TargetType],"")</f>
        <v>TECH</v>
      </c>
      <c r="E768" s="41" t="s">
        <v>926</v>
      </c>
      <c r="F768" s="62" t="str">
        <f>RIGHT(tblCost[[#This Row],[RequirementID]],1)</f>
        <v>1</v>
      </c>
      <c r="G768" s="41">
        <v>20</v>
      </c>
      <c r="H768" t="b">
        <f>COUNTIFS(tblCostChecklist[RequirementID],tblCost[[#This Row],[RequirementID]],tblCostChecklist[PlayerPaid],TRUE)&gt;0</f>
        <v>0</v>
      </c>
      <c r="I768" s="41">
        <f>COUNTIF(tblCost[TargetID],tblCost[[#This Row],[TargetID]])</f>
        <v>8</v>
      </c>
      <c r="J768" s="41">
        <f>COUNTIFS(tblCost[TargetID],tblCost[[#This Row],[TargetID]],tblCost[PlayerPaid],TRUE)</f>
        <v>0</v>
      </c>
      <c r="K768" s="41">
        <f>tblCost[[#This Row],[TargetRequirements]]-tblCost[[#This Row],[CompletedRequirements]]</f>
        <v>8</v>
      </c>
      <c r="L768" s="41" t="b">
        <f>tblCost[[#This Row],[RemainingRequirements]]=0</f>
        <v>0</v>
      </c>
      <c r="M768" s="43">
        <f>IF(tblCost[[#This Row],[TargetRequirements]]=0,0,tblCost[[#This Row],[CompletedRequirements]]/tblCost[[#This Row],[TargetRequirements]])</f>
        <v>0</v>
      </c>
    </row>
    <row r="769" spans="1:13">
      <c r="A769" s="41" t="s">
        <v>4417</v>
      </c>
      <c r="B769" s="41" t="str">
        <f>_xlfn.TEXTAFTER(_xlfn.TEXTBEFORE(tblCost[[#This Row],[RequirementID]],".",-2),"cost.")</f>
        <v>tech.fermentory.pasteurization</v>
      </c>
      <c r="C769" s="41" t="str">
        <f>_xlfn.XLOOKUP(tblCost[[#This Row],[TargetID]],tblTargets[TargetID],tblTargets[DisplayName],"")</f>
        <v>Fermentory - Pasteurization</v>
      </c>
      <c r="D769" s="41" t="str">
        <f>_xlfn.XLOOKUP(tblCost[[#This Row],[TargetID]],tblTargets[TargetID],tblTargets[TargetType],"")</f>
        <v>TECH</v>
      </c>
      <c r="E769" s="41" t="s">
        <v>662</v>
      </c>
      <c r="F769" s="62" t="str">
        <f>RIGHT(tblCost[[#This Row],[RequirementID]],1)</f>
        <v>1</v>
      </c>
      <c r="G769" s="41">
        <v>40</v>
      </c>
      <c r="H769" t="b">
        <f>COUNTIFS(tblCostChecklist[RequirementID],tblCost[[#This Row],[RequirementID]],tblCostChecklist[PlayerPaid],TRUE)&gt;0</f>
        <v>0</v>
      </c>
      <c r="I769" s="41">
        <f>COUNTIF(tblCost[TargetID],tblCost[[#This Row],[TargetID]])</f>
        <v>8</v>
      </c>
      <c r="J769" s="41">
        <f>COUNTIFS(tblCost[TargetID],tblCost[[#This Row],[TargetID]],tblCost[PlayerPaid],TRUE)</f>
        <v>0</v>
      </c>
      <c r="K769" s="41">
        <f>tblCost[[#This Row],[TargetRequirements]]-tblCost[[#This Row],[CompletedRequirements]]</f>
        <v>8</v>
      </c>
      <c r="L769" s="41" t="b">
        <f>tblCost[[#This Row],[RemainingRequirements]]=0</f>
        <v>0</v>
      </c>
      <c r="M769" s="43">
        <f>IF(tblCost[[#This Row],[TargetRequirements]]=0,0,tblCost[[#This Row],[CompletedRequirements]]/tblCost[[#This Row],[TargetRequirements]])</f>
        <v>0</v>
      </c>
    </row>
    <row r="770" spans="1:13">
      <c r="A770" s="41" t="s">
        <v>4418</v>
      </c>
      <c r="B770" s="41" t="str">
        <f>_xlfn.TEXTAFTER(_xlfn.TEXTBEFORE(tblCost[[#This Row],[RequirementID]],".",-2),"cost.")</f>
        <v>tech.fermentory.pasteurization</v>
      </c>
      <c r="C770" s="41" t="str">
        <f>_xlfn.XLOOKUP(tblCost[[#This Row],[TargetID]],tblTargets[TargetID],tblTargets[DisplayName],"")</f>
        <v>Fermentory - Pasteurization</v>
      </c>
      <c r="D770" s="41" t="str">
        <f>_xlfn.XLOOKUP(tblCost[[#This Row],[TargetID]],tblTargets[TargetID],tblTargets[TargetType],"")</f>
        <v>TECH</v>
      </c>
      <c r="E770" s="41" t="s">
        <v>928</v>
      </c>
      <c r="F770" s="62" t="str">
        <f>RIGHT(tblCost[[#This Row],[RequirementID]],1)</f>
        <v>1</v>
      </c>
      <c r="G770" s="41">
        <v>20</v>
      </c>
      <c r="H770" t="b">
        <f>COUNTIFS(tblCostChecklist[RequirementID],tblCost[[#This Row],[RequirementID]],tblCostChecklist[PlayerPaid],TRUE)&gt;0</f>
        <v>0</v>
      </c>
      <c r="I770" s="41">
        <f>COUNTIF(tblCost[TargetID],tblCost[[#This Row],[TargetID]])</f>
        <v>8</v>
      </c>
      <c r="J770" s="41">
        <f>COUNTIFS(tblCost[TargetID],tblCost[[#This Row],[TargetID]],tblCost[PlayerPaid],TRUE)</f>
        <v>0</v>
      </c>
      <c r="K770" s="41">
        <f>tblCost[[#This Row],[TargetRequirements]]-tblCost[[#This Row],[CompletedRequirements]]</f>
        <v>8</v>
      </c>
      <c r="L770" s="41" t="b">
        <f>tblCost[[#This Row],[RemainingRequirements]]=0</f>
        <v>0</v>
      </c>
      <c r="M770" s="43">
        <f>IF(tblCost[[#This Row],[TargetRequirements]]=0,0,tblCost[[#This Row],[CompletedRequirements]]/tblCost[[#This Row],[TargetRequirements]])</f>
        <v>0</v>
      </c>
    </row>
    <row r="771" spans="1:13">
      <c r="A771" s="41" t="s">
        <v>4419</v>
      </c>
      <c r="B771" s="41" t="str">
        <f>_xlfn.TEXTAFTER(_xlfn.TEXTBEFORE(tblCost[[#This Row],[RequirementID]],".",-2),"cost.")</f>
        <v>tech.fermentory.pasteurization</v>
      </c>
      <c r="C771" s="41" t="str">
        <f>_xlfn.XLOOKUP(tblCost[[#This Row],[TargetID]],tblTargets[TargetID],tblTargets[DisplayName],"")</f>
        <v>Fermentory - Pasteurization</v>
      </c>
      <c r="D771" s="41" t="str">
        <f>_xlfn.XLOOKUP(tblCost[[#This Row],[TargetID]],tblTargets[TargetID],tblTargets[TargetType],"")</f>
        <v>TECH</v>
      </c>
      <c r="E771" s="41" t="s">
        <v>666</v>
      </c>
      <c r="F771" s="62" t="str">
        <f>RIGHT(tblCost[[#This Row],[RequirementID]],1)</f>
        <v>1</v>
      </c>
      <c r="G771" s="41">
        <v>1000</v>
      </c>
      <c r="H771" t="b">
        <f>COUNTIFS(tblCostChecklist[RequirementID],tblCost[[#This Row],[RequirementID]],tblCostChecklist[PlayerPaid],TRUE)&gt;0</f>
        <v>0</v>
      </c>
      <c r="I771" s="41">
        <f>COUNTIF(tblCost[TargetID],tblCost[[#This Row],[TargetID]])</f>
        <v>8</v>
      </c>
      <c r="J771" s="41">
        <f>COUNTIFS(tblCost[TargetID],tblCost[[#This Row],[TargetID]],tblCost[PlayerPaid],TRUE)</f>
        <v>0</v>
      </c>
      <c r="K771" s="41">
        <f>tblCost[[#This Row],[TargetRequirements]]-tblCost[[#This Row],[CompletedRequirements]]</f>
        <v>8</v>
      </c>
      <c r="L771" s="41" t="b">
        <f>tblCost[[#This Row],[RemainingRequirements]]=0</f>
        <v>0</v>
      </c>
      <c r="M771" s="43">
        <f>IF(tblCost[[#This Row],[TargetRequirements]]=0,0,tblCost[[#This Row],[CompletedRequirements]]/tblCost[[#This Row],[TargetRequirements]])</f>
        <v>0</v>
      </c>
    </row>
    <row r="772" spans="1:13">
      <c r="A772" s="41" t="s">
        <v>4420</v>
      </c>
      <c r="B772" s="41" t="str">
        <f>_xlfn.TEXTAFTER(_xlfn.TEXTBEFORE(tblCost[[#This Row],[RequirementID]],".",-2),"cost.")</f>
        <v>tech.fermentory.pasteurization</v>
      </c>
      <c r="C772" s="41" t="str">
        <f>_xlfn.XLOOKUP(tblCost[[#This Row],[TargetID]],tblTargets[TargetID],tblTargets[DisplayName],"")</f>
        <v>Fermentory - Pasteurization</v>
      </c>
      <c r="D772" s="41" t="str">
        <f>_xlfn.XLOOKUP(tblCost[[#This Row],[TargetID]],tblTargets[TargetID],tblTargets[TargetType],"")</f>
        <v>TECH</v>
      </c>
      <c r="E772" s="41" t="s">
        <v>670</v>
      </c>
      <c r="F772" s="62" t="str">
        <f>RIGHT(tblCost[[#This Row],[RequirementID]],1)</f>
        <v>1</v>
      </c>
      <c r="G772" s="41">
        <v>10</v>
      </c>
      <c r="H772" t="b">
        <f>COUNTIFS(tblCostChecklist[RequirementID],tblCost[[#This Row],[RequirementID]],tblCostChecklist[PlayerPaid],TRUE)&gt;0</f>
        <v>0</v>
      </c>
      <c r="I772" s="41">
        <f>COUNTIF(tblCost[TargetID],tblCost[[#This Row],[TargetID]])</f>
        <v>8</v>
      </c>
      <c r="J772" s="41">
        <f>COUNTIFS(tblCost[TargetID],tblCost[[#This Row],[TargetID]],tblCost[PlayerPaid],TRUE)</f>
        <v>0</v>
      </c>
      <c r="K772" s="41">
        <f>tblCost[[#This Row],[TargetRequirements]]-tblCost[[#This Row],[CompletedRequirements]]</f>
        <v>8</v>
      </c>
      <c r="L772" s="41" t="b">
        <f>tblCost[[#This Row],[RemainingRequirements]]=0</f>
        <v>0</v>
      </c>
      <c r="M772" s="43">
        <f>IF(tblCost[[#This Row],[TargetRequirements]]=0,0,tblCost[[#This Row],[CompletedRequirements]]/tblCost[[#This Row],[TargetRequirements]])</f>
        <v>0</v>
      </c>
    </row>
    <row r="773" spans="1:13">
      <c r="A773" s="41" t="s">
        <v>4421</v>
      </c>
      <c r="B773" s="41" t="str">
        <f>_xlfn.TEXTAFTER(_xlfn.TEXTBEFORE(tblCost[[#This Row],[RequirementID]],".",-2),"cost.")</f>
        <v>tech.fermentory.pasteurization</v>
      </c>
      <c r="C773" s="41" t="str">
        <f>_xlfn.XLOOKUP(tblCost[[#This Row],[TargetID]],tblTargets[TargetID],tblTargets[DisplayName],"")</f>
        <v>Fermentory - Pasteurization</v>
      </c>
      <c r="D773" s="41" t="str">
        <f>_xlfn.XLOOKUP(tblCost[[#This Row],[TargetID]],tblTargets[TargetID],tblTargets[TargetType],"")</f>
        <v>TECH</v>
      </c>
      <c r="E773" s="41" t="s">
        <v>674</v>
      </c>
      <c r="F773" s="62" t="str">
        <f>RIGHT(tblCost[[#This Row],[RequirementID]],1)</f>
        <v>1</v>
      </c>
      <c r="G773" s="41">
        <v>30</v>
      </c>
      <c r="H773" t="b">
        <f>COUNTIFS(tblCostChecklist[RequirementID],tblCost[[#This Row],[RequirementID]],tblCostChecklist[PlayerPaid],TRUE)&gt;0</f>
        <v>0</v>
      </c>
      <c r="I773" s="41">
        <f>COUNTIF(tblCost[TargetID],tblCost[[#This Row],[TargetID]])</f>
        <v>8</v>
      </c>
      <c r="J773" s="41">
        <f>COUNTIFS(tblCost[TargetID],tblCost[[#This Row],[TargetID]],tblCost[PlayerPaid],TRUE)</f>
        <v>0</v>
      </c>
      <c r="K773" s="41">
        <f>tblCost[[#This Row],[TargetRequirements]]-tblCost[[#This Row],[CompletedRequirements]]</f>
        <v>8</v>
      </c>
      <c r="L773" s="41" t="b">
        <f>tblCost[[#This Row],[RemainingRequirements]]=0</f>
        <v>0</v>
      </c>
      <c r="M773" s="43">
        <f>IF(tblCost[[#This Row],[TargetRequirements]]=0,0,tblCost[[#This Row],[CompletedRequirements]]/tblCost[[#This Row],[TargetRequirements]])</f>
        <v>0</v>
      </c>
    </row>
    <row r="774" spans="1:13">
      <c r="A774" s="41" t="s">
        <v>4422</v>
      </c>
      <c r="B774" s="41" t="str">
        <f>_xlfn.TEXTAFTER(_xlfn.TEXTBEFORE(tblCost[[#This Row],[RequirementID]],".",-2),"cost.")</f>
        <v>tech.fermentory.pasteurization</v>
      </c>
      <c r="C774" s="41" t="str">
        <f>_xlfn.XLOOKUP(tblCost[[#This Row],[TargetID]],tblTargets[TargetID],tblTargets[DisplayName],"")</f>
        <v>Fermentory - Pasteurization</v>
      </c>
      <c r="D774" s="41" t="str">
        <f>_xlfn.XLOOKUP(tblCost[[#This Row],[TargetID]],tblTargets[TargetID],tblTargets[TargetType],"")</f>
        <v>TECH</v>
      </c>
      <c r="E774" s="41" t="s">
        <v>708</v>
      </c>
      <c r="F774" s="62" t="str">
        <f>RIGHT(tblCost[[#This Row],[RequirementID]],1)</f>
        <v>1</v>
      </c>
      <c r="G774" s="41">
        <v>10</v>
      </c>
      <c r="H774" t="b">
        <f>COUNTIFS(tblCostChecklist[RequirementID],tblCost[[#This Row],[RequirementID]],tblCostChecklist[PlayerPaid],TRUE)&gt;0</f>
        <v>0</v>
      </c>
      <c r="I774" s="41">
        <f>COUNTIF(tblCost[TargetID],tblCost[[#This Row],[TargetID]])</f>
        <v>8</v>
      </c>
      <c r="J774" s="41">
        <f>COUNTIFS(tblCost[TargetID],tblCost[[#This Row],[TargetID]],tblCost[PlayerPaid],TRUE)</f>
        <v>0</v>
      </c>
      <c r="K774" s="41">
        <f>tblCost[[#This Row],[TargetRequirements]]-tblCost[[#This Row],[CompletedRequirements]]</f>
        <v>8</v>
      </c>
      <c r="L774" s="41" t="b">
        <f>tblCost[[#This Row],[RemainingRequirements]]=0</f>
        <v>0</v>
      </c>
      <c r="M774" s="43">
        <f>IF(tblCost[[#This Row],[TargetRequirements]]=0,0,tblCost[[#This Row],[CompletedRequirements]]/tblCost[[#This Row],[TargetRequirements]])</f>
        <v>0</v>
      </c>
    </row>
    <row r="775" spans="1:13">
      <c r="A775" s="41" t="s">
        <v>4423</v>
      </c>
      <c r="B775" s="41" t="str">
        <f>_xlfn.TEXTAFTER(_xlfn.TEXTBEFORE(tblCost[[#This Row],[RequirementID]],".",-2),"cost.")</f>
        <v>tech.fermentory.pasteurization</v>
      </c>
      <c r="C775" s="41" t="str">
        <f>_xlfn.XLOOKUP(tblCost[[#This Row],[TargetID]],tblTargets[TargetID],tblTargets[DisplayName],"")</f>
        <v>Fermentory - Pasteurization</v>
      </c>
      <c r="D775" s="41" t="str">
        <f>_xlfn.XLOOKUP(tblCost[[#This Row],[TargetID]],tblTargets[TargetID],tblTargets[TargetType],"")</f>
        <v>TECH</v>
      </c>
      <c r="E775" s="41" t="s">
        <v>716</v>
      </c>
      <c r="F775" s="62" t="str">
        <f>RIGHT(tblCost[[#This Row],[RequirementID]],1)</f>
        <v>1</v>
      </c>
      <c r="G775" s="41">
        <v>200</v>
      </c>
      <c r="H775" t="b">
        <f>COUNTIFS(tblCostChecklist[RequirementID],tblCost[[#This Row],[RequirementID]],tblCostChecklist[PlayerPaid],TRUE)&gt;0</f>
        <v>0</v>
      </c>
      <c r="I775" s="41">
        <f>COUNTIF(tblCost[TargetID],tblCost[[#This Row],[TargetID]])</f>
        <v>8</v>
      </c>
      <c r="J775" s="41">
        <f>COUNTIFS(tblCost[TargetID],tblCost[[#This Row],[TargetID]],tblCost[PlayerPaid],TRUE)</f>
        <v>0</v>
      </c>
      <c r="K775" s="41">
        <f>tblCost[[#This Row],[TargetRequirements]]-tblCost[[#This Row],[CompletedRequirements]]</f>
        <v>8</v>
      </c>
      <c r="L775" s="41" t="b">
        <f>tblCost[[#This Row],[RemainingRequirements]]=0</f>
        <v>0</v>
      </c>
      <c r="M775" s="43">
        <f>IF(tblCost[[#This Row],[TargetRequirements]]=0,0,tblCost[[#This Row],[CompletedRequirements]]/tblCost[[#This Row],[TargetRequirements]])</f>
        <v>0</v>
      </c>
    </row>
    <row r="776" spans="1:13">
      <c r="A776" s="41" t="s">
        <v>4424</v>
      </c>
      <c r="B776" s="41" t="str">
        <f>_xlfn.TEXTAFTER(_xlfn.TEXTBEFORE(tblCost[[#This Row],[RequirementID]],".",-2),"cost.")</f>
        <v>tech.field.seed_drill</v>
      </c>
      <c r="C776" s="41" t="str">
        <f>_xlfn.XLOOKUP(tblCost[[#This Row],[TargetID]],tblTargets[TargetID],tblTargets[DisplayName],"")</f>
        <v>Field - Seed Drill</v>
      </c>
      <c r="D776" s="41" t="str">
        <f>_xlfn.XLOOKUP(tblCost[[#This Row],[TargetID]],tblTargets[TargetID],tblTargets[TargetType],"")</f>
        <v>TECH</v>
      </c>
      <c r="E776" s="41" t="s">
        <v>662</v>
      </c>
      <c r="F776" s="62" t="str">
        <f>RIGHT(tblCost[[#This Row],[RequirementID]],1)</f>
        <v>1</v>
      </c>
      <c r="G776" s="41">
        <v>10</v>
      </c>
      <c r="H776" t="b">
        <f>COUNTIFS(tblCostChecklist[RequirementID],tblCost[[#This Row],[RequirementID]],tblCostChecklist[PlayerPaid],TRUE)&gt;0</f>
        <v>0</v>
      </c>
      <c r="I776" s="41">
        <f>COUNTIF(tblCost[TargetID],tblCost[[#This Row],[TargetID]])</f>
        <v>6</v>
      </c>
      <c r="J776" s="41">
        <f>COUNTIFS(tblCost[TargetID],tblCost[[#This Row],[TargetID]],tblCost[PlayerPaid],TRUE)</f>
        <v>0</v>
      </c>
      <c r="K776" s="41">
        <f>tblCost[[#This Row],[TargetRequirements]]-tblCost[[#This Row],[CompletedRequirements]]</f>
        <v>6</v>
      </c>
      <c r="L776" s="41" t="b">
        <f>tblCost[[#This Row],[RemainingRequirements]]=0</f>
        <v>0</v>
      </c>
      <c r="M776" s="43">
        <f>IF(tblCost[[#This Row],[TargetRequirements]]=0,0,tblCost[[#This Row],[CompletedRequirements]]/tblCost[[#This Row],[TargetRequirements]])</f>
        <v>0</v>
      </c>
    </row>
    <row r="777" spans="1:13">
      <c r="A777" s="41" t="s">
        <v>4425</v>
      </c>
      <c r="B777" s="41" t="str">
        <f>_xlfn.TEXTAFTER(_xlfn.TEXTBEFORE(tblCost[[#This Row],[RequirementID]],".",-2),"cost.")</f>
        <v>tech.field.seed_drill</v>
      </c>
      <c r="C777" s="41" t="str">
        <f>_xlfn.XLOOKUP(tblCost[[#This Row],[TargetID]],tblTargets[TargetID],tblTargets[DisplayName],"")</f>
        <v>Field - Seed Drill</v>
      </c>
      <c r="D777" s="41" t="str">
        <f>_xlfn.XLOOKUP(tblCost[[#This Row],[TargetID]],tblTargets[TargetID],tblTargets[TargetType],"")</f>
        <v>TECH</v>
      </c>
      <c r="E777" s="41" t="s">
        <v>666</v>
      </c>
      <c r="F777" s="62" t="str">
        <f>RIGHT(tblCost[[#This Row],[RequirementID]],1)</f>
        <v>1</v>
      </c>
      <c r="G777" s="41">
        <v>400</v>
      </c>
      <c r="H777" t="b">
        <f>COUNTIFS(tblCostChecklist[RequirementID],tblCost[[#This Row],[RequirementID]],tblCostChecklist[PlayerPaid],TRUE)&gt;0</f>
        <v>0</v>
      </c>
      <c r="I777" s="41">
        <f>COUNTIF(tblCost[TargetID],tblCost[[#This Row],[TargetID]])</f>
        <v>6</v>
      </c>
      <c r="J777" s="41">
        <f>COUNTIFS(tblCost[TargetID],tblCost[[#This Row],[TargetID]],tblCost[PlayerPaid],TRUE)</f>
        <v>0</v>
      </c>
      <c r="K777" s="41">
        <f>tblCost[[#This Row],[TargetRequirements]]-tblCost[[#This Row],[CompletedRequirements]]</f>
        <v>6</v>
      </c>
      <c r="L777" s="41" t="b">
        <f>tblCost[[#This Row],[RemainingRequirements]]=0</f>
        <v>0</v>
      </c>
      <c r="M777" s="43">
        <f>IF(tblCost[[#This Row],[TargetRequirements]]=0,0,tblCost[[#This Row],[CompletedRequirements]]/tblCost[[#This Row],[TargetRequirements]])</f>
        <v>0</v>
      </c>
    </row>
    <row r="778" spans="1:13">
      <c r="A778" s="41" t="s">
        <v>4426</v>
      </c>
      <c r="B778" s="41" t="str">
        <f>_xlfn.TEXTAFTER(_xlfn.TEXTBEFORE(tblCost[[#This Row],[RequirementID]],".",-2),"cost.")</f>
        <v>tech.field.seed_drill</v>
      </c>
      <c r="C778" s="41" t="str">
        <f>_xlfn.XLOOKUP(tblCost[[#This Row],[TargetID]],tblTargets[TargetID],tblTargets[DisplayName],"")</f>
        <v>Field - Seed Drill</v>
      </c>
      <c r="D778" s="41" t="str">
        <f>_xlfn.XLOOKUP(tblCost[[#This Row],[TargetID]],tblTargets[TargetID],tblTargets[TargetType],"")</f>
        <v>TECH</v>
      </c>
      <c r="E778" s="41" t="s">
        <v>931</v>
      </c>
      <c r="F778" s="62" t="str">
        <f>RIGHT(tblCost[[#This Row],[RequirementID]],1)</f>
        <v>1</v>
      </c>
      <c r="G778" s="41">
        <v>40</v>
      </c>
      <c r="H778" t="b">
        <f>COUNTIFS(tblCostChecklist[RequirementID],tblCost[[#This Row],[RequirementID]],tblCostChecklist[PlayerPaid],TRUE)&gt;0</f>
        <v>0</v>
      </c>
      <c r="I778" s="41">
        <f>COUNTIF(tblCost[TargetID],tblCost[[#This Row],[TargetID]])</f>
        <v>6</v>
      </c>
      <c r="J778" s="41">
        <f>COUNTIFS(tblCost[TargetID],tblCost[[#This Row],[TargetID]],tblCost[PlayerPaid],TRUE)</f>
        <v>0</v>
      </c>
      <c r="K778" s="41">
        <f>tblCost[[#This Row],[TargetRequirements]]-tblCost[[#This Row],[CompletedRequirements]]</f>
        <v>6</v>
      </c>
      <c r="L778" s="41" t="b">
        <f>tblCost[[#This Row],[RemainingRequirements]]=0</f>
        <v>0</v>
      </c>
      <c r="M778" s="43">
        <f>IF(tblCost[[#This Row],[TargetRequirements]]=0,0,tblCost[[#This Row],[CompletedRequirements]]/tblCost[[#This Row],[TargetRequirements]])</f>
        <v>0</v>
      </c>
    </row>
    <row r="779" spans="1:13">
      <c r="A779" s="41" t="s">
        <v>4427</v>
      </c>
      <c r="B779" s="41" t="str">
        <f>_xlfn.TEXTAFTER(_xlfn.TEXTBEFORE(tblCost[[#This Row],[RequirementID]],".",-2),"cost.")</f>
        <v>tech.field.seed_drill</v>
      </c>
      <c r="C779" s="41" t="str">
        <f>_xlfn.XLOOKUP(tblCost[[#This Row],[TargetID]],tblTargets[TargetID],tblTargets[DisplayName],"")</f>
        <v>Field - Seed Drill</v>
      </c>
      <c r="D779" s="41" t="str">
        <f>_xlfn.XLOOKUP(tblCost[[#This Row],[TargetID]],tblTargets[TargetID],tblTargets[TargetType],"")</f>
        <v>TECH</v>
      </c>
      <c r="E779" s="41" t="s">
        <v>686</v>
      </c>
      <c r="F779" s="62" t="str">
        <f>RIGHT(tblCost[[#This Row],[RequirementID]],1)</f>
        <v>1</v>
      </c>
      <c r="G779" s="41">
        <v>10</v>
      </c>
      <c r="H779" t="b">
        <f>COUNTIFS(tblCostChecklist[RequirementID],tblCost[[#This Row],[RequirementID]],tblCostChecklist[PlayerPaid],TRUE)&gt;0</f>
        <v>0</v>
      </c>
      <c r="I779" s="41">
        <f>COUNTIF(tblCost[TargetID],tblCost[[#This Row],[TargetID]])</f>
        <v>6</v>
      </c>
      <c r="J779" s="41">
        <f>COUNTIFS(tblCost[TargetID],tblCost[[#This Row],[TargetID]],tblCost[PlayerPaid],TRUE)</f>
        <v>0</v>
      </c>
      <c r="K779" s="41">
        <f>tblCost[[#This Row],[TargetRequirements]]-tblCost[[#This Row],[CompletedRequirements]]</f>
        <v>6</v>
      </c>
      <c r="L779" s="41" t="b">
        <f>tblCost[[#This Row],[RemainingRequirements]]=0</f>
        <v>0</v>
      </c>
      <c r="M779" s="43">
        <f>IF(tblCost[[#This Row],[TargetRequirements]]=0,0,tblCost[[#This Row],[CompletedRequirements]]/tblCost[[#This Row],[TargetRequirements]])</f>
        <v>0</v>
      </c>
    </row>
    <row r="780" spans="1:13">
      <c r="A780" s="41" t="s">
        <v>4428</v>
      </c>
      <c r="B780" s="41" t="str">
        <f>_xlfn.TEXTAFTER(_xlfn.TEXTBEFORE(tblCost[[#This Row],[RequirementID]],".",-2),"cost.")</f>
        <v>tech.field.seed_drill</v>
      </c>
      <c r="C780" s="41" t="str">
        <f>_xlfn.XLOOKUP(tblCost[[#This Row],[TargetID]],tblTargets[TargetID],tblTargets[DisplayName],"")</f>
        <v>Field - Seed Drill</v>
      </c>
      <c r="D780" s="41" t="str">
        <f>_xlfn.XLOOKUP(tblCost[[#This Row],[TargetID]],tblTargets[TargetID],tblTargets[TargetType],"")</f>
        <v>TECH</v>
      </c>
      <c r="E780" s="41" t="s">
        <v>693</v>
      </c>
      <c r="F780" s="62" t="str">
        <f>RIGHT(tblCost[[#This Row],[RequirementID]],1)</f>
        <v>1</v>
      </c>
      <c r="G780" s="41">
        <v>20</v>
      </c>
      <c r="H780" t="b">
        <f>COUNTIFS(tblCostChecklist[RequirementID],tblCost[[#This Row],[RequirementID]],tblCostChecklist[PlayerPaid],TRUE)&gt;0</f>
        <v>0</v>
      </c>
      <c r="I780" s="41">
        <f>COUNTIF(tblCost[TargetID],tblCost[[#This Row],[TargetID]])</f>
        <v>6</v>
      </c>
      <c r="J780" s="41">
        <f>COUNTIFS(tblCost[TargetID],tblCost[[#This Row],[TargetID]],tblCost[PlayerPaid],TRUE)</f>
        <v>0</v>
      </c>
      <c r="K780" s="41">
        <f>tblCost[[#This Row],[TargetRequirements]]-tblCost[[#This Row],[CompletedRequirements]]</f>
        <v>6</v>
      </c>
      <c r="L780" s="41" t="b">
        <f>tblCost[[#This Row],[RemainingRequirements]]=0</f>
        <v>0</v>
      </c>
      <c r="M780" s="43">
        <f>IF(tblCost[[#This Row],[TargetRequirements]]=0,0,tblCost[[#This Row],[CompletedRequirements]]/tblCost[[#This Row],[TargetRequirements]])</f>
        <v>0</v>
      </c>
    </row>
    <row r="781" spans="1:13">
      <c r="A781" s="41" t="s">
        <v>4429</v>
      </c>
      <c r="B781" s="41" t="str">
        <f>_xlfn.TEXTAFTER(_xlfn.TEXTBEFORE(tblCost[[#This Row],[RequirementID]],".",-2),"cost.")</f>
        <v>tech.field.seed_drill</v>
      </c>
      <c r="C781" s="41" t="str">
        <f>_xlfn.XLOOKUP(tblCost[[#This Row],[TargetID]],tblTargets[TargetID],tblTargets[DisplayName],"")</f>
        <v>Field - Seed Drill</v>
      </c>
      <c r="D781" s="41" t="str">
        <f>_xlfn.XLOOKUP(tblCost[[#This Row],[TargetID]],tblTargets[TargetID],tblTargets[TargetType],"")</f>
        <v>TECH</v>
      </c>
      <c r="E781" s="41" t="s">
        <v>708</v>
      </c>
      <c r="F781" s="62" t="str">
        <f>RIGHT(tblCost[[#This Row],[RequirementID]],1)</f>
        <v>1</v>
      </c>
      <c r="G781" s="41">
        <v>2</v>
      </c>
      <c r="H781" t="b">
        <f>COUNTIFS(tblCostChecklist[RequirementID],tblCost[[#This Row],[RequirementID]],tblCostChecklist[PlayerPaid],TRUE)&gt;0</f>
        <v>0</v>
      </c>
      <c r="I781" s="41">
        <f>COUNTIF(tblCost[TargetID],tblCost[[#This Row],[TargetID]])</f>
        <v>6</v>
      </c>
      <c r="J781" s="41">
        <f>COUNTIFS(tblCost[TargetID],tblCost[[#This Row],[TargetID]],tblCost[PlayerPaid],TRUE)</f>
        <v>0</v>
      </c>
      <c r="K781" s="41">
        <f>tblCost[[#This Row],[TargetRequirements]]-tblCost[[#This Row],[CompletedRequirements]]</f>
        <v>6</v>
      </c>
      <c r="L781" s="41" t="b">
        <f>tblCost[[#This Row],[RemainingRequirements]]=0</f>
        <v>0</v>
      </c>
      <c r="M781" s="43">
        <f>IF(tblCost[[#This Row],[TargetRequirements]]=0,0,tblCost[[#This Row],[CompletedRequirements]]/tblCost[[#This Row],[TargetRequirements]])</f>
        <v>0</v>
      </c>
    </row>
    <row r="782" spans="1:13">
      <c r="A782" s="41" t="s">
        <v>4430</v>
      </c>
      <c r="B782" s="41" t="str">
        <f>_xlfn.TEXTAFTER(_xlfn.TEXTBEFORE(tblCost[[#This Row],[RequirementID]],".",-2),"cost.")</f>
        <v>tech.field.combine_harvester</v>
      </c>
      <c r="C782" s="41" t="str">
        <f>_xlfn.XLOOKUP(tblCost[[#This Row],[TargetID]],tblTargets[TargetID],tblTargets[DisplayName],"")</f>
        <v>Field - Combine Harvester</v>
      </c>
      <c r="D782" s="41" t="str">
        <f>_xlfn.XLOOKUP(tblCost[[#This Row],[TargetID]],tblTargets[TargetID],tblTargets[TargetType],"")</f>
        <v>TECH</v>
      </c>
      <c r="E782" s="41" t="s">
        <v>662</v>
      </c>
      <c r="F782" s="62" t="str">
        <f>RIGHT(tblCost[[#This Row],[RequirementID]],1)</f>
        <v>1</v>
      </c>
      <c r="G782" s="41">
        <v>30</v>
      </c>
      <c r="H782" t="b">
        <f>COUNTIFS(tblCostChecklist[RequirementID],tblCost[[#This Row],[RequirementID]],tblCostChecklist[PlayerPaid],TRUE)&gt;0</f>
        <v>0</v>
      </c>
      <c r="I782" s="41">
        <f>COUNTIF(tblCost[TargetID],tblCost[[#This Row],[TargetID]])</f>
        <v>6</v>
      </c>
      <c r="J782" s="41">
        <f>COUNTIFS(tblCost[TargetID],tblCost[[#This Row],[TargetID]],tblCost[PlayerPaid],TRUE)</f>
        <v>0</v>
      </c>
      <c r="K782" s="41">
        <f>tblCost[[#This Row],[TargetRequirements]]-tblCost[[#This Row],[CompletedRequirements]]</f>
        <v>6</v>
      </c>
      <c r="L782" s="41" t="b">
        <f>tblCost[[#This Row],[RemainingRequirements]]=0</f>
        <v>0</v>
      </c>
      <c r="M782" s="43">
        <f>IF(tblCost[[#This Row],[TargetRequirements]]=0,0,tblCost[[#This Row],[CompletedRequirements]]/tblCost[[#This Row],[TargetRequirements]])</f>
        <v>0</v>
      </c>
    </row>
    <row r="783" spans="1:13">
      <c r="A783" s="41" t="s">
        <v>4431</v>
      </c>
      <c r="B783" s="41" t="str">
        <f>_xlfn.TEXTAFTER(_xlfn.TEXTBEFORE(tblCost[[#This Row],[RequirementID]],".",-2),"cost.")</f>
        <v>tech.field.combine_harvester</v>
      </c>
      <c r="C783" s="41" t="str">
        <f>_xlfn.XLOOKUP(tblCost[[#This Row],[TargetID]],tblTargets[TargetID],tblTargets[DisplayName],"")</f>
        <v>Field - Combine Harvester</v>
      </c>
      <c r="D783" s="41" t="str">
        <f>_xlfn.XLOOKUP(tblCost[[#This Row],[TargetID]],tblTargets[TargetID],tblTargets[TargetType],"")</f>
        <v>TECH</v>
      </c>
      <c r="E783" s="41" t="s">
        <v>666</v>
      </c>
      <c r="F783" s="62" t="str">
        <f>RIGHT(tblCost[[#This Row],[RequirementID]],1)</f>
        <v>1</v>
      </c>
      <c r="G783" s="41">
        <v>600</v>
      </c>
      <c r="H783" t="b">
        <f>COUNTIFS(tblCostChecklist[RequirementID],tblCost[[#This Row],[RequirementID]],tblCostChecklist[PlayerPaid],TRUE)&gt;0</f>
        <v>0</v>
      </c>
      <c r="I783" s="41">
        <f>COUNTIF(tblCost[TargetID],tblCost[[#This Row],[TargetID]])</f>
        <v>6</v>
      </c>
      <c r="J783" s="41">
        <f>COUNTIFS(tblCost[TargetID],tblCost[[#This Row],[TargetID]],tblCost[PlayerPaid],TRUE)</f>
        <v>0</v>
      </c>
      <c r="K783" s="41">
        <f>tblCost[[#This Row],[TargetRequirements]]-tblCost[[#This Row],[CompletedRequirements]]</f>
        <v>6</v>
      </c>
      <c r="L783" s="41" t="b">
        <f>tblCost[[#This Row],[RemainingRequirements]]=0</f>
        <v>0</v>
      </c>
      <c r="M783" s="43">
        <f>IF(tblCost[[#This Row],[TargetRequirements]]=0,0,tblCost[[#This Row],[CompletedRequirements]]/tblCost[[#This Row],[TargetRequirements]])</f>
        <v>0</v>
      </c>
    </row>
    <row r="784" spans="1:13">
      <c r="A784" s="41" t="s">
        <v>4432</v>
      </c>
      <c r="B784" s="41" t="str">
        <f>_xlfn.TEXTAFTER(_xlfn.TEXTBEFORE(tblCost[[#This Row],[RequirementID]],".",-2),"cost.")</f>
        <v>tech.field.combine_harvester</v>
      </c>
      <c r="C784" s="41" t="str">
        <f>_xlfn.XLOOKUP(tblCost[[#This Row],[TargetID]],tblTargets[TargetID],tblTargets[DisplayName],"")</f>
        <v>Field - Combine Harvester</v>
      </c>
      <c r="D784" s="41" t="str">
        <f>_xlfn.XLOOKUP(tblCost[[#This Row],[TargetID]],tblTargets[TargetID],tblTargets[TargetType],"")</f>
        <v>TECH</v>
      </c>
      <c r="E784" s="41" t="s">
        <v>931</v>
      </c>
      <c r="F784" s="62" t="str">
        <f>RIGHT(tblCost[[#This Row],[RequirementID]],1)</f>
        <v>1</v>
      </c>
      <c r="G784" s="41">
        <v>60</v>
      </c>
      <c r="H784" t="b">
        <f>COUNTIFS(tblCostChecklist[RequirementID],tblCost[[#This Row],[RequirementID]],tblCostChecklist[PlayerPaid],TRUE)&gt;0</f>
        <v>0</v>
      </c>
      <c r="I784" s="41">
        <f>COUNTIF(tblCost[TargetID],tblCost[[#This Row],[TargetID]])</f>
        <v>6</v>
      </c>
      <c r="J784" s="41">
        <f>COUNTIFS(tblCost[TargetID],tblCost[[#This Row],[TargetID]],tblCost[PlayerPaid],TRUE)</f>
        <v>0</v>
      </c>
      <c r="K784" s="41">
        <f>tblCost[[#This Row],[TargetRequirements]]-tblCost[[#This Row],[CompletedRequirements]]</f>
        <v>6</v>
      </c>
      <c r="L784" s="41" t="b">
        <f>tblCost[[#This Row],[RemainingRequirements]]=0</f>
        <v>0</v>
      </c>
      <c r="M784" s="43">
        <f>IF(tblCost[[#This Row],[TargetRequirements]]=0,0,tblCost[[#This Row],[CompletedRequirements]]/tblCost[[#This Row],[TargetRequirements]])</f>
        <v>0</v>
      </c>
    </row>
    <row r="785" spans="1:13">
      <c r="A785" s="41" t="s">
        <v>4433</v>
      </c>
      <c r="B785" s="41" t="str">
        <f>_xlfn.TEXTAFTER(_xlfn.TEXTBEFORE(tblCost[[#This Row],[RequirementID]],".",-2),"cost.")</f>
        <v>tech.field.combine_harvester</v>
      </c>
      <c r="C785" s="41" t="str">
        <f>_xlfn.XLOOKUP(tblCost[[#This Row],[TargetID]],tblTargets[TargetID],tblTargets[DisplayName],"")</f>
        <v>Field - Combine Harvester</v>
      </c>
      <c r="D785" s="41" t="str">
        <f>_xlfn.XLOOKUP(tblCost[[#This Row],[TargetID]],tblTargets[TargetID],tblTargets[TargetType],"")</f>
        <v>TECH</v>
      </c>
      <c r="E785" s="41" t="s">
        <v>686</v>
      </c>
      <c r="F785" s="62" t="str">
        <f>RIGHT(tblCost[[#This Row],[RequirementID]],1)</f>
        <v>1</v>
      </c>
      <c r="G785" s="41">
        <v>10</v>
      </c>
      <c r="H785" t="b">
        <f>COUNTIFS(tblCostChecklist[RequirementID],tblCost[[#This Row],[RequirementID]],tblCostChecklist[PlayerPaid],TRUE)&gt;0</f>
        <v>0</v>
      </c>
      <c r="I785" s="41">
        <f>COUNTIF(tblCost[TargetID],tblCost[[#This Row],[TargetID]])</f>
        <v>6</v>
      </c>
      <c r="J785" s="41">
        <f>COUNTIFS(tblCost[TargetID],tblCost[[#This Row],[TargetID]],tblCost[PlayerPaid],TRUE)</f>
        <v>0</v>
      </c>
      <c r="K785" s="41">
        <f>tblCost[[#This Row],[TargetRequirements]]-tblCost[[#This Row],[CompletedRequirements]]</f>
        <v>6</v>
      </c>
      <c r="L785" s="41" t="b">
        <f>tblCost[[#This Row],[RemainingRequirements]]=0</f>
        <v>0</v>
      </c>
      <c r="M785" s="43">
        <f>IF(tblCost[[#This Row],[TargetRequirements]]=0,0,tblCost[[#This Row],[CompletedRequirements]]/tblCost[[#This Row],[TargetRequirements]])</f>
        <v>0</v>
      </c>
    </row>
    <row r="786" spans="1:13">
      <c r="A786" s="41" t="s">
        <v>4434</v>
      </c>
      <c r="B786" s="41" t="str">
        <f>_xlfn.TEXTAFTER(_xlfn.TEXTBEFORE(tblCost[[#This Row],[RequirementID]],".",-2),"cost.")</f>
        <v>tech.field.combine_harvester</v>
      </c>
      <c r="C786" s="41" t="str">
        <f>_xlfn.XLOOKUP(tblCost[[#This Row],[TargetID]],tblTargets[TargetID],tblTargets[DisplayName],"")</f>
        <v>Field - Combine Harvester</v>
      </c>
      <c r="D786" s="41" t="str">
        <f>_xlfn.XLOOKUP(tblCost[[#This Row],[TargetID]],tblTargets[TargetID],tblTargets[TargetType],"")</f>
        <v>TECH</v>
      </c>
      <c r="E786" s="41" t="s">
        <v>708</v>
      </c>
      <c r="F786" s="62" t="str">
        <f>RIGHT(tblCost[[#This Row],[RequirementID]],1)</f>
        <v>1</v>
      </c>
      <c r="G786" s="41">
        <v>4</v>
      </c>
      <c r="H786" t="b">
        <f>COUNTIFS(tblCostChecklist[RequirementID],tblCost[[#This Row],[RequirementID]],tblCostChecklist[PlayerPaid],TRUE)&gt;0</f>
        <v>0</v>
      </c>
      <c r="I786" s="41">
        <f>COUNTIF(tblCost[TargetID],tblCost[[#This Row],[TargetID]])</f>
        <v>6</v>
      </c>
      <c r="J786" s="41">
        <f>COUNTIFS(tblCost[TargetID],tblCost[[#This Row],[TargetID]],tblCost[PlayerPaid],TRUE)</f>
        <v>0</v>
      </c>
      <c r="K786" s="41">
        <f>tblCost[[#This Row],[TargetRequirements]]-tblCost[[#This Row],[CompletedRequirements]]</f>
        <v>6</v>
      </c>
      <c r="L786" s="41" t="b">
        <f>tblCost[[#This Row],[RemainingRequirements]]=0</f>
        <v>0</v>
      </c>
      <c r="M786" s="43">
        <f>IF(tblCost[[#This Row],[TargetRequirements]]=0,0,tblCost[[#This Row],[CompletedRequirements]]/tblCost[[#This Row],[TargetRequirements]])</f>
        <v>0</v>
      </c>
    </row>
    <row r="787" spans="1:13">
      <c r="A787" s="41" t="s">
        <v>4435</v>
      </c>
      <c r="B787" s="41" t="str">
        <f>_xlfn.TEXTAFTER(_xlfn.TEXTBEFORE(tblCost[[#This Row],[RequirementID]],".",-2),"cost.")</f>
        <v>tech.field.combine_harvester</v>
      </c>
      <c r="C787" s="41" t="str">
        <f>_xlfn.XLOOKUP(tblCost[[#This Row],[TargetID]],tblTargets[TargetID],tblTargets[DisplayName],"")</f>
        <v>Field - Combine Harvester</v>
      </c>
      <c r="D787" s="41" t="str">
        <f>_xlfn.XLOOKUP(tblCost[[#This Row],[TargetID]],tblTargets[TargetID],tblTargets[TargetType],"")</f>
        <v>TECH</v>
      </c>
      <c r="E787" s="41" t="s">
        <v>911</v>
      </c>
      <c r="F787" s="62" t="str">
        <f>RIGHT(tblCost[[#This Row],[RequirementID]],1)</f>
        <v>1</v>
      </c>
      <c r="G787" s="41">
        <v>10</v>
      </c>
      <c r="H787" t="b">
        <f>COUNTIFS(tblCostChecklist[RequirementID],tblCost[[#This Row],[RequirementID]],tblCostChecklist[PlayerPaid],TRUE)&gt;0</f>
        <v>0</v>
      </c>
      <c r="I787" s="41">
        <f>COUNTIF(tblCost[TargetID],tblCost[[#This Row],[TargetID]])</f>
        <v>6</v>
      </c>
      <c r="J787" s="41">
        <f>COUNTIFS(tblCost[TargetID],tblCost[[#This Row],[TargetID]],tblCost[PlayerPaid],TRUE)</f>
        <v>0</v>
      </c>
      <c r="K787" s="41">
        <f>tblCost[[#This Row],[TargetRequirements]]-tblCost[[#This Row],[CompletedRequirements]]</f>
        <v>6</v>
      </c>
      <c r="L787" s="41" t="b">
        <f>tblCost[[#This Row],[RemainingRequirements]]=0</f>
        <v>0</v>
      </c>
      <c r="M787" s="43">
        <f>IF(tblCost[[#This Row],[TargetRequirements]]=0,0,tblCost[[#This Row],[CompletedRequirements]]/tblCost[[#This Row],[TargetRequirements]])</f>
        <v>0</v>
      </c>
    </row>
    <row r="788" spans="1:13">
      <c r="A788" s="41" t="s">
        <v>4436</v>
      </c>
      <c r="B788" s="41" t="str">
        <f>_xlfn.TEXTAFTER(_xlfn.TEXTBEFORE(tblCost[[#This Row],[RequirementID]],".",-2),"cost.")</f>
        <v>tech.field.soybean</v>
      </c>
      <c r="C788" s="41" t="str">
        <f>_xlfn.XLOOKUP(tblCost[[#This Row],[TargetID]],tblTargets[TargetID],tblTargets[DisplayName],"")</f>
        <v>Field - Soybean</v>
      </c>
      <c r="D788" s="41" t="str">
        <f>_xlfn.XLOOKUP(tblCost[[#This Row],[TargetID]],tblTargets[TargetID],tblTargets[TargetType],"")</f>
        <v>TECH</v>
      </c>
      <c r="E788" s="41" t="s">
        <v>666</v>
      </c>
      <c r="F788" s="62" t="str">
        <f>RIGHT(tblCost[[#This Row],[RequirementID]],1)</f>
        <v>1</v>
      </c>
      <c r="G788" s="41">
        <v>800</v>
      </c>
      <c r="H788" t="b">
        <f>COUNTIFS(tblCostChecklist[RequirementID],tblCost[[#This Row],[RequirementID]],tblCostChecklist[PlayerPaid],TRUE)&gt;0</f>
        <v>0</v>
      </c>
      <c r="I788" s="41">
        <f>COUNTIF(tblCost[TargetID],tblCost[[#This Row],[TargetID]])</f>
        <v>8</v>
      </c>
      <c r="J788" s="41">
        <f>COUNTIFS(tblCost[TargetID],tblCost[[#This Row],[TargetID]],tblCost[PlayerPaid],TRUE)</f>
        <v>0</v>
      </c>
      <c r="K788" s="41">
        <f>tblCost[[#This Row],[TargetRequirements]]-tblCost[[#This Row],[CompletedRequirements]]</f>
        <v>8</v>
      </c>
      <c r="L788" s="41" t="b">
        <f>tblCost[[#This Row],[RemainingRequirements]]=0</f>
        <v>0</v>
      </c>
      <c r="M788" s="43">
        <f>IF(tblCost[[#This Row],[TargetRequirements]]=0,0,tblCost[[#This Row],[CompletedRequirements]]/tblCost[[#This Row],[TargetRequirements]])</f>
        <v>0</v>
      </c>
    </row>
    <row r="789" spans="1:13">
      <c r="A789" s="41" t="s">
        <v>4437</v>
      </c>
      <c r="B789" s="41" t="str">
        <f>_xlfn.TEXTAFTER(_xlfn.TEXTBEFORE(tblCost[[#This Row],[RequirementID]],".",-2),"cost.")</f>
        <v>tech.field.soybean</v>
      </c>
      <c r="C789" s="41" t="str">
        <f>_xlfn.XLOOKUP(tblCost[[#This Row],[TargetID]],tblTargets[TargetID],tblTargets[DisplayName],"")</f>
        <v>Field - Soybean</v>
      </c>
      <c r="D789" s="41" t="str">
        <f>_xlfn.XLOOKUP(tblCost[[#This Row],[TargetID]],tblTargets[TargetID],tblTargets[TargetType],"")</f>
        <v>TECH</v>
      </c>
      <c r="E789" s="41" t="s">
        <v>933</v>
      </c>
      <c r="F789" s="62" t="str">
        <f>RIGHT(tblCost[[#This Row],[RequirementID]],1)</f>
        <v>1</v>
      </c>
      <c r="G789" s="41">
        <v>20</v>
      </c>
      <c r="H789" t="b">
        <f>COUNTIFS(tblCostChecklist[RequirementID],tblCost[[#This Row],[RequirementID]],tblCostChecklist[PlayerPaid],TRUE)&gt;0</f>
        <v>0</v>
      </c>
      <c r="I789" s="41">
        <f>COUNTIF(tblCost[TargetID],tblCost[[#This Row],[TargetID]])</f>
        <v>8</v>
      </c>
      <c r="J789" s="41">
        <f>COUNTIFS(tblCost[TargetID],tblCost[[#This Row],[TargetID]],tblCost[PlayerPaid],TRUE)</f>
        <v>0</v>
      </c>
      <c r="K789" s="41">
        <f>tblCost[[#This Row],[TargetRequirements]]-tblCost[[#This Row],[CompletedRequirements]]</f>
        <v>8</v>
      </c>
      <c r="L789" s="41" t="b">
        <f>tblCost[[#This Row],[RemainingRequirements]]=0</f>
        <v>0</v>
      </c>
      <c r="M789" s="43">
        <f>IF(tblCost[[#This Row],[TargetRequirements]]=0,0,tblCost[[#This Row],[CompletedRequirements]]/tblCost[[#This Row],[TargetRequirements]])</f>
        <v>0</v>
      </c>
    </row>
    <row r="790" spans="1:13">
      <c r="A790" s="41" t="s">
        <v>4438</v>
      </c>
      <c r="B790" s="41" t="str">
        <f>_xlfn.TEXTAFTER(_xlfn.TEXTBEFORE(tblCost[[#This Row],[RequirementID]],".",-2),"cost.")</f>
        <v>tech.field.soybean</v>
      </c>
      <c r="C790" s="41" t="str">
        <f>_xlfn.XLOOKUP(tblCost[[#This Row],[TargetID]],tblTargets[TargetID],tblTargets[DisplayName],"")</f>
        <v>Field - Soybean</v>
      </c>
      <c r="D790" s="41" t="str">
        <f>_xlfn.XLOOKUP(tblCost[[#This Row],[TargetID]],tblTargets[TargetID],tblTargets[TargetType],"")</f>
        <v>TECH</v>
      </c>
      <c r="E790" s="41" t="s">
        <v>943</v>
      </c>
      <c r="F790" s="62" t="str">
        <f>RIGHT(tblCost[[#This Row],[RequirementID]],1)</f>
        <v>1</v>
      </c>
      <c r="G790" s="41">
        <v>20</v>
      </c>
      <c r="H790" t="b">
        <f>COUNTIFS(tblCostChecklist[RequirementID],tblCost[[#This Row],[RequirementID]],tblCostChecklist[PlayerPaid],TRUE)&gt;0</f>
        <v>0</v>
      </c>
      <c r="I790" s="41">
        <f>COUNTIF(tblCost[TargetID],tblCost[[#This Row],[TargetID]])</f>
        <v>8</v>
      </c>
      <c r="J790" s="41">
        <f>COUNTIFS(tblCost[TargetID],tblCost[[#This Row],[TargetID]],tblCost[PlayerPaid],TRUE)</f>
        <v>0</v>
      </c>
      <c r="K790" s="41">
        <f>tblCost[[#This Row],[TargetRequirements]]-tblCost[[#This Row],[CompletedRequirements]]</f>
        <v>8</v>
      </c>
      <c r="L790" s="41" t="b">
        <f>tblCost[[#This Row],[RemainingRequirements]]=0</f>
        <v>0</v>
      </c>
      <c r="M790" s="43">
        <f>IF(tblCost[[#This Row],[TargetRequirements]]=0,0,tblCost[[#This Row],[CompletedRequirements]]/tblCost[[#This Row],[TargetRequirements]])</f>
        <v>0</v>
      </c>
    </row>
    <row r="791" spans="1:13">
      <c r="A791" s="41" t="s">
        <v>4439</v>
      </c>
      <c r="B791" s="41" t="str">
        <f>_xlfn.TEXTAFTER(_xlfn.TEXTBEFORE(tblCost[[#This Row],[RequirementID]],".",-2),"cost.")</f>
        <v>tech.field.soybean</v>
      </c>
      <c r="C791" s="41" t="str">
        <f>_xlfn.XLOOKUP(tblCost[[#This Row],[TargetID]],tblTargets[TargetID],tblTargets[DisplayName],"")</f>
        <v>Field - Soybean</v>
      </c>
      <c r="D791" s="41" t="str">
        <f>_xlfn.XLOOKUP(tblCost[[#This Row],[TargetID]],tblTargets[TargetID],tblTargets[TargetType],"")</f>
        <v>TECH</v>
      </c>
      <c r="E791" s="41" t="s">
        <v>696</v>
      </c>
      <c r="F791" s="62" t="str">
        <f>RIGHT(tblCost[[#This Row],[RequirementID]],1)</f>
        <v>1</v>
      </c>
      <c r="G791" s="41">
        <v>20</v>
      </c>
      <c r="H791" t="b">
        <f>COUNTIFS(tblCostChecklist[RequirementID],tblCost[[#This Row],[RequirementID]],tblCostChecklist[PlayerPaid],TRUE)&gt;0</f>
        <v>0</v>
      </c>
      <c r="I791" s="41">
        <f>COUNTIF(tblCost[TargetID],tblCost[[#This Row],[TargetID]])</f>
        <v>8</v>
      </c>
      <c r="J791" s="41">
        <f>COUNTIFS(tblCost[TargetID],tblCost[[#This Row],[TargetID]],tblCost[PlayerPaid],TRUE)</f>
        <v>0</v>
      </c>
      <c r="K791" s="41">
        <f>tblCost[[#This Row],[TargetRequirements]]-tblCost[[#This Row],[CompletedRequirements]]</f>
        <v>8</v>
      </c>
      <c r="L791" s="41" t="b">
        <f>tblCost[[#This Row],[RemainingRequirements]]=0</f>
        <v>0</v>
      </c>
      <c r="M791" s="43">
        <f>IF(tblCost[[#This Row],[TargetRequirements]]=0,0,tblCost[[#This Row],[CompletedRequirements]]/tblCost[[#This Row],[TargetRequirements]])</f>
        <v>0</v>
      </c>
    </row>
    <row r="792" spans="1:13">
      <c r="A792" s="41" t="s">
        <v>4440</v>
      </c>
      <c r="B792" s="41" t="str">
        <f>_xlfn.TEXTAFTER(_xlfn.TEXTBEFORE(tblCost[[#This Row],[RequirementID]],".",-2),"cost.")</f>
        <v>tech.field.soybean</v>
      </c>
      <c r="C792" s="41" t="str">
        <f>_xlfn.XLOOKUP(tblCost[[#This Row],[TargetID]],tblTargets[TargetID],tblTargets[DisplayName],"")</f>
        <v>Field - Soybean</v>
      </c>
      <c r="D792" s="41" t="str">
        <f>_xlfn.XLOOKUP(tblCost[[#This Row],[TargetID]],tblTargets[TargetID],tblTargets[TargetType],"")</f>
        <v>TECH</v>
      </c>
      <c r="E792" s="41" t="s">
        <v>708</v>
      </c>
      <c r="F792" s="62" t="str">
        <f>RIGHT(tblCost[[#This Row],[RequirementID]],1)</f>
        <v>1</v>
      </c>
      <c r="G792" s="41">
        <v>5</v>
      </c>
      <c r="H792" t="b">
        <f>COUNTIFS(tblCostChecklist[RequirementID],tblCost[[#This Row],[RequirementID]],tblCostChecklist[PlayerPaid],TRUE)&gt;0</f>
        <v>0</v>
      </c>
      <c r="I792" s="41">
        <f>COUNTIF(tblCost[TargetID],tblCost[[#This Row],[TargetID]])</f>
        <v>8</v>
      </c>
      <c r="J792" s="41">
        <f>COUNTIFS(tblCost[TargetID],tblCost[[#This Row],[TargetID]],tblCost[PlayerPaid],TRUE)</f>
        <v>0</v>
      </c>
      <c r="K792" s="41">
        <f>tblCost[[#This Row],[TargetRequirements]]-tblCost[[#This Row],[CompletedRequirements]]</f>
        <v>8</v>
      </c>
      <c r="L792" s="41" t="b">
        <f>tblCost[[#This Row],[RemainingRequirements]]=0</f>
        <v>0</v>
      </c>
      <c r="M792" s="43">
        <f>IF(tblCost[[#This Row],[TargetRequirements]]=0,0,tblCost[[#This Row],[CompletedRequirements]]/tblCost[[#This Row],[TargetRequirements]])</f>
        <v>0</v>
      </c>
    </row>
    <row r="793" spans="1:13">
      <c r="A793" s="41" t="s">
        <v>4441</v>
      </c>
      <c r="B793" s="41" t="str">
        <f>_xlfn.TEXTAFTER(_xlfn.TEXTBEFORE(tblCost[[#This Row],[RequirementID]],".",-2),"cost.")</f>
        <v>tech.field.soybean</v>
      </c>
      <c r="C793" s="41" t="str">
        <f>_xlfn.XLOOKUP(tblCost[[#This Row],[TargetID]],tblTargets[TargetID],tblTargets[DisplayName],"")</f>
        <v>Field - Soybean</v>
      </c>
      <c r="D793" s="41" t="str">
        <f>_xlfn.XLOOKUP(tblCost[[#This Row],[TargetID]],tblTargets[TargetID],tblTargets[TargetType],"")</f>
        <v>TECH</v>
      </c>
      <c r="E793" s="41" t="s">
        <v>716</v>
      </c>
      <c r="F793" s="62" t="str">
        <f>RIGHT(tblCost[[#This Row],[RequirementID]],1)</f>
        <v>1</v>
      </c>
      <c r="G793" s="41">
        <v>200</v>
      </c>
      <c r="H793" t="b">
        <f>COUNTIFS(tblCostChecklist[RequirementID],tblCost[[#This Row],[RequirementID]],tblCostChecklist[PlayerPaid],TRUE)&gt;0</f>
        <v>0</v>
      </c>
      <c r="I793" s="41">
        <f>COUNTIF(tblCost[TargetID],tblCost[[#This Row],[TargetID]])</f>
        <v>8</v>
      </c>
      <c r="J793" s="41">
        <f>COUNTIFS(tblCost[TargetID],tblCost[[#This Row],[TargetID]],tblCost[PlayerPaid],TRUE)</f>
        <v>0</v>
      </c>
      <c r="K793" s="41">
        <f>tblCost[[#This Row],[TargetRequirements]]-tblCost[[#This Row],[CompletedRequirements]]</f>
        <v>8</v>
      </c>
      <c r="L793" s="41" t="b">
        <f>tblCost[[#This Row],[RemainingRequirements]]=0</f>
        <v>0</v>
      </c>
      <c r="M793" s="43">
        <f>IF(tblCost[[#This Row],[TargetRequirements]]=0,0,tblCost[[#This Row],[CompletedRequirements]]/tblCost[[#This Row],[TargetRequirements]])</f>
        <v>0</v>
      </c>
    </row>
    <row r="794" spans="1:13">
      <c r="A794" s="41" t="s">
        <v>4442</v>
      </c>
      <c r="B794" s="41" t="str">
        <f>_xlfn.TEXTAFTER(_xlfn.TEXTBEFORE(tblCost[[#This Row],[RequirementID]],".",-2),"cost.")</f>
        <v>tech.field.soybean</v>
      </c>
      <c r="C794" s="41" t="str">
        <f>_xlfn.XLOOKUP(tblCost[[#This Row],[TargetID]],tblTargets[TargetID],tblTargets[DisplayName],"")</f>
        <v>Field - Soybean</v>
      </c>
      <c r="D794" s="41" t="str">
        <f>_xlfn.XLOOKUP(tblCost[[#This Row],[TargetID]],tblTargets[TargetID],tblTargets[TargetType],"")</f>
        <v>TECH</v>
      </c>
      <c r="E794" s="41" t="s">
        <v>719</v>
      </c>
      <c r="F794" s="62" t="str">
        <f>RIGHT(tblCost[[#This Row],[RequirementID]],1)</f>
        <v>1</v>
      </c>
      <c r="G794" s="41">
        <v>20</v>
      </c>
      <c r="H794" t="b">
        <f>COUNTIFS(tblCostChecklist[RequirementID],tblCost[[#This Row],[RequirementID]],tblCostChecklist[PlayerPaid],TRUE)&gt;0</f>
        <v>0</v>
      </c>
      <c r="I794" s="41">
        <f>COUNTIF(tblCost[TargetID],tblCost[[#This Row],[TargetID]])</f>
        <v>8</v>
      </c>
      <c r="J794" s="41">
        <f>COUNTIFS(tblCost[TargetID],tblCost[[#This Row],[TargetID]],tblCost[PlayerPaid],TRUE)</f>
        <v>0</v>
      </c>
      <c r="K794" s="41">
        <f>tblCost[[#This Row],[TargetRequirements]]-tblCost[[#This Row],[CompletedRequirements]]</f>
        <v>8</v>
      </c>
      <c r="L794" s="41" t="b">
        <f>tblCost[[#This Row],[RemainingRequirements]]=0</f>
        <v>0</v>
      </c>
      <c r="M794" s="43">
        <f>IF(tblCost[[#This Row],[TargetRequirements]]=0,0,tblCost[[#This Row],[CompletedRequirements]]/tblCost[[#This Row],[TargetRequirements]])</f>
        <v>0</v>
      </c>
    </row>
    <row r="795" spans="1:13">
      <c r="A795" s="41" t="s">
        <v>4443</v>
      </c>
      <c r="B795" s="41" t="str">
        <f>_xlfn.TEXTAFTER(_xlfn.TEXTBEFORE(tblCost[[#This Row],[RequirementID]],".",-2),"cost.")</f>
        <v>tech.field.soybean</v>
      </c>
      <c r="C795" s="41" t="str">
        <f>_xlfn.XLOOKUP(tblCost[[#This Row],[TargetID]],tblTargets[TargetID],tblTargets[DisplayName],"")</f>
        <v>Field - Soybean</v>
      </c>
      <c r="D795" s="41" t="str">
        <f>_xlfn.XLOOKUP(tblCost[[#This Row],[TargetID]],tblTargets[TargetID],tblTargets[TargetType],"")</f>
        <v>TECH</v>
      </c>
      <c r="E795" s="41" t="s">
        <v>723</v>
      </c>
      <c r="F795" s="62" t="str">
        <f>RIGHT(tblCost[[#This Row],[RequirementID]],1)</f>
        <v>1</v>
      </c>
      <c r="G795" s="41">
        <v>500</v>
      </c>
      <c r="H795" t="b">
        <f>COUNTIFS(tblCostChecklist[RequirementID],tblCost[[#This Row],[RequirementID]],tblCostChecklist[PlayerPaid],TRUE)&gt;0</f>
        <v>0</v>
      </c>
      <c r="I795" s="41">
        <f>COUNTIF(tblCost[TargetID],tblCost[[#This Row],[TargetID]])</f>
        <v>8</v>
      </c>
      <c r="J795" s="41">
        <f>COUNTIFS(tblCost[TargetID],tblCost[[#This Row],[TargetID]],tblCost[PlayerPaid],TRUE)</f>
        <v>0</v>
      </c>
      <c r="K795" s="41">
        <f>tblCost[[#This Row],[TargetRequirements]]-tblCost[[#This Row],[CompletedRequirements]]</f>
        <v>8</v>
      </c>
      <c r="L795" s="41" t="b">
        <f>tblCost[[#This Row],[RemainingRequirements]]=0</f>
        <v>0</v>
      </c>
      <c r="M795" s="43">
        <f>IF(tblCost[[#This Row],[TargetRequirements]]=0,0,tblCost[[#This Row],[CompletedRequirements]]/tblCost[[#This Row],[TargetRequirements]])</f>
        <v>0</v>
      </c>
    </row>
    <row r="796" spans="1:13">
      <c r="A796" s="41" t="s">
        <v>4444</v>
      </c>
      <c r="B796" s="41" t="str">
        <f>_xlfn.TEXTAFTER(_xlfn.TEXTBEFORE(tblCost[[#This Row],[RequirementID]],".",-2),"cost.")</f>
        <v>tech.food_stall.quintessence_of_taste</v>
      </c>
      <c r="C796" s="41" t="str">
        <f>_xlfn.XLOOKUP(tblCost[[#This Row],[TargetID]],tblTargets[TargetID],tblTargets[DisplayName],"")</f>
        <v>Food Stall - Quintessence Of Taste</v>
      </c>
      <c r="D796" s="41" t="str">
        <f>_xlfn.XLOOKUP(tblCost[[#This Row],[TargetID]],tblTargets[TargetID],tblTargets[TargetType],"")</f>
        <v>TECH</v>
      </c>
      <c r="E796" s="41" t="s">
        <v>659</v>
      </c>
      <c r="F796" s="62" t="str">
        <f>RIGHT(tblCost[[#This Row],[RequirementID]],1)</f>
        <v>1</v>
      </c>
      <c r="G796" s="41">
        <v>10</v>
      </c>
      <c r="H796" t="b">
        <f>COUNTIFS(tblCostChecklist[RequirementID],tblCost[[#This Row],[RequirementID]],tblCostChecklist[PlayerPaid],TRUE)&gt;0</f>
        <v>0</v>
      </c>
      <c r="I796" s="41">
        <f>COUNTIF(tblCost[TargetID],tblCost[[#This Row],[TargetID]])</f>
        <v>6</v>
      </c>
      <c r="J796" s="41">
        <f>COUNTIFS(tblCost[TargetID],tblCost[[#This Row],[TargetID]],tblCost[PlayerPaid],TRUE)</f>
        <v>0</v>
      </c>
      <c r="K796" s="41">
        <f>tblCost[[#This Row],[TargetRequirements]]-tblCost[[#This Row],[CompletedRequirements]]</f>
        <v>6</v>
      </c>
      <c r="L796" s="41" t="b">
        <f>tblCost[[#This Row],[RemainingRequirements]]=0</f>
        <v>0</v>
      </c>
      <c r="M796" s="43">
        <f>IF(tblCost[[#This Row],[TargetRequirements]]=0,0,tblCost[[#This Row],[CompletedRequirements]]/tblCost[[#This Row],[TargetRequirements]])</f>
        <v>0</v>
      </c>
    </row>
    <row r="797" spans="1:13">
      <c r="A797" s="41" t="s">
        <v>4445</v>
      </c>
      <c r="B797" s="41" t="str">
        <f>_xlfn.TEXTAFTER(_xlfn.TEXTBEFORE(tblCost[[#This Row],[RequirementID]],".",-2),"cost.")</f>
        <v>tech.food_stall.quintessence_of_taste</v>
      </c>
      <c r="C797" s="41" t="str">
        <f>_xlfn.XLOOKUP(tblCost[[#This Row],[TargetID]],tblTargets[TargetID],tblTargets[DisplayName],"")</f>
        <v>Food Stall - Quintessence Of Taste</v>
      </c>
      <c r="D797" s="41" t="str">
        <f>_xlfn.XLOOKUP(tblCost[[#This Row],[TargetID]],tblTargets[TargetID],tblTargets[TargetType],"")</f>
        <v>TECH</v>
      </c>
      <c r="E797" s="41" t="s">
        <v>662</v>
      </c>
      <c r="F797" s="62" t="str">
        <f>RIGHT(tblCost[[#This Row],[RequirementID]],1)</f>
        <v>1</v>
      </c>
      <c r="G797" s="41">
        <v>10</v>
      </c>
      <c r="H797" t="b">
        <f>COUNTIFS(tblCostChecklist[RequirementID],tblCost[[#This Row],[RequirementID]],tblCostChecklist[PlayerPaid],TRUE)&gt;0</f>
        <v>0</v>
      </c>
      <c r="I797" s="41">
        <f>COUNTIF(tblCost[TargetID],tblCost[[#This Row],[TargetID]])</f>
        <v>6</v>
      </c>
      <c r="J797" s="41">
        <f>COUNTIFS(tblCost[TargetID],tblCost[[#This Row],[TargetID]],tblCost[PlayerPaid],TRUE)</f>
        <v>0</v>
      </c>
      <c r="K797" s="41">
        <f>tblCost[[#This Row],[TargetRequirements]]-tblCost[[#This Row],[CompletedRequirements]]</f>
        <v>6</v>
      </c>
      <c r="L797" s="41" t="b">
        <f>tblCost[[#This Row],[RemainingRequirements]]=0</f>
        <v>0</v>
      </c>
      <c r="M797" s="43">
        <f>IF(tblCost[[#This Row],[TargetRequirements]]=0,0,tblCost[[#This Row],[CompletedRequirements]]/tblCost[[#This Row],[TargetRequirements]])</f>
        <v>0</v>
      </c>
    </row>
    <row r="798" spans="1:13">
      <c r="A798" s="41" t="s">
        <v>4446</v>
      </c>
      <c r="B798" s="41" t="str">
        <f>_xlfn.TEXTAFTER(_xlfn.TEXTBEFORE(tblCost[[#This Row],[RequirementID]],".",-2),"cost.")</f>
        <v>tech.food_stall.quintessence_of_taste</v>
      </c>
      <c r="C798" s="41" t="str">
        <f>_xlfn.XLOOKUP(tblCost[[#This Row],[TargetID]],tblTargets[TargetID],tblTargets[DisplayName],"")</f>
        <v>Food Stall - Quintessence Of Taste</v>
      </c>
      <c r="D798" s="41" t="str">
        <f>_xlfn.XLOOKUP(tblCost[[#This Row],[TargetID]],tblTargets[TargetID],tblTargets[TargetType],"")</f>
        <v>TECH</v>
      </c>
      <c r="E798" s="41" t="s">
        <v>666</v>
      </c>
      <c r="F798" s="62" t="str">
        <f>RIGHT(tblCost[[#This Row],[RequirementID]],1)</f>
        <v>1</v>
      </c>
      <c r="G798" s="41">
        <v>300</v>
      </c>
      <c r="H798" t="b">
        <f>COUNTIFS(tblCostChecklist[RequirementID],tblCost[[#This Row],[RequirementID]],tblCostChecklist[PlayerPaid],TRUE)&gt;0</f>
        <v>0</v>
      </c>
      <c r="I798" s="41">
        <f>COUNTIF(tblCost[TargetID],tblCost[[#This Row],[TargetID]])</f>
        <v>6</v>
      </c>
      <c r="J798" s="41">
        <f>COUNTIFS(tblCost[TargetID],tblCost[[#This Row],[TargetID]],tblCost[PlayerPaid],TRUE)</f>
        <v>0</v>
      </c>
      <c r="K798" s="41">
        <f>tblCost[[#This Row],[TargetRequirements]]-tblCost[[#This Row],[CompletedRequirements]]</f>
        <v>6</v>
      </c>
      <c r="L798" s="41" t="b">
        <f>tblCost[[#This Row],[RemainingRequirements]]=0</f>
        <v>0</v>
      </c>
      <c r="M798" s="43">
        <f>IF(tblCost[[#This Row],[TargetRequirements]]=0,0,tblCost[[#This Row],[CompletedRequirements]]/tblCost[[#This Row],[TargetRequirements]])</f>
        <v>0</v>
      </c>
    </row>
    <row r="799" spans="1:13">
      <c r="A799" s="41" t="s">
        <v>4447</v>
      </c>
      <c r="B799" s="41" t="str">
        <f>_xlfn.TEXTAFTER(_xlfn.TEXTBEFORE(tblCost[[#This Row],[RequirementID]],".",-2),"cost.")</f>
        <v>tech.food_stall.quintessence_of_taste</v>
      </c>
      <c r="C799" s="41" t="str">
        <f>_xlfn.XLOOKUP(tblCost[[#This Row],[TargetID]],tblTargets[TargetID],tblTargets[DisplayName],"")</f>
        <v>Food Stall - Quintessence Of Taste</v>
      </c>
      <c r="D799" s="41" t="str">
        <f>_xlfn.XLOOKUP(tblCost[[#This Row],[TargetID]],tblTargets[TargetID],tblTargets[TargetType],"")</f>
        <v>TECH</v>
      </c>
      <c r="E799" s="41" t="s">
        <v>938</v>
      </c>
      <c r="F799" s="62" t="str">
        <f>RIGHT(tblCost[[#This Row],[RequirementID]],1)</f>
        <v>1</v>
      </c>
      <c r="G799" s="41">
        <v>10</v>
      </c>
      <c r="H799" t="b">
        <f>COUNTIFS(tblCostChecklist[RequirementID],tblCost[[#This Row],[RequirementID]],tblCostChecklist[PlayerPaid],TRUE)&gt;0</f>
        <v>0</v>
      </c>
      <c r="I799" s="41">
        <f>COUNTIF(tblCost[TargetID],tblCost[[#This Row],[TargetID]])</f>
        <v>6</v>
      </c>
      <c r="J799" s="41">
        <f>COUNTIFS(tblCost[TargetID],tblCost[[#This Row],[TargetID]],tblCost[PlayerPaid],TRUE)</f>
        <v>0</v>
      </c>
      <c r="K799" s="41">
        <f>tblCost[[#This Row],[TargetRequirements]]-tblCost[[#This Row],[CompletedRequirements]]</f>
        <v>6</v>
      </c>
      <c r="L799" s="41" t="b">
        <f>tblCost[[#This Row],[RemainingRequirements]]=0</f>
        <v>0</v>
      </c>
      <c r="M799" s="43">
        <f>IF(tblCost[[#This Row],[TargetRequirements]]=0,0,tblCost[[#This Row],[CompletedRequirements]]/tblCost[[#This Row],[TargetRequirements]])</f>
        <v>0</v>
      </c>
    </row>
    <row r="800" spans="1:13">
      <c r="A800" s="41" t="s">
        <v>4448</v>
      </c>
      <c r="B800" s="41" t="str">
        <f>_xlfn.TEXTAFTER(_xlfn.TEXTBEFORE(tblCost[[#This Row],[RequirementID]],".",-2),"cost.")</f>
        <v>tech.food_stall.quintessence_of_taste</v>
      </c>
      <c r="C800" s="41" t="str">
        <f>_xlfn.XLOOKUP(tblCost[[#This Row],[TargetID]],tblTargets[TargetID],tblTargets[DisplayName],"")</f>
        <v>Food Stall - Quintessence Of Taste</v>
      </c>
      <c r="D800" s="41" t="str">
        <f>_xlfn.XLOOKUP(tblCost[[#This Row],[TargetID]],tblTargets[TargetID],tblTargets[TargetType],"")</f>
        <v>TECH</v>
      </c>
      <c r="E800" s="41" t="s">
        <v>708</v>
      </c>
      <c r="F800" s="62" t="str">
        <f>RIGHT(tblCost[[#This Row],[RequirementID]],1)</f>
        <v>1</v>
      </c>
      <c r="G800" s="41">
        <v>1</v>
      </c>
      <c r="H800" t="b">
        <f>COUNTIFS(tblCostChecklist[RequirementID],tblCost[[#This Row],[RequirementID]],tblCostChecklist[PlayerPaid],TRUE)&gt;0</f>
        <v>0</v>
      </c>
      <c r="I800" s="41">
        <f>COUNTIF(tblCost[TargetID],tblCost[[#This Row],[TargetID]])</f>
        <v>6</v>
      </c>
      <c r="J800" s="41">
        <f>COUNTIFS(tblCost[TargetID],tblCost[[#This Row],[TargetID]],tblCost[PlayerPaid],TRUE)</f>
        <v>0</v>
      </c>
      <c r="K800" s="41">
        <f>tblCost[[#This Row],[TargetRequirements]]-tblCost[[#This Row],[CompletedRequirements]]</f>
        <v>6</v>
      </c>
      <c r="L800" s="41" t="b">
        <f>tblCost[[#This Row],[RemainingRequirements]]=0</f>
        <v>0</v>
      </c>
      <c r="M800" s="43">
        <f>IF(tblCost[[#This Row],[TargetRequirements]]=0,0,tblCost[[#This Row],[CompletedRequirements]]/tblCost[[#This Row],[TargetRequirements]])</f>
        <v>0</v>
      </c>
    </row>
    <row r="801" spans="1:13">
      <c r="A801" s="41" t="s">
        <v>4449</v>
      </c>
      <c r="B801" s="41" t="str">
        <f>_xlfn.TEXTAFTER(_xlfn.TEXTBEFORE(tblCost[[#This Row],[RequirementID]],".",-2),"cost.")</f>
        <v>tech.food_stall.quintessence_of_taste</v>
      </c>
      <c r="C801" s="41" t="str">
        <f>_xlfn.XLOOKUP(tblCost[[#This Row],[TargetID]],tblTargets[TargetID],tblTargets[DisplayName],"")</f>
        <v>Food Stall - Quintessence Of Taste</v>
      </c>
      <c r="D801" s="41" t="str">
        <f>_xlfn.XLOOKUP(tblCost[[#This Row],[TargetID]],tblTargets[TargetID],tblTargets[TargetType],"")</f>
        <v>TECH</v>
      </c>
      <c r="E801" s="41" t="s">
        <v>715</v>
      </c>
      <c r="F801" s="62" t="str">
        <f>RIGHT(tblCost[[#This Row],[RequirementID]],1)</f>
        <v>1</v>
      </c>
      <c r="G801" s="41">
        <v>1</v>
      </c>
      <c r="H801" t="b">
        <f>COUNTIFS(tblCostChecklist[RequirementID],tblCost[[#This Row],[RequirementID]],tblCostChecklist[PlayerPaid],TRUE)&gt;0</f>
        <v>0</v>
      </c>
      <c r="I801" s="41">
        <f>COUNTIF(tblCost[TargetID],tblCost[[#This Row],[TargetID]])</f>
        <v>6</v>
      </c>
      <c r="J801" s="41">
        <f>COUNTIFS(tblCost[TargetID],tblCost[[#This Row],[TargetID]],tblCost[PlayerPaid],TRUE)</f>
        <v>0</v>
      </c>
      <c r="K801" s="41">
        <f>tblCost[[#This Row],[TargetRequirements]]-tblCost[[#This Row],[CompletedRequirements]]</f>
        <v>6</v>
      </c>
      <c r="L801" s="41" t="b">
        <f>tblCost[[#This Row],[RemainingRequirements]]=0</f>
        <v>0</v>
      </c>
      <c r="M801" s="43">
        <f>IF(tblCost[[#This Row],[TargetRequirements]]=0,0,tblCost[[#This Row],[CompletedRequirements]]/tblCost[[#This Row],[TargetRequirements]])</f>
        <v>0</v>
      </c>
    </row>
    <row r="802" spans="1:13">
      <c r="A802" s="41" t="s">
        <v>4450</v>
      </c>
      <c r="B802" s="41" t="str">
        <f>_xlfn.TEXTAFTER(_xlfn.TEXTBEFORE(tblCost[[#This Row],[RequirementID]],".",-2),"cost.")</f>
        <v>tech.food_stall.jam</v>
      </c>
      <c r="C802" s="41" t="str">
        <f>_xlfn.XLOOKUP(tblCost[[#This Row],[TargetID]],tblTargets[TargetID],tblTargets[DisplayName],"")</f>
        <v>Food Stall - Jam</v>
      </c>
      <c r="D802" s="41" t="str">
        <f>_xlfn.XLOOKUP(tblCost[[#This Row],[TargetID]],tblTargets[TargetID],tblTargets[TargetType],"")</f>
        <v>TECH</v>
      </c>
      <c r="E802" s="41" t="s">
        <v>666</v>
      </c>
      <c r="F802" s="62" t="str">
        <f>RIGHT(tblCost[[#This Row],[RequirementID]],1)</f>
        <v>1</v>
      </c>
      <c r="G802" s="41">
        <v>400</v>
      </c>
      <c r="H802" t="b">
        <f>COUNTIFS(tblCostChecklist[RequirementID],tblCost[[#This Row],[RequirementID]],tblCostChecklist[PlayerPaid],TRUE)&gt;0</f>
        <v>0</v>
      </c>
      <c r="I802" s="41">
        <f>COUNTIF(tblCost[TargetID],tblCost[[#This Row],[TargetID]])</f>
        <v>5</v>
      </c>
      <c r="J802" s="41">
        <f>COUNTIFS(tblCost[TargetID],tblCost[[#This Row],[TargetID]],tblCost[PlayerPaid],TRUE)</f>
        <v>0</v>
      </c>
      <c r="K802" s="41">
        <f>tblCost[[#This Row],[TargetRequirements]]-tblCost[[#This Row],[CompletedRequirements]]</f>
        <v>5</v>
      </c>
      <c r="L802" s="41" t="b">
        <f>tblCost[[#This Row],[RemainingRequirements]]=0</f>
        <v>0</v>
      </c>
      <c r="M802" s="43">
        <f>IF(tblCost[[#This Row],[TargetRequirements]]=0,0,tblCost[[#This Row],[CompletedRequirements]]/tblCost[[#This Row],[TargetRequirements]])</f>
        <v>0</v>
      </c>
    </row>
    <row r="803" spans="1:13">
      <c r="A803" s="41" t="s">
        <v>4451</v>
      </c>
      <c r="B803" s="41" t="str">
        <f>_xlfn.TEXTAFTER(_xlfn.TEXTBEFORE(tblCost[[#This Row],[RequirementID]],".",-2),"cost.")</f>
        <v>tech.food_stall.jam</v>
      </c>
      <c r="C803" s="41" t="str">
        <f>_xlfn.XLOOKUP(tblCost[[#This Row],[TargetID]],tblTargets[TargetID],tblTargets[DisplayName],"")</f>
        <v>Food Stall - Jam</v>
      </c>
      <c r="D803" s="41" t="str">
        <f>_xlfn.XLOOKUP(tblCost[[#This Row],[TargetID]],tblTargets[TargetID],tblTargets[TargetType],"")</f>
        <v>TECH</v>
      </c>
      <c r="E803" s="41" t="s">
        <v>674</v>
      </c>
      <c r="F803" s="62" t="str">
        <f>RIGHT(tblCost[[#This Row],[RequirementID]],1)</f>
        <v>1</v>
      </c>
      <c r="G803" s="41">
        <v>5</v>
      </c>
      <c r="H803" t="b">
        <f>COUNTIFS(tblCostChecklist[RequirementID],tblCost[[#This Row],[RequirementID]],tblCostChecklist[PlayerPaid],TRUE)&gt;0</f>
        <v>0</v>
      </c>
      <c r="I803" s="41">
        <f>COUNTIF(tblCost[TargetID],tblCost[[#This Row],[TargetID]])</f>
        <v>5</v>
      </c>
      <c r="J803" s="41">
        <f>COUNTIFS(tblCost[TargetID],tblCost[[#This Row],[TargetID]],tblCost[PlayerPaid],TRUE)</f>
        <v>0</v>
      </c>
      <c r="K803" s="41">
        <f>tblCost[[#This Row],[TargetRequirements]]-tblCost[[#This Row],[CompletedRequirements]]</f>
        <v>5</v>
      </c>
      <c r="L803" s="41" t="b">
        <f>tblCost[[#This Row],[RemainingRequirements]]=0</f>
        <v>0</v>
      </c>
      <c r="M803" s="43">
        <f>IF(tblCost[[#This Row],[TargetRequirements]]=0,0,tblCost[[#This Row],[CompletedRequirements]]/tblCost[[#This Row],[TargetRequirements]])</f>
        <v>0</v>
      </c>
    </row>
    <row r="804" spans="1:13">
      <c r="A804" s="41" t="s">
        <v>4452</v>
      </c>
      <c r="B804" s="41" t="str">
        <f>_xlfn.TEXTAFTER(_xlfn.TEXTBEFORE(tblCost[[#This Row],[RequirementID]],".",-2),"cost.")</f>
        <v>tech.food_stall.jam</v>
      </c>
      <c r="C804" s="41" t="str">
        <f>_xlfn.XLOOKUP(tblCost[[#This Row],[TargetID]],tblTargets[TargetID],tblTargets[DisplayName],"")</f>
        <v>Food Stall - Jam</v>
      </c>
      <c r="D804" s="41" t="str">
        <f>_xlfn.XLOOKUP(tblCost[[#This Row],[TargetID]],tblTargets[TargetID],tblTargets[TargetType],"")</f>
        <v>TECH</v>
      </c>
      <c r="E804" s="41" t="s">
        <v>677</v>
      </c>
      <c r="F804" s="62" t="str">
        <f>RIGHT(tblCost[[#This Row],[RequirementID]],1)</f>
        <v>1</v>
      </c>
      <c r="G804" s="41">
        <v>10</v>
      </c>
      <c r="H804" t="b">
        <f>COUNTIFS(tblCostChecklist[RequirementID],tblCost[[#This Row],[RequirementID]],tblCostChecklist[PlayerPaid],TRUE)&gt;0</f>
        <v>0</v>
      </c>
      <c r="I804" s="41">
        <f>COUNTIF(tblCost[TargetID],tblCost[[#This Row],[TargetID]])</f>
        <v>5</v>
      </c>
      <c r="J804" s="41">
        <f>COUNTIFS(tblCost[TargetID],tblCost[[#This Row],[TargetID]],tblCost[PlayerPaid],TRUE)</f>
        <v>0</v>
      </c>
      <c r="K804" s="41">
        <f>tblCost[[#This Row],[TargetRequirements]]-tblCost[[#This Row],[CompletedRequirements]]</f>
        <v>5</v>
      </c>
      <c r="L804" s="41" t="b">
        <f>tblCost[[#This Row],[RemainingRequirements]]=0</f>
        <v>0</v>
      </c>
      <c r="M804" s="43">
        <f>IF(tblCost[[#This Row],[TargetRequirements]]=0,0,tblCost[[#This Row],[CompletedRequirements]]/tblCost[[#This Row],[TargetRequirements]])</f>
        <v>0</v>
      </c>
    </row>
    <row r="805" spans="1:13">
      <c r="A805" s="41" t="s">
        <v>4453</v>
      </c>
      <c r="B805" s="41" t="str">
        <f>_xlfn.TEXTAFTER(_xlfn.TEXTBEFORE(tblCost[[#This Row],[RequirementID]],".",-2),"cost.")</f>
        <v>tech.food_stall.jam</v>
      </c>
      <c r="C805" s="41" t="str">
        <f>_xlfn.XLOOKUP(tblCost[[#This Row],[TargetID]],tblTargets[TargetID],tblTargets[DisplayName],"")</f>
        <v>Food Stall - Jam</v>
      </c>
      <c r="D805" s="41" t="str">
        <f>_xlfn.XLOOKUP(tblCost[[#This Row],[TargetID]],tblTargets[TargetID],tblTargets[TargetType],"")</f>
        <v>TECH</v>
      </c>
      <c r="E805" s="41" t="s">
        <v>708</v>
      </c>
      <c r="F805" s="62" t="str">
        <f>RIGHT(tblCost[[#This Row],[RequirementID]],1)</f>
        <v>1</v>
      </c>
      <c r="G805" s="41">
        <v>2</v>
      </c>
      <c r="H805" t="b">
        <f>COUNTIFS(tblCostChecklist[RequirementID],tblCost[[#This Row],[RequirementID]],tblCostChecklist[PlayerPaid],TRUE)&gt;0</f>
        <v>0</v>
      </c>
      <c r="I805" s="41">
        <f>COUNTIF(tblCost[TargetID],tblCost[[#This Row],[TargetID]])</f>
        <v>5</v>
      </c>
      <c r="J805" s="41">
        <f>COUNTIFS(tblCost[TargetID],tblCost[[#This Row],[TargetID]],tblCost[PlayerPaid],TRUE)</f>
        <v>0</v>
      </c>
      <c r="K805" s="41">
        <f>tblCost[[#This Row],[TargetRequirements]]-tblCost[[#This Row],[CompletedRequirements]]</f>
        <v>5</v>
      </c>
      <c r="L805" s="41" t="b">
        <f>tblCost[[#This Row],[RemainingRequirements]]=0</f>
        <v>0</v>
      </c>
      <c r="M805" s="43">
        <f>IF(tblCost[[#This Row],[TargetRequirements]]=0,0,tblCost[[#This Row],[CompletedRequirements]]/tblCost[[#This Row],[TargetRequirements]])</f>
        <v>0</v>
      </c>
    </row>
    <row r="806" spans="1:13">
      <c r="A806" s="41" t="s">
        <v>4454</v>
      </c>
      <c r="B806" s="41" t="str">
        <f>_xlfn.TEXTAFTER(_xlfn.TEXTBEFORE(tblCost[[#This Row],[RequirementID]],".",-2),"cost.")</f>
        <v>tech.food_stall.jam</v>
      </c>
      <c r="C806" s="41" t="str">
        <f>_xlfn.XLOOKUP(tblCost[[#This Row],[TargetID]],tblTargets[TargetID],tblTargets[DisplayName],"")</f>
        <v>Food Stall - Jam</v>
      </c>
      <c r="D806" s="41" t="str">
        <f>_xlfn.XLOOKUP(tblCost[[#This Row],[TargetID]],tblTargets[TargetID],tblTargets[TargetType],"")</f>
        <v>TECH</v>
      </c>
      <c r="E806" s="41" t="s">
        <v>951</v>
      </c>
      <c r="F806" s="62" t="str">
        <f>RIGHT(tblCost[[#This Row],[RequirementID]],1)</f>
        <v>1</v>
      </c>
      <c r="G806" s="41">
        <v>20</v>
      </c>
      <c r="H806" t="b">
        <f>COUNTIFS(tblCostChecklist[RequirementID],tblCost[[#This Row],[RequirementID]],tblCostChecklist[PlayerPaid],TRUE)&gt;0</f>
        <v>0</v>
      </c>
      <c r="I806" s="41">
        <f>COUNTIF(tblCost[TargetID],tblCost[[#This Row],[TargetID]])</f>
        <v>5</v>
      </c>
      <c r="J806" s="41">
        <f>COUNTIFS(tblCost[TargetID],tblCost[[#This Row],[TargetID]],tblCost[PlayerPaid],TRUE)</f>
        <v>0</v>
      </c>
      <c r="K806" s="41">
        <f>tblCost[[#This Row],[TargetRequirements]]-tblCost[[#This Row],[CompletedRequirements]]</f>
        <v>5</v>
      </c>
      <c r="L806" s="41" t="b">
        <f>tblCost[[#This Row],[RemainingRequirements]]=0</f>
        <v>0</v>
      </c>
      <c r="M806" s="43">
        <f>IF(tblCost[[#This Row],[TargetRequirements]]=0,0,tblCost[[#This Row],[CompletedRequirements]]/tblCost[[#This Row],[TargetRequirements]])</f>
        <v>0</v>
      </c>
    </row>
    <row r="807" spans="1:13">
      <c r="A807" s="41" t="s">
        <v>4455</v>
      </c>
      <c r="B807" s="41" t="str">
        <f>_xlfn.TEXTAFTER(_xlfn.TEXTBEFORE(tblCost[[#This Row],[RequirementID]],".",-2),"cost.")</f>
        <v>tech.food_stall.mayonnaise</v>
      </c>
      <c r="C807" s="41" t="str">
        <f>_xlfn.XLOOKUP(tblCost[[#This Row],[TargetID]],tblTargets[TargetID],tblTargets[DisplayName],"")</f>
        <v>Food Stall - Mayonnaise</v>
      </c>
      <c r="D807" s="41" t="str">
        <f>_xlfn.XLOOKUP(tblCost[[#This Row],[TargetID]],tblTargets[TargetID],tblTargets[TargetType],"")</f>
        <v>TECH</v>
      </c>
      <c r="E807" s="41" t="s">
        <v>662</v>
      </c>
      <c r="F807" s="62" t="str">
        <f>RIGHT(tblCost[[#This Row],[RequirementID]],1)</f>
        <v>1</v>
      </c>
      <c r="G807" s="41">
        <v>15</v>
      </c>
      <c r="H807" t="b">
        <f>COUNTIFS(tblCostChecklist[RequirementID],tblCost[[#This Row],[RequirementID]],tblCostChecklist[PlayerPaid],TRUE)&gt;0</f>
        <v>0</v>
      </c>
      <c r="I807" s="41">
        <f>COUNTIF(tblCost[TargetID],tblCost[[#This Row],[TargetID]])</f>
        <v>6</v>
      </c>
      <c r="J807" s="41">
        <f>COUNTIFS(tblCost[TargetID],tblCost[[#This Row],[TargetID]],tblCost[PlayerPaid],TRUE)</f>
        <v>0</v>
      </c>
      <c r="K807" s="41">
        <f>tblCost[[#This Row],[TargetRequirements]]-tblCost[[#This Row],[CompletedRequirements]]</f>
        <v>6</v>
      </c>
      <c r="L807" s="41" t="b">
        <f>tblCost[[#This Row],[RemainingRequirements]]=0</f>
        <v>0</v>
      </c>
      <c r="M807" s="43">
        <f>IF(tblCost[[#This Row],[TargetRequirements]]=0,0,tblCost[[#This Row],[CompletedRequirements]]/tblCost[[#This Row],[TargetRequirements]])</f>
        <v>0</v>
      </c>
    </row>
    <row r="808" spans="1:13">
      <c r="A808" s="41" t="s">
        <v>4456</v>
      </c>
      <c r="B808" s="41" t="str">
        <f>_xlfn.TEXTAFTER(_xlfn.TEXTBEFORE(tblCost[[#This Row],[RequirementID]],".",-2),"cost.")</f>
        <v>tech.food_stall.mayonnaise</v>
      </c>
      <c r="C808" s="41" t="str">
        <f>_xlfn.XLOOKUP(tblCost[[#This Row],[TargetID]],tblTargets[TargetID],tblTargets[DisplayName],"")</f>
        <v>Food Stall - Mayonnaise</v>
      </c>
      <c r="D808" s="41" t="str">
        <f>_xlfn.XLOOKUP(tblCost[[#This Row],[TargetID]],tblTargets[TargetID],tblTargets[TargetType],"")</f>
        <v>TECH</v>
      </c>
      <c r="E808" s="41" t="s">
        <v>666</v>
      </c>
      <c r="F808" s="62" t="str">
        <f>RIGHT(tblCost[[#This Row],[RequirementID]],1)</f>
        <v>1</v>
      </c>
      <c r="G808" s="41">
        <v>400</v>
      </c>
      <c r="H808" t="b">
        <f>COUNTIFS(tblCostChecklist[RequirementID],tblCost[[#This Row],[RequirementID]],tblCostChecklist[PlayerPaid],TRUE)&gt;0</f>
        <v>0</v>
      </c>
      <c r="I808" s="41">
        <f>COUNTIF(tblCost[TargetID],tblCost[[#This Row],[TargetID]])</f>
        <v>6</v>
      </c>
      <c r="J808" s="41">
        <f>COUNTIFS(tblCost[TargetID],tblCost[[#This Row],[TargetID]],tblCost[PlayerPaid],TRUE)</f>
        <v>0</v>
      </c>
      <c r="K808" s="41">
        <f>tblCost[[#This Row],[TargetRequirements]]-tblCost[[#This Row],[CompletedRequirements]]</f>
        <v>6</v>
      </c>
      <c r="L808" s="41" t="b">
        <f>tblCost[[#This Row],[RemainingRequirements]]=0</f>
        <v>0</v>
      </c>
      <c r="M808" s="43">
        <f>IF(tblCost[[#This Row],[TargetRequirements]]=0,0,tblCost[[#This Row],[CompletedRequirements]]/tblCost[[#This Row],[TargetRequirements]])</f>
        <v>0</v>
      </c>
    </row>
    <row r="809" spans="1:13">
      <c r="A809" s="41" t="s">
        <v>4457</v>
      </c>
      <c r="B809" s="41" t="str">
        <f>_xlfn.TEXTAFTER(_xlfn.TEXTBEFORE(tblCost[[#This Row],[RequirementID]],".",-2),"cost.")</f>
        <v>tech.food_stall.mayonnaise</v>
      </c>
      <c r="C809" s="41" t="str">
        <f>_xlfn.XLOOKUP(tblCost[[#This Row],[TargetID]],tblTargets[TargetID],tblTargets[DisplayName],"")</f>
        <v>Food Stall - Mayonnaise</v>
      </c>
      <c r="D809" s="41" t="str">
        <f>_xlfn.XLOOKUP(tblCost[[#This Row],[TargetID]],tblTargets[TargetID],tblTargets[TargetType],"")</f>
        <v>TECH</v>
      </c>
      <c r="E809" s="41" t="s">
        <v>669</v>
      </c>
      <c r="F809" s="62" t="str">
        <f>RIGHT(tblCost[[#This Row],[RequirementID]],1)</f>
        <v>1</v>
      </c>
      <c r="G809" s="41">
        <v>25</v>
      </c>
      <c r="H809" t="b">
        <f>COUNTIFS(tblCostChecklist[RequirementID],tblCost[[#This Row],[RequirementID]],tblCostChecklist[PlayerPaid],TRUE)&gt;0</f>
        <v>0</v>
      </c>
      <c r="I809" s="41">
        <f>COUNTIF(tblCost[TargetID],tblCost[[#This Row],[TargetID]])</f>
        <v>6</v>
      </c>
      <c r="J809" s="41">
        <f>COUNTIFS(tblCost[TargetID],tblCost[[#This Row],[TargetID]],tblCost[PlayerPaid],TRUE)</f>
        <v>0</v>
      </c>
      <c r="K809" s="41">
        <f>tblCost[[#This Row],[TargetRequirements]]-tblCost[[#This Row],[CompletedRequirements]]</f>
        <v>6</v>
      </c>
      <c r="L809" s="41" t="b">
        <f>tblCost[[#This Row],[RemainingRequirements]]=0</f>
        <v>0</v>
      </c>
      <c r="M809" s="43">
        <f>IF(tblCost[[#This Row],[TargetRequirements]]=0,0,tblCost[[#This Row],[CompletedRequirements]]/tblCost[[#This Row],[TargetRequirements]])</f>
        <v>0</v>
      </c>
    </row>
    <row r="810" spans="1:13">
      <c r="A810" s="41" t="s">
        <v>4458</v>
      </c>
      <c r="B810" s="41" t="str">
        <f>_xlfn.TEXTAFTER(_xlfn.TEXTBEFORE(tblCost[[#This Row],[RequirementID]],".",-2),"cost.")</f>
        <v>tech.food_stall.mayonnaise</v>
      </c>
      <c r="C810" s="41" t="str">
        <f>_xlfn.XLOOKUP(tblCost[[#This Row],[TargetID]],tblTargets[TargetID],tblTargets[DisplayName],"")</f>
        <v>Food Stall - Mayonnaise</v>
      </c>
      <c r="D810" s="41" t="str">
        <f>_xlfn.XLOOKUP(tblCost[[#This Row],[TargetID]],tblTargets[TargetID],tblTargets[TargetType],"")</f>
        <v>TECH</v>
      </c>
      <c r="E810" s="41" t="s">
        <v>674</v>
      </c>
      <c r="F810" s="62" t="str">
        <f>RIGHT(tblCost[[#This Row],[RequirementID]],1)</f>
        <v>1</v>
      </c>
      <c r="G810" s="41">
        <v>1</v>
      </c>
      <c r="H810" t="b">
        <f>COUNTIFS(tblCostChecklist[RequirementID],tblCost[[#This Row],[RequirementID]],tblCostChecklist[PlayerPaid],TRUE)&gt;0</f>
        <v>0</v>
      </c>
      <c r="I810" s="41">
        <f>COUNTIF(tblCost[TargetID],tblCost[[#This Row],[TargetID]])</f>
        <v>6</v>
      </c>
      <c r="J810" s="41">
        <f>COUNTIFS(tblCost[TargetID],tblCost[[#This Row],[TargetID]],tblCost[PlayerPaid],TRUE)</f>
        <v>0</v>
      </c>
      <c r="K810" s="41">
        <f>tblCost[[#This Row],[TargetRequirements]]-tblCost[[#This Row],[CompletedRequirements]]</f>
        <v>6</v>
      </c>
      <c r="L810" s="41" t="b">
        <f>tblCost[[#This Row],[RemainingRequirements]]=0</f>
        <v>0</v>
      </c>
      <c r="M810" s="43">
        <f>IF(tblCost[[#This Row],[TargetRequirements]]=0,0,tblCost[[#This Row],[CompletedRequirements]]/tblCost[[#This Row],[TargetRequirements]])</f>
        <v>0</v>
      </c>
    </row>
    <row r="811" spans="1:13">
      <c r="A811" s="41" t="s">
        <v>4459</v>
      </c>
      <c r="B811" s="41" t="str">
        <f>_xlfn.TEXTAFTER(_xlfn.TEXTBEFORE(tblCost[[#This Row],[RequirementID]],".",-2),"cost.")</f>
        <v>tech.food_stall.mayonnaise</v>
      </c>
      <c r="C811" s="41" t="str">
        <f>_xlfn.XLOOKUP(tblCost[[#This Row],[TargetID]],tblTargets[TargetID],tblTargets[DisplayName],"")</f>
        <v>Food Stall - Mayonnaise</v>
      </c>
      <c r="D811" s="41" t="str">
        <f>_xlfn.XLOOKUP(tblCost[[#This Row],[TargetID]],tblTargets[TargetID],tblTargets[TargetType],"")</f>
        <v>TECH</v>
      </c>
      <c r="E811" s="41" t="s">
        <v>695</v>
      </c>
      <c r="F811" s="62" t="str">
        <f>RIGHT(tblCost[[#This Row],[RequirementID]],1)</f>
        <v>1</v>
      </c>
      <c r="G811" s="41">
        <v>10</v>
      </c>
      <c r="H811" t="b">
        <f>COUNTIFS(tblCostChecklist[RequirementID],tblCost[[#This Row],[RequirementID]],tblCostChecklist[PlayerPaid],TRUE)&gt;0</f>
        <v>0</v>
      </c>
      <c r="I811" s="41">
        <f>COUNTIF(tblCost[TargetID],tblCost[[#This Row],[TargetID]])</f>
        <v>6</v>
      </c>
      <c r="J811" s="41">
        <f>COUNTIFS(tblCost[TargetID],tblCost[[#This Row],[TargetID]],tblCost[PlayerPaid],TRUE)</f>
        <v>0</v>
      </c>
      <c r="K811" s="41">
        <f>tblCost[[#This Row],[TargetRequirements]]-tblCost[[#This Row],[CompletedRequirements]]</f>
        <v>6</v>
      </c>
      <c r="L811" s="41" t="b">
        <f>tblCost[[#This Row],[RemainingRequirements]]=0</f>
        <v>0</v>
      </c>
      <c r="M811" s="43">
        <f>IF(tblCost[[#This Row],[TargetRequirements]]=0,0,tblCost[[#This Row],[CompletedRequirements]]/tblCost[[#This Row],[TargetRequirements]])</f>
        <v>0</v>
      </c>
    </row>
    <row r="812" spans="1:13">
      <c r="A812" s="41" t="s">
        <v>4460</v>
      </c>
      <c r="B812" s="41" t="str">
        <f>_xlfn.TEXTAFTER(_xlfn.TEXTBEFORE(tblCost[[#This Row],[RequirementID]],".",-2),"cost.")</f>
        <v>tech.food_stall.mayonnaise</v>
      </c>
      <c r="C812" s="41" t="str">
        <f>_xlfn.XLOOKUP(tblCost[[#This Row],[TargetID]],tblTargets[TargetID],tblTargets[DisplayName],"")</f>
        <v>Food Stall - Mayonnaise</v>
      </c>
      <c r="D812" s="41" t="str">
        <f>_xlfn.XLOOKUP(tblCost[[#This Row],[TargetID]],tblTargets[TargetID],tblTargets[TargetType],"")</f>
        <v>TECH</v>
      </c>
      <c r="E812" s="41" t="s">
        <v>708</v>
      </c>
      <c r="F812" s="62" t="str">
        <f>RIGHT(tblCost[[#This Row],[RequirementID]],1)</f>
        <v>1</v>
      </c>
      <c r="G812" s="41">
        <v>2</v>
      </c>
      <c r="H812" t="b">
        <f>COUNTIFS(tblCostChecklist[RequirementID],tblCost[[#This Row],[RequirementID]],tblCostChecklist[PlayerPaid],TRUE)&gt;0</f>
        <v>0</v>
      </c>
      <c r="I812" s="41">
        <f>COUNTIF(tblCost[TargetID],tblCost[[#This Row],[TargetID]])</f>
        <v>6</v>
      </c>
      <c r="J812" s="41">
        <f>COUNTIFS(tblCost[TargetID],tblCost[[#This Row],[TargetID]],tblCost[PlayerPaid],TRUE)</f>
        <v>0</v>
      </c>
      <c r="K812" s="41">
        <f>tblCost[[#This Row],[TargetRequirements]]-tblCost[[#This Row],[CompletedRequirements]]</f>
        <v>6</v>
      </c>
      <c r="L812" s="41" t="b">
        <f>tblCost[[#This Row],[RemainingRequirements]]=0</f>
        <v>0</v>
      </c>
      <c r="M812" s="43">
        <f>IF(tblCost[[#This Row],[TargetRequirements]]=0,0,tblCost[[#This Row],[CompletedRequirements]]/tblCost[[#This Row],[TargetRequirements]])</f>
        <v>0</v>
      </c>
    </row>
    <row r="813" spans="1:13">
      <c r="A813" s="41" t="s">
        <v>4461</v>
      </c>
      <c r="B813" s="41" t="str">
        <f>_xlfn.TEXTAFTER(_xlfn.TEXTBEFORE(tblCost[[#This Row],[RequirementID]],".",-2),"cost.")</f>
        <v>tech.food_stall.mandra_cola</v>
      </c>
      <c r="C813" s="41" t="str">
        <f>_xlfn.XLOOKUP(tblCost[[#This Row],[TargetID]],tblTargets[TargetID],tblTargets[DisplayName],"")</f>
        <v>Food Stall - Mandra Cola</v>
      </c>
      <c r="D813" s="41" t="str">
        <f>_xlfn.XLOOKUP(tblCost[[#This Row],[TargetID]],tblTargets[TargetID],tblTargets[TargetType],"")</f>
        <v>TECH</v>
      </c>
      <c r="E813" s="41" t="s">
        <v>659</v>
      </c>
      <c r="F813" s="62" t="str">
        <f>RIGHT(tblCost[[#This Row],[RequirementID]],1)</f>
        <v>1</v>
      </c>
      <c r="G813" s="41">
        <v>20</v>
      </c>
      <c r="H813" t="b">
        <f>COUNTIFS(tblCostChecklist[RequirementID],tblCost[[#This Row],[RequirementID]],tblCostChecklist[PlayerPaid],TRUE)&gt;0</f>
        <v>0</v>
      </c>
      <c r="I813" s="41">
        <f>COUNTIF(tblCost[TargetID],tblCost[[#This Row],[TargetID]])</f>
        <v>7</v>
      </c>
      <c r="J813" s="41">
        <f>COUNTIFS(tblCost[TargetID],tblCost[[#This Row],[TargetID]],tblCost[PlayerPaid],TRUE)</f>
        <v>0</v>
      </c>
      <c r="K813" s="41">
        <f>tblCost[[#This Row],[TargetRequirements]]-tblCost[[#This Row],[CompletedRequirements]]</f>
        <v>7</v>
      </c>
      <c r="L813" s="41" t="b">
        <f>tblCost[[#This Row],[RemainingRequirements]]=0</f>
        <v>0</v>
      </c>
      <c r="M813" s="43">
        <f>IF(tblCost[[#This Row],[TargetRequirements]]=0,0,tblCost[[#This Row],[CompletedRequirements]]/tblCost[[#This Row],[TargetRequirements]])</f>
        <v>0</v>
      </c>
    </row>
    <row r="814" spans="1:13">
      <c r="A814" s="41" t="s">
        <v>4462</v>
      </c>
      <c r="B814" s="41" t="str">
        <f>_xlfn.TEXTAFTER(_xlfn.TEXTBEFORE(tblCost[[#This Row],[RequirementID]],".",-2),"cost.")</f>
        <v>tech.food_stall.mandra_cola</v>
      </c>
      <c r="C814" s="41" t="str">
        <f>_xlfn.XLOOKUP(tblCost[[#This Row],[TargetID]],tblTargets[TargetID],tblTargets[DisplayName],"")</f>
        <v>Food Stall - Mandra Cola</v>
      </c>
      <c r="D814" s="41" t="str">
        <f>_xlfn.XLOOKUP(tblCost[[#This Row],[TargetID]],tblTargets[TargetID],tblTargets[TargetType],"")</f>
        <v>TECH</v>
      </c>
      <c r="E814" s="41" t="s">
        <v>662</v>
      </c>
      <c r="F814" s="62" t="str">
        <f>RIGHT(tblCost[[#This Row],[RequirementID]],1)</f>
        <v>1</v>
      </c>
      <c r="G814" s="41">
        <v>15</v>
      </c>
      <c r="H814" t="b">
        <f>COUNTIFS(tblCostChecklist[RequirementID],tblCost[[#This Row],[RequirementID]],tblCostChecklist[PlayerPaid],TRUE)&gt;0</f>
        <v>0</v>
      </c>
      <c r="I814" s="41">
        <f>COUNTIF(tblCost[TargetID],tblCost[[#This Row],[TargetID]])</f>
        <v>7</v>
      </c>
      <c r="J814" s="41">
        <f>COUNTIFS(tblCost[TargetID],tblCost[[#This Row],[TargetID]],tblCost[PlayerPaid],TRUE)</f>
        <v>0</v>
      </c>
      <c r="K814" s="41">
        <f>tblCost[[#This Row],[TargetRequirements]]-tblCost[[#This Row],[CompletedRequirements]]</f>
        <v>7</v>
      </c>
      <c r="L814" s="41" t="b">
        <f>tblCost[[#This Row],[RemainingRequirements]]=0</f>
        <v>0</v>
      </c>
      <c r="M814" s="43">
        <f>IF(tblCost[[#This Row],[TargetRequirements]]=0,0,tblCost[[#This Row],[CompletedRequirements]]/tblCost[[#This Row],[TargetRequirements]])</f>
        <v>0</v>
      </c>
    </row>
    <row r="815" spans="1:13">
      <c r="A815" s="41" t="s">
        <v>4463</v>
      </c>
      <c r="B815" s="41" t="str">
        <f>_xlfn.TEXTAFTER(_xlfn.TEXTBEFORE(tblCost[[#This Row],[RequirementID]],".",-2),"cost.")</f>
        <v>tech.food_stall.mandra_cola</v>
      </c>
      <c r="C815" s="41" t="str">
        <f>_xlfn.XLOOKUP(tblCost[[#This Row],[TargetID]],tblTargets[TargetID],tblTargets[DisplayName],"")</f>
        <v>Food Stall - Mandra Cola</v>
      </c>
      <c r="D815" s="41" t="str">
        <f>_xlfn.XLOOKUP(tblCost[[#This Row],[TargetID]],tblTargets[TargetID],tblTargets[TargetType],"")</f>
        <v>TECH</v>
      </c>
      <c r="E815" s="41" t="s">
        <v>666</v>
      </c>
      <c r="F815" s="62" t="str">
        <f>RIGHT(tblCost[[#This Row],[RequirementID]],1)</f>
        <v>1</v>
      </c>
      <c r="G815" s="41">
        <v>400</v>
      </c>
      <c r="H815" t="b">
        <f>COUNTIFS(tblCostChecklist[RequirementID],tblCost[[#This Row],[RequirementID]],tblCostChecklist[PlayerPaid],TRUE)&gt;0</f>
        <v>0</v>
      </c>
      <c r="I815" s="41">
        <f>COUNTIF(tblCost[TargetID],tblCost[[#This Row],[TargetID]])</f>
        <v>7</v>
      </c>
      <c r="J815" s="41">
        <f>COUNTIFS(tblCost[TargetID],tblCost[[#This Row],[TargetID]],tblCost[PlayerPaid],TRUE)</f>
        <v>0</v>
      </c>
      <c r="K815" s="41">
        <f>tblCost[[#This Row],[TargetRequirements]]-tblCost[[#This Row],[CompletedRequirements]]</f>
        <v>7</v>
      </c>
      <c r="L815" s="41" t="b">
        <f>tblCost[[#This Row],[RemainingRequirements]]=0</f>
        <v>0</v>
      </c>
      <c r="M815" s="43">
        <f>IF(tblCost[[#This Row],[TargetRequirements]]=0,0,tblCost[[#This Row],[CompletedRequirements]]/tblCost[[#This Row],[TargetRequirements]])</f>
        <v>0</v>
      </c>
    </row>
    <row r="816" spans="1:13">
      <c r="A816" s="41" t="s">
        <v>4464</v>
      </c>
      <c r="B816" s="41" t="str">
        <f>_xlfn.TEXTAFTER(_xlfn.TEXTBEFORE(tblCost[[#This Row],[RequirementID]],".",-2),"cost.")</f>
        <v>tech.food_stall.mandra_cola</v>
      </c>
      <c r="C816" s="41" t="str">
        <f>_xlfn.XLOOKUP(tblCost[[#This Row],[TargetID]],tblTargets[TargetID],tblTargets[DisplayName],"")</f>
        <v>Food Stall - Mandra Cola</v>
      </c>
      <c r="D816" s="41" t="str">
        <f>_xlfn.XLOOKUP(tblCost[[#This Row],[TargetID]],tblTargets[TargetID],tblTargets[TargetType],"")</f>
        <v>TECH</v>
      </c>
      <c r="E816" s="41" t="s">
        <v>674</v>
      </c>
      <c r="F816" s="62" t="str">
        <f>RIGHT(tblCost[[#This Row],[RequirementID]],1)</f>
        <v>1</v>
      </c>
      <c r="G816" s="41">
        <v>5</v>
      </c>
      <c r="H816" t="b">
        <f>COUNTIFS(tblCostChecklist[RequirementID],tblCost[[#This Row],[RequirementID]],tblCostChecklist[PlayerPaid],TRUE)&gt;0</f>
        <v>0</v>
      </c>
      <c r="I816" s="41">
        <f>COUNTIF(tblCost[TargetID],tblCost[[#This Row],[TargetID]])</f>
        <v>7</v>
      </c>
      <c r="J816" s="41">
        <f>COUNTIFS(tblCost[TargetID],tblCost[[#This Row],[TargetID]],tblCost[PlayerPaid],TRUE)</f>
        <v>0</v>
      </c>
      <c r="K816" s="41">
        <f>tblCost[[#This Row],[TargetRequirements]]-tblCost[[#This Row],[CompletedRequirements]]</f>
        <v>7</v>
      </c>
      <c r="L816" s="41" t="b">
        <f>tblCost[[#This Row],[RemainingRequirements]]=0</f>
        <v>0</v>
      </c>
      <c r="M816" s="43">
        <f>IF(tblCost[[#This Row],[TargetRequirements]]=0,0,tblCost[[#This Row],[CompletedRequirements]]/tblCost[[#This Row],[TargetRequirements]])</f>
        <v>0</v>
      </c>
    </row>
    <row r="817" spans="1:13">
      <c r="A817" s="41" t="s">
        <v>4465</v>
      </c>
      <c r="B817" s="41" t="str">
        <f>_xlfn.TEXTAFTER(_xlfn.TEXTBEFORE(tblCost[[#This Row],[RequirementID]],".",-2),"cost.")</f>
        <v>tech.food_stall.mandra_cola</v>
      </c>
      <c r="C817" s="41" t="str">
        <f>_xlfn.XLOOKUP(tblCost[[#This Row],[TargetID]],tblTargets[TargetID],tblTargets[DisplayName],"")</f>
        <v>Food Stall - Mandra Cola</v>
      </c>
      <c r="D817" s="41" t="str">
        <f>_xlfn.XLOOKUP(tblCost[[#This Row],[TargetID]],tblTargets[TargetID],tblTargets[TargetType],"")</f>
        <v>TECH</v>
      </c>
      <c r="E817" s="41" t="s">
        <v>938</v>
      </c>
      <c r="F817" s="62" t="str">
        <f>RIGHT(tblCost[[#This Row],[RequirementID]],1)</f>
        <v>1</v>
      </c>
      <c r="G817" s="41">
        <v>10</v>
      </c>
      <c r="H817" t="b">
        <f>COUNTIFS(tblCostChecklist[RequirementID],tblCost[[#This Row],[RequirementID]],tblCostChecklist[PlayerPaid],TRUE)&gt;0</f>
        <v>0</v>
      </c>
      <c r="I817" s="41">
        <f>COUNTIF(tblCost[TargetID],tblCost[[#This Row],[TargetID]])</f>
        <v>7</v>
      </c>
      <c r="J817" s="41">
        <f>COUNTIFS(tblCost[TargetID],tblCost[[#This Row],[TargetID]],tblCost[PlayerPaid],TRUE)</f>
        <v>0</v>
      </c>
      <c r="K817" s="41">
        <f>tblCost[[#This Row],[TargetRequirements]]-tblCost[[#This Row],[CompletedRequirements]]</f>
        <v>7</v>
      </c>
      <c r="L817" s="41" t="b">
        <f>tblCost[[#This Row],[RemainingRequirements]]=0</f>
        <v>0</v>
      </c>
      <c r="M817" s="43">
        <f>IF(tblCost[[#This Row],[TargetRequirements]]=0,0,tblCost[[#This Row],[CompletedRequirements]]/tblCost[[#This Row],[TargetRequirements]])</f>
        <v>0</v>
      </c>
    </row>
    <row r="818" spans="1:13">
      <c r="A818" s="41" t="s">
        <v>4466</v>
      </c>
      <c r="B818" s="41" t="str">
        <f>_xlfn.TEXTAFTER(_xlfn.TEXTBEFORE(tblCost[[#This Row],[RequirementID]],".",-2),"cost.")</f>
        <v>tech.food_stall.mandra_cola</v>
      </c>
      <c r="C818" s="41" t="str">
        <f>_xlfn.XLOOKUP(tblCost[[#This Row],[TargetID]],tblTargets[TargetID],tblTargets[DisplayName],"")</f>
        <v>Food Stall - Mandra Cola</v>
      </c>
      <c r="D818" s="41" t="str">
        <f>_xlfn.XLOOKUP(tblCost[[#This Row],[TargetID]],tblTargets[TargetID],tblTargets[TargetType],"")</f>
        <v>TECH</v>
      </c>
      <c r="E818" s="41" t="s">
        <v>940</v>
      </c>
      <c r="F818" s="62" t="str">
        <f>RIGHT(tblCost[[#This Row],[RequirementID]],1)</f>
        <v>1</v>
      </c>
      <c r="G818" s="41">
        <v>20</v>
      </c>
      <c r="H818" t="b">
        <f>COUNTIFS(tblCostChecklist[RequirementID],tblCost[[#This Row],[RequirementID]],tblCostChecklist[PlayerPaid],TRUE)&gt;0</f>
        <v>0</v>
      </c>
      <c r="I818" s="41">
        <f>COUNTIF(tblCost[TargetID],tblCost[[#This Row],[TargetID]])</f>
        <v>7</v>
      </c>
      <c r="J818" s="41">
        <f>COUNTIFS(tblCost[TargetID],tblCost[[#This Row],[TargetID]],tblCost[PlayerPaid],TRUE)</f>
        <v>0</v>
      </c>
      <c r="K818" s="41">
        <f>tblCost[[#This Row],[TargetRequirements]]-tblCost[[#This Row],[CompletedRequirements]]</f>
        <v>7</v>
      </c>
      <c r="L818" s="41" t="b">
        <f>tblCost[[#This Row],[RemainingRequirements]]=0</f>
        <v>0</v>
      </c>
      <c r="M818" s="43">
        <f>IF(tblCost[[#This Row],[TargetRequirements]]=0,0,tblCost[[#This Row],[CompletedRequirements]]/tblCost[[#This Row],[TargetRequirements]])</f>
        <v>0</v>
      </c>
    </row>
    <row r="819" spans="1:13">
      <c r="A819" s="41" t="s">
        <v>4467</v>
      </c>
      <c r="B819" s="41" t="str">
        <f>_xlfn.TEXTAFTER(_xlfn.TEXTBEFORE(tblCost[[#This Row],[RequirementID]],".",-2),"cost.")</f>
        <v>tech.food_stall.mandra_cola</v>
      </c>
      <c r="C819" s="41" t="str">
        <f>_xlfn.XLOOKUP(tblCost[[#This Row],[TargetID]],tblTargets[TargetID],tblTargets[DisplayName],"")</f>
        <v>Food Stall - Mandra Cola</v>
      </c>
      <c r="D819" s="41" t="str">
        <f>_xlfn.XLOOKUP(tblCost[[#This Row],[TargetID]],tblTargets[TargetID],tblTargets[TargetType],"")</f>
        <v>TECH</v>
      </c>
      <c r="E819" s="41" t="s">
        <v>708</v>
      </c>
      <c r="F819" s="62" t="str">
        <f>RIGHT(tblCost[[#This Row],[RequirementID]],1)</f>
        <v>1</v>
      </c>
      <c r="G819" s="41">
        <v>2</v>
      </c>
      <c r="H819" t="b">
        <f>COUNTIFS(tblCostChecklist[RequirementID],tblCost[[#This Row],[RequirementID]],tblCostChecklist[PlayerPaid],TRUE)&gt;0</f>
        <v>0</v>
      </c>
      <c r="I819" s="41">
        <f>COUNTIF(tblCost[TargetID],tblCost[[#This Row],[TargetID]])</f>
        <v>7</v>
      </c>
      <c r="J819" s="41">
        <f>COUNTIFS(tblCost[TargetID],tblCost[[#This Row],[TargetID]],tblCost[PlayerPaid],TRUE)</f>
        <v>0</v>
      </c>
      <c r="K819" s="41">
        <f>tblCost[[#This Row],[TargetRequirements]]-tblCost[[#This Row],[CompletedRequirements]]</f>
        <v>7</v>
      </c>
      <c r="L819" s="41" t="b">
        <f>tblCost[[#This Row],[RemainingRequirements]]=0</f>
        <v>0</v>
      </c>
      <c r="M819" s="43">
        <f>IF(tblCost[[#This Row],[TargetRequirements]]=0,0,tblCost[[#This Row],[CompletedRequirements]]/tblCost[[#This Row],[TargetRequirements]])</f>
        <v>0</v>
      </c>
    </row>
    <row r="820" spans="1:13">
      <c r="A820" s="41" t="s">
        <v>4468</v>
      </c>
      <c r="B820" s="41" t="str">
        <f>_xlfn.TEXTAFTER(_xlfn.TEXTBEFORE(tblCost[[#This Row],[RequirementID]],".",-2),"cost.")</f>
        <v>tech.food_stall.inarizushi</v>
      </c>
      <c r="C820" s="41" t="str">
        <f>_xlfn.XLOOKUP(tblCost[[#This Row],[TargetID]],tblTargets[TargetID],tblTargets[DisplayName],"")</f>
        <v>Food Stall - Inarizushi</v>
      </c>
      <c r="D820" s="41" t="str">
        <f>_xlfn.XLOOKUP(tblCost[[#This Row],[TargetID]],tblTargets[TargetID],tblTargets[TargetType],"")</f>
        <v>TECH</v>
      </c>
      <c r="E820" s="41" t="s">
        <v>666</v>
      </c>
      <c r="F820" s="62" t="str">
        <f>RIGHT(tblCost[[#This Row],[RequirementID]],1)</f>
        <v>1</v>
      </c>
      <c r="G820" s="41">
        <v>400</v>
      </c>
      <c r="H820" t="b">
        <f>COUNTIFS(tblCostChecklist[RequirementID],tblCost[[#This Row],[RequirementID]],tblCostChecklist[PlayerPaid],TRUE)&gt;0</f>
        <v>0</v>
      </c>
      <c r="I820" s="41">
        <f>COUNTIF(tblCost[TargetID],tblCost[[#This Row],[TargetID]])</f>
        <v>5</v>
      </c>
      <c r="J820" s="41">
        <f>COUNTIFS(tblCost[TargetID],tblCost[[#This Row],[TargetID]],tblCost[PlayerPaid],TRUE)</f>
        <v>0</v>
      </c>
      <c r="K820" s="41">
        <f>tblCost[[#This Row],[TargetRequirements]]-tblCost[[#This Row],[CompletedRequirements]]</f>
        <v>5</v>
      </c>
      <c r="L820" s="41" t="b">
        <f>tblCost[[#This Row],[RemainingRequirements]]=0</f>
        <v>0</v>
      </c>
      <c r="M820" s="43">
        <f>IF(tblCost[[#This Row],[TargetRequirements]]=0,0,tblCost[[#This Row],[CompletedRequirements]]/tblCost[[#This Row],[TargetRequirements]])</f>
        <v>0</v>
      </c>
    </row>
    <row r="821" spans="1:13">
      <c r="A821" s="41" t="s">
        <v>4469</v>
      </c>
      <c r="B821" s="41" t="str">
        <f>_xlfn.TEXTAFTER(_xlfn.TEXTBEFORE(tblCost[[#This Row],[RequirementID]],".",-2),"cost.")</f>
        <v>tech.food_stall.inarizushi</v>
      </c>
      <c r="C821" s="41" t="str">
        <f>_xlfn.XLOOKUP(tblCost[[#This Row],[TargetID]],tblTargets[TargetID],tblTargets[DisplayName],"")</f>
        <v>Food Stall - Inarizushi</v>
      </c>
      <c r="D821" s="41" t="str">
        <f>_xlfn.XLOOKUP(tblCost[[#This Row],[TargetID]],tblTargets[TargetID],tblTargets[TargetType],"")</f>
        <v>TECH</v>
      </c>
      <c r="E821" s="41" t="s">
        <v>677</v>
      </c>
      <c r="F821" s="62" t="str">
        <f>RIGHT(tblCost[[#This Row],[RequirementID]],1)</f>
        <v>1</v>
      </c>
      <c r="G821" s="41">
        <v>13</v>
      </c>
      <c r="H821" t="b">
        <f>COUNTIFS(tblCostChecklist[RequirementID],tblCost[[#This Row],[RequirementID]],tblCostChecklist[PlayerPaid],TRUE)&gt;0</f>
        <v>0</v>
      </c>
      <c r="I821" s="41">
        <f>COUNTIF(tblCost[TargetID],tblCost[[#This Row],[TargetID]])</f>
        <v>5</v>
      </c>
      <c r="J821" s="41">
        <f>COUNTIFS(tblCost[TargetID],tblCost[[#This Row],[TargetID]],tblCost[PlayerPaid],TRUE)</f>
        <v>0</v>
      </c>
      <c r="K821" s="41">
        <f>tblCost[[#This Row],[TargetRequirements]]-tblCost[[#This Row],[CompletedRequirements]]</f>
        <v>5</v>
      </c>
      <c r="L821" s="41" t="b">
        <f>tblCost[[#This Row],[RemainingRequirements]]=0</f>
        <v>0</v>
      </c>
      <c r="M821" s="43">
        <f>IF(tblCost[[#This Row],[TargetRequirements]]=0,0,tblCost[[#This Row],[CompletedRequirements]]/tblCost[[#This Row],[TargetRequirements]])</f>
        <v>0</v>
      </c>
    </row>
    <row r="822" spans="1:13">
      <c r="A822" s="41" t="s">
        <v>4470</v>
      </c>
      <c r="B822" s="41" t="str">
        <f>_xlfn.TEXTAFTER(_xlfn.TEXTBEFORE(tblCost[[#This Row],[RequirementID]],".",-2),"cost.")</f>
        <v>tech.food_stall.inarizushi</v>
      </c>
      <c r="C822" s="41" t="str">
        <f>_xlfn.XLOOKUP(tblCost[[#This Row],[TargetID]],tblTargets[TargetID],tblTargets[DisplayName],"")</f>
        <v>Food Stall - Inarizushi</v>
      </c>
      <c r="D822" s="41" t="str">
        <f>_xlfn.XLOOKUP(tblCost[[#This Row],[TargetID]],tblTargets[TargetID],tblTargets[TargetType],"")</f>
        <v>TECH</v>
      </c>
      <c r="E822" s="41" t="s">
        <v>708</v>
      </c>
      <c r="F822" s="62" t="str">
        <f>RIGHT(tblCost[[#This Row],[RequirementID]],1)</f>
        <v>1</v>
      </c>
      <c r="G822" s="41">
        <v>2</v>
      </c>
      <c r="H822" t="b">
        <f>COUNTIFS(tblCostChecklist[RequirementID],tblCost[[#This Row],[RequirementID]],tblCostChecklist[PlayerPaid],TRUE)&gt;0</f>
        <v>0</v>
      </c>
      <c r="I822" s="41">
        <f>COUNTIF(tblCost[TargetID],tblCost[[#This Row],[TargetID]])</f>
        <v>5</v>
      </c>
      <c r="J822" s="41">
        <f>COUNTIFS(tblCost[TargetID],tblCost[[#This Row],[TargetID]],tblCost[PlayerPaid],TRUE)</f>
        <v>0</v>
      </c>
      <c r="K822" s="41">
        <f>tblCost[[#This Row],[TargetRequirements]]-tblCost[[#This Row],[CompletedRequirements]]</f>
        <v>5</v>
      </c>
      <c r="L822" s="41" t="b">
        <f>tblCost[[#This Row],[RemainingRequirements]]=0</f>
        <v>0</v>
      </c>
      <c r="M822" s="43">
        <f>IF(tblCost[[#This Row],[TargetRequirements]]=0,0,tblCost[[#This Row],[CompletedRequirements]]/tblCost[[#This Row],[TargetRequirements]])</f>
        <v>0</v>
      </c>
    </row>
    <row r="823" spans="1:13">
      <c r="A823" s="41" t="s">
        <v>4471</v>
      </c>
      <c r="B823" s="41" t="str">
        <f>_xlfn.TEXTAFTER(_xlfn.TEXTBEFORE(tblCost[[#This Row],[RequirementID]],".",-2),"cost.")</f>
        <v>tech.food_stall.inarizushi</v>
      </c>
      <c r="C823" s="41" t="str">
        <f>_xlfn.XLOOKUP(tblCost[[#This Row],[TargetID]],tblTargets[TargetID],tblTargets[DisplayName],"")</f>
        <v>Food Stall - Inarizushi</v>
      </c>
      <c r="D823" s="41" t="str">
        <f>_xlfn.XLOOKUP(tblCost[[#This Row],[TargetID]],tblTargets[TargetID],tblTargets[TargetType],"")</f>
        <v>TECH</v>
      </c>
      <c r="E823" s="41" t="s">
        <v>713</v>
      </c>
      <c r="F823" s="62" t="str">
        <f>RIGHT(tblCost[[#This Row],[RequirementID]],1)</f>
        <v>1</v>
      </c>
      <c r="G823" s="41">
        <v>8</v>
      </c>
      <c r="H823" t="b">
        <f>COUNTIFS(tblCostChecklist[RequirementID],tblCost[[#This Row],[RequirementID]],tblCostChecklist[PlayerPaid],TRUE)&gt;0</f>
        <v>0</v>
      </c>
      <c r="I823" s="41">
        <f>COUNTIF(tblCost[TargetID],tblCost[[#This Row],[TargetID]])</f>
        <v>5</v>
      </c>
      <c r="J823" s="41">
        <f>COUNTIFS(tblCost[TargetID],tblCost[[#This Row],[TargetID]],tblCost[PlayerPaid],TRUE)</f>
        <v>0</v>
      </c>
      <c r="K823" s="41">
        <f>tblCost[[#This Row],[TargetRequirements]]-tblCost[[#This Row],[CompletedRequirements]]</f>
        <v>5</v>
      </c>
      <c r="L823" s="41" t="b">
        <f>tblCost[[#This Row],[RemainingRequirements]]=0</f>
        <v>0</v>
      </c>
      <c r="M823" s="43">
        <f>IF(tblCost[[#This Row],[TargetRequirements]]=0,0,tblCost[[#This Row],[CompletedRequirements]]/tblCost[[#This Row],[TargetRequirements]])</f>
        <v>0</v>
      </c>
    </row>
    <row r="824" spans="1:13">
      <c r="A824" s="41" t="s">
        <v>4472</v>
      </c>
      <c r="B824" s="41" t="str">
        <f>_xlfn.TEXTAFTER(_xlfn.TEXTBEFORE(tblCost[[#This Row],[RequirementID]],".",-2),"cost.")</f>
        <v>tech.food_stall.inarizushi</v>
      </c>
      <c r="C824" s="41" t="str">
        <f>_xlfn.XLOOKUP(tblCost[[#This Row],[TargetID]],tblTargets[TargetID],tblTargets[DisplayName],"")</f>
        <v>Food Stall - Inarizushi</v>
      </c>
      <c r="D824" s="41" t="str">
        <f>_xlfn.XLOOKUP(tblCost[[#This Row],[TargetID]],tblTargets[TargetID],tblTargets[TargetType],"")</f>
        <v>TECH</v>
      </c>
      <c r="E824" s="41" t="s">
        <v>954</v>
      </c>
      <c r="F824" s="62" t="str">
        <f>RIGHT(tblCost[[#This Row],[RequirementID]],1)</f>
        <v>1</v>
      </c>
      <c r="G824" s="41">
        <v>10</v>
      </c>
      <c r="H824" t="b">
        <f>COUNTIFS(tblCostChecklist[RequirementID],tblCost[[#This Row],[RequirementID]],tblCostChecklist[PlayerPaid],TRUE)&gt;0</f>
        <v>0</v>
      </c>
      <c r="I824" s="41">
        <f>COUNTIF(tblCost[TargetID],tblCost[[#This Row],[TargetID]])</f>
        <v>5</v>
      </c>
      <c r="J824" s="41">
        <f>COUNTIFS(tblCost[TargetID],tblCost[[#This Row],[TargetID]],tblCost[PlayerPaid],TRUE)</f>
        <v>0</v>
      </c>
      <c r="K824" s="41">
        <f>tblCost[[#This Row],[TargetRequirements]]-tblCost[[#This Row],[CompletedRequirements]]</f>
        <v>5</v>
      </c>
      <c r="L824" s="41" t="b">
        <f>tblCost[[#This Row],[RemainingRequirements]]=0</f>
        <v>0</v>
      </c>
      <c r="M824" s="43">
        <f>IF(tblCost[[#This Row],[TargetRequirements]]=0,0,tblCost[[#This Row],[CompletedRequirements]]/tblCost[[#This Row],[TargetRequirements]])</f>
        <v>0</v>
      </c>
    </row>
    <row r="825" spans="1:13">
      <c r="A825" s="41" t="s">
        <v>4473</v>
      </c>
      <c r="B825" s="41" t="str">
        <f>_xlfn.TEXTAFTER(_xlfn.TEXTBEFORE(tblCost[[#This Row],[RequirementID]],".",-2),"cost.")</f>
        <v>tech.food_stall.conveyor_belt_sushi</v>
      </c>
      <c r="C825" s="41" t="str">
        <f>_xlfn.XLOOKUP(tblCost[[#This Row],[TargetID]],tblTargets[TargetID],tblTargets[DisplayName],"")</f>
        <v>Food Stall - Conveyor Belt Sushi</v>
      </c>
      <c r="D825" s="41" t="str">
        <f>_xlfn.XLOOKUP(tblCost[[#This Row],[TargetID]],tblTargets[TargetID],tblTargets[TargetType],"")</f>
        <v>TECH</v>
      </c>
      <c r="E825" s="41" t="s">
        <v>662</v>
      </c>
      <c r="F825" s="62" t="str">
        <f>RIGHT(tblCost[[#This Row],[RequirementID]],1)</f>
        <v>1</v>
      </c>
      <c r="G825" s="41">
        <v>10</v>
      </c>
      <c r="H825" t="b">
        <f>COUNTIFS(tblCostChecklist[RequirementID],tblCost[[#This Row],[RequirementID]],tblCostChecklist[PlayerPaid],TRUE)&gt;0</f>
        <v>0</v>
      </c>
      <c r="I825" s="41">
        <f>COUNTIF(tblCost[TargetID],tblCost[[#This Row],[TargetID]])</f>
        <v>6</v>
      </c>
      <c r="J825" s="41">
        <f>COUNTIFS(tblCost[TargetID],tblCost[[#This Row],[TargetID]],tblCost[PlayerPaid],TRUE)</f>
        <v>0</v>
      </c>
      <c r="K825" s="41">
        <f>tblCost[[#This Row],[TargetRequirements]]-tblCost[[#This Row],[CompletedRequirements]]</f>
        <v>6</v>
      </c>
      <c r="L825" s="41" t="b">
        <f>tblCost[[#This Row],[RemainingRequirements]]=0</f>
        <v>0</v>
      </c>
      <c r="M825" s="43">
        <f>IF(tblCost[[#This Row],[TargetRequirements]]=0,0,tblCost[[#This Row],[CompletedRequirements]]/tblCost[[#This Row],[TargetRequirements]])</f>
        <v>0</v>
      </c>
    </row>
    <row r="826" spans="1:13">
      <c r="A826" s="41" t="s">
        <v>4474</v>
      </c>
      <c r="B826" s="41" t="str">
        <f>_xlfn.TEXTAFTER(_xlfn.TEXTBEFORE(tblCost[[#This Row],[RequirementID]],".",-2),"cost.")</f>
        <v>tech.food_stall.conveyor_belt_sushi</v>
      </c>
      <c r="C826" s="41" t="str">
        <f>_xlfn.XLOOKUP(tblCost[[#This Row],[TargetID]],tblTargets[TargetID],tblTargets[DisplayName],"")</f>
        <v>Food Stall - Conveyor Belt Sushi</v>
      </c>
      <c r="D826" s="41" t="str">
        <f>_xlfn.XLOOKUP(tblCost[[#This Row],[TargetID]],tblTargets[TargetID],tblTargets[TargetType],"")</f>
        <v>TECH</v>
      </c>
      <c r="E826" s="41" t="s">
        <v>666</v>
      </c>
      <c r="F826" s="62" t="str">
        <f>RIGHT(tblCost[[#This Row],[RequirementID]],1)</f>
        <v>1</v>
      </c>
      <c r="G826" s="41">
        <v>300</v>
      </c>
      <c r="H826" t="b">
        <f>COUNTIFS(tblCostChecklist[RequirementID],tblCost[[#This Row],[RequirementID]],tblCostChecklist[PlayerPaid],TRUE)&gt;0</f>
        <v>0</v>
      </c>
      <c r="I826" s="41">
        <f>COUNTIF(tblCost[TargetID],tblCost[[#This Row],[TargetID]])</f>
        <v>6</v>
      </c>
      <c r="J826" s="41">
        <f>COUNTIFS(tblCost[TargetID],tblCost[[#This Row],[TargetID]],tblCost[PlayerPaid],TRUE)</f>
        <v>0</v>
      </c>
      <c r="K826" s="41">
        <f>tblCost[[#This Row],[TargetRequirements]]-tblCost[[#This Row],[CompletedRequirements]]</f>
        <v>6</v>
      </c>
      <c r="L826" s="41" t="b">
        <f>tblCost[[#This Row],[RemainingRequirements]]=0</f>
        <v>0</v>
      </c>
      <c r="M826" s="43">
        <f>IF(tblCost[[#This Row],[TargetRequirements]]=0,0,tblCost[[#This Row],[CompletedRequirements]]/tblCost[[#This Row],[TargetRequirements]])</f>
        <v>0</v>
      </c>
    </row>
    <row r="827" spans="1:13">
      <c r="A827" s="41" t="s">
        <v>4475</v>
      </c>
      <c r="B827" s="41" t="str">
        <f>_xlfn.TEXTAFTER(_xlfn.TEXTBEFORE(tblCost[[#This Row],[RequirementID]],".",-2),"cost.")</f>
        <v>tech.food_stall.conveyor_belt_sushi</v>
      </c>
      <c r="C827" s="41" t="str">
        <f>_xlfn.XLOOKUP(tblCost[[#This Row],[TargetID]],tblTargets[TargetID],tblTargets[DisplayName],"")</f>
        <v>Food Stall - Conveyor Belt Sushi</v>
      </c>
      <c r="D827" s="41" t="str">
        <f>_xlfn.XLOOKUP(tblCost[[#This Row],[TargetID]],tblTargets[TargetID],tblTargets[TargetType],"")</f>
        <v>TECH</v>
      </c>
      <c r="E827" s="41" t="s">
        <v>931</v>
      </c>
      <c r="F827" s="62" t="str">
        <f>RIGHT(tblCost[[#This Row],[RequirementID]],1)</f>
        <v>1</v>
      </c>
      <c r="G827" s="41">
        <v>40</v>
      </c>
      <c r="H827" t="b">
        <f>COUNTIFS(tblCostChecklist[RequirementID],tblCost[[#This Row],[RequirementID]],tblCostChecklist[PlayerPaid],TRUE)&gt;0</f>
        <v>0</v>
      </c>
      <c r="I827" s="41">
        <f>COUNTIF(tblCost[TargetID],tblCost[[#This Row],[TargetID]])</f>
        <v>6</v>
      </c>
      <c r="J827" s="41">
        <f>COUNTIFS(tblCost[TargetID],tblCost[[#This Row],[TargetID]],tblCost[PlayerPaid],TRUE)</f>
        <v>0</v>
      </c>
      <c r="K827" s="41">
        <f>tblCost[[#This Row],[TargetRequirements]]-tblCost[[#This Row],[CompletedRequirements]]</f>
        <v>6</v>
      </c>
      <c r="L827" s="41" t="b">
        <f>tblCost[[#This Row],[RemainingRequirements]]=0</f>
        <v>0</v>
      </c>
      <c r="M827" s="43">
        <f>IF(tblCost[[#This Row],[TargetRequirements]]=0,0,tblCost[[#This Row],[CompletedRequirements]]/tblCost[[#This Row],[TargetRequirements]])</f>
        <v>0</v>
      </c>
    </row>
    <row r="828" spans="1:13">
      <c r="A828" s="41" t="s">
        <v>4476</v>
      </c>
      <c r="B828" s="41" t="str">
        <f>_xlfn.TEXTAFTER(_xlfn.TEXTBEFORE(tblCost[[#This Row],[RequirementID]],".",-2),"cost.")</f>
        <v>tech.food_stall.conveyor_belt_sushi</v>
      </c>
      <c r="C828" s="41" t="str">
        <f>_xlfn.XLOOKUP(tblCost[[#This Row],[TargetID]],tblTargets[TargetID],tblTargets[DisplayName],"")</f>
        <v>Food Stall - Conveyor Belt Sushi</v>
      </c>
      <c r="D828" s="41" t="str">
        <f>_xlfn.XLOOKUP(tblCost[[#This Row],[TargetID]],tblTargets[TargetID],tblTargets[TargetType],"")</f>
        <v>TECH</v>
      </c>
      <c r="E828" s="41" t="s">
        <v>686</v>
      </c>
      <c r="F828" s="62" t="str">
        <f>RIGHT(tblCost[[#This Row],[RequirementID]],1)</f>
        <v>1</v>
      </c>
      <c r="G828" s="41">
        <v>5</v>
      </c>
      <c r="H828" t="b">
        <f>COUNTIFS(tblCostChecklist[RequirementID],tblCost[[#This Row],[RequirementID]],tblCostChecklist[PlayerPaid],TRUE)&gt;0</f>
        <v>0</v>
      </c>
      <c r="I828" s="41">
        <f>COUNTIF(tblCost[TargetID],tblCost[[#This Row],[TargetID]])</f>
        <v>6</v>
      </c>
      <c r="J828" s="41">
        <f>COUNTIFS(tblCost[TargetID],tblCost[[#This Row],[TargetID]],tblCost[PlayerPaid],TRUE)</f>
        <v>0</v>
      </c>
      <c r="K828" s="41">
        <f>tblCost[[#This Row],[TargetRequirements]]-tblCost[[#This Row],[CompletedRequirements]]</f>
        <v>6</v>
      </c>
      <c r="L828" s="41" t="b">
        <f>tblCost[[#This Row],[RemainingRequirements]]=0</f>
        <v>0</v>
      </c>
      <c r="M828" s="43">
        <f>IF(tblCost[[#This Row],[TargetRequirements]]=0,0,tblCost[[#This Row],[CompletedRequirements]]/tblCost[[#This Row],[TargetRequirements]])</f>
        <v>0</v>
      </c>
    </row>
    <row r="829" spans="1:13">
      <c r="A829" s="41" t="s">
        <v>4477</v>
      </c>
      <c r="B829" s="41" t="str">
        <f>_xlfn.TEXTAFTER(_xlfn.TEXTBEFORE(tblCost[[#This Row],[RequirementID]],".",-2),"cost.")</f>
        <v>tech.food_stall.conveyor_belt_sushi</v>
      </c>
      <c r="C829" s="41" t="str">
        <f>_xlfn.XLOOKUP(tblCost[[#This Row],[TargetID]],tblTargets[TargetID],tblTargets[DisplayName],"")</f>
        <v>Food Stall - Conveyor Belt Sushi</v>
      </c>
      <c r="D829" s="41" t="str">
        <f>_xlfn.XLOOKUP(tblCost[[#This Row],[TargetID]],tblTargets[TargetID],tblTargets[TargetType],"")</f>
        <v>TECH</v>
      </c>
      <c r="E829" s="41" t="s">
        <v>708</v>
      </c>
      <c r="F829" s="62" t="str">
        <f>RIGHT(tblCost[[#This Row],[RequirementID]],1)</f>
        <v>1</v>
      </c>
      <c r="G829" s="41">
        <v>2</v>
      </c>
      <c r="H829" t="b">
        <f>COUNTIFS(tblCostChecklist[RequirementID],tblCost[[#This Row],[RequirementID]],tblCostChecklist[PlayerPaid],TRUE)&gt;0</f>
        <v>0</v>
      </c>
      <c r="I829" s="41">
        <f>COUNTIF(tblCost[TargetID],tblCost[[#This Row],[TargetID]])</f>
        <v>6</v>
      </c>
      <c r="J829" s="41">
        <f>COUNTIFS(tblCost[TargetID],tblCost[[#This Row],[TargetID]],tblCost[PlayerPaid],TRUE)</f>
        <v>0</v>
      </c>
      <c r="K829" s="41">
        <f>tblCost[[#This Row],[TargetRequirements]]-tblCost[[#This Row],[CompletedRequirements]]</f>
        <v>6</v>
      </c>
      <c r="L829" s="41" t="b">
        <f>tblCost[[#This Row],[RemainingRequirements]]=0</f>
        <v>0</v>
      </c>
      <c r="M829" s="43">
        <f>IF(tblCost[[#This Row],[TargetRequirements]]=0,0,tblCost[[#This Row],[CompletedRequirements]]/tblCost[[#This Row],[TargetRequirements]])</f>
        <v>0</v>
      </c>
    </row>
    <row r="830" spans="1:13">
      <c r="A830" s="41" t="s">
        <v>4478</v>
      </c>
      <c r="B830" s="41" t="str">
        <f>_xlfn.TEXTAFTER(_xlfn.TEXTBEFORE(tblCost[[#This Row],[RequirementID]],".",-2),"cost.")</f>
        <v>tech.food_stall.conveyor_belt_sushi</v>
      </c>
      <c r="C830" s="41" t="str">
        <f>_xlfn.XLOOKUP(tblCost[[#This Row],[TargetID]],tblTargets[TargetID],tblTargets[DisplayName],"")</f>
        <v>Food Stall - Conveyor Belt Sushi</v>
      </c>
      <c r="D830" s="41" t="str">
        <f>_xlfn.XLOOKUP(tblCost[[#This Row],[TargetID]],tblTargets[TargetID],tblTargets[TargetType],"")</f>
        <v>TECH</v>
      </c>
      <c r="E830" s="41" t="s">
        <v>716</v>
      </c>
      <c r="F830" s="62" t="str">
        <f>RIGHT(tblCost[[#This Row],[RequirementID]],1)</f>
        <v>1</v>
      </c>
      <c r="G830" s="41">
        <v>20</v>
      </c>
      <c r="H830" t="b">
        <f>COUNTIFS(tblCostChecklist[RequirementID],tblCost[[#This Row],[RequirementID]],tblCostChecklist[PlayerPaid],TRUE)&gt;0</f>
        <v>0</v>
      </c>
      <c r="I830" s="41">
        <f>COUNTIF(tblCost[TargetID],tblCost[[#This Row],[TargetID]])</f>
        <v>6</v>
      </c>
      <c r="J830" s="41">
        <f>COUNTIFS(tblCost[TargetID],tblCost[[#This Row],[TargetID]],tblCost[PlayerPaid],TRUE)</f>
        <v>0</v>
      </c>
      <c r="K830" s="41">
        <f>tblCost[[#This Row],[TargetRequirements]]-tblCost[[#This Row],[CompletedRequirements]]</f>
        <v>6</v>
      </c>
      <c r="L830" s="41" t="b">
        <f>tblCost[[#This Row],[RemainingRequirements]]=0</f>
        <v>0</v>
      </c>
      <c r="M830" s="43">
        <f>IF(tblCost[[#This Row],[TargetRequirements]]=0,0,tblCost[[#This Row],[CompletedRequirements]]/tblCost[[#This Row],[TargetRequirements]])</f>
        <v>0</v>
      </c>
    </row>
    <row r="831" spans="1:13">
      <c r="A831" s="41" t="s">
        <v>4479</v>
      </c>
      <c r="B831" s="41" t="str">
        <f>_xlfn.TEXTAFTER(_xlfn.TEXTBEFORE(tblCost[[#This Row],[RequirementID]],".",-2),"cost.")</f>
        <v>tech.food_stall.miso_soup</v>
      </c>
      <c r="C831" s="41" t="str">
        <f>_xlfn.XLOOKUP(tblCost[[#This Row],[TargetID]],tblTargets[TargetID],tblTargets[DisplayName],"")</f>
        <v>Food Stall - Miso Soup</v>
      </c>
      <c r="D831" s="41" t="str">
        <f>_xlfn.XLOOKUP(tblCost[[#This Row],[TargetID]],tblTargets[TargetID],tblTargets[TargetType],"")</f>
        <v>TECH</v>
      </c>
      <c r="E831" s="41" t="s">
        <v>666</v>
      </c>
      <c r="F831" s="62" t="str">
        <f>RIGHT(tblCost[[#This Row],[RequirementID]],1)</f>
        <v>1</v>
      </c>
      <c r="G831" s="41">
        <v>500</v>
      </c>
      <c r="H831" t="b">
        <f>COUNTIFS(tblCostChecklist[RequirementID],tblCost[[#This Row],[RequirementID]],tblCostChecklist[PlayerPaid],TRUE)&gt;0</f>
        <v>0</v>
      </c>
      <c r="I831" s="41">
        <f>COUNTIF(tblCost[TargetID],tblCost[[#This Row],[TargetID]])</f>
        <v>7</v>
      </c>
      <c r="J831" s="41">
        <f>COUNTIFS(tblCost[TargetID],tblCost[[#This Row],[TargetID]],tblCost[PlayerPaid],TRUE)</f>
        <v>0</v>
      </c>
      <c r="K831" s="41">
        <f>tblCost[[#This Row],[TargetRequirements]]-tblCost[[#This Row],[CompletedRequirements]]</f>
        <v>7</v>
      </c>
      <c r="L831" s="41" t="b">
        <f>tblCost[[#This Row],[RemainingRequirements]]=0</f>
        <v>0</v>
      </c>
      <c r="M831" s="43">
        <f>IF(tblCost[[#This Row],[TargetRequirements]]=0,0,tblCost[[#This Row],[CompletedRequirements]]/tblCost[[#This Row],[TargetRequirements]])</f>
        <v>0</v>
      </c>
    </row>
    <row r="832" spans="1:13">
      <c r="A832" s="41" t="s">
        <v>4480</v>
      </c>
      <c r="B832" s="41" t="str">
        <f>_xlfn.TEXTAFTER(_xlfn.TEXTBEFORE(tblCost[[#This Row],[RequirementID]],".",-2),"cost.")</f>
        <v>tech.food_stall.miso_soup</v>
      </c>
      <c r="C832" s="41" t="str">
        <f>_xlfn.XLOOKUP(tblCost[[#This Row],[TargetID]],tblTargets[TargetID],tblTargets[DisplayName],"")</f>
        <v>Food Stall - Miso Soup</v>
      </c>
      <c r="D832" s="41" t="str">
        <f>_xlfn.XLOOKUP(tblCost[[#This Row],[TargetID]],tblTargets[TargetID],tblTargets[TargetType],"")</f>
        <v>TECH</v>
      </c>
      <c r="E832" s="41" t="s">
        <v>931</v>
      </c>
      <c r="F832" s="62" t="str">
        <f>RIGHT(tblCost[[#This Row],[RequirementID]],1)</f>
        <v>1</v>
      </c>
      <c r="G832" s="41">
        <v>20</v>
      </c>
      <c r="H832" t="b">
        <f>COUNTIFS(tblCostChecklist[RequirementID],tblCost[[#This Row],[RequirementID]],tblCostChecklist[PlayerPaid],TRUE)&gt;0</f>
        <v>0</v>
      </c>
      <c r="I832" s="41">
        <f>COUNTIF(tblCost[TargetID],tblCost[[#This Row],[TargetID]])</f>
        <v>7</v>
      </c>
      <c r="J832" s="41">
        <f>COUNTIFS(tblCost[TargetID],tblCost[[#This Row],[TargetID]],tblCost[PlayerPaid],TRUE)</f>
        <v>0</v>
      </c>
      <c r="K832" s="41">
        <f>tblCost[[#This Row],[TargetRequirements]]-tblCost[[#This Row],[CompletedRequirements]]</f>
        <v>7</v>
      </c>
      <c r="L832" s="41" t="b">
        <f>tblCost[[#This Row],[RemainingRequirements]]=0</f>
        <v>0</v>
      </c>
      <c r="M832" s="43">
        <f>IF(tblCost[[#This Row],[TargetRequirements]]=0,0,tblCost[[#This Row],[CompletedRequirements]]/tblCost[[#This Row],[TargetRequirements]])</f>
        <v>0</v>
      </c>
    </row>
    <row r="833" spans="1:13">
      <c r="A833" s="41" t="s">
        <v>4481</v>
      </c>
      <c r="B833" s="41" t="str">
        <f>_xlfn.TEXTAFTER(_xlfn.TEXTBEFORE(tblCost[[#This Row],[RequirementID]],".",-2),"cost.")</f>
        <v>tech.food_stall.miso_soup</v>
      </c>
      <c r="C833" s="41" t="str">
        <f>_xlfn.XLOOKUP(tblCost[[#This Row],[TargetID]],tblTargets[TargetID],tblTargets[DisplayName],"")</f>
        <v>Food Stall - Miso Soup</v>
      </c>
      <c r="D833" s="41" t="str">
        <f>_xlfn.XLOOKUP(tblCost[[#This Row],[TargetID]],tblTargets[TargetID],tblTargets[TargetType],"")</f>
        <v>TECH</v>
      </c>
      <c r="E833" s="41" t="s">
        <v>677</v>
      </c>
      <c r="F833" s="62" t="str">
        <f>RIGHT(tblCost[[#This Row],[RequirementID]],1)</f>
        <v>1</v>
      </c>
      <c r="G833" s="41">
        <v>10</v>
      </c>
      <c r="H833" t="b">
        <f>COUNTIFS(tblCostChecklist[RequirementID],tblCost[[#This Row],[RequirementID]],tblCostChecklist[PlayerPaid],TRUE)&gt;0</f>
        <v>0</v>
      </c>
      <c r="I833" s="41">
        <f>COUNTIF(tblCost[TargetID],tblCost[[#This Row],[TargetID]])</f>
        <v>7</v>
      </c>
      <c r="J833" s="41">
        <f>COUNTIFS(tblCost[TargetID],tblCost[[#This Row],[TargetID]],tblCost[PlayerPaid],TRUE)</f>
        <v>0</v>
      </c>
      <c r="K833" s="41">
        <f>tblCost[[#This Row],[TargetRequirements]]-tblCost[[#This Row],[CompletedRequirements]]</f>
        <v>7</v>
      </c>
      <c r="L833" s="41" t="b">
        <f>tblCost[[#This Row],[RemainingRequirements]]=0</f>
        <v>0</v>
      </c>
      <c r="M833" s="43">
        <f>IF(tblCost[[#This Row],[TargetRequirements]]=0,0,tblCost[[#This Row],[CompletedRequirements]]/tblCost[[#This Row],[TargetRequirements]])</f>
        <v>0</v>
      </c>
    </row>
    <row r="834" spans="1:13">
      <c r="A834" s="41" t="s">
        <v>4482</v>
      </c>
      <c r="B834" s="41" t="str">
        <f>_xlfn.TEXTAFTER(_xlfn.TEXTBEFORE(tblCost[[#This Row],[RequirementID]],".",-2),"cost.")</f>
        <v>tech.food_stall.miso_soup</v>
      </c>
      <c r="C834" s="41" t="str">
        <f>_xlfn.XLOOKUP(tblCost[[#This Row],[TargetID]],tblTargets[TargetID],tblTargets[DisplayName],"")</f>
        <v>Food Stall - Miso Soup</v>
      </c>
      <c r="D834" s="41" t="str">
        <f>_xlfn.XLOOKUP(tblCost[[#This Row],[TargetID]],tblTargets[TargetID],tblTargets[TargetType],"")</f>
        <v>TECH</v>
      </c>
      <c r="E834" s="41" t="s">
        <v>941</v>
      </c>
      <c r="F834" s="62" t="str">
        <f>RIGHT(tblCost[[#This Row],[RequirementID]],1)</f>
        <v>1</v>
      </c>
      <c r="G834" s="41">
        <v>10</v>
      </c>
      <c r="H834" t="b">
        <f>COUNTIFS(tblCostChecklist[RequirementID],tblCost[[#This Row],[RequirementID]],tblCostChecklist[PlayerPaid],TRUE)&gt;0</f>
        <v>0</v>
      </c>
      <c r="I834" s="41">
        <f>COUNTIF(tblCost[TargetID],tblCost[[#This Row],[TargetID]])</f>
        <v>7</v>
      </c>
      <c r="J834" s="41">
        <f>COUNTIFS(tblCost[TargetID],tblCost[[#This Row],[TargetID]],tblCost[PlayerPaid],TRUE)</f>
        <v>0</v>
      </c>
      <c r="K834" s="41">
        <f>tblCost[[#This Row],[TargetRequirements]]-tblCost[[#This Row],[CompletedRequirements]]</f>
        <v>7</v>
      </c>
      <c r="L834" s="41" t="b">
        <f>tblCost[[#This Row],[RemainingRequirements]]=0</f>
        <v>0</v>
      </c>
      <c r="M834" s="43">
        <f>IF(tblCost[[#This Row],[TargetRequirements]]=0,0,tblCost[[#This Row],[CompletedRequirements]]/tblCost[[#This Row],[TargetRequirements]])</f>
        <v>0</v>
      </c>
    </row>
    <row r="835" spans="1:13">
      <c r="A835" s="41" t="s">
        <v>4483</v>
      </c>
      <c r="B835" s="41" t="str">
        <f>_xlfn.TEXTAFTER(_xlfn.TEXTBEFORE(tblCost[[#This Row],[RequirementID]],".",-2),"cost.")</f>
        <v>tech.food_stall.miso_soup</v>
      </c>
      <c r="C835" s="41" t="str">
        <f>_xlfn.XLOOKUP(tblCost[[#This Row],[TargetID]],tblTargets[TargetID],tblTargets[DisplayName],"")</f>
        <v>Food Stall - Miso Soup</v>
      </c>
      <c r="D835" s="41" t="str">
        <f>_xlfn.XLOOKUP(tblCost[[#This Row],[TargetID]],tblTargets[TargetID],tblTargets[TargetType],"")</f>
        <v>TECH</v>
      </c>
      <c r="E835" s="41" t="s">
        <v>708</v>
      </c>
      <c r="F835" s="62" t="str">
        <f>RIGHT(tblCost[[#This Row],[RequirementID]],1)</f>
        <v>1</v>
      </c>
      <c r="G835" s="41">
        <v>5</v>
      </c>
      <c r="H835" t="b">
        <f>COUNTIFS(tblCostChecklist[RequirementID],tblCost[[#This Row],[RequirementID]],tblCostChecklist[PlayerPaid],TRUE)&gt;0</f>
        <v>0</v>
      </c>
      <c r="I835" s="41">
        <f>COUNTIF(tblCost[TargetID],tblCost[[#This Row],[TargetID]])</f>
        <v>7</v>
      </c>
      <c r="J835" s="41">
        <f>COUNTIFS(tblCost[TargetID],tblCost[[#This Row],[TargetID]],tblCost[PlayerPaid],TRUE)</f>
        <v>0</v>
      </c>
      <c r="K835" s="41">
        <f>tblCost[[#This Row],[TargetRequirements]]-tblCost[[#This Row],[CompletedRequirements]]</f>
        <v>7</v>
      </c>
      <c r="L835" s="41" t="b">
        <f>tblCost[[#This Row],[RemainingRequirements]]=0</f>
        <v>0</v>
      </c>
      <c r="M835" s="43">
        <f>IF(tblCost[[#This Row],[TargetRequirements]]=0,0,tblCost[[#This Row],[CompletedRequirements]]/tblCost[[#This Row],[TargetRequirements]])</f>
        <v>0</v>
      </c>
    </row>
    <row r="836" spans="1:13">
      <c r="A836" s="41" t="s">
        <v>4484</v>
      </c>
      <c r="B836" s="41" t="str">
        <f>_xlfn.TEXTAFTER(_xlfn.TEXTBEFORE(tblCost[[#This Row],[RequirementID]],".",-2),"cost.")</f>
        <v>tech.food_stall.miso_soup</v>
      </c>
      <c r="C836" s="41" t="str">
        <f>_xlfn.XLOOKUP(tblCost[[#This Row],[TargetID]],tblTargets[TargetID],tblTargets[DisplayName],"")</f>
        <v>Food Stall - Miso Soup</v>
      </c>
      <c r="D836" s="41" t="str">
        <f>_xlfn.XLOOKUP(tblCost[[#This Row],[TargetID]],tblTargets[TargetID],tblTargets[TargetType],"")</f>
        <v>TECH</v>
      </c>
      <c r="E836" s="41" t="s">
        <v>718</v>
      </c>
      <c r="F836" s="62" t="str">
        <f>RIGHT(tblCost[[#This Row],[RequirementID]],1)</f>
        <v>1</v>
      </c>
      <c r="G836" s="41">
        <v>10</v>
      </c>
      <c r="H836" t="b">
        <f>COUNTIFS(tblCostChecklist[RequirementID],tblCost[[#This Row],[RequirementID]],tblCostChecklist[PlayerPaid],TRUE)&gt;0</f>
        <v>0</v>
      </c>
      <c r="I836" s="41">
        <f>COUNTIF(tblCost[TargetID],tblCost[[#This Row],[TargetID]])</f>
        <v>7</v>
      </c>
      <c r="J836" s="41">
        <f>COUNTIFS(tblCost[TargetID],tblCost[[#This Row],[TargetID]],tblCost[PlayerPaid],TRUE)</f>
        <v>0</v>
      </c>
      <c r="K836" s="41">
        <f>tblCost[[#This Row],[TargetRequirements]]-tblCost[[#This Row],[CompletedRequirements]]</f>
        <v>7</v>
      </c>
      <c r="L836" s="41" t="b">
        <f>tblCost[[#This Row],[RemainingRequirements]]=0</f>
        <v>0</v>
      </c>
      <c r="M836" s="43">
        <f>IF(tblCost[[#This Row],[TargetRequirements]]=0,0,tblCost[[#This Row],[CompletedRequirements]]/tblCost[[#This Row],[TargetRequirements]])</f>
        <v>0</v>
      </c>
    </row>
    <row r="837" spans="1:13">
      <c r="A837" s="41" t="s">
        <v>4485</v>
      </c>
      <c r="B837" s="41" t="str">
        <f>_xlfn.TEXTAFTER(_xlfn.TEXTBEFORE(tblCost[[#This Row],[RequirementID]],".",-2),"cost.")</f>
        <v>tech.food_stall.miso_soup</v>
      </c>
      <c r="C837" s="41" t="str">
        <f>_xlfn.XLOOKUP(tblCost[[#This Row],[TargetID]],tblTargets[TargetID],tblTargets[DisplayName],"")</f>
        <v>Food Stall - Miso Soup</v>
      </c>
      <c r="D837" s="41" t="str">
        <f>_xlfn.XLOOKUP(tblCost[[#This Row],[TargetID]],tblTargets[TargetID],tblTargets[TargetType],"")</f>
        <v>TECH</v>
      </c>
      <c r="E837" s="41" t="s">
        <v>954</v>
      </c>
      <c r="F837" s="62" t="str">
        <f>RIGHT(tblCost[[#This Row],[RequirementID]],1)</f>
        <v>1</v>
      </c>
      <c r="G837" s="41">
        <v>10</v>
      </c>
      <c r="H837" t="b">
        <f>COUNTIFS(tblCostChecklist[RequirementID],tblCost[[#This Row],[RequirementID]],tblCostChecklist[PlayerPaid],TRUE)&gt;0</f>
        <v>0</v>
      </c>
      <c r="I837" s="41">
        <f>COUNTIF(tblCost[TargetID],tblCost[[#This Row],[TargetID]])</f>
        <v>7</v>
      </c>
      <c r="J837" s="41">
        <f>COUNTIFS(tblCost[TargetID],tblCost[[#This Row],[TargetID]],tblCost[PlayerPaid],TRUE)</f>
        <v>0</v>
      </c>
      <c r="K837" s="41">
        <f>tblCost[[#This Row],[TargetRequirements]]-tblCost[[#This Row],[CompletedRequirements]]</f>
        <v>7</v>
      </c>
      <c r="L837" s="41" t="b">
        <f>tblCost[[#This Row],[RemainingRequirements]]=0</f>
        <v>0</v>
      </c>
      <c r="M837" s="43">
        <f>IF(tblCost[[#This Row],[TargetRequirements]]=0,0,tblCost[[#This Row],[CompletedRequirements]]/tblCost[[#This Row],[TargetRequirements]])</f>
        <v>0</v>
      </c>
    </row>
    <row r="838" spans="1:13">
      <c r="A838" s="41" t="s">
        <v>4486</v>
      </c>
      <c r="B838" s="41" t="str">
        <f>_xlfn.TEXTAFTER(_xlfn.TEXTBEFORE(tblCost[[#This Row],[RequirementID]],".",-2),"cost.")</f>
        <v>tech.furnace.meteoric_steel</v>
      </c>
      <c r="C838" s="41" t="str">
        <f>_xlfn.XLOOKUP(tblCost[[#This Row],[TargetID]],tblTargets[TargetID],tblTargets[DisplayName],"")</f>
        <v>Furnace - Meteoric Steel</v>
      </c>
      <c r="D838" s="41" t="str">
        <f>_xlfn.XLOOKUP(tblCost[[#This Row],[TargetID]],tblTargets[TargetID],tblTargets[TargetType],"")</f>
        <v>TECH</v>
      </c>
      <c r="E838" s="41" t="s">
        <v>662</v>
      </c>
      <c r="F838" s="62" t="str">
        <f>RIGHT(tblCost[[#This Row],[RequirementID]],1)</f>
        <v>1</v>
      </c>
      <c r="G838" s="41">
        <v>15</v>
      </c>
      <c r="H838" t="b">
        <f>COUNTIFS(tblCostChecklist[RequirementID],tblCost[[#This Row],[RequirementID]],tblCostChecklist[PlayerPaid],TRUE)&gt;0</f>
        <v>0</v>
      </c>
      <c r="I838" s="41">
        <f>COUNTIF(tblCost[TargetID],tblCost[[#This Row],[TargetID]])</f>
        <v>4</v>
      </c>
      <c r="J838" s="41">
        <f>COUNTIFS(tblCost[TargetID],tblCost[[#This Row],[TargetID]],tblCost[PlayerPaid],TRUE)</f>
        <v>0</v>
      </c>
      <c r="K838" s="41">
        <f>tblCost[[#This Row],[TargetRequirements]]-tblCost[[#This Row],[CompletedRequirements]]</f>
        <v>4</v>
      </c>
      <c r="L838" s="41" t="b">
        <f>tblCost[[#This Row],[RemainingRequirements]]=0</f>
        <v>0</v>
      </c>
      <c r="M838" s="43">
        <f>IF(tblCost[[#This Row],[TargetRequirements]]=0,0,tblCost[[#This Row],[CompletedRequirements]]/tblCost[[#This Row],[TargetRequirements]])</f>
        <v>0</v>
      </c>
    </row>
    <row r="839" spans="1:13">
      <c r="A839" s="41" t="s">
        <v>4487</v>
      </c>
      <c r="B839" s="41" t="str">
        <f>_xlfn.TEXTAFTER(_xlfn.TEXTBEFORE(tblCost[[#This Row],[RequirementID]],".",-2),"cost.")</f>
        <v>tech.furnace.meteoric_steel</v>
      </c>
      <c r="C839" s="41" t="str">
        <f>_xlfn.XLOOKUP(tblCost[[#This Row],[TargetID]],tblTargets[TargetID],tblTargets[DisplayName],"")</f>
        <v>Furnace - Meteoric Steel</v>
      </c>
      <c r="D839" s="41" t="str">
        <f>_xlfn.XLOOKUP(tblCost[[#This Row],[TargetID]],tblTargets[TargetID],tblTargets[TargetType],"")</f>
        <v>TECH</v>
      </c>
      <c r="E839" s="41" t="s">
        <v>666</v>
      </c>
      <c r="F839" s="62" t="str">
        <f>RIGHT(tblCost[[#This Row],[RequirementID]],1)</f>
        <v>1</v>
      </c>
      <c r="G839" s="41">
        <v>1000</v>
      </c>
      <c r="H839" t="b">
        <f>COUNTIFS(tblCostChecklist[RequirementID],tblCost[[#This Row],[RequirementID]],tblCostChecklist[PlayerPaid],TRUE)&gt;0</f>
        <v>0</v>
      </c>
      <c r="I839" s="41">
        <f>COUNTIF(tblCost[TargetID],tblCost[[#This Row],[TargetID]])</f>
        <v>4</v>
      </c>
      <c r="J839" s="41">
        <f>COUNTIFS(tblCost[TargetID],tblCost[[#This Row],[TargetID]],tblCost[PlayerPaid],TRUE)</f>
        <v>0</v>
      </c>
      <c r="K839" s="41">
        <f>tblCost[[#This Row],[TargetRequirements]]-tblCost[[#This Row],[CompletedRequirements]]</f>
        <v>4</v>
      </c>
      <c r="L839" s="41" t="b">
        <f>tblCost[[#This Row],[RemainingRequirements]]=0</f>
        <v>0</v>
      </c>
      <c r="M839" s="43">
        <f>IF(tblCost[[#This Row],[TargetRequirements]]=0,0,tblCost[[#This Row],[CompletedRequirements]]/tblCost[[#This Row],[TargetRequirements]])</f>
        <v>0</v>
      </c>
    </row>
    <row r="840" spans="1:13">
      <c r="A840" s="41" t="s">
        <v>4488</v>
      </c>
      <c r="B840" s="41" t="str">
        <f>_xlfn.TEXTAFTER(_xlfn.TEXTBEFORE(tblCost[[#This Row],[RequirementID]],".",-2),"cost.")</f>
        <v>tech.furnace.meteoric_steel</v>
      </c>
      <c r="C840" s="41" t="str">
        <f>_xlfn.XLOOKUP(tblCost[[#This Row],[TargetID]],tblTargets[TargetID],tblTargets[DisplayName],"")</f>
        <v>Furnace - Meteoric Steel</v>
      </c>
      <c r="D840" s="41" t="str">
        <f>_xlfn.XLOOKUP(tblCost[[#This Row],[TargetID]],tblTargets[TargetID],tblTargets[TargetType],"")</f>
        <v>TECH</v>
      </c>
      <c r="E840" s="41" t="s">
        <v>690</v>
      </c>
      <c r="F840" s="62" t="str">
        <f>RIGHT(tblCost[[#This Row],[RequirementID]],1)</f>
        <v>1</v>
      </c>
      <c r="G840" s="41">
        <v>50</v>
      </c>
      <c r="H840" t="b">
        <f>COUNTIFS(tblCostChecklist[RequirementID],tblCost[[#This Row],[RequirementID]],tblCostChecklist[PlayerPaid],TRUE)&gt;0</f>
        <v>0</v>
      </c>
      <c r="I840" s="41">
        <f>COUNTIF(tblCost[TargetID],tblCost[[#This Row],[TargetID]])</f>
        <v>4</v>
      </c>
      <c r="J840" s="41">
        <f>COUNTIFS(tblCost[TargetID],tblCost[[#This Row],[TargetID]],tblCost[PlayerPaid],TRUE)</f>
        <v>0</v>
      </c>
      <c r="K840" s="41">
        <f>tblCost[[#This Row],[TargetRequirements]]-tblCost[[#This Row],[CompletedRequirements]]</f>
        <v>4</v>
      </c>
      <c r="L840" s="41" t="b">
        <f>tblCost[[#This Row],[RemainingRequirements]]=0</f>
        <v>0</v>
      </c>
      <c r="M840" s="43">
        <f>IF(tblCost[[#This Row],[TargetRequirements]]=0,0,tblCost[[#This Row],[CompletedRequirements]]/tblCost[[#This Row],[TargetRequirements]])</f>
        <v>0</v>
      </c>
    </row>
    <row r="841" spans="1:13">
      <c r="A841" s="41" t="s">
        <v>4489</v>
      </c>
      <c r="B841" s="41" t="str">
        <f>_xlfn.TEXTAFTER(_xlfn.TEXTBEFORE(tblCost[[#This Row],[RequirementID]],".",-2),"cost.")</f>
        <v>tech.furnace.meteoric_steel</v>
      </c>
      <c r="C841" s="41" t="str">
        <f>_xlfn.XLOOKUP(tblCost[[#This Row],[TargetID]],tblTargets[TargetID],tblTargets[DisplayName],"")</f>
        <v>Furnace - Meteoric Steel</v>
      </c>
      <c r="D841" s="41" t="str">
        <f>_xlfn.XLOOKUP(tblCost[[#This Row],[TargetID]],tblTargets[TargetID],tblTargets[TargetType],"")</f>
        <v>TECH</v>
      </c>
      <c r="E841" s="41" t="s">
        <v>708</v>
      </c>
      <c r="F841" s="62" t="str">
        <f>RIGHT(tblCost[[#This Row],[RequirementID]],1)</f>
        <v>1</v>
      </c>
      <c r="G841" s="41">
        <v>3</v>
      </c>
      <c r="H841" t="b">
        <f>COUNTIFS(tblCostChecklist[RequirementID],tblCost[[#This Row],[RequirementID]],tblCostChecklist[PlayerPaid],TRUE)&gt;0</f>
        <v>0</v>
      </c>
      <c r="I841" s="41">
        <f>COUNTIF(tblCost[TargetID],tblCost[[#This Row],[TargetID]])</f>
        <v>4</v>
      </c>
      <c r="J841" s="41">
        <f>COUNTIFS(tblCost[TargetID],tblCost[[#This Row],[TargetID]],tblCost[PlayerPaid],TRUE)</f>
        <v>0</v>
      </c>
      <c r="K841" s="41">
        <f>tblCost[[#This Row],[TargetRequirements]]-tblCost[[#This Row],[CompletedRequirements]]</f>
        <v>4</v>
      </c>
      <c r="L841" s="41" t="b">
        <f>tblCost[[#This Row],[RemainingRequirements]]=0</f>
        <v>0</v>
      </c>
      <c r="M841" s="43">
        <f>IF(tblCost[[#This Row],[TargetRequirements]]=0,0,tblCost[[#This Row],[CompletedRequirements]]/tblCost[[#This Row],[TargetRequirements]])</f>
        <v>0</v>
      </c>
    </row>
    <row r="842" spans="1:13">
      <c r="A842" s="41" t="s">
        <v>4490</v>
      </c>
      <c r="B842" s="41" t="str">
        <f>_xlfn.TEXTAFTER(_xlfn.TEXTBEFORE(tblCost[[#This Row],[RequirementID]],".",-2),"cost.")</f>
        <v>tech.furnace.titanium_parts</v>
      </c>
      <c r="C842" s="41" t="str">
        <f>_xlfn.XLOOKUP(tblCost[[#This Row],[TargetID]],tblTargets[TargetID],tblTargets[DisplayName],"")</f>
        <v>Furnace - Titanium Parts</v>
      </c>
      <c r="D842" s="41" t="str">
        <f>_xlfn.XLOOKUP(tblCost[[#This Row],[TargetID]],tblTargets[TargetID],tblTargets[TargetType],"")</f>
        <v>TECH</v>
      </c>
      <c r="E842" s="41" t="s">
        <v>662</v>
      </c>
      <c r="F842" s="62" t="str">
        <f>RIGHT(tblCost[[#This Row],[RequirementID]],1)</f>
        <v>1</v>
      </c>
      <c r="G842" s="41">
        <v>20</v>
      </c>
      <c r="H842" t="b">
        <f>COUNTIFS(tblCostChecklist[RequirementID],tblCost[[#This Row],[RequirementID]],tblCostChecklist[PlayerPaid],TRUE)&gt;0</f>
        <v>0</v>
      </c>
      <c r="I842" s="41">
        <f>COUNTIF(tblCost[TargetID],tblCost[[#This Row],[TargetID]])</f>
        <v>6</v>
      </c>
      <c r="J842" s="41">
        <f>COUNTIFS(tblCost[TargetID],tblCost[[#This Row],[TargetID]],tblCost[PlayerPaid],TRUE)</f>
        <v>0</v>
      </c>
      <c r="K842" s="41">
        <f>tblCost[[#This Row],[TargetRequirements]]-tblCost[[#This Row],[CompletedRequirements]]</f>
        <v>6</v>
      </c>
      <c r="L842" s="41" t="b">
        <f>tblCost[[#This Row],[RemainingRequirements]]=0</f>
        <v>0</v>
      </c>
      <c r="M842" s="43">
        <f>IF(tblCost[[#This Row],[TargetRequirements]]=0,0,tblCost[[#This Row],[CompletedRequirements]]/tblCost[[#This Row],[TargetRequirements]])</f>
        <v>0</v>
      </c>
    </row>
    <row r="843" spans="1:13">
      <c r="A843" s="41" t="s">
        <v>4491</v>
      </c>
      <c r="B843" s="41" t="str">
        <f>_xlfn.TEXTAFTER(_xlfn.TEXTBEFORE(tblCost[[#This Row],[RequirementID]],".",-2),"cost.")</f>
        <v>tech.furnace.titanium_parts</v>
      </c>
      <c r="C843" s="41" t="str">
        <f>_xlfn.XLOOKUP(tblCost[[#This Row],[TargetID]],tblTargets[TargetID],tblTargets[DisplayName],"")</f>
        <v>Furnace - Titanium Parts</v>
      </c>
      <c r="D843" s="41" t="str">
        <f>_xlfn.XLOOKUP(tblCost[[#This Row],[TargetID]],tblTargets[TargetID],tblTargets[TargetType],"")</f>
        <v>TECH</v>
      </c>
      <c r="E843" s="41" t="s">
        <v>666</v>
      </c>
      <c r="F843" s="62" t="str">
        <f>RIGHT(tblCost[[#This Row],[RequirementID]],1)</f>
        <v>1</v>
      </c>
      <c r="G843" s="41">
        <v>500</v>
      </c>
      <c r="H843" t="b">
        <f>COUNTIFS(tblCostChecklist[RequirementID],tblCost[[#This Row],[RequirementID]],tblCostChecklist[PlayerPaid],TRUE)&gt;0</f>
        <v>0</v>
      </c>
      <c r="I843" s="41">
        <f>COUNTIF(tblCost[TargetID],tblCost[[#This Row],[TargetID]])</f>
        <v>6</v>
      </c>
      <c r="J843" s="41">
        <f>COUNTIFS(tblCost[TargetID],tblCost[[#This Row],[TargetID]],tblCost[PlayerPaid],TRUE)</f>
        <v>0</v>
      </c>
      <c r="K843" s="41">
        <f>tblCost[[#This Row],[TargetRequirements]]-tblCost[[#This Row],[CompletedRequirements]]</f>
        <v>6</v>
      </c>
      <c r="L843" s="41" t="b">
        <f>tblCost[[#This Row],[RemainingRequirements]]=0</f>
        <v>0</v>
      </c>
      <c r="M843" s="43">
        <f>IF(tblCost[[#This Row],[TargetRequirements]]=0,0,tblCost[[#This Row],[CompletedRequirements]]/tblCost[[#This Row],[TargetRequirements]])</f>
        <v>0</v>
      </c>
    </row>
    <row r="844" spans="1:13">
      <c r="A844" s="41" t="s">
        <v>4492</v>
      </c>
      <c r="B844" s="41" t="str">
        <f>_xlfn.TEXTAFTER(_xlfn.TEXTBEFORE(tblCost[[#This Row],[RequirementID]],".",-2),"cost.")</f>
        <v>tech.furnace.titanium_parts</v>
      </c>
      <c r="C844" s="41" t="str">
        <f>_xlfn.XLOOKUP(tblCost[[#This Row],[TargetID]],tblTargets[TargetID],tblTargets[DisplayName],"")</f>
        <v>Furnace - Titanium Parts</v>
      </c>
      <c r="D844" s="41" t="str">
        <f>_xlfn.XLOOKUP(tblCost[[#This Row],[TargetID]],tblTargets[TargetID],tblTargets[TargetType],"")</f>
        <v>TECH</v>
      </c>
      <c r="E844" s="41" t="s">
        <v>686</v>
      </c>
      <c r="F844" s="62" t="str">
        <f>RIGHT(tblCost[[#This Row],[RequirementID]],1)</f>
        <v>1</v>
      </c>
      <c r="G844" s="41">
        <v>5</v>
      </c>
      <c r="H844" t="b">
        <f>COUNTIFS(tblCostChecklist[RequirementID],tblCost[[#This Row],[RequirementID]],tblCostChecklist[PlayerPaid],TRUE)&gt;0</f>
        <v>0</v>
      </c>
      <c r="I844" s="41">
        <f>COUNTIF(tblCost[TargetID],tblCost[[#This Row],[TargetID]])</f>
        <v>6</v>
      </c>
      <c r="J844" s="41">
        <f>COUNTIFS(tblCost[TargetID],tblCost[[#This Row],[TargetID]],tblCost[PlayerPaid],TRUE)</f>
        <v>0</v>
      </c>
      <c r="K844" s="41">
        <f>tblCost[[#This Row],[TargetRequirements]]-tblCost[[#This Row],[CompletedRequirements]]</f>
        <v>6</v>
      </c>
      <c r="L844" s="41" t="b">
        <f>tblCost[[#This Row],[RemainingRequirements]]=0</f>
        <v>0</v>
      </c>
      <c r="M844" s="43">
        <f>IF(tblCost[[#This Row],[TargetRequirements]]=0,0,tblCost[[#This Row],[CompletedRequirements]]/tblCost[[#This Row],[TargetRequirements]])</f>
        <v>0</v>
      </c>
    </row>
    <row r="845" spans="1:13">
      <c r="A845" s="41" t="s">
        <v>4493</v>
      </c>
      <c r="B845" s="41" t="str">
        <f>_xlfn.TEXTAFTER(_xlfn.TEXTBEFORE(tblCost[[#This Row],[RequirementID]],".",-2),"cost.")</f>
        <v>tech.furnace.titanium_parts</v>
      </c>
      <c r="C845" s="41" t="str">
        <f>_xlfn.XLOOKUP(tblCost[[#This Row],[TargetID]],tblTargets[TargetID],tblTargets[DisplayName],"")</f>
        <v>Furnace - Titanium Parts</v>
      </c>
      <c r="D845" s="41" t="str">
        <f>_xlfn.XLOOKUP(tblCost[[#This Row],[TargetID]],tblTargets[TargetID],tblTargets[TargetType],"")</f>
        <v>TECH</v>
      </c>
      <c r="E845" s="41" t="s">
        <v>705</v>
      </c>
      <c r="F845" s="62" t="str">
        <f>RIGHT(tblCost[[#This Row],[RequirementID]],1)</f>
        <v>1</v>
      </c>
      <c r="G845" s="41">
        <v>10</v>
      </c>
      <c r="H845" t="b">
        <f>COUNTIFS(tblCostChecklist[RequirementID],tblCost[[#This Row],[RequirementID]],tblCostChecklist[PlayerPaid],TRUE)&gt;0</f>
        <v>0</v>
      </c>
      <c r="I845" s="41">
        <f>COUNTIF(tblCost[TargetID],tblCost[[#This Row],[TargetID]])</f>
        <v>6</v>
      </c>
      <c r="J845" s="41">
        <f>COUNTIFS(tblCost[TargetID],tblCost[[#This Row],[TargetID]],tblCost[PlayerPaid],TRUE)</f>
        <v>0</v>
      </c>
      <c r="K845" s="41">
        <f>tblCost[[#This Row],[TargetRequirements]]-tblCost[[#This Row],[CompletedRequirements]]</f>
        <v>6</v>
      </c>
      <c r="L845" s="41" t="b">
        <f>tblCost[[#This Row],[RemainingRequirements]]=0</f>
        <v>0</v>
      </c>
      <c r="M845" s="43">
        <f>IF(tblCost[[#This Row],[TargetRequirements]]=0,0,tblCost[[#This Row],[CompletedRequirements]]/tblCost[[#This Row],[TargetRequirements]])</f>
        <v>0</v>
      </c>
    </row>
    <row r="846" spans="1:13">
      <c r="A846" s="41" t="s">
        <v>4494</v>
      </c>
      <c r="B846" s="41" t="str">
        <f>_xlfn.TEXTAFTER(_xlfn.TEXTBEFORE(tblCost[[#This Row],[RequirementID]],".",-2),"cost.")</f>
        <v>tech.furnace.titanium_parts</v>
      </c>
      <c r="C846" s="41" t="str">
        <f>_xlfn.XLOOKUP(tblCost[[#This Row],[TargetID]],tblTargets[TargetID],tblTargets[DisplayName],"")</f>
        <v>Furnace - Titanium Parts</v>
      </c>
      <c r="D846" s="41" t="str">
        <f>_xlfn.XLOOKUP(tblCost[[#This Row],[TargetID]],tblTargets[TargetID],tblTargets[TargetType],"")</f>
        <v>TECH</v>
      </c>
      <c r="E846" s="41" t="s">
        <v>708</v>
      </c>
      <c r="F846" s="62" t="str">
        <f>RIGHT(tblCost[[#This Row],[RequirementID]],1)</f>
        <v>1</v>
      </c>
      <c r="G846" s="41">
        <v>3</v>
      </c>
      <c r="H846" t="b">
        <f>COUNTIFS(tblCostChecklist[RequirementID],tblCost[[#This Row],[RequirementID]],tblCostChecklist[PlayerPaid],TRUE)&gt;0</f>
        <v>0</v>
      </c>
      <c r="I846" s="41">
        <f>COUNTIF(tblCost[TargetID],tblCost[[#This Row],[TargetID]])</f>
        <v>6</v>
      </c>
      <c r="J846" s="41">
        <f>COUNTIFS(tblCost[TargetID],tblCost[[#This Row],[TargetID]],tblCost[PlayerPaid],TRUE)</f>
        <v>0</v>
      </c>
      <c r="K846" s="41">
        <f>tblCost[[#This Row],[TargetRequirements]]-tblCost[[#This Row],[CompletedRequirements]]</f>
        <v>6</v>
      </c>
      <c r="L846" s="41" t="b">
        <f>tblCost[[#This Row],[RemainingRequirements]]=0</f>
        <v>0</v>
      </c>
      <c r="M846" s="43">
        <f>IF(tblCost[[#This Row],[TargetRequirements]]=0,0,tblCost[[#This Row],[CompletedRequirements]]/tblCost[[#This Row],[TargetRequirements]])</f>
        <v>0</v>
      </c>
    </row>
    <row r="847" spans="1:13">
      <c r="A847" s="41" t="s">
        <v>4495</v>
      </c>
      <c r="B847" s="41" t="str">
        <f>_xlfn.TEXTAFTER(_xlfn.TEXTBEFORE(tblCost[[#This Row],[RequirementID]],".",-2),"cost.")</f>
        <v>tech.furnace.titanium_parts</v>
      </c>
      <c r="C847" s="41" t="str">
        <f>_xlfn.XLOOKUP(tblCost[[#This Row],[TargetID]],tblTargets[TargetID],tblTargets[DisplayName],"")</f>
        <v>Furnace - Titanium Parts</v>
      </c>
      <c r="D847" s="41" t="str">
        <f>_xlfn.XLOOKUP(tblCost[[#This Row],[TargetID]],tblTargets[TargetID],tblTargets[TargetType],"")</f>
        <v>TECH</v>
      </c>
      <c r="E847" s="41" t="s">
        <v>720</v>
      </c>
      <c r="F847" s="62" t="str">
        <f>RIGHT(tblCost[[#This Row],[RequirementID]],1)</f>
        <v>1</v>
      </c>
      <c r="G847" s="41">
        <v>10</v>
      </c>
      <c r="H847" t="b">
        <f>COUNTIFS(tblCostChecklist[RequirementID],tblCost[[#This Row],[RequirementID]],tblCostChecklist[PlayerPaid],TRUE)&gt;0</f>
        <v>0</v>
      </c>
      <c r="I847" s="41">
        <f>COUNTIF(tblCost[TargetID],tblCost[[#This Row],[TargetID]])</f>
        <v>6</v>
      </c>
      <c r="J847" s="41">
        <f>COUNTIFS(tblCost[TargetID],tblCost[[#This Row],[TargetID]],tblCost[PlayerPaid],TRUE)</f>
        <v>0</v>
      </c>
      <c r="K847" s="41">
        <f>tblCost[[#This Row],[TargetRequirements]]-tblCost[[#This Row],[CompletedRequirements]]</f>
        <v>6</v>
      </c>
      <c r="L847" s="41" t="b">
        <f>tblCost[[#This Row],[RemainingRequirements]]=0</f>
        <v>0</v>
      </c>
      <c r="M847" s="43">
        <f>IF(tblCost[[#This Row],[TargetRequirements]]=0,0,tblCost[[#This Row],[CompletedRequirements]]/tblCost[[#This Row],[TargetRequirements]])</f>
        <v>0</v>
      </c>
    </row>
    <row r="848" spans="1:13">
      <c r="A848" s="41" t="s">
        <v>4496</v>
      </c>
      <c r="B848" s="41" t="str">
        <f>_xlfn.TEXTAFTER(_xlfn.TEXTBEFORE(tblCost[[#This Row],[RequirementID]],".",-2),"cost.")</f>
        <v>tech.furnace.glass</v>
      </c>
      <c r="C848" s="41" t="str">
        <f>_xlfn.XLOOKUP(tblCost[[#This Row],[TargetID]],tblTargets[TargetID],tblTargets[DisplayName],"")</f>
        <v>Furnace - Glass</v>
      </c>
      <c r="D848" s="41" t="str">
        <f>_xlfn.XLOOKUP(tblCost[[#This Row],[TargetID]],tblTargets[TargetID],tblTargets[TargetType],"")</f>
        <v>TECH</v>
      </c>
      <c r="E848" s="41" t="s">
        <v>662</v>
      </c>
      <c r="F848" s="62" t="str">
        <f>RIGHT(tblCost[[#This Row],[RequirementID]],1)</f>
        <v>1</v>
      </c>
      <c r="G848" s="41">
        <v>20</v>
      </c>
      <c r="H848" t="b">
        <f>COUNTIFS(tblCostChecklist[RequirementID],tblCost[[#This Row],[RequirementID]],tblCostChecklist[PlayerPaid],TRUE)&gt;0</f>
        <v>0</v>
      </c>
      <c r="I848" s="41">
        <f>COUNTIF(tblCost[TargetID],tblCost[[#This Row],[TargetID]])</f>
        <v>7</v>
      </c>
      <c r="J848" s="41">
        <f>COUNTIFS(tblCost[TargetID],tblCost[[#This Row],[TargetID]],tblCost[PlayerPaid],TRUE)</f>
        <v>0</v>
      </c>
      <c r="K848" s="41">
        <f>tblCost[[#This Row],[TargetRequirements]]-tblCost[[#This Row],[CompletedRequirements]]</f>
        <v>7</v>
      </c>
      <c r="L848" s="41" t="b">
        <f>tblCost[[#This Row],[RemainingRequirements]]=0</f>
        <v>0</v>
      </c>
      <c r="M848" s="43">
        <f>IF(tblCost[[#This Row],[TargetRequirements]]=0,0,tblCost[[#This Row],[CompletedRequirements]]/tblCost[[#This Row],[TargetRequirements]])</f>
        <v>0</v>
      </c>
    </row>
    <row r="849" spans="1:13">
      <c r="A849" s="41" t="s">
        <v>4497</v>
      </c>
      <c r="B849" s="41" t="str">
        <f>_xlfn.TEXTAFTER(_xlfn.TEXTBEFORE(tblCost[[#This Row],[RequirementID]],".",-2),"cost.")</f>
        <v>tech.furnace.glass</v>
      </c>
      <c r="C849" s="41" t="str">
        <f>_xlfn.XLOOKUP(tblCost[[#This Row],[TargetID]],tblTargets[TargetID],tblTargets[DisplayName],"")</f>
        <v>Furnace - Glass</v>
      </c>
      <c r="D849" s="41" t="str">
        <f>_xlfn.XLOOKUP(tblCost[[#This Row],[TargetID]],tblTargets[TargetID],tblTargets[TargetType],"")</f>
        <v>TECH</v>
      </c>
      <c r="E849" s="41" t="s">
        <v>664</v>
      </c>
      <c r="F849" s="62" t="str">
        <f>RIGHT(tblCost[[#This Row],[RequirementID]],1)</f>
        <v>1</v>
      </c>
      <c r="G849" s="41">
        <v>20</v>
      </c>
      <c r="H849" t="b">
        <f>COUNTIFS(tblCostChecklist[RequirementID],tblCost[[#This Row],[RequirementID]],tblCostChecklist[PlayerPaid],TRUE)&gt;0</f>
        <v>0</v>
      </c>
      <c r="I849" s="41">
        <f>COUNTIF(tblCost[TargetID],tblCost[[#This Row],[TargetID]])</f>
        <v>7</v>
      </c>
      <c r="J849" s="41">
        <f>COUNTIFS(tblCost[TargetID],tblCost[[#This Row],[TargetID]],tblCost[PlayerPaid],TRUE)</f>
        <v>0</v>
      </c>
      <c r="K849" s="41">
        <f>tblCost[[#This Row],[TargetRequirements]]-tblCost[[#This Row],[CompletedRequirements]]</f>
        <v>7</v>
      </c>
      <c r="L849" s="41" t="b">
        <f>tblCost[[#This Row],[RemainingRequirements]]=0</f>
        <v>0</v>
      </c>
      <c r="M849" s="43">
        <f>IF(tblCost[[#This Row],[TargetRequirements]]=0,0,tblCost[[#This Row],[CompletedRequirements]]/tblCost[[#This Row],[TargetRequirements]])</f>
        <v>0</v>
      </c>
    </row>
    <row r="850" spans="1:13">
      <c r="A850" s="41" t="s">
        <v>4498</v>
      </c>
      <c r="B850" s="41" t="str">
        <f>_xlfn.TEXTAFTER(_xlfn.TEXTBEFORE(tblCost[[#This Row],[RequirementID]],".",-2),"cost.")</f>
        <v>tech.furnace.glass</v>
      </c>
      <c r="C850" s="41" t="str">
        <f>_xlfn.XLOOKUP(tblCost[[#This Row],[TargetID]],tblTargets[TargetID],tblTargets[DisplayName],"")</f>
        <v>Furnace - Glass</v>
      </c>
      <c r="D850" s="41" t="str">
        <f>_xlfn.XLOOKUP(tblCost[[#This Row],[TargetID]],tblTargets[TargetID],tblTargets[TargetType],"")</f>
        <v>TECH</v>
      </c>
      <c r="E850" s="41" t="s">
        <v>666</v>
      </c>
      <c r="F850" s="62" t="str">
        <f>RIGHT(tblCost[[#This Row],[RequirementID]],1)</f>
        <v>1</v>
      </c>
      <c r="G850" s="41">
        <v>500</v>
      </c>
      <c r="H850" t="b">
        <f>COUNTIFS(tblCostChecklist[RequirementID],tblCost[[#This Row],[RequirementID]],tblCostChecklist[PlayerPaid],TRUE)&gt;0</f>
        <v>0</v>
      </c>
      <c r="I850" s="41">
        <f>COUNTIF(tblCost[TargetID],tblCost[[#This Row],[TargetID]])</f>
        <v>7</v>
      </c>
      <c r="J850" s="41">
        <f>COUNTIFS(tblCost[TargetID],tblCost[[#This Row],[TargetID]],tblCost[PlayerPaid],TRUE)</f>
        <v>0</v>
      </c>
      <c r="K850" s="41">
        <f>tblCost[[#This Row],[TargetRequirements]]-tblCost[[#This Row],[CompletedRequirements]]</f>
        <v>7</v>
      </c>
      <c r="L850" s="41" t="b">
        <f>tblCost[[#This Row],[RemainingRequirements]]=0</f>
        <v>0</v>
      </c>
      <c r="M850" s="43">
        <f>IF(tblCost[[#This Row],[TargetRequirements]]=0,0,tblCost[[#This Row],[CompletedRequirements]]/tblCost[[#This Row],[TargetRequirements]])</f>
        <v>0</v>
      </c>
    </row>
    <row r="851" spans="1:13">
      <c r="A851" s="41" t="s">
        <v>4499</v>
      </c>
      <c r="B851" s="41" t="str">
        <f>_xlfn.TEXTAFTER(_xlfn.TEXTBEFORE(tblCost[[#This Row],[RequirementID]],".",-2),"cost.")</f>
        <v>tech.furnace.glass</v>
      </c>
      <c r="C851" s="41" t="str">
        <f>_xlfn.XLOOKUP(tblCost[[#This Row],[TargetID]],tblTargets[TargetID],tblTargets[DisplayName],"")</f>
        <v>Furnace - Glass</v>
      </c>
      <c r="D851" s="41" t="str">
        <f>_xlfn.XLOOKUP(tblCost[[#This Row],[TargetID]],tblTargets[TargetID],tblTargets[TargetType],"")</f>
        <v>TECH</v>
      </c>
      <c r="E851" s="41" t="s">
        <v>674</v>
      </c>
      <c r="F851" s="62" t="str">
        <f>RIGHT(tblCost[[#This Row],[RequirementID]],1)</f>
        <v>1</v>
      </c>
      <c r="G851" s="41">
        <v>20</v>
      </c>
      <c r="H851" t="b">
        <f>COUNTIFS(tblCostChecklist[RequirementID],tblCost[[#This Row],[RequirementID]],tblCostChecklist[PlayerPaid],TRUE)&gt;0</f>
        <v>0</v>
      </c>
      <c r="I851" s="41">
        <f>COUNTIF(tblCost[TargetID],tblCost[[#This Row],[TargetID]])</f>
        <v>7</v>
      </c>
      <c r="J851" s="41">
        <f>COUNTIFS(tblCost[TargetID],tblCost[[#This Row],[TargetID]],tblCost[PlayerPaid],TRUE)</f>
        <v>0</v>
      </c>
      <c r="K851" s="41">
        <f>tblCost[[#This Row],[TargetRequirements]]-tblCost[[#This Row],[CompletedRequirements]]</f>
        <v>7</v>
      </c>
      <c r="L851" s="41" t="b">
        <f>tblCost[[#This Row],[RemainingRequirements]]=0</f>
        <v>0</v>
      </c>
      <c r="M851" s="43">
        <f>IF(tblCost[[#This Row],[TargetRequirements]]=0,0,tblCost[[#This Row],[CompletedRequirements]]/tblCost[[#This Row],[TargetRequirements]])</f>
        <v>0</v>
      </c>
    </row>
    <row r="852" spans="1:13">
      <c r="A852" s="41" t="s">
        <v>4500</v>
      </c>
      <c r="B852" s="41" t="str">
        <f>_xlfn.TEXTAFTER(_xlfn.TEXTBEFORE(tblCost[[#This Row],[RequirementID]],".",-2),"cost.")</f>
        <v>tech.furnace.glass</v>
      </c>
      <c r="C852" s="41" t="str">
        <f>_xlfn.XLOOKUP(tblCost[[#This Row],[TargetID]],tblTargets[TargetID],tblTargets[DisplayName],"")</f>
        <v>Furnace - Glass</v>
      </c>
      <c r="D852" s="41" t="str">
        <f>_xlfn.XLOOKUP(tblCost[[#This Row],[TargetID]],tblTargets[TargetID],tblTargets[TargetType],"")</f>
        <v>TECH</v>
      </c>
      <c r="E852" s="41" t="s">
        <v>686</v>
      </c>
      <c r="F852" s="62" t="str">
        <f>RIGHT(tblCost[[#This Row],[RequirementID]],1)</f>
        <v>1</v>
      </c>
      <c r="G852" s="41">
        <v>5</v>
      </c>
      <c r="H852" t="b">
        <f>COUNTIFS(tblCostChecklist[RequirementID],tblCost[[#This Row],[RequirementID]],tblCostChecklist[PlayerPaid],TRUE)&gt;0</f>
        <v>0</v>
      </c>
      <c r="I852" s="41">
        <f>COUNTIF(tblCost[TargetID],tblCost[[#This Row],[TargetID]])</f>
        <v>7</v>
      </c>
      <c r="J852" s="41">
        <f>COUNTIFS(tblCost[TargetID],tblCost[[#This Row],[TargetID]],tblCost[PlayerPaid],TRUE)</f>
        <v>0</v>
      </c>
      <c r="K852" s="41">
        <f>tblCost[[#This Row],[TargetRequirements]]-tblCost[[#This Row],[CompletedRequirements]]</f>
        <v>7</v>
      </c>
      <c r="L852" s="41" t="b">
        <f>tblCost[[#This Row],[RemainingRequirements]]=0</f>
        <v>0</v>
      </c>
      <c r="M852" s="43">
        <f>IF(tblCost[[#This Row],[TargetRequirements]]=0,0,tblCost[[#This Row],[CompletedRequirements]]/tblCost[[#This Row],[TargetRequirements]])</f>
        <v>0</v>
      </c>
    </row>
    <row r="853" spans="1:13">
      <c r="A853" s="41" t="s">
        <v>4501</v>
      </c>
      <c r="B853" s="41" t="str">
        <f>_xlfn.TEXTAFTER(_xlfn.TEXTBEFORE(tblCost[[#This Row],[RequirementID]],".",-2),"cost.")</f>
        <v>tech.furnace.glass</v>
      </c>
      <c r="C853" s="41" t="str">
        <f>_xlfn.XLOOKUP(tblCost[[#This Row],[TargetID]],tblTargets[TargetID],tblTargets[DisplayName],"")</f>
        <v>Furnace - Glass</v>
      </c>
      <c r="D853" s="41" t="str">
        <f>_xlfn.XLOOKUP(tblCost[[#This Row],[TargetID]],tblTargets[TargetID],tblTargets[TargetType],"")</f>
        <v>TECH</v>
      </c>
      <c r="E853" s="41" t="s">
        <v>703</v>
      </c>
      <c r="F853" s="62" t="str">
        <f>RIGHT(tblCost[[#This Row],[RequirementID]],1)</f>
        <v>1</v>
      </c>
      <c r="G853" s="41">
        <v>40</v>
      </c>
      <c r="H853" t="b">
        <f>COUNTIFS(tblCostChecklist[RequirementID],tblCost[[#This Row],[RequirementID]],tblCostChecklist[PlayerPaid],TRUE)&gt;0</f>
        <v>0</v>
      </c>
      <c r="I853" s="41">
        <f>COUNTIF(tblCost[TargetID],tblCost[[#This Row],[TargetID]])</f>
        <v>7</v>
      </c>
      <c r="J853" s="41">
        <f>COUNTIFS(tblCost[TargetID],tblCost[[#This Row],[TargetID]],tblCost[PlayerPaid],TRUE)</f>
        <v>0</v>
      </c>
      <c r="K853" s="41">
        <f>tblCost[[#This Row],[TargetRequirements]]-tblCost[[#This Row],[CompletedRequirements]]</f>
        <v>7</v>
      </c>
      <c r="L853" s="41" t="b">
        <f>tblCost[[#This Row],[RemainingRequirements]]=0</f>
        <v>0</v>
      </c>
      <c r="M853" s="43">
        <f>IF(tblCost[[#This Row],[TargetRequirements]]=0,0,tblCost[[#This Row],[CompletedRequirements]]/tblCost[[#This Row],[TargetRequirements]])</f>
        <v>0</v>
      </c>
    </row>
    <row r="854" spans="1:13">
      <c r="A854" s="41" t="s">
        <v>4502</v>
      </c>
      <c r="B854" s="41" t="str">
        <f>_xlfn.TEXTAFTER(_xlfn.TEXTBEFORE(tblCost[[#This Row],[RequirementID]],".",-2),"cost.")</f>
        <v>tech.furnace.glass</v>
      </c>
      <c r="C854" s="41" t="str">
        <f>_xlfn.XLOOKUP(tblCost[[#This Row],[TargetID]],tblTargets[TargetID],tblTargets[DisplayName],"")</f>
        <v>Furnace - Glass</v>
      </c>
      <c r="D854" s="41" t="str">
        <f>_xlfn.XLOOKUP(tblCost[[#This Row],[TargetID]],tblTargets[TargetID],tblTargets[TargetType],"")</f>
        <v>TECH</v>
      </c>
      <c r="E854" s="41" t="s">
        <v>708</v>
      </c>
      <c r="F854" s="62" t="str">
        <f>RIGHT(tblCost[[#This Row],[RequirementID]],1)</f>
        <v>1</v>
      </c>
      <c r="G854" s="41">
        <v>3</v>
      </c>
      <c r="H854" t="b">
        <f>COUNTIFS(tblCostChecklist[RequirementID],tblCost[[#This Row],[RequirementID]],tblCostChecklist[PlayerPaid],TRUE)&gt;0</f>
        <v>0</v>
      </c>
      <c r="I854" s="41">
        <f>COUNTIF(tblCost[TargetID],tblCost[[#This Row],[TargetID]])</f>
        <v>7</v>
      </c>
      <c r="J854" s="41">
        <f>COUNTIFS(tblCost[TargetID],tblCost[[#This Row],[TargetID]],tblCost[PlayerPaid],TRUE)</f>
        <v>0</v>
      </c>
      <c r="K854" s="41">
        <f>tblCost[[#This Row],[TargetRequirements]]-tblCost[[#This Row],[CompletedRequirements]]</f>
        <v>7</v>
      </c>
      <c r="L854" s="41" t="b">
        <f>tblCost[[#This Row],[RemainingRequirements]]=0</f>
        <v>0</v>
      </c>
      <c r="M854" s="43">
        <f>IF(tblCost[[#This Row],[TargetRequirements]]=0,0,tblCost[[#This Row],[CompletedRequirements]]/tblCost[[#This Row],[TargetRequirements]])</f>
        <v>0</v>
      </c>
    </row>
    <row r="855" spans="1:13">
      <c r="A855" s="41" t="s">
        <v>4503</v>
      </c>
      <c r="B855" s="41" t="str">
        <f>_xlfn.TEXTAFTER(_xlfn.TEXTBEFORE(tblCost[[#This Row],[RequirementID]],".",-2),"cost.")</f>
        <v>tech.furnace.conveyor</v>
      </c>
      <c r="C855" s="41" t="str">
        <f>_xlfn.XLOOKUP(tblCost[[#This Row],[TargetID]],tblTargets[TargetID],tblTargets[DisplayName],"")</f>
        <v>Furnace - Conveyor</v>
      </c>
      <c r="D855" s="41" t="str">
        <f>_xlfn.XLOOKUP(tblCost[[#This Row],[TargetID]],tblTargets[TargetID],tblTargets[TargetType],"")</f>
        <v>TECH</v>
      </c>
      <c r="E855" s="41" t="s">
        <v>662</v>
      </c>
      <c r="F855" s="62" t="str">
        <f>RIGHT(tblCost[[#This Row],[RequirementID]],1)</f>
        <v>1</v>
      </c>
      <c r="G855" s="41">
        <v>15</v>
      </c>
      <c r="H855" t="b">
        <f>COUNTIFS(tblCostChecklist[RequirementID],tblCost[[#This Row],[RequirementID]],tblCostChecklist[PlayerPaid],TRUE)&gt;0</f>
        <v>0</v>
      </c>
      <c r="I855" s="41">
        <f>COUNTIF(tblCost[TargetID],tblCost[[#This Row],[TargetID]])</f>
        <v>6</v>
      </c>
      <c r="J855" s="41">
        <f>COUNTIFS(tblCost[TargetID],tblCost[[#This Row],[TargetID]],tblCost[PlayerPaid],TRUE)</f>
        <v>0</v>
      </c>
      <c r="K855" s="41">
        <f>tblCost[[#This Row],[TargetRequirements]]-tblCost[[#This Row],[CompletedRequirements]]</f>
        <v>6</v>
      </c>
      <c r="L855" s="41" t="b">
        <f>tblCost[[#This Row],[RemainingRequirements]]=0</f>
        <v>0</v>
      </c>
      <c r="M855" s="43">
        <f>IF(tblCost[[#This Row],[TargetRequirements]]=0,0,tblCost[[#This Row],[CompletedRequirements]]/tblCost[[#This Row],[TargetRequirements]])</f>
        <v>0</v>
      </c>
    </row>
    <row r="856" spans="1:13">
      <c r="A856" s="41" t="s">
        <v>4504</v>
      </c>
      <c r="B856" s="41" t="str">
        <f>_xlfn.TEXTAFTER(_xlfn.TEXTBEFORE(tblCost[[#This Row],[RequirementID]],".",-2),"cost.")</f>
        <v>tech.furnace.conveyor</v>
      </c>
      <c r="C856" s="41" t="str">
        <f>_xlfn.XLOOKUP(tblCost[[#This Row],[TargetID]],tblTargets[TargetID],tblTargets[DisplayName],"")</f>
        <v>Furnace - Conveyor</v>
      </c>
      <c r="D856" s="41" t="str">
        <f>_xlfn.XLOOKUP(tblCost[[#This Row],[TargetID]],tblTargets[TargetID],tblTargets[TargetType],"")</f>
        <v>TECH</v>
      </c>
      <c r="E856" s="41" t="s">
        <v>666</v>
      </c>
      <c r="F856" s="62" t="str">
        <f>RIGHT(tblCost[[#This Row],[RequirementID]],1)</f>
        <v>1</v>
      </c>
      <c r="G856" s="41">
        <v>400</v>
      </c>
      <c r="H856" t="b">
        <f>COUNTIFS(tblCostChecklist[RequirementID],tblCost[[#This Row],[RequirementID]],tblCostChecklist[PlayerPaid],TRUE)&gt;0</f>
        <v>0</v>
      </c>
      <c r="I856" s="41">
        <f>COUNTIF(tblCost[TargetID],tblCost[[#This Row],[TargetID]])</f>
        <v>6</v>
      </c>
      <c r="J856" s="41">
        <f>COUNTIFS(tblCost[TargetID],tblCost[[#This Row],[TargetID]],tblCost[PlayerPaid],TRUE)</f>
        <v>0</v>
      </c>
      <c r="K856" s="41">
        <f>tblCost[[#This Row],[TargetRequirements]]-tblCost[[#This Row],[CompletedRequirements]]</f>
        <v>6</v>
      </c>
      <c r="L856" s="41" t="b">
        <f>tblCost[[#This Row],[RemainingRequirements]]=0</f>
        <v>0</v>
      </c>
      <c r="M856" s="43">
        <f>IF(tblCost[[#This Row],[TargetRequirements]]=0,0,tblCost[[#This Row],[CompletedRequirements]]/tblCost[[#This Row],[TargetRequirements]])</f>
        <v>0</v>
      </c>
    </row>
    <row r="857" spans="1:13">
      <c r="A857" s="41" t="s">
        <v>4505</v>
      </c>
      <c r="B857" s="41" t="str">
        <f>_xlfn.TEXTAFTER(_xlfn.TEXTBEFORE(tblCost[[#This Row],[RequirementID]],".",-2),"cost.")</f>
        <v>tech.furnace.conveyor</v>
      </c>
      <c r="C857" s="41" t="str">
        <f>_xlfn.XLOOKUP(tblCost[[#This Row],[TargetID]],tblTargets[TargetID],tblTargets[DisplayName],"")</f>
        <v>Furnace - Conveyor</v>
      </c>
      <c r="D857" s="41" t="str">
        <f>_xlfn.XLOOKUP(tblCost[[#This Row],[TargetID]],tblTargets[TargetID],tblTargets[TargetType],"")</f>
        <v>TECH</v>
      </c>
      <c r="E857" s="41" t="s">
        <v>931</v>
      </c>
      <c r="F857" s="62" t="str">
        <f>RIGHT(tblCost[[#This Row],[RequirementID]],1)</f>
        <v>1</v>
      </c>
      <c r="G857" s="41">
        <v>40</v>
      </c>
      <c r="H857" t="b">
        <f>COUNTIFS(tblCostChecklist[RequirementID],tblCost[[#This Row],[RequirementID]],tblCostChecklist[PlayerPaid],TRUE)&gt;0</f>
        <v>0</v>
      </c>
      <c r="I857" s="41">
        <f>COUNTIF(tblCost[TargetID],tblCost[[#This Row],[TargetID]])</f>
        <v>6</v>
      </c>
      <c r="J857" s="41">
        <f>COUNTIFS(tblCost[TargetID],tblCost[[#This Row],[TargetID]],tblCost[PlayerPaid],TRUE)</f>
        <v>0</v>
      </c>
      <c r="K857" s="41">
        <f>tblCost[[#This Row],[TargetRequirements]]-tblCost[[#This Row],[CompletedRequirements]]</f>
        <v>6</v>
      </c>
      <c r="L857" s="41" t="b">
        <f>tblCost[[#This Row],[RemainingRequirements]]=0</f>
        <v>0</v>
      </c>
      <c r="M857" s="43">
        <f>IF(tblCost[[#This Row],[TargetRequirements]]=0,0,tblCost[[#This Row],[CompletedRequirements]]/tblCost[[#This Row],[TargetRequirements]])</f>
        <v>0</v>
      </c>
    </row>
    <row r="858" spans="1:13">
      <c r="A858" s="41" t="s">
        <v>4506</v>
      </c>
      <c r="B858" s="41" t="str">
        <f>_xlfn.TEXTAFTER(_xlfn.TEXTBEFORE(tblCost[[#This Row],[RequirementID]],".",-2),"cost.")</f>
        <v>tech.furnace.conveyor</v>
      </c>
      <c r="C858" s="41" t="str">
        <f>_xlfn.XLOOKUP(tblCost[[#This Row],[TargetID]],tblTargets[TargetID],tblTargets[DisplayName],"")</f>
        <v>Furnace - Conveyor</v>
      </c>
      <c r="D858" s="41" t="str">
        <f>_xlfn.XLOOKUP(tblCost[[#This Row],[TargetID]],tblTargets[TargetID],tblTargets[TargetType],"")</f>
        <v>TECH</v>
      </c>
      <c r="E858" s="41" t="s">
        <v>686</v>
      </c>
      <c r="F858" s="62" t="str">
        <f>RIGHT(tblCost[[#This Row],[RequirementID]],1)</f>
        <v>1</v>
      </c>
      <c r="G858" s="41">
        <v>10</v>
      </c>
      <c r="H858" t="b">
        <f>COUNTIFS(tblCostChecklist[RequirementID],tblCost[[#This Row],[RequirementID]],tblCostChecklist[PlayerPaid],TRUE)&gt;0</f>
        <v>0</v>
      </c>
      <c r="I858" s="41">
        <f>COUNTIF(tblCost[TargetID],tblCost[[#This Row],[TargetID]])</f>
        <v>6</v>
      </c>
      <c r="J858" s="41">
        <f>COUNTIFS(tblCost[TargetID],tblCost[[#This Row],[TargetID]],tblCost[PlayerPaid],TRUE)</f>
        <v>0</v>
      </c>
      <c r="K858" s="41">
        <f>tblCost[[#This Row],[TargetRequirements]]-tblCost[[#This Row],[CompletedRequirements]]</f>
        <v>6</v>
      </c>
      <c r="L858" s="41" t="b">
        <f>tblCost[[#This Row],[RemainingRequirements]]=0</f>
        <v>0</v>
      </c>
      <c r="M858" s="43">
        <f>IF(tblCost[[#This Row],[TargetRequirements]]=0,0,tblCost[[#This Row],[CompletedRequirements]]/tblCost[[#This Row],[TargetRequirements]])</f>
        <v>0</v>
      </c>
    </row>
    <row r="859" spans="1:13">
      <c r="A859" s="41" t="s">
        <v>4507</v>
      </c>
      <c r="B859" s="41" t="str">
        <f>_xlfn.TEXTAFTER(_xlfn.TEXTBEFORE(tblCost[[#This Row],[RequirementID]],".",-2),"cost.")</f>
        <v>tech.furnace.conveyor</v>
      </c>
      <c r="C859" s="41" t="str">
        <f>_xlfn.XLOOKUP(tblCost[[#This Row],[TargetID]],tblTargets[TargetID],tblTargets[DisplayName],"")</f>
        <v>Furnace - Conveyor</v>
      </c>
      <c r="D859" s="41" t="str">
        <f>_xlfn.XLOOKUP(tblCost[[#This Row],[TargetID]],tblTargets[TargetID],tblTargets[TargetType],"")</f>
        <v>TECH</v>
      </c>
      <c r="E859" s="41" t="s">
        <v>693</v>
      </c>
      <c r="F859" s="62" t="str">
        <f>RIGHT(tblCost[[#This Row],[RequirementID]],1)</f>
        <v>1</v>
      </c>
      <c r="G859" s="41">
        <v>20</v>
      </c>
      <c r="H859" t="b">
        <f>COUNTIFS(tblCostChecklist[RequirementID],tblCost[[#This Row],[RequirementID]],tblCostChecklist[PlayerPaid],TRUE)&gt;0</f>
        <v>0</v>
      </c>
      <c r="I859" s="41">
        <f>COUNTIF(tblCost[TargetID],tblCost[[#This Row],[TargetID]])</f>
        <v>6</v>
      </c>
      <c r="J859" s="41">
        <f>COUNTIFS(tblCost[TargetID],tblCost[[#This Row],[TargetID]],tblCost[PlayerPaid],TRUE)</f>
        <v>0</v>
      </c>
      <c r="K859" s="41">
        <f>tblCost[[#This Row],[TargetRequirements]]-tblCost[[#This Row],[CompletedRequirements]]</f>
        <v>6</v>
      </c>
      <c r="L859" s="41" t="b">
        <f>tblCost[[#This Row],[RemainingRequirements]]=0</f>
        <v>0</v>
      </c>
      <c r="M859" s="43">
        <f>IF(tblCost[[#This Row],[TargetRequirements]]=0,0,tblCost[[#This Row],[CompletedRequirements]]/tblCost[[#This Row],[TargetRequirements]])</f>
        <v>0</v>
      </c>
    </row>
    <row r="860" spans="1:13">
      <c r="A860" s="41" t="s">
        <v>4508</v>
      </c>
      <c r="B860" s="41" t="str">
        <f>_xlfn.TEXTAFTER(_xlfn.TEXTBEFORE(tblCost[[#This Row],[RequirementID]],".",-2),"cost.")</f>
        <v>tech.furnace.conveyor</v>
      </c>
      <c r="C860" s="41" t="str">
        <f>_xlfn.XLOOKUP(tblCost[[#This Row],[TargetID]],tblTargets[TargetID],tblTargets[DisplayName],"")</f>
        <v>Furnace - Conveyor</v>
      </c>
      <c r="D860" s="41" t="str">
        <f>_xlfn.XLOOKUP(tblCost[[#This Row],[TargetID]],tblTargets[TargetID],tblTargets[TargetType],"")</f>
        <v>TECH</v>
      </c>
      <c r="E860" s="41" t="s">
        <v>708</v>
      </c>
      <c r="F860" s="62" t="str">
        <f>RIGHT(tblCost[[#This Row],[RequirementID]],1)</f>
        <v>1</v>
      </c>
      <c r="G860" s="41">
        <v>2</v>
      </c>
      <c r="H860" t="b">
        <f>COUNTIFS(tblCostChecklist[RequirementID],tblCost[[#This Row],[RequirementID]],tblCostChecklist[PlayerPaid],TRUE)&gt;0</f>
        <v>0</v>
      </c>
      <c r="I860" s="41">
        <f>COUNTIF(tblCost[TargetID],tblCost[[#This Row],[TargetID]])</f>
        <v>6</v>
      </c>
      <c r="J860" s="41">
        <f>COUNTIFS(tblCost[TargetID],tblCost[[#This Row],[TargetID]],tblCost[PlayerPaid],TRUE)</f>
        <v>0</v>
      </c>
      <c r="K860" s="41">
        <f>tblCost[[#This Row],[TargetRequirements]]-tblCost[[#This Row],[CompletedRequirements]]</f>
        <v>6</v>
      </c>
      <c r="L860" s="41" t="b">
        <f>tblCost[[#This Row],[RemainingRequirements]]=0</f>
        <v>0</v>
      </c>
      <c r="M860" s="43">
        <f>IF(tblCost[[#This Row],[TargetRequirements]]=0,0,tblCost[[#This Row],[CompletedRequirements]]/tblCost[[#This Row],[TargetRequirements]])</f>
        <v>0</v>
      </c>
    </row>
    <row r="861" spans="1:13">
      <c r="A861" s="41" t="s">
        <v>4509</v>
      </c>
      <c r="B861" s="41" t="str">
        <f>_xlfn.TEXTAFTER(_xlfn.TEXTBEFORE(tblCost[[#This Row],[RequirementID]],".",-2),"cost.")</f>
        <v>tech.garden.sprinkler</v>
      </c>
      <c r="C861" s="41" t="str">
        <f>_xlfn.XLOOKUP(tblCost[[#This Row],[TargetID]],tblTargets[TargetID],tblTargets[DisplayName],"")</f>
        <v>Garden - Sprinkler</v>
      </c>
      <c r="D861" s="41" t="str">
        <f>_xlfn.XLOOKUP(tblCost[[#This Row],[TargetID]],tblTargets[TargetID],tblTargets[TargetType],"")</f>
        <v>TECH</v>
      </c>
      <c r="E861" s="41" t="s">
        <v>662</v>
      </c>
      <c r="F861" s="62" t="str">
        <f>RIGHT(tblCost[[#This Row],[RequirementID]],1)</f>
        <v>1</v>
      </c>
      <c r="G861" s="41">
        <v>30</v>
      </c>
      <c r="H861" t="b">
        <f>COUNTIFS(tblCostChecklist[RequirementID],tblCost[[#This Row],[RequirementID]],tblCostChecklist[PlayerPaid],TRUE)&gt;0</f>
        <v>0</v>
      </c>
      <c r="I861" s="41">
        <f>COUNTIF(tblCost[TargetID],tblCost[[#This Row],[TargetID]])</f>
        <v>4</v>
      </c>
      <c r="J861" s="41">
        <f>COUNTIFS(tblCost[TargetID],tblCost[[#This Row],[TargetID]],tblCost[PlayerPaid],TRUE)</f>
        <v>0</v>
      </c>
      <c r="K861" s="41">
        <f>tblCost[[#This Row],[TargetRequirements]]-tblCost[[#This Row],[CompletedRequirements]]</f>
        <v>4</v>
      </c>
      <c r="L861" s="41" t="b">
        <f>tblCost[[#This Row],[RemainingRequirements]]=0</f>
        <v>0</v>
      </c>
      <c r="M861" s="43">
        <f>IF(tblCost[[#This Row],[TargetRequirements]]=0,0,tblCost[[#This Row],[CompletedRequirements]]/tblCost[[#This Row],[TargetRequirements]])</f>
        <v>0</v>
      </c>
    </row>
    <row r="862" spans="1:13">
      <c r="A862" s="41" t="s">
        <v>4510</v>
      </c>
      <c r="B862" s="41" t="str">
        <f>_xlfn.TEXTAFTER(_xlfn.TEXTBEFORE(tblCost[[#This Row],[RequirementID]],".",-2),"cost.")</f>
        <v>tech.garden.sprinkler</v>
      </c>
      <c r="C862" s="41" t="str">
        <f>_xlfn.XLOOKUP(tblCost[[#This Row],[TargetID]],tblTargets[TargetID],tblTargets[DisplayName],"")</f>
        <v>Garden - Sprinkler</v>
      </c>
      <c r="D862" s="41" t="str">
        <f>_xlfn.XLOOKUP(tblCost[[#This Row],[TargetID]],tblTargets[TargetID],tblTargets[TargetType],"")</f>
        <v>TECH</v>
      </c>
      <c r="E862" s="41" t="s">
        <v>666</v>
      </c>
      <c r="F862" s="62" t="str">
        <f>RIGHT(tblCost[[#This Row],[RequirementID]],1)</f>
        <v>1</v>
      </c>
      <c r="G862" s="41">
        <v>1500</v>
      </c>
      <c r="H862" t="b">
        <f>COUNTIFS(tblCostChecklist[RequirementID],tblCost[[#This Row],[RequirementID]],tblCostChecklist[PlayerPaid],TRUE)&gt;0</f>
        <v>0</v>
      </c>
      <c r="I862" s="41">
        <f>COUNTIF(tblCost[TargetID],tblCost[[#This Row],[TargetID]])</f>
        <v>4</v>
      </c>
      <c r="J862" s="41">
        <f>COUNTIFS(tblCost[TargetID],tblCost[[#This Row],[TargetID]],tblCost[PlayerPaid],TRUE)</f>
        <v>0</v>
      </c>
      <c r="K862" s="41">
        <f>tblCost[[#This Row],[TargetRequirements]]-tblCost[[#This Row],[CompletedRequirements]]</f>
        <v>4</v>
      </c>
      <c r="L862" s="41" t="b">
        <f>tblCost[[#This Row],[RemainingRequirements]]=0</f>
        <v>0</v>
      </c>
      <c r="M862" s="43">
        <f>IF(tblCost[[#This Row],[TargetRequirements]]=0,0,tblCost[[#This Row],[CompletedRequirements]]/tblCost[[#This Row],[TargetRequirements]])</f>
        <v>0</v>
      </c>
    </row>
    <row r="863" spans="1:13">
      <c r="A863" s="41" t="s">
        <v>4511</v>
      </c>
      <c r="B863" s="41" t="str">
        <f>_xlfn.TEXTAFTER(_xlfn.TEXTBEFORE(tblCost[[#This Row],[RequirementID]],".",-2),"cost.")</f>
        <v>tech.garden.sprinkler</v>
      </c>
      <c r="C863" s="41" t="str">
        <f>_xlfn.XLOOKUP(tblCost[[#This Row],[TargetID]],tblTargets[TargetID],tblTargets[DisplayName],"")</f>
        <v>Garden - Sprinkler</v>
      </c>
      <c r="D863" s="41" t="str">
        <f>_xlfn.XLOOKUP(tblCost[[#This Row],[TargetID]],tblTargets[TargetID],tblTargets[TargetType],"")</f>
        <v>TECH</v>
      </c>
      <c r="E863" s="41" t="s">
        <v>690</v>
      </c>
      <c r="F863" s="62" t="str">
        <f>RIGHT(tblCost[[#This Row],[RequirementID]],1)</f>
        <v>1</v>
      </c>
      <c r="G863" s="41">
        <v>50</v>
      </c>
      <c r="H863" t="b">
        <f>COUNTIFS(tblCostChecklist[RequirementID],tblCost[[#This Row],[RequirementID]],tblCostChecklist[PlayerPaid],TRUE)&gt;0</f>
        <v>0</v>
      </c>
      <c r="I863" s="41">
        <f>COUNTIF(tblCost[TargetID],tblCost[[#This Row],[TargetID]])</f>
        <v>4</v>
      </c>
      <c r="J863" s="41">
        <f>COUNTIFS(tblCost[TargetID],tblCost[[#This Row],[TargetID]],tblCost[PlayerPaid],TRUE)</f>
        <v>0</v>
      </c>
      <c r="K863" s="41">
        <f>tblCost[[#This Row],[TargetRequirements]]-tblCost[[#This Row],[CompletedRequirements]]</f>
        <v>4</v>
      </c>
      <c r="L863" s="41" t="b">
        <f>tblCost[[#This Row],[RemainingRequirements]]=0</f>
        <v>0</v>
      </c>
      <c r="M863" s="43">
        <f>IF(tblCost[[#This Row],[TargetRequirements]]=0,0,tblCost[[#This Row],[CompletedRequirements]]/tblCost[[#This Row],[TargetRequirements]])</f>
        <v>0</v>
      </c>
    </row>
    <row r="864" spans="1:13">
      <c r="A864" s="41" t="s">
        <v>4512</v>
      </c>
      <c r="B864" s="41" t="str">
        <f>_xlfn.TEXTAFTER(_xlfn.TEXTBEFORE(tblCost[[#This Row],[RequirementID]],".",-2),"cost.")</f>
        <v>tech.garden.sprinkler</v>
      </c>
      <c r="C864" s="41" t="str">
        <f>_xlfn.XLOOKUP(tblCost[[#This Row],[TargetID]],tblTargets[TargetID],tblTargets[DisplayName],"")</f>
        <v>Garden - Sprinkler</v>
      </c>
      <c r="D864" s="41" t="str">
        <f>_xlfn.XLOOKUP(tblCost[[#This Row],[TargetID]],tblTargets[TargetID],tblTargets[TargetType],"")</f>
        <v>TECH</v>
      </c>
      <c r="E864" s="41" t="s">
        <v>708</v>
      </c>
      <c r="F864" s="62" t="str">
        <f>RIGHT(tblCost[[#This Row],[RequirementID]],1)</f>
        <v>1</v>
      </c>
      <c r="G864" s="41">
        <v>6</v>
      </c>
      <c r="H864" t="b">
        <f>COUNTIFS(tblCostChecklist[RequirementID],tblCost[[#This Row],[RequirementID]],tblCostChecklist[PlayerPaid],TRUE)&gt;0</f>
        <v>0</v>
      </c>
      <c r="I864" s="41">
        <f>COUNTIF(tblCost[TargetID],tblCost[[#This Row],[TargetID]])</f>
        <v>4</v>
      </c>
      <c r="J864" s="41">
        <f>COUNTIFS(tblCost[TargetID],tblCost[[#This Row],[TargetID]],tblCost[PlayerPaid],TRUE)</f>
        <v>0</v>
      </c>
      <c r="K864" s="41">
        <f>tblCost[[#This Row],[TargetRequirements]]-tblCost[[#This Row],[CompletedRequirements]]</f>
        <v>4</v>
      </c>
      <c r="L864" s="41" t="b">
        <f>tblCost[[#This Row],[RemainingRequirements]]=0</f>
        <v>0</v>
      </c>
      <c r="M864" s="43">
        <f>IF(tblCost[[#This Row],[TargetRequirements]]=0,0,tblCost[[#This Row],[CompletedRequirements]]/tblCost[[#This Row],[TargetRequirements]])</f>
        <v>0</v>
      </c>
    </row>
    <row r="865" spans="1:13">
      <c r="A865" s="41" t="s">
        <v>4513</v>
      </c>
      <c r="B865" s="41" t="str">
        <f>_xlfn.TEXTAFTER(_xlfn.TEXTBEFORE(tblCost[[#This Row],[RequirementID]],".",-2),"cost.")</f>
        <v>tech.laboratory.research_and_development</v>
      </c>
      <c r="C865" s="41" t="str">
        <f>_xlfn.XLOOKUP(tblCost[[#This Row],[TargetID]],tblTargets[TargetID],tblTargets[DisplayName],"")</f>
        <v>Laboratory - Research And Development</v>
      </c>
      <c r="D865" s="41" t="str">
        <f>_xlfn.XLOOKUP(tblCost[[#This Row],[TargetID]],tblTargets[TargetID],tblTargets[TargetType],"")</f>
        <v>TECH</v>
      </c>
      <c r="E865" s="41" t="s">
        <v>926</v>
      </c>
      <c r="F865" s="62" t="str">
        <f>RIGHT(tblCost[[#This Row],[RequirementID]],1)</f>
        <v>1</v>
      </c>
      <c r="G865" s="41">
        <v>20</v>
      </c>
      <c r="H865" t="b">
        <f>COUNTIFS(tblCostChecklist[RequirementID],tblCost[[#This Row],[RequirementID]],tblCostChecklist[PlayerPaid],TRUE)&gt;0</f>
        <v>0</v>
      </c>
      <c r="I865" s="41">
        <f>COUNTIF(tblCost[TargetID],tblCost[[#This Row],[TargetID]])</f>
        <v>9</v>
      </c>
      <c r="J865" s="41">
        <f>COUNTIFS(tblCost[TargetID],tblCost[[#This Row],[TargetID]],tblCost[PlayerPaid],TRUE)</f>
        <v>0</v>
      </c>
      <c r="K865" s="41">
        <f>tblCost[[#This Row],[TargetRequirements]]-tblCost[[#This Row],[CompletedRequirements]]</f>
        <v>9</v>
      </c>
      <c r="L865" s="41" t="b">
        <f>tblCost[[#This Row],[RemainingRequirements]]=0</f>
        <v>0</v>
      </c>
      <c r="M865" s="43">
        <f>IF(tblCost[[#This Row],[TargetRequirements]]=0,0,tblCost[[#This Row],[CompletedRequirements]]/tblCost[[#This Row],[TargetRequirements]])</f>
        <v>0</v>
      </c>
    </row>
    <row r="866" spans="1:13">
      <c r="A866" s="41" t="s">
        <v>4514</v>
      </c>
      <c r="B866" s="41" t="str">
        <f>_xlfn.TEXTAFTER(_xlfn.TEXTBEFORE(tblCost[[#This Row],[RequirementID]],".",-2),"cost.")</f>
        <v>tech.laboratory.research_and_development</v>
      </c>
      <c r="C866" s="41" t="str">
        <f>_xlfn.XLOOKUP(tblCost[[#This Row],[TargetID]],tblTargets[TargetID],tblTargets[DisplayName],"")</f>
        <v>Laboratory - Research And Development</v>
      </c>
      <c r="D866" s="41" t="str">
        <f>_xlfn.XLOOKUP(tblCost[[#This Row],[TargetID]],tblTargets[TargetID],tblTargets[TargetType],"")</f>
        <v>TECH</v>
      </c>
      <c r="E866" s="41" t="s">
        <v>662</v>
      </c>
      <c r="F866" s="62" t="str">
        <f>RIGHT(tblCost[[#This Row],[RequirementID]],1)</f>
        <v>1</v>
      </c>
      <c r="G866" s="41">
        <v>30</v>
      </c>
      <c r="H866" t="b">
        <f>COUNTIFS(tblCostChecklist[RequirementID],tblCost[[#This Row],[RequirementID]],tblCostChecklist[PlayerPaid],TRUE)&gt;0</f>
        <v>0</v>
      </c>
      <c r="I866" s="41">
        <f>COUNTIF(tblCost[TargetID],tblCost[[#This Row],[TargetID]])</f>
        <v>9</v>
      </c>
      <c r="J866" s="41">
        <f>COUNTIFS(tblCost[TargetID],tblCost[[#This Row],[TargetID]],tblCost[PlayerPaid],TRUE)</f>
        <v>0</v>
      </c>
      <c r="K866" s="41">
        <f>tblCost[[#This Row],[TargetRequirements]]-tblCost[[#This Row],[CompletedRequirements]]</f>
        <v>9</v>
      </c>
      <c r="L866" s="41" t="b">
        <f>tblCost[[#This Row],[RemainingRequirements]]=0</f>
        <v>0</v>
      </c>
      <c r="M866" s="43">
        <f>IF(tblCost[[#This Row],[TargetRequirements]]=0,0,tblCost[[#This Row],[CompletedRequirements]]/tblCost[[#This Row],[TargetRequirements]])</f>
        <v>0</v>
      </c>
    </row>
    <row r="867" spans="1:13">
      <c r="A867" s="41" t="s">
        <v>4515</v>
      </c>
      <c r="B867" s="41" t="str">
        <f>_xlfn.TEXTAFTER(_xlfn.TEXTBEFORE(tblCost[[#This Row],[RequirementID]],".",-2),"cost.")</f>
        <v>tech.laboratory.research_and_development</v>
      </c>
      <c r="C867" s="41" t="str">
        <f>_xlfn.XLOOKUP(tblCost[[#This Row],[TargetID]],tblTargets[TargetID],tblTargets[DisplayName],"")</f>
        <v>Laboratory - Research And Development</v>
      </c>
      <c r="D867" s="41" t="str">
        <f>_xlfn.XLOOKUP(tblCost[[#This Row],[TargetID]],tblTargets[TargetID],tblTargets[TargetType],"")</f>
        <v>TECH</v>
      </c>
      <c r="E867" s="41" t="s">
        <v>928</v>
      </c>
      <c r="F867" s="62" t="str">
        <f>RIGHT(tblCost[[#This Row],[RequirementID]],1)</f>
        <v>1</v>
      </c>
      <c r="G867" s="41">
        <v>20</v>
      </c>
      <c r="H867" t="b">
        <f>COUNTIFS(tblCostChecklist[RequirementID],tblCost[[#This Row],[RequirementID]],tblCostChecklist[PlayerPaid],TRUE)&gt;0</f>
        <v>0</v>
      </c>
      <c r="I867" s="41">
        <f>COUNTIF(tblCost[TargetID],tblCost[[#This Row],[TargetID]])</f>
        <v>9</v>
      </c>
      <c r="J867" s="41">
        <f>COUNTIFS(tblCost[TargetID],tblCost[[#This Row],[TargetID]],tblCost[PlayerPaid],TRUE)</f>
        <v>0</v>
      </c>
      <c r="K867" s="41">
        <f>tblCost[[#This Row],[TargetRequirements]]-tblCost[[#This Row],[CompletedRequirements]]</f>
        <v>9</v>
      </c>
      <c r="L867" s="41" t="b">
        <f>tblCost[[#This Row],[RemainingRequirements]]=0</f>
        <v>0</v>
      </c>
      <c r="M867" s="43">
        <f>IF(tblCost[[#This Row],[TargetRequirements]]=0,0,tblCost[[#This Row],[CompletedRequirements]]/tblCost[[#This Row],[TargetRequirements]])</f>
        <v>0</v>
      </c>
    </row>
    <row r="868" spans="1:13">
      <c r="A868" s="41" t="s">
        <v>4516</v>
      </c>
      <c r="B868" s="41" t="str">
        <f>_xlfn.TEXTAFTER(_xlfn.TEXTBEFORE(tblCost[[#This Row],[RequirementID]],".",-2),"cost.")</f>
        <v>tech.laboratory.research_and_development</v>
      </c>
      <c r="C868" s="41" t="str">
        <f>_xlfn.XLOOKUP(tblCost[[#This Row],[TargetID]],tblTargets[TargetID],tblTargets[DisplayName],"")</f>
        <v>Laboratory - Research And Development</v>
      </c>
      <c r="D868" s="41" t="str">
        <f>_xlfn.XLOOKUP(tblCost[[#This Row],[TargetID]],tblTargets[TargetID],tblTargets[TargetType],"")</f>
        <v>TECH</v>
      </c>
      <c r="E868" s="41" t="s">
        <v>666</v>
      </c>
      <c r="F868" s="62" t="str">
        <f>RIGHT(tblCost[[#This Row],[RequirementID]],1)</f>
        <v>1</v>
      </c>
      <c r="G868" s="41">
        <v>1000</v>
      </c>
      <c r="H868" t="b">
        <f>COUNTIFS(tblCostChecklist[RequirementID],tblCost[[#This Row],[RequirementID]],tblCostChecklist[PlayerPaid],TRUE)&gt;0</f>
        <v>0</v>
      </c>
      <c r="I868" s="41">
        <f>COUNTIF(tblCost[TargetID],tblCost[[#This Row],[TargetID]])</f>
        <v>9</v>
      </c>
      <c r="J868" s="41">
        <f>COUNTIFS(tblCost[TargetID],tblCost[[#This Row],[TargetID]],tblCost[PlayerPaid],TRUE)</f>
        <v>0</v>
      </c>
      <c r="K868" s="41">
        <f>tblCost[[#This Row],[TargetRequirements]]-tblCost[[#This Row],[CompletedRequirements]]</f>
        <v>9</v>
      </c>
      <c r="L868" s="41" t="b">
        <f>tblCost[[#This Row],[RemainingRequirements]]=0</f>
        <v>0</v>
      </c>
      <c r="M868" s="43">
        <f>IF(tblCost[[#This Row],[TargetRequirements]]=0,0,tblCost[[#This Row],[CompletedRequirements]]/tblCost[[#This Row],[TargetRequirements]])</f>
        <v>0</v>
      </c>
    </row>
    <row r="869" spans="1:13">
      <c r="A869" s="41" t="s">
        <v>4517</v>
      </c>
      <c r="B869" s="41" t="str">
        <f>_xlfn.TEXTAFTER(_xlfn.TEXTBEFORE(tblCost[[#This Row],[RequirementID]],".",-2),"cost.")</f>
        <v>tech.laboratory.research_and_development</v>
      </c>
      <c r="C869" s="41" t="str">
        <f>_xlfn.XLOOKUP(tblCost[[#This Row],[TargetID]],tblTargets[TargetID],tblTargets[DisplayName],"")</f>
        <v>Laboratory - Research And Development</v>
      </c>
      <c r="D869" s="41" t="str">
        <f>_xlfn.XLOOKUP(tblCost[[#This Row],[TargetID]],tblTargets[TargetID],tblTargets[TargetType],"")</f>
        <v>TECH</v>
      </c>
      <c r="E869" s="41" t="s">
        <v>670</v>
      </c>
      <c r="F869" s="62" t="str">
        <f>RIGHT(tblCost[[#This Row],[RequirementID]],1)</f>
        <v>1</v>
      </c>
      <c r="G869" s="41">
        <v>10</v>
      </c>
      <c r="H869" t="b">
        <f>COUNTIFS(tblCostChecklist[RequirementID],tblCost[[#This Row],[RequirementID]],tblCostChecklist[PlayerPaid],TRUE)&gt;0</f>
        <v>0</v>
      </c>
      <c r="I869" s="41">
        <f>COUNTIF(tblCost[TargetID],tblCost[[#This Row],[TargetID]])</f>
        <v>9</v>
      </c>
      <c r="J869" s="41">
        <f>COUNTIFS(tblCost[TargetID],tblCost[[#This Row],[TargetID]],tblCost[PlayerPaid],TRUE)</f>
        <v>0</v>
      </c>
      <c r="K869" s="41">
        <f>tblCost[[#This Row],[TargetRequirements]]-tblCost[[#This Row],[CompletedRequirements]]</f>
        <v>9</v>
      </c>
      <c r="L869" s="41" t="b">
        <f>tblCost[[#This Row],[RemainingRequirements]]=0</f>
        <v>0</v>
      </c>
      <c r="M869" s="43">
        <f>IF(tblCost[[#This Row],[TargetRequirements]]=0,0,tblCost[[#This Row],[CompletedRequirements]]/tblCost[[#This Row],[TargetRequirements]])</f>
        <v>0</v>
      </c>
    </row>
    <row r="870" spans="1:13">
      <c r="A870" s="41" t="s">
        <v>4518</v>
      </c>
      <c r="B870" s="41" t="str">
        <f>_xlfn.TEXTAFTER(_xlfn.TEXTBEFORE(tblCost[[#This Row],[RequirementID]],".",-2),"cost.")</f>
        <v>tech.laboratory.research_and_development</v>
      </c>
      <c r="C870" s="41" t="str">
        <f>_xlfn.XLOOKUP(tblCost[[#This Row],[TargetID]],tblTargets[TargetID],tblTargets[DisplayName],"")</f>
        <v>Laboratory - Research And Development</v>
      </c>
      <c r="D870" s="41" t="str">
        <f>_xlfn.XLOOKUP(tblCost[[#This Row],[TargetID]],tblTargets[TargetID],tblTargets[TargetType],"")</f>
        <v>TECH</v>
      </c>
      <c r="E870" s="41" t="s">
        <v>672</v>
      </c>
      <c r="F870" s="62" t="str">
        <f>RIGHT(tblCost[[#This Row],[RequirementID]],1)</f>
        <v>1</v>
      </c>
      <c r="G870" s="41">
        <v>20</v>
      </c>
      <c r="H870" t="b">
        <f>COUNTIFS(tblCostChecklist[RequirementID],tblCost[[#This Row],[RequirementID]],tblCostChecklist[PlayerPaid],TRUE)&gt;0</f>
        <v>0</v>
      </c>
      <c r="I870" s="41">
        <f>COUNTIF(tblCost[TargetID],tblCost[[#This Row],[TargetID]])</f>
        <v>9</v>
      </c>
      <c r="J870" s="41">
        <f>COUNTIFS(tblCost[TargetID],tblCost[[#This Row],[TargetID]],tblCost[PlayerPaid],TRUE)</f>
        <v>0</v>
      </c>
      <c r="K870" s="41">
        <f>tblCost[[#This Row],[TargetRequirements]]-tblCost[[#This Row],[CompletedRequirements]]</f>
        <v>9</v>
      </c>
      <c r="L870" s="41" t="b">
        <f>tblCost[[#This Row],[RemainingRequirements]]=0</f>
        <v>0</v>
      </c>
      <c r="M870" s="43">
        <f>IF(tblCost[[#This Row],[TargetRequirements]]=0,0,tblCost[[#This Row],[CompletedRequirements]]/tblCost[[#This Row],[TargetRequirements]])</f>
        <v>0</v>
      </c>
    </row>
    <row r="871" spans="1:13">
      <c r="A871" s="41" t="s">
        <v>4519</v>
      </c>
      <c r="B871" s="41" t="str">
        <f>_xlfn.TEXTAFTER(_xlfn.TEXTBEFORE(tblCost[[#This Row],[RequirementID]],".",-2),"cost.")</f>
        <v>tech.laboratory.research_and_development</v>
      </c>
      <c r="C871" s="41" t="str">
        <f>_xlfn.XLOOKUP(tblCost[[#This Row],[TargetID]],tblTargets[TargetID],tblTargets[DisplayName],"")</f>
        <v>Laboratory - Research And Development</v>
      </c>
      <c r="D871" s="41" t="str">
        <f>_xlfn.XLOOKUP(tblCost[[#This Row],[TargetID]],tblTargets[TargetID],tblTargets[TargetType],"")</f>
        <v>TECH</v>
      </c>
      <c r="E871" s="41" t="s">
        <v>688</v>
      </c>
      <c r="F871" s="62" t="str">
        <f>RIGHT(tblCost[[#This Row],[RequirementID]],1)</f>
        <v>1</v>
      </c>
      <c r="G871" s="41">
        <v>20</v>
      </c>
      <c r="H871" t="b">
        <f>COUNTIFS(tblCostChecklist[RequirementID],tblCost[[#This Row],[RequirementID]],tblCostChecklist[PlayerPaid],TRUE)&gt;0</f>
        <v>0</v>
      </c>
      <c r="I871" s="41">
        <f>COUNTIF(tblCost[TargetID],tblCost[[#This Row],[TargetID]])</f>
        <v>9</v>
      </c>
      <c r="J871" s="41">
        <f>COUNTIFS(tblCost[TargetID],tblCost[[#This Row],[TargetID]],tblCost[PlayerPaid],TRUE)</f>
        <v>0</v>
      </c>
      <c r="K871" s="41">
        <f>tblCost[[#This Row],[TargetRequirements]]-tblCost[[#This Row],[CompletedRequirements]]</f>
        <v>9</v>
      </c>
      <c r="L871" s="41" t="b">
        <f>tblCost[[#This Row],[RemainingRequirements]]=0</f>
        <v>0</v>
      </c>
      <c r="M871" s="43">
        <f>IF(tblCost[[#This Row],[TargetRequirements]]=0,0,tblCost[[#This Row],[CompletedRequirements]]/tblCost[[#This Row],[TargetRequirements]])</f>
        <v>0</v>
      </c>
    </row>
    <row r="872" spans="1:13">
      <c r="A872" s="41" t="s">
        <v>4520</v>
      </c>
      <c r="B872" s="41" t="str">
        <f>_xlfn.TEXTAFTER(_xlfn.TEXTBEFORE(tblCost[[#This Row],[RequirementID]],".",-2),"cost.")</f>
        <v>tech.laboratory.research_and_development</v>
      </c>
      <c r="C872" s="41" t="str">
        <f>_xlfn.XLOOKUP(tblCost[[#This Row],[TargetID]],tblTargets[TargetID],tblTargets[DisplayName],"")</f>
        <v>Laboratory - Research And Development</v>
      </c>
      <c r="D872" s="41" t="str">
        <f>_xlfn.XLOOKUP(tblCost[[#This Row],[TargetID]],tblTargets[TargetID],tblTargets[TargetType],"")</f>
        <v>TECH</v>
      </c>
      <c r="E872" s="41" t="s">
        <v>705</v>
      </c>
      <c r="F872" s="62" t="str">
        <f>RIGHT(tblCost[[#This Row],[RequirementID]],1)</f>
        <v>1</v>
      </c>
      <c r="G872" s="41">
        <v>20</v>
      </c>
      <c r="H872" t="b">
        <f>COUNTIFS(tblCostChecklist[RequirementID],tblCost[[#This Row],[RequirementID]],tblCostChecklist[PlayerPaid],TRUE)&gt;0</f>
        <v>0</v>
      </c>
      <c r="I872" s="41">
        <f>COUNTIF(tblCost[TargetID],tblCost[[#This Row],[TargetID]])</f>
        <v>9</v>
      </c>
      <c r="J872" s="41">
        <f>COUNTIFS(tblCost[TargetID],tblCost[[#This Row],[TargetID]],tblCost[PlayerPaid],TRUE)</f>
        <v>0</v>
      </c>
      <c r="K872" s="41">
        <f>tblCost[[#This Row],[TargetRequirements]]-tblCost[[#This Row],[CompletedRequirements]]</f>
        <v>9</v>
      </c>
      <c r="L872" s="41" t="b">
        <f>tblCost[[#This Row],[RemainingRequirements]]=0</f>
        <v>0</v>
      </c>
      <c r="M872" s="43">
        <f>IF(tblCost[[#This Row],[TargetRequirements]]=0,0,tblCost[[#This Row],[CompletedRequirements]]/tblCost[[#This Row],[TargetRequirements]])</f>
        <v>0</v>
      </c>
    </row>
    <row r="873" spans="1:13">
      <c r="A873" s="41" t="s">
        <v>4521</v>
      </c>
      <c r="B873" s="41" t="str">
        <f>_xlfn.TEXTAFTER(_xlfn.TEXTBEFORE(tblCost[[#This Row],[RequirementID]],".",-2),"cost.")</f>
        <v>tech.laboratory.research_and_development</v>
      </c>
      <c r="C873" s="41" t="str">
        <f>_xlfn.XLOOKUP(tblCost[[#This Row],[TargetID]],tblTargets[TargetID],tblTargets[DisplayName],"")</f>
        <v>Laboratory - Research And Development</v>
      </c>
      <c r="D873" s="41" t="str">
        <f>_xlfn.XLOOKUP(tblCost[[#This Row],[TargetID]],tblTargets[TargetID],tblTargets[TargetType],"")</f>
        <v>TECH</v>
      </c>
      <c r="E873" s="41" t="s">
        <v>708</v>
      </c>
      <c r="F873" s="62" t="str">
        <f>RIGHT(tblCost[[#This Row],[RequirementID]],1)</f>
        <v>1</v>
      </c>
      <c r="G873" s="41">
        <v>5</v>
      </c>
      <c r="H873" t="b">
        <f>COUNTIFS(tblCostChecklist[RequirementID],tblCost[[#This Row],[RequirementID]],tblCostChecklist[PlayerPaid],TRUE)&gt;0</f>
        <v>0</v>
      </c>
      <c r="I873" s="41">
        <f>COUNTIF(tblCost[TargetID],tblCost[[#This Row],[TargetID]])</f>
        <v>9</v>
      </c>
      <c r="J873" s="41">
        <f>COUNTIFS(tblCost[TargetID],tblCost[[#This Row],[TargetID]],tblCost[PlayerPaid],TRUE)</f>
        <v>0</v>
      </c>
      <c r="K873" s="41">
        <f>tblCost[[#This Row],[TargetRequirements]]-tblCost[[#This Row],[CompletedRequirements]]</f>
        <v>9</v>
      </c>
      <c r="L873" s="41" t="b">
        <f>tblCost[[#This Row],[RemainingRequirements]]=0</f>
        <v>0</v>
      </c>
      <c r="M873" s="43">
        <f>IF(tblCost[[#This Row],[TargetRequirements]]=0,0,tblCost[[#This Row],[CompletedRequirements]]/tblCost[[#This Row],[TargetRequirements]])</f>
        <v>0</v>
      </c>
    </row>
    <row r="874" spans="1:13">
      <c r="A874" s="41" t="s">
        <v>4522</v>
      </c>
      <c r="B874" s="41" t="str">
        <f>_xlfn.TEXTAFTER(_xlfn.TEXTBEFORE(tblCost[[#This Row],[RequirementID]],".",-2),"cost.")</f>
        <v>tech.laboratory.digitization</v>
      </c>
      <c r="C874" s="41" t="str">
        <f>_xlfn.XLOOKUP(tblCost[[#This Row],[TargetID]],tblTargets[TargetID],tblTargets[DisplayName],"")</f>
        <v>Laboratory - Digitization</v>
      </c>
      <c r="D874" s="41" t="str">
        <f>_xlfn.XLOOKUP(tblCost[[#This Row],[TargetID]],tblTargets[TargetID],tblTargets[TargetType],"")</f>
        <v>TECH</v>
      </c>
      <c r="E874" s="41" t="s">
        <v>662</v>
      </c>
      <c r="F874" s="62" t="str">
        <f>RIGHT(tblCost[[#This Row],[RequirementID]],1)</f>
        <v>1</v>
      </c>
      <c r="G874" s="41">
        <v>30</v>
      </c>
      <c r="H874" t="b">
        <f>COUNTIFS(tblCostChecklist[RequirementID],tblCost[[#This Row],[RequirementID]],tblCostChecklist[PlayerPaid],TRUE)&gt;0</f>
        <v>0</v>
      </c>
      <c r="I874" s="41">
        <f>COUNTIF(tblCost[TargetID],tblCost[[#This Row],[TargetID]])</f>
        <v>9</v>
      </c>
      <c r="J874" s="41">
        <f>COUNTIFS(tblCost[TargetID],tblCost[[#This Row],[TargetID]],tblCost[PlayerPaid],TRUE)</f>
        <v>0</v>
      </c>
      <c r="K874" s="41">
        <f>tblCost[[#This Row],[TargetRequirements]]-tblCost[[#This Row],[CompletedRequirements]]</f>
        <v>9</v>
      </c>
      <c r="L874" s="41" t="b">
        <f>tblCost[[#This Row],[RemainingRequirements]]=0</f>
        <v>0</v>
      </c>
      <c r="M874" s="43">
        <f>IF(tblCost[[#This Row],[TargetRequirements]]=0,0,tblCost[[#This Row],[CompletedRequirements]]/tblCost[[#This Row],[TargetRequirements]])</f>
        <v>0</v>
      </c>
    </row>
    <row r="875" spans="1:13">
      <c r="A875" s="41" t="s">
        <v>4523</v>
      </c>
      <c r="B875" s="41" t="str">
        <f>_xlfn.TEXTAFTER(_xlfn.TEXTBEFORE(tblCost[[#This Row],[RequirementID]],".",-2),"cost.")</f>
        <v>tech.laboratory.digitization</v>
      </c>
      <c r="C875" s="41" t="str">
        <f>_xlfn.XLOOKUP(tblCost[[#This Row],[TargetID]],tblTargets[TargetID],tblTargets[DisplayName],"")</f>
        <v>Laboratory - Digitization</v>
      </c>
      <c r="D875" s="41" t="str">
        <f>_xlfn.XLOOKUP(tblCost[[#This Row],[TargetID]],tblTargets[TargetID],tblTargets[TargetType],"")</f>
        <v>TECH</v>
      </c>
      <c r="E875" s="41" t="s">
        <v>664</v>
      </c>
      <c r="F875" s="62" t="str">
        <f>RIGHT(tblCost[[#This Row],[RequirementID]],1)</f>
        <v>1</v>
      </c>
      <c r="G875" s="41">
        <v>100</v>
      </c>
      <c r="H875" t="b">
        <f>COUNTIFS(tblCostChecklist[RequirementID],tblCost[[#This Row],[RequirementID]],tblCostChecklist[PlayerPaid],TRUE)&gt;0</f>
        <v>0</v>
      </c>
      <c r="I875" s="41">
        <f>COUNTIF(tblCost[TargetID],tblCost[[#This Row],[TargetID]])</f>
        <v>9</v>
      </c>
      <c r="J875" s="41">
        <f>COUNTIFS(tblCost[TargetID],tblCost[[#This Row],[TargetID]],tblCost[PlayerPaid],TRUE)</f>
        <v>0</v>
      </c>
      <c r="K875" s="41">
        <f>tblCost[[#This Row],[TargetRequirements]]-tblCost[[#This Row],[CompletedRequirements]]</f>
        <v>9</v>
      </c>
      <c r="L875" s="41" t="b">
        <f>tblCost[[#This Row],[RemainingRequirements]]=0</f>
        <v>0</v>
      </c>
      <c r="M875" s="43">
        <f>IF(tblCost[[#This Row],[TargetRequirements]]=0,0,tblCost[[#This Row],[CompletedRequirements]]/tblCost[[#This Row],[TargetRequirements]])</f>
        <v>0</v>
      </c>
    </row>
    <row r="876" spans="1:13">
      <c r="A876" s="41" t="s">
        <v>4524</v>
      </c>
      <c r="B876" s="41" t="str">
        <f>_xlfn.TEXTAFTER(_xlfn.TEXTBEFORE(tblCost[[#This Row],[RequirementID]],".",-2),"cost.")</f>
        <v>tech.laboratory.digitization</v>
      </c>
      <c r="C876" s="41" t="str">
        <f>_xlfn.XLOOKUP(tblCost[[#This Row],[TargetID]],tblTargets[TargetID],tblTargets[DisplayName],"")</f>
        <v>Laboratory - Digitization</v>
      </c>
      <c r="D876" s="41" t="str">
        <f>_xlfn.XLOOKUP(tblCost[[#This Row],[TargetID]],tblTargets[TargetID],tblTargets[TargetType],"")</f>
        <v>TECH</v>
      </c>
      <c r="E876" s="41" t="s">
        <v>666</v>
      </c>
      <c r="F876" s="62" t="str">
        <f>RIGHT(tblCost[[#This Row],[RequirementID]],1)</f>
        <v>1</v>
      </c>
      <c r="G876" s="41">
        <v>1000</v>
      </c>
      <c r="H876" t="b">
        <f>COUNTIFS(tblCostChecklist[RequirementID],tblCost[[#This Row],[RequirementID]],tblCostChecklist[PlayerPaid],TRUE)&gt;0</f>
        <v>0</v>
      </c>
      <c r="I876" s="41">
        <f>COUNTIF(tblCost[TargetID],tblCost[[#This Row],[TargetID]])</f>
        <v>9</v>
      </c>
      <c r="J876" s="41">
        <f>COUNTIFS(tblCost[TargetID],tblCost[[#This Row],[TargetID]],tblCost[PlayerPaid],TRUE)</f>
        <v>0</v>
      </c>
      <c r="K876" s="41">
        <f>tblCost[[#This Row],[TargetRequirements]]-tblCost[[#This Row],[CompletedRequirements]]</f>
        <v>9</v>
      </c>
      <c r="L876" s="41" t="b">
        <f>tblCost[[#This Row],[RemainingRequirements]]=0</f>
        <v>0</v>
      </c>
      <c r="M876" s="43">
        <f>IF(tblCost[[#This Row],[TargetRequirements]]=0,0,tblCost[[#This Row],[CompletedRequirements]]/tblCost[[#This Row],[TargetRequirements]])</f>
        <v>0</v>
      </c>
    </row>
    <row r="877" spans="1:13">
      <c r="A877" s="41" t="s">
        <v>4525</v>
      </c>
      <c r="B877" s="41" t="str">
        <f>_xlfn.TEXTAFTER(_xlfn.TEXTBEFORE(tblCost[[#This Row],[RequirementID]],".",-2),"cost.")</f>
        <v>tech.laboratory.digitization</v>
      </c>
      <c r="C877" s="41" t="str">
        <f>_xlfn.XLOOKUP(tblCost[[#This Row],[TargetID]],tblTargets[TargetID],tblTargets[DisplayName],"")</f>
        <v>Laboratory - Digitization</v>
      </c>
      <c r="D877" s="41" t="str">
        <f>_xlfn.XLOOKUP(tblCost[[#This Row],[TargetID]],tblTargets[TargetID],tblTargets[TargetType],"")</f>
        <v>TECH</v>
      </c>
      <c r="E877" s="41" t="s">
        <v>672</v>
      </c>
      <c r="F877" s="62" t="str">
        <f>RIGHT(tblCost[[#This Row],[RequirementID]],1)</f>
        <v>1</v>
      </c>
      <c r="G877" s="41">
        <v>20</v>
      </c>
      <c r="H877" t="b">
        <f>COUNTIFS(tblCostChecklist[RequirementID],tblCost[[#This Row],[RequirementID]],tblCostChecklist[PlayerPaid],TRUE)&gt;0</f>
        <v>0</v>
      </c>
      <c r="I877" s="41">
        <f>COUNTIF(tblCost[TargetID],tblCost[[#This Row],[TargetID]])</f>
        <v>9</v>
      </c>
      <c r="J877" s="41">
        <f>COUNTIFS(tblCost[TargetID],tblCost[[#This Row],[TargetID]],tblCost[PlayerPaid],TRUE)</f>
        <v>0</v>
      </c>
      <c r="K877" s="41">
        <f>tblCost[[#This Row],[TargetRequirements]]-tblCost[[#This Row],[CompletedRequirements]]</f>
        <v>9</v>
      </c>
      <c r="L877" s="41" t="b">
        <f>tblCost[[#This Row],[RemainingRequirements]]=0</f>
        <v>0</v>
      </c>
      <c r="M877" s="43">
        <f>IF(tblCost[[#This Row],[TargetRequirements]]=0,0,tblCost[[#This Row],[CompletedRequirements]]/tblCost[[#This Row],[TargetRequirements]])</f>
        <v>0</v>
      </c>
    </row>
    <row r="878" spans="1:13">
      <c r="A878" s="41" t="s">
        <v>4526</v>
      </c>
      <c r="B878" s="41" t="str">
        <f>_xlfn.TEXTAFTER(_xlfn.TEXTBEFORE(tblCost[[#This Row],[RequirementID]],".",-2),"cost.")</f>
        <v>tech.laboratory.digitization</v>
      </c>
      <c r="C878" s="41" t="str">
        <f>_xlfn.XLOOKUP(tblCost[[#This Row],[TargetID]],tblTargets[TargetID],tblTargets[DisplayName],"")</f>
        <v>Laboratory - Digitization</v>
      </c>
      <c r="D878" s="41" t="str">
        <f>_xlfn.XLOOKUP(tblCost[[#This Row],[TargetID]],tblTargets[TargetID],tblTargets[TargetType],"")</f>
        <v>TECH</v>
      </c>
      <c r="E878" s="41" t="s">
        <v>686</v>
      </c>
      <c r="F878" s="62" t="str">
        <f>RIGHT(tblCost[[#This Row],[RequirementID]],1)</f>
        <v>1</v>
      </c>
      <c r="G878" s="41">
        <v>30</v>
      </c>
      <c r="H878" t="b">
        <f>COUNTIFS(tblCostChecklist[RequirementID],tblCost[[#This Row],[RequirementID]],tblCostChecklist[PlayerPaid],TRUE)&gt;0</f>
        <v>0</v>
      </c>
      <c r="I878" s="41">
        <f>COUNTIF(tblCost[TargetID],tblCost[[#This Row],[TargetID]])</f>
        <v>9</v>
      </c>
      <c r="J878" s="41">
        <f>COUNTIFS(tblCost[TargetID],tblCost[[#This Row],[TargetID]],tblCost[PlayerPaid],TRUE)</f>
        <v>0</v>
      </c>
      <c r="K878" s="41">
        <f>tblCost[[#This Row],[TargetRequirements]]-tblCost[[#This Row],[CompletedRequirements]]</f>
        <v>9</v>
      </c>
      <c r="L878" s="41" t="b">
        <f>tblCost[[#This Row],[RemainingRequirements]]=0</f>
        <v>0</v>
      </c>
      <c r="M878" s="43">
        <f>IF(tblCost[[#This Row],[TargetRequirements]]=0,0,tblCost[[#This Row],[CompletedRequirements]]/tblCost[[#This Row],[TargetRequirements]])</f>
        <v>0</v>
      </c>
    </row>
    <row r="879" spans="1:13">
      <c r="A879" s="41" t="s">
        <v>4527</v>
      </c>
      <c r="B879" s="41" t="str">
        <f>_xlfn.TEXTAFTER(_xlfn.TEXTBEFORE(tblCost[[#This Row],[RequirementID]],".",-2),"cost.")</f>
        <v>tech.laboratory.digitization</v>
      </c>
      <c r="C879" s="41" t="str">
        <f>_xlfn.XLOOKUP(tblCost[[#This Row],[TargetID]],tblTargets[TargetID],tblTargets[DisplayName],"")</f>
        <v>Laboratory - Digitization</v>
      </c>
      <c r="D879" s="41" t="str">
        <f>_xlfn.XLOOKUP(tblCost[[#This Row],[TargetID]],tblTargets[TargetID],tblTargets[TargetType],"")</f>
        <v>TECH</v>
      </c>
      <c r="E879" s="41" t="s">
        <v>688</v>
      </c>
      <c r="F879" s="62" t="str">
        <f>RIGHT(tblCost[[#This Row],[RequirementID]],1)</f>
        <v>1</v>
      </c>
      <c r="G879" s="41">
        <v>20</v>
      </c>
      <c r="H879" t="b">
        <f>COUNTIFS(tblCostChecklist[RequirementID],tblCost[[#This Row],[RequirementID]],tblCostChecklist[PlayerPaid],TRUE)&gt;0</f>
        <v>0</v>
      </c>
      <c r="I879" s="41">
        <f>COUNTIF(tblCost[TargetID],tblCost[[#This Row],[TargetID]])</f>
        <v>9</v>
      </c>
      <c r="J879" s="41">
        <f>COUNTIFS(tblCost[TargetID],tblCost[[#This Row],[TargetID]],tblCost[PlayerPaid],TRUE)</f>
        <v>0</v>
      </c>
      <c r="K879" s="41">
        <f>tblCost[[#This Row],[TargetRequirements]]-tblCost[[#This Row],[CompletedRequirements]]</f>
        <v>9</v>
      </c>
      <c r="L879" s="41" t="b">
        <f>tblCost[[#This Row],[RemainingRequirements]]=0</f>
        <v>0</v>
      </c>
      <c r="M879" s="43">
        <f>IF(tblCost[[#This Row],[TargetRequirements]]=0,0,tblCost[[#This Row],[CompletedRequirements]]/tblCost[[#This Row],[TargetRequirements]])</f>
        <v>0</v>
      </c>
    </row>
    <row r="880" spans="1:13">
      <c r="A880" s="41" t="s">
        <v>4528</v>
      </c>
      <c r="B880" s="41" t="str">
        <f>_xlfn.TEXTAFTER(_xlfn.TEXTBEFORE(tblCost[[#This Row],[RequirementID]],".",-2),"cost.")</f>
        <v>tech.laboratory.digitization</v>
      </c>
      <c r="C880" s="41" t="str">
        <f>_xlfn.XLOOKUP(tblCost[[#This Row],[TargetID]],tblTargets[TargetID],tblTargets[DisplayName],"")</f>
        <v>Laboratory - Digitization</v>
      </c>
      <c r="D880" s="41" t="str">
        <f>_xlfn.XLOOKUP(tblCost[[#This Row],[TargetID]],tblTargets[TargetID],tblTargets[TargetType],"")</f>
        <v>TECH</v>
      </c>
      <c r="E880" s="41" t="s">
        <v>697</v>
      </c>
      <c r="F880" s="62" t="str">
        <f>RIGHT(tblCost[[#This Row],[RequirementID]],1)</f>
        <v>1</v>
      </c>
      <c r="G880" s="41">
        <v>40</v>
      </c>
      <c r="H880" t="b">
        <f>COUNTIFS(tblCostChecklist[RequirementID],tblCost[[#This Row],[RequirementID]],tblCostChecklist[PlayerPaid],TRUE)&gt;0</f>
        <v>0</v>
      </c>
      <c r="I880" s="41">
        <f>COUNTIF(tblCost[TargetID],tblCost[[#This Row],[TargetID]])</f>
        <v>9</v>
      </c>
      <c r="J880" s="41">
        <f>COUNTIFS(tblCost[TargetID],tblCost[[#This Row],[TargetID]],tblCost[PlayerPaid],TRUE)</f>
        <v>0</v>
      </c>
      <c r="K880" s="41">
        <f>tblCost[[#This Row],[TargetRequirements]]-tblCost[[#This Row],[CompletedRequirements]]</f>
        <v>9</v>
      </c>
      <c r="L880" s="41" t="b">
        <f>tblCost[[#This Row],[RemainingRequirements]]=0</f>
        <v>0</v>
      </c>
      <c r="M880" s="43">
        <f>IF(tblCost[[#This Row],[TargetRequirements]]=0,0,tblCost[[#This Row],[CompletedRequirements]]/tblCost[[#This Row],[TargetRequirements]])</f>
        <v>0</v>
      </c>
    </row>
    <row r="881" spans="1:13">
      <c r="A881" s="41" t="s">
        <v>4529</v>
      </c>
      <c r="B881" s="41" t="str">
        <f>_xlfn.TEXTAFTER(_xlfn.TEXTBEFORE(tblCost[[#This Row],[RequirementID]],".",-2),"cost.")</f>
        <v>tech.laboratory.digitization</v>
      </c>
      <c r="C881" s="41" t="str">
        <f>_xlfn.XLOOKUP(tblCost[[#This Row],[TargetID]],tblTargets[TargetID],tblTargets[DisplayName],"")</f>
        <v>Laboratory - Digitization</v>
      </c>
      <c r="D881" s="41" t="str">
        <f>_xlfn.XLOOKUP(tblCost[[#This Row],[TargetID]],tblTargets[TargetID],tblTargets[TargetType],"")</f>
        <v>TECH</v>
      </c>
      <c r="E881" s="41" t="s">
        <v>703</v>
      </c>
      <c r="F881" s="62" t="str">
        <f>RIGHT(tblCost[[#This Row],[RequirementID]],1)</f>
        <v>1</v>
      </c>
      <c r="G881" s="41">
        <v>20</v>
      </c>
      <c r="H881" t="b">
        <f>COUNTIFS(tblCostChecklist[RequirementID],tblCost[[#This Row],[RequirementID]],tblCostChecklist[PlayerPaid],TRUE)&gt;0</f>
        <v>0</v>
      </c>
      <c r="I881" s="41">
        <f>COUNTIF(tblCost[TargetID],tblCost[[#This Row],[TargetID]])</f>
        <v>9</v>
      </c>
      <c r="J881" s="41">
        <f>COUNTIFS(tblCost[TargetID],tblCost[[#This Row],[TargetID]],tblCost[PlayerPaid],TRUE)</f>
        <v>0</v>
      </c>
      <c r="K881" s="41">
        <f>tblCost[[#This Row],[TargetRequirements]]-tblCost[[#This Row],[CompletedRequirements]]</f>
        <v>9</v>
      </c>
      <c r="L881" s="41" t="b">
        <f>tblCost[[#This Row],[RemainingRequirements]]=0</f>
        <v>0</v>
      </c>
      <c r="M881" s="43">
        <f>IF(tblCost[[#This Row],[TargetRequirements]]=0,0,tblCost[[#This Row],[CompletedRequirements]]/tblCost[[#This Row],[TargetRequirements]])</f>
        <v>0</v>
      </c>
    </row>
    <row r="882" spans="1:13">
      <c r="A882" s="41" t="s">
        <v>4530</v>
      </c>
      <c r="B882" s="41" t="str">
        <f>_xlfn.TEXTAFTER(_xlfn.TEXTBEFORE(tblCost[[#This Row],[RequirementID]],".",-2),"cost.")</f>
        <v>tech.laboratory.digitization</v>
      </c>
      <c r="C882" s="41" t="str">
        <f>_xlfn.XLOOKUP(tblCost[[#This Row],[TargetID]],tblTargets[TargetID],tblTargets[DisplayName],"")</f>
        <v>Laboratory - Digitization</v>
      </c>
      <c r="D882" s="41" t="str">
        <f>_xlfn.XLOOKUP(tblCost[[#This Row],[TargetID]],tblTargets[TargetID],tblTargets[TargetType],"")</f>
        <v>TECH</v>
      </c>
      <c r="E882" s="41" t="s">
        <v>708</v>
      </c>
      <c r="F882" s="62" t="str">
        <f>RIGHT(tblCost[[#This Row],[RequirementID]],1)</f>
        <v>1</v>
      </c>
      <c r="G882" s="41">
        <v>5</v>
      </c>
      <c r="H882" t="b">
        <f>COUNTIFS(tblCostChecklist[RequirementID],tblCost[[#This Row],[RequirementID]],tblCostChecklist[PlayerPaid],TRUE)&gt;0</f>
        <v>0</v>
      </c>
      <c r="I882" s="41">
        <f>COUNTIF(tblCost[TargetID],tblCost[[#This Row],[TargetID]])</f>
        <v>9</v>
      </c>
      <c r="J882" s="41">
        <f>COUNTIFS(tblCost[TargetID],tblCost[[#This Row],[TargetID]],tblCost[PlayerPaid],TRUE)</f>
        <v>0</v>
      </c>
      <c r="K882" s="41">
        <f>tblCost[[#This Row],[TargetRequirements]]-tblCost[[#This Row],[CompletedRequirements]]</f>
        <v>9</v>
      </c>
      <c r="L882" s="41" t="b">
        <f>tblCost[[#This Row],[RemainingRequirements]]=0</f>
        <v>0</v>
      </c>
      <c r="M882" s="43">
        <f>IF(tblCost[[#This Row],[TargetRequirements]]=0,0,tblCost[[#This Row],[CompletedRequirements]]/tblCost[[#This Row],[TargetRequirements]])</f>
        <v>0</v>
      </c>
    </row>
    <row r="883" spans="1:13">
      <c r="A883" s="41" t="s">
        <v>4531</v>
      </c>
      <c r="B883" s="41" t="str">
        <f>_xlfn.TEXTAFTER(_xlfn.TEXTBEFORE(tblCost[[#This Row],[RequirementID]],".",-2),"cost.")</f>
        <v>tech.laboratory.experiments</v>
      </c>
      <c r="C883" s="41" t="str">
        <f>_xlfn.XLOOKUP(tblCost[[#This Row],[TargetID]],tblTargets[TargetID],tblTargets[DisplayName],"")</f>
        <v>Laboratory - Experiments</v>
      </c>
      <c r="D883" s="41" t="str">
        <f>_xlfn.XLOOKUP(tblCost[[#This Row],[TargetID]],tblTargets[TargetID],tblTargets[TargetType],"")</f>
        <v>TECH</v>
      </c>
      <c r="E883" s="41" t="s">
        <v>662</v>
      </c>
      <c r="F883" s="62" t="str">
        <f>RIGHT(tblCost[[#This Row],[RequirementID]],1)</f>
        <v>1</v>
      </c>
      <c r="G883" s="41">
        <v>40</v>
      </c>
      <c r="H883" t="b">
        <f>COUNTIFS(tblCostChecklist[RequirementID],tblCost[[#This Row],[RequirementID]],tblCostChecklist[PlayerPaid],TRUE)&gt;0</f>
        <v>0</v>
      </c>
      <c r="I883" s="41">
        <f>COUNTIF(tblCost[TargetID],tblCost[[#This Row],[TargetID]])</f>
        <v>9</v>
      </c>
      <c r="J883" s="41">
        <f>COUNTIFS(tblCost[TargetID],tblCost[[#This Row],[TargetID]],tblCost[PlayerPaid],TRUE)</f>
        <v>0</v>
      </c>
      <c r="K883" s="41">
        <f>tblCost[[#This Row],[TargetRequirements]]-tblCost[[#This Row],[CompletedRequirements]]</f>
        <v>9</v>
      </c>
      <c r="L883" s="41" t="b">
        <f>tblCost[[#This Row],[RemainingRequirements]]=0</f>
        <v>0</v>
      </c>
      <c r="M883" s="43">
        <f>IF(tblCost[[#This Row],[TargetRequirements]]=0,0,tblCost[[#This Row],[CompletedRequirements]]/tblCost[[#This Row],[TargetRequirements]])</f>
        <v>0</v>
      </c>
    </row>
    <row r="884" spans="1:13">
      <c r="A884" s="41" t="s">
        <v>4532</v>
      </c>
      <c r="B884" s="41" t="str">
        <f>_xlfn.TEXTAFTER(_xlfn.TEXTBEFORE(tblCost[[#This Row],[RequirementID]],".",-2),"cost.")</f>
        <v>tech.laboratory.experiments</v>
      </c>
      <c r="C884" s="41" t="str">
        <f>_xlfn.XLOOKUP(tblCost[[#This Row],[TargetID]],tblTargets[TargetID],tblTargets[DisplayName],"")</f>
        <v>Laboratory - Experiments</v>
      </c>
      <c r="D884" s="41" t="str">
        <f>_xlfn.XLOOKUP(tblCost[[#This Row],[TargetID]],tblTargets[TargetID],tblTargets[TargetType],"")</f>
        <v>TECH</v>
      </c>
      <c r="E884" s="41" t="s">
        <v>666</v>
      </c>
      <c r="F884" s="62" t="str">
        <f>RIGHT(tblCost[[#This Row],[RequirementID]],1)</f>
        <v>1</v>
      </c>
      <c r="G884" s="41">
        <v>1000</v>
      </c>
      <c r="H884" t="b">
        <f>COUNTIFS(tblCostChecklist[RequirementID],tblCost[[#This Row],[RequirementID]],tblCostChecklist[PlayerPaid],TRUE)&gt;0</f>
        <v>0</v>
      </c>
      <c r="I884" s="41">
        <f>COUNTIF(tblCost[TargetID],tblCost[[#This Row],[TargetID]])</f>
        <v>9</v>
      </c>
      <c r="J884" s="41">
        <f>COUNTIFS(tblCost[TargetID],tblCost[[#This Row],[TargetID]],tblCost[PlayerPaid],TRUE)</f>
        <v>0</v>
      </c>
      <c r="K884" s="41">
        <f>tblCost[[#This Row],[TargetRequirements]]-tblCost[[#This Row],[CompletedRequirements]]</f>
        <v>9</v>
      </c>
      <c r="L884" s="41" t="b">
        <f>tblCost[[#This Row],[RemainingRequirements]]=0</f>
        <v>0</v>
      </c>
      <c r="M884" s="43">
        <f>IF(tblCost[[#This Row],[TargetRequirements]]=0,0,tblCost[[#This Row],[CompletedRequirements]]/tblCost[[#This Row],[TargetRequirements]])</f>
        <v>0</v>
      </c>
    </row>
    <row r="885" spans="1:13">
      <c r="A885" s="41" t="s">
        <v>4533</v>
      </c>
      <c r="B885" s="41" t="str">
        <f>_xlfn.TEXTAFTER(_xlfn.TEXTBEFORE(tblCost[[#This Row],[RequirementID]],".",-2),"cost.")</f>
        <v>tech.laboratory.experiments</v>
      </c>
      <c r="C885" s="41" t="str">
        <f>_xlfn.XLOOKUP(tblCost[[#This Row],[TargetID]],tblTargets[TargetID],tblTargets[DisplayName],"")</f>
        <v>Laboratory - Experiments</v>
      </c>
      <c r="D885" s="41" t="str">
        <f>_xlfn.XLOOKUP(tblCost[[#This Row],[TargetID]],tblTargets[TargetID],tblTargets[TargetType],"")</f>
        <v>TECH</v>
      </c>
      <c r="E885" s="41" t="s">
        <v>930</v>
      </c>
      <c r="F885" s="62" t="str">
        <f>RIGHT(tblCost[[#This Row],[RequirementID]],1)</f>
        <v>1</v>
      </c>
      <c r="G885" s="41">
        <v>2</v>
      </c>
      <c r="H885" t="b">
        <f>COUNTIFS(tblCostChecklist[RequirementID],tblCost[[#This Row],[RequirementID]],tblCostChecklist[PlayerPaid],TRUE)&gt;0</f>
        <v>0</v>
      </c>
      <c r="I885" s="41">
        <f>COUNTIF(tblCost[TargetID],tblCost[[#This Row],[TargetID]])</f>
        <v>9</v>
      </c>
      <c r="J885" s="41">
        <f>COUNTIFS(tblCost[TargetID],tblCost[[#This Row],[TargetID]],tblCost[PlayerPaid],TRUE)</f>
        <v>0</v>
      </c>
      <c r="K885" s="41">
        <f>tblCost[[#This Row],[TargetRequirements]]-tblCost[[#This Row],[CompletedRequirements]]</f>
        <v>9</v>
      </c>
      <c r="L885" s="41" t="b">
        <f>tblCost[[#This Row],[RemainingRequirements]]=0</f>
        <v>0</v>
      </c>
      <c r="M885" s="43">
        <f>IF(tblCost[[#This Row],[TargetRequirements]]=0,0,tblCost[[#This Row],[CompletedRequirements]]/tblCost[[#This Row],[TargetRequirements]])</f>
        <v>0</v>
      </c>
    </row>
    <row r="886" spans="1:13">
      <c r="A886" s="41" t="s">
        <v>4534</v>
      </c>
      <c r="B886" s="41" t="str">
        <f>_xlfn.TEXTAFTER(_xlfn.TEXTBEFORE(tblCost[[#This Row],[RequirementID]],".",-2),"cost.")</f>
        <v>tech.laboratory.experiments</v>
      </c>
      <c r="C886" s="41" t="str">
        <f>_xlfn.XLOOKUP(tblCost[[#This Row],[TargetID]],tblTargets[TargetID],tblTargets[DisplayName],"")</f>
        <v>Laboratory - Experiments</v>
      </c>
      <c r="D886" s="41" t="str">
        <f>_xlfn.XLOOKUP(tblCost[[#This Row],[TargetID]],tblTargets[TargetID],tblTargets[TargetType],"")</f>
        <v>TECH</v>
      </c>
      <c r="E886" s="41" t="s">
        <v>672</v>
      </c>
      <c r="F886" s="62" t="str">
        <f>RIGHT(tblCost[[#This Row],[RequirementID]],1)</f>
        <v>1</v>
      </c>
      <c r="G886" s="41">
        <v>30</v>
      </c>
      <c r="H886" t="b">
        <f>COUNTIFS(tblCostChecklist[RequirementID],tblCost[[#This Row],[RequirementID]],tblCostChecklist[PlayerPaid],TRUE)&gt;0</f>
        <v>0</v>
      </c>
      <c r="I886" s="41">
        <f>COUNTIF(tblCost[TargetID],tblCost[[#This Row],[TargetID]])</f>
        <v>9</v>
      </c>
      <c r="J886" s="41">
        <f>COUNTIFS(tblCost[TargetID],tblCost[[#This Row],[TargetID]],tblCost[PlayerPaid],TRUE)</f>
        <v>0</v>
      </c>
      <c r="K886" s="41">
        <f>tblCost[[#This Row],[TargetRequirements]]-tblCost[[#This Row],[CompletedRequirements]]</f>
        <v>9</v>
      </c>
      <c r="L886" s="41" t="b">
        <f>tblCost[[#This Row],[RemainingRequirements]]=0</f>
        <v>0</v>
      </c>
      <c r="M886" s="43">
        <f>IF(tblCost[[#This Row],[TargetRequirements]]=0,0,tblCost[[#This Row],[CompletedRequirements]]/tblCost[[#This Row],[TargetRequirements]])</f>
        <v>0</v>
      </c>
    </row>
    <row r="887" spans="1:13">
      <c r="A887" s="41" t="s">
        <v>4535</v>
      </c>
      <c r="B887" s="41" t="str">
        <f>_xlfn.TEXTAFTER(_xlfn.TEXTBEFORE(tblCost[[#This Row],[RequirementID]],".",-2),"cost.")</f>
        <v>tech.laboratory.experiments</v>
      </c>
      <c r="C887" s="41" t="str">
        <f>_xlfn.XLOOKUP(tblCost[[#This Row],[TargetID]],tblTargets[TargetID],tblTargets[DisplayName],"")</f>
        <v>Laboratory - Experiments</v>
      </c>
      <c r="D887" s="41" t="str">
        <f>_xlfn.XLOOKUP(tblCost[[#This Row],[TargetID]],tblTargets[TargetID],tblTargets[TargetType],"")</f>
        <v>TECH</v>
      </c>
      <c r="E887" s="41" t="s">
        <v>687</v>
      </c>
      <c r="F887" s="62" t="str">
        <f>RIGHT(tblCost[[#This Row],[RequirementID]],1)</f>
        <v>1</v>
      </c>
      <c r="G887" s="41">
        <v>20</v>
      </c>
      <c r="H887" t="b">
        <f>COUNTIFS(tblCostChecklist[RequirementID],tblCost[[#This Row],[RequirementID]],tblCostChecklist[PlayerPaid],TRUE)&gt;0</f>
        <v>0</v>
      </c>
      <c r="I887" s="41">
        <f>COUNTIF(tblCost[TargetID],tblCost[[#This Row],[TargetID]])</f>
        <v>9</v>
      </c>
      <c r="J887" s="41">
        <f>COUNTIFS(tblCost[TargetID],tblCost[[#This Row],[TargetID]],tblCost[PlayerPaid],TRUE)</f>
        <v>0</v>
      </c>
      <c r="K887" s="41">
        <f>tblCost[[#This Row],[TargetRequirements]]-tblCost[[#This Row],[CompletedRequirements]]</f>
        <v>9</v>
      </c>
      <c r="L887" s="41" t="b">
        <f>tblCost[[#This Row],[RemainingRequirements]]=0</f>
        <v>0</v>
      </c>
      <c r="M887" s="43">
        <f>IF(tblCost[[#This Row],[TargetRequirements]]=0,0,tblCost[[#This Row],[CompletedRequirements]]/tblCost[[#This Row],[TargetRequirements]])</f>
        <v>0</v>
      </c>
    </row>
    <row r="888" spans="1:13">
      <c r="A888" s="41" t="s">
        <v>4536</v>
      </c>
      <c r="B888" s="41" t="str">
        <f>_xlfn.TEXTAFTER(_xlfn.TEXTBEFORE(tblCost[[#This Row],[RequirementID]],".",-2),"cost.")</f>
        <v>tech.laboratory.experiments</v>
      </c>
      <c r="C888" s="41" t="str">
        <f>_xlfn.XLOOKUP(tblCost[[#This Row],[TargetID]],tblTargets[TargetID],tblTargets[DisplayName],"")</f>
        <v>Laboratory - Experiments</v>
      </c>
      <c r="D888" s="41" t="str">
        <f>_xlfn.XLOOKUP(tblCost[[#This Row],[TargetID]],tblTargets[TargetID],tblTargets[TargetType],"")</f>
        <v>TECH</v>
      </c>
      <c r="E888" s="41" t="s">
        <v>688</v>
      </c>
      <c r="F888" s="62" t="str">
        <f>RIGHT(tblCost[[#This Row],[RequirementID]],1)</f>
        <v>1</v>
      </c>
      <c r="G888" s="41">
        <v>30</v>
      </c>
      <c r="H888" t="b">
        <f>COUNTIFS(tblCostChecklist[RequirementID],tblCost[[#This Row],[RequirementID]],tblCostChecklist[PlayerPaid],TRUE)&gt;0</f>
        <v>0</v>
      </c>
      <c r="I888" s="41">
        <f>COUNTIF(tblCost[TargetID],tblCost[[#This Row],[TargetID]])</f>
        <v>9</v>
      </c>
      <c r="J888" s="41">
        <f>COUNTIFS(tblCost[TargetID],tblCost[[#This Row],[TargetID]],tblCost[PlayerPaid],TRUE)</f>
        <v>0</v>
      </c>
      <c r="K888" s="41">
        <f>tblCost[[#This Row],[TargetRequirements]]-tblCost[[#This Row],[CompletedRequirements]]</f>
        <v>9</v>
      </c>
      <c r="L888" s="41" t="b">
        <f>tblCost[[#This Row],[RemainingRequirements]]=0</f>
        <v>0</v>
      </c>
      <c r="M888" s="43">
        <f>IF(tblCost[[#This Row],[TargetRequirements]]=0,0,tblCost[[#This Row],[CompletedRequirements]]/tblCost[[#This Row],[TargetRequirements]])</f>
        <v>0</v>
      </c>
    </row>
    <row r="889" spans="1:13">
      <c r="A889" s="41" t="s">
        <v>4537</v>
      </c>
      <c r="B889" s="41" t="str">
        <f>_xlfn.TEXTAFTER(_xlfn.TEXTBEFORE(tblCost[[#This Row],[RequirementID]],".",-2),"cost.")</f>
        <v>tech.laboratory.experiments</v>
      </c>
      <c r="C889" s="41" t="str">
        <f>_xlfn.XLOOKUP(tblCost[[#This Row],[TargetID]],tblTargets[TargetID],tblTargets[DisplayName],"")</f>
        <v>Laboratory - Experiments</v>
      </c>
      <c r="D889" s="41" t="str">
        <f>_xlfn.XLOOKUP(tblCost[[#This Row],[TargetID]],tblTargets[TargetID],tblTargets[TargetType],"")</f>
        <v>TECH</v>
      </c>
      <c r="E889" s="41" t="s">
        <v>708</v>
      </c>
      <c r="F889" s="62" t="str">
        <f>RIGHT(tblCost[[#This Row],[RequirementID]],1)</f>
        <v>1</v>
      </c>
      <c r="G889" s="41">
        <v>5</v>
      </c>
      <c r="H889" t="b">
        <f>COUNTIFS(tblCostChecklist[RequirementID],tblCost[[#This Row],[RequirementID]],tblCostChecklist[PlayerPaid],TRUE)&gt;0</f>
        <v>0</v>
      </c>
      <c r="I889" s="41">
        <f>COUNTIF(tblCost[TargetID],tblCost[[#This Row],[TargetID]])</f>
        <v>9</v>
      </c>
      <c r="J889" s="41">
        <f>COUNTIFS(tblCost[TargetID],tblCost[[#This Row],[TargetID]],tblCost[PlayerPaid],TRUE)</f>
        <v>0</v>
      </c>
      <c r="K889" s="41">
        <f>tblCost[[#This Row],[TargetRequirements]]-tblCost[[#This Row],[CompletedRequirements]]</f>
        <v>9</v>
      </c>
      <c r="L889" s="41" t="b">
        <f>tblCost[[#This Row],[RemainingRequirements]]=0</f>
        <v>0</v>
      </c>
      <c r="M889" s="43">
        <f>IF(tblCost[[#This Row],[TargetRequirements]]=0,0,tblCost[[#This Row],[CompletedRequirements]]/tblCost[[#This Row],[TargetRequirements]])</f>
        <v>0</v>
      </c>
    </row>
    <row r="890" spans="1:13">
      <c r="A890" s="41" t="s">
        <v>4538</v>
      </c>
      <c r="B890" s="41" t="str">
        <f>_xlfn.TEXTAFTER(_xlfn.TEXTBEFORE(tblCost[[#This Row],[RequirementID]],".",-2),"cost.")</f>
        <v>tech.laboratory.experiments</v>
      </c>
      <c r="C890" s="41" t="str">
        <f>_xlfn.XLOOKUP(tblCost[[#This Row],[TargetID]],tblTargets[TargetID],tblTargets[DisplayName],"")</f>
        <v>Laboratory - Experiments</v>
      </c>
      <c r="D890" s="41" t="str">
        <f>_xlfn.XLOOKUP(tblCost[[#This Row],[TargetID]],tblTargets[TargetID],tblTargets[TargetType],"")</f>
        <v>TECH</v>
      </c>
      <c r="E890" s="41" t="s">
        <v>955</v>
      </c>
      <c r="F890" s="62" t="str">
        <f>RIGHT(tblCost[[#This Row],[RequirementID]],1)</f>
        <v>1</v>
      </c>
      <c r="G890" s="41">
        <v>20</v>
      </c>
      <c r="H890" t="b">
        <f>COUNTIFS(tblCostChecklist[RequirementID],tblCost[[#This Row],[RequirementID]],tblCostChecklist[PlayerPaid],TRUE)&gt;0</f>
        <v>0</v>
      </c>
      <c r="I890" s="41">
        <f>COUNTIF(tblCost[TargetID],tblCost[[#This Row],[TargetID]])</f>
        <v>9</v>
      </c>
      <c r="J890" s="41">
        <f>COUNTIFS(tblCost[TargetID],tblCost[[#This Row],[TargetID]],tblCost[PlayerPaid],TRUE)</f>
        <v>0</v>
      </c>
      <c r="K890" s="41">
        <f>tblCost[[#This Row],[TargetRequirements]]-tblCost[[#This Row],[CompletedRequirements]]</f>
        <v>9</v>
      </c>
      <c r="L890" s="41" t="b">
        <f>tblCost[[#This Row],[RemainingRequirements]]=0</f>
        <v>0</v>
      </c>
      <c r="M890" s="43">
        <f>IF(tblCost[[#This Row],[TargetRequirements]]=0,0,tblCost[[#This Row],[CompletedRequirements]]/tblCost[[#This Row],[TargetRequirements]])</f>
        <v>0</v>
      </c>
    </row>
    <row r="891" spans="1:13">
      <c r="A891" s="41" t="s">
        <v>4539</v>
      </c>
      <c r="B891" s="41" t="str">
        <f>_xlfn.TEXTAFTER(_xlfn.TEXTBEFORE(tblCost[[#This Row],[RequirementID]],".",-2),"cost.")</f>
        <v>tech.laboratory.experiments</v>
      </c>
      <c r="C891" s="41" t="str">
        <f>_xlfn.XLOOKUP(tblCost[[#This Row],[TargetID]],tblTargets[TargetID],tblTargets[DisplayName],"")</f>
        <v>Laboratory - Experiments</v>
      </c>
      <c r="D891" s="41" t="str">
        <f>_xlfn.XLOOKUP(tblCost[[#This Row],[TargetID]],tblTargets[TargetID],tblTargets[TargetType],"")</f>
        <v>TECH</v>
      </c>
      <c r="E891" s="41" t="s">
        <v>958</v>
      </c>
      <c r="F891" s="62" t="str">
        <f>RIGHT(tblCost[[#This Row],[RequirementID]],1)</f>
        <v>1</v>
      </c>
      <c r="G891" s="41">
        <v>10</v>
      </c>
      <c r="H891" t="b">
        <f>COUNTIFS(tblCostChecklist[RequirementID],tblCost[[#This Row],[RequirementID]],tblCostChecklist[PlayerPaid],TRUE)&gt;0</f>
        <v>0</v>
      </c>
      <c r="I891" s="41">
        <f>COUNTIF(tblCost[TargetID],tblCost[[#This Row],[TargetID]])</f>
        <v>9</v>
      </c>
      <c r="J891" s="41">
        <f>COUNTIFS(tblCost[TargetID],tblCost[[#This Row],[TargetID]],tblCost[PlayerPaid],TRUE)</f>
        <v>0</v>
      </c>
      <c r="K891" s="41">
        <f>tblCost[[#This Row],[TargetRequirements]]-tblCost[[#This Row],[CompletedRequirements]]</f>
        <v>9</v>
      </c>
      <c r="L891" s="41" t="b">
        <f>tblCost[[#This Row],[RemainingRequirements]]=0</f>
        <v>0</v>
      </c>
      <c r="M891" s="43">
        <f>IF(tblCost[[#This Row],[TargetRequirements]]=0,0,tblCost[[#This Row],[CompletedRequirements]]/tblCost[[#This Row],[TargetRequirements]])</f>
        <v>0</v>
      </c>
    </row>
    <row r="892" spans="1:13">
      <c r="A892" s="41" t="s">
        <v>4540</v>
      </c>
      <c r="B892" s="41" t="str">
        <f>_xlfn.TEXTAFTER(_xlfn.TEXTBEFORE(tblCost[[#This Row],[RequirementID]],".",-2),"cost.")</f>
        <v>tech.outpost.sayonara_tax</v>
      </c>
      <c r="C892" s="41" t="str">
        <f>_xlfn.XLOOKUP(tblCost[[#This Row],[TargetID]],tblTargets[TargetID],tblTargets[DisplayName],"")</f>
        <v>Outpost - Sayonara Tax</v>
      </c>
      <c r="D892" s="41" t="str">
        <f>_xlfn.XLOOKUP(tblCost[[#This Row],[TargetID]],tblTargets[TargetID],tblTargets[TargetType],"")</f>
        <v>TECH</v>
      </c>
      <c r="E892" s="41" t="s">
        <v>662</v>
      </c>
      <c r="F892" s="62" t="str">
        <f>RIGHT(tblCost[[#This Row],[RequirementID]],1)</f>
        <v>1</v>
      </c>
      <c r="G892" s="41">
        <v>30</v>
      </c>
      <c r="H892" t="b">
        <f>COUNTIFS(tblCostChecklist[RequirementID],tblCost[[#This Row],[RequirementID]],tblCostChecklist[PlayerPaid],TRUE)&gt;0</f>
        <v>0</v>
      </c>
      <c r="I892" s="41">
        <f>COUNTIF(tblCost[TargetID],tblCost[[#This Row],[TargetID]])</f>
        <v>4</v>
      </c>
      <c r="J892" s="41">
        <f>COUNTIFS(tblCost[TargetID],tblCost[[#This Row],[TargetID]],tblCost[PlayerPaid],TRUE)</f>
        <v>0</v>
      </c>
      <c r="K892" s="41">
        <f>tblCost[[#This Row],[TargetRequirements]]-tblCost[[#This Row],[CompletedRequirements]]</f>
        <v>4</v>
      </c>
      <c r="L892" s="41" t="b">
        <f>tblCost[[#This Row],[RemainingRequirements]]=0</f>
        <v>0</v>
      </c>
      <c r="M892" s="43">
        <f>IF(tblCost[[#This Row],[TargetRequirements]]=0,0,tblCost[[#This Row],[CompletedRequirements]]/tblCost[[#This Row],[TargetRequirements]])</f>
        <v>0</v>
      </c>
    </row>
    <row r="893" spans="1:13">
      <c r="A893" s="41" t="s">
        <v>4541</v>
      </c>
      <c r="B893" s="41" t="str">
        <f>_xlfn.TEXTAFTER(_xlfn.TEXTBEFORE(tblCost[[#This Row],[RequirementID]],".",-2),"cost.")</f>
        <v>tech.outpost.sayonara_tax</v>
      </c>
      <c r="C893" s="41" t="str">
        <f>_xlfn.XLOOKUP(tblCost[[#This Row],[TargetID]],tblTargets[TargetID],tblTargets[DisplayName],"")</f>
        <v>Outpost - Sayonara Tax</v>
      </c>
      <c r="D893" s="41" t="str">
        <f>_xlfn.XLOOKUP(tblCost[[#This Row],[TargetID]],tblTargets[TargetID],tblTargets[TargetType],"")</f>
        <v>TECH</v>
      </c>
      <c r="E893" s="41" t="s">
        <v>666</v>
      </c>
      <c r="F893" s="62" t="str">
        <f>RIGHT(tblCost[[#This Row],[RequirementID]],1)</f>
        <v>1</v>
      </c>
      <c r="G893" s="41">
        <v>400</v>
      </c>
      <c r="H893" t="b">
        <f>COUNTIFS(tblCostChecklist[RequirementID],tblCost[[#This Row],[RequirementID]],tblCostChecklist[PlayerPaid],TRUE)&gt;0</f>
        <v>0</v>
      </c>
      <c r="I893" s="41">
        <f>COUNTIF(tblCost[TargetID],tblCost[[#This Row],[TargetID]])</f>
        <v>4</v>
      </c>
      <c r="J893" s="41">
        <f>COUNTIFS(tblCost[TargetID],tblCost[[#This Row],[TargetID]],tblCost[PlayerPaid],TRUE)</f>
        <v>0</v>
      </c>
      <c r="K893" s="41">
        <f>tblCost[[#This Row],[TargetRequirements]]-tblCost[[#This Row],[CompletedRequirements]]</f>
        <v>4</v>
      </c>
      <c r="L893" s="41" t="b">
        <f>tblCost[[#This Row],[RemainingRequirements]]=0</f>
        <v>0</v>
      </c>
      <c r="M893" s="43">
        <f>IF(tblCost[[#This Row],[TargetRequirements]]=0,0,tblCost[[#This Row],[CompletedRequirements]]/tblCost[[#This Row],[TargetRequirements]])</f>
        <v>0</v>
      </c>
    </row>
    <row r="894" spans="1:13">
      <c r="A894" s="41" t="s">
        <v>4542</v>
      </c>
      <c r="B894" s="41" t="str">
        <f>_xlfn.TEXTAFTER(_xlfn.TEXTBEFORE(tblCost[[#This Row],[RequirementID]],".",-2),"cost.")</f>
        <v>tech.outpost.sayonara_tax</v>
      </c>
      <c r="C894" s="41" t="str">
        <f>_xlfn.XLOOKUP(tblCost[[#This Row],[TargetID]],tblTargets[TargetID],tblTargets[DisplayName],"")</f>
        <v>Outpost - Sayonara Tax</v>
      </c>
      <c r="D894" s="41" t="str">
        <f>_xlfn.XLOOKUP(tblCost[[#This Row],[TargetID]],tblTargets[TargetID],tblTargets[TargetType],"")</f>
        <v>TECH</v>
      </c>
      <c r="E894" s="41" t="s">
        <v>697</v>
      </c>
      <c r="F894" s="62" t="str">
        <f>RIGHT(tblCost[[#This Row],[RequirementID]],1)</f>
        <v>1</v>
      </c>
      <c r="G894" s="41">
        <v>20</v>
      </c>
      <c r="H894" t="b">
        <f>COUNTIFS(tblCostChecklist[RequirementID],tblCost[[#This Row],[RequirementID]],tblCostChecklist[PlayerPaid],TRUE)&gt;0</f>
        <v>0</v>
      </c>
      <c r="I894" s="41">
        <f>COUNTIF(tblCost[TargetID],tblCost[[#This Row],[TargetID]])</f>
        <v>4</v>
      </c>
      <c r="J894" s="41">
        <f>COUNTIFS(tblCost[TargetID],tblCost[[#This Row],[TargetID]],tblCost[PlayerPaid],TRUE)</f>
        <v>0</v>
      </c>
      <c r="K894" s="41">
        <f>tblCost[[#This Row],[TargetRequirements]]-tblCost[[#This Row],[CompletedRequirements]]</f>
        <v>4</v>
      </c>
      <c r="L894" s="41" t="b">
        <f>tblCost[[#This Row],[RemainingRequirements]]=0</f>
        <v>0</v>
      </c>
      <c r="M894" s="43">
        <f>IF(tblCost[[#This Row],[TargetRequirements]]=0,0,tblCost[[#This Row],[CompletedRequirements]]/tblCost[[#This Row],[TargetRequirements]])</f>
        <v>0</v>
      </c>
    </row>
    <row r="895" spans="1:13">
      <c r="A895" s="41" t="s">
        <v>4543</v>
      </c>
      <c r="B895" s="41" t="str">
        <f>_xlfn.TEXTAFTER(_xlfn.TEXTBEFORE(tblCost[[#This Row],[RequirementID]],".",-2),"cost.")</f>
        <v>tech.outpost.sayonara_tax</v>
      </c>
      <c r="C895" s="41" t="str">
        <f>_xlfn.XLOOKUP(tblCost[[#This Row],[TargetID]],tblTargets[TargetID],tblTargets[DisplayName],"")</f>
        <v>Outpost - Sayonara Tax</v>
      </c>
      <c r="D895" s="41" t="str">
        <f>_xlfn.XLOOKUP(tblCost[[#This Row],[TargetID]],tblTargets[TargetID],tblTargets[TargetType],"")</f>
        <v>TECH</v>
      </c>
      <c r="E895" s="41" t="s">
        <v>708</v>
      </c>
      <c r="F895" s="62" t="str">
        <f>RIGHT(tblCost[[#This Row],[RequirementID]],1)</f>
        <v>1</v>
      </c>
      <c r="G895" s="41">
        <v>2</v>
      </c>
      <c r="H895" t="b">
        <f>COUNTIFS(tblCostChecklist[RequirementID],tblCost[[#This Row],[RequirementID]],tblCostChecklist[PlayerPaid],TRUE)&gt;0</f>
        <v>0</v>
      </c>
      <c r="I895" s="41">
        <f>COUNTIF(tblCost[TargetID],tblCost[[#This Row],[TargetID]])</f>
        <v>4</v>
      </c>
      <c r="J895" s="41">
        <f>COUNTIFS(tblCost[TargetID],tblCost[[#This Row],[TargetID]],tblCost[PlayerPaid],TRUE)</f>
        <v>0</v>
      </c>
      <c r="K895" s="41">
        <f>tblCost[[#This Row],[TargetRequirements]]-tblCost[[#This Row],[CompletedRequirements]]</f>
        <v>4</v>
      </c>
      <c r="L895" s="41" t="b">
        <f>tblCost[[#This Row],[RemainingRequirements]]=0</f>
        <v>0</v>
      </c>
      <c r="M895" s="43">
        <f>IF(tblCost[[#This Row],[TargetRequirements]]=0,0,tblCost[[#This Row],[CompletedRequirements]]/tblCost[[#This Row],[TargetRequirements]])</f>
        <v>0</v>
      </c>
    </row>
    <row r="896" spans="1:13">
      <c r="A896" s="41" t="s">
        <v>4544</v>
      </c>
      <c r="B896" s="41" t="str">
        <f>_xlfn.TEXTAFTER(_xlfn.TEXTBEFORE(tblCost[[#This Row],[RequirementID]],".",-2),"cost.")</f>
        <v>tech.outpost.arsenal_lvl_1</v>
      </c>
      <c r="C896" s="41" t="str">
        <f>_xlfn.XLOOKUP(tblCost[[#This Row],[TargetID]],tblTargets[TargetID],tblTargets[DisplayName],"")</f>
        <v>Outpost - Arsenal Lvl 1</v>
      </c>
      <c r="D896" s="41" t="str">
        <f>_xlfn.XLOOKUP(tblCost[[#This Row],[TargetID]],tblTargets[TargetID],tblTargets[TargetType],"")</f>
        <v>TECH</v>
      </c>
      <c r="E896" s="41" t="s">
        <v>662</v>
      </c>
      <c r="F896" s="62" t="str">
        <f>RIGHT(tblCost[[#This Row],[RequirementID]],1)</f>
        <v>1</v>
      </c>
      <c r="G896" s="41">
        <v>40</v>
      </c>
      <c r="H896" t="b">
        <f>COUNTIFS(tblCostChecklist[RequirementID],tblCost[[#This Row],[RequirementID]],tblCostChecklist[PlayerPaid],TRUE)&gt;0</f>
        <v>0</v>
      </c>
      <c r="I896" s="41">
        <f>COUNTIF(tblCost[TargetID],tblCost[[#This Row],[TargetID]])</f>
        <v>5</v>
      </c>
      <c r="J896" s="41">
        <f>COUNTIFS(tblCost[TargetID],tblCost[[#This Row],[TargetID]],tblCost[PlayerPaid],TRUE)</f>
        <v>0</v>
      </c>
      <c r="K896" s="41">
        <f>tblCost[[#This Row],[TargetRequirements]]-tblCost[[#This Row],[CompletedRequirements]]</f>
        <v>5</v>
      </c>
      <c r="L896" s="41" t="b">
        <f>tblCost[[#This Row],[RemainingRequirements]]=0</f>
        <v>0</v>
      </c>
      <c r="M896" s="43">
        <f>IF(tblCost[[#This Row],[TargetRequirements]]=0,0,tblCost[[#This Row],[CompletedRequirements]]/tblCost[[#This Row],[TargetRequirements]])</f>
        <v>0</v>
      </c>
    </row>
    <row r="897" spans="1:13">
      <c r="A897" s="41" t="s">
        <v>4545</v>
      </c>
      <c r="B897" s="41" t="str">
        <f>_xlfn.TEXTAFTER(_xlfn.TEXTBEFORE(tblCost[[#This Row],[RequirementID]],".",-2),"cost.")</f>
        <v>tech.outpost.arsenal_lvl_1</v>
      </c>
      <c r="C897" s="41" t="str">
        <f>_xlfn.XLOOKUP(tblCost[[#This Row],[TargetID]],tblTargets[TargetID],tblTargets[DisplayName],"")</f>
        <v>Outpost - Arsenal Lvl 1</v>
      </c>
      <c r="D897" s="41" t="str">
        <f>_xlfn.XLOOKUP(tblCost[[#This Row],[TargetID]],tblTargets[TargetID],tblTargets[TargetType],"")</f>
        <v>TECH</v>
      </c>
      <c r="E897" s="41" t="s">
        <v>666</v>
      </c>
      <c r="F897" s="62" t="str">
        <f>RIGHT(tblCost[[#This Row],[RequirementID]],1)</f>
        <v>1</v>
      </c>
      <c r="G897" s="41">
        <v>1000</v>
      </c>
      <c r="H897" t="b">
        <f>COUNTIFS(tblCostChecklist[RequirementID],tblCost[[#This Row],[RequirementID]],tblCostChecklist[PlayerPaid],TRUE)&gt;0</f>
        <v>0</v>
      </c>
      <c r="I897" s="41">
        <f>COUNTIF(tblCost[TargetID],tblCost[[#This Row],[TargetID]])</f>
        <v>5</v>
      </c>
      <c r="J897" s="41">
        <f>COUNTIFS(tblCost[TargetID],tblCost[[#This Row],[TargetID]],tblCost[PlayerPaid],TRUE)</f>
        <v>0</v>
      </c>
      <c r="K897" s="41">
        <f>tblCost[[#This Row],[TargetRequirements]]-tblCost[[#This Row],[CompletedRequirements]]</f>
        <v>5</v>
      </c>
      <c r="L897" s="41" t="b">
        <f>tblCost[[#This Row],[RemainingRequirements]]=0</f>
        <v>0</v>
      </c>
      <c r="M897" s="43">
        <f>IF(tblCost[[#This Row],[TargetRequirements]]=0,0,tblCost[[#This Row],[CompletedRequirements]]/tblCost[[#This Row],[TargetRequirements]])</f>
        <v>0</v>
      </c>
    </row>
    <row r="898" spans="1:13">
      <c r="A898" s="41" t="s">
        <v>4546</v>
      </c>
      <c r="B898" s="41" t="str">
        <f>_xlfn.TEXTAFTER(_xlfn.TEXTBEFORE(tblCost[[#This Row],[RequirementID]],".",-2),"cost.")</f>
        <v>tech.outpost.arsenal_lvl_1</v>
      </c>
      <c r="C898" s="41" t="str">
        <f>_xlfn.XLOOKUP(tblCost[[#This Row],[TargetID]],tblTargets[TargetID],tblTargets[DisplayName],"")</f>
        <v>Outpost - Arsenal Lvl 1</v>
      </c>
      <c r="D898" s="41" t="str">
        <f>_xlfn.XLOOKUP(tblCost[[#This Row],[TargetID]],tblTargets[TargetID],tblTargets[TargetType],"")</f>
        <v>TECH</v>
      </c>
      <c r="E898" s="41" t="s">
        <v>701</v>
      </c>
      <c r="F898" s="62" t="str">
        <f>RIGHT(tblCost[[#This Row],[RequirementID]],1)</f>
        <v>1</v>
      </c>
      <c r="G898" s="41">
        <v>400</v>
      </c>
      <c r="H898" t="b">
        <f>COUNTIFS(tblCostChecklist[RequirementID],tblCost[[#This Row],[RequirementID]],tblCostChecklist[PlayerPaid],TRUE)&gt;0</f>
        <v>0</v>
      </c>
      <c r="I898" s="41">
        <f>COUNTIF(tblCost[TargetID],tblCost[[#This Row],[TargetID]])</f>
        <v>5</v>
      </c>
      <c r="J898" s="41">
        <f>COUNTIFS(tblCost[TargetID],tblCost[[#This Row],[TargetID]],tblCost[PlayerPaid],TRUE)</f>
        <v>0</v>
      </c>
      <c r="K898" s="41">
        <f>tblCost[[#This Row],[TargetRequirements]]-tblCost[[#This Row],[CompletedRequirements]]</f>
        <v>5</v>
      </c>
      <c r="L898" s="41" t="b">
        <f>tblCost[[#This Row],[RemainingRequirements]]=0</f>
        <v>0</v>
      </c>
      <c r="M898" s="43">
        <f>IF(tblCost[[#This Row],[TargetRequirements]]=0,0,tblCost[[#This Row],[CompletedRequirements]]/tblCost[[#This Row],[TargetRequirements]])</f>
        <v>0</v>
      </c>
    </row>
    <row r="899" spans="1:13">
      <c r="A899" s="41" t="s">
        <v>4547</v>
      </c>
      <c r="B899" s="41" t="str">
        <f>_xlfn.TEXTAFTER(_xlfn.TEXTBEFORE(tblCost[[#This Row],[RequirementID]],".",-2),"cost.")</f>
        <v>tech.outpost.arsenal_lvl_1</v>
      </c>
      <c r="C899" s="41" t="str">
        <f>_xlfn.XLOOKUP(tblCost[[#This Row],[TargetID]],tblTargets[TargetID],tblTargets[DisplayName],"")</f>
        <v>Outpost - Arsenal Lvl 1</v>
      </c>
      <c r="D899" s="41" t="str">
        <f>_xlfn.XLOOKUP(tblCost[[#This Row],[TargetID]],tblTargets[TargetID],tblTargets[TargetType],"")</f>
        <v>TECH</v>
      </c>
      <c r="E899" s="41" t="s">
        <v>708</v>
      </c>
      <c r="F899" s="62" t="str">
        <f>RIGHT(tblCost[[#This Row],[RequirementID]],1)</f>
        <v>1</v>
      </c>
      <c r="G899" s="41">
        <v>3</v>
      </c>
      <c r="H899" t="b">
        <f>COUNTIFS(tblCostChecklist[RequirementID],tblCost[[#This Row],[RequirementID]],tblCostChecklist[PlayerPaid],TRUE)&gt;0</f>
        <v>0</v>
      </c>
      <c r="I899" s="41">
        <f>COUNTIF(tblCost[TargetID],tblCost[[#This Row],[TargetID]])</f>
        <v>5</v>
      </c>
      <c r="J899" s="41">
        <f>COUNTIFS(tblCost[TargetID],tblCost[[#This Row],[TargetID]],tblCost[PlayerPaid],TRUE)</f>
        <v>0</v>
      </c>
      <c r="K899" s="41">
        <f>tblCost[[#This Row],[TargetRequirements]]-tblCost[[#This Row],[CompletedRequirements]]</f>
        <v>5</v>
      </c>
      <c r="L899" s="41" t="b">
        <f>tblCost[[#This Row],[RemainingRequirements]]=0</f>
        <v>0</v>
      </c>
      <c r="M899" s="43">
        <f>IF(tblCost[[#This Row],[TargetRequirements]]=0,0,tblCost[[#This Row],[CompletedRequirements]]/tblCost[[#This Row],[TargetRequirements]])</f>
        <v>0</v>
      </c>
    </row>
    <row r="900" spans="1:13">
      <c r="A900" s="41" t="s">
        <v>4548</v>
      </c>
      <c r="B900" s="41" t="str">
        <f>_xlfn.TEXTAFTER(_xlfn.TEXTBEFORE(tblCost[[#This Row],[RequirementID]],".",-2),"cost.")</f>
        <v>tech.outpost.arsenal_lvl_1</v>
      </c>
      <c r="C900" s="41" t="str">
        <f>_xlfn.XLOOKUP(tblCost[[#This Row],[TargetID]],tblTargets[TargetID],tblTargets[DisplayName],"")</f>
        <v>Outpost - Arsenal Lvl 1</v>
      </c>
      <c r="D900" s="41" t="str">
        <f>_xlfn.XLOOKUP(tblCost[[#This Row],[TargetID]],tblTargets[TargetID],tblTargets[TargetType],"")</f>
        <v>TECH</v>
      </c>
      <c r="E900" s="41" t="s">
        <v>716</v>
      </c>
      <c r="F900" s="62" t="str">
        <f>RIGHT(tblCost[[#This Row],[RequirementID]],1)</f>
        <v>1</v>
      </c>
      <c r="G900" s="41">
        <v>200</v>
      </c>
      <c r="H900" t="b">
        <f>COUNTIFS(tblCostChecklist[RequirementID],tblCost[[#This Row],[RequirementID]],tblCostChecklist[PlayerPaid],TRUE)&gt;0</f>
        <v>0</v>
      </c>
      <c r="I900" s="41">
        <f>COUNTIF(tblCost[TargetID],tblCost[[#This Row],[TargetID]])</f>
        <v>5</v>
      </c>
      <c r="J900" s="41">
        <f>COUNTIFS(tblCost[TargetID],tblCost[[#This Row],[TargetID]],tblCost[PlayerPaid],TRUE)</f>
        <v>0</v>
      </c>
      <c r="K900" s="41">
        <f>tblCost[[#This Row],[TargetRequirements]]-tblCost[[#This Row],[CompletedRequirements]]</f>
        <v>5</v>
      </c>
      <c r="L900" s="41" t="b">
        <f>tblCost[[#This Row],[RemainingRequirements]]=0</f>
        <v>0</v>
      </c>
      <c r="M900" s="43">
        <f>IF(tblCost[[#This Row],[TargetRequirements]]=0,0,tblCost[[#This Row],[CompletedRequirements]]/tblCost[[#This Row],[TargetRequirements]])</f>
        <v>0</v>
      </c>
    </row>
    <row r="901" spans="1:13">
      <c r="A901" s="41" t="s">
        <v>4549</v>
      </c>
      <c r="B901" s="41" t="str">
        <f>_xlfn.TEXTAFTER(_xlfn.TEXTBEFORE(tblCost[[#This Row],[RequirementID]],".",-2),"cost.")</f>
        <v>tech.outpost.arsenal_lvl_2</v>
      </c>
      <c r="C901" s="41" t="str">
        <f>_xlfn.XLOOKUP(tblCost[[#This Row],[TargetID]],tblTargets[TargetID],tblTargets[DisplayName],"")</f>
        <v>Outpost - Arsenal Lvl 2</v>
      </c>
      <c r="D901" s="41" t="str">
        <f>_xlfn.XLOOKUP(tblCost[[#This Row],[TargetID]],tblTargets[TargetID],tblTargets[TargetType],"")</f>
        <v>TECH</v>
      </c>
      <c r="E901" s="41" t="s">
        <v>662</v>
      </c>
      <c r="F901" s="62" t="str">
        <f>RIGHT(tblCost[[#This Row],[RequirementID]],1)</f>
        <v>1</v>
      </c>
      <c r="G901" s="41">
        <v>60</v>
      </c>
      <c r="H901" t="b">
        <f>COUNTIFS(tblCostChecklist[RequirementID],tblCost[[#This Row],[RequirementID]],tblCostChecklist[PlayerPaid],TRUE)&gt;0</f>
        <v>0</v>
      </c>
      <c r="I901" s="41">
        <f>COUNTIF(tblCost[TargetID],tblCost[[#This Row],[TargetID]])</f>
        <v>5</v>
      </c>
      <c r="J901" s="41">
        <f>COUNTIFS(tblCost[TargetID],tblCost[[#This Row],[TargetID]],tblCost[PlayerPaid],TRUE)</f>
        <v>0</v>
      </c>
      <c r="K901" s="41">
        <f>tblCost[[#This Row],[TargetRequirements]]-tblCost[[#This Row],[CompletedRequirements]]</f>
        <v>5</v>
      </c>
      <c r="L901" s="41" t="b">
        <f>tblCost[[#This Row],[RemainingRequirements]]=0</f>
        <v>0</v>
      </c>
      <c r="M901" s="43">
        <f>IF(tblCost[[#This Row],[TargetRequirements]]=0,0,tblCost[[#This Row],[CompletedRequirements]]/tblCost[[#This Row],[TargetRequirements]])</f>
        <v>0</v>
      </c>
    </row>
    <row r="902" spans="1:13">
      <c r="A902" s="41" t="s">
        <v>4550</v>
      </c>
      <c r="B902" s="41" t="str">
        <f>_xlfn.TEXTAFTER(_xlfn.TEXTBEFORE(tblCost[[#This Row],[RequirementID]],".",-2),"cost.")</f>
        <v>tech.outpost.arsenal_lvl_2</v>
      </c>
      <c r="C902" s="41" t="str">
        <f>_xlfn.XLOOKUP(tblCost[[#This Row],[TargetID]],tblTargets[TargetID],tblTargets[DisplayName],"")</f>
        <v>Outpost - Arsenal Lvl 2</v>
      </c>
      <c r="D902" s="41" t="str">
        <f>_xlfn.XLOOKUP(tblCost[[#This Row],[TargetID]],tblTargets[TargetID],tblTargets[TargetType],"")</f>
        <v>TECH</v>
      </c>
      <c r="E902" s="41" t="s">
        <v>666</v>
      </c>
      <c r="F902" s="62" t="str">
        <f>RIGHT(tblCost[[#This Row],[RequirementID]],1)</f>
        <v>1</v>
      </c>
      <c r="G902" s="41">
        <v>1500</v>
      </c>
      <c r="H902" t="b">
        <f>COUNTIFS(tblCostChecklist[RequirementID],tblCost[[#This Row],[RequirementID]],tblCostChecklist[PlayerPaid],TRUE)&gt;0</f>
        <v>0</v>
      </c>
      <c r="I902" s="41">
        <f>COUNTIF(tblCost[TargetID],tblCost[[#This Row],[TargetID]])</f>
        <v>5</v>
      </c>
      <c r="J902" s="41">
        <f>COUNTIFS(tblCost[TargetID],tblCost[[#This Row],[TargetID]],tblCost[PlayerPaid],TRUE)</f>
        <v>0</v>
      </c>
      <c r="K902" s="41">
        <f>tblCost[[#This Row],[TargetRequirements]]-tblCost[[#This Row],[CompletedRequirements]]</f>
        <v>5</v>
      </c>
      <c r="L902" s="41" t="b">
        <f>tblCost[[#This Row],[RemainingRequirements]]=0</f>
        <v>0</v>
      </c>
      <c r="M902" s="43">
        <f>IF(tblCost[[#This Row],[TargetRequirements]]=0,0,tblCost[[#This Row],[CompletedRequirements]]/tblCost[[#This Row],[TargetRequirements]])</f>
        <v>0</v>
      </c>
    </row>
    <row r="903" spans="1:13">
      <c r="A903" s="41" t="s">
        <v>4551</v>
      </c>
      <c r="B903" s="41" t="str">
        <f>_xlfn.TEXTAFTER(_xlfn.TEXTBEFORE(tblCost[[#This Row],[RequirementID]],".",-2),"cost.")</f>
        <v>tech.outpost.arsenal_lvl_2</v>
      </c>
      <c r="C903" s="41" t="str">
        <f>_xlfn.XLOOKUP(tblCost[[#This Row],[TargetID]],tblTargets[TargetID],tblTargets[DisplayName],"")</f>
        <v>Outpost - Arsenal Lvl 2</v>
      </c>
      <c r="D903" s="41" t="str">
        <f>_xlfn.XLOOKUP(tblCost[[#This Row],[TargetID]],tblTargets[TargetID],tblTargets[TargetType],"")</f>
        <v>TECH</v>
      </c>
      <c r="E903" s="41" t="s">
        <v>701</v>
      </c>
      <c r="F903" s="62" t="str">
        <f>RIGHT(tblCost[[#This Row],[RequirementID]],1)</f>
        <v>1</v>
      </c>
      <c r="G903" s="41">
        <v>600</v>
      </c>
      <c r="H903" t="b">
        <f>COUNTIFS(tblCostChecklist[RequirementID],tblCost[[#This Row],[RequirementID]],tblCostChecklist[PlayerPaid],TRUE)&gt;0</f>
        <v>0</v>
      </c>
      <c r="I903" s="41">
        <f>COUNTIF(tblCost[TargetID],tblCost[[#This Row],[TargetID]])</f>
        <v>5</v>
      </c>
      <c r="J903" s="41">
        <f>COUNTIFS(tblCost[TargetID],tblCost[[#This Row],[TargetID]],tblCost[PlayerPaid],TRUE)</f>
        <v>0</v>
      </c>
      <c r="K903" s="41">
        <f>tblCost[[#This Row],[TargetRequirements]]-tblCost[[#This Row],[CompletedRequirements]]</f>
        <v>5</v>
      </c>
      <c r="L903" s="41" t="b">
        <f>tblCost[[#This Row],[RemainingRequirements]]=0</f>
        <v>0</v>
      </c>
      <c r="M903" s="43">
        <f>IF(tblCost[[#This Row],[TargetRequirements]]=0,0,tblCost[[#This Row],[CompletedRequirements]]/tblCost[[#This Row],[TargetRequirements]])</f>
        <v>0</v>
      </c>
    </row>
    <row r="904" spans="1:13">
      <c r="A904" s="41" t="s">
        <v>4552</v>
      </c>
      <c r="B904" s="41" t="str">
        <f>_xlfn.TEXTAFTER(_xlfn.TEXTBEFORE(tblCost[[#This Row],[RequirementID]],".",-2),"cost.")</f>
        <v>tech.outpost.arsenal_lvl_2</v>
      </c>
      <c r="C904" s="41" t="str">
        <f>_xlfn.XLOOKUP(tblCost[[#This Row],[TargetID]],tblTargets[TargetID],tblTargets[DisplayName],"")</f>
        <v>Outpost - Arsenal Lvl 2</v>
      </c>
      <c r="D904" s="41" t="str">
        <f>_xlfn.XLOOKUP(tblCost[[#This Row],[TargetID]],tblTargets[TargetID],tblTargets[TargetType],"")</f>
        <v>TECH</v>
      </c>
      <c r="E904" s="41" t="s">
        <v>708</v>
      </c>
      <c r="F904" s="62" t="str">
        <f>RIGHT(tblCost[[#This Row],[RequirementID]],1)</f>
        <v>1</v>
      </c>
      <c r="G904" s="41">
        <v>5</v>
      </c>
      <c r="H904" t="b">
        <f>COUNTIFS(tblCostChecklist[RequirementID],tblCost[[#This Row],[RequirementID]],tblCostChecklist[PlayerPaid],TRUE)&gt;0</f>
        <v>0</v>
      </c>
      <c r="I904" s="41">
        <f>COUNTIF(tblCost[TargetID],tblCost[[#This Row],[TargetID]])</f>
        <v>5</v>
      </c>
      <c r="J904" s="41">
        <f>COUNTIFS(tblCost[TargetID],tblCost[[#This Row],[TargetID]],tblCost[PlayerPaid],TRUE)</f>
        <v>0</v>
      </c>
      <c r="K904" s="41">
        <f>tblCost[[#This Row],[TargetRequirements]]-tblCost[[#This Row],[CompletedRequirements]]</f>
        <v>5</v>
      </c>
      <c r="L904" s="41" t="b">
        <f>tblCost[[#This Row],[RemainingRequirements]]=0</f>
        <v>0</v>
      </c>
      <c r="M904" s="43">
        <f>IF(tblCost[[#This Row],[TargetRequirements]]=0,0,tblCost[[#This Row],[CompletedRequirements]]/tblCost[[#This Row],[TargetRequirements]])</f>
        <v>0</v>
      </c>
    </row>
    <row r="905" spans="1:13">
      <c r="A905" s="41" t="s">
        <v>4553</v>
      </c>
      <c r="B905" s="41" t="str">
        <f>_xlfn.TEXTAFTER(_xlfn.TEXTBEFORE(tblCost[[#This Row],[RequirementID]],".",-2),"cost.")</f>
        <v>tech.outpost.arsenal_lvl_2</v>
      </c>
      <c r="C905" s="41" t="str">
        <f>_xlfn.XLOOKUP(tblCost[[#This Row],[TargetID]],tblTargets[TargetID],tblTargets[DisplayName],"")</f>
        <v>Outpost - Arsenal Lvl 2</v>
      </c>
      <c r="D905" s="41" t="str">
        <f>_xlfn.XLOOKUP(tblCost[[#This Row],[TargetID]],tblTargets[TargetID],tblTargets[TargetType],"")</f>
        <v>TECH</v>
      </c>
      <c r="E905" s="41" t="s">
        <v>716</v>
      </c>
      <c r="F905" s="62" t="str">
        <f>RIGHT(tblCost[[#This Row],[RequirementID]],1)</f>
        <v>1</v>
      </c>
      <c r="G905" s="41">
        <v>300</v>
      </c>
      <c r="H905" t="b">
        <f>COUNTIFS(tblCostChecklist[RequirementID],tblCost[[#This Row],[RequirementID]],tblCostChecklist[PlayerPaid],TRUE)&gt;0</f>
        <v>0</v>
      </c>
      <c r="I905" s="41">
        <f>COUNTIF(tblCost[TargetID],tblCost[[#This Row],[TargetID]])</f>
        <v>5</v>
      </c>
      <c r="J905" s="41">
        <f>COUNTIFS(tblCost[TargetID],tblCost[[#This Row],[TargetID]],tblCost[PlayerPaid],TRUE)</f>
        <v>0</v>
      </c>
      <c r="K905" s="41">
        <f>tblCost[[#This Row],[TargetRequirements]]-tblCost[[#This Row],[CompletedRequirements]]</f>
        <v>5</v>
      </c>
      <c r="L905" s="41" t="b">
        <f>tblCost[[#This Row],[RemainingRequirements]]=0</f>
        <v>0</v>
      </c>
      <c r="M905" s="43">
        <f>IF(tblCost[[#This Row],[TargetRequirements]]=0,0,tblCost[[#This Row],[CompletedRequirements]]/tblCost[[#This Row],[TargetRequirements]])</f>
        <v>0</v>
      </c>
    </row>
    <row r="906" spans="1:13">
      <c r="A906" s="41" t="s">
        <v>4554</v>
      </c>
      <c r="B906" s="41" t="str">
        <f>_xlfn.TEXTAFTER(_xlfn.TEXTBEFORE(tblCost[[#This Row],[RequirementID]],".",-2),"cost.")</f>
        <v>tech.outpost.optional_contracts</v>
      </c>
      <c r="C906" s="41" t="str">
        <f>_xlfn.XLOOKUP(tblCost[[#This Row],[TargetID]],tblTargets[TargetID],tblTargets[DisplayName],"")</f>
        <v>Outpost - Optional Contracts</v>
      </c>
      <c r="D906" s="41" t="str">
        <f>_xlfn.XLOOKUP(tblCost[[#This Row],[TargetID]],tblTargets[TargetID],tblTargets[TargetType],"")</f>
        <v>TECH</v>
      </c>
      <c r="E906" s="41" t="s">
        <v>666</v>
      </c>
      <c r="F906" s="62" t="str">
        <f>RIGHT(tblCost[[#This Row],[RequirementID]],1)</f>
        <v>1</v>
      </c>
      <c r="G906" s="41">
        <v>1000</v>
      </c>
      <c r="H906" t="b">
        <f>COUNTIFS(tblCostChecklist[RequirementID],tblCost[[#This Row],[RequirementID]],tblCostChecklist[PlayerPaid],TRUE)&gt;0</f>
        <v>0</v>
      </c>
      <c r="I906" s="41">
        <f>COUNTIF(tblCost[TargetID],tblCost[[#This Row],[TargetID]])</f>
        <v>5</v>
      </c>
      <c r="J906" s="41">
        <f>COUNTIFS(tblCost[TargetID],tblCost[[#This Row],[TargetID]],tblCost[PlayerPaid],TRUE)</f>
        <v>0</v>
      </c>
      <c r="K906" s="41">
        <f>tblCost[[#This Row],[TargetRequirements]]-tblCost[[#This Row],[CompletedRequirements]]</f>
        <v>5</v>
      </c>
      <c r="L906" s="41" t="b">
        <f>tblCost[[#This Row],[RemainingRequirements]]=0</f>
        <v>0</v>
      </c>
      <c r="M906" s="43">
        <f>IF(tblCost[[#This Row],[TargetRequirements]]=0,0,tblCost[[#This Row],[CompletedRequirements]]/tblCost[[#This Row],[TargetRequirements]])</f>
        <v>0</v>
      </c>
    </row>
    <row r="907" spans="1:13">
      <c r="A907" s="41" t="s">
        <v>4555</v>
      </c>
      <c r="B907" s="41" t="str">
        <f>_xlfn.TEXTAFTER(_xlfn.TEXTBEFORE(tblCost[[#This Row],[RequirementID]],".",-2),"cost.")</f>
        <v>tech.outpost.optional_contracts</v>
      </c>
      <c r="C907" s="41" t="str">
        <f>_xlfn.XLOOKUP(tblCost[[#This Row],[TargetID]],tblTargets[TargetID],tblTargets[DisplayName],"")</f>
        <v>Outpost - Optional Contracts</v>
      </c>
      <c r="D907" s="41" t="str">
        <f>_xlfn.XLOOKUP(tblCost[[#This Row],[TargetID]],tblTargets[TargetID],tblTargets[TargetType],"")</f>
        <v>TECH</v>
      </c>
      <c r="E907" s="41" t="s">
        <v>695</v>
      </c>
      <c r="F907" s="62" t="str">
        <f>RIGHT(tblCost[[#This Row],[RequirementID]],1)</f>
        <v>1</v>
      </c>
      <c r="G907" s="41">
        <v>25</v>
      </c>
      <c r="H907" t="b">
        <f>COUNTIFS(tblCostChecklist[RequirementID],tblCost[[#This Row],[RequirementID]],tblCostChecklist[PlayerPaid],TRUE)&gt;0</f>
        <v>0</v>
      </c>
      <c r="I907" s="41">
        <f>COUNTIF(tblCost[TargetID],tblCost[[#This Row],[TargetID]])</f>
        <v>5</v>
      </c>
      <c r="J907" s="41">
        <f>COUNTIFS(tblCost[TargetID],tblCost[[#This Row],[TargetID]],tblCost[PlayerPaid],TRUE)</f>
        <v>0</v>
      </c>
      <c r="K907" s="41">
        <f>tblCost[[#This Row],[TargetRequirements]]-tblCost[[#This Row],[CompletedRequirements]]</f>
        <v>5</v>
      </c>
      <c r="L907" s="41" t="b">
        <f>tblCost[[#This Row],[RemainingRequirements]]=0</f>
        <v>0</v>
      </c>
      <c r="M907" s="43">
        <f>IF(tblCost[[#This Row],[TargetRequirements]]=0,0,tblCost[[#This Row],[CompletedRequirements]]/tblCost[[#This Row],[TargetRequirements]])</f>
        <v>0</v>
      </c>
    </row>
    <row r="908" spans="1:13">
      <c r="A908" s="41" t="s">
        <v>4556</v>
      </c>
      <c r="B908" s="41" t="str">
        <f>_xlfn.TEXTAFTER(_xlfn.TEXTBEFORE(tblCost[[#This Row],[RequirementID]],".",-2),"cost.")</f>
        <v>tech.outpost.optional_contracts</v>
      </c>
      <c r="C908" s="41" t="str">
        <f>_xlfn.XLOOKUP(tblCost[[#This Row],[TargetID]],tblTargets[TargetID],tblTargets[DisplayName],"")</f>
        <v>Outpost - Optional Contracts</v>
      </c>
      <c r="D908" s="41" t="str">
        <f>_xlfn.XLOOKUP(tblCost[[#This Row],[TargetID]],tblTargets[TargetID],tblTargets[TargetType],"")</f>
        <v>TECH</v>
      </c>
      <c r="E908" s="41" t="s">
        <v>696</v>
      </c>
      <c r="F908" s="62" t="str">
        <f>RIGHT(tblCost[[#This Row],[RequirementID]],1)</f>
        <v>1</v>
      </c>
      <c r="G908" s="41">
        <v>40</v>
      </c>
      <c r="H908" t="b">
        <f>COUNTIFS(tblCostChecklist[RequirementID],tblCost[[#This Row],[RequirementID]],tblCostChecklist[PlayerPaid],TRUE)&gt;0</f>
        <v>0</v>
      </c>
      <c r="I908" s="41">
        <f>COUNTIF(tblCost[TargetID],tblCost[[#This Row],[TargetID]])</f>
        <v>5</v>
      </c>
      <c r="J908" s="41">
        <f>COUNTIFS(tblCost[TargetID],tblCost[[#This Row],[TargetID]],tblCost[PlayerPaid],TRUE)</f>
        <v>0</v>
      </c>
      <c r="K908" s="41">
        <f>tblCost[[#This Row],[TargetRequirements]]-tblCost[[#This Row],[CompletedRequirements]]</f>
        <v>5</v>
      </c>
      <c r="L908" s="41" t="b">
        <f>tblCost[[#This Row],[RemainingRequirements]]=0</f>
        <v>0</v>
      </c>
      <c r="M908" s="43">
        <f>IF(tblCost[[#This Row],[TargetRequirements]]=0,0,tblCost[[#This Row],[CompletedRequirements]]/tblCost[[#This Row],[TargetRequirements]])</f>
        <v>0</v>
      </c>
    </row>
    <row r="909" spans="1:13">
      <c r="A909" s="41" t="s">
        <v>4557</v>
      </c>
      <c r="B909" s="41" t="str">
        <f>_xlfn.TEXTAFTER(_xlfn.TEXTBEFORE(tblCost[[#This Row],[RequirementID]],".",-2),"cost.")</f>
        <v>tech.outpost.optional_contracts</v>
      </c>
      <c r="C909" s="41" t="str">
        <f>_xlfn.XLOOKUP(tblCost[[#This Row],[TargetID]],tblTargets[TargetID],tblTargets[DisplayName],"")</f>
        <v>Outpost - Optional Contracts</v>
      </c>
      <c r="D909" s="41" t="str">
        <f>_xlfn.XLOOKUP(tblCost[[#This Row],[TargetID]],tblTargets[TargetID],tblTargets[TargetType],"")</f>
        <v>TECH</v>
      </c>
      <c r="E909" s="41" t="s">
        <v>697</v>
      </c>
      <c r="F909" s="62" t="str">
        <f>RIGHT(tblCost[[#This Row],[RequirementID]],1)</f>
        <v>1</v>
      </c>
      <c r="G909" s="41">
        <v>20</v>
      </c>
      <c r="H909" t="b">
        <f>COUNTIFS(tblCostChecklist[RequirementID],tblCost[[#This Row],[RequirementID]],tblCostChecklist[PlayerPaid],TRUE)&gt;0</f>
        <v>0</v>
      </c>
      <c r="I909" s="41">
        <f>COUNTIF(tblCost[TargetID],tblCost[[#This Row],[TargetID]])</f>
        <v>5</v>
      </c>
      <c r="J909" s="41">
        <f>COUNTIFS(tblCost[TargetID],tblCost[[#This Row],[TargetID]],tblCost[PlayerPaid],TRUE)</f>
        <v>0</v>
      </c>
      <c r="K909" s="41">
        <f>tblCost[[#This Row],[TargetRequirements]]-tblCost[[#This Row],[CompletedRequirements]]</f>
        <v>5</v>
      </c>
      <c r="L909" s="41" t="b">
        <f>tblCost[[#This Row],[RemainingRequirements]]=0</f>
        <v>0</v>
      </c>
      <c r="M909" s="43">
        <f>IF(tblCost[[#This Row],[TargetRequirements]]=0,0,tblCost[[#This Row],[CompletedRequirements]]/tblCost[[#This Row],[TargetRequirements]])</f>
        <v>0</v>
      </c>
    </row>
    <row r="910" spans="1:13">
      <c r="A910" s="41" t="s">
        <v>4558</v>
      </c>
      <c r="B910" s="41" t="str">
        <f>_xlfn.TEXTAFTER(_xlfn.TEXTBEFORE(tblCost[[#This Row],[RequirementID]],".",-2),"cost.")</f>
        <v>tech.outpost.optional_contracts</v>
      </c>
      <c r="C910" s="41" t="str">
        <f>_xlfn.XLOOKUP(tblCost[[#This Row],[TargetID]],tblTargets[TargetID],tblTargets[DisplayName],"")</f>
        <v>Outpost - Optional Contracts</v>
      </c>
      <c r="D910" s="41" t="str">
        <f>_xlfn.XLOOKUP(tblCost[[#This Row],[TargetID]],tblTargets[TargetID],tblTargets[TargetType],"")</f>
        <v>TECH</v>
      </c>
      <c r="E910" s="41" t="s">
        <v>708</v>
      </c>
      <c r="F910" s="62" t="str">
        <f>RIGHT(tblCost[[#This Row],[RequirementID]],1)</f>
        <v>1</v>
      </c>
      <c r="G910" s="41">
        <v>3</v>
      </c>
      <c r="H910" t="b">
        <f>COUNTIFS(tblCostChecklist[RequirementID],tblCost[[#This Row],[RequirementID]],tblCostChecklist[PlayerPaid],TRUE)&gt;0</f>
        <v>0</v>
      </c>
      <c r="I910" s="41">
        <f>COUNTIF(tblCost[TargetID],tblCost[[#This Row],[TargetID]])</f>
        <v>5</v>
      </c>
      <c r="J910" s="41">
        <f>COUNTIFS(tblCost[TargetID],tblCost[[#This Row],[TargetID]],tblCost[PlayerPaid],TRUE)</f>
        <v>0</v>
      </c>
      <c r="K910" s="41">
        <f>tblCost[[#This Row],[TargetRequirements]]-tblCost[[#This Row],[CompletedRequirements]]</f>
        <v>5</v>
      </c>
      <c r="L910" s="41" t="b">
        <f>tblCost[[#This Row],[RemainingRequirements]]=0</f>
        <v>0</v>
      </c>
      <c r="M910" s="43">
        <f>IF(tblCost[[#This Row],[TargetRequirements]]=0,0,tblCost[[#This Row],[CompletedRequirements]]/tblCost[[#This Row],[TargetRequirements]])</f>
        <v>0</v>
      </c>
    </row>
    <row r="911" spans="1:13">
      <c r="A911" s="41" t="s">
        <v>4559</v>
      </c>
      <c r="B911" s="41" t="str">
        <f>_xlfn.TEXTAFTER(_xlfn.TEXTBEFORE(tblCost[[#This Row],[RequirementID]],".",-2),"cost.")</f>
        <v>tech.outpost.futures_contracts</v>
      </c>
      <c r="C911" s="41" t="str">
        <f>_xlfn.XLOOKUP(tblCost[[#This Row],[TargetID]],tblTargets[TargetID],tblTargets[DisplayName],"")</f>
        <v>Outpost - Futures Contracts</v>
      </c>
      <c r="D911" s="41" t="str">
        <f>_xlfn.XLOOKUP(tblCost[[#This Row],[TargetID]],tblTargets[TargetID],tblTargets[TargetType],"")</f>
        <v>TECH</v>
      </c>
      <c r="E911" s="41" t="s">
        <v>662</v>
      </c>
      <c r="F911" s="62" t="str">
        <f>RIGHT(tblCost[[#This Row],[RequirementID]],1)</f>
        <v>1</v>
      </c>
      <c r="G911" s="41">
        <v>40</v>
      </c>
      <c r="H911" t="b">
        <f>COUNTIFS(tblCostChecklist[RequirementID],tblCost[[#This Row],[RequirementID]],tblCostChecklist[PlayerPaid],TRUE)&gt;0</f>
        <v>0</v>
      </c>
      <c r="I911" s="41">
        <f>COUNTIF(tblCost[TargetID],tblCost[[#This Row],[TargetID]])</f>
        <v>6</v>
      </c>
      <c r="J911" s="41">
        <f>COUNTIFS(tblCost[TargetID],tblCost[[#This Row],[TargetID]],tblCost[PlayerPaid],TRUE)</f>
        <v>0</v>
      </c>
      <c r="K911" s="41">
        <f>tblCost[[#This Row],[TargetRequirements]]-tblCost[[#This Row],[CompletedRequirements]]</f>
        <v>6</v>
      </c>
      <c r="L911" s="41" t="b">
        <f>tblCost[[#This Row],[RemainingRequirements]]=0</f>
        <v>0</v>
      </c>
      <c r="M911" s="43">
        <f>IF(tblCost[[#This Row],[TargetRequirements]]=0,0,tblCost[[#This Row],[CompletedRequirements]]/tblCost[[#This Row],[TargetRequirements]])</f>
        <v>0</v>
      </c>
    </row>
    <row r="912" spans="1:13">
      <c r="A912" s="41" t="s">
        <v>4560</v>
      </c>
      <c r="B912" s="41" t="str">
        <f>_xlfn.TEXTAFTER(_xlfn.TEXTBEFORE(tblCost[[#This Row],[RequirementID]],".",-2),"cost.")</f>
        <v>tech.outpost.futures_contracts</v>
      </c>
      <c r="C912" s="41" t="str">
        <f>_xlfn.XLOOKUP(tblCost[[#This Row],[TargetID]],tblTargets[TargetID],tblTargets[DisplayName],"")</f>
        <v>Outpost - Futures Contracts</v>
      </c>
      <c r="D912" s="41" t="str">
        <f>_xlfn.XLOOKUP(tblCost[[#This Row],[TargetID]],tblTargets[TargetID],tblTargets[TargetType],"")</f>
        <v>TECH</v>
      </c>
      <c r="E912" s="41" t="s">
        <v>666</v>
      </c>
      <c r="F912" s="62" t="str">
        <f>RIGHT(tblCost[[#This Row],[RequirementID]],1)</f>
        <v>1</v>
      </c>
      <c r="G912" s="41">
        <v>1000</v>
      </c>
      <c r="H912" t="b">
        <f>COUNTIFS(tblCostChecklist[RequirementID],tblCost[[#This Row],[RequirementID]],tblCostChecklist[PlayerPaid],TRUE)&gt;0</f>
        <v>0</v>
      </c>
      <c r="I912" s="41">
        <f>COUNTIF(tblCost[TargetID],tblCost[[#This Row],[TargetID]])</f>
        <v>6</v>
      </c>
      <c r="J912" s="41">
        <f>COUNTIFS(tblCost[TargetID],tblCost[[#This Row],[TargetID]],tblCost[PlayerPaid],TRUE)</f>
        <v>0</v>
      </c>
      <c r="K912" s="41">
        <f>tblCost[[#This Row],[TargetRequirements]]-tblCost[[#This Row],[CompletedRequirements]]</f>
        <v>6</v>
      </c>
      <c r="L912" s="41" t="b">
        <f>tblCost[[#This Row],[RemainingRequirements]]=0</f>
        <v>0</v>
      </c>
      <c r="M912" s="43">
        <f>IF(tblCost[[#This Row],[TargetRequirements]]=0,0,tblCost[[#This Row],[CompletedRequirements]]/tblCost[[#This Row],[TargetRequirements]])</f>
        <v>0</v>
      </c>
    </row>
    <row r="913" spans="1:13">
      <c r="A913" s="41" t="s">
        <v>4561</v>
      </c>
      <c r="B913" s="41" t="str">
        <f>_xlfn.TEXTAFTER(_xlfn.TEXTBEFORE(tblCost[[#This Row],[RequirementID]],".",-2),"cost.")</f>
        <v>tech.outpost.futures_contracts</v>
      </c>
      <c r="C913" s="41" t="str">
        <f>_xlfn.XLOOKUP(tblCost[[#This Row],[TargetID]],tblTargets[TargetID],tblTargets[DisplayName],"")</f>
        <v>Outpost - Futures Contracts</v>
      </c>
      <c r="D913" s="41" t="str">
        <f>_xlfn.XLOOKUP(tblCost[[#This Row],[TargetID]],tblTargets[TargetID],tblTargets[TargetType],"")</f>
        <v>TECH</v>
      </c>
      <c r="E913" s="41" t="s">
        <v>697</v>
      </c>
      <c r="F913" s="62" t="str">
        <f>RIGHT(tblCost[[#This Row],[RequirementID]],1)</f>
        <v>1</v>
      </c>
      <c r="G913" s="41">
        <v>30</v>
      </c>
      <c r="H913" t="b">
        <f>COUNTIFS(tblCostChecklist[RequirementID],tblCost[[#This Row],[RequirementID]],tblCostChecklist[PlayerPaid],TRUE)&gt;0</f>
        <v>0</v>
      </c>
      <c r="I913" s="41">
        <f>COUNTIF(tblCost[TargetID],tblCost[[#This Row],[TargetID]])</f>
        <v>6</v>
      </c>
      <c r="J913" s="41">
        <f>COUNTIFS(tblCost[TargetID],tblCost[[#This Row],[TargetID]],tblCost[PlayerPaid],TRUE)</f>
        <v>0</v>
      </c>
      <c r="K913" s="41">
        <f>tblCost[[#This Row],[TargetRequirements]]-tblCost[[#This Row],[CompletedRequirements]]</f>
        <v>6</v>
      </c>
      <c r="L913" s="41" t="b">
        <f>tblCost[[#This Row],[RemainingRequirements]]=0</f>
        <v>0</v>
      </c>
      <c r="M913" s="43">
        <f>IF(tblCost[[#This Row],[TargetRequirements]]=0,0,tblCost[[#This Row],[CompletedRequirements]]/tblCost[[#This Row],[TargetRequirements]])</f>
        <v>0</v>
      </c>
    </row>
    <row r="914" spans="1:13">
      <c r="A914" s="41" t="s">
        <v>4562</v>
      </c>
      <c r="B914" s="41" t="str">
        <f>_xlfn.TEXTAFTER(_xlfn.TEXTBEFORE(tblCost[[#This Row],[RequirementID]],".",-2),"cost.")</f>
        <v>tech.outpost.futures_contracts</v>
      </c>
      <c r="C914" s="41" t="str">
        <f>_xlfn.XLOOKUP(tblCost[[#This Row],[TargetID]],tblTargets[TargetID],tblTargets[DisplayName],"")</f>
        <v>Outpost - Futures Contracts</v>
      </c>
      <c r="D914" s="41" t="str">
        <f>_xlfn.XLOOKUP(tblCost[[#This Row],[TargetID]],tblTargets[TargetID],tblTargets[TargetType],"")</f>
        <v>TECH</v>
      </c>
      <c r="E914" s="41" t="s">
        <v>707</v>
      </c>
      <c r="F914" s="62" t="str">
        <f>RIGHT(tblCost[[#This Row],[RequirementID]],1)</f>
        <v>1</v>
      </c>
      <c r="G914" s="41">
        <v>50</v>
      </c>
      <c r="H914" t="b">
        <f>COUNTIFS(tblCostChecklist[RequirementID],tblCost[[#This Row],[RequirementID]],tblCostChecklist[PlayerPaid],TRUE)&gt;0</f>
        <v>0</v>
      </c>
      <c r="I914" s="41">
        <f>COUNTIF(tblCost[TargetID],tblCost[[#This Row],[TargetID]])</f>
        <v>6</v>
      </c>
      <c r="J914" s="41">
        <f>COUNTIFS(tblCost[TargetID],tblCost[[#This Row],[TargetID]],tblCost[PlayerPaid],TRUE)</f>
        <v>0</v>
      </c>
      <c r="K914" s="41">
        <f>tblCost[[#This Row],[TargetRequirements]]-tblCost[[#This Row],[CompletedRequirements]]</f>
        <v>6</v>
      </c>
      <c r="L914" s="41" t="b">
        <f>tblCost[[#This Row],[RemainingRequirements]]=0</f>
        <v>0</v>
      </c>
      <c r="M914" s="43">
        <f>IF(tblCost[[#This Row],[TargetRequirements]]=0,0,tblCost[[#This Row],[CompletedRequirements]]/tblCost[[#This Row],[TargetRequirements]])</f>
        <v>0</v>
      </c>
    </row>
    <row r="915" spans="1:13">
      <c r="A915" s="41" t="s">
        <v>4563</v>
      </c>
      <c r="B915" s="41" t="str">
        <f>_xlfn.TEXTAFTER(_xlfn.TEXTBEFORE(tblCost[[#This Row],[RequirementID]],".",-2),"cost.")</f>
        <v>tech.outpost.futures_contracts</v>
      </c>
      <c r="C915" s="41" t="str">
        <f>_xlfn.XLOOKUP(tblCost[[#This Row],[TargetID]],tblTargets[TargetID],tblTargets[DisplayName],"")</f>
        <v>Outpost - Futures Contracts</v>
      </c>
      <c r="D915" s="41" t="str">
        <f>_xlfn.XLOOKUP(tblCost[[#This Row],[TargetID]],tblTargets[TargetID],tblTargets[TargetType],"")</f>
        <v>TECH</v>
      </c>
      <c r="E915" s="41" t="s">
        <v>708</v>
      </c>
      <c r="F915" s="62" t="str">
        <f>RIGHT(tblCost[[#This Row],[RequirementID]],1)</f>
        <v>1</v>
      </c>
      <c r="G915" s="41">
        <v>5</v>
      </c>
      <c r="H915" t="b">
        <f>COUNTIFS(tblCostChecklist[RequirementID],tblCost[[#This Row],[RequirementID]],tblCostChecklist[PlayerPaid],TRUE)&gt;0</f>
        <v>0</v>
      </c>
      <c r="I915" s="41">
        <f>COUNTIF(tblCost[TargetID],tblCost[[#This Row],[TargetID]])</f>
        <v>6</v>
      </c>
      <c r="J915" s="41">
        <f>COUNTIFS(tblCost[TargetID],tblCost[[#This Row],[TargetID]],tblCost[PlayerPaid],TRUE)</f>
        <v>0</v>
      </c>
      <c r="K915" s="41">
        <f>tblCost[[#This Row],[TargetRequirements]]-tblCost[[#This Row],[CompletedRequirements]]</f>
        <v>6</v>
      </c>
      <c r="L915" s="41" t="b">
        <f>tblCost[[#This Row],[RemainingRequirements]]=0</f>
        <v>0</v>
      </c>
      <c r="M915" s="43">
        <f>IF(tblCost[[#This Row],[TargetRequirements]]=0,0,tblCost[[#This Row],[CompletedRequirements]]/tblCost[[#This Row],[TargetRequirements]])</f>
        <v>0</v>
      </c>
    </row>
    <row r="916" spans="1:13">
      <c r="A916" s="41" t="s">
        <v>4564</v>
      </c>
      <c r="B916" s="41" t="str">
        <f>_xlfn.TEXTAFTER(_xlfn.TEXTBEFORE(tblCost[[#This Row],[RequirementID]],".",-2),"cost.")</f>
        <v>tech.outpost.futures_contracts</v>
      </c>
      <c r="C916" s="41" t="str">
        <f>_xlfn.XLOOKUP(tblCost[[#This Row],[TargetID]],tblTargets[TargetID],tblTargets[DisplayName],"")</f>
        <v>Outpost - Futures Contracts</v>
      </c>
      <c r="D916" s="41" t="str">
        <f>_xlfn.XLOOKUP(tblCost[[#This Row],[TargetID]],tblTargets[TargetID],tblTargets[TargetType],"")</f>
        <v>TECH</v>
      </c>
      <c r="E916" s="41" t="s">
        <v>956</v>
      </c>
      <c r="F916" s="62" t="str">
        <f>RIGHT(tblCost[[#This Row],[RequirementID]],1)</f>
        <v>1</v>
      </c>
      <c r="G916" s="41">
        <v>10</v>
      </c>
      <c r="H916" t="b">
        <f>COUNTIFS(tblCostChecklist[RequirementID],tblCost[[#This Row],[RequirementID]],tblCostChecklist[PlayerPaid],TRUE)&gt;0</f>
        <v>0</v>
      </c>
      <c r="I916" s="41">
        <f>COUNTIF(tblCost[TargetID],tblCost[[#This Row],[TargetID]])</f>
        <v>6</v>
      </c>
      <c r="J916" s="41">
        <f>COUNTIFS(tblCost[TargetID],tblCost[[#This Row],[TargetID]],tblCost[PlayerPaid],TRUE)</f>
        <v>0</v>
      </c>
      <c r="K916" s="41">
        <f>tblCost[[#This Row],[TargetRequirements]]-tblCost[[#This Row],[CompletedRequirements]]</f>
        <v>6</v>
      </c>
      <c r="L916" s="41" t="b">
        <f>tblCost[[#This Row],[RemainingRequirements]]=0</f>
        <v>0</v>
      </c>
      <c r="M916" s="43">
        <f>IF(tblCost[[#This Row],[TargetRequirements]]=0,0,tblCost[[#This Row],[CompletedRequirements]]/tblCost[[#This Row],[TargetRequirements]])</f>
        <v>0</v>
      </c>
    </row>
    <row r="917" spans="1:13">
      <c r="A917" s="41" t="s">
        <v>4565</v>
      </c>
      <c r="B917" s="41" t="str">
        <f>_xlfn.TEXTAFTER(_xlfn.TEXTBEFORE(tblCost[[#This Row],[RequirementID]],".",-2),"cost.")</f>
        <v>tech.outpost.tax_return_on_floppy_disk</v>
      </c>
      <c r="C917" s="41" t="str">
        <f>_xlfn.XLOOKUP(tblCost[[#This Row],[TargetID]],tblTargets[TargetID],tblTargets[DisplayName],"")</f>
        <v>Outpost - Tax Return On Floppy Disk</v>
      </c>
      <c r="D917" s="41" t="str">
        <f>_xlfn.XLOOKUP(tblCost[[#This Row],[TargetID]],tblTargets[TargetID],tblTargets[TargetType],"")</f>
        <v>TECH</v>
      </c>
      <c r="E917" s="41" t="s">
        <v>662</v>
      </c>
      <c r="F917" s="62" t="str">
        <f>RIGHT(tblCost[[#This Row],[RequirementID]],1)</f>
        <v>1</v>
      </c>
      <c r="G917" s="41">
        <v>30</v>
      </c>
      <c r="H917" t="b">
        <f>COUNTIFS(tblCostChecklist[RequirementID],tblCost[[#This Row],[RequirementID]],tblCostChecklist[PlayerPaid],TRUE)&gt;0</f>
        <v>0</v>
      </c>
      <c r="I917" s="41">
        <f>COUNTIF(tblCost[TargetID],tblCost[[#This Row],[TargetID]])</f>
        <v>6</v>
      </c>
      <c r="J917" s="41">
        <f>COUNTIFS(tblCost[TargetID],tblCost[[#This Row],[TargetID]],tblCost[PlayerPaid],TRUE)</f>
        <v>0</v>
      </c>
      <c r="K917" s="41">
        <f>tblCost[[#This Row],[TargetRequirements]]-tblCost[[#This Row],[CompletedRequirements]]</f>
        <v>6</v>
      </c>
      <c r="L917" s="41" t="b">
        <f>tblCost[[#This Row],[RemainingRequirements]]=0</f>
        <v>0</v>
      </c>
      <c r="M917" s="43">
        <f>IF(tblCost[[#This Row],[TargetRequirements]]=0,0,tblCost[[#This Row],[CompletedRequirements]]/tblCost[[#This Row],[TargetRequirements]])</f>
        <v>0</v>
      </c>
    </row>
    <row r="918" spans="1:13">
      <c r="A918" s="41" t="s">
        <v>4566</v>
      </c>
      <c r="B918" s="41" t="str">
        <f>_xlfn.TEXTAFTER(_xlfn.TEXTBEFORE(tblCost[[#This Row],[RequirementID]],".",-2),"cost.")</f>
        <v>tech.outpost.tax_return_on_floppy_disk</v>
      </c>
      <c r="C918" s="41" t="str">
        <f>_xlfn.XLOOKUP(tblCost[[#This Row],[TargetID]],tblTargets[TargetID],tblTargets[DisplayName],"")</f>
        <v>Outpost - Tax Return On Floppy Disk</v>
      </c>
      <c r="D918" s="41" t="str">
        <f>_xlfn.XLOOKUP(tblCost[[#This Row],[TargetID]],tblTargets[TargetID],tblTargets[TargetType],"")</f>
        <v>TECH</v>
      </c>
      <c r="E918" s="41" t="s">
        <v>666</v>
      </c>
      <c r="F918" s="62" t="str">
        <f>RIGHT(tblCost[[#This Row],[RequirementID]],1)</f>
        <v>1</v>
      </c>
      <c r="G918" s="41">
        <v>400</v>
      </c>
      <c r="H918" t="b">
        <f>COUNTIFS(tblCostChecklist[RequirementID],tblCost[[#This Row],[RequirementID]],tblCostChecklist[PlayerPaid],TRUE)&gt;0</f>
        <v>0</v>
      </c>
      <c r="I918" s="41">
        <f>COUNTIF(tblCost[TargetID],tblCost[[#This Row],[TargetID]])</f>
        <v>6</v>
      </c>
      <c r="J918" s="41">
        <f>COUNTIFS(tblCost[TargetID],tblCost[[#This Row],[TargetID]],tblCost[PlayerPaid],TRUE)</f>
        <v>0</v>
      </c>
      <c r="K918" s="41">
        <f>tblCost[[#This Row],[TargetRequirements]]-tblCost[[#This Row],[CompletedRequirements]]</f>
        <v>6</v>
      </c>
      <c r="L918" s="41" t="b">
        <f>tblCost[[#This Row],[RemainingRequirements]]=0</f>
        <v>0</v>
      </c>
      <c r="M918" s="43">
        <f>IF(tblCost[[#This Row],[TargetRequirements]]=0,0,tblCost[[#This Row],[CompletedRequirements]]/tblCost[[#This Row],[TargetRequirements]])</f>
        <v>0</v>
      </c>
    </row>
    <row r="919" spans="1:13">
      <c r="A919" s="41" t="s">
        <v>4567</v>
      </c>
      <c r="B919" s="41" t="str">
        <f>_xlfn.TEXTAFTER(_xlfn.TEXTBEFORE(tblCost[[#This Row],[RequirementID]],".",-2),"cost.")</f>
        <v>tech.outpost.tax_return_on_floppy_disk</v>
      </c>
      <c r="C919" s="41" t="str">
        <f>_xlfn.XLOOKUP(tblCost[[#This Row],[TargetID]],tblTargets[TargetID],tblTargets[DisplayName],"")</f>
        <v>Outpost - Tax Return On Floppy Disk</v>
      </c>
      <c r="D919" s="41" t="str">
        <f>_xlfn.XLOOKUP(tblCost[[#This Row],[TargetID]],tblTargets[TargetID],tblTargets[TargetType],"")</f>
        <v>TECH</v>
      </c>
      <c r="E919" s="41" t="s">
        <v>672</v>
      </c>
      <c r="F919" s="62" t="str">
        <f>RIGHT(tblCost[[#This Row],[RequirementID]],1)</f>
        <v>1</v>
      </c>
      <c r="G919" s="41">
        <v>40</v>
      </c>
      <c r="H919" t="b">
        <f>COUNTIFS(tblCostChecklist[RequirementID],tblCost[[#This Row],[RequirementID]],tblCostChecklist[PlayerPaid],TRUE)&gt;0</f>
        <v>0</v>
      </c>
      <c r="I919" s="41">
        <f>COUNTIF(tblCost[TargetID],tblCost[[#This Row],[TargetID]])</f>
        <v>6</v>
      </c>
      <c r="J919" s="41">
        <f>COUNTIFS(tblCost[TargetID],tblCost[[#This Row],[TargetID]],tblCost[PlayerPaid],TRUE)</f>
        <v>0</v>
      </c>
      <c r="K919" s="41">
        <f>tblCost[[#This Row],[TargetRequirements]]-tblCost[[#This Row],[CompletedRequirements]]</f>
        <v>6</v>
      </c>
      <c r="L919" s="41" t="b">
        <f>tblCost[[#This Row],[RemainingRequirements]]=0</f>
        <v>0</v>
      </c>
      <c r="M919" s="43">
        <f>IF(tblCost[[#This Row],[TargetRequirements]]=0,0,tblCost[[#This Row],[CompletedRequirements]]/tblCost[[#This Row],[TargetRequirements]])</f>
        <v>0</v>
      </c>
    </row>
    <row r="920" spans="1:13">
      <c r="A920" s="41" t="s">
        <v>4568</v>
      </c>
      <c r="B920" s="41" t="str">
        <f>_xlfn.TEXTAFTER(_xlfn.TEXTBEFORE(tblCost[[#This Row],[RequirementID]],".",-2),"cost.")</f>
        <v>tech.outpost.tax_return_on_floppy_disk</v>
      </c>
      <c r="C920" s="41" t="str">
        <f>_xlfn.XLOOKUP(tblCost[[#This Row],[TargetID]],tblTargets[TargetID],tblTargets[DisplayName],"")</f>
        <v>Outpost - Tax Return On Floppy Disk</v>
      </c>
      <c r="D920" s="41" t="str">
        <f>_xlfn.XLOOKUP(tblCost[[#This Row],[TargetID]],tblTargets[TargetID],tblTargets[TargetType],"")</f>
        <v>TECH</v>
      </c>
      <c r="E920" s="41" t="s">
        <v>688</v>
      </c>
      <c r="F920" s="62" t="str">
        <f>RIGHT(tblCost[[#This Row],[RequirementID]],1)</f>
        <v>1</v>
      </c>
      <c r="G920" s="41">
        <v>30</v>
      </c>
      <c r="H920" t="b">
        <f>COUNTIFS(tblCostChecklist[RequirementID],tblCost[[#This Row],[RequirementID]],tblCostChecklist[PlayerPaid],TRUE)&gt;0</f>
        <v>0</v>
      </c>
      <c r="I920" s="41">
        <f>COUNTIF(tblCost[TargetID],tblCost[[#This Row],[TargetID]])</f>
        <v>6</v>
      </c>
      <c r="J920" s="41">
        <f>COUNTIFS(tblCost[TargetID],tblCost[[#This Row],[TargetID]],tblCost[PlayerPaid],TRUE)</f>
        <v>0</v>
      </c>
      <c r="K920" s="41">
        <f>tblCost[[#This Row],[TargetRequirements]]-tblCost[[#This Row],[CompletedRequirements]]</f>
        <v>6</v>
      </c>
      <c r="L920" s="41" t="b">
        <f>tblCost[[#This Row],[RemainingRequirements]]=0</f>
        <v>0</v>
      </c>
      <c r="M920" s="43">
        <f>IF(tblCost[[#This Row],[TargetRequirements]]=0,0,tblCost[[#This Row],[CompletedRequirements]]/tblCost[[#This Row],[TargetRequirements]])</f>
        <v>0</v>
      </c>
    </row>
    <row r="921" spans="1:13">
      <c r="A921" s="41" t="s">
        <v>4569</v>
      </c>
      <c r="B921" s="41" t="str">
        <f>_xlfn.TEXTAFTER(_xlfn.TEXTBEFORE(tblCost[[#This Row],[RequirementID]],".",-2),"cost.")</f>
        <v>tech.outpost.tax_return_on_floppy_disk</v>
      </c>
      <c r="C921" s="41" t="str">
        <f>_xlfn.XLOOKUP(tblCost[[#This Row],[TargetID]],tblTargets[TargetID],tblTargets[DisplayName],"")</f>
        <v>Outpost - Tax Return On Floppy Disk</v>
      </c>
      <c r="D921" s="41" t="str">
        <f>_xlfn.XLOOKUP(tblCost[[#This Row],[TargetID]],tblTargets[TargetID],tblTargets[TargetType],"")</f>
        <v>TECH</v>
      </c>
      <c r="E921" s="41" t="s">
        <v>708</v>
      </c>
      <c r="F921" s="62" t="str">
        <f>RIGHT(tblCost[[#This Row],[RequirementID]],1)</f>
        <v>1</v>
      </c>
      <c r="G921" s="41">
        <v>3</v>
      </c>
      <c r="H921" t="b">
        <f>COUNTIFS(tblCostChecklist[RequirementID],tblCost[[#This Row],[RequirementID]],tblCostChecklist[PlayerPaid],TRUE)&gt;0</f>
        <v>0</v>
      </c>
      <c r="I921" s="41">
        <f>COUNTIF(tblCost[TargetID],tblCost[[#This Row],[TargetID]])</f>
        <v>6</v>
      </c>
      <c r="J921" s="41">
        <f>COUNTIFS(tblCost[TargetID],tblCost[[#This Row],[TargetID]],tblCost[PlayerPaid],TRUE)</f>
        <v>0</v>
      </c>
      <c r="K921" s="41">
        <f>tblCost[[#This Row],[TargetRequirements]]-tblCost[[#This Row],[CompletedRequirements]]</f>
        <v>6</v>
      </c>
      <c r="L921" s="41" t="b">
        <f>tblCost[[#This Row],[RemainingRequirements]]=0</f>
        <v>0</v>
      </c>
      <c r="M921" s="43">
        <f>IF(tblCost[[#This Row],[TargetRequirements]]=0,0,tblCost[[#This Row],[CompletedRequirements]]/tblCost[[#This Row],[TargetRequirements]])</f>
        <v>0</v>
      </c>
    </row>
    <row r="922" spans="1:13">
      <c r="A922" s="41" t="s">
        <v>4570</v>
      </c>
      <c r="B922" s="41" t="str">
        <f>_xlfn.TEXTAFTER(_xlfn.TEXTBEFORE(tblCost[[#This Row],[RequirementID]],".",-2),"cost.")</f>
        <v>tech.outpost.tax_return_on_floppy_disk</v>
      </c>
      <c r="C922" s="41" t="str">
        <f>_xlfn.XLOOKUP(tblCost[[#This Row],[TargetID]],tblTargets[TargetID],tblTargets[DisplayName],"")</f>
        <v>Outpost - Tax Return On Floppy Disk</v>
      </c>
      <c r="D922" s="41" t="str">
        <f>_xlfn.XLOOKUP(tblCost[[#This Row],[TargetID]],tblTargets[TargetID],tblTargets[TargetType],"")</f>
        <v>TECH</v>
      </c>
      <c r="E922" s="41" t="s">
        <v>716</v>
      </c>
      <c r="F922" s="62" t="str">
        <f>RIGHT(tblCost[[#This Row],[RequirementID]],1)</f>
        <v>1</v>
      </c>
      <c r="G922" s="41">
        <v>200</v>
      </c>
      <c r="H922" t="b">
        <f>COUNTIFS(tblCostChecklist[RequirementID],tblCost[[#This Row],[RequirementID]],tblCostChecklist[PlayerPaid],TRUE)&gt;0</f>
        <v>0</v>
      </c>
      <c r="I922" s="41">
        <f>COUNTIF(tblCost[TargetID],tblCost[[#This Row],[TargetID]])</f>
        <v>6</v>
      </c>
      <c r="J922" s="41">
        <f>COUNTIFS(tblCost[TargetID],tblCost[[#This Row],[TargetID]],tblCost[PlayerPaid],TRUE)</f>
        <v>0</v>
      </c>
      <c r="K922" s="41">
        <f>tblCost[[#This Row],[TargetRequirements]]-tblCost[[#This Row],[CompletedRequirements]]</f>
        <v>6</v>
      </c>
      <c r="L922" s="41" t="b">
        <f>tblCost[[#This Row],[RemainingRequirements]]=0</f>
        <v>0</v>
      </c>
      <c r="M922" s="43">
        <f>IF(tblCost[[#This Row],[TargetRequirements]]=0,0,tblCost[[#This Row],[CompletedRequirements]]/tblCost[[#This Row],[TargetRequirements]])</f>
        <v>0</v>
      </c>
    </row>
    <row r="923" spans="1:13">
      <c r="A923" s="41" t="s">
        <v>4571</v>
      </c>
      <c r="B923" s="41" t="str">
        <f>_xlfn.TEXTAFTER(_xlfn.TEXTBEFORE(tblCost[[#This Row],[RequirementID]],".",-2),"cost.")</f>
        <v>tech.rock_garden.rake</v>
      </c>
      <c r="C923" s="41" t="str">
        <f>_xlfn.XLOOKUP(tblCost[[#This Row],[TargetID]],tblTargets[TargetID],tblTargets[DisplayName],"")</f>
        <v>Rock Garden - Rake</v>
      </c>
      <c r="D923" s="41" t="str">
        <f>_xlfn.XLOOKUP(tblCost[[#This Row],[TargetID]],tblTargets[TargetID],tblTargets[TargetType],"")</f>
        <v>TECH</v>
      </c>
      <c r="E923" s="41" t="s">
        <v>662</v>
      </c>
      <c r="F923" s="62" t="str">
        <f>RIGHT(tblCost[[#This Row],[RequirementID]],1)</f>
        <v>1</v>
      </c>
      <c r="G923" s="41">
        <v>30</v>
      </c>
      <c r="H923" t="b">
        <f>COUNTIFS(tblCostChecklist[RequirementID],tblCost[[#This Row],[RequirementID]],tblCostChecklist[PlayerPaid],TRUE)&gt;0</f>
        <v>0</v>
      </c>
      <c r="I923" s="41">
        <f>COUNTIF(tblCost[TargetID],tblCost[[#This Row],[TargetID]])</f>
        <v>4</v>
      </c>
      <c r="J923" s="41">
        <f>COUNTIFS(tblCost[TargetID],tblCost[[#This Row],[TargetID]],tblCost[PlayerPaid],TRUE)</f>
        <v>0</v>
      </c>
      <c r="K923" s="41">
        <f>tblCost[[#This Row],[TargetRequirements]]-tblCost[[#This Row],[CompletedRequirements]]</f>
        <v>4</v>
      </c>
      <c r="L923" s="41" t="b">
        <f>tblCost[[#This Row],[RemainingRequirements]]=0</f>
        <v>0</v>
      </c>
      <c r="M923" s="43">
        <f>IF(tblCost[[#This Row],[TargetRequirements]]=0,0,tblCost[[#This Row],[CompletedRequirements]]/tblCost[[#This Row],[TargetRequirements]])</f>
        <v>0</v>
      </c>
    </row>
    <row r="924" spans="1:13">
      <c r="A924" s="41" t="s">
        <v>4572</v>
      </c>
      <c r="B924" s="41" t="str">
        <f>_xlfn.TEXTAFTER(_xlfn.TEXTBEFORE(tblCost[[#This Row],[RequirementID]],".",-2),"cost.")</f>
        <v>tech.rock_garden.rake</v>
      </c>
      <c r="C924" s="41" t="str">
        <f>_xlfn.XLOOKUP(tblCost[[#This Row],[TargetID]],tblTargets[TargetID],tblTargets[DisplayName],"")</f>
        <v>Rock Garden - Rake</v>
      </c>
      <c r="D924" s="41" t="str">
        <f>_xlfn.XLOOKUP(tblCost[[#This Row],[TargetID]],tblTargets[TargetID],tblTargets[TargetType],"")</f>
        <v>TECH</v>
      </c>
      <c r="E924" s="41" t="s">
        <v>666</v>
      </c>
      <c r="F924" s="62" t="str">
        <f>RIGHT(tblCost[[#This Row],[RequirementID]],1)</f>
        <v>1</v>
      </c>
      <c r="G924" s="41">
        <v>1500</v>
      </c>
      <c r="H924" t="b">
        <f>COUNTIFS(tblCostChecklist[RequirementID],tblCost[[#This Row],[RequirementID]],tblCostChecklist[PlayerPaid],TRUE)&gt;0</f>
        <v>0</v>
      </c>
      <c r="I924" s="41">
        <f>COUNTIF(tblCost[TargetID],tblCost[[#This Row],[TargetID]])</f>
        <v>4</v>
      </c>
      <c r="J924" s="41">
        <f>COUNTIFS(tblCost[TargetID],tblCost[[#This Row],[TargetID]],tblCost[PlayerPaid],TRUE)</f>
        <v>0</v>
      </c>
      <c r="K924" s="41">
        <f>tblCost[[#This Row],[TargetRequirements]]-tblCost[[#This Row],[CompletedRequirements]]</f>
        <v>4</v>
      </c>
      <c r="L924" s="41" t="b">
        <f>tblCost[[#This Row],[RemainingRequirements]]=0</f>
        <v>0</v>
      </c>
      <c r="M924" s="43">
        <f>IF(tblCost[[#This Row],[TargetRequirements]]=0,0,tblCost[[#This Row],[CompletedRequirements]]/tblCost[[#This Row],[TargetRequirements]])</f>
        <v>0</v>
      </c>
    </row>
    <row r="925" spans="1:13">
      <c r="A925" s="41" t="s">
        <v>4573</v>
      </c>
      <c r="B925" s="41" t="str">
        <f>_xlfn.TEXTAFTER(_xlfn.TEXTBEFORE(tblCost[[#This Row],[RequirementID]],".",-2),"cost.")</f>
        <v>tech.rock_garden.rake</v>
      </c>
      <c r="C925" s="41" t="str">
        <f>_xlfn.XLOOKUP(tblCost[[#This Row],[TargetID]],tblTargets[TargetID],tblTargets[DisplayName],"")</f>
        <v>Rock Garden - Rake</v>
      </c>
      <c r="D925" s="41" t="str">
        <f>_xlfn.XLOOKUP(tblCost[[#This Row],[TargetID]],tblTargets[TargetID],tblTargets[TargetType],"")</f>
        <v>TECH</v>
      </c>
      <c r="E925" s="41" t="s">
        <v>690</v>
      </c>
      <c r="F925" s="62" t="str">
        <f>RIGHT(tblCost[[#This Row],[RequirementID]],1)</f>
        <v>1</v>
      </c>
      <c r="G925" s="41">
        <v>50</v>
      </c>
      <c r="H925" t="b">
        <f>COUNTIFS(tblCostChecklist[RequirementID],tblCost[[#This Row],[RequirementID]],tblCostChecklist[PlayerPaid],TRUE)&gt;0</f>
        <v>0</v>
      </c>
      <c r="I925" s="41">
        <f>COUNTIF(tblCost[TargetID],tblCost[[#This Row],[TargetID]])</f>
        <v>4</v>
      </c>
      <c r="J925" s="41">
        <f>COUNTIFS(tblCost[TargetID],tblCost[[#This Row],[TargetID]],tblCost[PlayerPaid],TRUE)</f>
        <v>0</v>
      </c>
      <c r="K925" s="41">
        <f>tblCost[[#This Row],[TargetRequirements]]-tblCost[[#This Row],[CompletedRequirements]]</f>
        <v>4</v>
      </c>
      <c r="L925" s="41" t="b">
        <f>tblCost[[#This Row],[RemainingRequirements]]=0</f>
        <v>0</v>
      </c>
      <c r="M925" s="43">
        <f>IF(tblCost[[#This Row],[TargetRequirements]]=0,0,tblCost[[#This Row],[CompletedRequirements]]/tblCost[[#This Row],[TargetRequirements]])</f>
        <v>0</v>
      </c>
    </row>
    <row r="926" spans="1:13">
      <c r="A926" s="41" t="s">
        <v>4574</v>
      </c>
      <c r="B926" s="41" t="str">
        <f>_xlfn.TEXTAFTER(_xlfn.TEXTBEFORE(tblCost[[#This Row],[RequirementID]],".",-2),"cost.")</f>
        <v>tech.rock_garden.rake</v>
      </c>
      <c r="C926" s="41" t="str">
        <f>_xlfn.XLOOKUP(tblCost[[#This Row],[TargetID]],tblTargets[TargetID],tblTargets[DisplayName],"")</f>
        <v>Rock Garden - Rake</v>
      </c>
      <c r="D926" s="41" t="str">
        <f>_xlfn.XLOOKUP(tblCost[[#This Row],[TargetID]],tblTargets[TargetID],tblTargets[TargetType],"")</f>
        <v>TECH</v>
      </c>
      <c r="E926" s="41" t="s">
        <v>708</v>
      </c>
      <c r="F926" s="62" t="str">
        <f>RIGHT(tblCost[[#This Row],[RequirementID]],1)</f>
        <v>1</v>
      </c>
      <c r="G926" s="41">
        <v>6</v>
      </c>
      <c r="H926" t="b">
        <f>COUNTIFS(tblCostChecklist[RequirementID],tblCost[[#This Row],[RequirementID]],tblCostChecklist[PlayerPaid],TRUE)&gt;0</f>
        <v>0</v>
      </c>
      <c r="I926" s="41">
        <f>COUNTIF(tblCost[TargetID],tblCost[[#This Row],[TargetID]])</f>
        <v>4</v>
      </c>
      <c r="J926" s="41">
        <f>COUNTIFS(tblCost[TargetID],tblCost[[#This Row],[TargetID]],tblCost[PlayerPaid],TRUE)</f>
        <v>0</v>
      </c>
      <c r="K926" s="41">
        <f>tblCost[[#This Row],[TargetRequirements]]-tblCost[[#This Row],[CompletedRequirements]]</f>
        <v>4</v>
      </c>
      <c r="L926" s="41" t="b">
        <f>tblCost[[#This Row],[RemainingRequirements]]=0</f>
        <v>0</v>
      </c>
      <c r="M926" s="43">
        <f>IF(tblCost[[#This Row],[TargetRequirements]]=0,0,tblCost[[#This Row],[CompletedRequirements]]/tblCost[[#This Row],[TargetRequirements]])</f>
        <v>0</v>
      </c>
    </row>
    <row r="927" spans="1:13">
      <c r="A927" s="41" t="s">
        <v>4575</v>
      </c>
      <c r="B927" s="41" t="str">
        <f>_xlfn.TEXTAFTER(_xlfn.TEXTBEFORE(tblCost[[#This Row],[RequirementID]],".",-2),"cost.")</f>
        <v>tech.shop.pre_orders</v>
      </c>
      <c r="C927" s="41" t="str">
        <f>_xlfn.XLOOKUP(tblCost[[#This Row],[TargetID]],tblTargets[TargetID],tblTargets[DisplayName],"")</f>
        <v>Shop - Pre Orders</v>
      </c>
      <c r="D927" s="41" t="str">
        <f>_xlfn.XLOOKUP(tblCost[[#This Row],[TargetID]],tblTargets[TargetID],tblTargets[TargetType],"")</f>
        <v>TECH</v>
      </c>
      <c r="E927" s="41" t="s">
        <v>659</v>
      </c>
      <c r="F927" s="62" t="str">
        <f>RIGHT(tblCost[[#This Row],[RequirementID]],1)</f>
        <v>1</v>
      </c>
      <c r="G927" s="41">
        <v>20</v>
      </c>
      <c r="H927" t="b">
        <f>COUNTIFS(tblCostChecklist[RequirementID],tblCost[[#This Row],[RequirementID]],tblCostChecklist[PlayerPaid],TRUE)&gt;0</f>
        <v>0</v>
      </c>
      <c r="I927" s="41">
        <f>COUNTIF(tblCost[TargetID],tblCost[[#This Row],[TargetID]])</f>
        <v>5</v>
      </c>
      <c r="J927" s="41">
        <f>COUNTIFS(tblCost[TargetID],tblCost[[#This Row],[TargetID]],tblCost[PlayerPaid],TRUE)</f>
        <v>0</v>
      </c>
      <c r="K927" s="41">
        <f>tblCost[[#This Row],[TargetRequirements]]-tblCost[[#This Row],[CompletedRequirements]]</f>
        <v>5</v>
      </c>
      <c r="L927" s="41" t="b">
        <f>tblCost[[#This Row],[RemainingRequirements]]=0</f>
        <v>0</v>
      </c>
      <c r="M927" s="43">
        <f>IF(tblCost[[#This Row],[TargetRequirements]]=0,0,tblCost[[#This Row],[CompletedRequirements]]/tblCost[[#This Row],[TargetRequirements]])</f>
        <v>0</v>
      </c>
    </row>
    <row r="928" spans="1:13">
      <c r="A928" s="41" t="s">
        <v>4576</v>
      </c>
      <c r="B928" s="41" t="str">
        <f>_xlfn.TEXTAFTER(_xlfn.TEXTBEFORE(tblCost[[#This Row],[RequirementID]],".",-2),"cost.")</f>
        <v>tech.shop.pre_orders</v>
      </c>
      <c r="C928" s="41" t="str">
        <f>_xlfn.XLOOKUP(tblCost[[#This Row],[TargetID]],tblTargets[TargetID],tblTargets[DisplayName],"")</f>
        <v>Shop - Pre Orders</v>
      </c>
      <c r="D928" s="41" t="str">
        <f>_xlfn.XLOOKUP(tblCost[[#This Row],[TargetID]],tblTargets[TargetID],tblTargets[TargetType],"")</f>
        <v>TECH</v>
      </c>
      <c r="E928" s="41" t="s">
        <v>662</v>
      </c>
      <c r="F928" s="62" t="str">
        <f>RIGHT(tblCost[[#This Row],[RequirementID]],1)</f>
        <v>1</v>
      </c>
      <c r="G928" s="41">
        <v>30</v>
      </c>
      <c r="H928" t="b">
        <f>COUNTIFS(tblCostChecklist[RequirementID],tblCost[[#This Row],[RequirementID]],tblCostChecklist[PlayerPaid],TRUE)&gt;0</f>
        <v>0</v>
      </c>
      <c r="I928" s="41">
        <f>COUNTIF(tblCost[TargetID],tblCost[[#This Row],[TargetID]])</f>
        <v>5</v>
      </c>
      <c r="J928" s="41">
        <f>COUNTIFS(tblCost[TargetID],tblCost[[#This Row],[TargetID]],tblCost[PlayerPaid],TRUE)</f>
        <v>0</v>
      </c>
      <c r="K928" s="41">
        <f>tblCost[[#This Row],[TargetRequirements]]-tblCost[[#This Row],[CompletedRequirements]]</f>
        <v>5</v>
      </c>
      <c r="L928" s="41" t="b">
        <f>tblCost[[#This Row],[RemainingRequirements]]=0</f>
        <v>0</v>
      </c>
      <c r="M928" s="43">
        <f>IF(tblCost[[#This Row],[TargetRequirements]]=0,0,tblCost[[#This Row],[CompletedRequirements]]/tblCost[[#This Row],[TargetRequirements]])</f>
        <v>0</v>
      </c>
    </row>
    <row r="929" spans="1:13">
      <c r="A929" s="41" t="s">
        <v>4577</v>
      </c>
      <c r="B929" s="41" t="str">
        <f>_xlfn.TEXTAFTER(_xlfn.TEXTBEFORE(tblCost[[#This Row],[RequirementID]],".",-2),"cost.")</f>
        <v>tech.shop.pre_orders</v>
      </c>
      <c r="C929" s="41" t="str">
        <f>_xlfn.XLOOKUP(tblCost[[#This Row],[TargetID]],tblTargets[TargetID],tblTargets[DisplayName],"")</f>
        <v>Shop - Pre Orders</v>
      </c>
      <c r="D929" s="41" t="str">
        <f>_xlfn.XLOOKUP(tblCost[[#This Row],[TargetID]],tblTargets[TargetID],tblTargets[TargetType],"")</f>
        <v>TECH</v>
      </c>
      <c r="E929" s="41" t="s">
        <v>666</v>
      </c>
      <c r="F929" s="62" t="str">
        <f>RIGHT(tblCost[[#This Row],[RequirementID]],1)</f>
        <v>1</v>
      </c>
      <c r="G929" s="41">
        <v>300</v>
      </c>
      <c r="H929" t="b">
        <f>COUNTIFS(tblCostChecklist[RequirementID],tblCost[[#This Row],[RequirementID]],tblCostChecklist[PlayerPaid],TRUE)&gt;0</f>
        <v>0</v>
      </c>
      <c r="I929" s="41">
        <f>COUNTIF(tblCost[TargetID],tblCost[[#This Row],[TargetID]])</f>
        <v>5</v>
      </c>
      <c r="J929" s="41">
        <f>COUNTIFS(tblCost[TargetID],tblCost[[#This Row],[TargetID]],tblCost[PlayerPaid],TRUE)</f>
        <v>0</v>
      </c>
      <c r="K929" s="41">
        <f>tblCost[[#This Row],[TargetRequirements]]-tblCost[[#This Row],[CompletedRequirements]]</f>
        <v>5</v>
      </c>
      <c r="L929" s="41" t="b">
        <f>tblCost[[#This Row],[RemainingRequirements]]=0</f>
        <v>0</v>
      </c>
      <c r="M929" s="43">
        <f>IF(tblCost[[#This Row],[TargetRequirements]]=0,0,tblCost[[#This Row],[CompletedRequirements]]/tblCost[[#This Row],[TargetRequirements]])</f>
        <v>0</v>
      </c>
    </row>
    <row r="930" spans="1:13">
      <c r="A930" s="41" t="s">
        <v>4578</v>
      </c>
      <c r="B930" s="41" t="str">
        <f>_xlfn.TEXTAFTER(_xlfn.TEXTBEFORE(tblCost[[#This Row],[RequirementID]],".",-2),"cost.")</f>
        <v>tech.shop.pre_orders</v>
      </c>
      <c r="C930" s="41" t="str">
        <f>_xlfn.XLOOKUP(tblCost[[#This Row],[TargetID]],tblTargets[TargetID],tblTargets[DisplayName],"")</f>
        <v>Shop - Pre Orders</v>
      </c>
      <c r="D930" s="41" t="str">
        <f>_xlfn.XLOOKUP(tblCost[[#This Row],[TargetID]],tblTargets[TargetID],tblTargets[TargetType],"")</f>
        <v>TECH</v>
      </c>
      <c r="E930" s="41" t="s">
        <v>697</v>
      </c>
      <c r="F930" s="62" t="str">
        <f>RIGHT(tblCost[[#This Row],[RequirementID]],1)</f>
        <v>1</v>
      </c>
      <c r="G930" s="41">
        <v>30</v>
      </c>
      <c r="H930" t="b">
        <f>COUNTIFS(tblCostChecklist[RequirementID],tblCost[[#This Row],[RequirementID]],tblCostChecklist[PlayerPaid],TRUE)&gt;0</f>
        <v>0</v>
      </c>
      <c r="I930" s="41">
        <f>COUNTIF(tblCost[TargetID],tblCost[[#This Row],[TargetID]])</f>
        <v>5</v>
      </c>
      <c r="J930" s="41">
        <f>COUNTIFS(tblCost[TargetID],tblCost[[#This Row],[TargetID]],tblCost[PlayerPaid],TRUE)</f>
        <v>0</v>
      </c>
      <c r="K930" s="41">
        <f>tblCost[[#This Row],[TargetRequirements]]-tblCost[[#This Row],[CompletedRequirements]]</f>
        <v>5</v>
      </c>
      <c r="L930" s="41" t="b">
        <f>tblCost[[#This Row],[RemainingRequirements]]=0</f>
        <v>0</v>
      </c>
      <c r="M930" s="43">
        <f>IF(tblCost[[#This Row],[TargetRequirements]]=0,0,tblCost[[#This Row],[CompletedRequirements]]/tblCost[[#This Row],[TargetRequirements]])</f>
        <v>0</v>
      </c>
    </row>
    <row r="931" spans="1:13">
      <c r="A931" s="41" t="s">
        <v>4579</v>
      </c>
      <c r="B931" s="41" t="str">
        <f>_xlfn.TEXTAFTER(_xlfn.TEXTBEFORE(tblCost[[#This Row],[RequirementID]],".",-2),"cost.")</f>
        <v>tech.shop.pre_orders</v>
      </c>
      <c r="C931" s="41" t="str">
        <f>_xlfn.XLOOKUP(tblCost[[#This Row],[TargetID]],tblTargets[TargetID],tblTargets[DisplayName],"")</f>
        <v>Shop - Pre Orders</v>
      </c>
      <c r="D931" s="41" t="str">
        <f>_xlfn.XLOOKUP(tblCost[[#This Row],[TargetID]],tblTargets[TargetID],tblTargets[TargetType],"")</f>
        <v>TECH</v>
      </c>
      <c r="E931" s="41" t="s">
        <v>708</v>
      </c>
      <c r="F931" s="62" t="str">
        <f>RIGHT(tblCost[[#This Row],[RequirementID]],1)</f>
        <v>1</v>
      </c>
      <c r="G931" s="41">
        <v>1</v>
      </c>
      <c r="H931" t="b">
        <f>COUNTIFS(tblCostChecklist[RequirementID],tblCost[[#This Row],[RequirementID]],tblCostChecklist[PlayerPaid],TRUE)&gt;0</f>
        <v>0</v>
      </c>
      <c r="I931" s="41">
        <f>COUNTIF(tblCost[TargetID],tblCost[[#This Row],[TargetID]])</f>
        <v>5</v>
      </c>
      <c r="J931" s="41">
        <f>COUNTIFS(tblCost[TargetID],tblCost[[#This Row],[TargetID]],tblCost[PlayerPaid],TRUE)</f>
        <v>0</v>
      </c>
      <c r="K931" s="41">
        <f>tblCost[[#This Row],[TargetRequirements]]-tblCost[[#This Row],[CompletedRequirements]]</f>
        <v>5</v>
      </c>
      <c r="L931" s="41" t="b">
        <f>tblCost[[#This Row],[RemainingRequirements]]=0</f>
        <v>0</v>
      </c>
      <c r="M931" s="43">
        <f>IF(tblCost[[#This Row],[TargetRequirements]]=0,0,tblCost[[#This Row],[CompletedRequirements]]/tblCost[[#This Row],[TargetRequirements]])</f>
        <v>0</v>
      </c>
    </row>
    <row r="932" spans="1:13">
      <c r="A932" s="41" t="s">
        <v>4580</v>
      </c>
      <c r="B932" s="41" t="str">
        <f>_xlfn.TEXTAFTER(_xlfn.TEXTBEFORE(tblCost[[#This Row],[RequirementID]],".",-2),"cost.")</f>
        <v>tech.shop.glass_recycling</v>
      </c>
      <c r="C932" s="41" t="str">
        <f>_xlfn.XLOOKUP(tblCost[[#This Row],[TargetID]],tblTargets[TargetID],tblTargets[DisplayName],"")</f>
        <v>Shop - Glass Recycling</v>
      </c>
      <c r="D932" s="41" t="str">
        <f>_xlfn.XLOOKUP(tblCost[[#This Row],[TargetID]],tblTargets[TargetID],tblTargets[TargetType],"")</f>
        <v>TECH</v>
      </c>
      <c r="E932" s="41" t="s">
        <v>662</v>
      </c>
      <c r="F932" s="62" t="str">
        <f>RIGHT(tblCost[[#This Row],[RequirementID]],1)</f>
        <v>1</v>
      </c>
      <c r="G932" s="41">
        <v>20</v>
      </c>
      <c r="H932" t="b">
        <f>COUNTIFS(tblCostChecklist[RequirementID],tblCost[[#This Row],[RequirementID]],tblCostChecklist[PlayerPaid],TRUE)&gt;0</f>
        <v>0</v>
      </c>
      <c r="I932" s="41">
        <f>COUNTIF(tblCost[TargetID],tblCost[[#This Row],[TargetID]])</f>
        <v>6</v>
      </c>
      <c r="J932" s="41">
        <f>COUNTIFS(tblCost[TargetID],tblCost[[#This Row],[TargetID]],tblCost[PlayerPaid],TRUE)</f>
        <v>0</v>
      </c>
      <c r="K932" s="41">
        <f>tblCost[[#This Row],[TargetRequirements]]-tblCost[[#This Row],[CompletedRequirements]]</f>
        <v>6</v>
      </c>
      <c r="L932" s="41" t="b">
        <f>tblCost[[#This Row],[RemainingRequirements]]=0</f>
        <v>0</v>
      </c>
      <c r="M932" s="43">
        <f>IF(tblCost[[#This Row],[TargetRequirements]]=0,0,tblCost[[#This Row],[CompletedRequirements]]/tblCost[[#This Row],[TargetRequirements]])</f>
        <v>0</v>
      </c>
    </row>
    <row r="933" spans="1:13">
      <c r="A933" s="41" t="s">
        <v>4581</v>
      </c>
      <c r="B933" s="41" t="str">
        <f>_xlfn.TEXTAFTER(_xlfn.TEXTBEFORE(tblCost[[#This Row],[RequirementID]],".",-2),"cost.")</f>
        <v>tech.shop.glass_recycling</v>
      </c>
      <c r="C933" s="41" t="str">
        <f>_xlfn.XLOOKUP(tblCost[[#This Row],[TargetID]],tblTargets[TargetID],tblTargets[DisplayName],"")</f>
        <v>Shop - Glass Recycling</v>
      </c>
      <c r="D933" s="41" t="str">
        <f>_xlfn.XLOOKUP(tblCost[[#This Row],[TargetID]],tblTargets[TargetID],tblTargets[TargetType],"")</f>
        <v>TECH</v>
      </c>
      <c r="E933" s="41" t="s">
        <v>664</v>
      </c>
      <c r="F933" s="62" t="str">
        <f>RIGHT(tblCost[[#This Row],[RequirementID]],1)</f>
        <v>1</v>
      </c>
      <c r="G933" s="41">
        <v>40</v>
      </c>
      <c r="H933" t="b">
        <f>COUNTIFS(tblCostChecklist[RequirementID],tblCost[[#This Row],[RequirementID]],tblCostChecklist[PlayerPaid],TRUE)&gt;0</f>
        <v>0</v>
      </c>
      <c r="I933" s="41">
        <f>COUNTIF(tblCost[TargetID],tblCost[[#This Row],[TargetID]])</f>
        <v>6</v>
      </c>
      <c r="J933" s="41">
        <f>COUNTIFS(tblCost[TargetID],tblCost[[#This Row],[TargetID]],tblCost[PlayerPaid],TRUE)</f>
        <v>0</v>
      </c>
      <c r="K933" s="41">
        <f>tblCost[[#This Row],[TargetRequirements]]-tblCost[[#This Row],[CompletedRequirements]]</f>
        <v>6</v>
      </c>
      <c r="L933" s="41" t="b">
        <f>tblCost[[#This Row],[RemainingRequirements]]=0</f>
        <v>0</v>
      </c>
      <c r="M933" s="43">
        <f>IF(tblCost[[#This Row],[TargetRequirements]]=0,0,tblCost[[#This Row],[CompletedRequirements]]/tblCost[[#This Row],[TargetRequirements]])</f>
        <v>0</v>
      </c>
    </row>
    <row r="934" spans="1:13">
      <c r="A934" s="41" t="s">
        <v>4582</v>
      </c>
      <c r="B934" s="41" t="str">
        <f>_xlfn.TEXTAFTER(_xlfn.TEXTBEFORE(tblCost[[#This Row],[RequirementID]],".",-2),"cost.")</f>
        <v>tech.shop.glass_recycling</v>
      </c>
      <c r="C934" s="41" t="str">
        <f>_xlfn.XLOOKUP(tblCost[[#This Row],[TargetID]],tblTargets[TargetID],tblTargets[DisplayName],"")</f>
        <v>Shop - Glass Recycling</v>
      </c>
      <c r="D934" s="41" t="str">
        <f>_xlfn.XLOOKUP(tblCost[[#This Row],[TargetID]],tblTargets[TargetID],tblTargets[TargetType],"")</f>
        <v>TECH</v>
      </c>
      <c r="E934" s="41" t="s">
        <v>666</v>
      </c>
      <c r="F934" s="62" t="str">
        <f>RIGHT(tblCost[[#This Row],[RequirementID]],1)</f>
        <v>1</v>
      </c>
      <c r="G934" s="41">
        <v>500</v>
      </c>
      <c r="H934" t="b">
        <f>COUNTIFS(tblCostChecklist[RequirementID],tblCost[[#This Row],[RequirementID]],tblCostChecklist[PlayerPaid],TRUE)&gt;0</f>
        <v>0</v>
      </c>
      <c r="I934" s="41">
        <f>COUNTIF(tblCost[TargetID],tblCost[[#This Row],[TargetID]])</f>
        <v>6</v>
      </c>
      <c r="J934" s="41">
        <f>COUNTIFS(tblCost[TargetID],tblCost[[#This Row],[TargetID]],tblCost[PlayerPaid],TRUE)</f>
        <v>0</v>
      </c>
      <c r="K934" s="41">
        <f>tblCost[[#This Row],[TargetRequirements]]-tblCost[[#This Row],[CompletedRequirements]]</f>
        <v>6</v>
      </c>
      <c r="L934" s="41" t="b">
        <f>tblCost[[#This Row],[RemainingRequirements]]=0</f>
        <v>0</v>
      </c>
      <c r="M934" s="43">
        <f>IF(tblCost[[#This Row],[TargetRequirements]]=0,0,tblCost[[#This Row],[CompletedRequirements]]/tblCost[[#This Row],[TargetRequirements]])</f>
        <v>0</v>
      </c>
    </row>
    <row r="935" spans="1:13">
      <c r="A935" s="41" t="s">
        <v>4583</v>
      </c>
      <c r="B935" s="41" t="str">
        <f>_xlfn.TEXTAFTER(_xlfn.TEXTBEFORE(tblCost[[#This Row],[RequirementID]],".",-2),"cost.")</f>
        <v>tech.shop.glass_recycling</v>
      </c>
      <c r="C935" s="41" t="str">
        <f>_xlfn.XLOOKUP(tblCost[[#This Row],[TargetID]],tblTargets[TargetID],tblTargets[DisplayName],"")</f>
        <v>Shop - Glass Recycling</v>
      </c>
      <c r="D935" s="41" t="str">
        <f>_xlfn.XLOOKUP(tblCost[[#This Row],[TargetID]],tblTargets[TargetID],tblTargets[TargetType],"")</f>
        <v>TECH</v>
      </c>
      <c r="E935" s="41" t="s">
        <v>674</v>
      </c>
      <c r="F935" s="62" t="str">
        <f>RIGHT(tblCost[[#This Row],[RequirementID]],1)</f>
        <v>1</v>
      </c>
      <c r="G935" s="41">
        <v>25</v>
      </c>
      <c r="H935" t="b">
        <f>COUNTIFS(tblCostChecklist[RequirementID],tblCost[[#This Row],[RequirementID]],tblCostChecklist[PlayerPaid],TRUE)&gt;0</f>
        <v>0</v>
      </c>
      <c r="I935" s="41">
        <f>COUNTIF(tblCost[TargetID],tblCost[[#This Row],[TargetID]])</f>
        <v>6</v>
      </c>
      <c r="J935" s="41">
        <f>COUNTIFS(tblCost[TargetID],tblCost[[#This Row],[TargetID]],tblCost[PlayerPaid],TRUE)</f>
        <v>0</v>
      </c>
      <c r="K935" s="41">
        <f>tblCost[[#This Row],[TargetRequirements]]-tblCost[[#This Row],[CompletedRequirements]]</f>
        <v>6</v>
      </c>
      <c r="L935" s="41" t="b">
        <f>tblCost[[#This Row],[RemainingRequirements]]=0</f>
        <v>0</v>
      </c>
      <c r="M935" s="43">
        <f>IF(tblCost[[#This Row],[TargetRequirements]]=0,0,tblCost[[#This Row],[CompletedRequirements]]/tblCost[[#This Row],[TargetRequirements]])</f>
        <v>0</v>
      </c>
    </row>
    <row r="936" spans="1:13">
      <c r="A936" s="41" t="s">
        <v>4584</v>
      </c>
      <c r="B936" s="41" t="str">
        <f>_xlfn.TEXTAFTER(_xlfn.TEXTBEFORE(tblCost[[#This Row],[RequirementID]],".",-2),"cost.")</f>
        <v>tech.shop.glass_recycling</v>
      </c>
      <c r="C936" s="41" t="str">
        <f>_xlfn.XLOOKUP(tblCost[[#This Row],[TargetID]],tblTargets[TargetID],tblTargets[DisplayName],"")</f>
        <v>Shop - Glass Recycling</v>
      </c>
      <c r="D936" s="41" t="str">
        <f>_xlfn.XLOOKUP(tblCost[[#This Row],[TargetID]],tblTargets[TargetID],tblTargets[TargetType],"")</f>
        <v>TECH</v>
      </c>
      <c r="E936" s="41" t="s">
        <v>701</v>
      </c>
      <c r="F936" s="62" t="str">
        <f>RIGHT(tblCost[[#This Row],[RequirementID]],1)</f>
        <v>1</v>
      </c>
      <c r="G936" s="41">
        <v>100</v>
      </c>
      <c r="H936" t="b">
        <f>COUNTIFS(tblCostChecklist[RequirementID],tblCost[[#This Row],[RequirementID]],tblCostChecklist[PlayerPaid],TRUE)&gt;0</f>
        <v>0</v>
      </c>
      <c r="I936" s="41">
        <f>COUNTIF(tblCost[TargetID],tblCost[[#This Row],[TargetID]])</f>
        <v>6</v>
      </c>
      <c r="J936" s="41">
        <f>COUNTIFS(tblCost[TargetID],tblCost[[#This Row],[TargetID]],tblCost[PlayerPaid],TRUE)</f>
        <v>0</v>
      </c>
      <c r="K936" s="41">
        <f>tblCost[[#This Row],[TargetRequirements]]-tblCost[[#This Row],[CompletedRequirements]]</f>
        <v>6</v>
      </c>
      <c r="L936" s="41" t="b">
        <f>tblCost[[#This Row],[RemainingRequirements]]=0</f>
        <v>0</v>
      </c>
      <c r="M936" s="43">
        <f>IF(tblCost[[#This Row],[TargetRequirements]]=0,0,tblCost[[#This Row],[CompletedRequirements]]/tblCost[[#This Row],[TargetRequirements]])</f>
        <v>0</v>
      </c>
    </row>
    <row r="937" spans="1:13">
      <c r="A937" s="41" t="s">
        <v>4585</v>
      </c>
      <c r="B937" s="41" t="str">
        <f>_xlfn.TEXTAFTER(_xlfn.TEXTBEFORE(tblCost[[#This Row],[RequirementID]],".",-2),"cost.")</f>
        <v>tech.shop.glass_recycling</v>
      </c>
      <c r="C937" s="41" t="str">
        <f>_xlfn.XLOOKUP(tblCost[[#This Row],[TargetID]],tblTargets[TargetID],tblTargets[DisplayName],"")</f>
        <v>Shop - Glass Recycling</v>
      </c>
      <c r="D937" s="41" t="str">
        <f>_xlfn.XLOOKUP(tblCost[[#This Row],[TargetID]],tblTargets[TargetID],tblTargets[TargetType],"")</f>
        <v>TECH</v>
      </c>
      <c r="E937" s="41" t="s">
        <v>708</v>
      </c>
      <c r="F937" s="62" t="str">
        <f>RIGHT(tblCost[[#This Row],[RequirementID]],1)</f>
        <v>1</v>
      </c>
      <c r="G937" s="41">
        <v>5</v>
      </c>
      <c r="H937" t="b">
        <f>COUNTIFS(tblCostChecklist[RequirementID],tblCost[[#This Row],[RequirementID]],tblCostChecklist[PlayerPaid],TRUE)&gt;0</f>
        <v>0</v>
      </c>
      <c r="I937" s="41">
        <f>COUNTIF(tblCost[TargetID],tblCost[[#This Row],[TargetID]])</f>
        <v>6</v>
      </c>
      <c r="J937" s="41">
        <f>COUNTIFS(tblCost[TargetID],tblCost[[#This Row],[TargetID]],tblCost[PlayerPaid],TRUE)</f>
        <v>0</v>
      </c>
      <c r="K937" s="41">
        <f>tblCost[[#This Row],[TargetRequirements]]-tblCost[[#This Row],[CompletedRequirements]]</f>
        <v>6</v>
      </c>
      <c r="L937" s="41" t="b">
        <f>tblCost[[#This Row],[RemainingRequirements]]=0</f>
        <v>0</v>
      </c>
      <c r="M937" s="43">
        <f>IF(tblCost[[#This Row],[TargetRequirements]]=0,0,tblCost[[#This Row],[CompletedRequirements]]/tblCost[[#This Row],[TargetRequirements]])</f>
        <v>0</v>
      </c>
    </row>
    <row r="938" spans="1:13">
      <c r="A938" s="41" t="s">
        <v>4586</v>
      </c>
      <c r="B938" s="41" t="str">
        <f>_xlfn.TEXTAFTER(_xlfn.TEXTBEFORE(tblCost[[#This Row],[RequirementID]],".",-2),"cost.")</f>
        <v>tech.smithy.throwing_knife</v>
      </c>
      <c r="C938" s="41" t="str">
        <f>_xlfn.XLOOKUP(tblCost[[#This Row],[TargetID]],tblTargets[TargetID],tblTargets[DisplayName],"")</f>
        <v>Smithy - Throwing Knife</v>
      </c>
      <c r="D938" s="41" t="str">
        <f>_xlfn.XLOOKUP(tblCost[[#This Row],[TargetID]],tblTargets[TargetID],tblTargets[TargetType],"")</f>
        <v>TECH</v>
      </c>
      <c r="E938" s="41" t="s">
        <v>666</v>
      </c>
      <c r="F938" s="62" t="str">
        <f>RIGHT(tblCost[[#This Row],[RequirementID]],1)</f>
        <v>1</v>
      </c>
      <c r="G938" s="41">
        <v>300</v>
      </c>
      <c r="H938" t="b">
        <f>COUNTIFS(tblCostChecklist[RequirementID],tblCost[[#This Row],[RequirementID]],tblCostChecklist[PlayerPaid],TRUE)&gt;0</f>
        <v>0</v>
      </c>
      <c r="I938" s="41">
        <f>COUNTIF(tblCost[TargetID],tblCost[[#This Row],[TargetID]])</f>
        <v>4</v>
      </c>
      <c r="J938" s="41">
        <f>COUNTIFS(tblCost[TargetID],tblCost[[#This Row],[TargetID]],tblCost[PlayerPaid],TRUE)</f>
        <v>0</v>
      </c>
      <c r="K938" s="41">
        <f>tblCost[[#This Row],[TargetRequirements]]-tblCost[[#This Row],[CompletedRequirements]]</f>
        <v>4</v>
      </c>
      <c r="L938" s="41" t="b">
        <f>tblCost[[#This Row],[RemainingRequirements]]=0</f>
        <v>0</v>
      </c>
      <c r="M938" s="43">
        <f>IF(tblCost[[#This Row],[TargetRequirements]]=0,0,tblCost[[#This Row],[CompletedRequirements]]/tblCost[[#This Row],[TargetRequirements]])</f>
        <v>0</v>
      </c>
    </row>
    <row r="939" spans="1:13">
      <c r="A939" s="41" t="s">
        <v>4587</v>
      </c>
      <c r="B939" s="41" t="str">
        <f>_xlfn.TEXTAFTER(_xlfn.TEXTBEFORE(tblCost[[#This Row],[RequirementID]],".",-2),"cost.")</f>
        <v>tech.smithy.throwing_knife</v>
      </c>
      <c r="C939" s="41" t="str">
        <f>_xlfn.XLOOKUP(tblCost[[#This Row],[TargetID]],tblTargets[TargetID],tblTargets[DisplayName],"")</f>
        <v>Smithy - Throwing Knife</v>
      </c>
      <c r="D939" s="41" t="str">
        <f>_xlfn.XLOOKUP(tblCost[[#This Row],[TargetID]],tblTargets[TargetID],tblTargets[TargetType],"")</f>
        <v>TECH</v>
      </c>
      <c r="E939" s="41" t="s">
        <v>690</v>
      </c>
      <c r="F939" s="62" t="str">
        <f>RIGHT(tblCost[[#This Row],[RequirementID]],1)</f>
        <v>1</v>
      </c>
      <c r="G939" s="41">
        <v>30</v>
      </c>
      <c r="H939" t="b">
        <f>COUNTIFS(tblCostChecklist[RequirementID],tblCost[[#This Row],[RequirementID]],tblCostChecklist[PlayerPaid],TRUE)&gt;0</f>
        <v>0</v>
      </c>
      <c r="I939" s="41">
        <f>COUNTIF(tblCost[TargetID],tblCost[[#This Row],[TargetID]])</f>
        <v>4</v>
      </c>
      <c r="J939" s="41">
        <f>COUNTIFS(tblCost[TargetID],tblCost[[#This Row],[TargetID]],tblCost[PlayerPaid],TRUE)</f>
        <v>0</v>
      </c>
      <c r="K939" s="41">
        <f>tblCost[[#This Row],[TargetRequirements]]-tblCost[[#This Row],[CompletedRequirements]]</f>
        <v>4</v>
      </c>
      <c r="L939" s="41" t="b">
        <f>tblCost[[#This Row],[RemainingRequirements]]=0</f>
        <v>0</v>
      </c>
      <c r="M939" s="43">
        <f>IF(tblCost[[#This Row],[TargetRequirements]]=0,0,tblCost[[#This Row],[CompletedRequirements]]/tblCost[[#This Row],[TargetRequirements]])</f>
        <v>0</v>
      </c>
    </row>
    <row r="940" spans="1:13">
      <c r="A940" s="41" t="s">
        <v>4588</v>
      </c>
      <c r="B940" s="41" t="str">
        <f>_xlfn.TEXTAFTER(_xlfn.TEXTBEFORE(tblCost[[#This Row],[RequirementID]],".",-2),"cost.")</f>
        <v>tech.smithy.throwing_knife</v>
      </c>
      <c r="C940" s="41" t="str">
        <f>_xlfn.XLOOKUP(tblCost[[#This Row],[TargetID]],tblTargets[TargetID],tblTargets[DisplayName],"")</f>
        <v>Smithy - Throwing Knife</v>
      </c>
      <c r="D940" s="41" t="str">
        <f>_xlfn.XLOOKUP(tblCost[[#This Row],[TargetID]],tblTargets[TargetID],tblTargets[TargetType],"")</f>
        <v>TECH</v>
      </c>
      <c r="E940" s="41" t="s">
        <v>696</v>
      </c>
      <c r="F940" s="62" t="str">
        <f>RIGHT(tblCost[[#This Row],[RequirementID]],1)</f>
        <v>1</v>
      </c>
      <c r="G940" s="41">
        <v>15</v>
      </c>
      <c r="H940" t="b">
        <f>COUNTIFS(tblCostChecklist[RequirementID],tblCost[[#This Row],[RequirementID]],tblCostChecklist[PlayerPaid],TRUE)&gt;0</f>
        <v>0</v>
      </c>
      <c r="I940" s="41">
        <f>COUNTIF(tblCost[TargetID],tblCost[[#This Row],[TargetID]])</f>
        <v>4</v>
      </c>
      <c r="J940" s="41">
        <f>COUNTIFS(tblCost[TargetID],tblCost[[#This Row],[TargetID]],tblCost[PlayerPaid],TRUE)</f>
        <v>0</v>
      </c>
      <c r="K940" s="41">
        <f>tblCost[[#This Row],[TargetRequirements]]-tblCost[[#This Row],[CompletedRequirements]]</f>
        <v>4</v>
      </c>
      <c r="L940" s="41" t="b">
        <f>tblCost[[#This Row],[RemainingRequirements]]=0</f>
        <v>0</v>
      </c>
      <c r="M940" s="43">
        <f>IF(tblCost[[#This Row],[TargetRequirements]]=0,0,tblCost[[#This Row],[CompletedRequirements]]/tblCost[[#This Row],[TargetRequirements]])</f>
        <v>0</v>
      </c>
    </row>
    <row r="941" spans="1:13">
      <c r="A941" s="41" t="s">
        <v>4589</v>
      </c>
      <c r="B941" s="41" t="str">
        <f>_xlfn.TEXTAFTER(_xlfn.TEXTBEFORE(tblCost[[#This Row],[RequirementID]],".",-2),"cost.")</f>
        <v>tech.smithy.throwing_knife</v>
      </c>
      <c r="C941" s="41" t="str">
        <f>_xlfn.XLOOKUP(tblCost[[#This Row],[TargetID]],tblTargets[TargetID],tblTargets[DisplayName],"")</f>
        <v>Smithy - Throwing Knife</v>
      </c>
      <c r="D941" s="41" t="str">
        <f>_xlfn.XLOOKUP(tblCost[[#This Row],[TargetID]],tblTargets[TargetID],tblTargets[TargetType],"")</f>
        <v>TECH</v>
      </c>
      <c r="E941" s="41" t="s">
        <v>708</v>
      </c>
      <c r="F941" s="62" t="str">
        <f>RIGHT(tblCost[[#This Row],[RequirementID]],1)</f>
        <v>1</v>
      </c>
      <c r="G941" s="41">
        <v>2</v>
      </c>
      <c r="H941" t="b">
        <f>COUNTIFS(tblCostChecklist[RequirementID],tblCost[[#This Row],[RequirementID]],tblCostChecklist[PlayerPaid],TRUE)&gt;0</f>
        <v>0</v>
      </c>
      <c r="I941" s="41">
        <f>COUNTIF(tblCost[TargetID],tblCost[[#This Row],[TargetID]])</f>
        <v>4</v>
      </c>
      <c r="J941" s="41">
        <f>COUNTIFS(tblCost[TargetID],tblCost[[#This Row],[TargetID]],tblCost[PlayerPaid],TRUE)</f>
        <v>0</v>
      </c>
      <c r="K941" s="41">
        <f>tblCost[[#This Row],[TargetRequirements]]-tblCost[[#This Row],[CompletedRequirements]]</f>
        <v>4</v>
      </c>
      <c r="L941" s="41" t="b">
        <f>tblCost[[#This Row],[RemainingRequirements]]=0</f>
        <v>0</v>
      </c>
      <c r="M941" s="43">
        <f>IF(tblCost[[#This Row],[TargetRequirements]]=0,0,tblCost[[#This Row],[CompletedRequirements]]/tblCost[[#This Row],[TargetRequirements]])</f>
        <v>0</v>
      </c>
    </row>
    <row r="942" spans="1:13">
      <c r="A942" s="41" t="s">
        <v>4590</v>
      </c>
      <c r="B942" s="41" t="str">
        <f>_xlfn.TEXTAFTER(_xlfn.TEXTBEFORE(tblCost[[#This Row],[RequirementID]],".",-2),"cost.")</f>
        <v>tech.smithy.sword_for_a_hero_lvl_1</v>
      </c>
      <c r="C942" s="41" t="str">
        <f>_xlfn.XLOOKUP(tblCost[[#This Row],[TargetID]],tblTargets[TargetID],tblTargets[DisplayName],"")</f>
        <v>Smithy - Sword For A Hero Lvl 1</v>
      </c>
      <c r="D942" s="41" t="str">
        <f>_xlfn.XLOOKUP(tblCost[[#This Row],[TargetID]],tblTargets[TargetID],tblTargets[TargetType],"")</f>
        <v>TECH</v>
      </c>
      <c r="E942" s="41" t="s">
        <v>663</v>
      </c>
      <c r="F942" s="62" t="str">
        <f>RIGHT(tblCost[[#This Row],[RequirementID]],1)</f>
        <v>1</v>
      </c>
      <c r="G942" s="41">
        <v>50</v>
      </c>
      <c r="H942" t="b">
        <f>COUNTIFS(tblCostChecklist[RequirementID],tblCost[[#This Row],[RequirementID]],tblCostChecklist[PlayerPaid],TRUE)&gt;0</f>
        <v>0</v>
      </c>
      <c r="I942" s="41">
        <f>COUNTIF(tblCost[TargetID],tblCost[[#This Row],[TargetID]])</f>
        <v>6</v>
      </c>
      <c r="J942" s="41">
        <f>COUNTIFS(tblCost[TargetID],tblCost[[#This Row],[TargetID]],tblCost[PlayerPaid],TRUE)</f>
        <v>0</v>
      </c>
      <c r="K942" s="41">
        <f>tblCost[[#This Row],[TargetRequirements]]-tblCost[[#This Row],[CompletedRequirements]]</f>
        <v>6</v>
      </c>
      <c r="L942" s="41" t="b">
        <f>tblCost[[#This Row],[RemainingRequirements]]=0</f>
        <v>0</v>
      </c>
      <c r="M942" s="43">
        <f>IF(tblCost[[#This Row],[TargetRequirements]]=0,0,tblCost[[#This Row],[CompletedRequirements]]/tblCost[[#This Row],[TargetRequirements]])</f>
        <v>0</v>
      </c>
    </row>
    <row r="943" spans="1:13">
      <c r="A943" s="41" t="s">
        <v>4591</v>
      </c>
      <c r="B943" s="41" t="str">
        <f>_xlfn.TEXTAFTER(_xlfn.TEXTBEFORE(tblCost[[#This Row],[RequirementID]],".",-2),"cost.")</f>
        <v>tech.smithy.sword_for_a_hero_lvl_1</v>
      </c>
      <c r="C943" s="41" t="str">
        <f>_xlfn.XLOOKUP(tblCost[[#This Row],[TargetID]],tblTargets[TargetID],tblTargets[DisplayName],"")</f>
        <v>Smithy - Sword For A Hero Lvl 1</v>
      </c>
      <c r="D943" s="41" t="str">
        <f>_xlfn.XLOOKUP(tblCost[[#This Row],[TargetID]],tblTargets[TargetID],tblTargets[TargetType],"")</f>
        <v>TECH</v>
      </c>
      <c r="E943" s="41" t="s">
        <v>666</v>
      </c>
      <c r="F943" s="62" t="str">
        <f>RIGHT(tblCost[[#This Row],[RequirementID]],1)</f>
        <v>1</v>
      </c>
      <c r="G943" s="41">
        <v>300</v>
      </c>
      <c r="H943" t="b">
        <f>COUNTIFS(tblCostChecklist[RequirementID],tblCost[[#This Row],[RequirementID]],tblCostChecklist[PlayerPaid],TRUE)&gt;0</f>
        <v>0</v>
      </c>
      <c r="I943" s="41">
        <f>COUNTIF(tblCost[TargetID],tblCost[[#This Row],[TargetID]])</f>
        <v>6</v>
      </c>
      <c r="J943" s="41">
        <f>COUNTIFS(tblCost[TargetID],tblCost[[#This Row],[TargetID]],tblCost[PlayerPaid],TRUE)</f>
        <v>0</v>
      </c>
      <c r="K943" s="41">
        <f>tblCost[[#This Row],[TargetRequirements]]-tblCost[[#This Row],[CompletedRequirements]]</f>
        <v>6</v>
      </c>
      <c r="L943" s="41" t="b">
        <f>tblCost[[#This Row],[RemainingRequirements]]=0</f>
        <v>0</v>
      </c>
      <c r="M943" s="43">
        <f>IF(tblCost[[#This Row],[TargetRequirements]]=0,0,tblCost[[#This Row],[CompletedRequirements]]/tblCost[[#This Row],[TargetRequirements]])</f>
        <v>0</v>
      </c>
    </row>
    <row r="944" spans="1:13">
      <c r="A944" s="41" t="s">
        <v>4592</v>
      </c>
      <c r="B944" s="41" t="str">
        <f>_xlfn.TEXTAFTER(_xlfn.TEXTBEFORE(tblCost[[#This Row],[RequirementID]],".",-2),"cost.")</f>
        <v>tech.smithy.sword_for_a_hero_lvl_1</v>
      </c>
      <c r="C944" s="41" t="str">
        <f>_xlfn.XLOOKUP(tblCost[[#This Row],[TargetID]],tblTargets[TargetID],tblTargets[DisplayName],"")</f>
        <v>Smithy - Sword For A Hero Lvl 1</v>
      </c>
      <c r="D944" s="41" t="str">
        <f>_xlfn.XLOOKUP(tblCost[[#This Row],[TargetID]],tblTargets[TargetID],tblTargets[TargetType],"")</f>
        <v>TECH</v>
      </c>
      <c r="E944" s="41" t="s">
        <v>690</v>
      </c>
      <c r="F944" s="62" t="str">
        <f>RIGHT(tblCost[[#This Row],[RequirementID]],1)</f>
        <v>1</v>
      </c>
      <c r="G944" s="41">
        <v>40</v>
      </c>
      <c r="H944" t="b">
        <f>COUNTIFS(tblCostChecklist[RequirementID],tblCost[[#This Row],[RequirementID]],tblCostChecklist[PlayerPaid],TRUE)&gt;0</f>
        <v>0</v>
      </c>
      <c r="I944" s="41">
        <f>COUNTIF(tblCost[TargetID],tblCost[[#This Row],[TargetID]])</f>
        <v>6</v>
      </c>
      <c r="J944" s="41">
        <f>COUNTIFS(tblCost[TargetID],tblCost[[#This Row],[TargetID]],tblCost[PlayerPaid],TRUE)</f>
        <v>0</v>
      </c>
      <c r="K944" s="41">
        <f>tblCost[[#This Row],[TargetRequirements]]-tblCost[[#This Row],[CompletedRequirements]]</f>
        <v>6</v>
      </c>
      <c r="L944" s="41" t="b">
        <f>tblCost[[#This Row],[RemainingRequirements]]=0</f>
        <v>0</v>
      </c>
      <c r="M944" s="43">
        <f>IF(tblCost[[#This Row],[TargetRequirements]]=0,0,tblCost[[#This Row],[CompletedRequirements]]/tblCost[[#This Row],[TargetRequirements]])</f>
        <v>0</v>
      </c>
    </row>
    <row r="945" spans="1:13">
      <c r="A945" s="41" t="s">
        <v>4593</v>
      </c>
      <c r="B945" s="41" t="str">
        <f>_xlfn.TEXTAFTER(_xlfn.TEXTBEFORE(tblCost[[#This Row],[RequirementID]],".",-2),"cost.")</f>
        <v>tech.smithy.sword_for_a_hero_lvl_1</v>
      </c>
      <c r="C945" s="41" t="str">
        <f>_xlfn.XLOOKUP(tblCost[[#This Row],[TargetID]],tblTargets[TargetID],tblTargets[DisplayName],"")</f>
        <v>Smithy - Sword For A Hero Lvl 1</v>
      </c>
      <c r="D945" s="41" t="str">
        <f>_xlfn.XLOOKUP(tblCost[[#This Row],[TargetID]],tblTargets[TargetID],tblTargets[TargetType],"")</f>
        <v>TECH</v>
      </c>
      <c r="E945" s="41" t="s">
        <v>696</v>
      </c>
      <c r="F945" s="62" t="str">
        <f>RIGHT(tblCost[[#This Row],[RequirementID]],1)</f>
        <v>1</v>
      </c>
      <c r="G945" s="41">
        <v>20</v>
      </c>
      <c r="H945" t="b">
        <f>COUNTIFS(tblCostChecklist[RequirementID],tblCost[[#This Row],[RequirementID]],tblCostChecklist[PlayerPaid],TRUE)&gt;0</f>
        <v>0</v>
      </c>
      <c r="I945" s="41">
        <f>COUNTIF(tblCost[TargetID],tblCost[[#This Row],[TargetID]])</f>
        <v>6</v>
      </c>
      <c r="J945" s="41">
        <f>COUNTIFS(tblCost[TargetID],tblCost[[#This Row],[TargetID]],tblCost[PlayerPaid],TRUE)</f>
        <v>0</v>
      </c>
      <c r="K945" s="41">
        <f>tblCost[[#This Row],[TargetRequirements]]-tblCost[[#This Row],[CompletedRequirements]]</f>
        <v>6</v>
      </c>
      <c r="L945" s="41" t="b">
        <f>tblCost[[#This Row],[RemainingRequirements]]=0</f>
        <v>0</v>
      </c>
      <c r="M945" s="43">
        <f>IF(tblCost[[#This Row],[TargetRequirements]]=0,0,tblCost[[#This Row],[CompletedRequirements]]/tblCost[[#This Row],[TargetRequirements]])</f>
        <v>0</v>
      </c>
    </row>
    <row r="946" spans="1:13">
      <c r="A946" s="41" t="s">
        <v>4594</v>
      </c>
      <c r="B946" s="41" t="str">
        <f>_xlfn.TEXTAFTER(_xlfn.TEXTBEFORE(tblCost[[#This Row],[RequirementID]],".",-2),"cost.")</f>
        <v>tech.smithy.sword_for_a_hero_lvl_1</v>
      </c>
      <c r="C946" s="41" t="str">
        <f>_xlfn.XLOOKUP(tblCost[[#This Row],[TargetID]],tblTargets[TargetID],tblTargets[DisplayName],"")</f>
        <v>Smithy - Sword For A Hero Lvl 1</v>
      </c>
      <c r="D946" s="41" t="str">
        <f>_xlfn.XLOOKUP(tblCost[[#This Row],[TargetID]],tblTargets[TargetID],tblTargets[TargetType],"")</f>
        <v>TECH</v>
      </c>
      <c r="E946" s="41" t="s">
        <v>708</v>
      </c>
      <c r="F946" s="62" t="str">
        <f>RIGHT(tblCost[[#This Row],[RequirementID]],1)</f>
        <v>1</v>
      </c>
      <c r="G946" s="41">
        <v>2</v>
      </c>
      <c r="H946" t="b">
        <f>COUNTIFS(tblCostChecklist[RequirementID],tblCost[[#This Row],[RequirementID]],tblCostChecklist[PlayerPaid],TRUE)&gt;0</f>
        <v>0</v>
      </c>
      <c r="I946" s="41">
        <f>COUNTIF(tblCost[TargetID],tblCost[[#This Row],[TargetID]])</f>
        <v>6</v>
      </c>
      <c r="J946" s="41">
        <f>COUNTIFS(tblCost[TargetID],tblCost[[#This Row],[TargetID]],tblCost[PlayerPaid],TRUE)</f>
        <v>0</v>
      </c>
      <c r="K946" s="41">
        <f>tblCost[[#This Row],[TargetRequirements]]-tblCost[[#This Row],[CompletedRequirements]]</f>
        <v>6</v>
      </c>
      <c r="L946" s="41" t="b">
        <f>tblCost[[#This Row],[RemainingRequirements]]=0</f>
        <v>0</v>
      </c>
      <c r="M946" s="43">
        <f>IF(tblCost[[#This Row],[TargetRequirements]]=0,0,tblCost[[#This Row],[CompletedRequirements]]/tblCost[[#This Row],[TargetRequirements]])</f>
        <v>0</v>
      </c>
    </row>
    <row r="947" spans="1:13">
      <c r="A947" s="41" t="s">
        <v>4595</v>
      </c>
      <c r="B947" s="41" t="str">
        <f>_xlfn.TEXTAFTER(_xlfn.TEXTBEFORE(tblCost[[#This Row],[RequirementID]],".",-2),"cost.")</f>
        <v>tech.smithy.sword_for_a_hero_lvl_1</v>
      </c>
      <c r="C947" s="41" t="str">
        <f>_xlfn.XLOOKUP(tblCost[[#This Row],[TargetID]],tblTargets[TargetID],tblTargets[DisplayName],"")</f>
        <v>Smithy - Sword For A Hero Lvl 1</v>
      </c>
      <c r="D947" s="41" t="str">
        <f>_xlfn.XLOOKUP(tblCost[[#This Row],[TargetID]],tblTargets[TargetID],tblTargets[TargetType],"")</f>
        <v>TECH</v>
      </c>
      <c r="E947" s="41" t="s">
        <v>716</v>
      </c>
      <c r="F947" s="62" t="str">
        <f>RIGHT(tblCost[[#This Row],[RequirementID]],1)</f>
        <v>1</v>
      </c>
      <c r="G947" s="41">
        <v>50</v>
      </c>
      <c r="H947" t="b">
        <f>COUNTIFS(tblCostChecklist[RequirementID],tblCost[[#This Row],[RequirementID]],tblCostChecklist[PlayerPaid],TRUE)&gt;0</f>
        <v>0</v>
      </c>
      <c r="I947" s="41">
        <f>COUNTIF(tblCost[TargetID],tblCost[[#This Row],[TargetID]])</f>
        <v>6</v>
      </c>
      <c r="J947" s="41">
        <f>COUNTIFS(tblCost[TargetID],tblCost[[#This Row],[TargetID]],tblCost[PlayerPaid],TRUE)</f>
        <v>0</v>
      </c>
      <c r="K947" s="41">
        <f>tblCost[[#This Row],[TargetRequirements]]-tblCost[[#This Row],[CompletedRequirements]]</f>
        <v>6</v>
      </c>
      <c r="L947" s="41" t="b">
        <f>tblCost[[#This Row],[RemainingRequirements]]=0</f>
        <v>0</v>
      </c>
      <c r="M947" s="43">
        <f>IF(tblCost[[#This Row],[TargetRequirements]]=0,0,tblCost[[#This Row],[CompletedRequirements]]/tblCost[[#This Row],[TargetRequirements]])</f>
        <v>0</v>
      </c>
    </row>
    <row r="948" spans="1:13">
      <c r="A948" s="41" t="s">
        <v>4596</v>
      </c>
      <c r="B948" s="41" t="str">
        <f>_xlfn.TEXTAFTER(_xlfn.TEXTBEFORE(tblCost[[#This Row],[RequirementID]],".",-2),"cost.")</f>
        <v>tech.smithy.sword_for_a_hero_lvl_2</v>
      </c>
      <c r="C948" s="41" t="str">
        <f>_xlfn.XLOOKUP(tblCost[[#This Row],[TargetID]],tblTargets[TargetID],tblTargets[DisplayName],"")</f>
        <v>Smithy - Sword For A Hero Lvl 2</v>
      </c>
      <c r="D948" s="41" t="str">
        <f>_xlfn.XLOOKUP(tblCost[[#This Row],[TargetID]],tblTargets[TargetID],tblTargets[TargetType],"")</f>
        <v>TECH</v>
      </c>
      <c r="E948" s="41" t="s">
        <v>662</v>
      </c>
      <c r="F948" s="62" t="str">
        <f>RIGHT(tblCost[[#This Row],[RequirementID]],1)</f>
        <v>1</v>
      </c>
      <c r="G948" s="41">
        <v>15</v>
      </c>
      <c r="H948" t="b">
        <f>COUNTIFS(tblCostChecklist[RequirementID],tblCost[[#This Row],[RequirementID]],tblCostChecklist[PlayerPaid],TRUE)&gt;0</f>
        <v>0</v>
      </c>
      <c r="I948" s="41">
        <f>COUNTIF(tblCost[TargetID],tblCost[[#This Row],[TargetID]])</f>
        <v>6</v>
      </c>
      <c r="J948" s="41">
        <f>COUNTIFS(tblCost[TargetID],tblCost[[#This Row],[TargetID]],tblCost[PlayerPaid],TRUE)</f>
        <v>0</v>
      </c>
      <c r="K948" s="41">
        <f>tblCost[[#This Row],[TargetRequirements]]-tblCost[[#This Row],[CompletedRequirements]]</f>
        <v>6</v>
      </c>
      <c r="L948" s="41" t="b">
        <f>tblCost[[#This Row],[RemainingRequirements]]=0</f>
        <v>0</v>
      </c>
      <c r="M948" s="43">
        <f>IF(tblCost[[#This Row],[TargetRequirements]]=0,0,tblCost[[#This Row],[CompletedRequirements]]/tblCost[[#This Row],[TargetRequirements]])</f>
        <v>0</v>
      </c>
    </row>
    <row r="949" spans="1:13">
      <c r="A949" s="41" t="s">
        <v>4597</v>
      </c>
      <c r="B949" s="41" t="str">
        <f>_xlfn.TEXTAFTER(_xlfn.TEXTBEFORE(tblCost[[#This Row],[RequirementID]],".",-2),"cost.")</f>
        <v>tech.smithy.sword_for_a_hero_lvl_2</v>
      </c>
      <c r="C949" s="41" t="str">
        <f>_xlfn.XLOOKUP(tblCost[[#This Row],[TargetID]],tblTargets[TargetID],tblTargets[DisplayName],"")</f>
        <v>Smithy - Sword For A Hero Lvl 2</v>
      </c>
      <c r="D949" s="41" t="str">
        <f>_xlfn.XLOOKUP(tblCost[[#This Row],[TargetID]],tblTargets[TargetID],tblTargets[TargetType],"")</f>
        <v>TECH</v>
      </c>
      <c r="E949" s="41" t="s">
        <v>663</v>
      </c>
      <c r="F949" s="62" t="str">
        <f>RIGHT(tblCost[[#This Row],[RequirementID]],1)</f>
        <v>1</v>
      </c>
      <c r="G949" s="41">
        <v>100</v>
      </c>
      <c r="H949" t="b">
        <f>COUNTIFS(tblCostChecklist[RequirementID],tblCost[[#This Row],[RequirementID]],tblCostChecklist[PlayerPaid],TRUE)&gt;0</f>
        <v>0</v>
      </c>
      <c r="I949" s="41">
        <f>COUNTIF(tblCost[TargetID],tblCost[[#This Row],[TargetID]])</f>
        <v>6</v>
      </c>
      <c r="J949" s="41">
        <f>COUNTIFS(tblCost[TargetID],tblCost[[#This Row],[TargetID]],tblCost[PlayerPaid],TRUE)</f>
        <v>0</v>
      </c>
      <c r="K949" s="41">
        <f>tblCost[[#This Row],[TargetRequirements]]-tblCost[[#This Row],[CompletedRequirements]]</f>
        <v>6</v>
      </c>
      <c r="L949" s="41" t="b">
        <f>tblCost[[#This Row],[RemainingRequirements]]=0</f>
        <v>0</v>
      </c>
      <c r="M949" s="43">
        <f>IF(tblCost[[#This Row],[TargetRequirements]]=0,0,tblCost[[#This Row],[CompletedRequirements]]/tblCost[[#This Row],[TargetRequirements]])</f>
        <v>0</v>
      </c>
    </row>
    <row r="950" spans="1:13">
      <c r="A950" s="41" t="s">
        <v>4598</v>
      </c>
      <c r="B950" s="41" t="str">
        <f>_xlfn.TEXTAFTER(_xlfn.TEXTBEFORE(tblCost[[#This Row],[RequirementID]],".",-2),"cost.")</f>
        <v>tech.smithy.sword_for_a_hero_lvl_2</v>
      </c>
      <c r="C950" s="41" t="str">
        <f>_xlfn.XLOOKUP(tblCost[[#This Row],[TargetID]],tblTargets[TargetID],tblTargets[DisplayName],"")</f>
        <v>Smithy - Sword For A Hero Lvl 2</v>
      </c>
      <c r="D950" s="41" t="str">
        <f>_xlfn.XLOOKUP(tblCost[[#This Row],[TargetID]],tblTargets[TargetID],tblTargets[TargetType],"")</f>
        <v>TECH</v>
      </c>
      <c r="E950" s="41" t="s">
        <v>666</v>
      </c>
      <c r="F950" s="62" t="str">
        <f>RIGHT(tblCost[[#This Row],[RequirementID]],1)</f>
        <v>1</v>
      </c>
      <c r="G950" s="41">
        <v>500</v>
      </c>
      <c r="H950" t="b">
        <f>COUNTIFS(tblCostChecklist[RequirementID],tblCost[[#This Row],[RequirementID]],tblCostChecklist[PlayerPaid],TRUE)&gt;0</f>
        <v>0</v>
      </c>
      <c r="I950" s="41">
        <f>COUNTIF(tblCost[TargetID],tblCost[[#This Row],[TargetID]])</f>
        <v>6</v>
      </c>
      <c r="J950" s="41">
        <f>COUNTIFS(tblCost[TargetID],tblCost[[#This Row],[TargetID]],tblCost[PlayerPaid],TRUE)</f>
        <v>0</v>
      </c>
      <c r="K950" s="41">
        <f>tblCost[[#This Row],[TargetRequirements]]-tblCost[[#This Row],[CompletedRequirements]]</f>
        <v>6</v>
      </c>
      <c r="L950" s="41" t="b">
        <f>tblCost[[#This Row],[RemainingRequirements]]=0</f>
        <v>0</v>
      </c>
      <c r="M950" s="43">
        <f>IF(tblCost[[#This Row],[TargetRequirements]]=0,0,tblCost[[#This Row],[CompletedRequirements]]/tblCost[[#This Row],[TargetRequirements]])</f>
        <v>0</v>
      </c>
    </row>
    <row r="951" spans="1:13">
      <c r="A951" s="41" t="s">
        <v>4599</v>
      </c>
      <c r="B951" s="41" t="str">
        <f>_xlfn.TEXTAFTER(_xlfn.TEXTBEFORE(tblCost[[#This Row],[RequirementID]],".",-2),"cost.")</f>
        <v>tech.smithy.sword_for_a_hero_lvl_2</v>
      </c>
      <c r="C951" s="41" t="str">
        <f>_xlfn.XLOOKUP(tblCost[[#This Row],[TargetID]],tblTargets[TargetID],tblTargets[DisplayName],"")</f>
        <v>Smithy - Sword For A Hero Lvl 2</v>
      </c>
      <c r="D951" s="41" t="str">
        <f>_xlfn.XLOOKUP(tblCost[[#This Row],[TargetID]],tblTargets[TargetID],tblTargets[TargetType],"")</f>
        <v>TECH</v>
      </c>
      <c r="E951" s="41" t="s">
        <v>693</v>
      </c>
      <c r="F951" s="62" t="str">
        <f>RIGHT(tblCost[[#This Row],[RequirementID]],1)</f>
        <v>1</v>
      </c>
      <c r="G951" s="41">
        <v>40</v>
      </c>
      <c r="H951" t="b">
        <f>COUNTIFS(tblCostChecklist[RequirementID],tblCost[[#This Row],[RequirementID]],tblCostChecklist[PlayerPaid],TRUE)&gt;0</f>
        <v>0</v>
      </c>
      <c r="I951" s="41">
        <f>COUNTIF(tblCost[TargetID],tblCost[[#This Row],[TargetID]])</f>
        <v>6</v>
      </c>
      <c r="J951" s="41">
        <f>COUNTIFS(tblCost[TargetID],tblCost[[#This Row],[TargetID]],tblCost[PlayerPaid],TRUE)</f>
        <v>0</v>
      </c>
      <c r="K951" s="41">
        <f>tblCost[[#This Row],[TargetRequirements]]-tblCost[[#This Row],[CompletedRequirements]]</f>
        <v>6</v>
      </c>
      <c r="L951" s="41" t="b">
        <f>tblCost[[#This Row],[RemainingRequirements]]=0</f>
        <v>0</v>
      </c>
      <c r="M951" s="43">
        <f>IF(tblCost[[#This Row],[TargetRequirements]]=0,0,tblCost[[#This Row],[CompletedRequirements]]/tblCost[[#This Row],[TargetRequirements]])</f>
        <v>0</v>
      </c>
    </row>
    <row r="952" spans="1:13">
      <c r="A952" s="41" t="s">
        <v>4600</v>
      </c>
      <c r="B952" s="41" t="str">
        <f>_xlfn.TEXTAFTER(_xlfn.TEXTBEFORE(tblCost[[#This Row],[RequirementID]],".",-2),"cost.")</f>
        <v>tech.smithy.sword_for_a_hero_lvl_2</v>
      </c>
      <c r="C952" s="41" t="str">
        <f>_xlfn.XLOOKUP(tblCost[[#This Row],[TargetID]],tblTargets[TargetID],tblTargets[DisplayName],"")</f>
        <v>Smithy - Sword For A Hero Lvl 2</v>
      </c>
      <c r="D952" s="41" t="str">
        <f>_xlfn.XLOOKUP(tblCost[[#This Row],[TargetID]],tblTargets[TargetID],tblTargets[TargetType],"")</f>
        <v>TECH</v>
      </c>
      <c r="E952" s="41" t="s">
        <v>708</v>
      </c>
      <c r="F952" s="62" t="str">
        <f>RIGHT(tblCost[[#This Row],[RequirementID]],1)</f>
        <v>1</v>
      </c>
      <c r="G952" s="41">
        <v>3</v>
      </c>
      <c r="H952" t="b">
        <f>COUNTIFS(tblCostChecklist[RequirementID],tblCost[[#This Row],[RequirementID]],tblCostChecklist[PlayerPaid],TRUE)&gt;0</f>
        <v>0</v>
      </c>
      <c r="I952" s="41">
        <f>COUNTIF(tblCost[TargetID],tblCost[[#This Row],[TargetID]])</f>
        <v>6</v>
      </c>
      <c r="J952" s="41">
        <f>COUNTIFS(tblCost[TargetID],tblCost[[#This Row],[TargetID]],tblCost[PlayerPaid],TRUE)</f>
        <v>0</v>
      </c>
      <c r="K952" s="41">
        <f>tblCost[[#This Row],[TargetRequirements]]-tblCost[[#This Row],[CompletedRequirements]]</f>
        <v>6</v>
      </c>
      <c r="L952" s="41" t="b">
        <f>tblCost[[#This Row],[RemainingRequirements]]=0</f>
        <v>0</v>
      </c>
      <c r="M952" s="43">
        <f>IF(tblCost[[#This Row],[TargetRequirements]]=0,0,tblCost[[#This Row],[CompletedRequirements]]/tblCost[[#This Row],[TargetRequirements]])</f>
        <v>0</v>
      </c>
    </row>
    <row r="953" spans="1:13">
      <c r="A953" s="41" t="s">
        <v>4601</v>
      </c>
      <c r="B953" s="41" t="str">
        <f>_xlfn.TEXTAFTER(_xlfn.TEXTBEFORE(tblCost[[#This Row],[RequirementID]],".",-2),"cost.")</f>
        <v>tech.smithy.sword_for_a_hero_lvl_2</v>
      </c>
      <c r="C953" s="41" t="str">
        <f>_xlfn.XLOOKUP(tblCost[[#This Row],[TargetID]],tblTargets[TargetID],tblTargets[DisplayName],"")</f>
        <v>Smithy - Sword For A Hero Lvl 2</v>
      </c>
      <c r="D953" s="41" t="str">
        <f>_xlfn.XLOOKUP(tblCost[[#This Row],[TargetID]],tblTargets[TargetID],tblTargets[TargetType],"")</f>
        <v>TECH</v>
      </c>
      <c r="E953" s="41" t="s">
        <v>716</v>
      </c>
      <c r="F953" s="62" t="str">
        <f>RIGHT(tblCost[[#This Row],[RequirementID]],1)</f>
        <v>1</v>
      </c>
      <c r="G953" s="41">
        <v>100</v>
      </c>
      <c r="H953" t="b">
        <f>COUNTIFS(tblCostChecklist[RequirementID],tblCost[[#This Row],[RequirementID]],tblCostChecklist[PlayerPaid],TRUE)&gt;0</f>
        <v>0</v>
      </c>
      <c r="I953" s="41">
        <f>COUNTIF(tblCost[TargetID],tblCost[[#This Row],[TargetID]])</f>
        <v>6</v>
      </c>
      <c r="J953" s="41">
        <f>COUNTIFS(tblCost[TargetID],tblCost[[#This Row],[TargetID]],tblCost[PlayerPaid],TRUE)</f>
        <v>0</v>
      </c>
      <c r="K953" s="41">
        <f>tblCost[[#This Row],[TargetRequirements]]-tblCost[[#This Row],[CompletedRequirements]]</f>
        <v>6</v>
      </c>
      <c r="L953" s="41" t="b">
        <f>tblCost[[#This Row],[RemainingRequirements]]=0</f>
        <v>0</v>
      </c>
      <c r="M953" s="43">
        <f>IF(tblCost[[#This Row],[TargetRequirements]]=0,0,tblCost[[#This Row],[CompletedRequirements]]/tblCost[[#This Row],[TargetRequirements]])</f>
        <v>0</v>
      </c>
    </row>
    <row r="954" spans="1:13">
      <c r="A954" s="41" t="s">
        <v>4602</v>
      </c>
      <c r="B954" s="41" t="str">
        <f>_xlfn.TEXTAFTER(_xlfn.TEXTBEFORE(tblCost[[#This Row],[RequirementID]],".",-2),"cost.")</f>
        <v>tech.smithy.sword_for_a_hero_lvl_3</v>
      </c>
      <c r="C954" s="41" t="str">
        <f>_xlfn.XLOOKUP(tblCost[[#This Row],[TargetID]],tblTargets[TargetID],tblTargets[DisplayName],"")</f>
        <v>Smithy - Sword For A Hero Lvl 3</v>
      </c>
      <c r="D954" s="41" t="str">
        <f>_xlfn.XLOOKUP(tblCost[[#This Row],[TargetID]],tblTargets[TargetID],tblTargets[TargetType],"")</f>
        <v>TECH</v>
      </c>
      <c r="E954" s="41" t="s">
        <v>662</v>
      </c>
      <c r="F954" s="62" t="str">
        <f>RIGHT(tblCost[[#This Row],[RequirementID]],1)</f>
        <v>1</v>
      </c>
      <c r="G954" s="41">
        <v>20</v>
      </c>
      <c r="H954" t="b">
        <f>COUNTIFS(tblCostChecklist[RequirementID],tblCost[[#This Row],[RequirementID]],tblCostChecklist[PlayerPaid],TRUE)&gt;0</f>
        <v>0</v>
      </c>
      <c r="I954" s="41">
        <f>COUNTIF(tblCost[TargetID],tblCost[[#This Row],[TargetID]])</f>
        <v>6</v>
      </c>
      <c r="J954" s="41">
        <f>COUNTIFS(tblCost[TargetID],tblCost[[#This Row],[TargetID]],tblCost[PlayerPaid],TRUE)</f>
        <v>0</v>
      </c>
      <c r="K954" s="41">
        <f>tblCost[[#This Row],[TargetRequirements]]-tblCost[[#This Row],[CompletedRequirements]]</f>
        <v>6</v>
      </c>
      <c r="L954" s="41" t="b">
        <f>tblCost[[#This Row],[RemainingRequirements]]=0</f>
        <v>0</v>
      </c>
      <c r="M954" s="43">
        <f>IF(tblCost[[#This Row],[TargetRequirements]]=0,0,tblCost[[#This Row],[CompletedRequirements]]/tblCost[[#This Row],[TargetRequirements]])</f>
        <v>0</v>
      </c>
    </row>
    <row r="955" spans="1:13">
      <c r="A955" s="41" t="s">
        <v>4603</v>
      </c>
      <c r="B955" s="41" t="str">
        <f>_xlfn.TEXTAFTER(_xlfn.TEXTBEFORE(tblCost[[#This Row],[RequirementID]],".",-2),"cost.")</f>
        <v>tech.smithy.sword_for_a_hero_lvl_3</v>
      </c>
      <c r="C955" s="41" t="str">
        <f>_xlfn.XLOOKUP(tblCost[[#This Row],[TargetID]],tblTargets[TargetID],tblTargets[DisplayName],"")</f>
        <v>Smithy - Sword For A Hero Lvl 3</v>
      </c>
      <c r="D955" s="41" t="str">
        <f>_xlfn.XLOOKUP(tblCost[[#This Row],[TargetID]],tblTargets[TargetID],tblTargets[TargetType],"")</f>
        <v>TECH</v>
      </c>
      <c r="E955" s="41" t="s">
        <v>663</v>
      </c>
      <c r="F955" s="62" t="str">
        <f>RIGHT(tblCost[[#This Row],[RequirementID]],1)</f>
        <v>1</v>
      </c>
      <c r="G955" s="41">
        <v>200</v>
      </c>
      <c r="H955" t="b">
        <f>COUNTIFS(tblCostChecklist[RequirementID],tblCost[[#This Row],[RequirementID]],tblCostChecklist[PlayerPaid],TRUE)&gt;0</f>
        <v>0</v>
      </c>
      <c r="I955" s="41">
        <f>COUNTIF(tblCost[TargetID],tblCost[[#This Row],[TargetID]])</f>
        <v>6</v>
      </c>
      <c r="J955" s="41">
        <f>COUNTIFS(tblCost[TargetID],tblCost[[#This Row],[TargetID]],tblCost[PlayerPaid],TRUE)</f>
        <v>0</v>
      </c>
      <c r="K955" s="41">
        <f>tblCost[[#This Row],[TargetRequirements]]-tblCost[[#This Row],[CompletedRequirements]]</f>
        <v>6</v>
      </c>
      <c r="L955" s="41" t="b">
        <f>tblCost[[#This Row],[RemainingRequirements]]=0</f>
        <v>0</v>
      </c>
      <c r="M955" s="43">
        <f>IF(tblCost[[#This Row],[TargetRequirements]]=0,0,tblCost[[#This Row],[CompletedRequirements]]/tblCost[[#This Row],[TargetRequirements]])</f>
        <v>0</v>
      </c>
    </row>
    <row r="956" spans="1:13">
      <c r="A956" s="41" t="s">
        <v>4604</v>
      </c>
      <c r="B956" s="41" t="str">
        <f>_xlfn.TEXTAFTER(_xlfn.TEXTBEFORE(tblCost[[#This Row],[RequirementID]],".",-2),"cost.")</f>
        <v>tech.smithy.sword_for_a_hero_lvl_3</v>
      </c>
      <c r="C956" s="41" t="str">
        <f>_xlfn.XLOOKUP(tblCost[[#This Row],[TargetID]],tblTargets[TargetID],tblTargets[DisplayName],"")</f>
        <v>Smithy - Sword For A Hero Lvl 3</v>
      </c>
      <c r="D956" s="41" t="str">
        <f>_xlfn.XLOOKUP(tblCost[[#This Row],[TargetID]],tblTargets[TargetID],tblTargets[TargetType],"")</f>
        <v>TECH</v>
      </c>
      <c r="E956" s="41" t="s">
        <v>666</v>
      </c>
      <c r="F956" s="62" t="str">
        <f>RIGHT(tblCost[[#This Row],[RequirementID]],1)</f>
        <v>1</v>
      </c>
      <c r="G956" s="41">
        <v>1000</v>
      </c>
      <c r="H956" t="b">
        <f>COUNTIFS(tblCostChecklist[RequirementID],tblCost[[#This Row],[RequirementID]],tblCostChecklist[PlayerPaid],TRUE)&gt;0</f>
        <v>0</v>
      </c>
      <c r="I956" s="41">
        <f>COUNTIF(tblCost[TargetID],tblCost[[#This Row],[TargetID]])</f>
        <v>6</v>
      </c>
      <c r="J956" s="41">
        <f>COUNTIFS(tblCost[TargetID],tblCost[[#This Row],[TargetID]],tblCost[PlayerPaid],TRUE)</f>
        <v>0</v>
      </c>
      <c r="K956" s="41">
        <f>tblCost[[#This Row],[TargetRequirements]]-tblCost[[#This Row],[CompletedRequirements]]</f>
        <v>6</v>
      </c>
      <c r="L956" s="41" t="b">
        <f>tblCost[[#This Row],[RemainingRequirements]]=0</f>
        <v>0</v>
      </c>
      <c r="M956" s="43">
        <f>IF(tblCost[[#This Row],[TargetRequirements]]=0,0,tblCost[[#This Row],[CompletedRequirements]]/tblCost[[#This Row],[TargetRequirements]])</f>
        <v>0</v>
      </c>
    </row>
    <row r="957" spans="1:13">
      <c r="A957" s="41" t="s">
        <v>4605</v>
      </c>
      <c r="B957" s="41" t="str">
        <f>_xlfn.TEXTAFTER(_xlfn.TEXTBEFORE(tblCost[[#This Row],[RequirementID]],".",-2),"cost.")</f>
        <v>tech.smithy.sword_for_a_hero_lvl_3</v>
      </c>
      <c r="C957" s="41" t="str">
        <f>_xlfn.XLOOKUP(tblCost[[#This Row],[TargetID]],tblTargets[TargetID],tblTargets[DisplayName],"")</f>
        <v>Smithy - Sword For A Hero Lvl 3</v>
      </c>
      <c r="D957" s="41" t="str">
        <f>_xlfn.XLOOKUP(tblCost[[#This Row],[TargetID]],tblTargets[TargetID],tblTargets[TargetType],"")</f>
        <v>TECH</v>
      </c>
      <c r="E957" s="41" t="s">
        <v>693</v>
      </c>
      <c r="F957" s="62" t="str">
        <f>RIGHT(tblCost[[#This Row],[RequirementID]],1)</f>
        <v>1</v>
      </c>
      <c r="G957" s="41">
        <v>60</v>
      </c>
      <c r="H957" t="b">
        <f>COUNTIFS(tblCostChecklist[RequirementID],tblCost[[#This Row],[RequirementID]],tblCostChecklist[PlayerPaid],TRUE)&gt;0</f>
        <v>0</v>
      </c>
      <c r="I957" s="41">
        <f>COUNTIF(tblCost[TargetID],tblCost[[#This Row],[TargetID]])</f>
        <v>6</v>
      </c>
      <c r="J957" s="41">
        <f>COUNTIFS(tblCost[TargetID],tblCost[[#This Row],[TargetID]],tblCost[PlayerPaid],TRUE)</f>
        <v>0</v>
      </c>
      <c r="K957" s="41">
        <f>tblCost[[#This Row],[TargetRequirements]]-tblCost[[#This Row],[CompletedRequirements]]</f>
        <v>6</v>
      </c>
      <c r="L957" s="41" t="b">
        <f>tblCost[[#This Row],[RemainingRequirements]]=0</f>
        <v>0</v>
      </c>
      <c r="M957" s="43">
        <f>IF(tblCost[[#This Row],[TargetRequirements]]=0,0,tblCost[[#This Row],[CompletedRequirements]]/tblCost[[#This Row],[TargetRequirements]])</f>
        <v>0</v>
      </c>
    </row>
    <row r="958" spans="1:13">
      <c r="A958" s="41" t="s">
        <v>4606</v>
      </c>
      <c r="B958" s="41" t="str">
        <f>_xlfn.TEXTAFTER(_xlfn.TEXTBEFORE(tblCost[[#This Row],[RequirementID]],".",-2),"cost.")</f>
        <v>tech.smithy.sword_for_a_hero_lvl_3</v>
      </c>
      <c r="C958" s="41" t="str">
        <f>_xlfn.XLOOKUP(tblCost[[#This Row],[TargetID]],tblTargets[TargetID],tblTargets[DisplayName],"")</f>
        <v>Smithy - Sword For A Hero Lvl 3</v>
      </c>
      <c r="D958" s="41" t="str">
        <f>_xlfn.XLOOKUP(tblCost[[#This Row],[TargetID]],tblTargets[TargetID],tblTargets[TargetType],"")</f>
        <v>TECH</v>
      </c>
      <c r="E958" s="41" t="s">
        <v>708</v>
      </c>
      <c r="F958" s="62" t="str">
        <f>RIGHT(tblCost[[#This Row],[RequirementID]],1)</f>
        <v>1</v>
      </c>
      <c r="G958" s="41">
        <v>5</v>
      </c>
      <c r="H958" t="b">
        <f>COUNTIFS(tblCostChecklist[RequirementID],tblCost[[#This Row],[RequirementID]],tblCostChecklist[PlayerPaid],TRUE)&gt;0</f>
        <v>0</v>
      </c>
      <c r="I958" s="41">
        <f>COUNTIF(tblCost[TargetID],tblCost[[#This Row],[TargetID]])</f>
        <v>6</v>
      </c>
      <c r="J958" s="41">
        <f>COUNTIFS(tblCost[TargetID],tblCost[[#This Row],[TargetID]],tblCost[PlayerPaid],TRUE)</f>
        <v>0</v>
      </c>
      <c r="K958" s="41">
        <f>tblCost[[#This Row],[TargetRequirements]]-tblCost[[#This Row],[CompletedRequirements]]</f>
        <v>6</v>
      </c>
      <c r="L958" s="41" t="b">
        <f>tblCost[[#This Row],[RemainingRequirements]]=0</f>
        <v>0</v>
      </c>
      <c r="M958" s="43">
        <f>IF(tblCost[[#This Row],[TargetRequirements]]=0,0,tblCost[[#This Row],[CompletedRequirements]]/tblCost[[#This Row],[TargetRequirements]])</f>
        <v>0</v>
      </c>
    </row>
    <row r="959" spans="1:13">
      <c r="A959" s="41" t="s">
        <v>4607</v>
      </c>
      <c r="B959" s="41" t="str">
        <f>_xlfn.TEXTAFTER(_xlfn.TEXTBEFORE(tblCost[[#This Row],[RequirementID]],".",-2),"cost.")</f>
        <v>tech.smithy.sword_for_a_hero_lvl_3</v>
      </c>
      <c r="C959" s="41" t="str">
        <f>_xlfn.XLOOKUP(tblCost[[#This Row],[TargetID]],tblTargets[TargetID],tblTargets[DisplayName],"")</f>
        <v>Smithy - Sword For A Hero Lvl 3</v>
      </c>
      <c r="D959" s="41" t="str">
        <f>_xlfn.XLOOKUP(tblCost[[#This Row],[TargetID]],tblTargets[TargetID],tblTargets[TargetType],"")</f>
        <v>TECH</v>
      </c>
      <c r="E959" s="41" t="s">
        <v>716</v>
      </c>
      <c r="F959" s="62" t="str">
        <f>RIGHT(tblCost[[#This Row],[RequirementID]],1)</f>
        <v>1</v>
      </c>
      <c r="G959" s="41">
        <v>200</v>
      </c>
      <c r="H959" t="b">
        <f>COUNTIFS(tblCostChecklist[RequirementID],tblCost[[#This Row],[RequirementID]],tblCostChecklist[PlayerPaid],TRUE)&gt;0</f>
        <v>0</v>
      </c>
      <c r="I959" s="41">
        <f>COUNTIF(tblCost[TargetID],tblCost[[#This Row],[TargetID]])</f>
        <v>6</v>
      </c>
      <c r="J959" s="41">
        <f>COUNTIFS(tblCost[TargetID],tblCost[[#This Row],[TargetID]],tblCost[PlayerPaid],TRUE)</f>
        <v>0</v>
      </c>
      <c r="K959" s="41">
        <f>tblCost[[#This Row],[TargetRequirements]]-tblCost[[#This Row],[CompletedRequirements]]</f>
        <v>6</v>
      </c>
      <c r="L959" s="41" t="b">
        <f>tblCost[[#This Row],[RemainingRequirements]]=0</f>
        <v>0</v>
      </c>
      <c r="M959" s="43">
        <f>IF(tblCost[[#This Row],[TargetRequirements]]=0,0,tblCost[[#This Row],[CompletedRequirements]]/tblCost[[#This Row],[TargetRequirements]])</f>
        <v>0</v>
      </c>
    </row>
    <row r="960" spans="1:13">
      <c r="A960" s="41" t="s">
        <v>4608</v>
      </c>
      <c r="B960" s="41" t="str">
        <f>_xlfn.TEXTAFTER(_xlfn.TEXTBEFORE(tblCost[[#This Row],[RequirementID]],".",-2),"cost.")</f>
        <v>tech.smithy.sword_for_a_hero_lvl_4</v>
      </c>
      <c r="C960" s="41" t="str">
        <f>_xlfn.XLOOKUP(tblCost[[#This Row],[TargetID]],tblTargets[TargetID],tblTargets[DisplayName],"")</f>
        <v>Smithy - Sword For A Hero Lvl 4</v>
      </c>
      <c r="D960" s="41" t="str">
        <f>_xlfn.XLOOKUP(tblCost[[#This Row],[TargetID]],tblTargets[TargetID],tblTargets[TargetType],"")</f>
        <v>TECH</v>
      </c>
      <c r="E960" s="41" t="s">
        <v>662</v>
      </c>
      <c r="F960" s="62" t="str">
        <f>RIGHT(tblCost[[#This Row],[RequirementID]],1)</f>
        <v>1</v>
      </c>
      <c r="G960" s="41">
        <v>40</v>
      </c>
      <c r="H960" t="b">
        <f>COUNTIFS(tblCostChecklist[RequirementID],tblCost[[#This Row],[RequirementID]],tblCostChecklist[PlayerPaid],TRUE)&gt;0</f>
        <v>0</v>
      </c>
      <c r="I960" s="41">
        <f>COUNTIF(tblCost[TargetID],tblCost[[#This Row],[TargetID]])</f>
        <v>6</v>
      </c>
      <c r="J960" s="41">
        <f>COUNTIFS(tblCost[TargetID],tblCost[[#This Row],[TargetID]],tblCost[PlayerPaid],TRUE)</f>
        <v>0</v>
      </c>
      <c r="K960" s="41">
        <f>tblCost[[#This Row],[TargetRequirements]]-tblCost[[#This Row],[CompletedRequirements]]</f>
        <v>6</v>
      </c>
      <c r="L960" s="41" t="b">
        <f>tblCost[[#This Row],[RemainingRequirements]]=0</f>
        <v>0</v>
      </c>
      <c r="M960" s="43">
        <f>IF(tblCost[[#This Row],[TargetRequirements]]=0,0,tblCost[[#This Row],[CompletedRequirements]]/tblCost[[#This Row],[TargetRequirements]])</f>
        <v>0</v>
      </c>
    </row>
    <row r="961" spans="1:13">
      <c r="A961" s="41" t="s">
        <v>4609</v>
      </c>
      <c r="B961" s="41" t="str">
        <f>_xlfn.TEXTAFTER(_xlfn.TEXTBEFORE(tblCost[[#This Row],[RequirementID]],".",-2),"cost.")</f>
        <v>tech.smithy.sword_for_a_hero_lvl_4</v>
      </c>
      <c r="C961" s="41" t="str">
        <f>_xlfn.XLOOKUP(tblCost[[#This Row],[TargetID]],tblTargets[TargetID],tblTargets[DisplayName],"")</f>
        <v>Smithy - Sword For A Hero Lvl 4</v>
      </c>
      <c r="D961" s="41" t="str">
        <f>_xlfn.XLOOKUP(tblCost[[#This Row],[TargetID]],tblTargets[TargetID],tblTargets[TargetType],"")</f>
        <v>TECH</v>
      </c>
      <c r="E961" s="41" t="s">
        <v>666</v>
      </c>
      <c r="F961" s="62" t="str">
        <f>RIGHT(tblCost[[#This Row],[RequirementID]],1)</f>
        <v>1</v>
      </c>
      <c r="G961" s="41">
        <v>1000</v>
      </c>
      <c r="H961" t="b">
        <f>COUNTIFS(tblCostChecklist[RequirementID],tblCost[[#This Row],[RequirementID]],tblCostChecklist[PlayerPaid],TRUE)&gt;0</f>
        <v>0</v>
      </c>
      <c r="I961" s="41">
        <f>COUNTIF(tblCost[TargetID],tblCost[[#This Row],[TargetID]])</f>
        <v>6</v>
      </c>
      <c r="J961" s="41">
        <f>COUNTIFS(tblCost[TargetID],tblCost[[#This Row],[TargetID]],tblCost[PlayerPaid],TRUE)</f>
        <v>0</v>
      </c>
      <c r="K961" s="41">
        <f>tblCost[[#This Row],[TargetRequirements]]-tblCost[[#This Row],[CompletedRequirements]]</f>
        <v>6</v>
      </c>
      <c r="L961" s="41" t="b">
        <f>tblCost[[#This Row],[RemainingRequirements]]=0</f>
        <v>0</v>
      </c>
      <c r="M961" s="43">
        <f>IF(tblCost[[#This Row],[TargetRequirements]]=0,0,tblCost[[#This Row],[CompletedRequirements]]/tblCost[[#This Row],[TargetRequirements]])</f>
        <v>0</v>
      </c>
    </row>
    <row r="962" spans="1:13">
      <c r="A962" s="41" t="s">
        <v>4610</v>
      </c>
      <c r="B962" s="41" t="str">
        <f>_xlfn.TEXTAFTER(_xlfn.TEXTBEFORE(tblCost[[#This Row],[RequirementID]],".",-2),"cost.")</f>
        <v>tech.smithy.sword_for_a_hero_lvl_4</v>
      </c>
      <c r="C962" s="41" t="str">
        <f>_xlfn.XLOOKUP(tblCost[[#This Row],[TargetID]],tblTargets[TargetID],tblTargets[DisplayName],"")</f>
        <v>Smithy - Sword For A Hero Lvl 4</v>
      </c>
      <c r="D962" s="41" t="str">
        <f>_xlfn.XLOOKUP(tblCost[[#This Row],[TargetID]],tblTargets[TargetID],tblTargets[TargetType],"")</f>
        <v>TECH</v>
      </c>
      <c r="E962" s="41" t="s">
        <v>673</v>
      </c>
      <c r="F962" s="62" t="str">
        <f>RIGHT(tblCost[[#This Row],[RequirementID]],1)</f>
        <v>1</v>
      </c>
      <c r="G962" s="41">
        <v>20</v>
      </c>
      <c r="H962" t="b">
        <f>COUNTIFS(tblCostChecklist[RequirementID],tblCost[[#This Row],[RequirementID]],tblCostChecklist[PlayerPaid],TRUE)&gt;0</f>
        <v>0</v>
      </c>
      <c r="I962" s="41">
        <f>COUNTIF(tblCost[TargetID],tblCost[[#This Row],[TargetID]])</f>
        <v>6</v>
      </c>
      <c r="J962" s="41">
        <f>COUNTIFS(tblCost[TargetID],tblCost[[#This Row],[TargetID]],tblCost[PlayerPaid],TRUE)</f>
        <v>0</v>
      </c>
      <c r="K962" s="41">
        <f>tblCost[[#This Row],[TargetRequirements]]-tblCost[[#This Row],[CompletedRequirements]]</f>
        <v>6</v>
      </c>
      <c r="L962" s="41" t="b">
        <f>tblCost[[#This Row],[RemainingRequirements]]=0</f>
        <v>0</v>
      </c>
      <c r="M962" s="43">
        <f>IF(tblCost[[#This Row],[TargetRequirements]]=0,0,tblCost[[#This Row],[CompletedRequirements]]/tblCost[[#This Row],[TargetRequirements]])</f>
        <v>0</v>
      </c>
    </row>
    <row r="963" spans="1:13">
      <c r="A963" s="41" t="s">
        <v>4611</v>
      </c>
      <c r="B963" s="41" t="str">
        <f>_xlfn.TEXTAFTER(_xlfn.TEXTBEFORE(tblCost[[#This Row],[RequirementID]],".",-2),"cost.")</f>
        <v>tech.smithy.sword_for_a_hero_lvl_4</v>
      </c>
      <c r="C963" s="41" t="str">
        <f>_xlfn.XLOOKUP(tblCost[[#This Row],[TargetID]],tblTargets[TargetID],tblTargets[DisplayName],"")</f>
        <v>Smithy - Sword For A Hero Lvl 4</v>
      </c>
      <c r="D963" s="41" t="str">
        <f>_xlfn.XLOOKUP(tblCost[[#This Row],[TargetID]],tblTargets[TargetID],tblTargets[TargetType],"")</f>
        <v>TECH</v>
      </c>
      <c r="E963" s="41" t="s">
        <v>686</v>
      </c>
      <c r="F963" s="62" t="str">
        <f>RIGHT(tblCost[[#This Row],[RequirementID]],1)</f>
        <v>1</v>
      </c>
      <c r="G963" s="41">
        <v>20</v>
      </c>
      <c r="H963" t="b">
        <f>COUNTIFS(tblCostChecklist[RequirementID],tblCost[[#This Row],[RequirementID]],tblCostChecklist[PlayerPaid],TRUE)&gt;0</f>
        <v>0</v>
      </c>
      <c r="I963" s="41">
        <f>COUNTIF(tblCost[TargetID],tblCost[[#This Row],[TargetID]])</f>
        <v>6</v>
      </c>
      <c r="J963" s="41">
        <f>COUNTIFS(tblCost[TargetID],tblCost[[#This Row],[TargetID]],tblCost[PlayerPaid],TRUE)</f>
        <v>0</v>
      </c>
      <c r="K963" s="41">
        <f>tblCost[[#This Row],[TargetRequirements]]-tblCost[[#This Row],[CompletedRequirements]]</f>
        <v>6</v>
      </c>
      <c r="L963" s="41" t="b">
        <f>tblCost[[#This Row],[RemainingRequirements]]=0</f>
        <v>0</v>
      </c>
      <c r="M963" s="43">
        <f>IF(tblCost[[#This Row],[TargetRequirements]]=0,0,tblCost[[#This Row],[CompletedRequirements]]/tblCost[[#This Row],[TargetRequirements]])</f>
        <v>0</v>
      </c>
    </row>
    <row r="964" spans="1:13">
      <c r="A964" s="41" t="s">
        <v>4612</v>
      </c>
      <c r="B964" s="41" t="str">
        <f>_xlfn.TEXTAFTER(_xlfn.TEXTBEFORE(tblCost[[#This Row],[RequirementID]],".",-2),"cost.")</f>
        <v>tech.smithy.sword_for_a_hero_lvl_4</v>
      </c>
      <c r="C964" s="41" t="str">
        <f>_xlfn.XLOOKUP(tblCost[[#This Row],[TargetID]],tblTargets[TargetID],tblTargets[DisplayName],"")</f>
        <v>Smithy - Sword For A Hero Lvl 4</v>
      </c>
      <c r="D964" s="41" t="str">
        <f>_xlfn.XLOOKUP(tblCost[[#This Row],[TargetID]],tblTargets[TargetID],tblTargets[TargetType],"")</f>
        <v>TECH</v>
      </c>
      <c r="E964" s="41" t="s">
        <v>708</v>
      </c>
      <c r="F964" s="62" t="str">
        <f>RIGHT(tblCost[[#This Row],[RequirementID]],1)</f>
        <v>1</v>
      </c>
      <c r="G964" s="41">
        <v>5</v>
      </c>
      <c r="H964" t="b">
        <f>COUNTIFS(tblCostChecklist[RequirementID],tblCost[[#This Row],[RequirementID]],tblCostChecklist[PlayerPaid],TRUE)&gt;0</f>
        <v>0</v>
      </c>
      <c r="I964" s="41">
        <f>COUNTIF(tblCost[TargetID],tblCost[[#This Row],[TargetID]])</f>
        <v>6</v>
      </c>
      <c r="J964" s="41">
        <f>COUNTIFS(tblCost[TargetID],tblCost[[#This Row],[TargetID]],tblCost[PlayerPaid],TRUE)</f>
        <v>0</v>
      </c>
      <c r="K964" s="41">
        <f>tblCost[[#This Row],[TargetRequirements]]-tblCost[[#This Row],[CompletedRequirements]]</f>
        <v>6</v>
      </c>
      <c r="L964" s="41" t="b">
        <f>tblCost[[#This Row],[RemainingRequirements]]=0</f>
        <v>0</v>
      </c>
      <c r="M964" s="43">
        <f>IF(tblCost[[#This Row],[TargetRequirements]]=0,0,tblCost[[#This Row],[CompletedRequirements]]/tblCost[[#This Row],[TargetRequirements]])</f>
        <v>0</v>
      </c>
    </row>
    <row r="965" spans="1:13">
      <c r="A965" s="41" t="s">
        <v>4613</v>
      </c>
      <c r="B965" s="41" t="str">
        <f>_xlfn.TEXTAFTER(_xlfn.TEXTBEFORE(tblCost[[#This Row],[RequirementID]],".",-2),"cost.")</f>
        <v>tech.smithy.sword_for_a_hero_lvl_4</v>
      </c>
      <c r="C965" s="41" t="str">
        <f>_xlfn.XLOOKUP(tblCost[[#This Row],[TargetID]],tblTargets[TargetID],tblTargets[DisplayName],"")</f>
        <v>Smithy - Sword For A Hero Lvl 4</v>
      </c>
      <c r="D965" s="41" t="str">
        <f>_xlfn.XLOOKUP(tblCost[[#This Row],[TargetID]],tblTargets[TargetID],tblTargets[TargetType],"")</f>
        <v>TECH</v>
      </c>
      <c r="E965" s="41" t="s">
        <v>952</v>
      </c>
      <c r="F965" s="62" t="str">
        <f>RIGHT(tblCost[[#This Row],[RequirementID]],1)</f>
        <v>1</v>
      </c>
      <c r="G965" s="41">
        <v>3</v>
      </c>
      <c r="H965" t="b">
        <f>COUNTIFS(tblCostChecklist[RequirementID],tblCost[[#This Row],[RequirementID]],tblCostChecklist[PlayerPaid],TRUE)&gt;0</f>
        <v>0</v>
      </c>
      <c r="I965" s="41">
        <f>COUNTIF(tblCost[TargetID],tblCost[[#This Row],[TargetID]])</f>
        <v>6</v>
      </c>
      <c r="J965" s="41">
        <f>COUNTIFS(tblCost[TargetID],tblCost[[#This Row],[TargetID]],tblCost[PlayerPaid],TRUE)</f>
        <v>0</v>
      </c>
      <c r="K965" s="41">
        <f>tblCost[[#This Row],[TargetRequirements]]-tblCost[[#This Row],[CompletedRequirements]]</f>
        <v>6</v>
      </c>
      <c r="L965" s="41" t="b">
        <f>tblCost[[#This Row],[RemainingRequirements]]=0</f>
        <v>0</v>
      </c>
      <c r="M965" s="43">
        <f>IF(tblCost[[#This Row],[TargetRequirements]]=0,0,tblCost[[#This Row],[CompletedRequirements]]/tblCost[[#This Row],[TargetRequirements]])</f>
        <v>0</v>
      </c>
    </row>
    <row r="966" spans="1:13">
      <c r="A966" s="41" t="s">
        <v>4614</v>
      </c>
      <c r="B966" s="41" t="str">
        <f>_xlfn.TEXTAFTER(_xlfn.TEXTBEFORE(tblCost[[#This Row],[RequirementID]],".",-2),"cost.")</f>
        <v>tech.smithy.sword_for_a_hero_lvl_4+</v>
      </c>
      <c r="C966" s="41" t="str">
        <f>_xlfn.XLOOKUP(tblCost[[#This Row],[TargetID]],tblTargets[TargetID],tblTargets[DisplayName],"")</f>
        <v>Smithy - Sword For A Hero Lvl 4+</v>
      </c>
      <c r="D966" s="41" t="str">
        <f>_xlfn.XLOOKUP(tblCost[[#This Row],[TargetID]],tblTargets[TargetID],tblTargets[TargetType],"")</f>
        <v>TECH</v>
      </c>
      <c r="E966" s="41" t="s">
        <v>657</v>
      </c>
      <c r="F966" s="62" t="str">
        <f>RIGHT(tblCost[[#This Row],[RequirementID]],1)</f>
        <v>1</v>
      </c>
      <c r="G966" s="41">
        <v>20</v>
      </c>
      <c r="H966" t="b">
        <f>COUNTIFS(tblCostChecklist[RequirementID],tblCost[[#This Row],[RequirementID]],tblCostChecklist[PlayerPaid],TRUE)&gt;0</f>
        <v>0</v>
      </c>
      <c r="I966" s="41">
        <f>COUNTIF(tblCost[TargetID],tblCost[[#This Row],[TargetID]])</f>
        <v>9</v>
      </c>
      <c r="J966" s="41">
        <f>COUNTIFS(tblCost[TargetID],tblCost[[#This Row],[TargetID]],tblCost[PlayerPaid],TRUE)</f>
        <v>0</v>
      </c>
      <c r="K966" s="41">
        <f>tblCost[[#This Row],[TargetRequirements]]-tblCost[[#This Row],[CompletedRequirements]]</f>
        <v>9</v>
      </c>
      <c r="L966" s="41" t="b">
        <f>tblCost[[#This Row],[RemainingRequirements]]=0</f>
        <v>0</v>
      </c>
      <c r="M966" s="43">
        <f>IF(tblCost[[#This Row],[TargetRequirements]]=0,0,tblCost[[#This Row],[CompletedRequirements]]/tblCost[[#This Row],[TargetRequirements]])</f>
        <v>0</v>
      </c>
    </row>
    <row r="967" spans="1:13">
      <c r="A967" s="41" t="s">
        <v>4615</v>
      </c>
      <c r="B967" s="41" t="str">
        <f>_xlfn.TEXTAFTER(_xlfn.TEXTBEFORE(tblCost[[#This Row],[RequirementID]],".",-2),"cost.")</f>
        <v>tech.smithy.sword_for_a_hero_lvl_4+</v>
      </c>
      <c r="C967" s="41" t="str">
        <f>_xlfn.XLOOKUP(tblCost[[#This Row],[TargetID]],tblTargets[TargetID],tblTargets[DisplayName],"")</f>
        <v>Smithy - Sword For A Hero Lvl 4+</v>
      </c>
      <c r="D967" s="41" t="str">
        <f>_xlfn.XLOOKUP(tblCost[[#This Row],[TargetID]],tblTargets[TargetID],tblTargets[TargetType],"")</f>
        <v>TECH</v>
      </c>
      <c r="E967" s="41" t="s">
        <v>661</v>
      </c>
      <c r="F967" s="62" t="str">
        <f>RIGHT(tblCost[[#This Row],[RequirementID]],1)</f>
        <v>1</v>
      </c>
      <c r="G967" s="41">
        <v>25</v>
      </c>
      <c r="H967" t="b">
        <f>COUNTIFS(tblCostChecklist[RequirementID],tblCost[[#This Row],[RequirementID]],tblCostChecklist[PlayerPaid],TRUE)&gt;0</f>
        <v>0</v>
      </c>
      <c r="I967" s="41">
        <f>COUNTIF(tblCost[TargetID],tblCost[[#This Row],[TargetID]])</f>
        <v>9</v>
      </c>
      <c r="J967" s="41">
        <f>COUNTIFS(tblCost[TargetID],tblCost[[#This Row],[TargetID]],tblCost[PlayerPaid],TRUE)</f>
        <v>0</v>
      </c>
      <c r="K967" s="41">
        <f>tblCost[[#This Row],[TargetRequirements]]-tblCost[[#This Row],[CompletedRequirements]]</f>
        <v>9</v>
      </c>
      <c r="L967" s="41" t="b">
        <f>tblCost[[#This Row],[RemainingRequirements]]=0</f>
        <v>0</v>
      </c>
      <c r="M967" s="43">
        <f>IF(tblCost[[#This Row],[TargetRequirements]]=0,0,tblCost[[#This Row],[CompletedRequirements]]/tblCost[[#This Row],[TargetRequirements]])</f>
        <v>0</v>
      </c>
    </row>
    <row r="968" spans="1:13">
      <c r="A968" s="41" t="s">
        <v>4616</v>
      </c>
      <c r="B968" s="41" t="str">
        <f>_xlfn.TEXTAFTER(_xlfn.TEXTBEFORE(tblCost[[#This Row],[RequirementID]],".",-2),"cost.")</f>
        <v>tech.smithy.sword_for_a_hero_lvl_4+</v>
      </c>
      <c r="C968" s="41" t="str">
        <f>_xlfn.XLOOKUP(tblCost[[#This Row],[TargetID]],tblTargets[TargetID],tblTargets[DisplayName],"")</f>
        <v>Smithy - Sword For A Hero Lvl 4+</v>
      </c>
      <c r="D968" s="41" t="str">
        <f>_xlfn.XLOOKUP(tblCost[[#This Row],[TargetID]],tblTargets[TargetID],tblTargets[TargetType],"")</f>
        <v>TECH</v>
      </c>
      <c r="E968" s="41" t="s">
        <v>666</v>
      </c>
      <c r="F968" s="62" t="str">
        <f>RIGHT(tblCost[[#This Row],[RequirementID]],1)</f>
        <v>1</v>
      </c>
      <c r="G968" s="41">
        <v>1000</v>
      </c>
      <c r="H968" t="b">
        <f>COUNTIFS(tblCostChecklist[RequirementID],tblCost[[#This Row],[RequirementID]],tblCostChecklist[PlayerPaid],TRUE)&gt;0</f>
        <v>0</v>
      </c>
      <c r="I968" s="41">
        <f>COUNTIF(tblCost[TargetID],tblCost[[#This Row],[TargetID]])</f>
        <v>9</v>
      </c>
      <c r="J968" s="41">
        <f>COUNTIFS(tblCost[TargetID],tblCost[[#This Row],[TargetID]],tblCost[PlayerPaid],TRUE)</f>
        <v>0</v>
      </c>
      <c r="K968" s="41">
        <f>tblCost[[#This Row],[TargetRequirements]]-tblCost[[#This Row],[CompletedRequirements]]</f>
        <v>9</v>
      </c>
      <c r="L968" s="41" t="b">
        <f>tblCost[[#This Row],[RemainingRequirements]]=0</f>
        <v>0</v>
      </c>
      <c r="M968" s="43">
        <f>IF(tblCost[[#This Row],[TargetRequirements]]=0,0,tblCost[[#This Row],[CompletedRequirements]]/tblCost[[#This Row],[TargetRequirements]])</f>
        <v>0</v>
      </c>
    </row>
    <row r="969" spans="1:13">
      <c r="A969" s="41" t="s">
        <v>4617</v>
      </c>
      <c r="B969" s="41" t="str">
        <f>_xlfn.TEXTAFTER(_xlfn.TEXTBEFORE(tblCost[[#This Row],[RequirementID]],".",-2),"cost.")</f>
        <v>tech.smithy.sword_for_a_hero_lvl_4+</v>
      </c>
      <c r="C969" s="41" t="str">
        <f>_xlfn.XLOOKUP(tblCost[[#This Row],[TargetID]],tblTargets[TargetID],tblTargets[DisplayName],"")</f>
        <v>Smithy - Sword For A Hero Lvl 4+</v>
      </c>
      <c r="D969" s="41" t="str">
        <f>_xlfn.XLOOKUP(tblCost[[#This Row],[TargetID]],tblTargets[TargetID],tblTargets[TargetType],"")</f>
        <v>TECH</v>
      </c>
      <c r="E969" s="41" t="s">
        <v>677</v>
      </c>
      <c r="F969" s="62" t="str">
        <f>RIGHT(tblCost[[#This Row],[RequirementID]],1)</f>
        <v>1</v>
      </c>
      <c r="G969" s="41">
        <v>10</v>
      </c>
      <c r="H969" t="b">
        <f>COUNTIFS(tblCostChecklist[RequirementID],tblCost[[#This Row],[RequirementID]],tblCostChecklist[PlayerPaid],TRUE)&gt;0</f>
        <v>0</v>
      </c>
      <c r="I969" s="41">
        <f>COUNTIF(tblCost[TargetID],tblCost[[#This Row],[TargetID]])</f>
        <v>9</v>
      </c>
      <c r="J969" s="41">
        <f>COUNTIFS(tblCost[TargetID],tblCost[[#This Row],[TargetID]],tblCost[PlayerPaid],TRUE)</f>
        <v>0</v>
      </c>
      <c r="K969" s="41">
        <f>tblCost[[#This Row],[TargetRequirements]]-tblCost[[#This Row],[CompletedRequirements]]</f>
        <v>9</v>
      </c>
      <c r="L969" s="41" t="b">
        <f>tblCost[[#This Row],[RemainingRequirements]]=0</f>
        <v>0</v>
      </c>
      <c r="M969" s="43">
        <f>IF(tblCost[[#This Row],[TargetRequirements]]=0,0,tblCost[[#This Row],[CompletedRequirements]]/tblCost[[#This Row],[TargetRequirements]])</f>
        <v>0</v>
      </c>
    </row>
    <row r="970" spans="1:13">
      <c r="A970" s="41" t="s">
        <v>4618</v>
      </c>
      <c r="B970" s="41" t="str">
        <f>_xlfn.TEXTAFTER(_xlfn.TEXTBEFORE(tblCost[[#This Row],[RequirementID]],".",-2),"cost.")</f>
        <v>tech.smithy.sword_for_a_hero_lvl_4+</v>
      </c>
      <c r="C970" s="41" t="str">
        <f>_xlfn.XLOOKUP(tblCost[[#This Row],[TargetID]],tblTargets[TargetID],tblTargets[DisplayName],"")</f>
        <v>Smithy - Sword For A Hero Lvl 4+</v>
      </c>
      <c r="D970" s="41" t="str">
        <f>_xlfn.XLOOKUP(tblCost[[#This Row],[TargetID]],tblTargets[TargetID],tblTargets[TargetType],"")</f>
        <v>TECH</v>
      </c>
      <c r="E970" s="41" t="s">
        <v>687</v>
      </c>
      <c r="F970" s="62" t="str">
        <f>RIGHT(tblCost[[#This Row],[RequirementID]],1)</f>
        <v>1</v>
      </c>
      <c r="G970" s="41">
        <v>10</v>
      </c>
      <c r="H970" t="b">
        <f>COUNTIFS(tblCostChecklist[RequirementID],tblCost[[#This Row],[RequirementID]],tblCostChecklist[PlayerPaid],TRUE)&gt;0</f>
        <v>0</v>
      </c>
      <c r="I970" s="41">
        <f>COUNTIF(tblCost[TargetID],tblCost[[#This Row],[TargetID]])</f>
        <v>9</v>
      </c>
      <c r="J970" s="41">
        <f>COUNTIFS(tblCost[TargetID],tblCost[[#This Row],[TargetID]],tblCost[PlayerPaid],TRUE)</f>
        <v>0</v>
      </c>
      <c r="K970" s="41">
        <f>tblCost[[#This Row],[TargetRequirements]]-tblCost[[#This Row],[CompletedRequirements]]</f>
        <v>9</v>
      </c>
      <c r="L970" s="41" t="b">
        <f>tblCost[[#This Row],[RemainingRequirements]]=0</f>
        <v>0</v>
      </c>
      <c r="M970" s="43">
        <f>IF(tblCost[[#This Row],[TargetRequirements]]=0,0,tblCost[[#This Row],[CompletedRequirements]]/tblCost[[#This Row],[TargetRequirements]])</f>
        <v>0</v>
      </c>
    </row>
    <row r="971" spans="1:13">
      <c r="A971" s="41" t="s">
        <v>4619</v>
      </c>
      <c r="B971" s="41" t="str">
        <f>_xlfn.TEXTAFTER(_xlfn.TEXTBEFORE(tblCost[[#This Row],[RequirementID]],".",-2),"cost.")</f>
        <v>tech.smithy.sword_for_a_hero_lvl_4+</v>
      </c>
      <c r="C971" s="41" t="str">
        <f>_xlfn.XLOOKUP(tblCost[[#This Row],[TargetID]],tblTargets[TargetID],tblTargets[DisplayName],"")</f>
        <v>Smithy - Sword For A Hero Lvl 4+</v>
      </c>
      <c r="D971" s="41" t="str">
        <f>_xlfn.XLOOKUP(tblCost[[#This Row],[TargetID]],tblTargets[TargetID],tblTargets[TargetType],"")</f>
        <v>TECH</v>
      </c>
      <c r="E971" s="41" t="s">
        <v>703</v>
      </c>
      <c r="F971" s="62" t="str">
        <f>RIGHT(tblCost[[#This Row],[RequirementID]],1)</f>
        <v>1</v>
      </c>
      <c r="G971" s="41">
        <v>10</v>
      </c>
      <c r="H971" t="b">
        <f>COUNTIFS(tblCostChecklist[RequirementID],tblCost[[#This Row],[RequirementID]],tblCostChecklist[PlayerPaid],TRUE)&gt;0</f>
        <v>0</v>
      </c>
      <c r="I971" s="41">
        <f>COUNTIF(tblCost[TargetID],tblCost[[#This Row],[TargetID]])</f>
        <v>9</v>
      </c>
      <c r="J971" s="41">
        <f>COUNTIFS(tblCost[TargetID],tblCost[[#This Row],[TargetID]],tblCost[PlayerPaid],TRUE)</f>
        <v>0</v>
      </c>
      <c r="K971" s="41">
        <f>tblCost[[#This Row],[TargetRequirements]]-tblCost[[#This Row],[CompletedRequirements]]</f>
        <v>9</v>
      </c>
      <c r="L971" s="41" t="b">
        <f>tblCost[[#This Row],[RemainingRequirements]]=0</f>
        <v>0</v>
      </c>
      <c r="M971" s="43">
        <f>IF(tblCost[[#This Row],[TargetRequirements]]=0,0,tblCost[[#This Row],[CompletedRequirements]]/tblCost[[#This Row],[TargetRequirements]])</f>
        <v>0</v>
      </c>
    </row>
    <row r="972" spans="1:13">
      <c r="A972" s="41" t="s">
        <v>4620</v>
      </c>
      <c r="B972" s="41" t="str">
        <f>_xlfn.TEXTAFTER(_xlfn.TEXTBEFORE(tblCost[[#This Row],[RequirementID]],".",-2),"cost.")</f>
        <v>tech.smithy.sword_for_a_hero_lvl_4+</v>
      </c>
      <c r="C972" s="41" t="str">
        <f>_xlfn.XLOOKUP(tblCost[[#This Row],[TargetID]],tblTargets[TargetID],tblTargets[DisplayName],"")</f>
        <v>Smithy - Sword For A Hero Lvl 4+</v>
      </c>
      <c r="D972" s="41" t="str">
        <f>_xlfn.XLOOKUP(tblCost[[#This Row],[TargetID]],tblTargets[TargetID],tblTargets[TargetType],"")</f>
        <v>TECH</v>
      </c>
      <c r="E972" s="41" t="s">
        <v>946</v>
      </c>
      <c r="F972" s="62" t="str">
        <f>RIGHT(tblCost[[#This Row],[RequirementID]],1)</f>
        <v>1</v>
      </c>
      <c r="G972" s="41">
        <v>1</v>
      </c>
      <c r="H972" t="b">
        <f>COUNTIFS(tblCostChecklist[RequirementID],tblCost[[#This Row],[RequirementID]],tblCostChecklist[PlayerPaid],TRUE)&gt;0</f>
        <v>0</v>
      </c>
      <c r="I972" s="41">
        <f>COUNTIF(tblCost[TargetID],tblCost[[#This Row],[TargetID]])</f>
        <v>9</v>
      </c>
      <c r="J972" s="41">
        <f>COUNTIFS(tblCost[TargetID],tblCost[[#This Row],[TargetID]],tblCost[PlayerPaid],TRUE)</f>
        <v>0</v>
      </c>
      <c r="K972" s="41">
        <f>tblCost[[#This Row],[TargetRequirements]]-tblCost[[#This Row],[CompletedRequirements]]</f>
        <v>9</v>
      </c>
      <c r="L972" s="41" t="b">
        <f>tblCost[[#This Row],[RemainingRequirements]]=0</f>
        <v>0</v>
      </c>
      <c r="M972" s="43">
        <f>IF(tblCost[[#This Row],[TargetRequirements]]=0,0,tblCost[[#This Row],[CompletedRequirements]]/tblCost[[#This Row],[TargetRequirements]])</f>
        <v>0</v>
      </c>
    </row>
    <row r="973" spans="1:13">
      <c r="A973" s="41" t="s">
        <v>4621</v>
      </c>
      <c r="B973" s="41" t="str">
        <f>_xlfn.TEXTAFTER(_xlfn.TEXTBEFORE(tblCost[[#This Row],[RequirementID]],".",-2),"cost.")</f>
        <v>tech.smithy.sword_for_a_hero_lvl_4+</v>
      </c>
      <c r="C973" s="41" t="str">
        <f>_xlfn.XLOOKUP(tblCost[[#This Row],[TargetID]],tblTargets[TargetID],tblTargets[DisplayName],"")</f>
        <v>Smithy - Sword For A Hero Lvl 4+</v>
      </c>
      <c r="D973" s="41" t="str">
        <f>_xlfn.XLOOKUP(tblCost[[#This Row],[TargetID]],tblTargets[TargetID],tblTargets[TargetType],"")</f>
        <v>TECH</v>
      </c>
      <c r="E973" s="41" t="s">
        <v>708</v>
      </c>
      <c r="F973" s="62" t="str">
        <f>RIGHT(tblCost[[#This Row],[RequirementID]],1)</f>
        <v>1</v>
      </c>
      <c r="G973" s="41">
        <v>5</v>
      </c>
      <c r="H973" t="b">
        <f>COUNTIFS(tblCostChecklist[RequirementID],tblCost[[#This Row],[RequirementID]],tblCostChecklist[PlayerPaid],TRUE)&gt;0</f>
        <v>0</v>
      </c>
      <c r="I973" s="41">
        <f>COUNTIF(tblCost[TargetID],tblCost[[#This Row],[TargetID]])</f>
        <v>9</v>
      </c>
      <c r="J973" s="41">
        <f>COUNTIFS(tblCost[TargetID],tblCost[[#This Row],[TargetID]],tblCost[PlayerPaid],TRUE)</f>
        <v>0</v>
      </c>
      <c r="K973" s="41">
        <f>tblCost[[#This Row],[TargetRequirements]]-tblCost[[#This Row],[CompletedRequirements]]</f>
        <v>9</v>
      </c>
      <c r="L973" s="41" t="b">
        <f>tblCost[[#This Row],[RemainingRequirements]]=0</f>
        <v>0</v>
      </c>
      <c r="M973" s="43">
        <f>IF(tblCost[[#This Row],[TargetRequirements]]=0,0,tblCost[[#This Row],[CompletedRequirements]]/tblCost[[#This Row],[TargetRequirements]])</f>
        <v>0</v>
      </c>
    </row>
    <row r="974" spans="1:13">
      <c r="A974" s="41" t="s">
        <v>4622</v>
      </c>
      <c r="B974" s="41" t="str">
        <f>_xlfn.TEXTAFTER(_xlfn.TEXTBEFORE(tblCost[[#This Row],[RequirementID]],".",-2),"cost.")</f>
        <v>tech.smithy.sword_for_a_hero_lvl_4+</v>
      </c>
      <c r="C974" s="41" t="str">
        <f>_xlfn.XLOOKUP(tblCost[[#This Row],[TargetID]],tblTargets[TargetID],tblTargets[DisplayName],"")</f>
        <v>Smithy - Sword For A Hero Lvl 4+</v>
      </c>
      <c r="D974" s="41" t="str">
        <f>_xlfn.XLOOKUP(tblCost[[#This Row],[TargetID]],tblTargets[TargetID],tblTargets[TargetType],"")</f>
        <v>TECH</v>
      </c>
      <c r="E974" s="41" t="s">
        <v>953</v>
      </c>
      <c r="F974" s="62" t="str">
        <f>RIGHT(tblCost[[#This Row],[RequirementID]],1)</f>
        <v>1</v>
      </c>
      <c r="G974" s="41">
        <v>1</v>
      </c>
      <c r="H974" t="b">
        <f>COUNTIFS(tblCostChecklist[RequirementID],tblCost[[#This Row],[RequirementID]],tblCostChecklist[PlayerPaid],TRUE)&gt;0</f>
        <v>0</v>
      </c>
      <c r="I974" s="41">
        <f>COUNTIF(tblCost[TargetID],tblCost[[#This Row],[TargetID]])</f>
        <v>9</v>
      </c>
      <c r="J974" s="41">
        <f>COUNTIFS(tblCost[TargetID],tblCost[[#This Row],[TargetID]],tblCost[PlayerPaid],TRUE)</f>
        <v>0</v>
      </c>
      <c r="K974" s="41">
        <f>tblCost[[#This Row],[TargetRequirements]]-tblCost[[#This Row],[CompletedRequirements]]</f>
        <v>9</v>
      </c>
      <c r="L974" s="41" t="b">
        <f>tblCost[[#This Row],[RemainingRequirements]]=0</f>
        <v>0</v>
      </c>
      <c r="M974" s="43">
        <f>IF(tblCost[[#This Row],[TargetRequirements]]=0,0,tblCost[[#This Row],[CompletedRequirements]]/tblCost[[#This Row],[TargetRequirements]])</f>
        <v>0</v>
      </c>
    </row>
    <row r="975" spans="1:13">
      <c r="A975" s="41" t="s">
        <v>4623</v>
      </c>
      <c r="B975" s="41" t="str">
        <f>_xlfn.TEXTAFTER(_xlfn.TEXTBEFORE(tblCost[[#This Row],[RequirementID]],".",-2),"cost.")</f>
        <v>tech.smithy.weapon_grease</v>
      </c>
      <c r="C975" s="41" t="str">
        <f>_xlfn.XLOOKUP(tblCost[[#This Row],[TargetID]],tblTargets[TargetID],tblTargets[DisplayName],"")</f>
        <v>Smithy - Weapon Grease</v>
      </c>
      <c r="D975" s="41" t="str">
        <f>_xlfn.XLOOKUP(tblCost[[#This Row],[TargetID]],tblTargets[TargetID],tblTargets[TargetType],"")</f>
        <v>TECH</v>
      </c>
      <c r="E975" s="41" t="s">
        <v>662</v>
      </c>
      <c r="F975" s="62" t="str">
        <f>RIGHT(tblCost[[#This Row],[RequirementID]],1)</f>
        <v>1</v>
      </c>
      <c r="G975" s="41">
        <v>15</v>
      </c>
      <c r="H975" t="b">
        <f>COUNTIFS(tblCostChecklist[RequirementID],tblCost[[#This Row],[RequirementID]],tblCostChecklist[PlayerPaid],TRUE)&gt;0</f>
        <v>0</v>
      </c>
      <c r="I975" s="41">
        <f>COUNTIF(tblCost[TargetID],tblCost[[#This Row],[TargetID]])</f>
        <v>5</v>
      </c>
      <c r="J975" s="41">
        <f>COUNTIFS(tblCost[TargetID],tblCost[[#This Row],[TargetID]],tblCost[PlayerPaid],TRUE)</f>
        <v>0</v>
      </c>
      <c r="K975" s="41">
        <f>tblCost[[#This Row],[TargetRequirements]]-tblCost[[#This Row],[CompletedRequirements]]</f>
        <v>5</v>
      </c>
      <c r="L975" s="41" t="b">
        <f>tblCost[[#This Row],[RemainingRequirements]]=0</f>
        <v>0</v>
      </c>
      <c r="M975" s="43">
        <f>IF(tblCost[[#This Row],[TargetRequirements]]=0,0,tblCost[[#This Row],[CompletedRequirements]]/tblCost[[#This Row],[TargetRequirements]])</f>
        <v>0</v>
      </c>
    </row>
    <row r="976" spans="1:13">
      <c r="A976" s="41" t="s">
        <v>4624</v>
      </c>
      <c r="B976" s="41" t="str">
        <f>_xlfn.TEXTAFTER(_xlfn.TEXTBEFORE(tblCost[[#This Row],[RequirementID]],".",-2),"cost.")</f>
        <v>tech.smithy.weapon_grease</v>
      </c>
      <c r="C976" s="41" t="str">
        <f>_xlfn.XLOOKUP(tblCost[[#This Row],[TargetID]],tblTargets[TargetID],tblTargets[DisplayName],"")</f>
        <v>Smithy - Weapon Grease</v>
      </c>
      <c r="D976" s="41" t="str">
        <f>_xlfn.XLOOKUP(tblCost[[#This Row],[TargetID]],tblTargets[TargetID],tblTargets[TargetType],"")</f>
        <v>TECH</v>
      </c>
      <c r="E976" s="41" t="s">
        <v>666</v>
      </c>
      <c r="F976" s="62" t="str">
        <f>RIGHT(tblCost[[#This Row],[RequirementID]],1)</f>
        <v>1</v>
      </c>
      <c r="G976" s="41">
        <v>500</v>
      </c>
      <c r="H976" t="b">
        <f>COUNTIFS(tblCostChecklist[RequirementID],tblCost[[#This Row],[RequirementID]],tblCostChecklist[PlayerPaid],TRUE)&gt;0</f>
        <v>0</v>
      </c>
      <c r="I976" s="41">
        <f>COUNTIF(tblCost[TargetID],tblCost[[#This Row],[TargetID]])</f>
        <v>5</v>
      </c>
      <c r="J976" s="41">
        <f>COUNTIFS(tblCost[TargetID],tblCost[[#This Row],[TargetID]],tblCost[PlayerPaid],TRUE)</f>
        <v>0</v>
      </c>
      <c r="K976" s="41">
        <f>tblCost[[#This Row],[TargetRequirements]]-tblCost[[#This Row],[CompletedRequirements]]</f>
        <v>5</v>
      </c>
      <c r="L976" s="41" t="b">
        <f>tblCost[[#This Row],[RemainingRequirements]]=0</f>
        <v>0</v>
      </c>
      <c r="M976" s="43">
        <f>IF(tblCost[[#This Row],[TargetRequirements]]=0,0,tblCost[[#This Row],[CompletedRequirements]]/tblCost[[#This Row],[TargetRequirements]])</f>
        <v>0</v>
      </c>
    </row>
    <row r="977" spans="1:13">
      <c r="A977" s="41" t="s">
        <v>4625</v>
      </c>
      <c r="B977" s="41" t="str">
        <f>_xlfn.TEXTAFTER(_xlfn.TEXTBEFORE(tblCost[[#This Row],[RequirementID]],".",-2),"cost.")</f>
        <v>tech.smithy.weapon_grease</v>
      </c>
      <c r="C977" s="41" t="str">
        <f>_xlfn.XLOOKUP(tblCost[[#This Row],[TargetID]],tblTargets[TargetID],tblTargets[DisplayName],"")</f>
        <v>Smithy - Weapon Grease</v>
      </c>
      <c r="D977" s="41" t="str">
        <f>_xlfn.XLOOKUP(tblCost[[#This Row],[TargetID]],tblTargets[TargetID],tblTargets[TargetType],"")</f>
        <v>TECH</v>
      </c>
      <c r="E977" s="41" t="s">
        <v>695</v>
      </c>
      <c r="F977" s="62" t="str">
        <f>RIGHT(tblCost[[#This Row],[RequirementID]],1)</f>
        <v>1</v>
      </c>
      <c r="G977" s="41">
        <v>10</v>
      </c>
      <c r="H977" t="b">
        <f>COUNTIFS(tblCostChecklist[RequirementID],tblCost[[#This Row],[RequirementID]],tblCostChecklist[PlayerPaid],TRUE)&gt;0</f>
        <v>0</v>
      </c>
      <c r="I977" s="41">
        <f>COUNTIF(tblCost[TargetID],tblCost[[#This Row],[TargetID]])</f>
        <v>5</v>
      </c>
      <c r="J977" s="41">
        <f>COUNTIFS(tblCost[TargetID],tblCost[[#This Row],[TargetID]],tblCost[PlayerPaid],TRUE)</f>
        <v>0</v>
      </c>
      <c r="K977" s="41">
        <f>tblCost[[#This Row],[TargetRequirements]]-tblCost[[#This Row],[CompletedRequirements]]</f>
        <v>5</v>
      </c>
      <c r="L977" s="41" t="b">
        <f>tblCost[[#This Row],[RemainingRequirements]]=0</f>
        <v>0</v>
      </c>
      <c r="M977" s="43">
        <f>IF(tblCost[[#This Row],[TargetRequirements]]=0,0,tblCost[[#This Row],[CompletedRequirements]]/tblCost[[#This Row],[TargetRequirements]])</f>
        <v>0</v>
      </c>
    </row>
    <row r="978" spans="1:13">
      <c r="A978" s="41" t="s">
        <v>4626</v>
      </c>
      <c r="B978" s="41" t="str">
        <f>_xlfn.TEXTAFTER(_xlfn.TEXTBEFORE(tblCost[[#This Row],[RequirementID]],".",-2),"cost.")</f>
        <v>tech.smithy.weapon_grease</v>
      </c>
      <c r="C978" s="41" t="str">
        <f>_xlfn.XLOOKUP(tblCost[[#This Row],[TargetID]],tblTargets[TargetID],tblTargets[DisplayName],"")</f>
        <v>Smithy - Weapon Grease</v>
      </c>
      <c r="D978" s="41" t="str">
        <f>_xlfn.XLOOKUP(tblCost[[#This Row],[TargetID]],tblTargets[TargetID],tblTargets[TargetType],"")</f>
        <v>TECH</v>
      </c>
      <c r="E978" s="41" t="s">
        <v>705</v>
      </c>
      <c r="F978" s="62" t="str">
        <f>RIGHT(tblCost[[#This Row],[RequirementID]],1)</f>
        <v>1</v>
      </c>
      <c r="G978" s="41">
        <v>15</v>
      </c>
      <c r="H978" t="b">
        <f>COUNTIFS(tblCostChecklist[RequirementID],tblCost[[#This Row],[RequirementID]],tblCostChecklist[PlayerPaid],TRUE)&gt;0</f>
        <v>0</v>
      </c>
      <c r="I978" s="41">
        <f>COUNTIF(tblCost[TargetID],tblCost[[#This Row],[TargetID]])</f>
        <v>5</v>
      </c>
      <c r="J978" s="41">
        <f>COUNTIFS(tblCost[TargetID],tblCost[[#This Row],[TargetID]],tblCost[PlayerPaid],TRUE)</f>
        <v>0</v>
      </c>
      <c r="K978" s="41">
        <f>tblCost[[#This Row],[TargetRequirements]]-tblCost[[#This Row],[CompletedRequirements]]</f>
        <v>5</v>
      </c>
      <c r="L978" s="41" t="b">
        <f>tblCost[[#This Row],[RemainingRequirements]]=0</f>
        <v>0</v>
      </c>
      <c r="M978" s="43">
        <f>IF(tblCost[[#This Row],[TargetRequirements]]=0,0,tblCost[[#This Row],[CompletedRequirements]]/tblCost[[#This Row],[TargetRequirements]])</f>
        <v>0</v>
      </c>
    </row>
    <row r="979" spans="1:13">
      <c r="A979" s="41" t="s">
        <v>4627</v>
      </c>
      <c r="B979" s="41" t="str">
        <f>_xlfn.TEXTAFTER(_xlfn.TEXTBEFORE(tblCost[[#This Row],[RequirementID]],".",-2),"cost.")</f>
        <v>tech.smithy.weapon_grease</v>
      </c>
      <c r="C979" s="41" t="str">
        <f>_xlfn.XLOOKUP(tblCost[[#This Row],[TargetID]],tblTargets[TargetID],tblTargets[DisplayName],"")</f>
        <v>Smithy - Weapon Grease</v>
      </c>
      <c r="D979" s="41" t="str">
        <f>_xlfn.XLOOKUP(tblCost[[#This Row],[TargetID]],tblTargets[TargetID],tblTargets[TargetType],"")</f>
        <v>TECH</v>
      </c>
      <c r="E979" s="41" t="s">
        <v>708</v>
      </c>
      <c r="F979" s="62" t="str">
        <f>RIGHT(tblCost[[#This Row],[RequirementID]],1)</f>
        <v>1</v>
      </c>
      <c r="G979" s="41">
        <v>2</v>
      </c>
      <c r="H979" t="b">
        <f>COUNTIFS(tblCostChecklist[RequirementID],tblCost[[#This Row],[RequirementID]],tblCostChecklist[PlayerPaid],TRUE)&gt;0</f>
        <v>0</v>
      </c>
      <c r="I979" s="41">
        <f>COUNTIF(tblCost[TargetID],tblCost[[#This Row],[TargetID]])</f>
        <v>5</v>
      </c>
      <c r="J979" s="41">
        <f>COUNTIFS(tblCost[TargetID],tblCost[[#This Row],[TargetID]],tblCost[PlayerPaid],TRUE)</f>
        <v>0</v>
      </c>
      <c r="K979" s="41">
        <f>tblCost[[#This Row],[TargetRequirements]]-tblCost[[#This Row],[CompletedRequirements]]</f>
        <v>5</v>
      </c>
      <c r="L979" s="41" t="b">
        <f>tblCost[[#This Row],[RemainingRequirements]]=0</f>
        <v>0</v>
      </c>
      <c r="M979" s="43">
        <f>IF(tblCost[[#This Row],[TargetRequirements]]=0,0,tblCost[[#This Row],[CompletedRequirements]]/tblCost[[#This Row],[TargetRequirements]])</f>
        <v>0</v>
      </c>
    </row>
    <row r="980" spans="1:13">
      <c r="A980" s="41" t="s">
        <v>4628</v>
      </c>
      <c r="B980" s="41" t="str">
        <f>_xlfn.TEXTAFTER(_xlfn.TEXTBEFORE(tblCost[[#This Row],[RequirementID]],".",-2),"cost.")</f>
        <v>tech.smithy.gears</v>
      </c>
      <c r="C980" s="41" t="str">
        <f>_xlfn.XLOOKUP(tblCost[[#This Row],[TargetID]],tblTargets[TargetID],tblTargets[DisplayName],"")</f>
        <v>Smithy - Gears</v>
      </c>
      <c r="D980" s="41" t="str">
        <f>_xlfn.XLOOKUP(tblCost[[#This Row],[TargetID]],tblTargets[TargetID],tblTargets[TargetType],"")</f>
        <v>TECH</v>
      </c>
      <c r="E980" s="41" t="s">
        <v>662</v>
      </c>
      <c r="F980" s="62" t="str">
        <f>RIGHT(tblCost[[#This Row],[RequirementID]],1)</f>
        <v>1</v>
      </c>
      <c r="G980" s="41">
        <v>30</v>
      </c>
      <c r="H980" t="b">
        <f>COUNTIFS(tblCostChecklist[RequirementID],tblCost[[#This Row],[RequirementID]],tblCostChecklist[PlayerPaid],TRUE)&gt;0</f>
        <v>0</v>
      </c>
      <c r="I980" s="41">
        <f>COUNTIF(tblCost[TargetID],tblCost[[#This Row],[TargetID]])</f>
        <v>5</v>
      </c>
      <c r="J980" s="41">
        <f>COUNTIFS(tblCost[TargetID],tblCost[[#This Row],[TargetID]],tblCost[PlayerPaid],TRUE)</f>
        <v>0</v>
      </c>
      <c r="K980" s="41">
        <f>tblCost[[#This Row],[TargetRequirements]]-tblCost[[#This Row],[CompletedRequirements]]</f>
        <v>5</v>
      </c>
      <c r="L980" s="41" t="b">
        <f>tblCost[[#This Row],[RemainingRequirements]]=0</f>
        <v>0</v>
      </c>
      <c r="M980" s="43">
        <f>IF(tblCost[[#This Row],[TargetRequirements]]=0,0,tblCost[[#This Row],[CompletedRequirements]]/tblCost[[#This Row],[TargetRequirements]])</f>
        <v>0</v>
      </c>
    </row>
    <row r="981" spans="1:13">
      <c r="A981" s="41" t="s">
        <v>4629</v>
      </c>
      <c r="B981" s="41" t="str">
        <f>_xlfn.TEXTAFTER(_xlfn.TEXTBEFORE(tblCost[[#This Row],[RequirementID]],".",-2),"cost.")</f>
        <v>tech.smithy.gears</v>
      </c>
      <c r="C981" s="41" t="str">
        <f>_xlfn.XLOOKUP(tblCost[[#This Row],[TargetID]],tblTargets[TargetID],tblTargets[DisplayName],"")</f>
        <v>Smithy - Gears</v>
      </c>
      <c r="D981" s="41" t="str">
        <f>_xlfn.XLOOKUP(tblCost[[#This Row],[TargetID]],tblTargets[TargetID],tblTargets[TargetType],"")</f>
        <v>TECH</v>
      </c>
      <c r="E981" s="41" t="s">
        <v>666</v>
      </c>
      <c r="F981" s="62" t="str">
        <f>RIGHT(tblCost[[#This Row],[RequirementID]],1)</f>
        <v>1</v>
      </c>
      <c r="G981" s="41">
        <v>1000</v>
      </c>
      <c r="H981" t="b">
        <f>COUNTIFS(tblCostChecklist[RequirementID],tblCost[[#This Row],[RequirementID]],tblCostChecklist[PlayerPaid],TRUE)&gt;0</f>
        <v>0</v>
      </c>
      <c r="I981" s="41">
        <f>COUNTIF(tblCost[TargetID],tblCost[[#This Row],[TargetID]])</f>
        <v>5</v>
      </c>
      <c r="J981" s="41">
        <f>COUNTIFS(tblCost[TargetID],tblCost[[#This Row],[TargetID]],tblCost[PlayerPaid],TRUE)</f>
        <v>0</v>
      </c>
      <c r="K981" s="41">
        <f>tblCost[[#This Row],[TargetRequirements]]-tblCost[[#This Row],[CompletedRequirements]]</f>
        <v>5</v>
      </c>
      <c r="L981" s="41" t="b">
        <f>tblCost[[#This Row],[RemainingRequirements]]=0</f>
        <v>0</v>
      </c>
      <c r="M981" s="43">
        <f>IF(tblCost[[#This Row],[TargetRequirements]]=0,0,tblCost[[#This Row],[CompletedRequirements]]/tblCost[[#This Row],[TargetRequirements]])</f>
        <v>0</v>
      </c>
    </row>
    <row r="982" spans="1:13">
      <c r="A982" s="41" t="s">
        <v>4630</v>
      </c>
      <c r="B982" s="41" t="str">
        <f>_xlfn.TEXTAFTER(_xlfn.TEXTBEFORE(tblCost[[#This Row],[RequirementID]],".",-2),"cost.")</f>
        <v>tech.smithy.gears</v>
      </c>
      <c r="C982" s="41" t="str">
        <f>_xlfn.XLOOKUP(tblCost[[#This Row],[TargetID]],tblTargets[TargetID],tblTargets[DisplayName],"")</f>
        <v>Smithy - Gears</v>
      </c>
      <c r="D982" s="41" t="str">
        <f>_xlfn.XLOOKUP(tblCost[[#This Row],[TargetID]],tblTargets[TargetID],tblTargets[TargetType],"")</f>
        <v>TECH</v>
      </c>
      <c r="E982" s="41" t="s">
        <v>673</v>
      </c>
      <c r="F982" s="62" t="str">
        <f>RIGHT(tblCost[[#This Row],[RequirementID]],1)</f>
        <v>1</v>
      </c>
      <c r="G982" s="41">
        <v>30</v>
      </c>
      <c r="H982" t="b">
        <f>COUNTIFS(tblCostChecklist[RequirementID],tblCost[[#This Row],[RequirementID]],tblCostChecklist[PlayerPaid],TRUE)&gt;0</f>
        <v>0</v>
      </c>
      <c r="I982" s="41">
        <f>COUNTIF(tblCost[TargetID],tblCost[[#This Row],[TargetID]])</f>
        <v>5</v>
      </c>
      <c r="J982" s="41">
        <f>COUNTIFS(tblCost[TargetID],tblCost[[#This Row],[TargetID]],tblCost[PlayerPaid],TRUE)</f>
        <v>0</v>
      </c>
      <c r="K982" s="41">
        <f>tblCost[[#This Row],[TargetRequirements]]-tblCost[[#This Row],[CompletedRequirements]]</f>
        <v>5</v>
      </c>
      <c r="L982" s="41" t="b">
        <f>tblCost[[#This Row],[RemainingRequirements]]=0</f>
        <v>0</v>
      </c>
      <c r="M982" s="43">
        <f>IF(tblCost[[#This Row],[TargetRequirements]]=0,0,tblCost[[#This Row],[CompletedRequirements]]/tblCost[[#This Row],[TargetRequirements]])</f>
        <v>0</v>
      </c>
    </row>
    <row r="983" spans="1:13">
      <c r="A983" s="41" t="s">
        <v>4631</v>
      </c>
      <c r="B983" s="41" t="str">
        <f>_xlfn.TEXTAFTER(_xlfn.TEXTBEFORE(tblCost[[#This Row],[RequirementID]],".",-2),"cost.")</f>
        <v>tech.smithy.gears</v>
      </c>
      <c r="C983" s="41" t="str">
        <f>_xlfn.XLOOKUP(tblCost[[#This Row],[TargetID]],tblTargets[TargetID],tblTargets[DisplayName],"")</f>
        <v>Smithy - Gears</v>
      </c>
      <c r="D983" s="41" t="str">
        <f>_xlfn.XLOOKUP(tblCost[[#This Row],[TargetID]],tblTargets[TargetID],tblTargets[TargetType],"")</f>
        <v>TECH</v>
      </c>
      <c r="E983" s="41" t="s">
        <v>690</v>
      </c>
      <c r="F983" s="62" t="str">
        <f>RIGHT(tblCost[[#This Row],[RequirementID]],1)</f>
        <v>1</v>
      </c>
      <c r="G983" s="41">
        <v>20</v>
      </c>
      <c r="H983" t="b">
        <f>COUNTIFS(tblCostChecklist[RequirementID],tblCost[[#This Row],[RequirementID]],tblCostChecklist[PlayerPaid],TRUE)&gt;0</f>
        <v>0</v>
      </c>
      <c r="I983" s="41">
        <f>COUNTIF(tblCost[TargetID],tblCost[[#This Row],[TargetID]])</f>
        <v>5</v>
      </c>
      <c r="J983" s="41">
        <f>COUNTIFS(tblCost[TargetID],tblCost[[#This Row],[TargetID]],tblCost[PlayerPaid],TRUE)</f>
        <v>0</v>
      </c>
      <c r="K983" s="41">
        <f>tblCost[[#This Row],[TargetRequirements]]-tblCost[[#This Row],[CompletedRequirements]]</f>
        <v>5</v>
      </c>
      <c r="L983" s="41" t="b">
        <f>tblCost[[#This Row],[RemainingRequirements]]=0</f>
        <v>0</v>
      </c>
      <c r="M983" s="43">
        <f>IF(tblCost[[#This Row],[TargetRequirements]]=0,0,tblCost[[#This Row],[CompletedRequirements]]/tblCost[[#This Row],[TargetRequirements]])</f>
        <v>0</v>
      </c>
    </row>
    <row r="984" spans="1:13">
      <c r="A984" s="41" t="s">
        <v>4632</v>
      </c>
      <c r="B984" s="41" t="str">
        <f>_xlfn.TEXTAFTER(_xlfn.TEXTBEFORE(tblCost[[#This Row],[RequirementID]],".",-2),"cost.")</f>
        <v>tech.smithy.gears</v>
      </c>
      <c r="C984" s="41" t="str">
        <f>_xlfn.XLOOKUP(tblCost[[#This Row],[TargetID]],tblTargets[TargetID],tblTargets[DisplayName],"")</f>
        <v>Smithy - Gears</v>
      </c>
      <c r="D984" s="41" t="str">
        <f>_xlfn.XLOOKUP(tblCost[[#This Row],[TargetID]],tblTargets[TargetID],tblTargets[TargetType],"")</f>
        <v>TECH</v>
      </c>
      <c r="E984" s="41" t="s">
        <v>708</v>
      </c>
      <c r="F984" s="62" t="str">
        <f>RIGHT(tblCost[[#This Row],[RequirementID]],1)</f>
        <v>1</v>
      </c>
      <c r="G984" s="41">
        <v>5</v>
      </c>
      <c r="H984" t="b">
        <f>COUNTIFS(tblCostChecklist[RequirementID],tblCost[[#This Row],[RequirementID]],tblCostChecklist[PlayerPaid],TRUE)&gt;0</f>
        <v>0</v>
      </c>
      <c r="I984" s="41">
        <f>COUNTIF(tblCost[TargetID],tblCost[[#This Row],[TargetID]])</f>
        <v>5</v>
      </c>
      <c r="J984" s="41">
        <f>COUNTIFS(tblCost[TargetID],tblCost[[#This Row],[TargetID]],tblCost[PlayerPaid],TRUE)</f>
        <v>0</v>
      </c>
      <c r="K984" s="41">
        <f>tblCost[[#This Row],[TargetRequirements]]-tblCost[[#This Row],[CompletedRequirements]]</f>
        <v>5</v>
      </c>
      <c r="L984" s="41" t="b">
        <f>tblCost[[#This Row],[RemainingRequirements]]=0</f>
        <v>0</v>
      </c>
      <c r="M984" s="43">
        <f>IF(tblCost[[#This Row],[TargetRequirements]]=0,0,tblCost[[#This Row],[CompletedRequirements]]/tblCost[[#This Row],[TargetRequirements]])</f>
        <v>0</v>
      </c>
    </row>
    <row r="985" spans="1:13">
      <c r="A985" s="41" t="s">
        <v>4633</v>
      </c>
      <c r="B985" s="41" t="str">
        <f>_xlfn.TEXTAFTER(_xlfn.TEXTBEFORE(tblCost[[#This Row],[RequirementID]],".",-2),"cost.")</f>
        <v>tech.smithy.treasure</v>
      </c>
      <c r="C985" s="41" t="str">
        <f>_xlfn.XLOOKUP(tblCost[[#This Row],[TargetID]],tblTargets[TargetID],tblTargets[DisplayName],"")</f>
        <v>Smithy - Treasure</v>
      </c>
      <c r="D985" s="41" t="str">
        <f>_xlfn.XLOOKUP(tblCost[[#This Row],[TargetID]],tblTargets[TargetID],tblTargets[TargetType],"")</f>
        <v>TECH</v>
      </c>
      <c r="E985" s="41" t="s">
        <v>661</v>
      </c>
      <c r="F985" s="62" t="str">
        <f>RIGHT(tblCost[[#This Row],[RequirementID]],1)</f>
        <v>1</v>
      </c>
      <c r="G985" s="41">
        <v>30</v>
      </c>
      <c r="H985" t="b">
        <f>COUNTIFS(tblCostChecklist[RequirementID],tblCost[[#This Row],[RequirementID]],tblCostChecklist[PlayerPaid],TRUE)&gt;0</f>
        <v>0</v>
      </c>
      <c r="I985" s="41">
        <f>COUNTIF(tblCost[TargetID],tblCost[[#This Row],[TargetID]])</f>
        <v>9</v>
      </c>
      <c r="J985" s="41">
        <f>COUNTIFS(tblCost[TargetID],tblCost[[#This Row],[TargetID]],tblCost[PlayerPaid],TRUE)</f>
        <v>0</v>
      </c>
      <c r="K985" s="41">
        <f>tblCost[[#This Row],[TargetRequirements]]-tblCost[[#This Row],[CompletedRequirements]]</f>
        <v>9</v>
      </c>
      <c r="L985" s="41" t="b">
        <f>tblCost[[#This Row],[RemainingRequirements]]=0</f>
        <v>0</v>
      </c>
      <c r="M985" s="43">
        <f>IF(tblCost[[#This Row],[TargetRequirements]]=0,0,tblCost[[#This Row],[CompletedRequirements]]/tblCost[[#This Row],[TargetRequirements]])</f>
        <v>0</v>
      </c>
    </row>
    <row r="986" spans="1:13">
      <c r="A986" s="41" t="s">
        <v>4634</v>
      </c>
      <c r="B986" s="41" t="str">
        <f>_xlfn.TEXTAFTER(_xlfn.TEXTBEFORE(tblCost[[#This Row],[RequirementID]],".",-2),"cost.")</f>
        <v>tech.smithy.treasure</v>
      </c>
      <c r="C986" s="41" t="str">
        <f>_xlfn.XLOOKUP(tblCost[[#This Row],[TargetID]],tblTargets[TargetID],tblTargets[DisplayName],"")</f>
        <v>Smithy - Treasure</v>
      </c>
      <c r="D986" s="41" t="str">
        <f>_xlfn.XLOOKUP(tblCost[[#This Row],[TargetID]],tblTargets[TargetID],tblTargets[TargetType],"")</f>
        <v>TECH</v>
      </c>
      <c r="E986" s="41" t="s">
        <v>666</v>
      </c>
      <c r="F986" s="62" t="str">
        <f>RIGHT(tblCost[[#This Row],[RequirementID]],1)</f>
        <v>1</v>
      </c>
      <c r="G986" s="41">
        <v>500</v>
      </c>
      <c r="H986" t="b">
        <f>COUNTIFS(tblCostChecklist[RequirementID],tblCost[[#This Row],[RequirementID]],tblCostChecklist[PlayerPaid],TRUE)&gt;0</f>
        <v>0</v>
      </c>
      <c r="I986" s="41">
        <f>COUNTIF(tblCost[TargetID],tblCost[[#This Row],[TargetID]])</f>
        <v>9</v>
      </c>
      <c r="J986" s="41">
        <f>COUNTIFS(tblCost[TargetID],tblCost[[#This Row],[TargetID]],tblCost[PlayerPaid],TRUE)</f>
        <v>0</v>
      </c>
      <c r="K986" s="41">
        <f>tblCost[[#This Row],[TargetRequirements]]-tblCost[[#This Row],[CompletedRequirements]]</f>
        <v>9</v>
      </c>
      <c r="L986" s="41" t="b">
        <f>tblCost[[#This Row],[RemainingRequirements]]=0</f>
        <v>0</v>
      </c>
      <c r="M986" s="43">
        <f>IF(tblCost[[#This Row],[TargetRequirements]]=0,0,tblCost[[#This Row],[CompletedRequirements]]/tblCost[[#This Row],[TargetRequirements]])</f>
        <v>0</v>
      </c>
    </row>
    <row r="987" spans="1:13">
      <c r="A987" s="41" t="s">
        <v>4635</v>
      </c>
      <c r="B987" s="41" t="str">
        <f>_xlfn.TEXTAFTER(_xlfn.TEXTBEFORE(tblCost[[#This Row],[RequirementID]],".",-2),"cost.")</f>
        <v>tech.smithy.treasure</v>
      </c>
      <c r="C987" s="41" t="str">
        <f>_xlfn.XLOOKUP(tblCost[[#This Row],[TargetID]],tblTargets[TargetID],tblTargets[DisplayName],"")</f>
        <v>Smithy - Treasure</v>
      </c>
      <c r="D987" s="41" t="str">
        <f>_xlfn.XLOOKUP(tblCost[[#This Row],[TargetID]],tblTargets[TargetID],tblTargets[TargetType],"")</f>
        <v>TECH</v>
      </c>
      <c r="E987" s="41" t="s">
        <v>676</v>
      </c>
      <c r="F987" s="62" t="str">
        <f>RIGHT(tblCost[[#This Row],[RequirementID]],1)</f>
        <v>1</v>
      </c>
      <c r="G987" s="41">
        <v>20</v>
      </c>
      <c r="H987" t="b">
        <f>COUNTIFS(tblCostChecklist[RequirementID],tblCost[[#This Row],[RequirementID]],tblCostChecklist[PlayerPaid],TRUE)&gt;0</f>
        <v>0</v>
      </c>
      <c r="I987" s="41">
        <f>COUNTIF(tblCost[TargetID],tblCost[[#This Row],[TargetID]])</f>
        <v>9</v>
      </c>
      <c r="J987" s="41">
        <f>COUNTIFS(tblCost[TargetID],tblCost[[#This Row],[TargetID]],tblCost[PlayerPaid],TRUE)</f>
        <v>0</v>
      </c>
      <c r="K987" s="41">
        <f>tblCost[[#This Row],[TargetRequirements]]-tblCost[[#This Row],[CompletedRequirements]]</f>
        <v>9</v>
      </c>
      <c r="L987" s="41" t="b">
        <f>tblCost[[#This Row],[RemainingRequirements]]=0</f>
        <v>0</v>
      </c>
      <c r="M987" s="43">
        <f>IF(tblCost[[#This Row],[TargetRequirements]]=0,0,tblCost[[#This Row],[CompletedRequirements]]/tblCost[[#This Row],[TargetRequirements]])</f>
        <v>0</v>
      </c>
    </row>
    <row r="988" spans="1:13">
      <c r="A988" s="41" t="s">
        <v>4636</v>
      </c>
      <c r="B988" s="41" t="str">
        <f>_xlfn.TEXTAFTER(_xlfn.TEXTBEFORE(tblCost[[#This Row],[RequirementID]],".",-2),"cost.")</f>
        <v>tech.smithy.treasure</v>
      </c>
      <c r="C988" s="41" t="str">
        <f>_xlfn.XLOOKUP(tblCost[[#This Row],[TargetID]],tblTargets[TargetID],tblTargets[DisplayName],"")</f>
        <v>Smithy - Treasure</v>
      </c>
      <c r="D988" s="41" t="str">
        <f>_xlfn.XLOOKUP(tblCost[[#This Row],[TargetID]],tblTargets[TargetID],tblTargets[TargetType],"")</f>
        <v>TECH</v>
      </c>
      <c r="E988" s="41" t="s">
        <v>677</v>
      </c>
      <c r="F988" s="62" t="str">
        <f>RIGHT(tblCost[[#This Row],[RequirementID]],1)</f>
        <v>1</v>
      </c>
      <c r="G988" s="41">
        <v>10</v>
      </c>
      <c r="H988" t="b">
        <f>COUNTIFS(tblCostChecklist[RequirementID],tblCost[[#This Row],[RequirementID]],tblCostChecklist[PlayerPaid],TRUE)&gt;0</f>
        <v>0</v>
      </c>
      <c r="I988" s="41">
        <f>COUNTIF(tblCost[TargetID],tblCost[[#This Row],[TargetID]])</f>
        <v>9</v>
      </c>
      <c r="J988" s="41">
        <f>COUNTIFS(tblCost[TargetID],tblCost[[#This Row],[TargetID]],tblCost[PlayerPaid],TRUE)</f>
        <v>0</v>
      </c>
      <c r="K988" s="41">
        <f>tblCost[[#This Row],[TargetRequirements]]-tblCost[[#This Row],[CompletedRequirements]]</f>
        <v>9</v>
      </c>
      <c r="L988" s="41" t="b">
        <f>tblCost[[#This Row],[RemainingRequirements]]=0</f>
        <v>0</v>
      </c>
      <c r="M988" s="43">
        <f>IF(tblCost[[#This Row],[TargetRequirements]]=0,0,tblCost[[#This Row],[CompletedRequirements]]/tblCost[[#This Row],[TargetRequirements]])</f>
        <v>0</v>
      </c>
    </row>
    <row r="989" spans="1:13">
      <c r="A989" s="41" t="s">
        <v>4637</v>
      </c>
      <c r="B989" s="41" t="str">
        <f>_xlfn.TEXTAFTER(_xlfn.TEXTBEFORE(tblCost[[#This Row],[RequirementID]],".",-2),"cost.")</f>
        <v>tech.smithy.treasure</v>
      </c>
      <c r="C989" s="41" t="str">
        <f>_xlfn.XLOOKUP(tblCost[[#This Row],[TargetID]],tblTargets[TargetID],tblTargets[DisplayName],"")</f>
        <v>Smithy - Treasure</v>
      </c>
      <c r="D989" s="41" t="str">
        <f>_xlfn.XLOOKUP(tblCost[[#This Row],[TargetID]],tblTargets[TargetID],tblTargets[TargetType],"")</f>
        <v>TECH</v>
      </c>
      <c r="E989" s="41" t="s">
        <v>680</v>
      </c>
      <c r="F989" s="62" t="str">
        <f>RIGHT(tblCost[[#This Row],[RequirementID]],1)</f>
        <v>1</v>
      </c>
      <c r="G989" s="41">
        <v>10</v>
      </c>
      <c r="H989" t="b">
        <f>COUNTIFS(tblCostChecklist[RequirementID],tblCost[[#This Row],[RequirementID]],tblCostChecklist[PlayerPaid],TRUE)&gt;0</f>
        <v>0</v>
      </c>
      <c r="I989" s="41">
        <f>COUNTIF(tblCost[TargetID],tblCost[[#This Row],[TargetID]])</f>
        <v>9</v>
      </c>
      <c r="J989" s="41">
        <f>COUNTIFS(tblCost[TargetID],tblCost[[#This Row],[TargetID]],tblCost[PlayerPaid],TRUE)</f>
        <v>0</v>
      </c>
      <c r="K989" s="41">
        <f>tblCost[[#This Row],[TargetRequirements]]-tblCost[[#This Row],[CompletedRequirements]]</f>
        <v>9</v>
      </c>
      <c r="L989" s="41" t="b">
        <f>tblCost[[#This Row],[RemainingRequirements]]=0</f>
        <v>0</v>
      </c>
      <c r="M989" s="43">
        <f>IF(tblCost[[#This Row],[TargetRequirements]]=0,0,tblCost[[#This Row],[CompletedRequirements]]/tblCost[[#This Row],[TargetRequirements]])</f>
        <v>0</v>
      </c>
    </row>
    <row r="990" spans="1:13">
      <c r="A990" s="41" t="s">
        <v>4638</v>
      </c>
      <c r="B990" s="41" t="str">
        <f>_xlfn.TEXTAFTER(_xlfn.TEXTBEFORE(tblCost[[#This Row],[RequirementID]],".",-2),"cost.")</f>
        <v>tech.smithy.treasure</v>
      </c>
      <c r="C990" s="41" t="str">
        <f>_xlfn.XLOOKUP(tblCost[[#This Row],[TargetID]],tblTargets[TargetID],tblTargets[DisplayName],"")</f>
        <v>Smithy - Treasure</v>
      </c>
      <c r="D990" s="41" t="str">
        <f>_xlfn.XLOOKUP(tblCost[[#This Row],[TargetID]],tblTargets[TargetID],tblTargets[TargetType],"")</f>
        <v>TECH</v>
      </c>
      <c r="E990" s="41" t="s">
        <v>687</v>
      </c>
      <c r="F990" s="62" t="str">
        <f>RIGHT(tblCost[[#This Row],[RequirementID]],1)</f>
        <v>1</v>
      </c>
      <c r="G990" s="41">
        <v>10</v>
      </c>
      <c r="H990" t="b">
        <f>COUNTIFS(tblCostChecklist[RequirementID],tblCost[[#This Row],[RequirementID]],tblCostChecklist[PlayerPaid],TRUE)&gt;0</f>
        <v>0</v>
      </c>
      <c r="I990" s="41">
        <f>COUNTIF(tblCost[TargetID],tblCost[[#This Row],[TargetID]])</f>
        <v>9</v>
      </c>
      <c r="J990" s="41">
        <f>COUNTIFS(tblCost[TargetID],tblCost[[#This Row],[TargetID]],tblCost[PlayerPaid],TRUE)</f>
        <v>0</v>
      </c>
      <c r="K990" s="41">
        <f>tblCost[[#This Row],[TargetRequirements]]-tblCost[[#This Row],[CompletedRequirements]]</f>
        <v>9</v>
      </c>
      <c r="L990" s="41" t="b">
        <f>tblCost[[#This Row],[RemainingRequirements]]=0</f>
        <v>0</v>
      </c>
      <c r="M990" s="43">
        <f>IF(tblCost[[#This Row],[TargetRequirements]]=0,0,tblCost[[#This Row],[CompletedRequirements]]/tblCost[[#This Row],[TargetRequirements]])</f>
        <v>0</v>
      </c>
    </row>
    <row r="991" spans="1:13">
      <c r="A991" s="41" t="s">
        <v>4639</v>
      </c>
      <c r="B991" s="41" t="str">
        <f>_xlfn.TEXTAFTER(_xlfn.TEXTBEFORE(tblCost[[#This Row],[RequirementID]],".",-2),"cost.")</f>
        <v>tech.smithy.treasure</v>
      </c>
      <c r="C991" s="41" t="str">
        <f>_xlfn.XLOOKUP(tblCost[[#This Row],[TargetID]],tblTargets[TargetID],tblTargets[DisplayName],"")</f>
        <v>Smithy - Treasure</v>
      </c>
      <c r="D991" s="41" t="str">
        <f>_xlfn.XLOOKUP(tblCost[[#This Row],[TargetID]],tblTargets[TargetID],tblTargets[TargetType],"")</f>
        <v>TECH</v>
      </c>
      <c r="E991" s="41" t="s">
        <v>706</v>
      </c>
      <c r="F991" s="62" t="str">
        <f>RIGHT(tblCost[[#This Row],[RequirementID]],1)</f>
        <v>1</v>
      </c>
      <c r="G991" s="41">
        <v>20</v>
      </c>
      <c r="H991" t="b">
        <f>COUNTIFS(tblCostChecklist[RequirementID],tblCost[[#This Row],[RequirementID]],tblCostChecklist[PlayerPaid],TRUE)&gt;0</f>
        <v>0</v>
      </c>
      <c r="I991" s="41">
        <f>COUNTIF(tblCost[TargetID],tblCost[[#This Row],[TargetID]])</f>
        <v>9</v>
      </c>
      <c r="J991" s="41">
        <f>COUNTIFS(tblCost[TargetID],tblCost[[#This Row],[TargetID]],tblCost[PlayerPaid],TRUE)</f>
        <v>0</v>
      </c>
      <c r="K991" s="41">
        <f>tblCost[[#This Row],[TargetRequirements]]-tblCost[[#This Row],[CompletedRequirements]]</f>
        <v>9</v>
      </c>
      <c r="L991" s="41" t="b">
        <f>tblCost[[#This Row],[RemainingRequirements]]=0</f>
        <v>0</v>
      </c>
      <c r="M991" s="43">
        <f>IF(tblCost[[#This Row],[TargetRequirements]]=0,0,tblCost[[#This Row],[CompletedRequirements]]/tblCost[[#This Row],[TargetRequirements]])</f>
        <v>0</v>
      </c>
    </row>
    <row r="992" spans="1:13">
      <c r="A992" s="41" t="s">
        <v>4640</v>
      </c>
      <c r="B992" s="41" t="str">
        <f>_xlfn.TEXTAFTER(_xlfn.TEXTBEFORE(tblCost[[#This Row],[RequirementID]],".",-2),"cost.")</f>
        <v>tech.smithy.treasure</v>
      </c>
      <c r="C992" s="41" t="str">
        <f>_xlfn.XLOOKUP(tblCost[[#This Row],[TargetID]],tblTargets[TargetID],tblTargets[DisplayName],"")</f>
        <v>Smithy - Treasure</v>
      </c>
      <c r="D992" s="41" t="str">
        <f>_xlfn.XLOOKUP(tblCost[[#This Row],[TargetID]],tblTargets[TargetID],tblTargets[TargetType],"")</f>
        <v>TECH</v>
      </c>
      <c r="E992" s="41" t="s">
        <v>708</v>
      </c>
      <c r="F992" s="62" t="str">
        <f>RIGHT(tblCost[[#This Row],[RequirementID]],1)</f>
        <v>1</v>
      </c>
      <c r="G992" s="41">
        <v>3</v>
      </c>
      <c r="H992" t="b">
        <f>COUNTIFS(tblCostChecklist[RequirementID],tblCost[[#This Row],[RequirementID]],tblCostChecklist[PlayerPaid],TRUE)&gt;0</f>
        <v>0</v>
      </c>
      <c r="I992" s="41">
        <f>COUNTIF(tblCost[TargetID],tblCost[[#This Row],[TargetID]])</f>
        <v>9</v>
      </c>
      <c r="J992" s="41">
        <f>COUNTIFS(tblCost[TargetID],tblCost[[#This Row],[TargetID]],tblCost[PlayerPaid],TRUE)</f>
        <v>0</v>
      </c>
      <c r="K992" s="41">
        <f>tblCost[[#This Row],[TargetRequirements]]-tblCost[[#This Row],[CompletedRequirements]]</f>
        <v>9</v>
      </c>
      <c r="L992" s="41" t="b">
        <f>tblCost[[#This Row],[RemainingRequirements]]=0</f>
        <v>0</v>
      </c>
      <c r="M992" s="43">
        <f>IF(tblCost[[#This Row],[TargetRequirements]]=0,0,tblCost[[#This Row],[CompletedRequirements]]/tblCost[[#This Row],[TargetRequirements]])</f>
        <v>0</v>
      </c>
    </row>
    <row r="993" spans="1:13">
      <c r="A993" s="41" t="s">
        <v>4641</v>
      </c>
      <c r="B993" s="41" t="str">
        <f>_xlfn.TEXTAFTER(_xlfn.TEXTBEFORE(tblCost[[#This Row],[RequirementID]],".",-2),"cost.")</f>
        <v>tech.smithy.treasure</v>
      </c>
      <c r="C993" s="41" t="str">
        <f>_xlfn.XLOOKUP(tblCost[[#This Row],[TargetID]],tblTargets[TargetID],tblTargets[DisplayName],"")</f>
        <v>Smithy - Treasure</v>
      </c>
      <c r="D993" s="41" t="str">
        <f>_xlfn.XLOOKUP(tblCost[[#This Row],[TargetID]],tblTargets[TargetID],tblTargets[TargetType],"")</f>
        <v>TECH</v>
      </c>
      <c r="E993" s="41" t="s">
        <v>958</v>
      </c>
      <c r="F993" s="62" t="str">
        <f>RIGHT(tblCost[[#This Row],[RequirementID]],1)</f>
        <v>1</v>
      </c>
      <c r="G993" s="41">
        <v>15</v>
      </c>
      <c r="H993" t="b">
        <f>COUNTIFS(tblCostChecklist[RequirementID],tblCost[[#This Row],[RequirementID]],tblCostChecklist[PlayerPaid],TRUE)&gt;0</f>
        <v>0</v>
      </c>
      <c r="I993" s="41">
        <f>COUNTIF(tblCost[TargetID],tblCost[[#This Row],[TargetID]])</f>
        <v>9</v>
      </c>
      <c r="J993" s="41">
        <f>COUNTIFS(tblCost[TargetID],tblCost[[#This Row],[TargetID]],tblCost[PlayerPaid],TRUE)</f>
        <v>0</v>
      </c>
      <c r="K993" s="41">
        <f>tblCost[[#This Row],[TargetRequirements]]-tblCost[[#This Row],[CompletedRequirements]]</f>
        <v>9</v>
      </c>
      <c r="L993" s="41" t="b">
        <f>tblCost[[#This Row],[RemainingRequirements]]=0</f>
        <v>0</v>
      </c>
      <c r="M993" s="43">
        <f>IF(tblCost[[#This Row],[TargetRequirements]]=0,0,tblCost[[#This Row],[CompletedRequirements]]/tblCost[[#This Row],[TargetRequirements]])</f>
        <v>0</v>
      </c>
    </row>
    <row r="994" spans="1:13">
      <c r="A994" s="41" t="s">
        <v>4642</v>
      </c>
      <c r="B994" s="41" t="str">
        <f>_xlfn.TEXTAFTER(_xlfn.TEXTBEFORE(tblCost[[#This Row],[RequirementID]],".",-2),"cost.")</f>
        <v>tech.tailor.ariadnes_thread</v>
      </c>
      <c r="C994" s="41" t="str">
        <f>_xlfn.XLOOKUP(tblCost[[#This Row],[TargetID]],tblTargets[TargetID],tblTargets[DisplayName],"")</f>
        <v>Tailor - Ariadnes Thread</v>
      </c>
      <c r="D994" s="41" t="str">
        <f>_xlfn.XLOOKUP(tblCost[[#This Row],[TargetID]],tblTargets[TargetID],tblTargets[TargetType],"")</f>
        <v>TECH</v>
      </c>
      <c r="E994" s="41" t="s">
        <v>666</v>
      </c>
      <c r="F994" s="62" t="str">
        <f>RIGHT(tblCost[[#This Row],[RequirementID]],1)</f>
        <v>1</v>
      </c>
      <c r="G994" s="41">
        <v>300</v>
      </c>
      <c r="H994" t="b">
        <f>COUNTIFS(tblCostChecklist[RequirementID],tblCost[[#This Row],[RequirementID]],tblCostChecklist[PlayerPaid],TRUE)&gt;0</f>
        <v>0</v>
      </c>
      <c r="I994" s="41">
        <f>COUNTIF(tblCost[TargetID],tblCost[[#This Row],[TargetID]])</f>
        <v>6</v>
      </c>
      <c r="J994" s="41">
        <f>COUNTIFS(tblCost[TargetID],tblCost[[#This Row],[TargetID]],tblCost[PlayerPaid],TRUE)</f>
        <v>0</v>
      </c>
      <c r="K994" s="41">
        <f>tblCost[[#This Row],[TargetRequirements]]-tblCost[[#This Row],[CompletedRequirements]]</f>
        <v>6</v>
      </c>
      <c r="L994" s="41" t="b">
        <f>tblCost[[#This Row],[RemainingRequirements]]=0</f>
        <v>0</v>
      </c>
      <c r="M994" s="43">
        <f>IF(tblCost[[#This Row],[TargetRequirements]]=0,0,tblCost[[#This Row],[CompletedRequirements]]/tblCost[[#This Row],[TargetRequirements]])</f>
        <v>0</v>
      </c>
    </row>
    <row r="995" spans="1:13">
      <c r="A995" s="41" t="s">
        <v>4643</v>
      </c>
      <c r="B995" s="41" t="str">
        <f>_xlfn.TEXTAFTER(_xlfn.TEXTBEFORE(tblCost[[#This Row],[RequirementID]],".",-2),"cost.")</f>
        <v>tech.tailor.ariadnes_thread</v>
      </c>
      <c r="C995" s="41" t="str">
        <f>_xlfn.XLOOKUP(tblCost[[#This Row],[TargetID]],tblTargets[TargetID],tblTargets[DisplayName],"")</f>
        <v>Tailor - Ariadnes Thread</v>
      </c>
      <c r="D995" s="41" t="str">
        <f>_xlfn.XLOOKUP(tblCost[[#This Row],[TargetID]],tblTargets[TargetID],tblTargets[TargetType],"")</f>
        <v>TECH</v>
      </c>
      <c r="E995" s="41" t="s">
        <v>931</v>
      </c>
      <c r="F995" s="62" t="str">
        <f>RIGHT(tblCost[[#This Row],[RequirementID]],1)</f>
        <v>1</v>
      </c>
      <c r="G995" s="41">
        <v>20</v>
      </c>
      <c r="H995" t="b">
        <f>COUNTIFS(tblCostChecklist[RequirementID],tblCost[[#This Row],[RequirementID]],tblCostChecklist[PlayerPaid],TRUE)&gt;0</f>
        <v>0</v>
      </c>
      <c r="I995" s="41">
        <f>COUNTIF(tblCost[TargetID],tblCost[[#This Row],[TargetID]])</f>
        <v>6</v>
      </c>
      <c r="J995" s="41">
        <f>COUNTIFS(tblCost[TargetID],tblCost[[#This Row],[TargetID]],tblCost[PlayerPaid],TRUE)</f>
        <v>0</v>
      </c>
      <c r="K995" s="41">
        <f>tblCost[[#This Row],[TargetRequirements]]-tblCost[[#This Row],[CompletedRequirements]]</f>
        <v>6</v>
      </c>
      <c r="L995" s="41" t="b">
        <f>tblCost[[#This Row],[RemainingRequirements]]=0</f>
        <v>0</v>
      </c>
      <c r="M995" s="43">
        <f>IF(tblCost[[#This Row],[TargetRequirements]]=0,0,tblCost[[#This Row],[CompletedRequirements]]/tblCost[[#This Row],[TargetRequirements]])</f>
        <v>0</v>
      </c>
    </row>
    <row r="996" spans="1:13">
      <c r="A996" s="41" t="s">
        <v>4644</v>
      </c>
      <c r="B996" s="41" t="str">
        <f>_xlfn.TEXTAFTER(_xlfn.TEXTBEFORE(tblCost[[#This Row],[RequirementID]],".",-2),"cost.")</f>
        <v>tech.tailor.ariadnes_thread</v>
      </c>
      <c r="C996" s="41" t="str">
        <f>_xlfn.XLOOKUP(tblCost[[#This Row],[TargetID]],tblTargets[TargetID],tblTargets[DisplayName],"")</f>
        <v>Tailor - Ariadnes Thread</v>
      </c>
      <c r="D996" s="41" t="str">
        <f>_xlfn.XLOOKUP(tblCost[[#This Row],[TargetID]],tblTargets[TargetID],tblTargets[TargetType],"")</f>
        <v>TECH</v>
      </c>
      <c r="E996" s="41" t="s">
        <v>696</v>
      </c>
      <c r="F996" s="62" t="str">
        <f>RIGHT(tblCost[[#This Row],[RequirementID]],1)</f>
        <v>1</v>
      </c>
      <c r="G996" s="41">
        <v>10</v>
      </c>
      <c r="H996" t="b">
        <f>COUNTIFS(tblCostChecklist[RequirementID],tblCost[[#This Row],[RequirementID]],tblCostChecklist[PlayerPaid],TRUE)&gt;0</f>
        <v>0</v>
      </c>
      <c r="I996" s="41">
        <f>COUNTIF(tblCost[TargetID],tblCost[[#This Row],[TargetID]])</f>
        <v>6</v>
      </c>
      <c r="J996" s="41">
        <f>COUNTIFS(tblCost[TargetID],tblCost[[#This Row],[TargetID]],tblCost[PlayerPaid],TRUE)</f>
        <v>0</v>
      </c>
      <c r="K996" s="41">
        <f>tblCost[[#This Row],[TargetRequirements]]-tblCost[[#This Row],[CompletedRequirements]]</f>
        <v>6</v>
      </c>
      <c r="L996" s="41" t="b">
        <f>tblCost[[#This Row],[RemainingRequirements]]=0</f>
        <v>0</v>
      </c>
      <c r="M996" s="43">
        <f>IF(tblCost[[#This Row],[TargetRequirements]]=0,0,tblCost[[#This Row],[CompletedRequirements]]/tblCost[[#This Row],[TargetRequirements]])</f>
        <v>0</v>
      </c>
    </row>
    <row r="997" spans="1:13">
      <c r="A997" s="41" t="s">
        <v>4645</v>
      </c>
      <c r="B997" s="41" t="str">
        <f>_xlfn.TEXTAFTER(_xlfn.TEXTBEFORE(tblCost[[#This Row],[RequirementID]],".",-2),"cost.")</f>
        <v>tech.tailor.ariadnes_thread</v>
      </c>
      <c r="C997" s="41" t="str">
        <f>_xlfn.XLOOKUP(tblCost[[#This Row],[TargetID]],tblTargets[TargetID],tblTargets[DisplayName],"")</f>
        <v>Tailor - Ariadnes Thread</v>
      </c>
      <c r="D997" s="41" t="str">
        <f>_xlfn.XLOOKUP(tblCost[[#This Row],[TargetID]],tblTargets[TargetID],tblTargets[TargetType],"")</f>
        <v>TECH</v>
      </c>
      <c r="E997" s="41" t="s">
        <v>947</v>
      </c>
      <c r="F997" s="62" t="str">
        <f>RIGHT(tblCost[[#This Row],[RequirementID]],1)</f>
        <v>1</v>
      </c>
      <c r="G997" s="41">
        <v>1</v>
      </c>
      <c r="H997" t="b">
        <f>COUNTIFS(tblCostChecklist[RequirementID],tblCost[[#This Row],[RequirementID]],tblCostChecklist[PlayerPaid],TRUE)&gt;0</f>
        <v>0</v>
      </c>
      <c r="I997" s="41">
        <f>COUNTIF(tblCost[TargetID],tblCost[[#This Row],[TargetID]])</f>
        <v>6</v>
      </c>
      <c r="J997" s="41">
        <f>COUNTIFS(tblCost[TargetID],tblCost[[#This Row],[TargetID]],tblCost[PlayerPaid],TRUE)</f>
        <v>0</v>
      </c>
      <c r="K997" s="41">
        <f>tblCost[[#This Row],[TargetRequirements]]-tblCost[[#This Row],[CompletedRequirements]]</f>
        <v>6</v>
      </c>
      <c r="L997" s="41" t="b">
        <f>tblCost[[#This Row],[RemainingRequirements]]=0</f>
        <v>0</v>
      </c>
      <c r="M997" s="43">
        <f>IF(tblCost[[#This Row],[TargetRequirements]]=0,0,tblCost[[#This Row],[CompletedRequirements]]/tblCost[[#This Row],[TargetRequirements]])</f>
        <v>0</v>
      </c>
    </row>
    <row r="998" spans="1:13">
      <c r="A998" s="41" t="s">
        <v>4646</v>
      </c>
      <c r="B998" s="41" t="str">
        <f>_xlfn.TEXTAFTER(_xlfn.TEXTBEFORE(tblCost[[#This Row],[RequirementID]],".",-2),"cost.")</f>
        <v>tech.tailor.ariadnes_thread</v>
      </c>
      <c r="C998" s="41" t="str">
        <f>_xlfn.XLOOKUP(tblCost[[#This Row],[TargetID]],tblTargets[TargetID],tblTargets[DisplayName],"")</f>
        <v>Tailor - Ariadnes Thread</v>
      </c>
      <c r="D998" s="41" t="str">
        <f>_xlfn.XLOOKUP(tblCost[[#This Row],[TargetID]],tblTargets[TargetID],tblTargets[TargetType],"")</f>
        <v>TECH</v>
      </c>
      <c r="E998" s="41" t="s">
        <v>708</v>
      </c>
      <c r="F998" s="62" t="str">
        <f>RIGHT(tblCost[[#This Row],[RequirementID]],1)</f>
        <v>1</v>
      </c>
      <c r="G998" s="41">
        <v>2</v>
      </c>
      <c r="H998" t="b">
        <f>COUNTIFS(tblCostChecklist[RequirementID],tblCost[[#This Row],[RequirementID]],tblCostChecklist[PlayerPaid],TRUE)&gt;0</f>
        <v>0</v>
      </c>
      <c r="I998" s="41">
        <f>COUNTIF(tblCost[TargetID],tblCost[[#This Row],[TargetID]])</f>
        <v>6</v>
      </c>
      <c r="J998" s="41">
        <f>COUNTIFS(tblCost[TargetID],tblCost[[#This Row],[TargetID]],tblCost[PlayerPaid],TRUE)</f>
        <v>0</v>
      </c>
      <c r="K998" s="41">
        <f>tblCost[[#This Row],[TargetRequirements]]-tblCost[[#This Row],[CompletedRequirements]]</f>
        <v>6</v>
      </c>
      <c r="L998" s="41" t="b">
        <f>tblCost[[#This Row],[RemainingRequirements]]=0</f>
        <v>0</v>
      </c>
      <c r="M998" s="43">
        <f>IF(tblCost[[#This Row],[TargetRequirements]]=0,0,tblCost[[#This Row],[CompletedRequirements]]/tblCost[[#This Row],[TargetRequirements]])</f>
        <v>0</v>
      </c>
    </row>
    <row r="999" spans="1:13">
      <c r="A999" s="41" t="s">
        <v>4647</v>
      </c>
      <c r="B999" s="41" t="str">
        <f>_xlfn.TEXTAFTER(_xlfn.TEXTBEFORE(tblCost[[#This Row],[RequirementID]],".",-2),"cost.")</f>
        <v>tech.tailor.ariadnes_thread</v>
      </c>
      <c r="C999" s="41" t="str">
        <f>_xlfn.XLOOKUP(tblCost[[#This Row],[TargetID]],tblTargets[TargetID],tblTargets[DisplayName],"")</f>
        <v>Tailor - Ariadnes Thread</v>
      </c>
      <c r="D999" s="41" t="str">
        <f>_xlfn.XLOOKUP(tblCost[[#This Row],[TargetID]],tblTargets[TargetID],tblTargets[TargetType],"")</f>
        <v>TECH</v>
      </c>
      <c r="E999" s="41" t="s">
        <v>719</v>
      </c>
      <c r="F999" s="62" t="str">
        <f>RIGHT(tblCost[[#This Row],[RequirementID]],1)</f>
        <v>1</v>
      </c>
      <c r="G999" s="41">
        <v>10</v>
      </c>
      <c r="H999" t="b">
        <f>COUNTIFS(tblCostChecklist[RequirementID],tblCost[[#This Row],[RequirementID]],tblCostChecklist[PlayerPaid],TRUE)&gt;0</f>
        <v>0</v>
      </c>
      <c r="I999" s="41">
        <f>COUNTIF(tblCost[TargetID],tblCost[[#This Row],[TargetID]])</f>
        <v>6</v>
      </c>
      <c r="J999" s="41">
        <f>COUNTIFS(tblCost[TargetID],tblCost[[#This Row],[TargetID]],tblCost[PlayerPaid],TRUE)</f>
        <v>0</v>
      </c>
      <c r="K999" s="41">
        <f>tblCost[[#This Row],[TargetRequirements]]-tblCost[[#This Row],[CompletedRequirements]]</f>
        <v>6</v>
      </c>
      <c r="L999" s="41" t="b">
        <f>tblCost[[#This Row],[RemainingRequirements]]=0</f>
        <v>0</v>
      </c>
      <c r="M999" s="43">
        <f>IF(tblCost[[#This Row],[TargetRequirements]]=0,0,tblCost[[#This Row],[CompletedRequirements]]/tblCost[[#This Row],[TargetRequirements]])</f>
        <v>0</v>
      </c>
    </row>
    <row r="1000" spans="1:13">
      <c r="A1000" s="41" t="s">
        <v>4648</v>
      </c>
      <c r="B1000" s="41" t="str">
        <f>_xlfn.TEXTAFTER(_xlfn.TEXTBEFORE(tblCost[[#This Row],[RequirementID]],".",-2),"cost.")</f>
        <v>tech.tailor.bedroll</v>
      </c>
      <c r="C1000" s="41" t="str">
        <f>_xlfn.XLOOKUP(tblCost[[#This Row],[TargetID]],tblTargets[TargetID],tblTargets[DisplayName],"")</f>
        <v>Tailor - Bedroll</v>
      </c>
      <c r="D1000" s="41" t="str">
        <f>_xlfn.XLOOKUP(tblCost[[#This Row],[TargetID]],tblTargets[TargetID],tblTargets[TargetType],"")</f>
        <v>TECH</v>
      </c>
      <c r="E1000" s="41" t="s">
        <v>662</v>
      </c>
      <c r="F1000" s="62" t="str">
        <f>RIGHT(tblCost[[#This Row],[RequirementID]],1)</f>
        <v>1</v>
      </c>
      <c r="G1000" s="41">
        <v>10</v>
      </c>
      <c r="H1000" t="b">
        <f>COUNTIFS(tblCostChecklist[RequirementID],tblCost[[#This Row],[RequirementID]],tblCostChecklist[PlayerPaid],TRUE)&gt;0</f>
        <v>0</v>
      </c>
      <c r="I1000" s="41">
        <f>COUNTIF(tblCost[TargetID],tblCost[[#This Row],[TargetID]])</f>
        <v>6</v>
      </c>
      <c r="J1000" s="41">
        <f>COUNTIFS(tblCost[TargetID],tblCost[[#This Row],[TargetID]],tblCost[PlayerPaid],TRUE)</f>
        <v>0</v>
      </c>
      <c r="K1000" s="41">
        <f>tblCost[[#This Row],[TargetRequirements]]-tblCost[[#This Row],[CompletedRequirements]]</f>
        <v>6</v>
      </c>
      <c r="L1000" s="41" t="b">
        <f>tblCost[[#This Row],[RemainingRequirements]]=0</f>
        <v>0</v>
      </c>
      <c r="M1000" s="43">
        <f>IF(tblCost[[#This Row],[TargetRequirements]]=0,0,tblCost[[#This Row],[CompletedRequirements]]/tblCost[[#This Row],[TargetRequirements]])</f>
        <v>0</v>
      </c>
    </row>
    <row r="1001" spans="1:13">
      <c r="A1001" s="41" t="s">
        <v>4649</v>
      </c>
      <c r="B1001" s="41" t="str">
        <f>_xlfn.TEXTAFTER(_xlfn.TEXTBEFORE(tblCost[[#This Row],[RequirementID]],".",-2),"cost.")</f>
        <v>tech.tailor.bedroll</v>
      </c>
      <c r="C1001" s="41" t="str">
        <f>_xlfn.XLOOKUP(tblCost[[#This Row],[TargetID]],tblTargets[TargetID],tblTargets[DisplayName],"")</f>
        <v>Tailor - Bedroll</v>
      </c>
      <c r="D1001" s="41" t="str">
        <f>_xlfn.XLOOKUP(tblCost[[#This Row],[TargetID]],tblTargets[TargetID],tblTargets[TargetType],"")</f>
        <v>TECH</v>
      </c>
      <c r="E1001" s="41" t="s">
        <v>666</v>
      </c>
      <c r="F1001" s="62" t="str">
        <f>RIGHT(tblCost[[#This Row],[RequirementID]],1)</f>
        <v>1</v>
      </c>
      <c r="G1001" s="41">
        <v>300</v>
      </c>
      <c r="H1001" t="b">
        <f>COUNTIFS(tblCostChecklist[RequirementID],tblCost[[#This Row],[RequirementID]],tblCostChecklist[PlayerPaid],TRUE)&gt;0</f>
        <v>0</v>
      </c>
      <c r="I1001" s="41">
        <f>COUNTIF(tblCost[TargetID],tblCost[[#This Row],[TargetID]])</f>
        <v>6</v>
      </c>
      <c r="J1001" s="41">
        <f>COUNTIFS(tblCost[TargetID],tblCost[[#This Row],[TargetID]],tblCost[PlayerPaid],TRUE)</f>
        <v>0</v>
      </c>
      <c r="K1001" s="41">
        <f>tblCost[[#This Row],[TargetRequirements]]-tblCost[[#This Row],[CompletedRequirements]]</f>
        <v>6</v>
      </c>
      <c r="L1001" s="41" t="b">
        <f>tblCost[[#This Row],[RemainingRequirements]]=0</f>
        <v>0</v>
      </c>
      <c r="M1001" s="43">
        <f>IF(tblCost[[#This Row],[TargetRequirements]]=0,0,tblCost[[#This Row],[CompletedRequirements]]/tblCost[[#This Row],[TargetRequirements]])</f>
        <v>0</v>
      </c>
    </row>
    <row r="1002" spans="1:13">
      <c r="A1002" s="41" t="s">
        <v>4650</v>
      </c>
      <c r="B1002" s="41" t="str">
        <f>_xlfn.TEXTAFTER(_xlfn.TEXTBEFORE(tblCost[[#This Row],[RequirementID]],".",-2),"cost.")</f>
        <v>tech.tailor.bedroll</v>
      </c>
      <c r="C1002" s="41" t="str">
        <f>_xlfn.XLOOKUP(tblCost[[#This Row],[TargetID]],tblTargets[TargetID],tblTargets[DisplayName],"")</f>
        <v>Tailor - Bedroll</v>
      </c>
      <c r="D1002" s="41" t="str">
        <f>_xlfn.XLOOKUP(tblCost[[#This Row],[TargetID]],tblTargets[TargetID],tblTargets[TargetType],"")</f>
        <v>TECH</v>
      </c>
      <c r="E1002" s="41" t="s">
        <v>705</v>
      </c>
      <c r="F1002" s="62" t="str">
        <f>RIGHT(tblCost[[#This Row],[RequirementID]],1)</f>
        <v>1</v>
      </c>
      <c r="G1002" s="41">
        <v>5</v>
      </c>
      <c r="H1002" t="b">
        <f>COUNTIFS(tblCostChecklist[RequirementID],tblCost[[#This Row],[RequirementID]],tblCostChecklist[PlayerPaid],TRUE)&gt;0</f>
        <v>0</v>
      </c>
      <c r="I1002" s="41">
        <f>COUNTIF(tblCost[TargetID],tblCost[[#This Row],[TargetID]])</f>
        <v>6</v>
      </c>
      <c r="J1002" s="41">
        <f>COUNTIFS(tblCost[TargetID],tblCost[[#This Row],[TargetID]],tblCost[PlayerPaid],TRUE)</f>
        <v>0</v>
      </c>
      <c r="K1002" s="41">
        <f>tblCost[[#This Row],[TargetRequirements]]-tblCost[[#This Row],[CompletedRequirements]]</f>
        <v>6</v>
      </c>
      <c r="L1002" s="41" t="b">
        <f>tblCost[[#This Row],[RemainingRequirements]]=0</f>
        <v>0</v>
      </c>
      <c r="M1002" s="43">
        <f>IF(tblCost[[#This Row],[TargetRequirements]]=0,0,tblCost[[#This Row],[CompletedRequirements]]/tblCost[[#This Row],[TargetRequirements]])</f>
        <v>0</v>
      </c>
    </row>
    <row r="1003" spans="1:13">
      <c r="A1003" s="41" t="s">
        <v>4651</v>
      </c>
      <c r="B1003" s="41" t="str">
        <f>_xlfn.TEXTAFTER(_xlfn.TEXTBEFORE(tblCost[[#This Row],[RequirementID]],".",-2),"cost.")</f>
        <v>tech.tailor.bedroll</v>
      </c>
      <c r="C1003" s="41" t="str">
        <f>_xlfn.XLOOKUP(tblCost[[#This Row],[TargetID]],tblTargets[TargetID],tblTargets[DisplayName],"")</f>
        <v>Tailor - Bedroll</v>
      </c>
      <c r="D1003" s="41" t="str">
        <f>_xlfn.XLOOKUP(tblCost[[#This Row],[TargetID]],tblTargets[TargetID],tblTargets[TargetType],"")</f>
        <v>TECH</v>
      </c>
      <c r="E1003" s="41" t="s">
        <v>708</v>
      </c>
      <c r="F1003" s="62" t="str">
        <f>RIGHT(tblCost[[#This Row],[RequirementID]],1)</f>
        <v>1</v>
      </c>
      <c r="G1003" s="41">
        <v>2</v>
      </c>
      <c r="H1003" t="b">
        <f>COUNTIFS(tblCostChecklist[RequirementID],tblCost[[#This Row],[RequirementID]],tblCostChecklist[PlayerPaid],TRUE)&gt;0</f>
        <v>0</v>
      </c>
      <c r="I1003" s="41">
        <f>COUNTIF(tblCost[TargetID],tblCost[[#This Row],[TargetID]])</f>
        <v>6</v>
      </c>
      <c r="J1003" s="41">
        <f>COUNTIFS(tblCost[TargetID],tblCost[[#This Row],[TargetID]],tblCost[PlayerPaid],TRUE)</f>
        <v>0</v>
      </c>
      <c r="K1003" s="41">
        <f>tblCost[[#This Row],[TargetRequirements]]-tblCost[[#This Row],[CompletedRequirements]]</f>
        <v>6</v>
      </c>
      <c r="L1003" s="41" t="b">
        <f>tblCost[[#This Row],[RemainingRequirements]]=0</f>
        <v>0</v>
      </c>
      <c r="M1003" s="43">
        <f>IF(tblCost[[#This Row],[TargetRequirements]]=0,0,tblCost[[#This Row],[CompletedRequirements]]/tblCost[[#This Row],[TargetRequirements]])</f>
        <v>0</v>
      </c>
    </row>
    <row r="1004" spans="1:13">
      <c r="A1004" s="41" t="s">
        <v>4652</v>
      </c>
      <c r="B1004" s="41" t="str">
        <f>_xlfn.TEXTAFTER(_xlfn.TEXTBEFORE(tblCost[[#This Row],[RequirementID]],".",-2),"cost.")</f>
        <v>tech.tailor.bedroll</v>
      </c>
      <c r="C1004" s="41" t="str">
        <f>_xlfn.XLOOKUP(tblCost[[#This Row],[TargetID]],tblTargets[TargetID],tblTargets[DisplayName],"")</f>
        <v>Tailor - Bedroll</v>
      </c>
      <c r="D1004" s="41" t="str">
        <f>_xlfn.XLOOKUP(tblCost[[#This Row],[TargetID]],tblTargets[TargetID],tblTargets[TargetType],"")</f>
        <v>TECH</v>
      </c>
      <c r="E1004" s="41" t="s">
        <v>711</v>
      </c>
      <c r="F1004" s="62" t="str">
        <f>RIGHT(tblCost[[#This Row],[RequirementID]],1)</f>
        <v>1</v>
      </c>
      <c r="G1004" s="41">
        <v>15</v>
      </c>
      <c r="H1004" t="b">
        <f>COUNTIFS(tblCostChecklist[RequirementID],tblCost[[#This Row],[RequirementID]],tblCostChecklist[PlayerPaid],TRUE)&gt;0</f>
        <v>0</v>
      </c>
      <c r="I1004" s="41">
        <f>COUNTIF(tblCost[TargetID],tblCost[[#This Row],[TargetID]])</f>
        <v>6</v>
      </c>
      <c r="J1004" s="41">
        <f>COUNTIFS(tblCost[TargetID],tblCost[[#This Row],[TargetID]],tblCost[PlayerPaid],TRUE)</f>
        <v>0</v>
      </c>
      <c r="K1004" s="41">
        <f>tblCost[[#This Row],[TargetRequirements]]-tblCost[[#This Row],[CompletedRequirements]]</f>
        <v>6</v>
      </c>
      <c r="L1004" s="41" t="b">
        <f>tblCost[[#This Row],[RemainingRequirements]]=0</f>
        <v>0</v>
      </c>
      <c r="M1004" s="43">
        <f>IF(tblCost[[#This Row],[TargetRequirements]]=0,0,tblCost[[#This Row],[CompletedRequirements]]/tblCost[[#This Row],[TargetRequirements]])</f>
        <v>0</v>
      </c>
    </row>
    <row r="1005" spans="1:13">
      <c r="A1005" s="41" t="s">
        <v>4653</v>
      </c>
      <c r="B1005" s="41" t="str">
        <f>_xlfn.TEXTAFTER(_xlfn.TEXTBEFORE(tblCost[[#This Row],[RequirementID]],".",-2),"cost.")</f>
        <v>tech.tailor.bedroll</v>
      </c>
      <c r="C1005" s="41" t="str">
        <f>_xlfn.XLOOKUP(tblCost[[#This Row],[TargetID]],tblTargets[TargetID],tblTargets[DisplayName],"")</f>
        <v>Tailor - Bedroll</v>
      </c>
      <c r="D1005" s="41" t="str">
        <f>_xlfn.XLOOKUP(tblCost[[#This Row],[TargetID]],tblTargets[TargetID],tblTargets[TargetType],"")</f>
        <v>TECH</v>
      </c>
      <c r="E1005" s="41" t="s">
        <v>719</v>
      </c>
      <c r="F1005" s="62" t="str">
        <f>RIGHT(tblCost[[#This Row],[RequirementID]],1)</f>
        <v>1</v>
      </c>
      <c r="G1005" s="41">
        <v>20</v>
      </c>
      <c r="H1005" t="b">
        <f>COUNTIFS(tblCostChecklist[RequirementID],tblCost[[#This Row],[RequirementID]],tblCostChecklist[PlayerPaid],TRUE)&gt;0</f>
        <v>0</v>
      </c>
      <c r="I1005" s="41">
        <f>COUNTIF(tblCost[TargetID],tblCost[[#This Row],[TargetID]])</f>
        <v>6</v>
      </c>
      <c r="J1005" s="41">
        <f>COUNTIFS(tblCost[TargetID],tblCost[[#This Row],[TargetID]],tblCost[PlayerPaid],TRUE)</f>
        <v>0</v>
      </c>
      <c r="K1005" s="41">
        <f>tblCost[[#This Row],[TargetRequirements]]-tblCost[[#This Row],[CompletedRequirements]]</f>
        <v>6</v>
      </c>
      <c r="L1005" s="41" t="b">
        <f>tblCost[[#This Row],[RemainingRequirements]]=0</f>
        <v>0</v>
      </c>
      <c r="M1005" s="43">
        <f>IF(tblCost[[#This Row],[TargetRequirements]]=0,0,tblCost[[#This Row],[CompletedRequirements]]/tblCost[[#This Row],[TargetRequirements]])</f>
        <v>0</v>
      </c>
    </row>
    <row r="1006" spans="1:13">
      <c r="A1006" s="41" t="s">
        <v>4654</v>
      </c>
      <c r="B1006" s="41" t="str">
        <f>_xlfn.TEXTAFTER(_xlfn.TEXTBEFORE(tblCost[[#This Row],[RequirementID]],".",-2),"cost.")</f>
        <v>tech.tailor.salamander_velour</v>
      </c>
      <c r="C1006" s="41" t="str">
        <f>_xlfn.XLOOKUP(tblCost[[#This Row],[TargetID]],tblTargets[TargetID],tblTargets[DisplayName],"")</f>
        <v>Tailor - Salamander Velour</v>
      </c>
      <c r="D1006" s="41" t="str">
        <f>_xlfn.XLOOKUP(tblCost[[#This Row],[TargetID]],tblTargets[TargetID],tblTargets[TargetType],"")</f>
        <v>TECH</v>
      </c>
      <c r="E1006" s="41" t="s">
        <v>666</v>
      </c>
      <c r="F1006" s="62" t="str">
        <f>RIGHT(tblCost[[#This Row],[RequirementID]],1)</f>
        <v>1</v>
      </c>
      <c r="G1006" s="41">
        <v>400</v>
      </c>
      <c r="H1006" t="b">
        <f>COUNTIFS(tblCostChecklist[RequirementID],tblCost[[#This Row],[RequirementID]],tblCostChecklist[PlayerPaid],TRUE)&gt;0</f>
        <v>0</v>
      </c>
      <c r="I1006" s="41">
        <f>COUNTIF(tblCost[TargetID],tblCost[[#This Row],[TargetID]])</f>
        <v>6</v>
      </c>
      <c r="J1006" s="41">
        <f>COUNTIFS(tblCost[TargetID],tblCost[[#This Row],[TargetID]],tblCost[PlayerPaid],TRUE)</f>
        <v>0</v>
      </c>
      <c r="K1006" s="41">
        <f>tblCost[[#This Row],[TargetRequirements]]-tblCost[[#This Row],[CompletedRequirements]]</f>
        <v>6</v>
      </c>
      <c r="L1006" s="41" t="b">
        <f>tblCost[[#This Row],[RemainingRequirements]]=0</f>
        <v>0</v>
      </c>
      <c r="M1006" s="43">
        <f>IF(tblCost[[#This Row],[TargetRequirements]]=0,0,tblCost[[#This Row],[CompletedRequirements]]/tblCost[[#This Row],[TargetRequirements]])</f>
        <v>0</v>
      </c>
    </row>
    <row r="1007" spans="1:13">
      <c r="A1007" s="41" t="s">
        <v>4655</v>
      </c>
      <c r="B1007" s="41" t="str">
        <f>_xlfn.TEXTAFTER(_xlfn.TEXTBEFORE(tblCost[[#This Row],[RequirementID]],".",-2),"cost.")</f>
        <v>tech.tailor.salamander_velour</v>
      </c>
      <c r="C1007" s="41" t="str">
        <f>_xlfn.XLOOKUP(tblCost[[#This Row],[TargetID]],tblTargets[TargetID],tblTargets[DisplayName],"")</f>
        <v>Tailor - Salamander Velour</v>
      </c>
      <c r="D1007" s="41" t="str">
        <f>_xlfn.XLOOKUP(tblCost[[#This Row],[TargetID]],tblTargets[TargetID],tblTargets[TargetType],"")</f>
        <v>TECH</v>
      </c>
      <c r="E1007" s="41" t="s">
        <v>935</v>
      </c>
      <c r="F1007" s="62" t="str">
        <f>RIGHT(tblCost[[#This Row],[RequirementID]],1)</f>
        <v>1</v>
      </c>
      <c r="G1007" s="41">
        <v>10</v>
      </c>
      <c r="H1007" t="b">
        <f>COUNTIFS(tblCostChecklist[RequirementID],tblCost[[#This Row],[RequirementID]],tblCostChecklist[PlayerPaid],TRUE)&gt;0</f>
        <v>0</v>
      </c>
      <c r="I1007" s="41">
        <f>COUNTIF(tblCost[TargetID],tblCost[[#This Row],[TargetID]])</f>
        <v>6</v>
      </c>
      <c r="J1007" s="41">
        <f>COUNTIFS(tblCost[TargetID],tblCost[[#This Row],[TargetID]],tblCost[PlayerPaid],TRUE)</f>
        <v>0</v>
      </c>
      <c r="K1007" s="41">
        <f>tblCost[[#This Row],[TargetRequirements]]-tblCost[[#This Row],[CompletedRequirements]]</f>
        <v>6</v>
      </c>
      <c r="L1007" s="41" t="b">
        <f>tblCost[[#This Row],[RemainingRequirements]]=0</f>
        <v>0</v>
      </c>
      <c r="M1007" s="43">
        <f>IF(tblCost[[#This Row],[TargetRequirements]]=0,0,tblCost[[#This Row],[CompletedRequirements]]/tblCost[[#This Row],[TargetRequirements]])</f>
        <v>0</v>
      </c>
    </row>
    <row r="1008" spans="1:13">
      <c r="A1008" s="41" t="s">
        <v>4656</v>
      </c>
      <c r="B1008" s="41" t="str">
        <f>_xlfn.TEXTAFTER(_xlfn.TEXTBEFORE(tblCost[[#This Row],[RequirementID]],".",-2),"cost.")</f>
        <v>tech.tailor.salamander_velour</v>
      </c>
      <c r="C1008" s="41" t="str">
        <f>_xlfn.XLOOKUP(tblCost[[#This Row],[TargetID]],tblTargets[TargetID],tblTargets[DisplayName],"")</f>
        <v>Tailor - Salamander Velour</v>
      </c>
      <c r="D1008" s="41" t="str">
        <f>_xlfn.XLOOKUP(tblCost[[#This Row],[TargetID]],tblTargets[TargetID],tblTargets[TargetType],"")</f>
        <v>TECH</v>
      </c>
      <c r="E1008" s="41" t="s">
        <v>677</v>
      </c>
      <c r="F1008" s="62" t="str">
        <f>RIGHT(tblCost[[#This Row],[RequirementID]],1)</f>
        <v>1</v>
      </c>
      <c r="G1008" s="41">
        <v>15</v>
      </c>
      <c r="H1008" t="b">
        <f>COUNTIFS(tblCostChecklist[RequirementID],tblCost[[#This Row],[RequirementID]],tblCostChecklist[PlayerPaid],TRUE)&gt;0</f>
        <v>0</v>
      </c>
      <c r="I1008" s="41">
        <f>COUNTIF(tblCost[TargetID],tblCost[[#This Row],[TargetID]])</f>
        <v>6</v>
      </c>
      <c r="J1008" s="41">
        <f>COUNTIFS(tblCost[TargetID],tblCost[[#This Row],[TargetID]],tblCost[PlayerPaid],TRUE)</f>
        <v>0</v>
      </c>
      <c r="K1008" s="41">
        <f>tblCost[[#This Row],[TargetRequirements]]-tblCost[[#This Row],[CompletedRequirements]]</f>
        <v>6</v>
      </c>
      <c r="L1008" s="41" t="b">
        <f>tblCost[[#This Row],[RemainingRequirements]]=0</f>
        <v>0</v>
      </c>
      <c r="M1008" s="43">
        <f>IF(tblCost[[#This Row],[TargetRequirements]]=0,0,tblCost[[#This Row],[CompletedRequirements]]/tblCost[[#This Row],[TargetRequirements]])</f>
        <v>0</v>
      </c>
    </row>
    <row r="1009" spans="1:13">
      <c r="A1009" s="41" t="s">
        <v>4657</v>
      </c>
      <c r="B1009" s="41" t="str">
        <f>_xlfn.TEXTAFTER(_xlfn.TEXTBEFORE(tblCost[[#This Row],[RequirementID]],".",-2),"cost.")</f>
        <v>tech.tailor.salamander_velour</v>
      </c>
      <c r="C1009" s="41" t="str">
        <f>_xlfn.XLOOKUP(tblCost[[#This Row],[TargetID]],tblTargets[TargetID],tblTargets[DisplayName],"")</f>
        <v>Tailor - Salamander Velour</v>
      </c>
      <c r="D1009" s="41" t="str">
        <f>_xlfn.XLOOKUP(tblCost[[#This Row],[TargetID]],tblTargets[TargetID],tblTargets[TargetType],"")</f>
        <v>TECH</v>
      </c>
      <c r="E1009" s="41" t="s">
        <v>937</v>
      </c>
      <c r="F1009" s="62" t="str">
        <f>RIGHT(tblCost[[#This Row],[RequirementID]],1)</f>
        <v>1</v>
      </c>
      <c r="G1009" s="41">
        <v>6</v>
      </c>
      <c r="H1009" t="b">
        <f>COUNTIFS(tblCostChecklist[RequirementID],tblCost[[#This Row],[RequirementID]],tblCostChecklist[PlayerPaid],TRUE)&gt;0</f>
        <v>0</v>
      </c>
      <c r="I1009" s="41">
        <f>COUNTIF(tblCost[TargetID],tblCost[[#This Row],[TargetID]])</f>
        <v>6</v>
      </c>
      <c r="J1009" s="41">
        <f>COUNTIFS(tblCost[TargetID],tblCost[[#This Row],[TargetID]],tblCost[PlayerPaid],TRUE)</f>
        <v>0</v>
      </c>
      <c r="K1009" s="41">
        <f>tblCost[[#This Row],[TargetRequirements]]-tblCost[[#This Row],[CompletedRequirements]]</f>
        <v>6</v>
      </c>
      <c r="L1009" s="41" t="b">
        <f>tblCost[[#This Row],[RemainingRequirements]]=0</f>
        <v>0</v>
      </c>
      <c r="M1009" s="43">
        <f>IF(tblCost[[#This Row],[TargetRequirements]]=0,0,tblCost[[#This Row],[CompletedRequirements]]/tblCost[[#This Row],[TargetRequirements]])</f>
        <v>0</v>
      </c>
    </row>
    <row r="1010" spans="1:13">
      <c r="A1010" s="41" t="s">
        <v>4658</v>
      </c>
      <c r="B1010" s="41" t="str">
        <f>_xlfn.TEXTAFTER(_xlfn.TEXTBEFORE(tblCost[[#This Row],[RequirementID]],".",-2),"cost.")</f>
        <v>tech.tailor.salamander_velour</v>
      </c>
      <c r="C1010" s="41" t="str">
        <f>_xlfn.XLOOKUP(tblCost[[#This Row],[TargetID]],tblTargets[TargetID],tblTargets[DisplayName],"")</f>
        <v>Tailor - Salamander Velour</v>
      </c>
      <c r="D1010" s="41" t="str">
        <f>_xlfn.XLOOKUP(tblCost[[#This Row],[TargetID]],tblTargets[TargetID],tblTargets[TargetType],"")</f>
        <v>TECH</v>
      </c>
      <c r="E1010" s="41" t="s">
        <v>687</v>
      </c>
      <c r="F1010" s="62" t="str">
        <f>RIGHT(tblCost[[#This Row],[RequirementID]],1)</f>
        <v>1</v>
      </c>
      <c r="G1010" s="41">
        <v>15</v>
      </c>
      <c r="H1010" t="b">
        <f>COUNTIFS(tblCostChecklist[RequirementID],tblCost[[#This Row],[RequirementID]],tblCostChecklist[PlayerPaid],TRUE)&gt;0</f>
        <v>0</v>
      </c>
      <c r="I1010" s="41">
        <f>COUNTIF(tblCost[TargetID],tblCost[[#This Row],[TargetID]])</f>
        <v>6</v>
      </c>
      <c r="J1010" s="41">
        <f>COUNTIFS(tblCost[TargetID],tblCost[[#This Row],[TargetID]],tblCost[PlayerPaid],TRUE)</f>
        <v>0</v>
      </c>
      <c r="K1010" s="41">
        <f>tblCost[[#This Row],[TargetRequirements]]-tblCost[[#This Row],[CompletedRequirements]]</f>
        <v>6</v>
      </c>
      <c r="L1010" s="41" t="b">
        <f>tblCost[[#This Row],[RemainingRequirements]]=0</f>
        <v>0</v>
      </c>
      <c r="M1010" s="43">
        <f>IF(tblCost[[#This Row],[TargetRequirements]]=0,0,tblCost[[#This Row],[CompletedRequirements]]/tblCost[[#This Row],[TargetRequirements]])</f>
        <v>0</v>
      </c>
    </row>
    <row r="1011" spans="1:13">
      <c r="A1011" s="41" t="s">
        <v>4659</v>
      </c>
      <c r="B1011" s="41" t="str">
        <f>_xlfn.TEXTAFTER(_xlfn.TEXTBEFORE(tblCost[[#This Row],[RequirementID]],".",-2),"cost.")</f>
        <v>tech.tailor.salamander_velour</v>
      </c>
      <c r="C1011" s="41" t="str">
        <f>_xlfn.XLOOKUP(tblCost[[#This Row],[TargetID]],tblTargets[TargetID],tblTargets[DisplayName],"")</f>
        <v>Tailor - Salamander Velour</v>
      </c>
      <c r="D1011" s="41" t="str">
        <f>_xlfn.XLOOKUP(tblCost[[#This Row],[TargetID]],tblTargets[TargetID],tblTargets[TargetType],"")</f>
        <v>TECH</v>
      </c>
      <c r="E1011" s="41" t="s">
        <v>708</v>
      </c>
      <c r="F1011" s="62" t="str">
        <f>RIGHT(tblCost[[#This Row],[RequirementID]],1)</f>
        <v>1</v>
      </c>
      <c r="G1011" s="41">
        <v>3</v>
      </c>
      <c r="H1011" t="b">
        <f>COUNTIFS(tblCostChecklist[RequirementID],tblCost[[#This Row],[RequirementID]],tblCostChecklist[PlayerPaid],TRUE)&gt;0</f>
        <v>0</v>
      </c>
      <c r="I1011" s="41">
        <f>COUNTIF(tblCost[TargetID],tblCost[[#This Row],[TargetID]])</f>
        <v>6</v>
      </c>
      <c r="J1011" s="41">
        <f>COUNTIFS(tblCost[TargetID],tblCost[[#This Row],[TargetID]],tblCost[PlayerPaid],TRUE)</f>
        <v>0</v>
      </c>
      <c r="K1011" s="41">
        <f>tblCost[[#This Row],[TargetRequirements]]-tblCost[[#This Row],[CompletedRequirements]]</f>
        <v>6</v>
      </c>
      <c r="L1011" s="41" t="b">
        <f>tblCost[[#This Row],[RemainingRequirements]]=0</f>
        <v>0</v>
      </c>
      <c r="M1011" s="43">
        <f>IF(tblCost[[#This Row],[TargetRequirements]]=0,0,tblCost[[#This Row],[CompletedRequirements]]/tblCost[[#This Row],[TargetRequirements]])</f>
        <v>0</v>
      </c>
    </row>
    <row r="1012" spans="1:13">
      <c r="A1012" s="41" t="s">
        <v>4660</v>
      </c>
      <c r="B1012" s="41" t="str">
        <f>_xlfn.TEXTAFTER(_xlfn.TEXTBEFORE(tblCost[[#This Row],[RequirementID]],".",-2),"cost.")</f>
        <v>tech.tailor.armor_for_a_hero_lvl_1</v>
      </c>
      <c r="C1012" s="41" t="str">
        <f>_xlfn.XLOOKUP(tblCost[[#This Row],[TargetID]],tblTargets[TargetID],tblTargets[DisplayName],"")</f>
        <v>Tailor - Armor For A Hero Lvl 1</v>
      </c>
      <c r="D1012" s="41" t="str">
        <f>_xlfn.XLOOKUP(tblCost[[#This Row],[TargetID]],tblTargets[TargetID],tblTargets[TargetType],"")</f>
        <v>TECH</v>
      </c>
      <c r="E1012" s="41" t="s">
        <v>666</v>
      </c>
      <c r="F1012" s="62" t="str">
        <f>RIGHT(tblCost[[#This Row],[RequirementID]],1)</f>
        <v>1</v>
      </c>
      <c r="G1012" s="41">
        <v>500</v>
      </c>
      <c r="H1012" t="b">
        <f>COUNTIFS(tblCostChecklist[RequirementID],tblCost[[#This Row],[RequirementID]],tblCostChecklist[PlayerPaid],TRUE)&gt;0</f>
        <v>0</v>
      </c>
      <c r="I1012" s="41">
        <f>COUNTIF(tblCost[TargetID],tblCost[[#This Row],[TargetID]])</f>
        <v>6</v>
      </c>
      <c r="J1012" s="41">
        <f>COUNTIFS(tblCost[TargetID],tblCost[[#This Row],[TargetID]],tblCost[PlayerPaid],TRUE)</f>
        <v>0</v>
      </c>
      <c r="K1012" s="41">
        <f>tblCost[[#This Row],[TargetRequirements]]-tblCost[[#This Row],[CompletedRequirements]]</f>
        <v>6</v>
      </c>
      <c r="L1012" s="41" t="b">
        <f>tblCost[[#This Row],[RemainingRequirements]]=0</f>
        <v>0</v>
      </c>
      <c r="M1012" s="43">
        <f>IF(tblCost[[#This Row],[TargetRequirements]]=0,0,tblCost[[#This Row],[CompletedRequirements]]/tblCost[[#This Row],[TargetRequirements]])</f>
        <v>0</v>
      </c>
    </row>
    <row r="1013" spans="1:13">
      <c r="A1013" s="41" t="s">
        <v>4661</v>
      </c>
      <c r="B1013" s="41" t="str">
        <f>_xlfn.TEXTAFTER(_xlfn.TEXTBEFORE(tblCost[[#This Row],[RequirementID]],".",-2),"cost.")</f>
        <v>tech.tailor.armor_for_a_hero_lvl_1</v>
      </c>
      <c r="C1013" s="41" t="str">
        <f>_xlfn.XLOOKUP(tblCost[[#This Row],[TargetID]],tblTargets[TargetID],tblTargets[DisplayName],"")</f>
        <v>Tailor - Armor For A Hero Lvl 1</v>
      </c>
      <c r="D1013" s="41" t="str">
        <f>_xlfn.XLOOKUP(tblCost[[#This Row],[TargetID]],tblTargets[TargetID],tblTargets[TargetType],"")</f>
        <v>TECH</v>
      </c>
      <c r="E1013" s="41" t="s">
        <v>690</v>
      </c>
      <c r="F1013" s="62" t="str">
        <f>RIGHT(tblCost[[#This Row],[RequirementID]],1)</f>
        <v>1</v>
      </c>
      <c r="G1013" s="41">
        <v>50</v>
      </c>
      <c r="H1013" t="b">
        <f>COUNTIFS(tblCostChecklist[RequirementID],tblCost[[#This Row],[RequirementID]],tblCostChecklist[PlayerPaid],TRUE)&gt;0</f>
        <v>0</v>
      </c>
      <c r="I1013" s="41">
        <f>COUNTIF(tblCost[TargetID],tblCost[[#This Row],[TargetID]])</f>
        <v>6</v>
      </c>
      <c r="J1013" s="41">
        <f>COUNTIFS(tblCost[TargetID],tblCost[[#This Row],[TargetID]],tblCost[PlayerPaid],TRUE)</f>
        <v>0</v>
      </c>
      <c r="K1013" s="41">
        <f>tblCost[[#This Row],[TargetRequirements]]-tblCost[[#This Row],[CompletedRequirements]]</f>
        <v>6</v>
      </c>
      <c r="L1013" s="41" t="b">
        <f>tblCost[[#This Row],[RemainingRequirements]]=0</f>
        <v>0</v>
      </c>
      <c r="M1013" s="43">
        <f>IF(tblCost[[#This Row],[TargetRequirements]]=0,0,tblCost[[#This Row],[CompletedRequirements]]/tblCost[[#This Row],[TargetRequirements]])</f>
        <v>0</v>
      </c>
    </row>
    <row r="1014" spans="1:13">
      <c r="A1014" s="41" t="s">
        <v>4662</v>
      </c>
      <c r="B1014" s="41" t="str">
        <f>_xlfn.TEXTAFTER(_xlfn.TEXTBEFORE(tblCost[[#This Row],[RequirementID]],".",-2),"cost.")</f>
        <v>tech.tailor.armor_for_a_hero_lvl_1</v>
      </c>
      <c r="C1014" s="41" t="str">
        <f>_xlfn.XLOOKUP(tblCost[[#This Row],[TargetID]],tblTargets[TargetID],tblTargets[DisplayName],"")</f>
        <v>Tailor - Armor For A Hero Lvl 1</v>
      </c>
      <c r="D1014" s="41" t="str">
        <f>_xlfn.XLOOKUP(tblCost[[#This Row],[TargetID]],tblTargets[TargetID],tblTargets[TargetType],"")</f>
        <v>TECH</v>
      </c>
      <c r="E1014" s="41" t="s">
        <v>696</v>
      </c>
      <c r="F1014" s="62" t="str">
        <f>RIGHT(tblCost[[#This Row],[RequirementID]],1)</f>
        <v>1</v>
      </c>
      <c r="G1014" s="41">
        <v>30</v>
      </c>
      <c r="H1014" t="b">
        <f>COUNTIFS(tblCostChecklist[RequirementID],tblCost[[#This Row],[RequirementID]],tblCostChecklist[PlayerPaid],TRUE)&gt;0</f>
        <v>0</v>
      </c>
      <c r="I1014" s="41">
        <f>COUNTIF(tblCost[TargetID],tblCost[[#This Row],[TargetID]])</f>
        <v>6</v>
      </c>
      <c r="J1014" s="41">
        <f>COUNTIFS(tblCost[TargetID],tblCost[[#This Row],[TargetID]],tblCost[PlayerPaid],TRUE)</f>
        <v>0</v>
      </c>
      <c r="K1014" s="41">
        <f>tblCost[[#This Row],[TargetRequirements]]-tblCost[[#This Row],[CompletedRequirements]]</f>
        <v>6</v>
      </c>
      <c r="L1014" s="41" t="b">
        <f>tblCost[[#This Row],[RemainingRequirements]]=0</f>
        <v>0</v>
      </c>
      <c r="M1014" s="43">
        <f>IF(tblCost[[#This Row],[TargetRequirements]]=0,0,tblCost[[#This Row],[CompletedRequirements]]/tblCost[[#This Row],[TargetRequirements]])</f>
        <v>0</v>
      </c>
    </row>
    <row r="1015" spans="1:13">
      <c r="A1015" s="41" t="s">
        <v>4663</v>
      </c>
      <c r="B1015" s="41" t="str">
        <f>_xlfn.TEXTAFTER(_xlfn.TEXTBEFORE(tblCost[[#This Row],[RequirementID]],".",-2),"cost.")</f>
        <v>tech.tailor.armor_for_a_hero_lvl_1</v>
      </c>
      <c r="C1015" s="41" t="str">
        <f>_xlfn.XLOOKUP(tblCost[[#This Row],[TargetID]],tblTargets[TargetID],tblTargets[DisplayName],"")</f>
        <v>Tailor - Armor For A Hero Lvl 1</v>
      </c>
      <c r="D1015" s="41" t="str">
        <f>_xlfn.XLOOKUP(tblCost[[#This Row],[TargetID]],tblTargets[TargetID],tblTargets[TargetType],"")</f>
        <v>TECH</v>
      </c>
      <c r="E1015" s="41" t="s">
        <v>708</v>
      </c>
      <c r="F1015" s="62" t="str">
        <f>RIGHT(tblCost[[#This Row],[RequirementID]],1)</f>
        <v>1</v>
      </c>
      <c r="G1015" s="41">
        <v>3</v>
      </c>
      <c r="H1015" t="b">
        <f>COUNTIFS(tblCostChecklist[RequirementID],tblCost[[#This Row],[RequirementID]],tblCostChecklist[PlayerPaid],TRUE)&gt;0</f>
        <v>0</v>
      </c>
      <c r="I1015" s="41">
        <f>COUNTIF(tblCost[TargetID],tblCost[[#This Row],[TargetID]])</f>
        <v>6</v>
      </c>
      <c r="J1015" s="41">
        <f>COUNTIFS(tblCost[TargetID],tblCost[[#This Row],[TargetID]],tblCost[PlayerPaid],TRUE)</f>
        <v>0</v>
      </c>
      <c r="K1015" s="41">
        <f>tblCost[[#This Row],[TargetRequirements]]-tblCost[[#This Row],[CompletedRequirements]]</f>
        <v>6</v>
      </c>
      <c r="L1015" s="41" t="b">
        <f>tblCost[[#This Row],[RemainingRequirements]]=0</f>
        <v>0</v>
      </c>
      <c r="M1015" s="43">
        <f>IF(tblCost[[#This Row],[TargetRequirements]]=0,0,tblCost[[#This Row],[CompletedRequirements]]/tblCost[[#This Row],[TargetRequirements]])</f>
        <v>0</v>
      </c>
    </row>
    <row r="1016" spans="1:13">
      <c r="A1016" s="41" t="s">
        <v>4664</v>
      </c>
      <c r="B1016" s="41" t="str">
        <f>_xlfn.TEXTAFTER(_xlfn.TEXTBEFORE(tblCost[[#This Row],[RequirementID]],".",-2),"cost.")</f>
        <v>tech.tailor.armor_for_a_hero_lvl_1</v>
      </c>
      <c r="C1016" s="41" t="str">
        <f>_xlfn.XLOOKUP(tblCost[[#This Row],[TargetID]],tblTargets[TargetID],tblTargets[DisplayName],"")</f>
        <v>Tailor - Armor For A Hero Lvl 1</v>
      </c>
      <c r="D1016" s="41" t="str">
        <f>_xlfn.XLOOKUP(tblCost[[#This Row],[TargetID]],tblTargets[TargetID],tblTargets[TargetType],"")</f>
        <v>TECH</v>
      </c>
      <c r="E1016" s="41" t="s">
        <v>711</v>
      </c>
      <c r="F1016" s="62" t="str">
        <f>RIGHT(tblCost[[#This Row],[RequirementID]],1)</f>
        <v>1</v>
      </c>
      <c r="G1016" s="41">
        <v>10</v>
      </c>
      <c r="H1016" t="b">
        <f>COUNTIFS(tblCostChecklist[RequirementID],tblCost[[#This Row],[RequirementID]],tblCostChecklist[PlayerPaid],TRUE)&gt;0</f>
        <v>0</v>
      </c>
      <c r="I1016" s="41">
        <f>COUNTIF(tblCost[TargetID],tblCost[[#This Row],[TargetID]])</f>
        <v>6</v>
      </c>
      <c r="J1016" s="41">
        <f>COUNTIFS(tblCost[TargetID],tblCost[[#This Row],[TargetID]],tblCost[PlayerPaid],TRUE)</f>
        <v>0</v>
      </c>
      <c r="K1016" s="41">
        <f>tblCost[[#This Row],[TargetRequirements]]-tblCost[[#This Row],[CompletedRequirements]]</f>
        <v>6</v>
      </c>
      <c r="L1016" s="41" t="b">
        <f>tblCost[[#This Row],[RemainingRequirements]]=0</f>
        <v>0</v>
      </c>
      <c r="M1016" s="43">
        <f>IF(tblCost[[#This Row],[TargetRequirements]]=0,0,tblCost[[#This Row],[CompletedRequirements]]/tblCost[[#This Row],[TargetRequirements]])</f>
        <v>0</v>
      </c>
    </row>
    <row r="1017" spans="1:13">
      <c r="A1017" s="41" t="s">
        <v>4665</v>
      </c>
      <c r="B1017" s="41" t="str">
        <f>_xlfn.TEXTAFTER(_xlfn.TEXTBEFORE(tblCost[[#This Row],[RequirementID]],".",-2),"cost.")</f>
        <v>tech.tailor.armor_for_a_hero_lvl_1</v>
      </c>
      <c r="C1017" s="41" t="str">
        <f>_xlfn.XLOOKUP(tblCost[[#This Row],[TargetID]],tblTargets[TargetID],tblTargets[DisplayName],"")</f>
        <v>Tailor - Armor For A Hero Lvl 1</v>
      </c>
      <c r="D1017" s="41" t="str">
        <f>_xlfn.XLOOKUP(tblCost[[#This Row],[TargetID]],tblTargets[TargetID],tblTargets[TargetType],"")</f>
        <v>TECH</v>
      </c>
      <c r="E1017" s="41" t="s">
        <v>719</v>
      </c>
      <c r="F1017" s="62" t="str">
        <f>RIGHT(tblCost[[#This Row],[RequirementID]],1)</f>
        <v>1</v>
      </c>
      <c r="G1017" s="41">
        <v>5</v>
      </c>
      <c r="H1017" t="b">
        <f>COUNTIFS(tblCostChecklist[RequirementID],tblCost[[#This Row],[RequirementID]],tblCostChecklist[PlayerPaid],TRUE)&gt;0</f>
        <v>0</v>
      </c>
      <c r="I1017" s="41">
        <f>COUNTIF(tblCost[TargetID],tblCost[[#This Row],[TargetID]])</f>
        <v>6</v>
      </c>
      <c r="J1017" s="41">
        <f>COUNTIFS(tblCost[TargetID],tblCost[[#This Row],[TargetID]],tblCost[PlayerPaid],TRUE)</f>
        <v>0</v>
      </c>
      <c r="K1017" s="41">
        <f>tblCost[[#This Row],[TargetRequirements]]-tblCost[[#This Row],[CompletedRequirements]]</f>
        <v>6</v>
      </c>
      <c r="L1017" s="41" t="b">
        <f>tblCost[[#This Row],[RemainingRequirements]]=0</f>
        <v>0</v>
      </c>
      <c r="M1017" s="43">
        <f>IF(tblCost[[#This Row],[TargetRequirements]]=0,0,tblCost[[#This Row],[CompletedRequirements]]/tblCost[[#This Row],[TargetRequirements]])</f>
        <v>0</v>
      </c>
    </row>
    <row r="1018" spans="1:13">
      <c r="A1018" s="41" t="s">
        <v>4666</v>
      </c>
      <c r="B1018" s="41" t="str">
        <f>_xlfn.TEXTAFTER(_xlfn.TEXTBEFORE(tblCost[[#This Row],[RequirementID]],".",-2),"cost.")</f>
        <v>tech.tailor.armor_for_a_hero_lvl_2</v>
      </c>
      <c r="C1018" s="41" t="str">
        <f>_xlfn.XLOOKUP(tblCost[[#This Row],[TargetID]],tblTargets[TargetID],tblTargets[DisplayName],"")</f>
        <v>Tailor - Armor For A Hero Lvl 2</v>
      </c>
      <c r="D1018" s="41" t="str">
        <f>_xlfn.XLOOKUP(tblCost[[#This Row],[TargetID]],tblTargets[TargetID],tblTargets[TargetType],"")</f>
        <v>TECH</v>
      </c>
      <c r="E1018" s="41" t="s">
        <v>662</v>
      </c>
      <c r="F1018" s="62" t="str">
        <f>RIGHT(tblCost[[#This Row],[RequirementID]],1)</f>
        <v>1</v>
      </c>
      <c r="G1018" s="41">
        <v>20</v>
      </c>
      <c r="H1018" t="b">
        <f>COUNTIFS(tblCostChecklist[RequirementID],tblCost[[#This Row],[RequirementID]],tblCostChecklist[PlayerPaid],TRUE)&gt;0</f>
        <v>0</v>
      </c>
      <c r="I1018" s="41">
        <f>COUNTIF(tblCost[TargetID],tblCost[[#This Row],[TargetID]])</f>
        <v>6</v>
      </c>
      <c r="J1018" s="41">
        <f>COUNTIFS(tblCost[TargetID],tblCost[[#This Row],[TargetID]],tblCost[PlayerPaid],TRUE)</f>
        <v>0</v>
      </c>
      <c r="K1018" s="41">
        <f>tblCost[[#This Row],[TargetRequirements]]-tblCost[[#This Row],[CompletedRequirements]]</f>
        <v>6</v>
      </c>
      <c r="L1018" s="41" t="b">
        <f>tblCost[[#This Row],[RemainingRequirements]]=0</f>
        <v>0</v>
      </c>
      <c r="M1018" s="43">
        <f>IF(tblCost[[#This Row],[TargetRequirements]]=0,0,tblCost[[#This Row],[CompletedRequirements]]/tblCost[[#This Row],[TargetRequirements]])</f>
        <v>0</v>
      </c>
    </row>
    <row r="1019" spans="1:13">
      <c r="A1019" s="41" t="s">
        <v>4667</v>
      </c>
      <c r="B1019" s="41" t="str">
        <f>_xlfn.TEXTAFTER(_xlfn.TEXTBEFORE(tblCost[[#This Row],[RequirementID]],".",-2),"cost.")</f>
        <v>tech.tailor.armor_for_a_hero_lvl_2</v>
      </c>
      <c r="C1019" s="41" t="str">
        <f>_xlfn.XLOOKUP(tblCost[[#This Row],[TargetID]],tblTargets[TargetID],tblTargets[DisplayName],"")</f>
        <v>Tailor - Armor For A Hero Lvl 2</v>
      </c>
      <c r="D1019" s="41" t="str">
        <f>_xlfn.XLOOKUP(tblCost[[#This Row],[TargetID]],tblTargets[TargetID],tblTargets[TargetType],"")</f>
        <v>TECH</v>
      </c>
      <c r="E1019" s="41" t="s">
        <v>666</v>
      </c>
      <c r="F1019" s="62" t="str">
        <f>RIGHT(tblCost[[#This Row],[RequirementID]],1)</f>
        <v>1</v>
      </c>
      <c r="G1019" s="41">
        <v>1000</v>
      </c>
      <c r="H1019" t="b">
        <f>COUNTIFS(tblCostChecklist[RequirementID],tblCost[[#This Row],[RequirementID]],tblCostChecklist[PlayerPaid],TRUE)&gt;0</f>
        <v>0</v>
      </c>
      <c r="I1019" s="41">
        <f>COUNTIF(tblCost[TargetID],tblCost[[#This Row],[TargetID]])</f>
        <v>6</v>
      </c>
      <c r="J1019" s="41">
        <f>COUNTIFS(tblCost[TargetID],tblCost[[#This Row],[TargetID]],tblCost[PlayerPaid],TRUE)</f>
        <v>0</v>
      </c>
      <c r="K1019" s="41">
        <f>tblCost[[#This Row],[TargetRequirements]]-tblCost[[#This Row],[CompletedRequirements]]</f>
        <v>6</v>
      </c>
      <c r="L1019" s="41" t="b">
        <f>tblCost[[#This Row],[RemainingRequirements]]=0</f>
        <v>0</v>
      </c>
      <c r="M1019" s="43">
        <f>IF(tblCost[[#This Row],[TargetRequirements]]=0,0,tblCost[[#This Row],[CompletedRequirements]]/tblCost[[#This Row],[TargetRequirements]])</f>
        <v>0</v>
      </c>
    </row>
    <row r="1020" spans="1:13">
      <c r="A1020" s="41" t="s">
        <v>4668</v>
      </c>
      <c r="B1020" s="41" t="str">
        <f>_xlfn.TEXTAFTER(_xlfn.TEXTBEFORE(tblCost[[#This Row],[RequirementID]],".",-2),"cost.")</f>
        <v>tech.tailor.armor_for_a_hero_lvl_2</v>
      </c>
      <c r="C1020" s="41" t="str">
        <f>_xlfn.XLOOKUP(tblCost[[#This Row],[TargetID]],tblTargets[TargetID],tblTargets[DisplayName],"")</f>
        <v>Tailor - Armor For A Hero Lvl 2</v>
      </c>
      <c r="D1020" s="41" t="str">
        <f>_xlfn.XLOOKUP(tblCost[[#This Row],[TargetID]],tblTargets[TargetID],tblTargets[TargetType],"")</f>
        <v>TECH</v>
      </c>
      <c r="E1020" s="41" t="s">
        <v>693</v>
      </c>
      <c r="F1020" s="62" t="str">
        <f>RIGHT(tblCost[[#This Row],[RequirementID]],1)</f>
        <v>1</v>
      </c>
      <c r="G1020" s="41">
        <v>50</v>
      </c>
      <c r="H1020" t="b">
        <f>COUNTIFS(tblCostChecklist[RequirementID],tblCost[[#This Row],[RequirementID]],tblCostChecklist[PlayerPaid],TRUE)&gt;0</f>
        <v>0</v>
      </c>
      <c r="I1020" s="41">
        <f>COUNTIF(tblCost[TargetID],tblCost[[#This Row],[TargetID]])</f>
        <v>6</v>
      </c>
      <c r="J1020" s="41">
        <f>COUNTIFS(tblCost[TargetID],tblCost[[#This Row],[TargetID]],tblCost[PlayerPaid],TRUE)</f>
        <v>0</v>
      </c>
      <c r="K1020" s="41">
        <f>tblCost[[#This Row],[TargetRequirements]]-tblCost[[#This Row],[CompletedRequirements]]</f>
        <v>6</v>
      </c>
      <c r="L1020" s="41" t="b">
        <f>tblCost[[#This Row],[RemainingRequirements]]=0</f>
        <v>0</v>
      </c>
      <c r="M1020" s="43">
        <f>IF(tblCost[[#This Row],[TargetRequirements]]=0,0,tblCost[[#This Row],[CompletedRequirements]]/tblCost[[#This Row],[TargetRequirements]])</f>
        <v>0</v>
      </c>
    </row>
    <row r="1021" spans="1:13">
      <c r="A1021" s="41" t="s">
        <v>4669</v>
      </c>
      <c r="B1021" s="41" t="str">
        <f>_xlfn.TEXTAFTER(_xlfn.TEXTBEFORE(tblCost[[#This Row],[RequirementID]],".",-2),"cost.")</f>
        <v>tech.tailor.armor_for_a_hero_lvl_2</v>
      </c>
      <c r="C1021" s="41" t="str">
        <f>_xlfn.XLOOKUP(tblCost[[#This Row],[TargetID]],tblTargets[TargetID],tblTargets[DisplayName],"")</f>
        <v>Tailor - Armor For A Hero Lvl 2</v>
      </c>
      <c r="D1021" s="41" t="str">
        <f>_xlfn.XLOOKUP(tblCost[[#This Row],[TargetID]],tblTargets[TargetID],tblTargets[TargetType],"")</f>
        <v>TECH</v>
      </c>
      <c r="E1021" s="41" t="s">
        <v>708</v>
      </c>
      <c r="F1021" s="62" t="str">
        <f>RIGHT(tblCost[[#This Row],[RequirementID]],1)</f>
        <v>1</v>
      </c>
      <c r="G1021" s="41">
        <v>5</v>
      </c>
      <c r="H1021" t="b">
        <f>COUNTIFS(tblCostChecklist[RequirementID],tblCost[[#This Row],[RequirementID]],tblCostChecklist[PlayerPaid],TRUE)&gt;0</f>
        <v>0</v>
      </c>
      <c r="I1021" s="41">
        <f>COUNTIF(tblCost[TargetID],tblCost[[#This Row],[TargetID]])</f>
        <v>6</v>
      </c>
      <c r="J1021" s="41">
        <f>COUNTIFS(tblCost[TargetID],tblCost[[#This Row],[TargetID]],tblCost[PlayerPaid],TRUE)</f>
        <v>0</v>
      </c>
      <c r="K1021" s="41">
        <f>tblCost[[#This Row],[TargetRequirements]]-tblCost[[#This Row],[CompletedRequirements]]</f>
        <v>6</v>
      </c>
      <c r="L1021" s="41" t="b">
        <f>tblCost[[#This Row],[RemainingRequirements]]=0</f>
        <v>0</v>
      </c>
      <c r="M1021" s="43">
        <f>IF(tblCost[[#This Row],[TargetRequirements]]=0,0,tblCost[[#This Row],[CompletedRequirements]]/tblCost[[#This Row],[TargetRequirements]])</f>
        <v>0</v>
      </c>
    </row>
    <row r="1022" spans="1:13">
      <c r="A1022" s="41" t="s">
        <v>4670</v>
      </c>
      <c r="B1022" s="41" t="str">
        <f>_xlfn.TEXTAFTER(_xlfn.TEXTBEFORE(tblCost[[#This Row],[RequirementID]],".",-2),"cost.")</f>
        <v>tech.tailor.armor_for_a_hero_lvl_2</v>
      </c>
      <c r="C1022" s="41" t="str">
        <f>_xlfn.XLOOKUP(tblCost[[#This Row],[TargetID]],tblTargets[TargetID],tblTargets[DisplayName],"")</f>
        <v>Tailor - Armor For A Hero Lvl 2</v>
      </c>
      <c r="D1022" s="41" t="str">
        <f>_xlfn.XLOOKUP(tblCost[[#This Row],[TargetID]],tblTargets[TargetID],tblTargets[TargetType],"")</f>
        <v>TECH</v>
      </c>
      <c r="E1022" s="41" t="s">
        <v>711</v>
      </c>
      <c r="F1022" s="62" t="str">
        <f>RIGHT(tblCost[[#This Row],[RequirementID]],1)</f>
        <v>1</v>
      </c>
      <c r="G1022" s="41">
        <v>20</v>
      </c>
      <c r="H1022" t="b">
        <f>COUNTIFS(tblCostChecklist[RequirementID],tblCost[[#This Row],[RequirementID]],tblCostChecklist[PlayerPaid],TRUE)&gt;0</f>
        <v>0</v>
      </c>
      <c r="I1022" s="41">
        <f>COUNTIF(tblCost[TargetID],tblCost[[#This Row],[TargetID]])</f>
        <v>6</v>
      </c>
      <c r="J1022" s="41">
        <f>COUNTIFS(tblCost[TargetID],tblCost[[#This Row],[TargetID]],tblCost[PlayerPaid],TRUE)</f>
        <v>0</v>
      </c>
      <c r="K1022" s="41">
        <f>tblCost[[#This Row],[TargetRequirements]]-tblCost[[#This Row],[CompletedRequirements]]</f>
        <v>6</v>
      </c>
      <c r="L1022" s="41" t="b">
        <f>tblCost[[#This Row],[RemainingRequirements]]=0</f>
        <v>0</v>
      </c>
      <c r="M1022" s="43">
        <f>IF(tblCost[[#This Row],[TargetRequirements]]=0,0,tblCost[[#This Row],[CompletedRequirements]]/tblCost[[#This Row],[TargetRequirements]])</f>
        <v>0</v>
      </c>
    </row>
    <row r="1023" spans="1:13">
      <c r="A1023" s="41" t="s">
        <v>4671</v>
      </c>
      <c r="B1023" s="41" t="str">
        <f>_xlfn.TEXTAFTER(_xlfn.TEXTBEFORE(tblCost[[#This Row],[RequirementID]],".",-2),"cost.")</f>
        <v>tech.tailor.armor_for_a_hero_lvl_2</v>
      </c>
      <c r="C1023" s="41" t="str">
        <f>_xlfn.XLOOKUP(tblCost[[#This Row],[TargetID]],tblTargets[TargetID],tblTargets[DisplayName],"")</f>
        <v>Tailor - Armor For A Hero Lvl 2</v>
      </c>
      <c r="D1023" s="41" t="str">
        <f>_xlfn.XLOOKUP(tblCost[[#This Row],[TargetID]],tblTargets[TargetID],tblTargets[TargetType],"")</f>
        <v>TECH</v>
      </c>
      <c r="E1023" s="41" t="s">
        <v>719</v>
      </c>
      <c r="F1023" s="62" t="str">
        <f>RIGHT(tblCost[[#This Row],[RequirementID]],1)</f>
        <v>1</v>
      </c>
      <c r="G1023" s="41">
        <v>10</v>
      </c>
      <c r="H1023" t="b">
        <f>COUNTIFS(tblCostChecklist[RequirementID],tblCost[[#This Row],[RequirementID]],tblCostChecklist[PlayerPaid],TRUE)&gt;0</f>
        <v>0</v>
      </c>
      <c r="I1023" s="41">
        <f>COUNTIF(tblCost[TargetID],tblCost[[#This Row],[TargetID]])</f>
        <v>6</v>
      </c>
      <c r="J1023" s="41">
        <f>COUNTIFS(tblCost[TargetID],tblCost[[#This Row],[TargetID]],tblCost[PlayerPaid],TRUE)</f>
        <v>0</v>
      </c>
      <c r="K1023" s="41">
        <f>tblCost[[#This Row],[TargetRequirements]]-tblCost[[#This Row],[CompletedRequirements]]</f>
        <v>6</v>
      </c>
      <c r="L1023" s="41" t="b">
        <f>tblCost[[#This Row],[RemainingRequirements]]=0</f>
        <v>0</v>
      </c>
      <c r="M1023" s="43">
        <f>IF(tblCost[[#This Row],[TargetRequirements]]=0,0,tblCost[[#This Row],[CompletedRequirements]]/tblCost[[#This Row],[TargetRequirements]])</f>
        <v>0</v>
      </c>
    </row>
    <row r="1024" spans="1:13">
      <c r="A1024" s="41" t="s">
        <v>4672</v>
      </c>
      <c r="B1024" s="41" t="str">
        <f>_xlfn.TEXTAFTER(_xlfn.TEXTBEFORE(tblCost[[#This Row],[RequirementID]],".",-2),"cost.")</f>
        <v>tech.tailor.armor_for_a_hero_lvl_3</v>
      </c>
      <c r="C1024" s="41" t="str">
        <f>_xlfn.XLOOKUP(tblCost[[#This Row],[TargetID]],tblTargets[TargetID],tblTargets[DisplayName],"")</f>
        <v>Tailor - Armor For A Hero Lvl 3</v>
      </c>
      <c r="D1024" s="41" t="str">
        <f>_xlfn.XLOOKUP(tblCost[[#This Row],[TargetID]],tblTargets[TargetID],tblTargets[TargetType],"")</f>
        <v>TECH</v>
      </c>
      <c r="E1024" s="41" t="s">
        <v>662</v>
      </c>
      <c r="F1024" s="62" t="str">
        <f>RIGHT(tblCost[[#This Row],[RequirementID]],1)</f>
        <v>1</v>
      </c>
      <c r="G1024" s="41">
        <v>30</v>
      </c>
      <c r="H1024" t="b">
        <f>COUNTIFS(tblCostChecklist[RequirementID],tblCost[[#This Row],[RequirementID]],tblCostChecklist[PlayerPaid],TRUE)&gt;0</f>
        <v>0</v>
      </c>
      <c r="I1024" s="41">
        <f>COUNTIF(tblCost[TargetID],tblCost[[#This Row],[TargetID]])</f>
        <v>6</v>
      </c>
      <c r="J1024" s="41">
        <f>COUNTIFS(tblCost[TargetID],tblCost[[#This Row],[TargetID]],tblCost[PlayerPaid],TRUE)</f>
        <v>0</v>
      </c>
      <c r="K1024" s="41">
        <f>tblCost[[#This Row],[TargetRequirements]]-tblCost[[#This Row],[CompletedRequirements]]</f>
        <v>6</v>
      </c>
      <c r="L1024" s="41" t="b">
        <f>tblCost[[#This Row],[RemainingRequirements]]=0</f>
        <v>0</v>
      </c>
      <c r="M1024" s="43">
        <f>IF(tblCost[[#This Row],[TargetRequirements]]=0,0,tblCost[[#This Row],[CompletedRequirements]]/tblCost[[#This Row],[TargetRequirements]])</f>
        <v>0</v>
      </c>
    </row>
    <row r="1025" spans="1:13">
      <c r="A1025" s="41" t="s">
        <v>4673</v>
      </c>
      <c r="B1025" s="41" t="str">
        <f>_xlfn.TEXTAFTER(_xlfn.TEXTBEFORE(tblCost[[#This Row],[RequirementID]],".",-2),"cost.")</f>
        <v>tech.tailor.armor_for_a_hero_lvl_3</v>
      </c>
      <c r="C1025" s="41" t="str">
        <f>_xlfn.XLOOKUP(tblCost[[#This Row],[TargetID]],tblTargets[TargetID],tblTargets[DisplayName],"")</f>
        <v>Tailor - Armor For A Hero Lvl 3</v>
      </c>
      <c r="D1025" s="41" t="str">
        <f>_xlfn.XLOOKUP(tblCost[[#This Row],[TargetID]],tblTargets[TargetID],tblTargets[TargetType],"")</f>
        <v>TECH</v>
      </c>
      <c r="E1025" s="41" t="s">
        <v>666</v>
      </c>
      <c r="F1025" s="62" t="str">
        <f>RIGHT(tblCost[[#This Row],[RequirementID]],1)</f>
        <v>1</v>
      </c>
      <c r="G1025" s="41">
        <v>1500</v>
      </c>
      <c r="H1025" t="b">
        <f>COUNTIFS(tblCostChecklist[RequirementID],tblCost[[#This Row],[RequirementID]],tblCostChecklist[PlayerPaid],TRUE)&gt;0</f>
        <v>0</v>
      </c>
      <c r="I1025" s="41">
        <f>COUNTIF(tblCost[TargetID],tblCost[[#This Row],[TargetID]])</f>
        <v>6</v>
      </c>
      <c r="J1025" s="41">
        <f>COUNTIFS(tblCost[TargetID],tblCost[[#This Row],[TargetID]],tblCost[PlayerPaid],TRUE)</f>
        <v>0</v>
      </c>
      <c r="K1025" s="41">
        <f>tblCost[[#This Row],[TargetRequirements]]-tblCost[[#This Row],[CompletedRequirements]]</f>
        <v>6</v>
      </c>
      <c r="L1025" s="41" t="b">
        <f>tblCost[[#This Row],[RemainingRequirements]]=0</f>
        <v>0</v>
      </c>
      <c r="M1025" s="43">
        <f>IF(tblCost[[#This Row],[TargetRequirements]]=0,0,tblCost[[#This Row],[CompletedRequirements]]/tblCost[[#This Row],[TargetRequirements]])</f>
        <v>0</v>
      </c>
    </row>
    <row r="1026" spans="1:13">
      <c r="A1026" s="41" t="s">
        <v>4674</v>
      </c>
      <c r="B1026" s="41" t="str">
        <f>_xlfn.TEXTAFTER(_xlfn.TEXTBEFORE(tblCost[[#This Row],[RequirementID]],".",-2),"cost.")</f>
        <v>tech.tailor.armor_for_a_hero_lvl_3</v>
      </c>
      <c r="C1026" s="41" t="str">
        <f>_xlfn.XLOOKUP(tblCost[[#This Row],[TargetID]],tblTargets[TargetID],tblTargets[DisplayName],"")</f>
        <v>Tailor - Armor For A Hero Lvl 3</v>
      </c>
      <c r="D1026" s="41" t="str">
        <f>_xlfn.XLOOKUP(tblCost[[#This Row],[TargetID]],tblTargets[TargetID],tblTargets[TargetType],"")</f>
        <v>TECH</v>
      </c>
      <c r="E1026" s="41" t="s">
        <v>693</v>
      </c>
      <c r="F1026" s="62" t="str">
        <f>RIGHT(tblCost[[#This Row],[RequirementID]],1)</f>
        <v>1</v>
      </c>
      <c r="G1026" s="41">
        <v>75</v>
      </c>
      <c r="H1026" t="b">
        <f>COUNTIFS(tblCostChecklist[RequirementID],tblCost[[#This Row],[RequirementID]],tblCostChecklist[PlayerPaid],TRUE)&gt;0</f>
        <v>0</v>
      </c>
      <c r="I1026" s="41">
        <f>COUNTIF(tblCost[TargetID],tblCost[[#This Row],[TargetID]])</f>
        <v>6</v>
      </c>
      <c r="J1026" s="41">
        <f>COUNTIFS(tblCost[TargetID],tblCost[[#This Row],[TargetID]],tblCost[PlayerPaid],TRUE)</f>
        <v>0</v>
      </c>
      <c r="K1026" s="41">
        <f>tblCost[[#This Row],[TargetRequirements]]-tblCost[[#This Row],[CompletedRequirements]]</f>
        <v>6</v>
      </c>
      <c r="L1026" s="41" t="b">
        <f>tblCost[[#This Row],[RemainingRequirements]]=0</f>
        <v>0</v>
      </c>
      <c r="M1026" s="43">
        <f>IF(tblCost[[#This Row],[TargetRequirements]]=0,0,tblCost[[#This Row],[CompletedRequirements]]/tblCost[[#This Row],[TargetRequirements]])</f>
        <v>0</v>
      </c>
    </row>
    <row r="1027" spans="1:13">
      <c r="A1027" s="41" t="s">
        <v>4675</v>
      </c>
      <c r="B1027" s="41" t="str">
        <f>_xlfn.TEXTAFTER(_xlfn.TEXTBEFORE(tblCost[[#This Row],[RequirementID]],".",-2),"cost.")</f>
        <v>tech.tailor.armor_for_a_hero_lvl_3</v>
      </c>
      <c r="C1027" s="41" t="str">
        <f>_xlfn.XLOOKUP(tblCost[[#This Row],[TargetID]],tblTargets[TargetID],tblTargets[DisplayName],"")</f>
        <v>Tailor - Armor For A Hero Lvl 3</v>
      </c>
      <c r="D1027" s="41" t="str">
        <f>_xlfn.XLOOKUP(tblCost[[#This Row],[TargetID]],tblTargets[TargetID],tblTargets[TargetType],"")</f>
        <v>TECH</v>
      </c>
      <c r="E1027" s="41" t="s">
        <v>708</v>
      </c>
      <c r="F1027" s="62" t="str">
        <f>RIGHT(tblCost[[#This Row],[RequirementID]],1)</f>
        <v>1</v>
      </c>
      <c r="G1027" s="41">
        <v>7</v>
      </c>
      <c r="H1027" t="b">
        <f>COUNTIFS(tblCostChecklist[RequirementID],tblCost[[#This Row],[RequirementID]],tblCostChecklist[PlayerPaid],TRUE)&gt;0</f>
        <v>0</v>
      </c>
      <c r="I1027" s="41">
        <f>COUNTIF(tblCost[TargetID],tblCost[[#This Row],[TargetID]])</f>
        <v>6</v>
      </c>
      <c r="J1027" s="41">
        <f>COUNTIFS(tblCost[TargetID],tblCost[[#This Row],[TargetID]],tblCost[PlayerPaid],TRUE)</f>
        <v>0</v>
      </c>
      <c r="K1027" s="41">
        <f>tblCost[[#This Row],[TargetRequirements]]-tblCost[[#This Row],[CompletedRequirements]]</f>
        <v>6</v>
      </c>
      <c r="L1027" s="41" t="b">
        <f>tblCost[[#This Row],[RemainingRequirements]]=0</f>
        <v>0</v>
      </c>
      <c r="M1027" s="43">
        <f>IF(tblCost[[#This Row],[TargetRequirements]]=0,0,tblCost[[#This Row],[CompletedRequirements]]/tblCost[[#This Row],[TargetRequirements]])</f>
        <v>0</v>
      </c>
    </row>
    <row r="1028" spans="1:13">
      <c r="A1028" s="41" t="s">
        <v>4676</v>
      </c>
      <c r="B1028" s="41" t="str">
        <f>_xlfn.TEXTAFTER(_xlfn.TEXTBEFORE(tblCost[[#This Row],[RequirementID]],".",-2),"cost.")</f>
        <v>tech.tailor.armor_for_a_hero_lvl_3</v>
      </c>
      <c r="C1028" s="41" t="str">
        <f>_xlfn.XLOOKUP(tblCost[[#This Row],[TargetID]],tblTargets[TargetID],tblTargets[DisplayName],"")</f>
        <v>Tailor - Armor For A Hero Lvl 3</v>
      </c>
      <c r="D1028" s="41" t="str">
        <f>_xlfn.XLOOKUP(tblCost[[#This Row],[TargetID]],tblTargets[TargetID],tblTargets[TargetType],"")</f>
        <v>TECH</v>
      </c>
      <c r="E1028" s="41" t="s">
        <v>711</v>
      </c>
      <c r="F1028" s="62" t="str">
        <f>RIGHT(tblCost[[#This Row],[RequirementID]],1)</f>
        <v>1</v>
      </c>
      <c r="G1028" s="41">
        <v>30</v>
      </c>
      <c r="H1028" t="b">
        <f>COUNTIFS(tblCostChecklist[RequirementID],tblCost[[#This Row],[RequirementID]],tblCostChecklist[PlayerPaid],TRUE)&gt;0</f>
        <v>0</v>
      </c>
      <c r="I1028" s="41">
        <f>COUNTIF(tblCost[TargetID],tblCost[[#This Row],[TargetID]])</f>
        <v>6</v>
      </c>
      <c r="J1028" s="41">
        <f>COUNTIFS(tblCost[TargetID],tblCost[[#This Row],[TargetID]],tblCost[PlayerPaid],TRUE)</f>
        <v>0</v>
      </c>
      <c r="K1028" s="41">
        <f>tblCost[[#This Row],[TargetRequirements]]-tblCost[[#This Row],[CompletedRequirements]]</f>
        <v>6</v>
      </c>
      <c r="L1028" s="41" t="b">
        <f>tblCost[[#This Row],[RemainingRequirements]]=0</f>
        <v>0</v>
      </c>
      <c r="M1028" s="43">
        <f>IF(tblCost[[#This Row],[TargetRequirements]]=0,0,tblCost[[#This Row],[CompletedRequirements]]/tblCost[[#This Row],[TargetRequirements]])</f>
        <v>0</v>
      </c>
    </row>
    <row r="1029" spans="1:13">
      <c r="A1029" s="41" t="s">
        <v>4677</v>
      </c>
      <c r="B1029" s="41" t="str">
        <f>_xlfn.TEXTAFTER(_xlfn.TEXTBEFORE(tblCost[[#This Row],[RequirementID]],".",-2),"cost.")</f>
        <v>tech.tailor.armor_for_a_hero_lvl_3</v>
      </c>
      <c r="C1029" s="41" t="str">
        <f>_xlfn.XLOOKUP(tblCost[[#This Row],[TargetID]],tblTargets[TargetID],tblTargets[DisplayName],"")</f>
        <v>Tailor - Armor For A Hero Lvl 3</v>
      </c>
      <c r="D1029" s="41" t="str">
        <f>_xlfn.XLOOKUP(tblCost[[#This Row],[TargetID]],tblTargets[TargetID],tblTargets[TargetType],"")</f>
        <v>TECH</v>
      </c>
      <c r="E1029" s="41" t="s">
        <v>719</v>
      </c>
      <c r="F1029" s="62" t="str">
        <f>RIGHT(tblCost[[#This Row],[RequirementID]],1)</f>
        <v>1</v>
      </c>
      <c r="G1029" s="41">
        <v>15</v>
      </c>
      <c r="H1029" t="b">
        <f>COUNTIFS(tblCostChecklist[RequirementID],tblCost[[#This Row],[RequirementID]],tblCostChecklist[PlayerPaid],TRUE)&gt;0</f>
        <v>0</v>
      </c>
      <c r="I1029" s="41">
        <f>COUNTIF(tblCost[TargetID],tblCost[[#This Row],[TargetID]])</f>
        <v>6</v>
      </c>
      <c r="J1029" s="41">
        <f>COUNTIFS(tblCost[TargetID],tblCost[[#This Row],[TargetID]],tblCost[PlayerPaid],TRUE)</f>
        <v>0</v>
      </c>
      <c r="K1029" s="41">
        <f>tblCost[[#This Row],[TargetRequirements]]-tblCost[[#This Row],[CompletedRequirements]]</f>
        <v>6</v>
      </c>
      <c r="L1029" s="41" t="b">
        <f>tblCost[[#This Row],[RemainingRequirements]]=0</f>
        <v>0</v>
      </c>
      <c r="M1029" s="43">
        <f>IF(tblCost[[#This Row],[TargetRequirements]]=0,0,tblCost[[#This Row],[CompletedRequirements]]/tblCost[[#This Row],[TargetRequirements]])</f>
        <v>0</v>
      </c>
    </row>
    <row r="1030" spans="1:13">
      <c r="A1030" s="41" t="s">
        <v>4678</v>
      </c>
      <c r="B1030" s="41" t="str">
        <f>_xlfn.TEXTAFTER(_xlfn.TEXTBEFORE(tblCost[[#This Row],[RequirementID]],".",-2),"cost.")</f>
        <v>tech.tailor.armor_for_a_hero_lvl_4</v>
      </c>
      <c r="C1030" s="41" t="str">
        <f>_xlfn.XLOOKUP(tblCost[[#This Row],[TargetID]],tblTargets[TargetID],tblTargets[DisplayName],"")</f>
        <v>Tailor - Armor For A Hero Lvl 4</v>
      </c>
      <c r="D1030" s="41" t="str">
        <f>_xlfn.XLOOKUP(tblCost[[#This Row],[TargetID]],tblTargets[TargetID],tblTargets[TargetType],"")</f>
        <v>TECH</v>
      </c>
      <c r="E1030" s="41" t="s">
        <v>662</v>
      </c>
      <c r="F1030" s="62" t="str">
        <f>RIGHT(tblCost[[#This Row],[RequirementID]],1)</f>
        <v>1</v>
      </c>
      <c r="G1030" s="41">
        <v>30</v>
      </c>
      <c r="H1030" t="b">
        <f>COUNTIFS(tblCostChecklist[RequirementID],tblCost[[#This Row],[RequirementID]],tblCostChecklist[PlayerPaid],TRUE)&gt;0</f>
        <v>0</v>
      </c>
      <c r="I1030" s="41">
        <f>COUNTIF(tblCost[TargetID],tblCost[[#This Row],[TargetID]])</f>
        <v>7</v>
      </c>
      <c r="J1030" s="41">
        <f>COUNTIFS(tblCost[TargetID],tblCost[[#This Row],[TargetID]],tblCost[PlayerPaid],TRUE)</f>
        <v>0</v>
      </c>
      <c r="K1030" s="41">
        <f>tblCost[[#This Row],[TargetRequirements]]-tblCost[[#This Row],[CompletedRequirements]]</f>
        <v>7</v>
      </c>
      <c r="L1030" s="41" t="b">
        <f>tblCost[[#This Row],[RemainingRequirements]]=0</f>
        <v>0</v>
      </c>
      <c r="M1030" s="43">
        <f>IF(tblCost[[#This Row],[TargetRequirements]]=0,0,tblCost[[#This Row],[CompletedRequirements]]/tblCost[[#This Row],[TargetRequirements]])</f>
        <v>0</v>
      </c>
    </row>
    <row r="1031" spans="1:13">
      <c r="A1031" s="41" t="s">
        <v>4679</v>
      </c>
      <c r="B1031" s="41" t="str">
        <f>_xlfn.TEXTAFTER(_xlfn.TEXTBEFORE(tblCost[[#This Row],[RequirementID]],".",-2),"cost.")</f>
        <v>tech.tailor.armor_for_a_hero_lvl_4</v>
      </c>
      <c r="C1031" s="41" t="str">
        <f>_xlfn.XLOOKUP(tblCost[[#This Row],[TargetID]],tblTargets[TargetID],tblTargets[DisplayName],"")</f>
        <v>Tailor - Armor For A Hero Lvl 4</v>
      </c>
      <c r="D1031" s="41" t="str">
        <f>_xlfn.XLOOKUP(tblCost[[#This Row],[TargetID]],tblTargets[TargetID],tblTargets[TargetType],"")</f>
        <v>TECH</v>
      </c>
      <c r="E1031" s="41" t="s">
        <v>666</v>
      </c>
      <c r="F1031" s="62" t="str">
        <f>RIGHT(tblCost[[#This Row],[RequirementID]],1)</f>
        <v>1</v>
      </c>
      <c r="G1031" s="41">
        <v>500</v>
      </c>
      <c r="H1031" t="b">
        <f>COUNTIFS(tblCostChecklist[RequirementID],tblCost[[#This Row],[RequirementID]],tblCostChecklist[PlayerPaid],TRUE)&gt;0</f>
        <v>0</v>
      </c>
      <c r="I1031" s="41">
        <f>COUNTIF(tblCost[TargetID],tblCost[[#This Row],[TargetID]])</f>
        <v>7</v>
      </c>
      <c r="J1031" s="41">
        <f>COUNTIFS(tblCost[TargetID],tblCost[[#This Row],[TargetID]],tblCost[PlayerPaid],TRUE)</f>
        <v>0</v>
      </c>
      <c r="K1031" s="41">
        <f>tblCost[[#This Row],[TargetRequirements]]-tblCost[[#This Row],[CompletedRequirements]]</f>
        <v>7</v>
      </c>
      <c r="L1031" s="41" t="b">
        <f>tblCost[[#This Row],[RemainingRequirements]]=0</f>
        <v>0</v>
      </c>
      <c r="M1031" s="43">
        <f>IF(tblCost[[#This Row],[TargetRequirements]]=0,0,tblCost[[#This Row],[CompletedRequirements]]/tblCost[[#This Row],[TargetRequirements]])</f>
        <v>0</v>
      </c>
    </row>
    <row r="1032" spans="1:13">
      <c r="A1032" s="41" t="s">
        <v>4680</v>
      </c>
      <c r="B1032" s="41" t="str">
        <f>_xlfn.TEXTAFTER(_xlfn.TEXTBEFORE(tblCost[[#This Row],[RequirementID]],".",-2),"cost.")</f>
        <v>tech.tailor.armor_for_a_hero_lvl_4</v>
      </c>
      <c r="C1032" s="41" t="str">
        <f>_xlfn.XLOOKUP(tblCost[[#This Row],[TargetID]],tblTargets[TargetID],tblTargets[DisplayName],"")</f>
        <v>Tailor - Armor For A Hero Lvl 4</v>
      </c>
      <c r="D1032" s="41" t="str">
        <f>_xlfn.XLOOKUP(tblCost[[#This Row],[TargetID]],tblTargets[TargetID],tblTargets[TargetType],"")</f>
        <v>TECH</v>
      </c>
      <c r="E1032" s="41" t="s">
        <v>677</v>
      </c>
      <c r="F1032" s="62" t="str">
        <f>RIGHT(tblCost[[#This Row],[RequirementID]],1)</f>
        <v>1</v>
      </c>
      <c r="G1032" s="41">
        <v>20</v>
      </c>
      <c r="H1032" t="b">
        <f>COUNTIFS(tblCostChecklist[RequirementID],tblCost[[#This Row],[RequirementID]],tblCostChecklist[PlayerPaid],TRUE)&gt;0</f>
        <v>0</v>
      </c>
      <c r="I1032" s="41">
        <f>COUNTIF(tblCost[TargetID],tblCost[[#This Row],[TargetID]])</f>
        <v>7</v>
      </c>
      <c r="J1032" s="41">
        <f>COUNTIFS(tblCost[TargetID],tblCost[[#This Row],[TargetID]],tblCost[PlayerPaid],TRUE)</f>
        <v>0</v>
      </c>
      <c r="K1032" s="41">
        <f>tblCost[[#This Row],[TargetRequirements]]-tblCost[[#This Row],[CompletedRequirements]]</f>
        <v>7</v>
      </c>
      <c r="L1032" s="41" t="b">
        <f>tblCost[[#This Row],[RemainingRequirements]]=0</f>
        <v>0</v>
      </c>
      <c r="M1032" s="43">
        <f>IF(tblCost[[#This Row],[TargetRequirements]]=0,0,tblCost[[#This Row],[CompletedRequirements]]/tblCost[[#This Row],[TargetRequirements]])</f>
        <v>0</v>
      </c>
    </row>
    <row r="1033" spans="1:13">
      <c r="A1033" s="41" t="s">
        <v>4681</v>
      </c>
      <c r="B1033" s="41" t="str">
        <f>_xlfn.TEXTAFTER(_xlfn.TEXTBEFORE(tblCost[[#This Row],[RequirementID]],".",-2),"cost.")</f>
        <v>tech.tailor.armor_for_a_hero_lvl_4</v>
      </c>
      <c r="C1033" s="41" t="str">
        <f>_xlfn.XLOOKUP(tblCost[[#This Row],[TargetID]],tblTargets[TargetID],tblTargets[DisplayName],"")</f>
        <v>Tailor - Armor For A Hero Lvl 4</v>
      </c>
      <c r="D1033" s="41" t="str">
        <f>_xlfn.XLOOKUP(tblCost[[#This Row],[TargetID]],tblTargets[TargetID],tblTargets[TargetType],"")</f>
        <v>TECH</v>
      </c>
      <c r="E1033" s="41" t="s">
        <v>686</v>
      </c>
      <c r="F1033" s="62" t="str">
        <f>RIGHT(tblCost[[#This Row],[RequirementID]],1)</f>
        <v>1</v>
      </c>
      <c r="G1033" s="41">
        <v>5</v>
      </c>
      <c r="H1033" t="b">
        <f>COUNTIFS(tblCostChecklist[RequirementID],tblCost[[#This Row],[RequirementID]],tblCostChecklist[PlayerPaid],TRUE)&gt;0</f>
        <v>0</v>
      </c>
      <c r="I1033" s="41">
        <f>COUNTIF(tblCost[TargetID],tblCost[[#This Row],[TargetID]])</f>
        <v>7</v>
      </c>
      <c r="J1033" s="41">
        <f>COUNTIFS(tblCost[TargetID],tblCost[[#This Row],[TargetID]],tblCost[PlayerPaid],TRUE)</f>
        <v>0</v>
      </c>
      <c r="K1033" s="41">
        <f>tblCost[[#This Row],[TargetRequirements]]-tblCost[[#This Row],[CompletedRequirements]]</f>
        <v>7</v>
      </c>
      <c r="L1033" s="41" t="b">
        <f>tblCost[[#This Row],[RemainingRequirements]]=0</f>
        <v>0</v>
      </c>
      <c r="M1033" s="43">
        <f>IF(tblCost[[#This Row],[TargetRequirements]]=0,0,tblCost[[#This Row],[CompletedRequirements]]/tblCost[[#This Row],[TargetRequirements]])</f>
        <v>0</v>
      </c>
    </row>
    <row r="1034" spans="1:13">
      <c r="A1034" s="41" t="s">
        <v>4682</v>
      </c>
      <c r="B1034" s="41" t="str">
        <f>_xlfn.TEXTAFTER(_xlfn.TEXTBEFORE(tblCost[[#This Row],[RequirementID]],".",-2),"cost.")</f>
        <v>tech.tailor.armor_for_a_hero_lvl_4</v>
      </c>
      <c r="C1034" s="41" t="str">
        <f>_xlfn.XLOOKUP(tblCost[[#This Row],[TargetID]],tblTargets[TargetID],tblTargets[DisplayName],"")</f>
        <v>Tailor - Armor For A Hero Lvl 4</v>
      </c>
      <c r="D1034" s="41" t="str">
        <f>_xlfn.XLOOKUP(tblCost[[#This Row],[TargetID]],tblTargets[TargetID],tblTargets[TargetType],"")</f>
        <v>TECH</v>
      </c>
      <c r="E1034" s="41" t="s">
        <v>708</v>
      </c>
      <c r="F1034" s="62" t="str">
        <f>RIGHT(tblCost[[#This Row],[RequirementID]],1)</f>
        <v>1</v>
      </c>
      <c r="G1034" s="41">
        <v>3</v>
      </c>
      <c r="H1034" t="b">
        <f>COUNTIFS(tblCostChecklist[RequirementID],tblCost[[#This Row],[RequirementID]],tblCostChecklist[PlayerPaid],TRUE)&gt;0</f>
        <v>0</v>
      </c>
      <c r="I1034" s="41">
        <f>COUNTIF(tblCost[TargetID],tblCost[[#This Row],[TargetID]])</f>
        <v>7</v>
      </c>
      <c r="J1034" s="41">
        <f>COUNTIFS(tblCost[TargetID],tblCost[[#This Row],[TargetID]],tblCost[PlayerPaid],TRUE)</f>
        <v>0</v>
      </c>
      <c r="K1034" s="41">
        <f>tblCost[[#This Row],[TargetRequirements]]-tblCost[[#This Row],[CompletedRequirements]]</f>
        <v>7</v>
      </c>
      <c r="L1034" s="41" t="b">
        <f>tblCost[[#This Row],[RemainingRequirements]]=0</f>
        <v>0</v>
      </c>
      <c r="M1034" s="43">
        <f>IF(tblCost[[#This Row],[TargetRequirements]]=0,0,tblCost[[#This Row],[CompletedRequirements]]/tblCost[[#This Row],[TargetRequirements]])</f>
        <v>0</v>
      </c>
    </row>
    <row r="1035" spans="1:13">
      <c r="A1035" s="41" t="s">
        <v>4683</v>
      </c>
      <c r="B1035" s="41" t="str">
        <f>_xlfn.TEXTAFTER(_xlfn.TEXTBEFORE(tblCost[[#This Row],[RequirementID]],".",-2),"cost.")</f>
        <v>tech.tailor.armor_for_a_hero_lvl_4</v>
      </c>
      <c r="C1035" s="41" t="str">
        <f>_xlfn.XLOOKUP(tblCost[[#This Row],[TargetID]],tblTargets[TargetID],tblTargets[DisplayName],"")</f>
        <v>Tailor - Armor For A Hero Lvl 4</v>
      </c>
      <c r="D1035" s="41" t="str">
        <f>_xlfn.XLOOKUP(tblCost[[#This Row],[TargetID]],tblTargets[TargetID],tblTargets[TargetType],"")</f>
        <v>TECH</v>
      </c>
      <c r="E1035" s="41" t="s">
        <v>955</v>
      </c>
      <c r="F1035" s="62" t="str">
        <f>RIGHT(tblCost[[#This Row],[RequirementID]],1)</f>
        <v>1</v>
      </c>
      <c r="G1035" s="41">
        <v>20</v>
      </c>
      <c r="H1035" t="b">
        <f>COUNTIFS(tblCostChecklist[RequirementID],tblCost[[#This Row],[RequirementID]],tblCostChecklist[PlayerPaid],TRUE)&gt;0</f>
        <v>0</v>
      </c>
      <c r="I1035" s="41">
        <f>COUNTIF(tblCost[TargetID],tblCost[[#This Row],[TargetID]])</f>
        <v>7</v>
      </c>
      <c r="J1035" s="41">
        <f>COUNTIFS(tblCost[TargetID],tblCost[[#This Row],[TargetID]],tblCost[PlayerPaid],TRUE)</f>
        <v>0</v>
      </c>
      <c r="K1035" s="41">
        <f>tblCost[[#This Row],[TargetRequirements]]-tblCost[[#This Row],[CompletedRequirements]]</f>
        <v>7</v>
      </c>
      <c r="L1035" s="41" t="b">
        <f>tblCost[[#This Row],[RemainingRequirements]]=0</f>
        <v>0</v>
      </c>
      <c r="M1035" s="43">
        <f>IF(tblCost[[#This Row],[TargetRequirements]]=0,0,tblCost[[#This Row],[CompletedRequirements]]/tblCost[[#This Row],[TargetRequirements]])</f>
        <v>0</v>
      </c>
    </row>
    <row r="1036" spans="1:13">
      <c r="A1036" s="41" t="s">
        <v>4684</v>
      </c>
      <c r="B1036" s="41" t="str">
        <f>_xlfn.TEXTAFTER(_xlfn.TEXTBEFORE(tblCost[[#This Row],[RequirementID]],".",-2),"cost.")</f>
        <v>tech.tailor.armor_for_a_hero_lvl_4</v>
      </c>
      <c r="C1036" s="41" t="str">
        <f>_xlfn.XLOOKUP(tblCost[[#This Row],[TargetID]],tblTargets[TargetID],tblTargets[DisplayName],"")</f>
        <v>Tailor - Armor For A Hero Lvl 4</v>
      </c>
      <c r="D1036" s="41" t="str">
        <f>_xlfn.XLOOKUP(tblCost[[#This Row],[TargetID]],tblTargets[TargetID],tblTargets[TargetType],"")</f>
        <v>TECH</v>
      </c>
      <c r="E1036" s="41" t="s">
        <v>957</v>
      </c>
      <c r="F1036" s="62" t="str">
        <f>RIGHT(tblCost[[#This Row],[RequirementID]],1)</f>
        <v>1</v>
      </c>
      <c r="G1036" s="41">
        <v>6</v>
      </c>
      <c r="H1036" t="b">
        <f>COUNTIFS(tblCostChecklist[RequirementID],tblCost[[#This Row],[RequirementID]],tblCostChecklist[PlayerPaid],TRUE)&gt;0</f>
        <v>0</v>
      </c>
      <c r="I1036" s="41">
        <f>COUNTIF(tblCost[TargetID],tblCost[[#This Row],[TargetID]])</f>
        <v>7</v>
      </c>
      <c r="J1036" s="41">
        <f>COUNTIFS(tblCost[TargetID],tblCost[[#This Row],[TargetID]],tblCost[PlayerPaid],TRUE)</f>
        <v>0</v>
      </c>
      <c r="K1036" s="41">
        <f>tblCost[[#This Row],[TargetRequirements]]-tblCost[[#This Row],[CompletedRequirements]]</f>
        <v>7</v>
      </c>
      <c r="L1036" s="41" t="b">
        <f>tblCost[[#This Row],[RemainingRequirements]]=0</f>
        <v>0</v>
      </c>
      <c r="M1036" s="43">
        <f>IF(tblCost[[#This Row],[TargetRequirements]]=0,0,tblCost[[#This Row],[CompletedRequirements]]/tblCost[[#This Row],[TargetRequirements]])</f>
        <v>0</v>
      </c>
    </row>
    <row r="1037" spans="1:13">
      <c r="A1037" s="41" t="s">
        <v>6235</v>
      </c>
      <c r="B1037" s="41" t="str">
        <f>_xlfn.TEXTAFTER(_xlfn.TEXTBEFORE(tblCost[[#This Row],[RequirementID]],".",-2),"cost.")</f>
        <v>tech.tailor.armor_for_a_hero_lvl_4+</v>
      </c>
      <c r="C1037" s="41" t="str">
        <f>_xlfn.XLOOKUP(tblCost[[#This Row],[TargetID]],tblTargets[TargetID],tblTargets[DisplayName],"")</f>
        <v>Tailor - Armor For A Hero Lvl 4+</v>
      </c>
      <c r="D1037" s="41" t="str">
        <f>_xlfn.XLOOKUP(tblCost[[#This Row],[TargetID]],tblTargets[TargetID],tblTargets[TargetType],"")</f>
        <v>TECH</v>
      </c>
      <c r="E1037" s="41" t="s">
        <v>655</v>
      </c>
      <c r="F1037" s="62" t="str">
        <f>RIGHT(tblCost[[#This Row],[RequirementID]],1)</f>
        <v>1</v>
      </c>
      <c r="G1037" s="41">
        <v>1</v>
      </c>
      <c r="H1037" t="b">
        <f>COUNTIFS(tblCostChecklist[RequirementID],tblCost[[#This Row],[RequirementID]],tblCostChecklist[PlayerPaid],TRUE)&gt;0</f>
        <v>0</v>
      </c>
      <c r="I1037" s="41">
        <f>COUNTIF(tblCost[TargetID],tblCost[[#This Row],[TargetID]])</f>
        <v>11</v>
      </c>
      <c r="J1037" s="41">
        <f>COUNTIFS(tblCost[TargetID],tblCost[[#This Row],[TargetID]],tblCost[PlayerPaid],TRUE)</f>
        <v>0</v>
      </c>
      <c r="K1037" s="41">
        <f>tblCost[[#This Row],[TargetRequirements]]-tblCost[[#This Row],[CompletedRequirements]]</f>
        <v>11</v>
      </c>
      <c r="L1037" s="41" t="b">
        <f>tblCost[[#This Row],[RemainingRequirements]]=0</f>
        <v>0</v>
      </c>
      <c r="M1037" s="43">
        <f>IF(tblCost[[#This Row],[TargetRequirements]]=0,0,tblCost[[#This Row],[CompletedRequirements]]/tblCost[[#This Row],[TargetRequirements]])</f>
        <v>0</v>
      </c>
    </row>
    <row r="1038" spans="1:13">
      <c r="A1038" s="41" t="s">
        <v>4686</v>
      </c>
      <c r="B1038" s="41" t="str">
        <f>_xlfn.TEXTAFTER(_xlfn.TEXTBEFORE(tblCost[[#This Row],[RequirementID]],".",-2),"cost.")</f>
        <v>tech.tailor.armor_for_a_hero_lvl_4+</v>
      </c>
      <c r="C1038" s="41" t="str">
        <f>_xlfn.XLOOKUP(tblCost[[#This Row],[TargetID]],tblTargets[TargetID],tblTargets[DisplayName],"")</f>
        <v>Tailor - Armor For A Hero Lvl 4+</v>
      </c>
      <c r="D1038" s="41" t="str">
        <f>_xlfn.XLOOKUP(tblCost[[#This Row],[TargetID]],tblTargets[TargetID],tblTargets[TargetType],"")</f>
        <v>TECH</v>
      </c>
      <c r="E1038" s="41" t="s">
        <v>662</v>
      </c>
      <c r="F1038" s="62" t="str">
        <f>RIGHT(tblCost[[#This Row],[RequirementID]],1)</f>
        <v>1</v>
      </c>
      <c r="G1038" s="41">
        <v>20</v>
      </c>
      <c r="H1038" t="b">
        <f>COUNTIFS(tblCostChecklist[RequirementID],tblCost[[#This Row],[RequirementID]],tblCostChecklist[PlayerPaid],TRUE)&gt;0</f>
        <v>0</v>
      </c>
      <c r="I1038" s="41">
        <f>COUNTIF(tblCost[TargetID],tblCost[[#This Row],[TargetID]])</f>
        <v>11</v>
      </c>
      <c r="J1038" s="41">
        <f>COUNTIFS(tblCost[TargetID],tblCost[[#This Row],[TargetID]],tblCost[PlayerPaid],TRUE)</f>
        <v>0</v>
      </c>
      <c r="K1038" s="41">
        <f>tblCost[[#This Row],[TargetRequirements]]-tblCost[[#This Row],[CompletedRequirements]]</f>
        <v>11</v>
      </c>
      <c r="L1038" s="41" t="b">
        <f>tblCost[[#This Row],[RemainingRequirements]]=0</f>
        <v>0</v>
      </c>
      <c r="M1038" s="43">
        <f>IF(tblCost[[#This Row],[TargetRequirements]]=0,0,tblCost[[#This Row],[CompletedRequirements]]/tblCost[[#This Row],[TargetRequirements]])</f>
        <v>0</v>
      </c>
    </row>
    <row r="1039" spans="1:13">
      <c r="A1039" s="41" t="s">
        <v>4687</v>
      </c>
      <c r="B1039" s="41" t="str">
        <f>_xlfn.TEXTAFTER(_xlfn.TEXTBEFORE(tblCost[[#This Row],[RequirementID]],".",-2),"cost.")</f>
        <v>tech.tailor.armor_for_a_hero_lvl_4+</v>
      </c>
      <c r="C1039" s="41" t="str">
        <f>_xlfn.XLOOKUP(tblCost[[#This Row],[TargetID]],tblTargets[TargetID],tblTargets[DisplayName],"")</f>
        <v>Tailor - Armor For A Hero Lvl 4+</v>
      </c>
      <c r="D1039" s="41" t="str">
        <f>_xlfn.XLOOKUP(tblCost[[#This Row],[TargetID]],tblTargets[TargetID],tblTargets[TargetType],"")</f>
        <v>TECH</v>
      </c>
      <c r="E1039" s="41" t="s">
        <v>666</v>
      </c>
      <c r="F1039" s="62" t="str">
        <f>RIGHT(tblCost[[#This Row],[RequirementID]],1)</f>
        <v>1</v>
      </c>
      <c r="G1039" s="41">
        <v>1000</v>
      </c>
      <c r="H1039" t="b">
        <f>COUNTIFS(tblCostChecklist[RequirementID],tblCost[[#This Row],[RequirementID]],tblCostChecklist[PlayerPaid],TRUE)&gt;0</f>
        <v>0</v>
      </c>
      <c r="I1039" s="41">
        <f>COUNTIF(tblCost[TargetID],tblCost[[#This Row],[TargetID]])</f>
        <v>11</v>
      </c>
      <c r="J1039" s="41">
        <f>COUNTIFS(tblCost[TargetID],tblCost[[#This Row],[TargetID]],tblCost[PlayerPaid],TRUE)</f>
        <v>0</v>
      </c>
      <c r="K1039" s="41">
        <f>tblCost[[#This Row],[TargetRequirements]]-tblCost[[#This Row],[CompletedRequirements]]</f>
        <v>11</v>
      </c>
      <c r="L1039" s="41" t="b">
        <f>tblCost[[#This Row],[RemainingRequirements]]=0</f>
        <v>0</v>
      </c>
      <c r="M1039" s="43">
        <f>IF(tblCost[[#This Row],[TargetRequirements]]=0,0,tblCost[[#This Row],[CompletedRequirements]]/tblCost[[#This Row],[TargetRequirements]])</f>
        <v>0</v>
      </c>
    </row>
    <row r="1040" spans="1:13">
      <c r="A1040" s="41" t="s">
        <v>4688</v>
      </c>
      <c r="B1040" s="41" t="str">
        <f>_xlfn.TEXTAFTER(_xlfn.TEXTBEFORE(tblCost[[#This Row],[RequirementID]],".",-2),"cost.")</f>
        <v>tech.tailor.armor_for_a_hero_lvl_4+</v>
      </c>
      <c r="C1040" s="41" t="str">
        <f>_xlfn.XLOOKUP(tblCost[[#This Row],[TargetID]],tblTargets[TargetID],tblTargets[DisplayName],"")</f>
        <v>Tailor - Armor For A Hero Lvl 4+</v>
      </c>
      <c r="D1040" s="41" t="str">
        <f>_xlfn.XLOOKUP(tblCost[[#This Row],[TargetID]],tblTargets[TargetID],tblTargets[TargetType],"")</f>
        <v>TECH</v>
      </c>
      <c r="E1040" s="41" t="s">
        <v>677</v>
      </c>
      <c r="F1040" s="62" t="str">
        <f>RIGHT(tblCost[[#This Row],[RequirementID]],1)</f>
        <v>1</v>
      </c>
      <c r="G1040" s="41">
        <v>10</v>
      </c>
      <c r="H1040" t="b">
        <f>COUNTIFS(tblCostChecklist[RequirementID],tblCost[[#This Row],[RequirementID]],tblCostChecklist[PlayerPaid],TRUE)&gt;0</f>
        <v>0</v>
      </c>
      <c r="I1040" s="41">
        <f>COUNTIF(tblCost[TargetID],tblCost[[#This Row],[TargetID]])</f>
        <v>11</v>
      </c>
      <c r="J1040" s="41">
        <f>COUNTIFS(tblCost[TargetID],tblCost[[#This Row],[TargetID]],tblCost[PlayerPaid],TRUE)</f>
        <v>0</v>
      </c>
      <c r="K1040" s="41">
        <f>tblCost[[#This Row],[TargetRequirements]]-tblCost[[#This Row],[CompletedRequirements]]</f>
        <v>11</v>
      </c>
      <c r="L1040" s="41" t="b">
        <f>tblCost[[#This Row],[RemainingRequirements]]=0</f>
        <v>0</v>
      </c>
      <c r="M1040" s="43">
        <f>IF(tblCost[[#This Row],[TargetRequirements]]=0,0,tblCost[[#This Row],[CompletedRequirements]]/tblCost[[#This Row],[TargetRequirements]])</f>
        <v>0</v>
      </c>
    </row>
    <row r="1041" spans="1:13">
      <c r="A1041" s="41" t="s">
        <v>4689</v>
      </c>
      <c r="B1041" s="41" t="str">
        <f>_xlfn.TEXTAFTER(_xlfn.TEXTBEFORE(tblCost[[#This Row],[RequirementID]],".",-2),"cost.")</f>
        <v>tech.tailor.armor_for_a_hero_lvl_4+</v>
      </c>
      <c r="C1041" s="41" t="str">
        <f>_xlfn.XLOOKUP(tblCost[[#This Row],[TargetID]],tblTargets[TargetID],tblTargets[DisplayName],"")</f>
        <v>Tailor - Armor For A Hero Lvl 4+</v>
      </c>
      <c r="D1041" s="41" t="str">
        <f>_xlfn.XLOOKUP(tblCost[[#This Row],[TargetID]],tblTargets[TargetID],tblTargets[TargetType],"")</f>
        <v>TECH</v>
      </c>
      <c r="E1041" s="41" t="s">
        <v>703</v>
      </c>
      <c r="F1041" s="62" t="str">
        <f>RIGHT(tblCost[[#This Row],[RequirementID]],1)</f>
        <v>1</v>
      </c>
      <c r="G1041" s="41">
        <v>10</v>
      </c>
      <c r="H1041" t="b">
        <f>COUNTIFS(tblCostChecklist[RequirementID],tblCost[[#This Row],[RequirementID]],tblCostChecklist[PlayerPaid],TRUE)&gt;0</f>
        <v>0</v>
      </c>
      <c r="I1041" s="41">
        <f>COUNTIF(tblCost[TargetID],tblCost[[#This Row],[TargetID]])</f>
        <v>11</v>
      </c>
      <c r="J1041" s="41">
        <f>COUNTIFS(tblCost[TargetID],tblCost[[#This Row],[TargetID]],tblCost[PlayerPaid],TRUE)</f>
        <v>0</v>
      </c>
      <c r="K1041" s="41">
        <f>tblCost[[#This Row],[TargetRequirements]]-tblCost[[#This Row],[CompletedRequirements]]</f>
        <v>11</v>
      </c>
      <c r="L1041" s="41" t="b">
        <f>tblCost[[#This Row],[RemainingRequirements]]=0</f>
        <v>0</v>
      </c>
      <c r="M1041" s="43">
        <f>IF(tblCost[[#This Row],[TargetRequirements]]=0,0,tblCost[[#This Row],[CompletedRequirements]]/tblCost[[#This Row],[TargetRequirements]])</f>
        <v>0</v>
      </c>
    </row>
    <row r="1042" spans="1:13">
      <c r="A1042" s="41" t="s">
        <v>4690</v>
      </c>
      <c r="B1042" s="41" t="str">
        <f>_xlfn.TEXTAFTER(_xlfn.TEXTBEFORE(tblCost[[#This Row],[RequirementID]],".",-2),"cost.")</f>
        <v>tech.tailor.armor_for_a_hero_lvl_4+</v>
      </c>
      <c r="C1042" s="41" t="str">
        <f>_xlfn.XLOOKUP(tblCost[[#This Row],[TargetID]],tblTargets[TargetID],tblTargets[DisplayName],"")</f>
        <v>Tailor - Armor For A Hero Lvl 4+</v>
      </c>
      <c r="D1042" s="41" t="str">
        <f>_xlfn.XLOOKUP(tblCost[[#This Row],[TargetID]],tblTargets[TargetID],tblTargets[TargetType],"")</f>
        <v>TECH</v>
      </c>
      <c r="E1042" s="41" t="s">
        <v>706</v>
      </c>
      <c r="F1042" s="62" t="str">
        <f>RIGHT(tblCost[[#This Row],[RequirementID]],1)</f>
        <v>1</v>
      </c>
      <c r="G1042" s="41">
        <v>25</v>
      </c>
      <c r="H1042" t="b">
        <f>COUNTIFS(tblCostChecklist[RequirementID],tblCost[[#This Row],[RequirementID]],tblCostChecklist[PlayerPaid],TRUE)&gt;0</f>
        <v>0</v>
      </c>
      <c r="I1042" s="41">
        <f>COUNTIF(tblCost[TargetID],tblCost[[#This Row],[TargetID]])</f>
        <v>11</v>
      </c>
      <c r="J1042" s="41">
        <f>COUNTIFS(tblCost[TargetID],tblCost[[#This Row],[TargetID]],tblCost[PlayerPaid],TRUE)</f>
        <v>0</v>
      </c>
      <c r="K1042" s="41">
        <f>tblCost[[#This Row],[TargetRequirements]]-tblCost[[#This Row],[CompletedRequirements]]</f>
        <v>11</v>
      </c>
      <c r="L1042" s="41" t="b">
        <f>tblCost[[#This Row],[RemainingRequirements]]=0</f>
        <v>0</v>
      </c>
      <c r="M1042" s="43">
        <f>IF(tblCost[[#This Row],[TargetRequirements]]=0,0,tblCost[[#This Row],[CompletedRequirements]]/tblCost[[#This Row],[TargetRequirements]])</f>
        <v>0</v>
      </c>
    </row>
    <row r="1043" spans="1:13">
      <c r="A1043" s="41" t="s">
        <v>4691</v>
      </c>
      <c r="B1043" s="41" t="str">
        <f>_xlfn.TEXTAFTER(_xlfn.TEXTBEFORE(tblCost[[#This Row],[RequirementID]],".",-2),"cost.")</f>
        <v>tech.tailor.armor_for_a_hero_lvl_4+</v>
      </c>
      <c r="C1043" s="41" t="str">
        <f>_xlfn.XLOOKUP(tblCost[[#This Row],[TargetID]],tblTargets[TargetID],tblTargets[DisplayName],"")</f>
        <v>Tailor - Armor For A Hero Lvl 4+</v>
      </c>
      <c r="D1043" s="41" t="str">
        <f>_xlfn.XLOOKUP(tblCost[[#This Row],[TargetID]],tblTargets[TargetID],tblTargets[TargetType],"")</f>
        <v>TECH</v>
      </c>
      <c r="E1043" s="41" t="s">
        <v>946</v>
      </c>
      <c r="F1043" s="62" t="str">
        <f>RIGHT(tblCost[[#This Row],[RequirementID]],1)</f>
        <v>1</v>
      </c>
      <c r="G1043" s="41">
        <v>1</v>
      </c>
      <c r="H1043" t="b">
        <f>COUNTIFS(tblCostChecklist[RequirementID],tblCost[[#This Row],[RequirementID]],tblCostChecklist[PlayerPaid],TRUE)&gt;0</f>
        <v>0</v>
      </c>
      <c r="I1043" s="41">
        <f>COUNTIF(tblCost[TargetID],tblCost[[#This Row],[TargetID]])</f>
        <v>11</v>
      </c>
      <c r="J1043" s="41">
        <f>COUNTIFS(tblCost[TargetID],tblCost[[#This Row],[TargetID]],tblCost[PlayerPaid],TRUE)</f>
        <v>0</v>
      </c>
      <c r="K1043" s="41">
        <f>tblCost[[#This Row],[TargetRequirements]]-tblCost[[#This Row],[CompletedRequirements]]</f>
        <v>11</v>
      </c>
      <c r="L1043" s="41" t="b">
        <f>tblCost[[#This Row],[RemainingRequirements]]=0</f>
        <v>0</v>
      </c>
      <c r="M1043" s="43">
        <f>IF(tblCost[[#This Row],[TargetRequirements]]=0,0,tblCost[[#This Row],[CompletedRequirements]]/tblCost[[#This Row],[TargetRequirements]])</f>
        <v>0</v>
      </c>
    </row>
    <row r="1044" spans="1:13">
      <c r="A1044" s="41" t="s">
        <v>4692</v>
      </c>
      <c r="B1044" s="41" t="str">
        <f>_xlfn.TEXTAFTER(_xlfn.TEXTBEFORE(tblCost[[#This Row],[RequirementID]],".",-2),"cost.")</f>
        <v>tech.tailor.armor_for_a_hero_lvl_4+</v>
      </c>
      <c r="C1044" s="41" t="str">
        <f>_xlfn.XLOOKUP(tblCost[[#This Row],[TargetID]],tblTargets[TargetID],tblTargets[DisplayName],"")</f>
        <v>Tailor - Armor For A Hero Lvl 4+</v>
      </c>
      <c r="D1044" s="41" t="str">
        <f>_xlfn.XLOOKUP(tblCost[[#This Row],[TargetID]],tblTargets[TargetID],tblTargets[TargetType],"")</f>
        <v>TECH</v>
      </c>
      <c r="E1044" s="41" t="s">
        <v>708</v>
      </c>
      <c r="F1044" s="62" t="str">
        <f>RIGHT(tblCost[[#This Row],[RequirementID]],1)</f>
        <v>1</v>
      </c>
      <c r="G1044" s="41">
        <v>5</v>
      </c>
      <c r="H1044" t="b">
        <f>COUNTIFS(tblCostChecklist[RequirementID],tblCost[[#This Row],[RequirementID]],tblCostChecklist[PlayerPaid],TRUE)&gt;0</f>
        <v>0</v>
      </c>
      <c r="I1044" s="41">
        <f>COUNTIF(tblCost[TargetID],tblCost[[#This Row],[TargetID]])</f>
        <v>11</v>
      </c>
      <c r="J1044" s="41">
        <f>COUNTIFS(tblCost[TargetID],tblCost[[#This Row],[TargetID]],tblCost[PlayerPaid],TRUE)</f>
        <v>0</v>
      </c>
      <c r="K1044" s="41">
        <f>tblCost[[#This Row],[TargetRequirements]]-tblCost[[#This Row],[CompletedRequirements]]</f>
        <v>11</v>
      </c>
      <c r="L1044" s="41" t="b">
        <f>tblCost[[#This Row],[RemainingRequirements]]=0</f>
        <v>0</v>
      </c>
      <c r="M1044" s="43">
        <f>IF(tblCost[[#This Row],[TargetRequirements]]=0,0,tblCost[[#This Row],[CompletedRequirements]]/tblCost[[#This Row],[TargetRequirements]])</f>
        <v>0</v>
      </c>
    </row>
    <row r="1045" spans="1:13">
      <c r="A1045" s="41" t="s">
        <v>4693</v>
      </c>
      <c r="B1045" s="41" t="str">
        <f>_xlfn.TEXTAFTER(_xlfn.TEXTBEFORE(tblCost[[#This Row],[RequirementID]],".",-2),"cost.")</f>
        <v>tech.tailor.armor_for_a_hero_lvl_4+</v>
      </c>
      <c r="C1045" s="41" t="str">
        <f>_xlfn.XLOOKUP(tblCost[[#This Row],[TargetID]],tblTargets[TargetID],tblTargets[DisplayName],"")</f>
        <v>Tailor - Armor For A Hero Lvl 4+</v>
      </c>
      <c r="D1045" s="41" t="str">
        <f>_xlfn.XLOOKUP(tblCost[[#This Row],[TargetID]],tblTargets[TargetID],tblTargets[TargetType],"")</f>
        <v>TECH</v>
      </c>
      <c r="E1045" s="41" t="s">
        <v>955</v>
      </c>
      <c r="F1045" s="62" t="str">
        <f>RIGHT(tblCost[[#This Row],[RequirementID]],1)</f>
        <v>1</v>
      </c>
      <c r="G1045" s="41">
        <v>20</v>
      </c>
      <c r="H1045" t="b">
        <f>COUNTIFS(tblCostChecklist[RequirementID],tblCost[[#This Row],[RequirementID]],tblCostChecklist[PlayerPaid],TRUE)&gt;0</f>
        <v>0</v>
      </c>
      <c r="I1045" s="41">
        <f>COUNTIF(tblCost[TargetID],tblCost[[#This Row],[TargetID]])</f>
        <v>11</v>
      </c>
      <c r="J1045" s="41">
        <f>COUNTIFS(tblCost[TargetID],tblCost[[#This Row],[TargetID]],tblCost[PlayerPaid],TRUE)</f>
        <v>0</v>
      </c>
      <c r="K1045" s="41">
        <f>tblCost[[#This Row],[TargetRequirements]]-tblCost[[#This Row],[CompletedRequirements]]</f>
        <v>11</v>
      </c>
      <c r="L1045" s="41" t="b">
        <f>tblCost[[#This Row],[RemainingRequirements]]=0</f>
        <v>0</v>
      </c>
      <c r="M1045" s="43">
        <f>IF(tblCost[[#This Row],[TargetRequirements]]=0,0,tblCost[[#This Row],[CompletedRequirements]]/tblCost[[#This Row],[TargetRequirements]])</f>
        <v>0</v>
      </c>
    </row>
    <row r="1046" spans="1:13">
      <c r="A1046" s="41" t="s">
        <v>4694</v>
      </c>
      <c r="B1046" s="41" t="str">
        <f>_xlfn.TEXTAFTER(_xlfn.TEXTBEFORE(tblCost[[#This Row],[RequirementID]],".",-2),"cost.")</f>
        <v>tech.tailor.strong_stitch</v>
      </c>
      <c r="C1046" s="41" t="str">
        <f>_xlfn.XLOOKUP(tblCost[[#This Row],[TargetID]],tblTargets[TargetID],tblTargets[DisplayName],"")</f>
        <v>Tailor - Strong Stitch</v>
      </c>
      <c r="D1046" s="41" t="str">
        <f>_xlfn.XLOOKUP(tblCost[[#This Row],[TargetID]],tblTargets[TargetID],tblTargets[TargetType],"")</f>
        <v>TECH</v>
      </c>
      <c r="E1046" s="41" t="s">
        <v>662</v>
      </c>
      <c r="F1046" s="62" t="str">
        <f>RIGHT(tblCost[[#This Row],[RequirementID]],1)</f>
        <v>1</v>
      </c>
      <c r="G1046" s="41">
        <v>10</v>
      </c>
      <c r="H1046" t="b">
        <f>COUNTIFS(tblCostChecklist[RequirementID],tblCost[[#This Row],[RequirementID]],tblCostChecklist[PlayerPaid],TRUE)&gt;0</f>
        <v>0</v>
      </c>
      <c r="I1046" s="41">
        <f>COUNTIF(tblCost[TargetID],tblCost[[#This Row],[TargetID]])</f>
        <v>5</v>
      </c>
      <c r="J1046" s="41">
        <f>COUNTIFS(tblCost[TargetID],tblCost[[#This Row],[TargetID]],tblCost[PlayerPaid],TRUE)</f>
        <v>0</v>
      </c>
      <c r="K1046" s="41">
        <f>tblCost[[#This Row],[TargetRequirements]]-tblCost[[#This Row],[CompletedRequirements]]</f>
        <v>5</v>
      </c>
      <c r="L1046" s="41" t="b">
        <f>tblCost[[#This Row],[RemainingRequirements]]=0</f>
        <v>0</v>
      </c>
      <c r="M1046" s="43">
        <f>IF(tblCost[[#This Row],[TargetRequirements]]=0,0,tblCost[[#This Row],[CompletedRequirements]]/tblCost[[#This Row],[TargetRequirements]])</f>
        <v>0</v>
      </c>
    </row>
    <row r="1047" spans="1:13">
      <c r="A1047" s="41" t="s">
        <v>4695</v>
      </c>
      <c r="B1047" s="41" t="str">
        <f>_xlfn.TEXTAFTER(_xlfn.TEXTBEFORE(tblCost[[#This Row],[RequirementID]],".",-2),"cost.")</f>
        <v>tech.tailor.strong_stitch</v>
      </c>
      <c r="C1047" s="41" t="str">
        <f>_xlfn.XLOOKUP(tblCost[[#This Row],[TargetID]],tblTargets[TargetID],tblTargets[DisplayName],"")</f>
        <v>Tailor - Strong Stitch</v>
      </c>
      <c r="D1047" s="41" t="str">
        <f>_xlfn.XLOOKUP(tblCost[[#This Row],[TargetID]],tblTargets[TargetID],tblTargets[TargetType],"")</f>
        <v>TECH</v>
      </c>
      <c r="E1047" s="41" t="s">
        <v>666</v>
      </c>
      <c r="F1047" s="62" t="str">
        <f>RIGHT(tblCost[[#This Row],[RequirementID]],1)</f>
        <v>1</v>
      </c>
      <c r="G1047" s="41">
        <v>300</v>
      </c>
      <c r="H1047" t="b">
        <f>COUNTIFS(tblCostChecklist[RequirementID],tblCost[[#This Row],[RequirementID]],tblCostChecklist[PlayerPaid],TRUE)&gt;0</f>
        <v>0</v>
      </c>
      <c r="I1047" s="41">
        <f>COUNTIF(tblCost[TargetID],tblCost[[#This Row],[TargetID]])</f>
        <v>5</v>
      </c>
      <c r="J1047" s="41">
        <f>COUNTIFS(tblCost[TargetID],tblCost[[#This Row],[TargetID]],tblCost[PlayerPaid],TRUE)</f>
        <v>0</v>
      </c>
      <c r="K1047" s="41">
        <f>tblCost[[#This Row],[TargetRequirements]]-tblCost[[#This Row],[CompletedRequirements]]</f>
        <v>5</v>
      </c>
      <c r="L1047" s="41" t="b">
        <f>tblCost[[#This Row],[RemainingRequirements]]=0</f>
        <v>0</v>
      </c>
      <c r="M1047" s="43">
        <f>IF(tblCost[[#This Row],[TargetRequirements]]=0,0,tblCost[[#This Row],[CompletedRequirements]]/tblCost[[#This Row],[TargetRequirements]])</f>
        <v>0</v>
      </c>
    </row>
    <row r="1048" spans="1:13">
      <c r="A1048" s="41" t="s">
        <v>4696</v>
      </c>
      <c r="B1048" s="41" t="str">
        <f>_xlfn.TEXTAFTER(_xlfn.TEXTBEFORE(tblCost[[#This Row],[RequirementID]],".",-2),"cost.")</f>
        <v>tech.tailor.strong_stitch</v>
      </c>
      <c r="C1048" s="41" t="str">
        <f>_xlfn.XLOOKUP(tblCost[[#This Row],[TargetID]],tblTargets[TargetID],tblTargets[DisplayName],"")</f>
        <v>Tailor - Strong Stitch</v>
      </c>
      <c r="D1048" s="41" t="str">
        <f>_xlfn.XLOOKUP(tblCost[[#This Row],[TargetID]],tblTargets[TargetID],tblTargets[TargetType],"")</f>
        <v>TECH</v>
      </c>
      <c r="E1048" s="41" t="s">
        <v>708</v>
      </c>
      <c r="F1048" s="62" t="str">
        <f>RIGHT(tblCost[[#This Row],[RequirementID]],1)</f>
        <v>1</v>
      </c>
      <c r="G1048" s="41">
        <v>1</v>
      </c>
      <c r="H1048" t="b">
        <f>COUNTIFS(tblCostChecklist[RequirementID],tblCost[[#This Row],[RequirementID]],tblCostChecklist[PlayerPaid],TRUE)&gt;0</f>
        <v>0</v>
      </c>
      <c r="I1048" s="41">
        <f>COUNTIF(tblCost[TargetID],tblCost[[#This Row],[TargetID]])</f>
        <v>5</v>
      </c>
      <c r="J1048" s="41">
        <f>COUNTIFS(tblCost[TargetID],tblCost[[#This Row],[TargetID]],tblCost[PlayerPaid],TRUE)</f>
        <v>0</v>
      </c>
      <c r="K1048" s="41">
        <f>tblCost[[#This Row],[TargetRequirements]]-tblCost[[#This Row],[CompletedRequirements]]</f>
        <v>5</v>
      </c>
      <c r="L1048" s="41" t="b">
        <f>tblCost[[#This Row],[RemainingRequirements]]=0</f>
        <v>0</v>
      </c>
      <c r="M1048" s="43">
        <f>IF(tblCost[[#This Row],[TargetRequirements]]=0,0,tblCost[[#This Row],[CompletedRequirements]]/tblCost[[#This Row],[TargetRequirements]])</f>
        <v>0</v>
      </c>
    </row>
    <row r="1049" spans="1:13">
      <c r="A1049" s="41" t="s">
        <v>4697</v>
      </c>
      <c r="B1049" s="41" t="str">
        <f>_xlfn.TEXTAFTER(_xlfn.TEXTBEFORE(tblCost[[#This Row],[RequirementID]],".",-2),"cost.")</f>
        <v>tech.tailor.strong_stitch</v>
      </c>
      <c r="C1049" s="41" t="str">
        <f>_xlfn.XLOOKUP(tblCost[[#This Row],[TargetID]],tblTargets[TargetID],tblTargets[DisplayName],"")</f>
        <v>Tailor - Strong Stitch</v>
      </c>
      <c r="D1049" s="41" t="str">
        <f>_xlfn.XLOOKUP(tblCost[[#This Row],[TargetID]],tblTargets[TargetID],tblTargets[TargetType],"")</f>
        <v>TECH</v>
      </c>
      <c r="E1049" s="41" t="s">
        <v>711</v>
      </c>
      <c r="F1049" s="62" t="str">
        <f>RIGHT(tblCost[[#This Row],[RequirementID]],1)</f>
        <v>1</v>
      </c>
      <c r="G1049" s="41">
        <v>10</v>
      </c>
      <c r="H1049" t="b">
        <f>COUNTIFS(tblCostChecklist[RequirementID],tblCost[[#This Row],[RequirementID]],tblCostChecklist[PlayerPaid],TRUE)&gt;0</f>
        <v>0</v>
      </c>
      <c r="I1049" s="41">
        <f>COUNTIF(tblCost[TargetID],tblCost[[#This Row],[TargetID]])</f>
        <v>5</v>
      </c>
      <c r="J1049" s="41">
        <f>COUNTIFS(tblCost[TargetID],tblCost[[#This Row],[TargetID]],tblCost[PlayerPaid],TRUE)</f>
        <v>0</v>
      </c>
      <c r="K1049" s="41">
        <f>tblCost[[#This Row],[TargetRequirements]]-tblCost[[#This Row],[CompletedRequirements]]</f>
        <v>5</v>
      </c>
      <c r="L1049" s="41" t="b">
        <f>tblCost[[#This Row],[RemainingRequirements]]=0</f>
        <v>0</v>
      </c>
      <c r="M1049" s="43">
        <f>IF(tblCost[[#This Row],[TargetRequirements]]=0,0,tblCost[[#This Row],[CompletedRequirements]]/tblCost[[#This Row],[TargetRequirements]])</f>
        <v>0</v>
      </c>
    </row>
    <row r="1050" spans="1:13">
      <c r="A1050" s="41" t="s">
        <v>4698</v>
      </c>
      <c r="B1050" s="41" t="str">
        <f>_xlfn.TEXTAFTER(_xlfn.TEXTBEFORE(tblCost[[#This Row],[RequirementID]],".",-2),"cost.")</f>
        <v>tech.tailor.strong_stitch</v>
      </c>
      <c r="C1050" s="41" t="str">
        <f>_xlfn.XLOOKUP(tblCost[[#This Row],[TargetID]],tblTargets[TargetID],tblTargets[DisplayName],"")</f>
        <v>Tailor - Strong Stitch</v>
      </c>
      <c r="D1050" s="41" t="str">
        <f>_xlfn.XLOOKUP(tblCost[[#This Row],[TargetID]],tblTargets[TargetID],tblTargets[TargetType],"")</f>
        <v>TECH</v>
      </c>
      <c r="E1050" s="41" t="s">
        <v>719</v>
      </c>
      <c r="F1050" s="62" t="str">
        <f>RIGHT(tblCost[[#This Row],[RequirementID]],1)</f>
        <v>1</v>
      </c>
      <c r="G1050" s="41">
        <v>10</v>
      </c>
      <c r="H1050" t="b">
        <f>COUNTIFS(tblCostChecklist[RequirementID],tblCost[[#This Row],[RequirementID]],tblCostChecklist[PlayerPaid],TRUE)&gt;0</f>
        <v>0</v>
      </c>
      <c r="I1050" s="41">
        <f>COUNTIF(tblCost[TargetID],tblCost[[#This Row],[TargetID]])</f>
        <v>5</v>
      </c>
      <c r="J1050" s="41">
        <f>COUNTIFS(tblCost[TargetID],tblCost[[#This Row],[TargetID]],tblCost[PlayerPaid],TRUE)</f>
        <v>0</v>
      </c>
      <c r="K1050" s="41">
        <f>tblCost[[#This Row],[TargetRequirements]]-tblCost[[#This Row],[CompletedRequirements]]</f>
        <v>5</v>
      </c>
      <c r="L1050" s="41" t="b">
        <f>tblCost[[#This Row],[RemainingRequirements]]=0</f>
        <v>0</v>
      </c>
      <c r="M1050" s="43">
        <f>IF(tblCost[[#This Row],[TargetRequirements]]=0,0,tblCost[[#This Row],[CompletedRequirements]]/tblCost[[#This Row],[TargetRequirements]])</f>
        <v>0</v>
      </c>
    </row>
    <row r="1051" spans="1:13">
      <c r="A1051" s="41" t="s">
        <v>4699</v>
      </c>
      <c r="B1051" s="41" t="str">
        <f>_xlfn.TEXTAFTER(_xlfn.TEXTBEFORE(tblCost[[#This Row],[RequirementID]],".",-2),"cost.")</f>
        <v>tech.tailor.strong_rivets</v>
      </c>
      <c r="C1051" s="41" t="str">
        <f>_xlfn.XLOOKUP(tblCost[[#This Row],[TargetID]],tblTargets[TargetID],tblTargets[DisplayName],"")</f>
        <v>Tailor - Strong Rivets</v>
      </c>
      <c r="D1051" s="41" t="str">
        <f>_xlfn.XLOOKUP(tblCost[[#This Row],[TargetID]],tblTargets[TargetID],tblTargets[TargetType],"")</f>
        <v>TECH</v>
      </c>
      <c r="E1051" s="41" t="s">
        <v>662</v>
      </c>
      <c r="F1051" s="62" t="str">
        <f>RIGHT(tblCost[[#This Row],[RequirementID]],1)</f>
        <v>1</v>
      </c>
      <c r="G1051" s="41">
        <v>20</v>
      </c>
      <c r="H1051" t="b">
        <f>COUNTIFS(tblCostChecklist[RequirementID],tblCost[[#This Row],[RequirementID]],tblCostChecklist[PlayerPaid],TRUE)&gt;0</f>
        <v>0</v>
      </c>
      <c r="I1051" s="41">
        <f>COUNTIF(tblCost[TargetID],tblCost[[#This Row],[TargetID]])</f>
        <v>5</v>
      </c>
      <c r="J1051" s="41">
        <f>COUNTIFS(tblCost[TargetID],tblCost[[#This Row],[TargetID]],tblCost[PlayerPaid],TRUE)</f>
        <v>0</v>
      </c>
      <c r="K1051" s="41">
        <f>tblCost[[#This Row],[TargetRequirements]]-tblCost[[#This Row],[CompletedRequirements]]</f>
        <v>5</v>
      </c>
      <c r="L1051" s="41" t="b">
        <f>tblCost[[#This Row],[RemainingRequirements]]=0</f>
        <v>0</v>
      </c>
      <c r="M1051" s="43">
        <f>IF(tblCost[[#This Row],[TargetRequirements]]=0,0,tblCost[[#This Row],[CompletedRequirements]]/tblCost[[#This Row],[TargetRequirements]])</f>
        <v>0</v>
      </c>
    </row>
    <row r="1052" spans="1:13">
      <c r="A1052" s="41" t="s">
        <v>4700</v>
      </c>
      <c r="B1052" s="41" t="str">
        <f>_xlfn.TEXTAFTER(_xlfn.TEXTBEFORE(tblCost[[#This Row],[RequirementID]],".",-2),"cost.")</f>
        <v>tech.tailor.strong_rivets</v>
      </c>
      <c r="C1052" s="41" t="str">
        <f>_xlfn.XLOOKUP(tblCost[[#This Row],[TargetID]],tblTargets[TargetID],tblTargets[DisplayName],"")</f>
        <v>Tailor - Strong Rivets</v>
      </c>
      <c r="D1052" s="41" t="str">
        <f>_xlfn.XLOOKUP(tblCost[[#This Row],[TargetID]],tblTargets[TargetID],tblTargets[TargetType],"")</f>
        <v>TECH</v>
      </c>
      <c r="E1052" s="41" t="s">
        <v>666</v>
      </c>
      <c r="F1052" s="62" t="str">
        <f>RIGHT(tblCost[[#This Row],[RequirementID]],1)</f>
        <v>1</v>
      </c>
      <c r="G1052" s="41">
        <v>500</v>
      </c>
      <c r="H1052" t="b">
        <f>COUNTIFS(tblCostChecklist[RequirementID],tblCost[[#This Row],[RequirementID]],tblCostChecklist[PlayerPaid],TRUE)&gt;0</f>
        <v>0</v>
      </c>
      <c r="I1052" s="41">
        <f>COUNTIF(tblCost[TargetID],tblCost[[#This Row],[TargetID]])</f>
        <v>5</v>
      </c>
      <c r="J1052" s="41">
        <f>COUNTIFS(tblCost[TargetID],tblCost[[#This Row],[TargetID]],tblCost[PlayerPaid],TRUE)</f>
        <v>0</v>
      </c>
      <c r="K1052" s="41">
        <f>tblCost[[#This Row],[TargetRequirements]]-tblCost[[#This Row],[CompletedRequirements]]</f>
        <v>5</v>
      </c>
      <c r="L1052" s="41" t="b">
        <f>tblCost[[#This Row],[RemainingRequirements]]=0</f>
        <v>0</v>
      </c>
      <c r="M1052" s="43">
        <f>IF(tblCost[[#This Row],[TargetRequirements]]=0,0,tblCost[[#This Row],[CompletedRequirements]]/tblCost[[#This Row],[TargetRequirements]])</f>
        <v>0</v>
      </c>
    </row>
    <row r="1053" spans="1:13">
      <c r="A1053" s="41" t="s">
        <v>4701</v>
      </c>
      <c r="B1053" s="41" t="str">
        <f>_xlfn.TEXTAFTER(_xlfn.TEXTBEFORE(tblCost[[#This Row],[RequirementID]],".",-2),"cost.")</f>
        <v>tech.tailor.strong_rivets</v>
      </c>
      <c r="C1053" s="41" t="str">
        <f>_xlfn.XLOOKUP(tblCost[[#This Row],[TargetID]],tblTargets[TargetID],tblTargets[DisplayName],"")</f>
        <v>Tailor - Strong Rivets</v>
      </c>
      <c r="D1053" s="41" t="str">
        <f>_xlfn.XLOOKUP(tblCost[[#This Row],[TargetID]],tblTargets[TargetID],tblTargets[TargetType],"")</f>
        <v>TECH</v>
      </c>
      <c r="E1053" s="41" t="s">
        <v>690</v>
      </c>
      <c r="F1053" s="62" t="str">
        <f>RIGHT(tblCost[[#This Row],[RequirementID]],1)</f>
        <v>1</v>
      </c>
      <c r="G1053" s="41">
        <v>30</v>
      </c>
      <c r="H1053" t="b">
        <f>COUNTIFS(tblCostChecklist[RequirementID],tblCost[[#This Row],[RequirementID]],tblCostChecklist[PlayerPaid],TRUE)&gt;0</f>
        <v>0</v>
      </c>
      <c r="I1053" s="41">
        <f>COUNTIF(tblCost[TargetID],tblCost[[#This Row],[TargetID]])</f>
        <v>5</v>
      </c>
      <c r="J1053" s="41">
        <f>COUNTIFS(tblCost[TargetID],tblCost[[#This Row],[TargetID]],tblCost[PlayerPaid],TRUE)</f>
        <v>0</v>
      </c>
      <c r="K1053" s="41">
        <f>tblCost[[#This Row],[TargetRequirements]]-tblCost[[#This Row],[CompletedRequirements]]</f>
        <v>5</v>
      </c>
      <c r="L1053" s="41" t="b">
        <f>tblCost[[#This Row],[RemainingRequirements]]=0</f>
        <v>0</v>
      </c>
      <c r="M1053" s="43">
        <f>IF(tblCost[[#This Row],[TargetRequirements]]=0,0,tblCost[[#This Row],[CompletedRequirements]]/tblCost[[#This Row],[TargetRequirements]])</f>
        <v>0</v>
      </c>
    </row>
    <row r="1054" spans="1:13">
      <c r="A1054" s="41" t="s">
        <v>4702</v>
      </c>
      <c r="B1054" s="41" t="str">
        <f>_xlfn.TEXTAFTER(_xlfn.TEXTBEFORE(tblCost[[#This Row],[RequirementID]],".",-2),"cost.")</f>
        <v>tech.tailor.strong_rivets</v>
      </c>
      <c r="C1054" s="41" t="str">
        <f>_xlfn.XLOOKUP(tblCost[[#This Row],[TargetID]],tblTargets[TargetID],tblTargets[DisplayName],"")</f>
        <v>Tailor - Strong Rivets</v>
      </c>
      <c r="D1054" s="41" t="str">
        <f>_xlfn.XLOOKUP(tblCost[[#This Row],[TargetID]],tblTargets[TargetID],tblTargets[TargetType],"")</f>
        <v>TECH</v>
      </c>
      <c r="E1054" s="41" t="s">
        <v>708</v>
      </c>
      <c r="F1054" s="62" t="str">
        <f>RIGHT(tblCost[[#This Row],[RequirementID]],1)</f>
        <v>1</v>
      </c>
      <c r="G1054" s="41">
        <v>2</v>
      </c>
      <c r="H1054" t="b">
        <f>COUNTIFS(tblCostChecklist[RequirementID],tblCost[[#This Row],[RequirementID]],tblCostChecklist[PlayerPaid],TRUE)&gt;0</f>
        <v>0</v>
      </c>
      <c r="I1054" s="41">
        <f>COUNTIF(tblCost[TargetID],tblCost[[#This Row],[TargetID]])</f>
        <v>5</v>
      </c>
      <c r="J1054" s="41">
        <f>COUNTIFS(tblCost[TargetID],tblCost[[#This Row],[TargetID]],tblCost[PlayerPaid],TRUE)</f>
        <v>0</v>
      </c>
      <c r="K1054" s="41">
        <f>tblCost[[#This Row],[TargetRequirements]]-tblCost[[#This Row],[CompletedRequirements]]</f>
        <v>5</v>
      </c>
      <c r="L1054" s="41" t="b">
        <f>tblCost[[#This Row],[RemainingRequirements]]=0</f>
        <v>0</v>
      </c>
      <c r="M1054" s="43">
        <f>IF(tblCost[[#This Row],[TargetRequirements]]=0,0,tblCost[[#This Row],[CompletedRequirements]]/tblCost[[#This Row],[TargetRequirements]])</f>
        <v>0</v>
      </c>
    </row>
    <row r="1055" spans="1:13">
      <c r="A1055" s="41" t="s">
        <v>4703</v>
      </c>
      <c r="B1055" s="41" t="str">
        <f>_xlfn.TEXTAFTER(_xlfn.TEXTBEFORE(tblCost[[#This Row],[RequirementID]],".",-2),"cost.")</f>
        <v>tech.tailor.strong_rivets</v>
      </c>
      <c r="C1055" s="41" t="str">
        <f>_xlfn.XLOOKUP(tblCost[[#This Row],[TargetID]],tblTargets[TargetID],tblTargets[DisplayName],"")</f>
        <v>Tailor - Strong Rivets</v>
      </c>
      <c r="D1055" s="41" t="str">
        <f>_xlfn.XLOOKUP(tblCost[[#This Row],[TargetID]],tblTargets[TargetID],tblTargets[TargetType],"")</f>
        <v>TECH</v>
      </c>
      <c r="E1055" s="41" t="s">
        <v>719</v>
      </c>
      <c r="F1055" s="62" t="str">
        <f>RIGHT(tblCost[[#This Row],[RequirementID]],1)</f>
        <v>1</v>
      </c>
      <c r="G1055" s="41">
        <v>10</v>
      </c>
      <c r="H1055" t="b">
        <f>COUNTIFS(tblCostChecklist[RequirementID],tblCost[[#This Row],[RequirementID]],tblCostChecklist[PlayerPaid],TRUE)&gt;0</f>
        <v>0</v>
      </c>
      <c r="I1055" s="41">
        <f>COUNTIF(tblCost[TargetID],tblCost[[#This Row],[TargetID]])</f>
        <v>5</v>
      </c>
      <c r="J1055" s="41">
        <f>COUNTIFS(tblCost[TargetID],tblCost[[#This Row],[TargetID]],tblCost[PlayerPaid],TRUE)</f>
        <v>0</v>
      </c>
      <c r="K1055" s="41">
        <f>tblCost[[#This Row],[TargetRequirements]]-tblCost[[#This Row],[CompletedRequirements]]</f>
        <v>5</v>
      </c>
      <c r="L1055" s="41" t="b">
        <f>tblCost[[#This Row],[RemainingRequirements]]=0</f>
        <v>0</v>
      </c>
      <c r="M1055" s="43">
        <f>IF(tblCost[[#This Row],[TargetRequirements]]=0,0,tblCost[[#This Row],[CompletedRequirements]]/tblCost[[#This Row],[TargetRequirements]])</f>
        <v>0</v>
      </c>
    </row>
    <row r="1056" spans="1:13">
      <c r="A1056" s="41" t="s">
        <v>4704</v>
      </c>
      <c r="B1056" s="41" t="str">
        <f>_xlfn.TEXTAFTER(_xlfn.TEXTBEFORE(tblCost[[#This Row],[RequirementID]],".",-2),"cost.")</f>
        <v>tech.tailor.colored_threads</v>
      </c>
      <c r="C1056" s="41" t="str">
        <f>_xlfn.XLOOKUP(tblCost[[#This Row],[TargetID]],tblTargets[TargetID],tblTargets[DisplayName],"")</f>
        <v>Tailor - Colored Threads</v>
      </c>
      <c r="D1056" s="41" t="str">
        <f>_xlfn.XLOOKUP(tblCost[[#This Row],[TargetID]],tblTargets[TargetID],tblTargets[TargetType],"")</f>
        <v>TECH</v>
      </c>
      <c r="E1056" s="41" t="s">
        <v>929</v>
      </c>
      <c r="F1056" s="62" t="str">
        <f>RIGHT(tblCost[[#This Row],[RequirementID]],1)</f>
        <v>1</v>
      </c>
      <c r="G1056" s="41">
        <v>10</v>
      </c>
      <c r="H1056" t="b">
        <f>COUNTIFS(tblCostChecklist[RequirementID],tblCost[[#This Row],[RequirementID]],tblCostChecklist[PlayerPaid],TRUE)&gt;0</f>
        <v>0</v>
      </c>
      <c r="I1056" s="41">
        <f>COUNTIF(tblCost[TargetID],tblCost[[#This Row],[TargetID]])</f>
        <v>7</v>
      </c>
      <c r="J1056" s="41">
        <f>COUNTIFS(tblCost[TargetID],tblCost[[#This Row],[TargetID]],tblCost[PlayerPaid],TRUE)</f>
        <v>0</v>
      </c>
      <c r="K1056" s="41">
        <f>tblCost[[#This Row],[TargetRequirements]]-tblCost[[#This Row],[CompletedRequirements]]</f>
        <v>7</v>
      </c>
      <c r="L1056" s="41" t="b">
        <f>tblCost[[#This Row],[RemainingRequirements]]=0</f>
        <v>0</v>
      </c>
      <c r="M1056" s="43">
        <f>IF(tblCost[[#This Row],[TargetRequirements]]=0,0,tblCost[[#This Row],[CompletedRequirements]]/tblCost[[#This Row],[TargetRequirements]])</f>
        <v>0</v>
      </c>
    </row>
    <row r="1057" spans="1:13">
      <c r="A1057" s="41" t="s">
        <v>4705</v>
      </c>
      <c r="B1057" s="41" t="str">
        <f>_xlfn.TEXTAFTER(_xlfn.TEXTBEFORE(tblCost[[#This Row],[RequirementID]],".",-2),"cost.")</f>
        <v>tech.tailor.colored_threads</v>
      </c>
      <c r="C1057" s="41" t="str">
        <f>_xlfn.XLOOKUP(tblCost[[#This Row],[TargetID]],tblTargets[TargetID],tblTargets[DisplayName],"")</f>
        <v>Tailor - Colored Threads</v>
      </c>
      <c r="D1057" s="41" t="str">
        <f>_xlfn.XLOOKUP(tblCost[[#This Row],[TargetID]],tblTargets[TargetID],tblTargets[TargetType],"")</f>
        <v>TECH</v>
      </c>
      <c r="E1057" s="41" t="s">
        <v>666</v>
      </c>
      <c r="F1057" s="62" t="str">
        <f>RIGHT(tblCost[[#This Row],[RequirementID]],1)</f>
        <v>1</v>
      </c>
      <c r="G1057" s="41">
        <v>300</v>
      </c>
      <c r="H1057" t="b">
        <f>COUNTIFS(tblCostChecklist[RequirementID],tblCost[[#This Row],[RequirementID]],tblCostChecklist[PlayerPaid],TRUE)&gt;0</f>
        <v>0</v>
      </c>
      <c r="I1057" s="41">
        <f>COUNTIF(tblCost[TargetID],tblCost[[#This Row],[TargetID]])</f>
        <v>7</v>
      </c>
      <c r="J1057" s="41">
        <f>COUNTIFS(tblCost[TargetID],tblCost[[#This Row],[TargetID]],tblCost[PlayerPaid],TRUE)</f>
        <v>0</v>
      </c>
      <c r="K1057" s="41">
        <f>tblCost[[#This Row],[TargetRequirements]]-tblCost[[#This Row],[CompletedRequirements]]</f>
        <v>7</v>
      </c>
      <c r="L1057" s="41" t="b">
        <f>tblCost[[#This Row],[RemainingRequirements]]=0</f>
        <v>0</v>
      </c>
      <c r="M1057" s="43">
        <f>IF(tblCost[[#This Row],[TargetRequirements]]=0,0,tblCost[[#This Row],[CompletedRequirements]]/tblCost[[#This Row],[TargetRequirements]])</f>
        <v>0</v>
      </c>
    </row>
    <row r="1058" spans="1:13">
      <c r="A1058" s="41" t="s">
        <v>4706</v>
      </c>
      <c r="B1058" s="41" t="str">
        <f>_xlfn.TEXTAFTER(_xlfn.TEXTBEFORE(tblCost[[#This Row],[RequirementID]],".",-2),"cost.")</f>
        <v>tech.tailor.colored_threads</v>
      </c>
      <c r="C1058" s="41" t="str">
        <f>_xlfn.XLOOKUP(tblCost[[#This Row],[TargetID]],tblTargets[TargetID],tblTargets[DisplayName],"")</f>
        <v>Tailor - Colored Threads</v>
      </c>
      <c r="D1058" s="41" t="str">
        <f>_xlfn.XLOOKUP(tblCost[[#This Row],[TargetID]],tblTargets[TargetID],tblTargets[TargetType],"")</f>
        <v>TECH</v>
      </c>
      <c r="E1058" s="41" t="s">
        <v>677</v>
      </c>
      <c r="F1058" s="62" t="str">
        <f>RIGHT(tblCost[[#This Row],[RequirementID]],1)</f>
        <v>1</v>
      </c>
      <c r="G1058" s="41">
        <v>5</v>
      </c>
      <c r="H1058" t="b">
        <f>COUNTIFS(tblCostChecklist[RequirementID],tblCost[[#This Row],[RequirementID]],tblCostChecklist[PlayerPaid],TRUE)&gt;0</f>
        <v>0</v>
      </c>
      <c r="I1058" s="41">
        <f>COUNTIF(tblCost[TargetID],tblCost[[#This Row],[TargetID]])</f>
        <v>7</v>
      </c>
      <c r="J1058" s="41">
        <f>COUNTIFS(tblCost[TargetID],tblCost[[#This Row],[TargetID]],tblCost[PlayerPaid],TRUE)</f>
        <v>0</v>
      </c>
      <c r="K1058" s="41">
        <f>tblCost[[#This Row],[TargetRequirements]]-tblCost[[#This Row],[CompletedRequirements]]</f>
        <v>7</v>
      </c>
      <c r="L1058" s="41" t="b">
        <f>tblCost[[#This Row],[RemainingRequirements]]=0</f>
        <v>0</v>
      </c>
      <c r="M1058" s="43">
        <f>IF(tblCost[[#This Row],[TargetRequirements]]=0,0,tblCost[[#This Row],[CompletedRequirements]]/tblCost[[#This Row],[TargetRequirements]])</f>
        <v>0</v>
      </c>
    </row>
    <row r="1059" spans="1:13">
      <c r="A1059" s="41" t="s">
        <v>4707</v>
      </c>
      <c r="B1059" s="41" t="str">
        <f>_xlfn.TEXTAFTER(_xlfn.TEXTBEFORE(tblCost[[#This Row],[RequirementID]],".",-2),"cost.")</f>
        <v>tech.tailor.colored_threads</v>
      </c>
      <c r="C1059" s="41" t="str">
        <f>_xlfn.XLOOKUP(tblCost[[#This Row],[TargetID]],tblTargets[TargetID],tblTargets[DisplayName],"")</f>
        <v>Tailor - Colored Threads</v>
      </c>
      <c r="D1059" s="41" t="str">
        <f>_xlfn.XLOOKUP(tblCost[[#This Row],[TargetID]],tblTargets[TargetID],tblTargets[TargetType],"")</f>
        <v>TECH</v>
      </c>
      <c r="E1059" s="41" t="s">
        <v>679</v>
      </c>
      <c r="F1059" s="62" t="str">
        <f>RIGHT(tblCost[[#This Row],[RequirementID]],1)</f>
        <v>1</v>
      </c>
      <c r="G1059" s="41">
        <v>10</v>
      </c>
      <c r="H1059" t="b">
        <f>COUNTIFS(tblCostChecklist[RequirementID],tblCost[[#This Row],[RequirementID]],tblCostChecklist[PlayerPaid],TRUE)&gt;0</f>
        <v>0</v>
      </c>
      <c r="I1059" s="41">
        <f>COUNTIF(tblCost[TargetID],tblCost[[#This Row],[TargetID]])</f>
        <v>7</v>
      </c>
      <c r="J1059" s="41">
        <f>COUNTIFS(tblCost[TargetID],tblCost[[#This Row],[TargetID]],tblCost[PlayerPaid],TRUE)</f>
        <v>0</v>
      </c>
      <c r="K1059" s="41">
        <f>tblCost[[#This Row],[TargetRequirements]]-tblCost[[#This Row],[CompletedRequirements]]</f>
        <v>7</v>
      </c>
      <c r="L1059" s="41" t="b">
        <f>tblCost[[#This Row],[RemainingRequirements]]=0</f>
        <v>0</v>
      </c>
      <c r="M1059" s="43">
        <f>IF(tblCost[[#This Row],[TargetRequirements]]=0,0,tblCost[[#This Row],[CompletedRequirements]]/tblCost[[#This Row],[TargetRequirements]])</f>
        <v>0</v>
      </c>
    </row>
    <row r="1060" spans="1:13">
      <c r="A1060" s="41" t="s">
        <v>4708</v>
      </c>
      <c r="B1060" s="41" t="str">
        <f>_xlfn.TEXTAFTER(_xlfn.TEXTBEFORE(tblCost[[#This Row],[RequirementID]],".",-2),"cost.")</f>
        <v>tech.tailor.colored_threads</v>
      </c>
      <c r="C1060" s="41" t="str">
        <f>_xlfn.XLOOKUP(tblCost[[#This Row],[TargetID]],tblTargets[TargetID],tblTargets[DisplayName],"")</f>
        <v>Tailor - Colored Threads</v>
      </c>
      <c r="D1060" s="41" t="str">
        <f>_xlfn.XLOOKUP(tblCost[[#This Row],[TargetID]],tblTargets[TargetID],tblTargets[TargetType],"")</f>
        <v>TECH</v>
      </c>
      <c r="E1060" s="41" t="s">
        <v>705</v>
      </c>
      <c r="F1060" s="62" t="str">
        <f>RIGHT(tblCost[[#This Row],[RequirementID]],1)</f>
        <v>1</v>
      </c>
      <c r="G1060" s="41">
        <v>10</v>
      </c>
      <c r="H1060" t="b">
        <f>COUNTIFS(tblCostChecklist[RequirementID],tblCost[[#This Row],[RequirementID]],tblCostChecklist[PlayerPaid],TRUE)&gt;0</f>
        <v>0</v>
      </c>
      <c r="I1060" s="41">
        <f>COUNTIF(tblCost[TargetID],tblCost[[#This Row],[TargetID]])</f>
        <v>7</v>
      </c>
      <c r="J1060" s="41">
        <f>COUNTIFS(tblCost[TargetID],tblCost[[#This Row],[TargetID]],tblCost[PlayerPaid],TRUE)</f>
        <v>0</v>
      </c>
      <c r="K1060" s="41">
        <f>tblCost[[#This Row],[TargetRequirements]]-tblCost[[#This Row],[CompletedRequirements]]</f>
        <v>7</v>
      </c>
      <c r="L1060" s="41" t="b">
        <f>tblCost[[#This Row],[RemainingRequirements]]=0</f>
        <v>0</v>
      </c>
      <c r="M1060" s="43">
        <f>IF(tblCost[[#This Row],[TargetRequirements]]=0,0,tblCost[[#This Row],[CompletedRequirements]]/tblCost[[#This Row],[TargetRequirements]])</f>
        <v>0</v>
      </c>
    </row>
    <row r="1061" spans="1:13">
      <c r="A1061" s="41" t="s">
        <v>4709</v>
      </c>
      <c r="B1061" s="41" t="str">
        <f>_xlfn.TEXTAFTER(_xlfn.TEXTBEFORE(tblCost[[#This Row],[RequirementID]],".",-2),"cost.")</f>
        <v>tech.tailor.colored_threads</v>
      </c>
      <c r="C1061" s="41" t="str">
        <f>_xlfn.XLOOKUP(tblCost[[#This Row],[TargetID]],tblTargets[TargetID],tblTargets[DisplayName],"")</f>
        <v>Tailor - Colored Threads</v>
      </c>
      <c r="D1061" s="41" t="str">
        <f>_xlfn.XLOOKUP(tblCost[[#This Row],[TargetID]],tblTargets[TargetID],tblTargets[TargetType],"")</f>
        <v>TECH</v>
      </c>
      <c r="E1061" s="41" t="s">
        <v>708</v>
      </c>
      <c r="F1061" s="62" t="str">
        <f>RIGHT(tblCost[[#This Row],[RequirementID]],1)</f>
        <v>1</v>
      </c>
      <c r="G1061" s="41">
        <v>2</v>
      </c>
      <c r="H1061" t="b">
        <f>COUNTIFS(tblCostChecklist[RequirementID],tblCost[[#This Row],[RequirementID]],tblCostChecklist[PlayerPaid],TRUE)&gt;0</f>
        <v>0</v>
      </c>
      <c r="I1061" s="41">
        <f>COUNTIF(tblCost[TargetID],tblCost[[#This Row],[TargetID]])</f>
        <v>7</v>
      </c>
      <c r="J1061" s="41">
        <f>COUNTIFS(tblCost[TargetID],tblCost[[#This Row],[TargetID]],tblCost[PlayerPaid],TRUE)</f>
        <v>0</v>
      </c>
      <c r="K1061" s="41">
        <f>tblCost[[#This Row],[TargetRequirements]]-tblCost[[#This Row],[CompletedRequirements]]</f>
        <v>7</v>
      </c>
      <c r="L1061" s="41" t="b">
        <f>tblCost[[#This Row],[RemainingRequirements]]=0</f>
        <v>0</v>
      </c>
      <c r="M1061" s="43">
        <f>IF(tblCost[[#This Row],[TargetRequirements]]=0,0,tblCost[[#This Row],[CompletedRequirements]]/tblCost[[#This Row],[TargetRequirements]])</f>
        <v>0</v>
      </c>
    </row>
    <row r="1062" spans="1:13">
      <c r="A1062" s="41" t="s">
        <v>4710</v>
      </c>
      <c r="B1062" s="41" t="str">
        <f>_xlfn.TEXTAFTER(_xlfn.TEXTBEFORE(tblCost[[#This Row],[RequirementID]],".",-2),"cost.")</f>
        <v>tech.tailor.colored_threads</v>
      </c>
      <c r="C1062" s="41" t="str">
        <f>_xlfn.XLOOKUP(tblCost[[#This Row],[TargetID]],tblTargets[TargetID],tblTargets[DisplayName],"")</f>
        <v>Tailor - Colored Threads</v>
      </c>
      <c r="D1062" s="41" t="str">
        <f>_xlfn.XLOOKUP(tblCost[[#This Row],[TargetID]],tblTargets[TargetID],tblTargets[TargetType],"")</f>
        <v>TECH</v>
      </c>
      <c r="E1062" s="41" t="s">
        <v>719</v>
      </c>
      <c r="F1062" s="62" t="str">
        <f>RIGHT(tblCost[[#This Row],[RequirementID]],1)</f>
        <v>1</v>
      </c>
      <c r="G1062" s="41">
        <v>10</v>
      </c>
      <c r="H1062" t="b">
        <f>COUNTIFS(tblCostChecklist[RequirementID],tblCost[[#This Row],[RequirementID]],tblCostChecklist[PlayerPaid],TRUE)&gt;0</f>
        <v>0</v>
      </c>
      <c r="I1062" s="41">
        <f>COUNTIF(tblCost[TargetID],tblCost[[#This Row],[TargetID]])</f>
        <v>7</v>
      </c>
      <c r="J1062" s="41">
        <f>COUNTIFS(tblCost[TargetID],tblCost[[#This Row],[TargetID]],tblCost[PlayerPaid],TRUE)</f>
        <v>0</v>
      </c>
      <c r="K1062" s="41">
        <f>tblCost[[#This Row],[TargetRequirements]]-tblCost[[#This Row],[CompletedRequirements]]</f>
        <v>7</v>
      </c>
      <c r="L1062" s="41" t="b">
        <f>tblCost[[#This Row],[RemainingRequirements]]=0</f>
        <v>0</v>
      </c>
      <c r="M1062" s="43">
        <f>IF(tblCost[[#This Row],[TargetRequirements]]=0,0,tblCost[[#This Row],[CompletedRequirements]]/tblCost[[#This Row],[TargetRequirements]])</f>
        <v>0</v>
      </c>
    </row>
    <row r="1063" spans="1:13">
      <c r="A1063" s="41" t="s">
        <v>4711</v>
      </c>
      <c r="B1063" s="41" t="str">
        <f>_xlfn.TEXTAFTER(_xlfn.TEXTBEFORE(tblCost[[#This Row],[RequirementID]],".",-2),"cost.")</f>
        <v>tech.train.compound_engine</v>
      </c>
      <c r="C1063" s="41" t="str">
        <f>_xlfn.XLOOKUP(tblCost[[#This Row],[TargetID]],tblTargets[TargetID],tblTargets[DisplayName],"")</f>
        <v>Train - Compound Engine</v>
      </c>
      <c r="D1063" s="41" t="str">
        <f>_xlfn.XLOOKUP(tblCost[[#This Row],[TargetID]],tblTargets[TargetID],tblTargets[TargetType],"")</f>
        <v>TECH</v>
      </c>
      <c r="E1063" s="41" t="s">
        <v>662</v>
      </c>
      <c r="F1063" s="62" t="str">
        <f>RIGHT(tblCost[[#This Row],[RequirementID]],1)</f>
        <v>1</v>
      </c>
      <c r="G1063" s="41">
        <v>30</v>
      </c>
      <c r="H1063" t="b">
        <f>COUNTIFS(tblCostChecklist[RequirementID],tblCost[[#This Row],[RequirementID]],tblCostChecklist[PlayerPaid],TRUE)&gt;0</f>
        <v>0</v>
      </c>
      <c r="I1063" s="41">
        <f>COUNTIF(tblCost[TargetID],tblCost[[#This Row],[TargetID]])</f>
        <v>5</v>
      </c>
      <c r="J1063" s="41">
        <f>COUNTIFS(tblCost[TargetID],tblCost[[#This Row],[TargetID]],tblCost[PlayerPaid],TRUE)</f>
        <v>0</v>
      </c>
      <c r="K1063" s="41">
        <f>tblCost[[#This Row],[TargetRequirements]]-tblCost[[#This Row],[CompletedRequirements]]</f>
        <v>5</v>
      </c>
      <c r="L1063" s="41" t="b">
        <f>tblCost[[#This Row],[RemainingRequirements]]=0</f>
        <v>0</v>
      </c>
      <c r="M1063" s="43">
        <f>IF(tblCost[[#This Row],[TargetRequirements]]=0,0,tblCost[[#This Row],[CompletedRequirements]]/tblCost[[#This Row],[TargetRequirements]])</f>
        <v>0</v>
      </c>
    </row>
    <row r="1064" spans="1:13">
      <c r="A1064" s="41" t="s">
        <v>4712</v>
      </c>
      <c r="B1064" s="41" t="str">
        <f>_xlfn.TEXTAFTER(_xlfn.TEXTBEFORE(tblCost[[#This Row],[RequirementID]],".",-2),"cost.")</f>
        <v>tech.train.compound_engine</v>
      </c>
      <c r="C1064" s="41" t="str">
        <f>_xlfn.XLOOKUP(tblCost[[#This Row],[TargetID]],tblTargets[TargetID],tblTargets[DisplayName],"")</f>
        <v>Train - Compound Engine</v>
      </c>
      <c r="D1064" s="41" t="str">
        <f>_xlfn.XLOOKUP(tblCost[[#This Row],[TargetID]],tblTargets[TargetID],tblTargets[TargetType],"")</f>
        <v>TECH</v>
      </c>
      <c r="E1064" s="41" t="s">
        <v>666</v>
      </c>
      <c r="F1064" s="62" t="str">
        <f>RIGHT(tblCost[[#This Row],[RequirementID]],1)</f>
        <v>1</v>
      </c>
      <c r="G1064" s="41">
        <v>1500</v>
      </c>
      <c r="H1064" t="b">
        <f>COUNTIFS(tblCostChecklist[RequirementID],tblCost[[#This Row],[RequirementID]],tblCostChecklist[PlayerPaid],TRUE)&gt;0</f>
        <v>0</v>
      </c>
      <c r="I1064" s="41">
        <f>COUNTIF(tblCost[TargetID],tblCost[[#This Row],[TargetID]])</f>
        <v>5</v>
      </c>
      <c r="J1064" s="41">
        <f>COUNTIFS(tblCost[TargetID],tblCost[[#This Row],[TargetID]],tblCost[PlayerPaid],TRUE)</f>
        <v>0</v>
      </c>
      <c r="K1064" s="41">
        <f>tblCost[[#This Row],[TargetRequirements]]-tblCost[[#This Row],[CompletedRequirements]]</f>
        <v>5</v>
      </c>
      <c r="L1064" s="41" t="b">
        <f>tblCost[[#This Row],[RemainingRequirements]]=0</f>
        <v>0</v>
      </c>
      <c r="M1064" s="43">
        <f>IF(tblCost[[#This Row],[TargetRequirements]]=0,0,tblCost[[#This Row],[CompletedRequirements]]/tblCost[[#This Row],[TargetRequirements]])</f>
        <v>0</v>
      </c>
    </row>
    <row r="1065" spans="1:13">
      <c r="A1065" s="41" t="s">
        <v>4713</v>
      </c>
      <c r="B1065" s="41" t="str">
        <f>_xlfn.TEXTAFTER(_xlfn.TEXTBEFORE(tblCost[[#This Row],[RequirementID]],".",-2),"cost.")</f>
        <v>tech.train.compound_engine</v>
      </c>
      <c r="C1065" s="41" t="str">
        <f>_xlfn.XLOOKUP(tblCost[[#This Row],[TargetID]],tblTargets[TargetID],tblTargets[DisplayName],"")</f>
        <v>Train - Compound Engine</v>
      </c>
      <c r="D1065" s="41" t="str">
        <f>_xlfn.XLOOKUP(tblCost[[#This Row],[TargetID]],tblTargets[TargetID],tblTargets[TargetType],"")</f>
        <v>TECH</v>
      </c>
      <c r="E1065" s="41" t="s">
        <v>673</v>
      </c>
      <c r="F1065" s="62" t="str">
        <f>RIGHT(tblCost[[#This Row],[RequirementID]],1)</f>
        <v>1</v>
      </c>
      <c r="G1065" s="41">
        <v>50</v>
      </c>
      <c r="H1065" t="b">
        <f>COUNTIFS(tblCostChecklist[RequirementID],tblCost[[#This Row],[RequirementID]],tblCostChecklist[PlayerPaid],TRUE)&gt;0</f>
        <v>0</v>
      </c>
      <c r="I1065" s="41">
        <f>COUNTIF(tblCost[TargetID],tblCost[[#This Row],[TargetID]])</f>
        <v>5</v>
      </c>
      <c r="J1065" s="41">
        <f>COUNTIFS(tblCost[TargetID],tblCost[[#This Row],[TargetID]],tblCost[PlayerPaid],TRUE)</f>
        <v>0</v>
      </c>
      <c r="K1065" s="41">
        <f>tblCost[[#This Row],[TargetRequirements]]-tblCost[[#This Row],[CompletedRequirements]]</f>
        <v>5</v>
      </c>
      <c r="L1065" s="41" t="b">
        <f>tblCost[[#This Row],[RemainingRequirements]]=0</f>
        <v>0</v>
      </c>
      <c r="M1065" s="43">
        <f>IF(tblCost[[#This Row],[TargetRequirements]]=0,0,tblCost[[#This Row],[CompletedRequirements]]/tblCost[[#This Row],[TargetRequirements]])</f>
        <v>0</v>
      </c>
    </row>
    <row r="1066" spans="1:13">
      <c r="A1066" s="41" t="s">
        <v>4714</v>
      </c>
      <c r="B1066" s="41" t="str">
        <f>_xlfn.TEXTAFTER(_xlfn.TEXTBEFORE(tblCost[[#This Row],[RequirementID]],".",-2),"cost.")</f>
        <v>tech.train.compound_engine</v>
      </c>
      <c r="C1066" s="41" t="str">
        <f>_xlfn.XLOOKUP(tblCost[[#This Row],[TargetID]],tblTargets[TargetID],tblTargets[DisplayName],"")</f>
        <v>Train - Compound Engine</v>
      </c>
      <c r="D1066" s="41" t="str">
        <f>_xlfn.XLOOKUP(tblCost[[#This Row],[TargetID]],tblTargets[TargetID],tblTargets[TargetType],"")</f>
        <v>TECH</v>
      </c>
      <c r="E1066" s="41" t="s">
        <v>686</v>
      </c>
      <c r="F1066" s="62" t="str">
        <f>RIGHT(tblCost[[#This Row],[RequirementID]],1)</f>
        <v>1</v>
      </c>
      <c r="G1066" s="41">
        <v>30</v>
      </c>
      <c r="H1066" t="b">
        <f>COUNTIFS(tblCostChecklist[RequirementID],tblCost[[#This Row],[RequirementID]],tblCostChecklist[PlayerPaid],TRUE)&gt;0</f>
        <v>0</v>
      </c>
      <c r="I1066" s="41">
        <f>COUNTIF(tblCost[TargetID],tblCost[[#This Row],[TargetID]])</f>
        <v>5</v>
      </c>
      <c r="J1066" s="41">
        <f>COUNTIFS(tblCost[TargetID],tblCost[[#This Row],[TargetID]],tblCost[PlayerPaid],TRUE)</f>
        <v>0</v>
      </c>
      <c r="K1066" s="41">
        <f>tblCost[[#This Row],[TargetRequirements]]-tblCost[[#This Row],[CompletedRequirements]]</f>
        <v>5</v>
      </c>
      <c r="L1066" s="41" t="b">
        <f>tblCost[[#This Row],[RemainingRequirements]]=0</f>
        <v>0</v>
      </c>
      <c r="M1066" s="43">
        <f>IF(tblCost[[#This Row],[TargetRequirements]]=0,0,tblCost[[#This Row],[CompletedRequirements]]/tblCost[[#This Row],[TargetRequirements]])</f>
        <v>0</v>
      </c>
    </row>
    <row r="1067" spans="1:13">
      <c r="A1067" s="41" t="s">
        <v>4715</v>
      </c>
      <c r="B1067" s="41" t="str">
        <f>_xlfn.TEXTAFTER(_xlfn.TEXTBEFORE(tblCost[[#This Row],[RequirementID]],".",-2),"cost.")</f>
        <v>tech.train.compound_engine</v>
      </c>
      <c r="C1067" s="41" t="str">
        <f>_xlfn.XLOOKUP(tblCost[[#This Row],[TargetID]],tblTargets[TargetID],tblTargets[DisplayName],"")</f>
        <v>Train - Compound Engine</v>
      </c>
      <c r="D1067" s="41" t="str">
        <f>_xlfn.XLOOKUP(tblCost[[#This Row],[TargetID]],tblTargets[TargetID],tblTargets[TargetType],"")</f>
        <v>TECH</v>
      </c>
      <c r="E1067" s="41" t="s">
        <v>708</v>
      </c>
      <c r="F1067" s="62" t="str">
        <f>RIGHT(tblCost[[#This Row],[RequirementID]],1)</f>
        <v>1</v>
      </c>
      <c r="G1067" s="41">
        <v>4</v>
      </c>
      <c r="H1067" t="b">
        <f>COUNTIFS(tblCostChecklist[RequirementID],tblCost[[#This Row],[RequirementID]],tblCostChecklist[PlayerPaid],TRUE)&gt;0</f>
        <v>0</v>
      </c>
      <c r="I1067" s="41">
        <f>COUNTIF(tblCost[TargetID],tblCost[[#This Row],[TargetID]])</f>
        <v>5</v>
      </c>
      <c r="J1067" s="41">
        <f>COUNTIFS(tblCost[TargetID],tblCost[[#This Row],[TargetID]],tblCost[PlayerPaid],TRUE)</f>
        <v>0</v>
      </c>
      <c r="K1067" s="41">
        <f>tblCost[[#This Row],[TargetRequirements]]-tblCost[[#This Row],[CompletedRequirements]]</f>
        <v>5</v>
      </c>
      <c r="L1067" s="41" t="b">
        <f>tblCost[[#This Row],[RemainingRequirements]]=0</f>
        <v>0</v>
      </c>
      <c r="M1067" s="43">
        <f>IF(tblCost[[#This Row],[TargetRequirements]]=0,0,tblCost[[#This Row],[CompletedRequirements]]/tblCost[[#This Row],[TargetRequirements]])</f>
        <v>0</v>
      </c>
    </row>
    <row r="1068" spans="1:13">
      <c r="A1068" s="41" t="s">
        <v>4716</v>
      </c>
      <c r="B1068" s="41" t="str">
        <f>_xlfn.TEXTAFTER(_xlfn.TEXTBEFORE(tblCost[[#This Row],[RequirementID]],".",-2),"cost.")</f>
        <v>tech.train.superheater</v>
      </c>
      <c r="C1068" s="41" t="str">
        <f>_xlfn.XLOOKUP(tblCost[[#This Row],[TargetID]],tblTargets[TargetID],tblTargets[DisplayName],"")</f>
        <v>Train - Superheater</v>
      </c>
      <c r="D1068" s="41" t="str">
        <f>_xlfn.XLOOKUP(tblCost[[#This Row],[TargetID]],tblTargets[TargetID],tblTargets[TargetType],"")</f>
        <v>TECH</v>
      </c>
      <c r="E1068" s="41" t="s">
        <v>662</v>
      </c>
      <c r="F1068" s="62" t="str">
        <f>RIGHT(tblCost[[#This Row],[RequirementID]],1)</f>
        <v>1</v>
      </c>
      <c r="G1068" s="41">
        <v>30</v>
      </c>
      <c r="H1068" t="b">
        <f>COUNTIFS(tblCostChecklist[RequirementID],tblCost[[#This Row],[RequirementID]],tblCostChecklist[PlayerPaid],TRUE)&gt;0</f>
        <v>0</v>
      </c>
      <c r="I1068" s="41">
        <f>COUNTIF(tblCost[TargetID],tblCost[[#This Row],[TargetID]])</f>
        <v>6</v>
      </c>
      <c r="J1068" s="41">
        <f>COUNTIFS(tblCost[TargetID],tblCost[[#This Row],[TargetID]],tblCost[PlayerPaid],TRUE)</f>
        <v>0</v>
      </c>
      <c r="K1068" s="41">
        <f>tblCost[[#This Row],[TargetRequirements]]-tblCost[[#This Row],[CompletedRequirements]]</f>
        <v>6</v>
      </c>
      <c r="L1068" s="41" t="b">
        <f>tblCost[[#This Row],[RemainingRequirements]]=0</f>
        <v>0</v>
      </c>
      <c r="M1068" s="43">
        <f>IF(tblCost[[#This Row],[TargetRequirements]]=0,0,tblCost[[#This Row],[CompletedRequirements]]/tblCost[[#This Row],[TargetRequirements]])</f>
        <v>0</v>
      </c>
    </row>
    <row r="1069" spans="1:13">
      <c r="A1069" s="41" t="s">
        <v>4717</v>
      </c>
      <c r="B1069" s="41" t="str">
        <f>_xlfn.TEXTAFTER(_xlfn.TEXTBEFORE(tblCost[[#This Row],[RequirementID]],".",-2),"cost.")</f>
        <v>tech.train.superheater</v>
      </c>
      <c r="C1069" s="41" t="str">
        <f>_xlfn.XLOOKUP(tblCost[[#This Row],[TargetID]],tblTargets[TargetID],tblTargets[DisplayName],"")</f>
        <v>Train - Superheater</v>
      </c>
      <c r="D1069" s="41" t="str">
        <f>_xlfn.XLOOKUP(tblCost[[#This Row],[TargetID]],tblTargets[TargetID],tblTargets[TargetType],"")</f>
        <v>TECH</v>
      </c>
      <c r="E1069" s="41" t="s">
        <v>928</v>
      </c>
      <c r="F1069" s="62" t="str">
        <f>RIGHT(tblCost[[#This Row],[RequirementID]],1)</f>
        <v>1</v>
      </c>
      <c r="G1069" s="41">
        <v>30</v>
      </c>
      <c r="H1069" t="b">
        <f>COUNTIFS(tblCostChecklist[RequirementID],tblCost[[#This Row],[RequirementID]],tblCostChecklist[PlayerPaid],TRUE)&gt;0</f>
        <v>0</v>
      </c>
      <c r="I1069" s="41">
        <f>COUNTIF(tblCost[TargetID],tblCost[[#This Row],[TargetID]])</f>
        <v>6</v>
      </c>
      <c r="J1069" s="41">
        <f>COUNTIFS(tblCost[TargetID],tblCost[[#This Row],[TargetID]],tblCost[PlayerPaid],TRUE)</f>
        <v>0</v>
      </c>
      <c r="K1069" s="41">
        <f>tblCost[[#This Row],[TargetRequirements]]-tblCost[[#This Row],[CompletedRequirements]]</f>
        <v>6</v>
      </c>
      <c r="L1069" s="41" t="b">
        <f>tblCost[[#This Row],[RemainingRequirements]]=0</f>
        <v>0</v>
      </c>
      <c r="M1069" s="43">
        <f>IF(tblCost[[#This Row],[TargetRequirements]]=0,0,tblCost[[#This Row],[CompletedRequirements]]/tblCost[[#This Row],[TargetRequirements]])</f>
        <v>0</v>
      </c>
    </row>
    <row r="1070" spans="1:13">
      <c r="A1070" s="41" t="s">
        <v>4718</v>
      </c>
      <c r="B1070" s="41" t="str">
        <f>_xlfn.TEXTAFTER(_xlfn.TEXTBEFORE(tblCost[[#This Row],[RequirementID]],".",-2),"cost.")</f>
        <v>tech.train.superheater</v>
      </c>
      <c r="C1070" s="41" t="str">
        <f>_xlfn.XLOOKUP(tblCost[[#This Row],[TargetID]],tblTargets[TargetID],tblTargets[DisplayName],"")</f>
        <v>Train - Superheater</v>
      </c>
      <c r="D1070" s="41" t="str">
        <f>_xlfn.XLOOKUP(tblCost[[#This Row],[TargetID]],tblTargets[TargetID],tblTargets[TargetType],"")</f>
        <v>TECH</v>
      </c>
      <c r="E1070" s="41" t="s">
        <v>666</v>
      </c>
      <c r="F1070" s="62" t="str">
        <f>RIGHT(tblCost[[#This Row],[RequirementID]],1)</f>
        <v>1</v>
      </c>
      <c r="G1070" s="41">
        <v>1500</v>
      </c>
      <c r="H1070" t="b">
        <f>COUNTIFS(tblCostChecklist[RequirementID],tblCost[[#This Row],[RequirementID]],tblCostChecklist[PlayerPaid],TRUE)&gt;0</f>
        <v>0</v>
      </c>
      <c r="I1070" s="41">
        <f>COUNTIF(tblCost[TargetID],tblCost[[#This Row],[TargetID]])</f>
        <v>6</v>
      </c>
      <c r="J1070" s="41">
        <f>COUNTIFS(tblCost[TargetID],tblCost[[#This Row],[TargetID]],tblCost[PlayerPaid],TRUE)</f>
        <v>0</v>
      </c>
      <c r="K1070" s="41">
        <f>tblCost[[#This Row],[TargetRequirements]]-tblCost[[#This Row],[CompletedRequirements]]</f>
        <v>6</v>
      </c>
      <c r="L1070" s="41" t="b">
        <f>tblCost[[#This Row],[RemainingRequirements]]=0</f>
        <v>0</v>
      </c>
      <c r="M1070" s="43">
        <f>IF(tblCost[[#This Row],[TargetRequirements]]=0,0,tblCost[[#This Row],[CompletedRequirements]]/tblCost[[#This Row],[TargetRequirements]])</f>
        <v>0</v>
      </c>
    </row>
    <row r="1071" spans="1:13">
      <c r="A1071" s="41" t="s">
        <v>4719</v>
      </c>
      <c r="B1071" s="41" t="str">
        <f>_xlfn.TEXTAFTER(_xlfn.TEXTBEFORE(tblCost[[#This Row],[RequirementID]],".",-2),"cost.")</f>
        <v>tech.train.superheater</v>
      </c>
      <c r="C1071" s="41" t="str">
        <f>_xlfn.XLOOKUP(tblCost[[#This Row],[TargetID]],tblTargets[TargetID],tblTargets[DisplayName],"")</f>
        <v>Train - Superheater</v>
      </c>
      <c r="D1071" s="41" t="str">
        <f>_xlfn.XLOOKUP(tblCost[[#This Row],[TargetID]],tblTargets[TargetID],tblTargets[TargetType],"")</f>
        <v>TECH</v>
      </c>
      <c r="E1071" s="41" t="s">
        <v>686</v>
      </c>
      <c r="F1071" s="62" t="str">
        <f>RIGHT(tblCost[[#This Row],[RequirementID]],1)</f>
        <v>1</v>
      </c>
      <c r="G1071" s="41">
        <v>30</v>
      </c>
      <c r="H1071" t="b">
        <f>COUNTIFS(tblCostChecklist[RequirementID],tblCost[[#This Row],[RequirementID]],tblCostChecklist[PlayerPaid],TRUE)&gt;0</f>
        <v>0</v>
      </c>
      <c r="I1071" s="41">
        <f>COUNTIF(tblCost[TargetID],tblCost[[#This Row],[TargetID]])</f>
        <v>6</v>
      </c>
      <c r="J1071" s="41">
        <f>COUNTIFS(tblCost[TargetID],tblCost[[#This Row],[TargetID]],tblCost[PlayerPaid],TRUE)</f>
        <v>0</v>
      </c>
      <c r="K1071" s="41">
        <f>tblCost[[#This Row],[TargetRequirements]]-tblCost[[#This Row],[CompletedRequirements]]</f>
        <v>6</v>
      </c>
      <c r="L1071" s="41" t="b">
        <f>tblCost[[#This Row],[RemainingRequirements]]=0</f>
        <v>0</v>
      </c>
      <c r="M1071" s="43">
        <f>IF(tblCost[[#This Row],[TargetRequirements]]=0,0,tblCost[[#This Row],[CompletedRequirements]]/tblCost[[#This Row],[TargetRequirements]])</f>
        <v>0</v>
      </c>
    </row>
    <row r="1072" spans="1:13">
      <c r="A1072" s="41" t="s">
        <v>4720</v>
      </c>
      <c r="B1072" s="41" t="str">
        <f>_xlfn.TEXTAFTER(_xlfn.TEXTBEFORE(tblCost[[#This Row],[RequirementID]],".",-2),"cost.")</f>
        <v>tech.train.superheater</v>
      </c>
      <c r="C1072" s="41" t="str">
        <f>_xlfn.XLOOKUP(tblCost[[#This Row],[TargetID]],tblTargets[TargetID],tblTargets[DisplayName],"")</f>
        <v>Train - Superheater</v>
      </c>
      <c r="D1072" s="41" t="str">
        <f>_xlfn.XLOOKUP(tblCost[[#This Row],[TargetID]],tblTargets[TargetID],tblTargets[TargetType],"")</f>
        <v>TECH</v>
      </c>
      <c r="E1072" s="41" t="s">
        <v>708</v>
      </c>
      <c r="F1072" s="62" t="str">
        <f>RIGHT(tblCost[[#This Row],[RequirementID]],1)</f>
        <v>1</v>
      </c>
      <c r="G1072" s="41">
        <v>4</v>
      </c>
      <c r="H1072" t="b">
        <f>COUNTIFS(tblCostChecklist[RequirementID],tblCost[[#This Row],[RequirementID]],tblCostChecklist[PlayerPaid],TRUE)&gt;0</f>
        <v>0</v>
      </c>
      <c r="I1072" s="41">
        <f>COUNTIF(tblCost[TargetID],tblCost[[#This Row],[TargetID]])</f>
        <v>6</v>
      </c>
      <c r="J1072" s="41">
        <f>COUNTIFS(tblCost[TargetID],tblCost[[#This Row],[TargetID]],tblCost[PlayerPaid],TRUE)</f>
        <v>0</v>
      </c>
      <c r="K1072" s="41">
        <f>tblCost[[#This Row],[TargetRequirements]]-tblCost[[#This Row],[CompletedRequirements]]</f>
        <v>6</v>
      </c>
      <c r="L1072" s="41" t="b">
        <f>tblCost[[#This Row],[RemainingRequirements]]=0</f>
        <v>0</v>
      </c>
      <c r="M1072" s="43">
        <f>IF(tblCost[[#This Row],[TargetRequirements]]=0,0,tblCost[[#This Row],[CompletedRequirements]]/tblCost[[#This Row],[TargetRequirements]])</f>
        <v>0</v>
      </c>
    </row>
    <row r="1073" spans="1:13">
      <c r="A1073" s="41" t="s">
        <v>4721</v>
      </c>
      <c r="B1073" s="41" t="str">
        <f>_xlfn.TEXTAFTER(_xlfn.TEXTBEFORE(tblCost[[#This Row],[RequirementID]],".",-2),"cost.")</f>
        <v>tech.train.superheater</v>
      </c>
      <c r="C1073" s="41" t="str">
        <f>_xlfn.XLOOKUP(tblCost[[#This Row],[TargetID]],tblTargets[TargetID],tblTargets[DisplayName],"")</f>
        <v>Train - Superheater</v>
      </c>
      <c r="D1073" s="41" t="str">
        <f>_xlfn.XLOOKUP(tblCost[[#This Row],[TargetID]],tblTargets[TargetID],tblTargets[TargetType],"")</f>
        <v>TECH</v>
      </c>
      <c r="E1073" s="41" t="s">
        <v>716</v>
      </c>
      <c r="F1073" s="62" t="str">
        <f>RIGHT(tblCost[[#This Row],[RequirementID]],1)</f>
        <v>1</v>
      </c>
      <c r="G1073" s="41">
        <v>500</v>
      </c>
      <c r="H1073" t="b">
        <f>COUNTIFS(tblCostChecklist[RequirementID],tblCost[[#This Row],[RequirementID]],tblCostChecklist[PlayerPaid],TRUE)&gt;0</f>
        <v>0</v>
      </c>
      <c r="I1073" s="41">
        <f>COUNTIF(tblCost[TargetID],tblCost[[#This Row],[TargetID]])</f>
        <v>6</v>
      </c>
      <c r="J1073" s="41">
        <f>COUNTIFS(tblCost[TargetID],tblCost[[#This Row],[TargetID]],tblCost[PlayerPaid],TRUE)</f>
        <v>0</v>
      </c>
      <c r="K1073" s="41">
        <f>tblCost[[#This Row],[TargetRequirements]]-tblCost[[#This Row],[CompletedRequirements]]</f>
        <v>6</v>
      </c>
      <c r="L1073" s="41" t="b">
        <f>tblCost[[#This Row],[RemainingRequirements]]=0</f>
        <v>0</v>
      </c>
      <c r="M1073" s="43">
        <f>IF(tblCost[[#This Row],[TargetRequirements]]=0,0,tblCost[[#This Row],[CompletedRequirements]]/tblCost[[#This Row],[TargetRequirements]])</f>
        <v>0</v>
      </c>
    </row>
    <row r="1074" spans="1:13">
      <c r="A1074" s="41" t="s">
        <v>4722</v>
      </c>
      <c r="B1074" s="41" t="str">
        <f>_xlfn.TEXTAFTER(_xlfn.TEXTBEFORE(tblCost[[#This Row],[RequirementID]],".",-2),"cost.")</f>
        <v>tech.train.automatic_lubricator</v>
      </c>
      <c r="C1074" s="41" t="str">
        <f>_xlfn.XLOOKUP(tblCost[[#This Row],[TargetID]],tblTargets[TargetID],tblTargets[DisplayName],"")</f>
        <v>Train - Automatic Lubricator</v>
      </c>
      <c r="D1074" s="41" t="str">
        <f>_xlfn.XLOOKUP(tblCost[[#This Row],[TargetID]],tblTargets[TargetID],tblTargets[TargetType],"")</f>
        <v>TECH</v>
      </c>
      <c r="E1074" s="41" t="s">
        <v>662</v>
      </c>
      <c r="F1074" s="62" t="str">
        <f>RIGHT(tblCost[[#This Row],[RequirementID]],1)</f>
        <v>1</v>
      </c>
      <c r="G1074" s="41">
        <v>30</v>
      </c>
      <c r="H1074" t="b">
        <f>COUNTIFS(tblCostChecklist[RequirementID],tblCost[[#This Row],[RequirementID]],tblCostChecklist[PlayerPaid],TRUE)&gt;0</f>
        <v>0</v>
      </c>
      <c r="I1074" s="41">
        <f>COUNTIF(tblCost[TargetID],tblCost[[#This Row],[TargetID]])</f>
        <v>5</v>
      </c>
      <c r="J1074" s="41">
        <f>COUNTIFS(tblCost[TargetID],tblCost[[#This Row],[TargetID]],tblCost[PlayerPaid],TRUE)</f>
        <v>0</v>
      </c>
      <c r="K1074" s="41">
        <f>tblCost[[#This Row],[TargetRequirements]]-tblCost[[#This Row],[CompletedRequirements]]</f>
        <v>5</v>
      </c>
      <c r="L1074" s="41" t="b">
        <f>tblCost[[#This Row],[RemainingRequirements]]=0</f>
        <v>0</v>
      </c>
      <c r="M1074" s="43">
        <f>IF(tblCost[[#This Row],[TargetRequirements]]=0,0,tblCost[[#This Row],[CompletedRequirements]]/tblCost[[#This Row],[TargetRequirements]])</f>
        <v>0</v>
      </c>
    </row>
    <row r="1075" spans="1:13">
      <c r="A1075" s="41" t="s">
        <v>4723</v>
      </c>
      <c r="B1075" s="41" t="str">
        <f>_xlfn.TEXTAFTER(_xlfn.TEXTBEFORE(tblCost[[#This Row],[RequirementID]],".",-2),"cost.")</f>
        <v>tech.train.automatic_lubricator</v>
      </c>
      <c r="C1075" s="41" t="str">
        <f>_xlfn.XLOOKUP(tblCost[[#This Row],[TargetID]],tblTargets[TargetID],tblTargets[DisplayName],"")</f>
        <v>Train - Automatic Lubricator</v>
      </c>
      <c r="D1075" s="41" t="str">
        <f>_xlfn.XLOOKUP(tblCost[[#This Row],[TargetID]],tblTargets[TargetID],tblTargets[TargetType],"")</f>
        <v>TECH</v>
      </c>
      <c r="E1075" s="41" t="s">
        <v>666</v>
      </c>
      <c r="F1075" s="62" t="str">
        <f>RIGHT(tblCost[[#This Row],[RequirementID]],1)</f>
        <v>1</v>
      </c>
      <c r="G1075" s="41">
        <v>1500</v>
      </c>
      <c r="H1075" t="b">
        <f>COUNTIFS(tblCostChecklist[RequirementID],tblCost[[#This Row],[RequirementID]],tblCostChecklist[PlayerPaid],TRUE)&gt;0</f>
        <v>0</v>
      </c>
      <c r="I1075" s="41">
        <f>COUNTIF(tblCost[TargetID],tblCost[[#This Row],[TargetID]])</f>
        <v>5</v>
      </c>
      <c r="J1075" s="41">
        <f>COUNTIFS(tblCost[TargetID],tblCost[[#This Row],[TargetID]],tblCost[PlayerPaid],TRUE)</f>
        <v>0</v>
      </c>
      <c r="K1075" s="41">
        <f>tblCost[[#This Row],[TargetRequirements]]-tblCost[[#This Row],[CompletedRequirements]]</f>
        <v>5</v>
      </c>
      <c r="L1075" s="41" t="b">
        <f>tblCost[[#This Row],[RemainingRequirements]]=0</f>
        <v>0</v>
      </c>
      <c r="M1075" s="43">
        <f>IF(tblCost[[#This Row],[TargetRequirements]]=0,0,tblCost[[#This Row],[CompletedRequirements]]/tblCost[[#This Row],[TargetRequirements]])</f>
        <v>0</v>
      </c>
    </row>
    <row r="1076" spans="1:13">
      <c r="A1076" s="41" t="s">
        <v>4724</v>
      </c>
      <c r="B1076" s="41" t="str">
        <f>_xlfn.TEXTAFTER(_xlfn.TEXTBEFORE(tblCost[[#This Row],[RequirementID]],".",-2),"cost.")</f>
        <v>tech.train.automatic_lubricator</v>
      </c>
      <c r="C1076" s="41" t="str">
        <f>_xlfn.XLOOKUP(tblCost[[#This Row],[TargetID]],tblTargets[TargetID],tblTargets[DisplayName],"")</f>
        <v>Train - Automatic Lubricator</v>
      </c>
      <c r="D1076" s="41" t="str">
        <f>_xlfn.XLOOKUP(tblCost[[#This Row],[TargetID]],tblTargets[TargetID],tblTargets[TargetType],"")</f>
        <v>TECH</v>
      </c>
      <c r="E1076" s="41" t="s">
        <v>686</v>
      </c>
      <c r="F1076" s="62" t="str">
        <f>RIGHT(tblCost[[#This Row],[RequirementID]],1)</f>
        <v>1</v>
      </c>
      <c r="G1076" s="41">
        <v>30</v>
      </c>
      <c r="H1076" t="b">
        <f>COUNTIFS(tblCostChecklist[RequirementID],tblCost[[#This Row],[RequirementID]],tblCostChecklist[PlayerPaid],TRUE)&gt;0</f>
        <v>0</v>
      </c>
      <c r="I1076" s="41">
        <f>COUNTIF(tblCost[TargetID],tblCost[[#This Row],[TargetID]])</f>
        <v>5</v>
      </c>
      <c r="J1076" s="41">
        <f>COUNTIFS(tblCost[TargetID],tblCost[[#This Row],[TargetID]],tblCost[PlayerPaid],TRUE)</f>
        <v>0</v>
      </c>
      <c r="K1076" s="41">
        <f>tblCost[[#This Row],[TargetRequirements]]-tblCost[[#This Row],[CompletedRequirements]]</f>
        <v>5</v>
      </c>
      <c r="L1076" s="41" t="b">
        <f>tblCost[[#This Row],[RemainingRequirements]]=0</f>
        <v>0</v>
      </c>
      <c r="M1076" s="43">
        <f>IF(tblCost[[#This Row],[TargetRequirements]]=0,0,tblCost[[#This Row],[CompletedRequirements]]/tblCost[[#This Row],[TargetRequirements]])</f>
        <v>0</v>
      </c>
    </row>
    <row r="1077" spans="1:13">
      <c r="A1077" s="41" t="s">
        <v>4725</v>
      </c>
      <c r="B1077" s="41" t="str">
        <f>_xlfn.TEXTAFTER(_xlfn.TEXTBEFORE(tblCost[[#This Row],[RequirementID]],".",-2),"cost.")</f>
        <v>tech.train.automatic_lubricator</v>
      </c>
      <c r="C1077" s="41" t="str">
        <f>_xlfn.XLOOKUP(tblCost[[#This Row],[TargetID]],tblTargets[TargetID],tblTargets[DisplayName],"")</f>
        <v>Train - Automatic Lubricator</v>
      </c>
      <c r="D1077" s="41" t="str">
        <f>_xlfn.XLOOKUP(tblCost[[#This Row],[TargetID]],tblTargets[TargetID],tblTargets[TargetType],"")</f>
        <v>TECH</v>
      </c>
      <c r="E1077" s="41" t="s">
        <v>695</v>
      </c>
      <c r="F1077" s="62" t="str">
        <f>RIGHT(tblCost[[#This Row],[RequirementID]],1)</f>
        <v>1</v>
      </c>
      <c r="G1077" s="41">
        <v>50</v>
      </c>
      <c r="H1077" t="b">
        <f>COUNTIFS(tblCostChecklist[RequirementID],tblCost[[#This Row],[RequirementID]],tblCostChecklist[PlayerPaid],TRUE)&gt;0</f>
        <v>0</v>
      </c>
      <c r="I1077" s="41">
        <f>COUNTIF(tblCost[TargetID],tblCost[[#This Row],[TargetID]])</f>
        <v>5</v>
      </c>
      <c r="J1077" s="41">
        <f>COUNTIFS(tblCost[TargetID],tblCost[[#This Row],[TargetID]],tblCost[PlayerPaid],TRUE)</f>
        <v>0</v>
      </c>
      <c r="K1077" s="41">
        <f>tblCost[[#This Row],[TargetRequirements]]-tblCost[[#This Row],[CompletedRequirements]]</f>
        <v>5</v>
      </c>
      <c r="L1077" s="41" t="b">
        <f>tblCost[[#This Row],[RemainingRequirements]]=0</f>
        <v>0</v>
      </c>
      <c r="M1077" s="43">
        <f>IF(tblCost[[#This Row],[TargetRequirements]]=0,0,tblCost[[#This Row],[CompletedRequirements]]/tblCost[[#This Row],[TargetRequirements]])</f>
        <v>0</v>
      </c>
    </row>
    <row r="1078" spans="1:13">
      <c r="A1078" s="41" t="s">
        <v>4726</v>
      </c>
      <c r="B1078" s="41" t="str">
        <f>_xlfn.TEXTAFTER(_xlfn.TEXTBEFORE(tblCost[[#This Row],[RequirementID]],".",-2),"cost.")</f>
        <v>tech.train.automatic_lubricator</v>
      </c>
      <c r="C1078" s="41" t="str">
        <f>_xlfn.XLOOKUP(tblCost[[#This Row],[TargetID]],tblTargets[TargetID],tblTargets[DisplayName],"")</f>
        <v>Train - Automatic Lubricator</v>
      </c>
      <c r="D1078" s="41" t="str">
        <f>_xlfn.XLOOKUP(tblCost[[#This Row],[TargetID]],tblTargets[TargetID],tblTargets[TargetType],"")</f>
        <v>TECH</v>
      </c>
      <c r="E1078" s="41" t="s">
        <v>708</v>
      </c>
      <c r="F1078" s="62" t="str">
        <f>RIGHT(tblCost[[#This Row],[RequirementID]],1)</f>
        <v>1</v>
      </c>
      <c r="G1078" s="41">
        <v>4</v>
      </c>
      <c r="H1078" t="b">
        <f>COUNTIFS(tblCostChecklist[RequirementID],tblCost[[#This Row],[RequirementID]],tblCostChecklist[PlayerPaid],TRUE)&gt;0</f>
        <v>0</v>
      </c>
      <c r="I1078" s="41">
        <f>COUNTIF(tblCost[TargetID],tblCost[[#This Row],[TargetID]])</f>
        <v>5</v>
      </c>
      <c r="J1078" s="41">
        <f>COUNTIFS(tblCost[TargetID],tblCost[[#This Row],[TargetID]],tblCost[PlayerPaid],TRUE)</f>
        <v>0</v>
      </c>
      <c r="K1078" s="41">
        <f>tblCost[[#This Row],[TargetRequirements]]-tblCost[[#This Row],[CompletedRequirements]]</f>
        <v>5</v>
      </c>
      <c r="L1078" s="41" t="b">
        <f>tblCost[[#This Row],[RemainingRequirements]]=0</f>
        <v>0</v>
      </c>
      <c r="M1078" s="43">
        <f>IF(tblCost[[#This Row],[TargetRequirements]]=0,0,tblCost[[#This Row],[CompletedRequirements]]/tblCost[[#This Row],[TargetRequirements]])</f>
        <v>0</v>
      </c>
    </row>
    <row r="1079" spans="1:13">
      <c r="A1079" s="41" t="s">
        <v>4727</v>
      </c>
      <c r="B1079" s="41" t="str">
        <f>_xlfn.TEXTAFTER(_xlfn.TEXTBEFORE(tblCost[[#This Row],[RequirementID]],".",-2),"cost.")</f>
        <v>tech.train.titanium_components</v>
      </c>
      <c r="C1079" s="41" t="str">
        <f>_xlfn.XLOOKUP(tblCost[[#This Row],[TargetID]],tblTargets[TargetID],tblTargets[DisplayName],"")</f>
        <v>Train - Titanium Components</v>
      </c>
      <c r="D1079" s="41" t="str">
        <f>_xlfn.XLOOKUP(tblCost[[#This Row],[TargetID]],tblTargets[TargetID],tblTargets[TargetType],"")</f>
        <v>TECH</v>
      </c>
      <c r="E1079" s="41" t="s">
        <v>655</v>
      </c>
      <c r="F1079" s="62" t="str">
        <f>RIGHT(tblCost[[#This Row],[RequirementID]],1)</f>
        <v>1</v>
      </c>
      <c r="G1079" s="41">
        <v>10</v>
      </c>
      <c r="H1079" t="b">
        <f>COUNTIFS(tblCostChecklist[RequirementID],tblCost[[#This Row],[RequirementID]],tblCostChecklist[PlayerPaid],TRUE)&gt;0</f>
        <v>0</v>
      </c>
      <c r="I1079" s="41">
        <f>COUNTIF(tblCost[TargetID],tblCost[[#This Row],[TargetID]])</f>
        <v>6</v>
      </c>
      <c r="J1079" s="41">
        <f>COUNTIFS(tblCost[TargetID],tblCost[[#This Row],[TargetID]],tblCost[PlayerPaid],TRUE)</f>
        <v>0</v>
      </c>
      <c r="K1079" s="41">
        <f>tblCost[[#This Row],[TargetRequirements]]-tblCost[[#This Row],[CompletedRequirements]]</f>
        <v>6</v>
      </c>
      <c r="L1079" s="41" t="b">
        <f>tblCost[[#This Row],[RemainingRequirements]]=0</f>
        <v>0</v>
      </c>
      <c r="M1079" s="43">
        <f>IF(tblCost[[#This Row],[TargetRequirements]]=0,0,tblCost[[#This Row],[CompletedRequirements]]/tblCost[[#This Row],[TargetRequirements]])</f>
        <v>0</v>
      </c>
    </row>
    <row r="1080" spans="1:13">
      <c r="A1080" s="41" t="s">
        <v>4728</v>
      </c>
      <c r="B1080" s="41" t="str">
        <f>_xlfn.TEXTAFTER(_xlfn.TEXTBEFORE(tblCost[[#This Row],[RequirementID]],".",-2),"cost.")</f>
        <v>tech.train.titanium_components</v>
      </c>
      <c r="C1080" s="41" t="str">
        <f>_xlfn.XLOOKUP(tblCost[[#This Row],[TargetID]],tblTargets[TargetID],tblTargets[DisplayName],"")</f>
        <v>Train - Titanium Components</v>
      </c>
      <c r="D1080" s="41" t="str">
        <f>_xlfn.XLOOKUP(tblCost[[#This Row],[TargetID]],tblTargets[TargetID],tblTargets[TargetType],"")</f>
        <v>TECH</v>
      </c>
      <c r="E1080" s="41" t="s">
        <v>662</v>
      </c>
      <c r="F1080" s="62" t="str">
        <f>RIGHT(tblCost[[#This Row],[RequirementID]],1)</f>
        <v>1</v>
      </c>
      <c r="G1080" s="41">
        <v>30</v>
      </c>
      <c r="H1080" t="b">
        <f>COUNTIFS(tblCostChecklist[RequirementID],tblCost[[#This Row],[RequirementID]],tblCostChecklist[PlayerPaid],TRUE)&gt;0</f>
        <v>0</v>
      </c>
      <c r="I1080" s="41">
        <f>COUNTIF(tblCost[TargetID],tblCost[[#This Row],[TargetID]])</f>
        <v>6</v>
      </c>
      <c r="J1080" s="41">
        <f>COUNTIFS(tblCost[TargetID],tblCost[[#This Row],[TargetID]],tblCost[PlayerPaid],TRUE)</f>
        <v>0</v>
      </c>
      <c r="K1080" s="41">
        <f>tblCost[[#This Row],[TargetRequirements]]-tblCost[[#This Row],[CompletedRequirements]]</f>
        <v>6</v>
      </c>
      <c r="L1080" s="41" t="b">
        <f>tblCost[[#This Row],[RemainingRequirements]]=0</f>
        <v>0</v>
      </c>
      <c r="M1080" s="43">
        <f>IF(tblCost[[#This Row],[TargetRequirements]]=0,0,tblCost[[#This Row],[CompletedRequirements]]/tblCost[[#This Row],[TargetRequirements]])</f>
        <v>0</v>
      </c>
    </row>
    <row r="1081" spans="1:13">
      <c r="A1081" s="41" t="s">
        <v>4729</v>
      </c>
      <c r="B1081" s="41" t="str">
        <f>_xlfn.TEXTAFTER(_xlfn.TEXTBEFORE(tblCost[[#This Row],[RequirementID]],".",-2),"cost.")</f>
        <v>tech.train.titanium_components</v>
      </c>
      <c r="C1081" s="41" t="str">
        <f>_xlfn.XLOOKUP(tblCost[[#This Row],[TargetID]],tblTargets[TargetID],tblTargets[DisplayName],"")</f>
        <v>Train - Titanium Components</v>
      </c>
      <c r="D1081" s="41" t="str">
        <f>_xlfn.XLOOKUP(tblCost[[#This Row],[TargetID]],tblTargets[TargetID],tblTargets[TargetType],"")</f>
        <v>TECH</v>
      </c>
      <c r="E1081" s="41" t="s">
        <v>666</v>
      </c>
      <c r="F1081" s="62" t="str">
        <f>RIGHT(tblCost[[#This Row],[RequirementID]],1)</f>
        <v>1</v>
      </c>
      <c r="G1081" s="41">
        <v>1500</v>
      </c>
      <c r="H1081" t="b">
        <f>COUNTIFS(tblCostChecklist[RequirementID],tblCost[[#This Row],[RequirementID]],tblCostChecklist[PlayerPaid],TRUE)&gt;0</f>
        <v>0</v>
      </c>
      <c r="I1081" s="41">
        <f>COUNTIF(tblCost[TargetID],tblCost[[#This Row],[TargetID]])</f>
        <v>6</v>
      </c>
      <c r="J1081" s="41">
        <f>COUNTIFS(tblCost[TargetID],tblCost[[#This Row],[TargetID]],tblCost[PlayerPaid],TRUE)</f>
        <v>0</v>
      </c>
      <c r="K1081" s="41">
        <f>tblCost[[#This Row],[TargetRequirements]]-tblCost[[#This Row],[CompletedRequirements]]</f>
        <v>6</v>
      </c>
      <c r="L1081" s="41" t="b">
        <f>tblCost[[#This Row],[RemainingRequirements]]=0</f>
        <v>0</v>
      </c>
      <c r="M1081" s="43">
        <f>IF(tblCost[[#This Row],[TargetRequirements]]=0,0,tblCost[[#This Row],[CompletedRequirements]]/tblCost[[#This Row],[TargetRequirements]])</f>
        <v>0</v>
      </c>
    </row>
    <row r="1082" spans="1:13">
      <c r="A1082" s="41" t="s">
        <v>4730</v>
      </c>
      <c r="B1082" s="41" t="str">
        <f>_xlfn.TEXTAFTER(_xlfn.TEXTBEFORE(tblCost[[#This Row],[RequirementID]],".",-2),"cost.")</f>
        <v>tech.train.titanium_components</v>
      </c>
      <c r="C1082" s="41" t="str">
        <f>_xlfn.XLOOKUP(tblCost[[#This Row],[TargetID]],tblTargets[TargetID],tblTargets[DisplayName],"")</f>
        <v>Train - Titanium Components</v>
      </c>
      <c r="D1082" s="41" t="str">
        <f>_xlfn.XLOOKUP(tblCost[[#This Row],[TargetID]],tblTargets[TargetID],tblTargets[TargetType],"")</f>
        <v>TECH</v>
      </c>
      <c r="E1082" s="41" t="s">
        <v>705</v>
      </c>
      <c r="F1082" s="62" t="str">
        <f>RIGHT(tblCost[[#This Row],[RequirementID]],1)</f>
        <v>1</v>
      </c>
      <c r="G1082" s="41">
        <v>20</v>
      </c>
      <c r="H1082" t="b">
        <f>COUNTIFS(tblCostChecklist[RequirementID],tblCost[[#This Row],[RequirementID]],tblCostChecklist[PlayerPaid],TRUE)&gt;0</f>
        <v>0</v>
      </c>
      <c r="I1082" s="41">
        <f>COUNTIF(tblCost[TargetID],tblCost[[#This Row],[TargetID]])</f>
        <v>6</v>
      </c>
      <c r="J1082" s="41">
        <f>COUNTIFS(tblCost[TargetID],tblCost[[#This Row],[TargetID]],tblCost[PlayerPaid],TRUE)</f>
        <v>0</v>
      </c>
      <c r="K1082" s="41">
        <f>tblCost[[#This Row],[TargetRequirements]]-tblCost[[#This Row],[CompletedRequirements]]</f>
        <v>6</v>
      </c>
      <c r="L1082" s="41" t="b">
        <f>tblCost[[#This Row],[RemainingRequirements]]=0</f>
        <v>0</v>
      </c>
      <c r="M1082" s="43">
        <f>IF(tblCost[[#This Row],[TargetRequirements]]=0,0,tblCost[[#This Row],[CompletedRequirements]]/tblCost[[#This Row],[TargetRequirements]])</f>
        <v>0</v>
      </c>
    </row>
    <row r="1083" spans="1:13">
      <c r="A1083" s="41" t="s">
        <v>4731</v>
      </c>
      <c r="B1083" s="41" t="str">
        <f>_xlfn.TEXTAFTER(_xlfn.TEXTBEFORE(tblCost[[#This Row],[RequirementID]],".",-2),"cost.")</f>
        <v>tech.train.titanium_components</v>
      </c>
      <c r="C1083" s="41" t="str">
        <f>_xlfn.XLOOKUP(tblCost[[#This Row],[TargetID]],tblTargets[TargetID],tblTargets[DisplayName],"")</f>
        <v>Train - Titanium Components</v>
      </c>
      <c r="D1083" s="41" t="str">
        <f>_xlfn.XLOOKUP(tblCost[[#This Row],[TargetID]],tblTargets[TargetID],tblTargets[TargetType],"")</f>
        <v>TECH</v>
      </c>
      <c r="E1083" s="41" t="s">
        <v>708</v>
      </c>
      <c r="F1083" s="62" t="str">
        <f>RIGHT(tblCost[[#This Row],[RequirementID]],1)</f>
        <v>1</v>
      </c>
      <c r="G1083" s="41">
        <v>5</v>
      </c>
      <c r="H1083" t="b">
        <f>COUNTIFS(tblCostChecklist[RequirementID],tblCost[[#This Row],[RequirementID]],tblCostChecklist[PlayerPaid],TRUE)&gt;0</f>
        <v>0</v>
      </c>
      <c r="I1083" s="41">
        <f>COUNTIF(tblCost[TargetID],tblCost[[#This Row],[TargetID]])</f>
        <v>6</v>
      </c>
      <c r="J1083" s="41">
        <f>COUNTIFS(tblCost[TargetID],tblCost[[#This Row],[TargetID]],tblCost[PlayerPaid],TRUE)</f>
        <v>0</v>
      </c>
      <c r="K1083" s="41">
        <f>tblCost[[#This Row],[TargetRequirements]]-tblCost[[#This Row],[CompletedRequirements]]</f>
        <v>6</v>
      </c>
      <c r="L1083" s="41" t="b">
        <f>tblCost[[#This Row],[RemainingRequirements]]=0</f>
        <v>0</v>
      </c>
      <c r="M1083" s="43">
        <f>IF(tblCost[[#This Row],[TargetRequirements]]=0,0,tblCost[[#This Row],[CompletedRequirements]]/tblCost[[#This Row],[TargetRequirements]])</f>
        <v>0</v>
      </c>
    </row>
    <row r="1084" spans="1:13">
      <c r="A1084" s="41" t="s">
        <v>4732</v>
      </c>
      <c r="B1084" s="41" t="str">
        <f>_xlfn.TEXTAFTER(_xlfn.TEXTBEFORE(tblCost[[#This Row],[RequirementID]],".",-2),"cost.")</f>
        <v>tech.train.titanium_components</v>
      </c>
      <c r="C1084" s="41" t="str">
        <f>_xlfn.XLOOKUP(tblCost[[#This Row],[TargetID]],tblTargets[TargetID],tblTargets[DisplayName],"")</f>
        <v>Train - Titanium Components</v>
      </c>
      <c r="D1084" s="41" t="str">
        <f>_xlfn.XLOOKUP(tblCost[[#This Row],[TargetID]],tblTargets[TargetID],tblTargets[TargetType],"")</f>
        <v>TECH</v>
      </c>
      <c r="E1084" s="41" t="s">
        <v>955</v>
      </c>
      <c r="F1084" s="62" t="str">
        <f>RIGHT(tblCost[[#This Row],[RequirementID]],1)</f>
        <v>1</v>
      </c>
      <c r="G1084" s="41">
        <v>30</v>
      </c>
      <c r="H1084" t="b">
        <f>COUNTIFS(tblCostChecklist[RequirementID],tblCost[[#This Row],[RequirementID]],tblCostChecklist[PlayerPaid],TRUE)&gt;0</f>
        <v>0</v>
      </c>
      <c r="I1084" s="41">
        <f>COUNTIF(tblCost[TargetID],tblCost[[#This Row],[TargetID]])</f>
        <v>6</v>
      </c>
      <c r="J1084" s="41">
        <f>COUNTIFS(tblCost[TargetID],tblCost[[#This Row],[TargetID]],tblCost[PlayerPaid],TRUE)</f>
        <v>0</v>
      </c>
      <c r="K1084" s="41">
        <f>tblCost[[#This Row],[TargetRequirements]]-tblCost[[#This Row],[CompletedRequirements]]</f>
        <v>6</v>
      </c>
      <c r="L1084" s="41" t="b">
        <f>tblCost[[#This Row],[RemainingRequirements]]=0</f>
        <v>0</v>
      </c>
      <c r="M1084" s="43">
        <f>IF(tblCost[[#This Row],[TargetRequirements]]=0,0,tblCost[[#This Row],[CompletedRequirements]]/tblCost[[#This Row],[TargetRequirements]])</f>
        <v>0</v>
      </c>
    </row>
    <row r="1085" spans="1:13">
      <c r="A1085" s="41" t="s">
        <v>4733</v>
      </c>
      <c r="B1085" s="41" t="str">
        <f>_xlfn.TEXTAFTER(_xlfn.TEXTBEFORE(tblCost[[#This Row],[RequirementID]],".",-2),"cost.")</f>
        <v>tech.train.onboard_computer</v>
      </c>
      <c r="C1085" s="41" t="str">
        <f>_xlfn.XLOOKUP(tblCost[[#This Row],[TargetID]],tblTargets[TargetID],tblTargets[DisplayName],"")</f>
        <v>Train - Onboard Computer</v>
      </c>
      <c r="D1085" s="41" t="str">
        <f>_xlfn.XLOOKUP(tblCost[[#This Row],[TargetID]],tblTargets[TargetID],tblTargets[TargetType],"")</f>
        <v>TECH</v>
      </c>
      <c r="E1085" s="41" t="s">
        <v>655</v>
      </c>
      <c r="F1085" s="62" t="str">
        <f>RIGHT(tblCost[[#This Row],[RequirementID]],1)</f>
        <v>1</v>
      </c>
      <c r="G1085" s="41">
        <v>20</v>
      </c>
      <c r="H1085" t="b">
        <f>COUNTIFS(tblCostChecklist[RequirementID],tblCost[[#This Row],[RequirementID]],tblCostChecklist[PlayerPaid],TRUE)&gt;0</f>
        <v>0</v>
      </c>
      <c r="I1085" s="41">
        <f>COUNTIF(tblCost[TargetID],tblCost[[#This Row],[TargetID]])</f>
        <v>9</v>
      </c>
      <c r="J1085" s="41">
        <f>COUNTIFS(tblCost[TargetID],tblCost[[#This Row],[TargetID]],tblCost[PlayerPaid],TRUE)</f>
        <v>0</v>
      </c>
      <c r="K1085" s="41">
        <f>tblCost[[#This Row],[TargetRequirements]]-tblCost[[#This Row],[CompletedRequirements]]</f>
        <v>9</v>
      </c>
      <c r="L1085" s="41" t="b">
        <f>tblCost[[#This Row],[RemainingRequirements]]=0</f>
        <v>0</v>
      </c>
      <c r="M1085" s="43">
        <f>IF(tblCost[[#This Row],[TargetRequirements]]=0,0,tblCost[[#This Row],[CompletedRequirements]]/tblCost[[#This Row],[TargetRequirements]])</f>
        <v>0</v>
      </c>
    </row>
    <row r="1086" spans="1:13">
      <c r="A1086" s="41" t="s">
        <v>4734</v>
      </c>
      <c r="B1086" s="41" t="str">
        <f>_xlfn.TEXTAFTER(_xlfn.TEXTBEFORE(tblCost[[#This Row],[RequirementID]],".",-2),"cost.")</f>
        <v>tech.train.onboard_computer</v>
      </c>
      <c r="C1086" s="41" t="str">
        <f>_xlfn.XLOOKUP(tblCost[[#This Row],[TargetID]],tblTargets[TargetID],tblTargets[DisplayName],"")</f>
        <v>Train - Onboard Computer</v>
      </c>
      <c r="D1086" s="41" t="str">
        <f>_xlfn.XLOOKUP(tblCost[[#This Row],[TargetID]],tblTargets[TargetID],tblTargets[TargetType],"")</f>
        <v>TECH</v>
      </c>
      <c r="E1086" s="41" t="s">
        <v>662</v>
      </c>
      <c r="F1086" s="62" t="str">
        <f>RIGHT(tblCost[[#This Row],[RequirementID]],1)</f>
        <v>1</v>
      </c>
      <c r="G1086" s="41">
        <v>40</v>
      </c>
      <c r="H1086" t="b">
        <f>COUNTIFS(tblCostChecklist[RequirementID],tblCost[[#This Row],[RequirementID]],tblCostChecklist[PlayerPaid],TRUE)&gt;0</f>
        <v>0</v>
      </c>
      <c r="I1086" s="41">
        <f>COUNTIF(tblCost[TargetID],tblCost[[#This Row],[TargetID]])</f>
        <v>9</v>
      </c>
      <c r="J1086" s="41">
        <f>COUNTIFS(tblCost[TargetID],tblCost[[#This Row],[TargetID]],tblCost[PlayerPaid],TRUE)</f>
        <v>0</v>
      </c>
      <c r="K1086" s="41">
        <f>tblCost[[#This Row],[TargetRequirements]]-tblCost[[#This Row],[CompletedRequirements]]</f>
        <v>9</v>
      </c>
      <c r="L1086" s="41" t="b">
        <f>tblCost[[#This Row],[RemainingRequirements]]=0</f>
        <v>0</v>
      </c>
      <c r="M1086" s="43">
        <f>IF(tblCost[[#This Row],[TargetRequirements]]=0,0,tblCost[[#This Row],[CompletedRequirements]]/tblCost[[#This Row],[TargetRequirements]])</f>
        <v>0</v>
      </c>
    </row>
    <row r="1087" spans="1:13">
      <c r="A1087" s="41" t="s">
        <v>4735</v>
      </c>
      <c r="B1087" s="41" t="str">
        <f>_xlfn.TEXTAFTER(_xlfn.TEXTBEFORE(tblCost[[#This Row],[RequirementID]],".",-2),"cost.")</f>
        <v>tech.train.onboard_computer</v>
      </c>
      <c r="C1087" s="41" t="str">
        <f>_xlfn.XLOOKUP(tblCost[[#This Row],[TargetID]],tblTargets[TargetID],tblTargets[DisplayName],"")</f>
        <v>Train - Onboard Computer</v>
      </c>
      <c r="D1087" s="41" t="str">
        <f>_xlfn.XLOOKUP(tblCost[[#This Row],[TargetID]],tblTargets[TargetID],tblTargets[TargetType],"")</f>
        <v>TECH</v>
      </c>
      <c r="E1087" s="41" t="s">
        <v>666</v>
      </c>
      <c r="F1087" s="62" t="str">
        <f>RIGHT(tblCost[[#This Row],[RequirementID]],1)</f>
        <v>1</v>
      </c>
      <c r="G1087" s="41">
        <v>1500</v>
      </c>
      <c r="H1087" t="b">
        <f>COUNTIFS(tblCostChecklist[RequirementID],tblCost[[#This Row],[RequirementID]],tblCostChecklist[PlayerPaid],TRUE)&gt;0</f>
        <v>0</v>
      </c>
      <c r="I1087" s="41">
        <f>COUNTIF(tblCost[TargetID],tblCost[[#This Row],[TargetID]])</f>
        <v>9</v>
      </c>
      <c r="J1087" s="41">
        <f>COUNTIFS(tblCost[TargetID],tblCost[[#This Row],[TargetID]],tblCost[PlayerPaid],TRUE)</f>
        <v>0</v>
      </c>
      <c r="K1087" s="41">
        <f>tblCost[[#This Row],[TargetRequirements]]-tblCost[[#This Row],[CompletedRequirements]]</f>
        <v>9</v>
      </c>
      <c r="L1087" s="41" t="b">
        <f>tblCost[[#This Row],[RemainingRequirements]]=0</f>
        <v>0</v>
      </c>
      <c r="M1087" s="43">
        <f>IF(tblCost[[#This Row],[TargetRequirements]]=0,0,tblCost[[#This Row],[CompletedRequirements]]/tblCost[[#This Row],[TargetRequirements]])</f>
        <v>0</v>
      </c>
    </row>
    <row r="1088" spans="1:13">
      <c r="A1088" s="41" t="s">
        <v>4736</v>
      </c>
      <c r="B1088" s="41" t="str">
        <f>_xlfn.TEXTAFTER(_xlfn.TEXTBEFORE(tblCost[[#This Row],[RequirementID]],".",-2),"cost.")</f>
        <v>tech.train.onboard_computer</v>
      </c>
      <c r="C1088" s="41" t="str">
        <f>_xlfn.XLOOKUP(tblCost[[#This Row],[TargetID]],tblTargets[TargetID],tblTargets[DisplayName],"")</f>
        <v>Train - Onboard Computer</v>
      </c>
      <c r="D1088" s="41" t="str">
        <f>_xlfn.XLOOKUP(tblCost[[#This Row],[TargetID]],tblTargets[TargetID],tblTargets[TargetType],"")</f>
        <v>TECH</v>
      </c>
      <c r="E1088" s="41" t="s">
        <v>672</v>
      </c>
      <c r="F1088" s="62" t="str">
        <f>RIGHT(tblCost[[#This Row],[RequirementID]],1)</f>
        <v>1</v>
      </c>
      <c r="G1088" s="41">
        <v>40</v>
      </c>
      <c r="H1088" t="b">
        <f>COUNTIFS(tblCostChecklist[RequirementID],tblCost[[#This Row],[RequirementID]],tblCostChecklist[PlayerPaid],TRUE)&gt;0</f>
        <v>0</v>
      </c>
      <c r="I1088" s="41">
        <f>COUNTIF(tblCost[TargetID],tblCost[[#This Row],[TargetID]])</f>
        <v>9</v>
      </c>
      <c r="J1088" s="41">
        <f>COUNTIFS(tblCost[TargetID],tblCost[[#This Row],[TargetID]],tblCost[PlayerPaid],TRUE)</f>
        <v>0</v>
      </c>
      <c r="K1088" s="41">
        <f>tblCost[[#This Row],[TargetRequirements]]-tblCost[[#This Row],[CompletedRequirements]]</f>
        <v>9</v>
      </c>
      <c r="L1088" s="41" t="b">
        <f>tblCost[[#This Row],[RemainingRequirements]]=0</f>
        <v>0</v>
      </c>
      <c r="M1088" s="43">
        <f>IF(tblCost[[#This Row],[TargetRequirements]]=0,0,tblCost[[#This Row],[CompletedRequirements]]/tblCost[[#This Row],[TargetRequirements]])</f>
        <v>0</v>
      </c>
    </row>
    <row r="1089" spans="1:13">
      <c r="A1089" s="41" t="s">
        <v>4737</v>
      </c>
      <c r="B1089" s="41" t="str">
        <f>_xlfn.TEXTAFTER(_xlfn.TEXTBEFORE(tblCost[[#This Row],[RequirementID]],".",-2),"cost.")</f>
        <v>tech.train.onboard_computer</v>
      </c>
      <c r="C1089" s="41" t="str">
        <f>_xlfn.XLOOKUP(tblCost[[#This Row],[TargetID]],tblTargets[TargetID],tblTargets[DisplayName],"")</f>
        <v>Train - Onboard Computer</v>
      </c>
      <c r="D1089" s="41" t="str">
        <f>_xlfn.XLOOKUP(tblCost[[#This Row],[TargetID]],tblTargets[TargetID],tblTargets[TargetType],"")</f>
        <v>TECH</v>
      </c>
      <c r="E1089" s="41" t="s">
        <v>686</v>
      </c>
      <c r="F1089" s="62" t="str">
        <f>RIGHT(tblCost[[#This Row],[RequirementID]],1)</f>
        <v>1</v>
      </c>
      <c r="G1089" s="41">
        <v>30</v>
      </c>
      <c r="H1089" t="b">
        <f>COUNTIFS(tblCostChecklist[RequirementID],tblCost[[#This Row],[RequirementID]],tblCostChecklist[PlayerPaid],TRUE)&gt;0</f>
        <v>0</v>
      </c>
      <c r="I1089" s="41">
        <f>COUNTIF(tblCost[TargetID],tblCost[[#This Row],[TargetID]])</f>
        <v>9</v>
      </c>
      <c r="J1089" s="41">
        <f>COUNTIFS(tblCost[TargetID],tblCost[[#This Row],[TargetID]],tblCost[PlayerPaid],TRUE)</f>
        <v>0</v>
      </c>
      <c r="K1089" s="41">
        <f>tblCost[[#This Row],[TargetRequirements]]-tblCost[[#This Row],[CompletedRequirements]]</f>
        <v>9</v>
      </c>
      <c r="L1089" s="41" t="b">
        <f>tblCost[[#This Row],[RemainingRequirements]]=0</f>
        <v>0</v>
      </c>
      <c r="M1089" s="43">
        <f>IF(tblCost[[#This Row],[TargetRequirements]]=0,0,tblCost[[#This Row],[CompletedRequirements]]/tblCost[[#This Row],[TargetRequirements]])</f>
        <v>0</v>
      </c>
    </row>
    <row r="1090" spans="1:13">
      <c r="A1090" s="41" t="s">
        <v>4738</v>
      </c>
      <c r="B1090" s="41" t="str">
        <f>_xlfn.TEXTAFTER(_xlfn.TEXTBEFORE(tblCost[[#This Row],[RequirementID]],".",-2),"cost.")</f>
        <v>tech.train.onboard_computer</v>
      </c>
      <c r="C1090" s="41" t="str">
        <f>_xlfn.XLOOKUP(tblCost[[#This Row],[TargetID]],tblTargets[TargetID],tblTargets[DisplayName],"")</f>
        <v>Train - Onboard Computer</v>
      </c>
      <c r="D1090" s="41" t="str">
        <f>_xlfn.XLOOKUP(tblCost[[#This Row],[TargetID]],tblTargets[TargetID],tblTargets[TargetType],"")</f>
        <v>TECH</v>
      </c>
      <c r="E1090" s="41" t="s">
        <v>687</v>
      </c>
      <c r="F1090" s="62" t="str">
        <f>RIGHT(tblCost[[#This Row],[RequirementID]],1)</f>
        <v>1</v>
      </c>
      <c r="G1090" s="41">
        <v>20</v>
      </c>
      <c r="H1090" t="b">
        <f>COUNTIFS(tblCostChecklist[RequirementID],tblCost[[#This Row],[RequirementID]],tblCostChecklist[PlayerPaid],TRUE)&gt;0</f>
        <v>0</v>
      </c>
      <c r="I1090" s="41">
        <f>COUNTIF(tblCost[TargetID],tblCost[[#This Row],[TargetID]])</f>
        <v>9</v>
      </c>
      <c r="J1090" s="41">
        <f>COUNTIFS(tblCost[TargetID],tblCost[[#This Row],[TargetID]],tblCost[PlayerPaid],TRUE)</f>
        <v>0</v>
      </c>
      <c r="K1090" s="41">
        <f>tblCost[[#This Row],[TargetRequirements]]-tblCost[[#This Row],[CompletedRequirements]]</f>
        <v>9</v>
      </c>
      <c r="L1090" s="41" t="b">
        <f>tblCost[[#This Row],[RemainingRequirements]]=0</f>
        <v>0</v>
      </c>
      <c r="M1090" s="43">
        <f>IF(tblCost[[#This Row],[TargetRequirements]]=0,0,tblCost[[#This Row],[CompletedRequirements]]/tblCost[[#This Row],[TargetRequirements]])</f>
        <v>0</v>
      </c>
    </row>
    <row r="1091" spans="1:13">
      <c r="A1091" s="41" t="s">
        <v>4739</v>
      </c>
      <c r="B1091" s="41" t="str">
        <f>_xlfn.TEXTAFTER(_xlfn.TEXTBEFORE(tblCost[[#This Row],[RequirementID]],".",-2),"cost.")</f>
        <v>tech.train.onboard_computer</v>
      </c>
      <c r="C1091" s="41" t="str">
        <f>_xlfn.XLOOKUP(tblCost[[#This Row],[TargetID]],tblTargets[TargetID],tblTargets[DisplayName],"")</f>
        <v>Train - Onboard Computer</v>
      </c>
      <c r="D1091" s="41" t="str">
        <f>_xlfn.XLOOKUP(tblCost[[#This Row],[TargetID]],tblTargets[TargetID],tblTargets[TargetType],"")</f>
        <v>TECH</v>
      </c>
      <c r="E1091" s="41" t="s">
        <v>688</v>
      </c>
      <c r="F1091" s="62" t="str">
        <f>RIGHT(tblCost[[#This Row],[RequirementID]],1)</f>
        <v>1</v>
      </c>
      <c r="G1091" s="41">
        <v>40</v>
      </c>
      <c r="H1091" t="b">
        <f>COUNTIFS(tblCostChecklist[RequirementID],tblCost[[#This Row],[RequirementID]],tblCostChecklist[PlayerPaid],TRUE)&gt;0</f>
        <v>0</v>
      </c>
      <c r="I1091" s="41">
        <f>COUNTIF(tblCost[TargetID],tblCost[[#This Row],[TargetID]])</f>
        <v>9</v>
      </c>
      <c r="J1091" s="41">
        <f>COUNTIFS(tblCost[TargetID],tblCost[[#This Row],[TargetID]],tblCost[PlayerPaid],TRUE)</f>
        <v>0</v>
      </c>
      <c r="K1091" s="41">
        <f>tblCost[[#This Row],[TargetRequirements]]-tblCost[[#This Row],[CompletedRequirements]]</f>
        <v>9</v>
      </c>
      <c r="L1091" s="41" t="b">
        <f>tblCost[[#This Row],[RemainingRequirements]]=0</f>
        <v>0</v>
      </c>
      <c r="M1091" s="43">
        <f>IF(tblCost[[#This Row],[TargetRequirements]]=0,0,tblCost[[#This Row],[CompletedRequirements]]/tblCost[[#This Row],[TargetRequirements]])</f>
        <v>0</v>
      </c>
    </row>
    <row r="1092" spans="1:13">
      <c r="A1092" s="41" t="s">
        <v>4740</v>
      </c>
      <c r="B1092" s="41" t="str">
        <f>_xlfn.TEXTAFTER(_xlfn.TEXTBEFORE(tblCost[[#This Row],[RequirementID]],".",-2),"cost.")</f>
        <v>tech.train.onboard_computer</v>
      </c>
      <c r="C1092" s="41" t="str">
        <f>_xlfn.XLOOKUP(tblCost[[#This Row],[TargetID]],tblTargets[TargetID],tblTargets[DisplayName],"")</f>
        <v>Train - Onboard Computer</v>
      </c>
      <c r="D1092" s="41" t="str">
        <f>_xlfn.XLOOKUP(tblCost[[#This Row],[TargetID]],tblTargets[TargetID],tblTargets[TargetType],"")</f>
        <v>TECH</v>
      </c>
      <c r="E1092" s="41" t="s">
        <v>708</v>
      </c>
      <c r="F1092" s="62" t="str">
        <f>RIGHT(tblCost[[#This Row],[RequirementID]],1)</f>
        <v>1</v>
      </c>
      <c r="G1092" s="41">
        <v>5</v>
      </c>
      <c r="H1092" t="b">
        <f>COUNTIFS(tblCostChecklist[RequirementID],tblCost[[#This Row],[RequirementID]],tblCostChecklist[PlayerPaid],TRUE)&gt;0</f>
        <v>0</v>
      </c>
      <c r="I1092" s="41">
        <f>COUNTIF(tblCost[TargetID],tblCost[[#This Row],[TargetID]])</f>
        <v>9</v>
      </c>
      <c r="J1092" s="41">
        <f>COUNTIFS(tblCost[TargetID],tblCost[[#This Row],[TargetID]],tblCost[PlayerPaid],TRUE)</f>
        <v>0</v>
      </c>
      <c r="K1092" s="41">
        <f>tblCost[[#This Row],[TargetRequirements]]-tblCost[[#This Row],[CompletedRequirements]]</f>
        <v>9</v>
      </c>
      <c r="L1092" s="41" t="b">
        <f>tblCost[[#This Row],[RemainingRequirements]]=0</f>
        <v>0</v>
      </c>
      <c r="M1092" s="43">
        <f>IF(tblCost[[#This Row],[TargetRequirements]]=0,0,tblCost[[#This Row],[CompletedRequirements]]/tblCost[[#This Row],[TargetRequirements]])</f>
        <v>0</v>
      </c>
    </row>
    <row r="1093" spans="1:13">
      <c r="A1093" s="41" t="s">
        <v>4741</v>
      </c>
      <c r="B1093" s="41" t="str">
        <f>_xlfn.TEXTAFTER(_xlfn.TEXTBEFORE(tblCost[[#This Row],[RequirementID]],".",-2),"cost.")</f>
        <v>tech.train.onboard_computer</v>
      </c>
      <c r="C1093" s="41" t="str">
        <f>_xlfn.XLOOKUP(tblCost[[#This Row],[TargetID]],tblTargets[TargetID],tblTargets[DisplayName],"")</f>
        <v>Train - Onboard Computer</v>
      </c>
      <c r="D1093" s="41" t="str">
        <f>_xlfn.XLOOKUP(tblCost[[#This Row],[TargetID]],tblTargets[TargetID],tblTargets[TargetType],"")</f>
        <v>TECH</v>
      </c>
      <c r="E1093" s="41" t="s">
        <v>716</v>
      </c>
      <c r="F1093" s="62" t="str">
        <f>RIGHT(tblCost[[#This Row],[RequirementID]],1)</f>
        <v>1</v>
      </c>
      <c r="G1093" s="41">
        <v>200</v>
      </c>
      <c r="H1093" t="b">
        <f>COUNTIFS(tblCostChecklist[RequirementID],tblCost[[#This Row],[RequirementID]],tblCostChecklist[PlayerPaid],TRUE)&gt;0</f>
        <v>0</v>
      </c>
      <c r="I1093" s="41">
        <f>COUNTIF(tblCost[TargetID],tblCost[[#This Row],[TargetID]])</f>
        <v>9</v>
      </c>
      <c r="J1093" s="41">
        <f>COUNTIFS(tblCost[TargetID],tblCost[[#This Row],[TargetID]],tblCost[PlayerPaid],TRUE)</f>
        <v>0</v>
      </c>
      <c r="K1093" s="41">
        <f>tblCost[[#This Row],[TargetRequirements]]-tblCost[[#This Row],[CompletedRequirements]]</f>
        <v>9</v>
      </c>
      <c r="L1093" s="41" t="b">
        <f>tblCost[[#This Row],[RemainingRequirements]]=0</f>
        <v>0</v>
      </c>
      <c r="M1093" s="43">
        <f>IF(tblCost[[#This Row],[TargetRequirements]]=0,0,tblCost[[#This Row],[CompletedRequirements]]/tblCost[[#This Row],[TargetRequirements]])</f>
        <v>0</v>
      </c>
    </row>
    <row r="1094" spans="1:13">
      <c r="A1094" s="41" t="s">
        <v>4742</v>
      </c>
      <c r="B1094" s="41" t="str">
        <f>_xlfn.TEXTAFTER(_xlfn.TEXTBEFORE(tblCost[[#This Row],[RequirementID]],".",-2),"cost.")</f>
        <v>tech.warehouse.stackable_racks_lvl_1</v>
      </c>
      <c r="C1094" s="41" t="str">
        <f>_xlfn.XLOOKUP(tblCost[[#This Row],[TargetID]],tblTargets[TargetID],tblTargets[DisplayName],"")</f>
        <v>Warehouse - Stackable Racks Lvl 1</v>
      </c>
      <c r="D1094" s="41" t="str">
        <f>_xlfn.XLOOKUP(tblCost[[#This Row],[TargetID]],tblTargets[TargetID],tblTargets[TargetType],"")</f>
        <v>TECH</v>
      </c>
      <c r="E1094" s="41" t="s">
        <v>662</v>
      </c>
      <c r="F1094" s="62" t="str">
        <f>RIGHT(tblCost[[#This Row],[RequirementID]],1)</f>
        <v>1</v>
      </c>
      <c r="G1094" s="41">
        <v>30</v>
      </c>
      <c r="H1094" t="b">
        <f>COUNTIFS(tblCostChecklist[RequirementID],tblCost[[#This Row],[RequirementID]],tblCostChecklist[PlayerPaid],TRUE)&gt;0</f>
        <v>0</v>
      </c>
      <c r="I1094" s="41">
        <f>COUNTIF(tblCost[TargetID],tblCost[[#This Row],[TargetID]])</f>
        <v>5</v>
      </c>
      <c r="J1094" s="41">
        <f>COUNTIFS(tblCost[TargetID],tblCost[[#This Row],[TargetID]],tblCost[PlayerPaid],TRUE)</f>
        <v>0</v>
      </c>
      <c r="K1094" s="41">
        <f>tblCost[[#This Row],[TargetRequirements]]-tblCost[[#This Row],[CompletedRequirements]]</f>
        <v>5</v>
      </c>
      <c r="L1094" s="41" t="b">
        <f>tblCost[[#This Row],[RemainingRequirements]]=0</f>
        <v>0</v>
      </c>
      <c r="M1094" s="43">
        <f>IF(tblCost[[#This Row],[TargetRequirements]]=0,0,tblCost[[#This Row],[CompletedRequirements]]/tblCost[[#This Row],[TargetRequirements]])</f>
        <v>0</v>
      </c>
    </row>
    <row r="1095" spans="1:13">
      <c r="A1095" s="41" t="s">
        <v>4743</v>
      </c>
      <c r="B1095" s="41" t="str">
        <f>_xlfn.TEXTAFTER(_xlfn.TEXTBEFORE(tblCost[[#This Row],[RequirementID]],".",-2),"cost.")</f>
        <v>tech.warehouse.stackable_racks_lvl_1</v>
      </c>
      <c r="C1095" s="41" t="str">
        <f>_xlfn.XLOOKUP(tblCost[[#This Row],[TargetID]],tblTargets[TargetID],tblTargets[DisplayName],"")</f>
        <v>Warehouse - Stackable Racks Lvl 1</v>
      </c>
      <c r="D1095" s="41" t="str">
        <f>_xlfn.XLOOKUP(tblCost[[#This Row],[TargetID]],tblTargets[TargetID],tblTargets[TargetType],"")</f>
        <v>TECH</v>
      </c>
      <c r="E1095" s="41" t="s">
        <v>666</v>
      </c>
      <c r="F1095" s="62" t="str">
        <f>RIGHT(tblCost[[#This Row],[RequirementID]],1)</f>
        <v>1</v>
      </c>
      <c r="G1095" s="41">
        <v>300</v>
      </c>
      <c r="H1095" t="b">
        <f>COUNTIFS(tblCostChecklist[RequirementID],tblCost[[#This Row],[RequirementID]],tblCostChecklist[PlayerPaid],TRUE)&gt;0</f>
        <v>0</v>
      </c>
      <c r="I1095" s="41">
        <f>COUNTIF(tblCost[TargetID],tblCost[[#This Row],[TargetID]])</f>
        <v>5</v>
      </c>
      <c r="J1095" s="41">
        <f>COUNTIFS(tblCost[TargetID],tblCost[[#This Row],[TargetID]],tblCost[PlayerPaid],TRUE)</f>
        <v>0</v>
      </c>
      <c r="K1095" s="41">
        <f>tblCost[[#This Row],[TargetRequirements]]-tblCost[[#This Row],[CompletedRequirements]]</f>
        <v>5</v>
      </c>
      <c r="L1095" s="41" t="b">
        <f>tblCost[[#This Row],[RemainingRequirements]]=0</f>
        <v>0</v>
      </c>
      <c r="M1095" s="43">
        <f>IF(tblCost[[#This Row],[TargetRequirements]]=0,0,tblCost[[#This Row],[CompletedRequirements]]/tblCost[[#This Row],[TargetRequirements]])</f>
        <v>0</v>
      </c>
    </row>
    <row r="1096" spans="1:13">
      <c r="A1096" s="41" t="s">
        <v>4744</v>
      </c>
      <c r="B1096" s="41" t="str">
        <f>_xlfn.TEXTAFTER(_xlfn.TEXTBEFORE(tblCost[[#This Row],[RequirementID]],".",-2),"cost.")</f>
        <v>tech.warehouse.stackable_racks_lvl_1</v>
      </c>
      <c r="C1096" s="41" t="str">
        <f>_xlfn.XLOOKUP(tblCost[[#This Row],[TargetID]],tblTargets[TargetID],tblTargets[DisplayName],"")</f>
        <v>Warehouse - Stackable Racks Lvl 1</v>
      </c>
      <c r="D1096" s="41" t="str">
        <f>_xlfn.XLOOKUP(tblCost[[#This Row],[TargetID]],tblTargets[TargetID],tblTargets[TargetType],"")</f>
        <v>TECH</v>
      </c>
      <c r="E1096" s="41" t="s">
        <v>701</v>
      </c>
      <c r="F1096" s="62" t="str">
        <f>RIGHT(tblCost[[#This Row],[RequirementID]],1)</f>
        <v>1</v>
      </c>
      <c r="G1096" s="41">
        <v>200</v>
      </c>
      <c r="H1096" t="b">
        <f>COUNTIFS(tblCostChecklist[RequirementID],tblCost[[#This Row],[RequirementID]],tblCostChecklist[PlayerPaid],TRUE)&gt;0</f>
        <v>0</v>
      </c>
      <c r="I1096" s="41">
        <f>COUNTIF(tblCost[TargetID],tblCost[[#This Row],[TargetID]])</f>
        <v>5</v>
      </c>
      <c r="J1096" s="41">
        <f>COUNTIFS(tblCost[TargetID],tblCost[[#This Row],[TargetID]],tblCost[PlayerPaid],TRUE)</f>
        <v>0</v>
      </c>
      <c r="K1096" s="41">
        <f>tblCost[[#This Row],[TargetRequirements]]-tblCost[[#This Row],[CompletedRequirements]]</f>
        <v>5</v>
      </c>
      <c r="L1096" s="41" t="b">
        <f>tblCost[[#This Row],[RemainingRequirements]]=0</f>
        <v>0</v>
      </c>
      <c r="M1096" s="43">
        <f>IF(tblCost[[#This Row],[TargetRequirements]]=0,0,tblCost[[#This Row],[CompletedRequirements]]/tblCost[[#This Row],[TargetRequirements]])</f>
        <v>0</v>
      </c>
    </row>
    <row r="1097" spans="1:13">
      <c r="A1097" s="41" t="s">
        <v>4745</v>
      </c>
      <c r="B1097" s="41" t="str">
        <f>_xlfn.TEXTAFTER(_xlfn.TEXTBEFORE(tblCost[[#This Row],[RequirementID]],".",-2),"cost.")</f>
        <v>tech.warehouse.stackable_racks_lvl_1</v>
      </c>
      <c r="C1097" s="41" t="str">
        <f>_xlfn.XLOOKUP(tblCost[[#This Row],[TargetID]],tblTargets[TargetID],tblTargets[DisplayName],"")</f>
        <v>Warehouse - Stackable Racks Lvl 1</v>
      </c>
      <c r="D1097" s="41" t="str">
        <f>_xlfn.XLOOKUP(tblCost[[#This Row],[TargetID]],tblTargets[TargetID],tblTargets[TargetType],"")</f>
        <v>TECH</v>
      </c>
      <c r="E1097" s="41" t="s">
        <v>708</v>
      </c>
      <c r="F1097" s="62" t="str">
        <f>RIGHT(tblCost[[#This Row],[RequirementID]],1)</f>
        <v>1</v>
      </c>
      <c r="G1097" s="41">
        <v>1</v>
      </c>
      <c r="H1097" t="b">
        <f>COUNTIFS(tblCostChecklist[RequirementID],tblCost[[#This Row],[RequirementID]],tblCostChecklist[PlayerPaid],TRUE)&gt;0</f>
        <v>0</v>
      </c>
      <c r="I1097" s="41">
        <f>COUNTIF(tblCost[TargetID],tblCost[[#This Row],[TargetID]])</f>
        <v>5</v>
      </c>
      <c r="J1097" s="41">
        <f>COUNTIFS(tblCost[TargetID],tblCost[[#This Row],[TargetID]],tblCost[PlayerPaid],TRUE)</f>
        <v>0</v>
      </c>
      <c r="K1097" s="41">
        <f>tblCost[[#This Row],[TargetRequirements]]-tblCost[[#This Row],[CompletedRequirements]]</f>
        <v>5</v>
      </c>
      <c r="L1097" s="41" t="b">
        <f>tblCost[[#This Row],[RemainingRequirements]]=0</f>
        <v>0</v>
      </c>
      <c r="M1097" s="43">
        <f>IF(tblCost[[#This Row],[TargetRequirements]]=0,0,tblCost[[#This Row],[CompletedRequirements]]/tblCost[[#This Row],[TargetRequirements]])</f>
        <v>0</v>
      </c>
    </row>
    <row r="1098" spans="1:13">
      <c r="A1098" s="41" t="s">
        <v>4746</v>
      </c>
      <c r="B1098" s="41" t="str">
        <f>_xlfn.TEXTAFTER(_xlfn.TEXTBEFORE(tblCost[[#This Row],[RequirementID]],".",-2),"cost.")</f>
        <v>tech.warehouse.stackable_racks_lvl_1</v>
      </c>
      <c r="C1098" s="41" t="str">
        <f>_xlfn.XLOOKUP(tblCost[[#This Row],[TargetID]],tblTargets[TargetID],tblTargets[DisplayName],"")</f>
        <v>Warehouse - Stackable Racks Lvl 1</v>
      </c>
      <c r="D1098" s="41" t="str">
        <f>_xlfn.XLOOKUP(tblCost[[#This Row],[TargetID]],tblTargets[TargetID],tblTargets[TargetType],"")</f>
        <v>TECH</v>
      </c>
      <c r="E1098" s="41" t="s">
        <v>716</v>
      </c>
      <c r="F1098" s="62" t="str">
        <f>RIGHT(tblCost[[#This Row],[RequirementID]],1)</f>
        <v>1</v>
      </c>
      <c r="G1098" s="41">
        <v>50</v>
      </c>
      <c r="H1098" t="b">
        <f>COUNTIFS(tblCostChecklist[RequirementID],tblCost[[#This Row],[RequirementID]],tblCostChecklist[PlayerPaid],TRUE)&gt;0</f>
        <v>0</v>
      </c>
      <c r="I1098" s="41">
        <f>COUNTIF(tblCost[TargetID],tblCost[[#This Row],[TargetID]])</f>
        <v>5</v>
      </c>
      <c r="J1098" s="41">
        <f>COUNTIFS(tblCost[TargetID],tblCost[[#This Row],[TargetID]],tblCost[PlayerPaid],TRUE)</f>
        <v>0</v>
      </c>
      <c r="K1098" s="41">
        <f>tblCost[[#This Row],[TargetRequirements]]-tblCost[[#This Row],[CompletedRequirements]]</f>
        <v>5</v>
      </c>
      <c r="L1098" s="41" t="b">
        <f>tblCost[[#This Row],[RemainingRequirements]]=0</f>
        <v>0</v>
      </c>
      <c r="M1098" s="43">
        <f>IF(tblCost[[#This Row],[TargetRequirements]]=0,0,tblCost[[#This Row],[CompletedRequirements]]/tblCost[[#This Row],[TargetRequirements]])</f>
        <v>0</v>
      </c>
    </row>
    <row r="1099" spans="1:13">
      <c r="A1099" s="41" t="s">
        <v>4747</v>
      </c>
      <c r="B1099" s="41" t="str">
        <f>_xlfn.TEXTAFTER(_xlfn.TEXTBEFORE(tblCost[[#This Row],[RequirementID]],".",-2),"cost.")</f>
        <v>tech.warehouse.stackable_racks_lvl_2</v>
      </c>
      <c r="C1099" s="41" t="str">
        <f>_xlfn.XLOOKUP(tblCost[[#This Row],[TargetID]],tblTargets[TargetID],tblTargets[DisplayName],"")</f>
        <v>Warehouse - Stackable Racks Lvl 2</v>
      </c>
      <c r="D1099" s="41" t="str">
        <f>_xlfn.XLOOKUP(tblCost[[#This Row],[TargetID]],tblTargets[TargetID],tblTargets[TargetType],"")</f>
        <v>TECH</v>
      </c>
      <c r="E1099" s="41" t="s">
        <v>662</v>
      </c>
      <c r="F1099" s="62" t="str">
        <f>RIGHT(tblCost[[#This Row],[RequirementID]],1)</f>
        <v>1</v>
      </c>
      <c r="G1099" s="41">
        <v>30</v>
      </c>
      <c r="H1099" t="b">
        <f>COUNTIFS(tblCostChecklist[RequirementID],tblCost[[#This Row],[RequirementID]],tblCostChecklist[PlayerPaid],TRUE)&gt;0</f>
        <v>0</v>
      </c>
      <c r="I1099" s="41">
        <f>COUNTIF(tblCost[TargetID],tblCost[[#This Row],[TargetID]])</f>
        <v>5</v>
      </c>
      <c r="J1099" s="41">
        <f>COUNTIFS(tblCost[TargetID],tblCost[[#This Row],[TargetID]],tblCost[PlayerPaid],TRUE)</f>
        <v>0</v>
      </c>
      <c r="K1099" s="41">
        <f>tblCost[[#This Row],[TargetRequirements]]-tblCost[[#This Row],[CompletedRequirements]]</f>
        <v>5</v>
      </c>
      <c r="L1099" s="41" t="b">
        <f>tblCost[[#This Row],[RemainingRequirements]]=0</f>
        <v>0</v>
      </c>
      <c r="M1099" s="43">
        <f>IF(tblCost[[#This Row],[TargetRequirements]]=0,0,tblCost[[#This Row],[CompletedRequirements]]/tblCost[[#This Row],[TargetRequirements]])</f>
        <v>0</v>
      </c>
    </row>
    <row r="1100" spans="1:13">
      <c r="A1100" s="41" t="s">
        <v>4748</v>
      </c>
      <c r="B1100" s="41" t="str">
        <f>_xlfn.TEXTAFTER(_xlfn.TEXTBEFORE(tblCost[[#This Row],[RequirementID]],".",-2),"cost.")</f>
        <v>tech.warehouse.stackable_racks_lvl_2</v>
      </c>
      <c r="C1100" s="41" t="str">
        <f>_xlfn.XLOOKUP(tblCost[[#This Row],[TargetID]],tblTargets[TargetID],tblTargets[DisplayName],"")</f>
        <v>Warehouse - Stackable Racks Lvl 2</v>
      </c>
      <c r="D1100" s="41" t="str">
        <f>_xlfn.XLOOKUP(tblCost[[#This Row],[TargetID]],tblTargets[TargetID],tblTargets[TargetType],"")</f>
        <v>TECH</v>
      </c>
      <c r="E1100" s="41" t="s">
        <v>666</v>
      </c>
      <c r="F1100" s="62" t="str">
        <f>RIGHT(tblCost[[#This Row],[RequirementID]],1)</f>
        <v>1</v>
      </c>
      <c r="G1100" s="41">
        <v>400</v>
      </c>
      <c r="H1100" t="b">
        <f>COUNTIFS(tblCostChecklist[RequirementID],tblCost[[#This Row],[RequirementID]],tblCostChecklist[PlayerPaid],TRUE)&gt;0</f>
        <v>0</v>
      </c>
      <c r="I1100" s="41">
        <f>COUNTIF(tblCost[TargetID],tblCost[[#This Row],[TargetID]])</f>
        <v>5</v>
      </c>
      <c r="J1100" s="41">
        <f>COUNTIFS(tblCost[TargetID],tblCost[[#This Row],[TargetID]],tblCost[PlayerPaid],TRUE)</f>
        <v>0</v>
      </c>
      <c r="K1100" s="41">
        <f>tblCost[[#This Row],[TargetRequirements]]-tblCost[[#This Row],[CompletedRequirements]]</f>
        <v>5</v>
      </c>
      <c r="L1100" s="41" t="b">
        <f>tblCost[[#This Row],[RemainingRequirements]]=0</f>
        <v>0</v>
      </c>
      <c r="M1100" s="43">
        <f>IF(tblCost[[#This Row],[TargetRequirements]]=0,0,tblCost[[#This Row],[CompletedRequirements]]/tblCost[[#This Row],[TargetRequirements]])</f>
        <v>0</v>
      </c>
    </row>
    <row r="1101" spans="1:13">
      <c r="A1101" s="41" t="s">
        <v>4749</v>
      </c>
      <c r="B1101" s="41" t="str">
        <f>_xlfn.TEXTAFTER(_xlfn.TEXTBEFORE(tblCost[[#This Row],[RequirementID]],".",-2),"cost.")</f>
        <v>tech.warehouse.stackable_racks_lvl_2</v>
      </c>
      <c r="C1101" s="41" t="str">
        <f>_xlfn.XLOOKUP(tblCost[[#This Row],[TargetID]],tblTargets[TargetID],tblTargets[DisplayName],"")</f>
        <v>Warehouse - Stackable Racks Lvl 2</v>
      </c>
      <c r="D1101" s="41" t="str">
        <f>_xlfn.XLOOKUP(tblCost[[#This Row],[TargetID]],tblTargets[TargetID],tblTargets[TargetType],"")</f>
        <v>TECH</v>
      </c>
      <c r="E1101" s="41" t="s">
        <v>701</v>
      </c>
      <c r="F1101" s="62" t="str">
        <f>RIGHT(tblCost[[#This Row],[RequirementID]],1)</f>
        <v>1</v>
      </c>
      <c r="G1101" s="41">
        <v>300</v>
      </c>
      <c r="H1101" t="b">
        <f>COUNTIFS(tblCostChecklist[RequirementID],tblCost[[#This Row],[RequirementID]],tblCostChecklist[PlayerPaid],TRUE)&gt;0</f>
        <v>0</v>
      </c>
      <c r="I1101" s="41">
        <f>COUNTIF(tblCost[TargetID],tblCost[[#This Row],[TargetID]])</f>
        <v>5</v>
      </c>
      <c r="J1101" s="41">
        <f>COUNTIFS(tblCost[TargetID],tblCost[[#This Row],[TargetID]],tblCost[PlayerPaid],TRUE)</f>
        <v>0</v>
      </c>
      <c r="K1101" s="41">
        <f>tblCost[[#This Row],[TargetRequirements]]-tblCost[[#This Row],[CompletedRequirements]]</f>
        <v>5</v>
      </c>
      <c r="L1101" s="41" t="b">
        <f>tblCost[[#This Row],[RemainingRequirements]]=0</f>
        <v>0</v>
      </c>
      <c r="M1101" s="43">
        <f>IF(tblCost[[#This Row],[TargetRequirements]]=0,0,tblCost[[#This Row],[CompletedRequirements]]/tblCost[[#This Row],[TargetRequirements]])</f>
        <v>0</v>
      </c>
    </row>
    <row r="1102" spans="1:13">
      <c r="A1102" s="41" t="s">
        <v>4750</v>
      </c>
      <c r="B1102" s="41" t="str">
        <f>_xlfn.TEXTAFTER(_xlfn.TEXTBEFORE(tblCost[[#This Row],[RequirementID]],".",-2),"cost.")</f>
        <v>tech.warehouse.stackable_racks_lvl_2</v>
      </c>
      <c r="C1102" s="41" t="str">
        <f>_xlfn.XLOOKUP(tblCost[[#This Row],[TargetID]],tblTargets[TargetID],tblTargets[DisplayName],"")</f>
        <v>Warehouse - Stackable Racks Lvl 2</v>
      </c>
      <c r="D1102" s="41" t="str">
        <f>_xlfn.XLOOKUP(tblCost[[#This Row],[TargetID]],tblTargets[TargetID],tblTargets[TargetType],"")</f>
        <v>TECH</v>
      </c>
      <c r="E1102" s="41" t="s">
        <v>708</v>
      </c>
      <c r="F1102" s="62" t="str">
        <f>RIGHT(tblCost[[#This Row],[RequirementID]],1)</f>
        <v>1</v>
      </c>
      <c r="G1102" s="41">
        <v>2</v>
      </c>
      <c r="H1102" t="b">
        <f>COUNTIFS(tblCostChecklist[RequirementID],tblCost[[#This Row],[RequirementID]],tblCostChecklist[PlayerPaid],TRUE)&gt;0</f>
        <v>0</v>
      </c>
      <c r="I1102" s="41">
        <f>COUNTIF(tblCost[TargetID],tblCost[[#This Row],[TargetID]])</f>
        <v>5</v>
      </c>
      <c r="J1102" s="41">
        <f>COUNTIFS(tblCost[TargetID],tblCost[[#This Row],[TargetID]],tblCost[PlayerPaid],TRUE)</f>
        <v>0</v>
      </c>
      <c r="K1102" s="41">
        <f>tblCost[[#This Row],[TargetRequirements]]-tblCost[[#This Row],[CompletedRequirements]]</f>
        <v>5</v>
      </c>
      <c r="L1102" s="41" t="b">
        <f>tblCost[[#This Row],[RemainingRequirements]]=0</f>
        <v>0</v>
      </c>
      <c r="M1102" s="43">
        <f>IF(tblCost[[#This Row],[TargetRequirements]]=0,0,tblCost[[#This Row],[CompletedRequirements]]/tblCost[[#This Row],[TargetRequirements]])</f>
        <v>0</v>
      </c>
    </row>
    <row r="1103" spans="1:13">
      <c r="A1103" s="41" t="s">
        <v>4751</v>
      </c>
      <c r="B1103" s="41" t="str">
        <f>_xlfn.TEXTAFTER(_xlfn.TEXTBEFORE(tblCost[[#This Row],[RequirementID]],".",-2),"cost.")</f>
        <v>tech.warehouse.stackable_racks_lvl_2</v>
      </c>
      <c r="C1103" s="41" t="str">
        <f>_xlfn.XLOOKUP(tblCost[[#This Row],[TargetID]],tblTargets[TargetID],tblTargets[DisplayName],"")</f>
        <v>Warehouse - Stackable Racks Lvl 2</v>
      </c>
      <c r="D1103" s="41" t="str">
        <f>_xlfn.XLOOKUP(tblCost[[#This Row],[TargetID]],tblTargets[TargetID],tblTargets[TargetType],"")</f>
        <v>TECH</v>
      </c>
      <c r="E1103" s="41" t="s">
        <v>716</v>
      </c>
      <c r="F1103" s="62" t="str">
        <f>RIGHT(tblCost[[#This Row],[RequirementID]],1)</f>
        <v>1</v>
      </c>
      <c r="G1103" s="41">
        <v>60</v>
      </c>
      <c r="H1103" t="b">
        <f>COUNTIFS(tblCostChecklist[RequirementID],tblCost[[#This Row],[RequirementID]],tblCostChecklist[PlayerPaid],TRUE)&gt;0</f>
        <v>0</v>
      </c>
      <c r="I1103" s="41">
        <f>COUNTIF(tblCost[TargetID],tblCost[[#This Row],[TargetID]])</f>
        <v>5</v>
      </c>
      <c r="J1103" s="41">
        <f>COUNTIFS(tblCost[TargetID],tblCost[[#This Row],[TargetID]],tblCost[PlayerPaid],TRUE)</f>
        <v>0</v>
      </c>
      <c r="K1103" s="41">
        <f>tblCost[[#This Row],[TargetRequirements]]-tblCost[[#This Row],[CompletedRequirements]]</f>
        <v>5</v>
      </c>
      <c r="L1103" s="41" t="b">
        <f>tblCost[[#This Row],[RemainingRequirements]]=0</f>
        <v>0</v>
      </c>
      <c r="M1103" s="43">
        <f>IF(tblCost[[#This Row],[TargetRequirements]]=0,0,tblCost[[#This Row],[CompletedRequirements]]/tblCost[[#This Row],[TargetRequirements]])</f>
        <v>0</v>
      </c>
    </row>
    <row r="1104" spans="1:13">
      <c r="A1104" s="41" t="s">
        <v>4752</v>
      </c>
      <c r="B1104" s="41" t="str">
        <f>_xlfn.TEXTAFTER(_xlfn.TEXTBEFORE(tblCost[[#This Row],[RequirementID]],".",-2),"cost.")</f>
        <v>tech.warehouse.stackable_racks_lvl_3</v>
      </c>
      <c r="C1104" s="41" t="str">
        <f>_xlfn.XLOOKUP(tblCost[[#This Row],[TargetID]],tblTargets[TargetID],tblTargets[DisplayName],"")</f>
        <v>Warehouse - Stackable Racks Lvl 3</v>
      </c>
      <c r="D1104" s="41" t="str">
        <f>_xlfn.XLOOKUP(tblCost[[#This Row],[TargetID]],tblTargets[TargetID],tblTargets[TargetType],"")</f>
        <v>TECH</v>
      </c>
      <c r="E1104" s="41" t="s">
        <v>662</v>
      </c>
      <c r="F1104" s="62" t="str">
        <f>RIGHT(tblCost[[#This Row],[RequirementID]],1)</f>
        <v>1</v>
      </c>
      <c r="G1104" s="41">
        <v>30</v>
      </c>
      <c r="H1104" t="b">
        <f>COUNTIFS(tblCostChecklist[RequirementID],tblCost[[#This Row],[RequirementID]],tblCostChecklist[PlayerPaid],TRUE)&gt;0</f>
        <v>0</v>
      </c>
      <c r="I1104" s="41">
        <f>COUNTIF(tblCost[TargetID],tblCost[[#This Row],[TargetID]])</f>
        <v>5</v>
      </c>
      <c r="J1104" s="41">
        <f>COUNTIFS(tblCost[TargetID],tblCost[[#This Row],[TargetID]],tblCost[PlayerPaid],TRUE)</f>
        <v>0</v>
      </c>
      <c r="K1104" s="41">
        <f>tblCost[[#This Row],[TargetRequirements]]-tblCost[[#This Row],[CompletedRequirements]]</f>
        <v>5</v>
      </c>
      <c r="L1104" s="41" t="b">
        <f>tblCost[[#This Row],[RemainingRequirements]]=0</f>
        <v>0</v>
      </c>
      <c r="M1104" s="43">
        <f>IF(tblCost[[#This Row],[TargetRequirements]]=0,0,tblCost[[#This Row],[CompletedRequirements]]/tblCost[[#This Row],[TargetRequirements]])</f>
        <v>0</v>
      </c>
    </row>
    <row r="1105" spans="1:13">
      <c r="A1105" s="41" t="s">
        <v>4753</v>
      </c>
      <c r="B1105" s="41" t="str">
        <f>_xlfn.TEXTAFTER(_xlfn.TEXTBEFORE(tblCost[[#This Row],[RequirementID]],".",-2),"cost.")</f>
        <v>tech.warehouse.stackable_racks_lvl_3</v>
      </c>
      <c r="C1105" s="41" t="str">
        <f>_xlfn.XLOOKUP(tblCost[[#This Row],[TargetID]],tblTargets[TargetID],tblTargets[DisplayName],"")</f>
        <v>Warehouse - Stackable Racks Lvl 3</v>
      </c>
      <c r="D1105" s="41" t="str">
        <f>_xlfn.XLOOKUP(tblCost[[#This Row],[TargetID]],tblTargets[TargetID],tblTargets[TargetType],"")</f>
        <v>TECH</v>
      </c>
      <c r="E1105" s="41" t="s">
        <v>666</v>
      </c>
      <c r="F1105" s="62" t="str">
        <f>RIGHT(tblCost[[#This Row],[RequirementID]],1)</f>
        <v>1</v>
      </c>
      <c r="G1105" s="41">
        <v>500</v>
      </c>
      <c r="H1105" t="b">
        <f>COUNTIFS(tblCostChecklist[RequirementID],tblCost[[#This Row],[RequirementID]],tblCostChecklist[PlayerPaid],TRUE)&gt;0</f>
        <v>0</v>
      </c>
      <c r="I1105" s="41">
        <f>COUNTIF(tblCost[TargetID],tblCost[[#This Row],[TargetID]])</f>
        <v>5</v>
      </c>
      <c r="J1105" s="41">
        <f>COUNTIFS(tblCost[TargetID],tblCost[[#This Row],[TargetID]],tblCost[PlayerPaid],TRUE)</f>
        <v>0</v>
      </c>
      <c r="K1105" s="41">
        <f>tblCost[[#This Row],[TargetRequirements]]-tblCost[[#This Row],[CompletedRequirements]]</f>
        <v>5</v>
      </c>
      <c r="L1105" s="41" t="b">
        <f>tblCost[[#This Row],[RemainingRequirements]]=0</f>
        <v>0</v>
      </c>
      <c r="M1105" s="43">
        <f>IF(tblCost[[#This Row],[TargetRequirements]]=0,0,tblCost[[#This Row],[CompletedRequirements]]/tblCost[[#This Row],[TargetRequirements]])</f>
        <v>0</v>
      </c>
    </row>
    <row r="1106" spans="1:13">
      <c r="A1106" s="41" t="s">
        <v>4754</v>
      </c>
      <c r="B1106" s="41" t="str">
        <f>_xlfn.TEXTAFTER(_xlfn.TEXTBEFORE(tblCost[[#This Row],[RequirementID]],".",-2),"cost.")</f>
        <v>tech.warehouse.stackable_racks_lvl_3</v>
      </c>
      <c r="C1106" s="41" t="str">
        <f>_xlfn.XLOOKUP(tblCost[[#This Row],[TargetID]],tblTargets[TargetID],tblTargets[DisplayName],"")</f>
        <v>Warehouse - Stackable Racks Lvl 3</v>
      </c>
      <c r="D1106" s="41" t="str">
        <f>_xlfn.XLOOKUP(tblCost[[#This Row],[TargetID]],tblTargets[TargetID],tblTargets[TargetType],"")</f>
        <v>TECH</v>
      </c>
      <c r="E1106" s="41" t="s">
        <v>701</v>
      </c>
      <c r="F1106" s="62" t="str">
        <f>RIGHT(tblCost[[#This Row],[RequirementID]],1)</f>
        <v>1</v>
      </c>
      <c r="G1106" s="41">
        <v>400</v>
      </c>
      <c r="H1106" t="b">
        <f>COUNTIFS(tblCostChecklist[RequirementID],tblCost[[#This Row],[RequirementID]],tblCostChecklist[PlayerPaid],TRUE)&gt;0</f>
        <v>0</v>
      </c>
      <c r="I1106" s="41">
        <f>COUNTIF(tblCost[TargetID],tblCost[[#This Row],[TargetID]])</f>
        <v>5</v>
      </c>
      <c r="J1106" s="41">
        <f>COUNTIFS(tblCost[TargetID],tblCost[[#This Row],[TargetID]],tblCost[PlayerPaid],TRUE)</f>
        <v>0</v>
      </c>
      <c r="K1106" s="41">
        <f>tblCost[[#This Row],[TargetRequirements]]-tblCost[[#This Row],[CompletedRequirements]]</f>
        <v>5</v>
      </c>
      <c r="L1106" s="41" t="b">
        <f>tblCost[[#This Row],[RemainingRequirements]]=0</f>
        <v>0</v>
      </c>
      <c r="M1106" s="43">
        <f>IF(tblCost[[#This Row],[TargetRequirements]]=0,0,tblCost[[#This Row],[CompletedRequirements]]/tblCost[[#This Row],[TargetRequirements]])</f>
        <v>0</v>
      </c>
    </row>
    <row r="1107" spans="1:13">
      <c r="A1107" s="41" t="s">
        <v>4755</v>
      </c>
      <c r="B1107" s="41" t="str">
        <f>_xlfn.TEXTAFTER(_xlfn.TEXTBEFORE(tblCost[[#This Row],[RequirementID]],".",-2),"cost.")</f>
        <v>tech.warehouse.stackable_racks_lvl_3</v>
      </c>
      <c r="C1107" s="41" t="str">
        <f>_xlfn.XLOOKUP(tblCost[[#This Row],[TargetID]],tblTargets[TargetID],tblTargets[DisplayName],"")</f>
        <v>Warehouse - Stackable Racks Lvl 3</v>
      </c>
      <c r="D1107" s="41" t="str">
        <f>_xlfn.XLOOKUP(tblCost[[#This Row],[TargetID]],tblTargets[TargetID],tblTargets[TargetType],"")</f>
        <v>TECH</v>
      </c>
      <c r="E1107" s="41" t="s">
        <v>708</v>
      </c>
      <c r="F1107" s="62" t="str">
        <f>RIGHT(tblCost[[#This Row],[RequirementID]],1)</f>
        <v>1</v>
      </c>
      <c r="G1107" s="41">
        <v>3</v>
      </c>
      <c r="H1107" t="b">
        <f>COUNTIFS(tblCostChecklist[RequirementID],tblCost[[#This Row],[RequirementID]],tblCostChecklist[PlayerPaid],TRUE)&gt;0</f>
        <v>0</v>
      </c>
      <c r="I1107" s="41">
        <f>COUNTIF(tblCost[TargetID],tblCost[[#This Row],[TargetID]])</f>
        <v>5</v>
      </c>
      <c r="J1107" s="41">
        <f>COUNTIFS(tblCost[TargetID],tblCost[[#This Row],[TargetID]],tblCost[PlayerPaid],TRUE)</f>
        <v>0</v>
      </c>
      <c r="K1107" s="41">
        <f>tblCost[[#This Row],[TargetRequirements]]-tblCost[[#This Row],[CompletedRequirements]]</f>
        <v>5</v>
      </c>
      <c r="L1107" s="41" t="b">
        <f>tblCost[[#This Row],[RemainingRequirements]]=0</f>
        <v>0</v>
      </c>
      <c r="M1107" s="43">
        <f>IF(tblCost[[#This Row],[TargetRequirements]]=0,0,tblCost[[#This Row],[CompletedRequirements]]/tblCost[[#This Row],[TargetRequirements]])</f>
        <v>0</v>
      </c>
    </row>
    <row r="1108" spans="1:13">
      <c r="A1108" s="41" t="s">
        <v>4756</v>
      </c>
      <c r="B1108" s="41" t="str">
        <f>_xlfn.TEXTAFTER(_xlfn.TEXTBEFORE(tblCost[[#This Row],[RequirementID]],".",-2),"cost.")</f>
        <v>tech.warehouse.stackable_racks_lvl_3</v>
      </c>
      <c r="C1108" s="41" t="str">
        <f>_xlfn.XLOOKUP(tblCost[[#This Row],[TargetID]],tblTargets[TargetID],tblTargets[DisplayName],"")</f>
        <v>Warehouse - Stackable Racks Lvl 3</v>
      </c>
      <c r="D1108" s="41" t="str">
        <f>_xlfn.XLOOKUP(tblCost[[#This Row],[TargetID]],tblTargets[TargetID],tblTargets[TargetType],"")</f>
        <v>TECH</v>
      </c>
      <c r="E1108" s="41" t="s">
        <v>716</v>
      </c>
      <c r="F1108" s="62" t="str">
        <f>RIGHT(tblCost[[#This Row],[RequirementID]],1)</f>
        <v>1</v>
      </c>
      <c r="G1108" s="41">
        <v>70</v>
      </c>
      <c r="H1108" t="b">
        <f>COUNTIFS(tblCostChecklist[RequirementID],tblCost[[#This Row],[RequirementID]],tblCostChecklist[PlayerPaid],TRUE)&gt;0</f>
        <v>0</v>
      </c>
      <c r="I1108" s="41">
        <f>COUNTIF(tblCost[TargetID],tblCost[[#This Row],[TargetID]])</f>
        <v>5</v>
      </c>
      <c r="J1108" s="41">
        <f>COUNTIFS(tblCost[TargetID],tblCost[[#This Row],[TargetID]],tblCost[PlayerPaid],TRUE)</f>
        <v>0</v>
      </c>
      <c r="K1108" s="41">
        <f>tblCost[[#This Row],[TargetRequirements]]-tblCost[[#This Row],[CompletedRequirements]]</f>
        <v>5</v>
      </c>
      <c r="L1108" s="41" t="b">
        <f>tblCost[[#This Row],[RemainingRequirements]]=0</f>
        <v>0</v>
      </c>
      <c r="M1108" s="43">
        <f>IF(tblCost[[#This Row],[TargetRequirements]]=0,0,tblCost[[#This Row],[CompletedRequirements]]/tblCost[[#This Row],[TargetRequirements]])</f>
        <v>0</v>
      </c>
    </row>
    <row r="1109" spans="1:13">
      <c r="A1109" s="41" t="s">
        <v>4757</v>
      </c>
      <c r="B1109" s="41" t="str">
        <f>_xlfn.TEXTAFTER(_xlfn.TEXTBEFORE(tblCost[[#This Row],[RequirementID]],".",-2),"cost.")</f>
        <v>tech.workshop.throwing_net</v>
      </c>
      <c r="C1109" s="41" t="str">
        <f>_xlfn.XLOOKUP(tblCost[[#This Row],[TargetID]],tblTargets[TargetID],tblTargets[DisplayName],"")</f>
        <v>Workshop - Throwing Net</v>
      </c>
      <c r="D1109" s="41" t="str">
        <f>_xlfn.XLOOKUP(tblCost[[#This Row],[TargetID]],tblTargets[TargetID],tblTargets[TargetType],"")</f>
        <v>TECH</v>
      </c>
      <c r="E1109" s="41" t="s">
        <v>658</v>
      </c>
      <c r="F1109" s="62" t="str">
        <f>RIGHT(tblCost[[#This Row],[RequirementID]],1)</f>
        <v>1</v>
      </c>
      <c r="G1109" s="41">
        <v>40</v>
      </c>
      <c r="H1109" t="b">
        <f>COUNTIFS(tblCostChecklist[RequirementID],tblCost[[#This Row],[RequirementID]],tblCostChecklist[PlayerPaid],TRUE)&gt;0</f>
        <v>0</v>
      </c>
      <c r="I1109" s="41">
        <f>COUNTIF(tblCost[TargetID],tblCost[[#This Row],[TargetID]])</f>
        <v>6</v>
      </c>
      <c r="J1109" s="41">
        <f>COUNTIFS(tblCost[TargetID],tblCost[[#This Row],[TargetID]],tblCost[PlayerPaid],TRUE)</f>
        <v>0</v>
      </c>
      <c r="K1109" s="41">
        <f>tblCost[[#This Row],[TargetRequirements]]-tblCost[[#This Row],[CompletedRequirements]]</f>
        <v>6</v>
      </c>
      <c r="L1109" s="41" t="b">
        <f>tblCost[[#This Row],[RemainingRequirements]]=0</f>
        <v>0</v>
      </c>
      <c r="M1109" s="43">
        <f>IF(tblCost[[#This Row],[TargetRequirements]]=0,0,tblCost[[#This Row],[CompletedRequirements]]/tblCost[[#This Row],[TargetRequirements]])</f>
        <v>0</v>
      </c>
    </row>
    <row r="1110" spans="1:13">
      <c r="A1110" s="41" t="s">
        <v>4758</v>
      </c>
      <c r="B1110" s="41" t="str">
        <f>_xlfn.TEXTAFTER(_xlfn.TEXTBEFORE(tblCost[[#This Row],[RequirementID]],".",-2),"cost.")</f>
        <v>tech.workshop.throwing_net</v>
      </c>
      <c r="C1110" s="41" t="str">
        <f>_xlfn.XLOOKUP(tblCost[[#This Row],[TargetID]],tblTargets[TargetID],tblTargets[DisplayName],"")</f>
        <v>Workshop - Throwing Net</v>
      </c>
      <c r="D1110" s="41" t="str">
        <f>_xlfn.XLOOKUP(tblCost[[#This Row],[TargetID]],tblTargets[TargetID],tblTargets[TargetType],"")</f>
        <v>TECH</v>
      </c>
      <c r="E1110" s="41" t="s">
        <v>666</v>
      </c>
      <c r="F1110" s="62" t="str">
        <f>RIGHT(tblCost[[#This Row],[RequirementID]],1)</f>
        <v>1</v>
      </c>
      <c r="G1110" s="41">
        <v>300</v>
      </c>
      <c r="H1110" t="b">
        <f>COUNTIFS(tblCostChecklist[RequirementID],tblCost[[#This Row],[RequirementID]],tblCostChecklist[PlayerPaid],TRUE)&gt;0</f>
        <v>0</v>
      </c>
      <c r="I1110" s="41">
        <f>COUNTIF(tblCost[TargetID],tblCost[[#This Row],[TargetID]])</f>
        <v>6</v>
      </c>
      <c r="J1110" s="41">
        <f>COUNTIFS(tblCost[TargetID],tblCost[[#This Row],[TargetID]],tblCost[PlayerPaid],TRUE)</f>
        <v>0</v>
      </c>
      <c r="K1110" s="41">
        <f>tblCost[[#This Row],[TargetRequirements]]-tblCost[[#This Row],[CompletedRequirements]]</f>
        <v>6</v>
      </c>
      <c r="L1110" s="41" t="b">
        <f>tblCost[[#This Row],[RemainingRequirements]]=0</f>
        <v>0</v>
      </c>
      <c r="M1110" s="43">
        <f>IF(tblCost[[#This Row],[TargetRequirements]]=0,0,tblCost[[#This Row],[CompletedRequirements]]/tblCost[[#This Row],[TargetRequirements]])</f>
        <v>0</v>
      </c>
    </row>
    <row r="1111" spans="1:13">
      <c r="A1111" s="41" t="s">
        <v>4759</v>
      </c>
      <c r="B1111" s="41" t="str">
        <f>_xlfn.TEXTAFTER(_xlfn.TEXTBEFORE(tblCost[[#This Row],[RequirementID]],".",-2),"cost.")</f>
        <v>tech.workshop.throwing_net</v>
      </c>
      <c r="C1111" s="41" t="str">
        <f>_xlfn.XLOOKUP(tblCost[[#This Row],[TargetID]],tblTargets[TargetID],tblTargets[DisplayName],"")</f>
        <v>Workshop - Throwing Net</v>
      </c>
      <c r="D1111" s="41" t="str">
        <f>_xlfn.XLOOKUP(tblCost[[#This Row],[TargetID]],tblTargets[TargetID],tblTargets[TargetType],"")</f>
        <v>TECH</v>
      </c>
      <c r="E1111" s="41" t="s">
        <v>696</v>
      </c>
      <c r="F1111" s="62" t="str">
        <f>RIGHT(tblCost[[#This Row],[RequirementID]],1)</f>
        <v>1</v>
      </c>
      <c r="G1111" s="41">
        <v>10</v>
      </c>
      <c r="H1111" t="b">
        <f>COUNTIFS(tblCostChecklist[RequirementID],tblCost[[#This Row],[RequirementID]],tblCostChecklist[PlayerPaid],TRUE)&gt;0</f>
        <v>0</v>
      </c>
      <c r="I1111" s="41">
        <f>COUNTIF(tblCost[TargetID],tblCost[[#This Row],[TargetID]])</f>
        <v>6</v>
      </c>
      <c r="J1111" s="41">
        <f>COUNTIFS(tblCost[TargetID],tblCost[[#This Row],[TargetID]],tblCost[PlayerPaid],TRUE)</f>
        <v>0</v>
      </c>
      <c r="K1111" s="41">
        <f>tblCost[[#This Row],[TargetRequirements]]-tblCost[[#This Row],[CompletedRequirements]]</f>
        <v>6</v>
      </c>
      <c r="L1111" s="41" t="b">
        <f>tblCost[[#This Row],[RemainingRequirements]]=0</f>
        <v>0</v>
      </c>
      <c r="M1111" s="43">
        <f>IF(tblCost[[#This Row],[TargetRequirements]]=0,0,tblCost[[#This Row],[CompletedRequirements]]/tblCost[[#This Row],[TargetRequirements]])</f>
        <v>0</v>
      </c>
    </row>
    <row r="1112" spans="1:13">
      <c r="A1112" s="41" t="s">
        <v>4760</v>
      </c>
      <c r="B1112" s="41" t="str">
        <f>_xlfn.TEXTAFTER(_xlfn.TEXTBEFORE(tblCost[[#This Row],[RequirementID]],".",-2),"cost.")</f>
        <v>tech.workshop.throwing_net</v>
      </c>
      <c r="C1112" s="41" t="str">
        <f>_xlfn.XLOOKUP(tblCost[[#This Row],[TargetID]],tblTargets[TargetID],tblTargets[DisplayName],"")</f>
        <v>Workshop - Throwing Net</v>
      </c>
      <c r="D1112" s="41" t="str">
        <f>_xlfn.XLOOKUP(tblCost[[#This Row],[TargetID]],tblTargets[TargetID],tblTargets[TargetType],"")</f>
        <v>TECH</v>
      </c>
      <c r="E1112" s="41" t="s">
        <v>708</v>
      </c>
      <c r="F1112" s="62" t="str">
        <f>RIGHT(tblCost[[#This Row],[RequirementID]],1)</f>
        <v>1</v>
      </c>
      <c r="G1112" s="41">
        <v>2</v>
      </c>
      <c r="H1112" t="b">
        <f>COUNTIFS(tblCostChecklist[RequirementID],tblCost[[#This Row],[RequirementID]],tblCostChecklist[PlayerPaid],TRUE)&gt;0</f>
        <v>0</v>
      </c>
      <c r="I1112" s="41">
        <f>COUNTIF(tblCost[TargetID],tblCost[[#This Row],[TargetID]])</f>
        <v>6</v>
      </c>
      <c r="J1112" s="41">
        <f>COUNTIFS(tblCost[TargetID],tblCost[[#This Row],[TargetID]],tblCost[PlayerPaid],TRUE)</f>
        <v>0</v>
      </c>
      <c r="K1112" s="41">
        <f>tblCost[[#This Row],[TargetRequirements]]-tblCost[[#This Row],[CompletedRequirements]]</f>
        <v>6</v>
      </c>
      <c r="L1112" s="41" t="b">
        <f>tblCost[[#This Row],[RemainingRequirements]]=0</f>
        <v>0</v>
      </c>
      <c r="M1112" s="43">
        <f>IF(tblCost[[#This Row],[TargetRequirements]]=0,0,tblCost[[#This Row],[CompletedRequirements]]/tblCost[[#This Row],[TargetRequirements]])</f>
        <v>0</v>
      </c>
    </row>
    <row r="1113" spans="1:13">
      <c r="A1113" s="41" t="s">
        <v>4761</v>
      </c>
      <c r="B1113" s="41" t="str">
        <f>_xlfn.TEXTAFTER(_xlfn.TEXTBEFORE(tblCost[[#This Row],[RequirementID]],".",-2),"cost.")</f>
        <v>tech.workshop.throwing_net</v>
      </c>
      <c r="C1113" s="41" t="str">
        <f>_xlfn.XLOOKUP(tblCost[[#This Row],[TargetID]],tblTargets[TargetID],tblTargets[DisplayName],"")</f>
        <v>Workshop - Throwing Net</v>
      </c>
      <c r="D1113" s="41" t="str">
        <f>_xlfn.XLOOKUP(tblCost[[#This Row],[TargetID]],tblTargets[TargetID],tblTargets[TargetType],"")</f>
        <v>TECH</v>
      </c>
      <c r="E1113" s="41" t="s">
        <v>717</v>
      </c>
      <c r="F1113" s="62" t="str">
        <f>RIGHT(tblCost[[#This Row],[RequirementID]],1)</f>
        <v>1</v>
      </c>
      <c r="G1113" s="41">
        <v>10</v>
      </c>
      <c r="H1113" t="b">
        <f>COUNTIFS(tblCostChecklist[RequirementID],tblCost[[#This Row],[RequirementID]],tblCostChecklist[PlayerPaid],TRUE)&gt;0</f>
        <v>0</v>
      </c>
      <c r="I1113" s="41">
        <f>COUNTIF(tblCost[TargetID],tblCost[[#This Row],[TargetID]])</f>
        <v>6</v>
      </c>
      <c r="J1113" s="41">
        <f>COUNTIFS(tblCost[TargetID],tblCost[[#This Row],[TargetID]],tblCost[PlayerPaid],TRUE)</f>
        <v>0</v>
      </c>
      <c r="K1113" s="41">
        <f>tblCost[[#This Row],[TargetRequirements]]-tblCost[[#This Row],[CompletedRequirements]]</f>
        <v>6</v>
      </c>
      <c r="L1113" s="41" t="b">
        <f>tblCost[[#This Row],[RemainingRequirements]]=0</f>
        <v>0</v>
      </c>
      <c r="M1113" s="43">
        <f>IF(tblCost[[#This Row],[TargetRequirements]]=0,0,tblCost[[#This Row],[CompletedRequirements]]/tblCost[[#This Row],[TargetRequirements]])</f>
        <v>0</v>
      </c>
    </row>
    <row r="1114" spans="1:13">
      <c r="A1114" s="41" t="s">
        <v>4762</v>
      </c>
      <c r="B1114" s="41" t="str">
        <f>_xlfn.TEXTAFTER(_xlfn.TEXTBEFORE(tblCost[[#This Row],[RequirementID]],".",-2),"cost.")</f>
        <v>tech.workshop.throwing_net</v>
      </c>
      <c r="C1114" s="41" t="str">
        <f>_xlfn.XLOOKUP(tblCost[[#This Row],[TargetID]],tblTargets[TargetID],tblTargets[DisplayName],"")</f>
        <v>Workshop - Throwing Net</v>
      </c>
      <c r="D1114" s="41" t="str">
        <f>_xlfn.XLOOKUP(tblCost[[#This Row],[TargetID]],tblTargets[TargetID],tblTargets[TargetType],"")</f>
        <v>TECH</v>
      </c>
      <c r="E1114" s="41" t="s">
        <v>719</v>
      </c>
      <c r="F1114" s="62" t="str">
        <f>RIGHT(tblCost[[#This Row],[RequirementID]],1)</f>
        <v>1</v>
      </c>
      <c r="G1114" s="41">
        <v>10</v>
      </c>
      <c r="H1114" t="b">
        <f>COUNTIFS(tblCostChecklist[RequirementID],tblCost[[#This Row],[RequirementID]],tblCostChecklist[PlayerPaid],TRUE)&gt;0</f>
        <v>0</v>
      </c>
      <c r="I1114" s="41">
        <f>COUNTIF(tblCost[TargetID],tblCost[[#This Row],[TargetID]])</f>
        <v>6</v>
      </c>
      <c r="J1114" s="41">
        <f>COUNTIFS(tblCost[TargetID],tblCost[[#This Row],[TargetID]],tblCost[PlayerPaid],TRUE)</f>
        <v>0</v>
      </c>
      <c r="K1114" s="41">
        <f>tblCost[[#This Row],[TargetRequirements]]-tblCost[[#This Row],[CompletedRequirements]]</f>
        <v>6</v>
      </c>
      <c r="L1114" s="41" t="b">
        <f>tblCost[[#This Row],[RemainingRequirements]]=0</f>
        <v>0</v>
      </c>
      <c r="M1114" s="43">
        <f>IF(tblCost[[#This Row],[TargetRequirements]]=0,0,tblCost[[#This Row],[CompletedRequirements]]/tblCost[[#This Row],[TargetRequirements]])</f>
        <v>0</v>
      </c>
    </row>
    <row r="1115" spans="1:13">
      <c r="A1115" s="41" t="s">
        <v>4763</v>
      </c>
      <c r="B1115" s="41" t="str">
        <f>_xlfn.TEXTAFTER(_xlfn.TEXTBEFORE(tblCost[[#This Row],[RequirementID]],".",-2),"cost.")</f>
        <v>tech.workshop.shield_for_a_hero_lvl_1</v>
      </c>
      <c r="C1115" s="41" t="str">
        <f>_xlfn.XLOOKUP(tblCost[[#This Row],[TargetID]],tblTargets[TargetID],tblTargets[DisplayName],"")</f>
        <v>Workshop - Shield For A Hero Lvl 1</v>
      </c>
      <c r="D1115" s="41" t="str">
        <f>_xlfn.XLOOKUP(tblCost[[#This Row],[TargetID]],tblTargets[TargetID],tblTargets[TargetType],"")</f>
        <v>TECH</v>
      </c>
      <c r="E1115" s="41" t="s">
        <v>658</v>
      </c>
      <c r="F1115" s="62" t="str">
        <f>RIGHT(tblCost[[#This Row],[RequirementID]],1)</f>
        <v>1</v>
      </c>
      <c r="G1115" s="41">
        <v>50</v>
      </c>
      <c r="H1115" t="b">
        <f>COUNTIFS(tblCostChecklist[RequirementID],tblCost[[#This Row],[RequirementID]],tblCostChecklist[PlayerPaid],TRUE)&gt;0</f>
        <v>0</v>
      </c>
      <c r="I1115" s="41">
        <f>COUNTIF(tblCost[TargetID],tblCost[[#This Row],[TargetID]])</f>
        <v>5</v>
      </c>
      <c r="J1115" s="41">
        <f>COUNTIFS(tblCost[TargetID],tblCost[[#This Row],[TargetID]],tblCost[PlayerPaid],TRUE)</f>
        <v>0</v>
      </c>
      <c r="K1115" s="41">
        <f>tblCost[[#This Row],[TargetRequirements]]-tblCost[[#This Row],[CompletedRequirements]]</f>
        <v>5</v>
      </c>
      <c r="L1115" s="41" t="b">
        <f>tblCost[[#This Row],[RemainingRequirements]]=0</f>
        <v>0</v>
      </c>
      <c r="M1115" s="43">
        <f>IF(tblCost[[#This Row],[TargetRequirements]]=0,0,tblCost[[#This Row],[CompletedRequirements]]/tblCost[[#This Row],[TargetRequirements]])</f>
        <v>0</v>
      </c>
    </row>
    <row r="1116" spans="1:13">
      <c r="A1116" s="41" t="s">
        <v>4764</v>
      </c>
      <c r="B1116" s="41" t="str">
        <f>_xlfn.TEXTAFTER(_xlfn.TEXTBEFORE(tblCost[[#This Row],[RequirementID]],".",-2),"cost.")</f>
        <v>tech.workshop.shield_for_a_hero_lvl_1</v>
      </c>
      <c r="C1116" s="41" t="str">
        <f>_xlfn.XLOOKUP(tblCost[[#This Row],[TargetID]],tblTargets[TargetID],tblTargets[DisplayName],"")</f>
        <v>Workshop - Shield For A Hero Lvl 1</v>
      </c>
      <c r="D1116" s="41" t="str">
        <f>_xlfn.XLOOKUP(tblCost[[#This Row],[TargetID]],tblTargets[TargetID],tblTargets[TargetType],"")</f>
        <v>TECH</v>
      </c>
      <c r="E1116" s="41" t="s">
        <v>666</v>
      </c>
      <c r="F1116" s="62" t="str">
        <f>RIGHT(tblCost[[#This Row],[RequirementID]],1)</f>
        <v>1</v>
      </c>
      <c r="G1116" s="41">
        <v>300</v>
      </c>
      <c r="H1116" t="b">
        <f>COUNTIFS(tblCostChecklist[RequirementID],tblCost[[#This Row],[RequirementID]],tblCostChecklist[PlayerPaid],TRUE)&gt;0</f>
        <v>0</v>
      </c>
      <c r="I1116" s="41">
        <f>COUNTIF(tblCost[TargetID],tblCost[[#This Row],[TargetID]])</f>
        <v>5</v>
      </c>
      <c r="J1116" s="41">
        <f>COUNTIFS(tblCost[TargetID],tblCost[[#This Row],[TargetID]],tblCost[PlayerPaid],TRUE)</f>
        <v>0</v>
      </c>
      <c r="K1116" s="41">
        <f>tblCost[[#This Row],[TargetRequirements]]-tblCost[[#This Row],[CompletedRequirements]]</f>
        <v>5</v>
      </c>
      <c r="L1116" s="41" t="b">
        <f>tblCost[[#This Row],[RemainingRequirements]]=0</f>
        <v>0</v>
      </c>
      <c r="M1116" s="43">
        <f>IF(tblCost[[#This Row],[TargetRequirements]]=0,0,tblCost[[#This Row],[CompletedRequirements]]/tblCost[[#This Row],[TargetRequirements]])</f>
        <v>0</v>
      </c>
    </row>
    <row r="1117" spans="1:13">
      <c r="A1117" s="41" t="s">
        <v>4765</v>
      </c>
      <c r="B1117" s="41" t="str">
        <f>_xlfn.TEXTAFTER(_xlfn.TEXTBEFORE(tblCost[[#This Row],[RequirementID]],".",-2),"cost.")</f>
        <v>tech.workshop.shield_for_a_hero_lvl_1</v>
      </c>
      <c r="C1117" s="41" t="str">
        <f>_xlfn.XLOOKUP(tblCost[[#This Row],[TargetID]],tblTargets[TargetID],tblTargets[DisplayName],"")</f>
        <v>Workshop - Shield For A Hero Lvl 1</v>
      </c>
      <c r="D1117" s="41" t="str">
        <f>_xlfn.XLOOKUP(tblCost[[#This Row],[TargetID]],tblTargets[TargetID],tblTargets[TargetType],"")</f>
        <v>TECH</v>
      </c>
      <c r="E1117" s="41" t="s">
        <v>690</v>
      </c>
      <c r="F1117" s="62" t="str">
        <f>RIGHT(tblCost[[#This Row],[RequirementID]],1)</f>
        <v>1</v>
      </c>
      <c r="G1117" s="41">
        <v>40</v>
      </c>
      <c r="H1117" t="b">
        <f>COUNTIFS(tblCostChecklist[RequirementID],tblCost[[#This Row],[RequirementID]],tblCostChecklist[PlayerPaid],TRUE)&gt;0</f>
        <v>0</v>
      </c>
      <c r="I1117" s="41">
        <f>COUNTIF(tblCost[TargetID],tblCost[[#This Row],[TargetID]])</f>
        <v>5</v>
      </c>
      <c r="J1117" s="41">
        <f>COUNTIFS(tblCost[TargetID],tblCost[[#This Row],[TargetID]],tblCost[PlayerPaid],TRUE)</f>
        <v>0</v>
      </c>
      <c r="K1117" s="41">
        <f>tblCost[[#This Row],[TargetRequirements]]-tblCost[[#This Row],[CompletedRequirements]]</f>
        <v>5</v>
      </c>
      <c r="L1117" s="41" t="b">
        <f>tblCost[[#This Row],[RemainingRequirements]]=0</f>
        <v>0</v>
      </c>
      <c r="M1117" s="43">
        <f>IF(tblCost[[#This Row],[TargetRequirements]]=0,0,tblCost[[#This Row],[CompletedRequirements]]/tblCost[[#This Row],[TargetRequirements]])</f>
        <v>0</v>
      </c>
    </row>
    <row r="1118" spans="1:13">
      <c r="A1118" s="41" t="s">
        <v>4766</v>
      </c>
      <c r="B1118" s="41" t="str">
        <f>_xlfn.TEXTAFTER(_xlfn.TEXTBEFORE(tblCost[[#This Row],[RequirementID]],".",-2),"cost.")</f>
        <v>tech.workshop.shield_for_a_hero_lvl_1</v>
      </c>
      <c r="C1118" s="41" t="str">
        <f>_xlfn.XLOOKUP(tblCost[[#This Row],[TargetID]],tblTargets[TargetID],tblTargets[DisplayName],"")</f>
        <v>Workshop - Shield For A Hero Lvl 1</v>
      </c>
      <c r="D1118" s="41" t="str">
        <f>_xlfn.XLOOKUP(tblCost[[#This Row],[TargetID]],tblTargets[TargetID],tblTargets[TargetType],"")</f>
        <v>TECH</v>
      </c>
      <c r="E1118" s="41" t="s">
        <v>696</v>
      </c>
      <c r="F1118" s="62" t="str">
        <f>RIGHT(tblCost[[#This Row],[RequirementID]],1)</f>
        <v>1</v>
      </c>
      <c r="G1118" s="41">
        <v>20</v>
      </c>
      <c r="H1118" t="b">
        <f>COUNTIFS(tblCostChecklist[RequirementID],tblCost[[#This Row],[RequirementID]],tblCostChecklist[PlayerPaid],TRUE)&gt;0</f>
        <v>0</v>
      </c>
      <c r="I1118" s="41">
        <f>COUNTIF(tblCost[TargetID],tblCost[[#This Row],[TargetID]])</f>
        <v>5</v>
      </c>
      <c r="J1118" s="41">
        <f>COUNTIFS(tblCost[TargetID],tblCost[[#This Row],[TargetID]],tblCost[PlayerPaid],TRUE)</f>
        <v>0</v>
      </c>
      <c r="K1118" s="41">
        <f>tblCost[[#This Row],[TargetRequirements]]-tblCost[[#This Row],[CompletedRequirements]]</f>
        <v>5</v>
      </c>
      <c r="L1118" s="41" t="b">
        <f>tblCost[[#This Row],[RemainingRequirements]]=0</f>
        <v>0</v>
      </c>
      <c r="M1118" s="43">
        <f>IF(tblCost[[#This Row],[TargetRequirements]]=0,0,tblCost[[#This Row],[CompletedRequirements]]/tblCost[[#This Row],[TargetRequirements]])</f>
        <v>0</v>
      </c>
    </row>
    <row r="1119" spans="1:13">
      <c r="A1119" s="41" t="s">
        <v>4767</v>
      </c>
      <c r="B1119" s="41" t="str">
        <f>_xlfn.TEXTAFTER(_xlfn.TEXTBEFORE(tblCost[[#This Row],[RequirementID]],".",-2),"cost.")</f>
        <v>tech.workshop.shield_for_a_hero_lvl_1</v>
      </c>
      <c r="C1119" s="41" t="str">
        <f>_xlfn.XLOOKUP(tblCost[[#This Row],[TargetID]],tblTargets[TargetID],tblTargets[DisplayName],"")</f>
        <v>Workshop - Shield For A Hero Lvl 1</v>
      </c>
      <c r="D1119" s="41" t="str">
        <f>_xlfn.XLOOKUP(tblCost[[#This Row],[TargetID]],tblTargets[TargetID],tblTargets[TargetType],"")</f>
        <v>TECH</v>
      </c>
      <c r="E1119" s="41" t="s">
        <v>708</v>
      </c>
      <c r="F1119" s="62" t="str">
        <f>RIGHT(tblCost[[#This Row],[RequirementID]],1)</f>
        <v>1</v>
      </c>
      <c r="G1119" s="41">
        <v>2</v>
      </c>
      <c r="H1119" t="b">
        <f>COUNTIFS(tblCostChecklist[RequirementID],tblCost[[#This Row],[RequirementID]],tblCostChecklist[PlayerPaid],TRUE)&gt;0</f>
        <v>0</v>
      </c>
      <c r="I1119" s="41">
        <f>COUNTIF(tblCost[TargetID],tblCost[[#This Row],[TargetID]])</f>
        <v>5</v>
      </c>
      <c r="J1119" s="41">
        <f>COUNTIFS(tblCost[TargetID],tblCost[[#This Row],[TargetID]],tblCost[PlayerPaid],TRUE)</f>
        <v>0</v>
      </c>
      <c r="K1119" s="41">
        <f>tblCost[[#This Row],[TargetRequirements]]-tblCost[[#This Row],[CompletedRequirements]]</f>
        <v>5</v>
      </c>
      <c r="L1119" s="41" t="b">
        <f>tblCost[[#This Row],[RemainingRequirements]]=0</f>
        <v>0</v>
      </c>
      <c r="M1119" s="43">
        <f>IF(tblCost[[#This Row],[TargetRequirements]]=0,0,tblCost[[#This Row],[CompletedRequirements]]/tblCost[[#This Row],[TargetRequirements]])</f>
        <v>0</v>
      </c>
    </row>
    <row r="1120" spans="1:13">
      <c r="A1120" s="41" t="s">
        <v>4768</v>
      </c>
      <c r="B1120" s="41" t="str">
        <f>_xlfn.TEXTAFTER(_xlfn.TEXTBEFORE(tblCost[[#This Row],[RequirementID]],".",-2),"cost.")</f>
        <v>tech.workshop.shield_for_a_hero_lvl_2</v>
      </c>
      <c r="C1120" s="41" t="str">
        <f>_xlfn.XLOOKUP(tblCost[[#This Row],[TargetID]],tblTargets[TargetID],tblTargets[DisplayName],"")</f>
        <v>Workshop - Shield For A Hero Lvl 2</v>
      </c>
      <c r="D1120" s="41" t="str">
        <f>_xlfn.XLOOKUP(tblCost[[#This Row],[TargetID]],tblTargets[TargetID],tblTargets[TargetType],"")</f>
        <v>TECH</v>
      </c>
      <c r="E1120" s="41" t="s">
        <v>662</v>
      </c>
      <c r="F1120" s="62" t="str">
        <f>RIGHT(tblCost[[#This Row],[RequirementID]],1)</f>
        <v>1</v>
      </c>
      <c r="G1120" s="41">
        <v>15</v>
      </c>
      <c r="H1120" t="b">
        <f>COUNTIFS(tblCostChecklist[RequirementID],tblCost[[#This Row],[RequirementID]],tblCostChecklist[PlayerPaid],TRUE)&gt;0</f>
        <v>0</v>
      </c>
      <c r="I1120" s="41">
        <f>COUNTIF(tblCost[TargetID],tblCost[[#This Row],[TargetID]])</f>
        <v>5</v>
      </c>
      <c r="J1120" s="41">
        <f>COUNTIFS(tblCost[TargetID],tblCost[[#This Row],[TargetID]],tblCost[PlayerPaid],TRUE)</f>
        <v>0</v>
      </c>
      <c r="K1120" s="41">
        <f>tblCost[[#This Row],[TargetRequirements]]-tblCost[[#This Row],[CompletedRequirements]]</f>
        <v>5</v>
      </c>
      <c r="L1120" s="41" t="b">
        <f>tblCost[[#This Row],[RemainingRequirements]]=0</f>
        <v>0</v>
      </c>
      <c r="M1120" s="43">
        <f>IF(tblCost[[#This Row],[TargetRequirements]]=0,0,tblCost[[#This Row],[CompletedRequirements]]/tblCost[[#This Row],[TargetRequirements]])</f>
        <v>0</v>
      </c>
    </row>
    <row r="1121" spans="1:13">
      <c r="A1121" s="41" t="s">
        <v>4769</v>
      </c>
      <c r="B1121" s="41" t="str">
        <f>_xlfn.TEXTAFTER(_xlfn.TEXTBEFORE(tblCost[[#This Row],[RequirementID]],".",-2),"cost.")</f>
        <v>tech.workshop.shield_for_a_hero_lvl_2</v>
      </c>
      <c r="C1121" s="41" t="str">
        <f>_xlfn.XLOOKUP(tblCost[[#This Row],[TargetID]],tblTargets[TargetID],tblTargets[DisplayName],"")</f>
        <v>Workshop - Shield For A Hero Lvl 2</v>
      </c>
      <c r="D1121" s="41" t="str">
        <f>_xlfn.XLOOKUP(tblCost[[#This Row],[TargetID]],tblTargets[TargetID],tblTargets[TargetType],"")</f>
        <v>TECH</v>
      </c>
      <c r="E1121" s="41" t="s">
        <v>666</v>
      </c>
      <c r="F1121" s="62" t="str">
        <f>RIGHT(tblCost[[#This Row],[RequirementID]],1)</f>
        <v>1</v>
      </c>
      <c r="G1121" s="41">
        <v>500</v>
      </c>
      <c r="H1121" t="b">
        <f>COUNTIFS(tblCostChecklist[RequirementID],tblCost[[#This Row],[RequirementID]],tblCostChecklist[PlayerPaid],TRUE)&gt;0</f>
        <v>0</v>
      </c>
      <c r="I1121" s="41">
        <f>COUNTIF(tblCost[TargetID],tblCost[[#This Row],[TargetID]])</f>
        <v>5</v>
      </c>
      <c r="J1121" s="41">
        <f>COUNTIFS(tblCost[TargetID],tblCost[[#This Row],[TargetID]],tblCost[PlayerPaid],TRUE)</f>
        <v>0</v>
      </c>
      <c r="K1121" s="41">
        <f>tblCost[[#This Row],[TargetRequirements]]-tblCost[[#This Row],[CompletedRequirements]]</f>
        <v>5</v>
      </c>
      <c r="L1121" s="41" t="b">
        <f>tblCost[[#This Row],[RemainingRequirements]]=0</f>
        <v>0</v>
      </c>
      <c r="M1121" s="43">
        <f>IF(tblCost[[#This Row],[TargetRequirements]]=0,0,tblCost[[#This Row],[CompletedRequirements]]/tblCost[[#This Row],[TargetRequirements]])</f>
        <v>0</v>
      </c>
    </row>
    <row r="1122" spans="1:13">
      <c r="A1122" s="41" t="s">
        <v>4770</v>
      </c>
      <c r="B1122" s="41" t="str">
        <f>_xlfn.TEXTAFTER(_xlfn.TEXTBEFORE(tblCost[[#This Row],[RequirementID]],".",-2),"cost.")</f>
        <v>tech.workshop.shield_for_a_hero_lvl_2</v>
      </c>
      <c r="C1122" s="41" t="str">
        <f>_xlfn.XLOOKUP(tblCost[[#This Row],[TargetID]],tblTargets[TargetID],tblTargets[DisplayName],"")</f>
        <v>Workshop - Shield For A Hero Lvl 2</v>
      </c>
      <c r="D1122" s="41" t="str">
        <f>_xlfn.XLOOKUP(tblCost[[#This Row],[TargetID]],tblTargets[TargetID],tblTargets[TargetType],"")</f>
        <v>TECH</v>
      </c>
      <c r="E1122" s="41" t="s">
        <v>693</v>
      </c>
      <c r="F1122" s="62" t="str">
        <f>RIGHT(tblCost[[#This Row],[RequirementID]],1)</f>
        <v>1</v>
      </c>
      <c r="G1122" s="41">
        <v>40</v>
      </c>
      <c r="H1122" t="b">
        <f>COUNTIFS(tblCostChecklist[RequirementID],tblCost[[#This Row],[RequirementID]],tblCostChecklist[PlayerPaid],TRUE)&gt;0</f>
        <v>0</v>
      </c>
      <c r="I1122" s="41">
        <f>COUNTIF(tblCost[TargetID],tblCost[[#This Row],[TargetID]])</f>
        <v>5</v>
      </c>
      <c r="J1122" s="41">
        <f>COUNTIFS(tblCost[TargetID],tblCost[[#This Row],[TargetID]],tblCost[PlayerPaid],TRUE)</f>
        <v>0</v>
      </c>
      <c r="K1122" s="41">
        <f>tblCost[[#This Row],[TargetRequirements]]-tblCost[[#This Row],[CompletedRequirements]]</f>
        <v>5</v>
      </c>
      <c r="L1122" s="41" t="b">
        <f>tblCost[[#This Row],[RemainingRequirements]]=0</f>
        <v>0</v>
      </c>
      <c r="M1122" s="43">
        <f>IF(tblCost[[#This Row],[TargetRequirements]]=0,0,tblCost[[#This Row],[CompletedRequirements]]/tblCost[[#This Row],[TargetRequirements]])</f>
        <v>0</v>
      </c>
    </row>
    <row r="1123" spans="1:13">
      <c r="A1123" s="41" t="s">
        <v>4771</v>
      </c>
      <c r="B1123" s="41" t="str">
        <f>_xlfn.TEXTAFTER(_xlfn.TEXTBEFORE(tblCost[[#This Row],[RequirementID]],".",-2),"cost.")</f>
        <v>tech.workshop.shield_for_a_hero_lvl_2</v>
      </c>
      <c r="C1123" s="41" t="str">
        <f>_xlfn.XLOOKUP(tblCost[[#This Row],[TargetID]],tblTargets[TargetID],tblTargets[DisplayName],"")</f>
        <v>Workshop - Shield For A Hero Lvl 2</v>
      </c>
      <c r="D1123" s="41" t="str">
        <f>_xlfn.XLOOKUP(tblCost[[#This Row],[TargetID]],tblTargets[TargetID],tblTargets[TargetType],"")</f>
        <v>TECH</v>
      </c>
      <c r="E1123" s="41" t="s">
        <v>701</v>
      </c>
      <c r="F1123" s="62" t="str">
        <f>RIGHT(tblCost[[#This Row],[RequirementID]],1)</f>
        <v>1</v>
      </c>
      <c r="G1123" s="41">
        <v>100</v>
      </c>
      <c r="H1123" t="b">
        <f>COUNTIFS(tblCostChecklist[RequirementID],tblCost[[#This Row],[RequirementID]],tblCostChecklist[PlayerPaid],TRUE)&gt;0</f>
        <v>0</v>
      </c>
      <c r="I1123" s="41">
        <f>COUNTIF(tblCost[TargetID],tblCost[[#This Row],[TargetID]])</f>
        <v>5</v>
      </c>
      <c r="J1123" s="41">
        <f>COUNTIFS(tblCost[TargetID],tblCost[[#This Row],[TargetID]],tblCost[PlayerPaid],TRUE)</f>
        <v>0</v>
      </c>
      <c r="K1123" s="41">
        <f>tblCost[[#This Row],[TargetRequirements]]-tblCost[[#This Row],[CompletedRequirements]]</f>
        <v>5</v>
      </c>
      <c r="L1123" s="41" t="b">
        <f>tblCost[[#This Row],[RemainingRequirements]]=0</f>
        <v>0</v>
      </c>
      <c r="M1123" s="43">
        <f>IF(tblCost[[#This Row],[TargetRequirements]]=0,0,tblCost[[#This Row],[CompletedRequirements]]/tblCost[[#This Row],[TargetRequirements]])</f>
        <v>0</v>
      </c>
    </row>
    <row r="1124" spans="1:13">
      <c r="A1124" s="41" t="s">
        <v>4772</v>
      </c>
      <c r="B1124" s="41" t="str">
        <f>_xlfn.TEXTAFTER(_xlfn.TEXTBEFORE(tblCost[[#This Row],[RequirementID]],".",-2),"cost.")</f>
        <v>tech.workshop.shield_for_a_hero_lvl_2</v>
      </c>
      <c r="C1124" s="41" t="str">
        <f>_xlfn.XLOOKUP(tblCost[[#This Row],[TargetID]],tblTargets[TargetID],tblTargets[DisplayName],"")</f>
        <v>Workshop - Shield For A Hero Lvl 2</v>
      </c>
      <c r="D1124" s="41" t="str">
        <f>_xlfn.XLOOKUP(tblCost[[#This Row],[TargetID]],tblTargets[TargetID],tblTargets[TargetType],"")</f>
        <v>TECH</v>
      </c>
      <c r="E1124" s="41" t="s">
        <v>708</v>
      </c>
      <c r="F1124" s="62" t="str">
        <f>RIGHT(tblCost[[#This Row],[RequirementID]],1)</f>
        <v>1</v>
      </c>
      <c r="G1124" s="41">
        <v>3</v>
      </c>
      <c r="H1124" t="b">
        <f>COUNTIFS(tblCostChecklist[RequirementID],tblCost[[#This Row],[RequirementID]],tblCostChecklist[PlayerPaid],TRUE)&gt;0</f>
        <v>0</v>
      </c>
      <c r="I1124" s="41">
        <f>COUNTIF(tblCost[TargetID],tblCost[[#This Row],[TargetID]])</f>
        <v>5</v>
      </c>
      <c r="J1124" s="41">
        <f>COUNTIFS(tblCost[TargetID],tblCost[[#This Row],[TargetID]],tblCost[PlayerPaid],TRUE)</f>
        <v>0</v>
      </c>
      <c r="K1124" s="41">
        <f>tblCost[[#This Row],[TargetRequirements]]-tblCost[[#This Row],[CompletedRequirements]]</f>
        <v>5</v>
      </c>
      <c r="L1124" s="41" t="b">
        <f>tblCost[[#This Row],[RemainingRequirements]]=0</f>
        <v>0</v>
      </c>
      <c r="M1124" s="43">
        <f>IF(tblCost[[#This Row],[TargetRequirements]]=0,0,tblCost[[#This Row],[CompletedRequirements]]/tblCost[[#This Row],[TargetRequirements]])</f>
        <v>0</v>
      </c>
    </row>
    <row r="1125" spans="1:13">
      <c r="A1125" s="41" t="s">
        <v>4773</v>
      </c>
      <c r="B1125" s="41" t="str">
        <f>_xlfn.TEXTAFTER(_xlfn.TEXTBEFORE(tblCost[[#This Row],[RequirementID]],".",-2),"cost.")</f>
        <v>tech.workshop.shield_for_a_hero_lvl_3</v>
      </c>
      <c r="C1125" s="41" t="str">
        <f>_xlfn.XLOOKUP(tblCost[[#This Row],[TargetID]],tblTargets[TargetID],tblTargets[DisplayName],"")</f>
        <v>Workshop - Shield For A Hero Lvl 3</v>
      </c>
      <c r="D1125" s="41" t="str">
        <f>_xlfn.XLOOKUP(tblCost[[#This Row],[TargetID]],tblTargets[TargetID],tblTargets[TargetType],"")</f>
        <v>TECH</v>
      </c>
      <c r="E1125" s="41" t="s">
        <v>662</v>
      </c>
      <c r="F1125" s="62" t="str">
        <f>RIGHT(tblCost[[#This Row],[RequirementID]],1)</f>
        <v>1</v>
      </c>
      <c r="G1125" s="41">
        <v>20</v>
      </c>
      <c r="H1125" t="b">
        <f>COUNTIFS(tblCostChecklist[RequirementID],tblCost[[#This Row],[RequirementID]],tblCostChecklist[PlayerPaid],TRUE)&gt;0</f>
        <v>0</v>
      </c>
      <c r="I1125" s="41">
        <f>COUNTIF(tblCost[TargetID],tblCost[[#This Row],[TargetID]])</f>
        <v>5</v>
      </c>
      <c r="J1125" s="41">
        <f>COUNTIFS(tblCost[TargetID],tblCost[[#This Row],[TargetID]],tblCost[PlayerPaid],TRUE)</f>
        <v>0</v>
      </c>
      <c r="K1125" s="41">
        <f>tblCost[[#This Row],[TargetRequirements]]-tblCost[[#This Row],[CompletedRequirements]]</f>
        <v>5</v>
      </c>
      <c r="L1125" s="41" t="b">
        <f>tblCost[[#This Row],[RemainingRequirements]]=0</f>
        <v>0</v>
      </c>
      <c r="M1125" s="43">
        <f>IF(tblCost[[#This Row],[TargetRequirements]]=0,0,tblCost[[#This Row],[CompletedRequirements]]/tblCost[[#This Row],[TargetRequirements]])</f>
        <v>0</v>
      </c>
    </row>
    <row r="1126" spans="1:13">
      <c r="A1126" s="41" t="s">
        <v>4774</v>
      </c>
      <c r="B1126" s="41" t="str">
        <f>_xlfn.TEXTAFTER(_xlfn.TEXTBEFORE(tblCost[[#This Row],[RequirementID]],".",-2),"cost.")</f>
        <v>tech.workshop.shield_for_a_hero_lvl_3</v>
      </c>
      <c r="C1126" s="41" t="str">
        <f>_xlfn.XLOOKUP(tblCost[[#This Row],[TargetID]],tblTargets[TargetID],tblTargets[DisplayName],"")</f>
        <v>Workshop - Shield For A Hero Lvl 3</v>
      </c>
      <c r="D1126" s="41" t="str">
        <f>_xlfn.XLOOKUP(tblCost[[#This Row],[TargetID]],tblTargets[TargetID],tblTargets[TargetType],"")</f>
        <v>TECH</v>
      </c>
      <c r="E1126" s="41" t="s">
        <v>666</v>
      </c>
      <c r="F1126" s="62" t="str">
        <f>RIGHT(tblCost[[#This Row],[RequirementID]],1)</f>
        <v>1</v>
      </c>
      <c r="G1126" s="41">
        <v>1000</v>
      </c>
      <c r="H1126" t="b">
        <f>COUNTIFS(tblCostChecklist[RequirementID],tblCost[[#This Row],[RequirementID]],tblCostChecklist[PlayerPaid],TRUE)&gt;0</f>
        <v>0</v>
      </c>
      <c r="I1126" s="41">
        <f>COUNTIF(tblCost[TargetID],tblCost[[#This Row],[TargetID]])</f>
        <v>5</v>
      </c>
      <c r="J1126" s="41">
        <f>COUNTIFS(tblCost[TargetID],tblCost[[#This Row],[TargetID]],tblCost[PlayerPaid],TRUE)</f>
        <v>0</v>
      </c>
      <c r="K1126" s="41">
        <f>tblCost[[#This Row],[TargetRequirements]]-tblCost[[#This Row],[CompletedRequirements]]</f>
        <v>5</v>
      </c>
      <c r="L1126" s="41" t="b">
        <f>tblCost[[#This Row],[RemainingRequirements]]=0</f>
        <v>0</v>
      </c>
      <c r="M1126" s="43">
        <f>IF(tblCost[[#This Row],[TargetRequirements]]=0,0,tblCost[[#This Row],[CompletedRequirements]]/tblCost[[#This Row],[TargetRequirements]])</f>
        <v>0</v>
      </c>
    </row>
    <row r="1127" spans="1:13">
      <c r="A1127" s="41" t="s">
        <v>4775</v>
      </c>
      <c r="B1127" s="41" t="str">
        <f>_xlfn.TEXTAFTER(_xlfn.TEXTBEFORE(tblCost[[#This Row],[RequirementID]],".",-2),"cost.")</f>
        <v>tech.workshop.shield_for_a_hero_lvl_3</v>
      </c>
      <c r="C1127" s="41" t="str">
        <f>_xlfn.XLOOKUP(tblCost[[#This Row],[TargetID]],tblTargets[TargetID],tblTargets[DisplayName],"")</f>
        <v>Workshop - Shield For A Hero Lvl 3</v>
      </c>
      <c r="D1127" s="41" t="str">
        <f>_xlfn.XLOOKUP(tblCost[[#This Row],[TargetID]],tblTargets[TargetID],tblTargets[TargetType],"")</f>
        <v>TECH</v>
      </c>
      <c r="E1127" s="41" t="s">
        <v>693</v>
      </c>
      <c r="F1127" s="62" t="str">
        <f>RIGHT(tblCost[[#This Row],[RequirementID]],1)</f>
        <v>1</v>
      </c>
      <c r="G1127" s="41">
        <v>60</v>
      </c>
      <c r="H1127" t="b">
        <f>COUNTIFS(tblCostChecklist[RequirementID],tblCost[[#This Row],[RequirementID]],tblCostChecklist[PlayerPaid],TRUE)&gt;0</f>
        <v>0</v>
      </c>
      <c r="I1127" s="41">
        <f>COUNTIF(tblCost[TargetID],tblCost[[#This Row],[TargetID]])</f>
        <v>5</v>
      </c>
      <c r="J1127" s="41">
        <f>COUNTIFS(tblCost[TargetID],tblCost[[#This Row],[TargetID]],tblCost[PlayerPaid],TRUE)</f>
        <v>0</v>
      </c>
      <c r="K1127" s="41">
        <f>tblCost[[#This Row],[TargetRequirements]]-tblCost[[#This Row],[CompletedRequirements]]</f>
        <v>5</v>
      </c>
      <c r="L1127" s="41" t="b">
        <f>tblCost[[#This Row],[RemainingRequirements]]=0</f>
        <v>0</v>
      </c>
      <c r="M1127" s="43">
        <f>IF(tblCost[[#This Row],[TargetRequirements]]=0,0,tblCost[[#This Row],[CompletedRequirements]]/tblCost[[#This Row],[TargetRequirements]])</f>
        <v>0</v>
      </c>
    </row>
    <row r="1128" spans="1:13">
      <c r="A1128" s="41" t="s">
        <v>4776</v>
      </c>
      <c r="B1128" s="41" t="str">
        <f>_xlfn.TEXTAFTER(_xlfn.TEXTBEFORE(tblCost[[#This Row],[RequirementID]],".",-2),"cost.")</f>
        <v>tech.workshop.shield_for_a_hero_lvl_3</v>
      </c>
      <c r="C1128" s="41" t="str">
        <f>_xlfn.XLOOKUP(tblCost[[#This Row],[TargetID]],tblTargets[TargetID],tblTargets[DisplayName],"")</f>
        <v>Workshop - Shield For A Hero Lvl 3</v>
      </c>
      <c r="D1128" s="41" t="str">
        <f>_xlfn.XLOOKUP(tblCost[[#This Row],[TargetID]],tblTargets[TargetID],tblTargets[TargetType],"")</f>
        <v>TECH</v>
      </c>
      <c r="E1128" s="41" t="s">
        <v>701</v>
      </c>
      <c r="F1128" s="62" t="str">
        <f>RIGHT(tblCost[[#This Row],[RequirementID]],1)</f>
        <v>1</v>
      </c>
      <c r="G1128" s="41">
        <v>200</v>
      </c>
      <c r="H1128" t="b">
        <f>COUNTIFS(tblCostChecklist[RequirementID],tblCost[[#This Row],[RequirementID]],tblCostChecklist[PlayerPaid],TRUE)&gt;0</f>
        <v>0</v>
      </c>
      <c r="I1128" s="41">
        <f>COUNTIF(tblCost[TargetID],tblCost[[#This Row],[TargetID]])</f>
        <v>5</v>
      </c>
      <c r="J1128" s="41">
        <f>COUNTIFS(tblCost[TargetID],tblCost[[#This Row],[TargetID]],tblCost[PlayerPaid],TRUE)</f>
        <v>0</v>
      </c>
      <c r="K1128" s="41">
        <f>tblCost[[#This Row],[TargetRequirements]]-tblCost[[#This Row],[CompletedRequirements]]</f>
        <v>5</v>
      </c>
      <c r="L1128" s="41" t="b">
        <f>tblCost[[#This Row],[RemainingRequirements]]=0</f>
        <v>0</v>
      </c>
      <c r="M1128" s="43">
        <f>IF(tblCost[[#This Row],[TargetRequirements]]=0,0,tblCost[[#This Row],[CompletedRequirements]]/tblCost[[#This Row],[TargetRequirements]])</f>
        <v>0</v>
      </c>
    </row>
    <row r="1129" spans="1:13">
      <c r="A1129" s="41" t="s">
        <v>4777</v>
      </c>
      <c r="B1129" s="41" t="str">
        <f>_xlfn.TEXTAFTER(_xlfn.TEXTBEFORE(tblCost[[#This Row],[RequirementID]],".",-2),"cost.")</f>
        <v>tech.workshop.shield_for_a_hero_lvl_3</v>
      </c>
      <c r="C1129" s="41" t="str">
        <f>_xlfn.XLOOKUP(tblCost[[#This Row],[TargetID]],tblTargets[TargetID],tblTargets[DisplayName],"")</f>
        <v>Workshop - Shield For A Hero Lvl 3</v>
      </c>
      <c r="D1129" s="41" t="str">
        <f>_xlfn.XLOOKUP(tblCost[[#This Row],[TargetID]],tblTargets[TargetID],tblTargets[TargetType],"")</f>
        <v>TECH</v>
      </c>
      <c r="E1129" s="41" t="s">
        <v>708</v>
      </c>
      <c r="F1129" s="62" t="str">
        <f>RIGHT(tblCost[[#This Row],[RequirementID]],1)</f>
        <v>1</v>
      </c>
      <c r="G1129" s="41">
        <v>5</v>
      </c>
      <c r="H1129" t="b">
        <f>COUNTIFS(tblCostChecklist[RequirementID],tblCost[[#This Row],[RequirementID]],tblCostChecklist[PlayerPaid],TRUE)&gt;0</f>
        <v>0</v>
      </c>
      <c r="I1129" s="41">
        <f>COUNTIF(tblCost[TargetID],tblCost[[#This Row],[TargetID]])</f>
        <v>5</v>
      </c>
      <c r="J1129" s="41">
        <f>COUNTIFS(tblCost[TargetID],tblCost[[#This Row],[TargetID]],tblCost[PlayerPaid],TRUE)</f>
        <v>0</v>
      </c>
      <c r="K1129" s="41">
        <f>tblCost[[#This Row],[TargetRequirements]]-tblCost[[#This Row],[CompletedRequirements]]</f>
        <v>5</v>
      </c>
      <c r="L1129" s="41" t="b">
        <f>tblCost[[#This Row],[RemainingRequirements]]=0</f>
        <v>0</v>
      </c>
      <c r="M1129" s="43">
        <f>IF(tblCost[[#This Row],[TargetRequirements]]=0,0,tblCost[[#This Row],[CompletedRequirements]]/tblCost[[#This Row],[TargetRequirements]])</f>
        <v>0</v>
      </c>
    </row>
    <row r="1130" spans="1:13">
      <c r="A1130" s="41" t="s">
        <v>4778</v>
      </c>
      <c r="B1130" s="41" t="str">
        <f>_xlfn.TEXTAFTER(_xlfn.TEXTBEFORE(tblCost[[#This Row],[RequirementID]],".",-2),"cost.")</f>
        <v>tech.workshop.shield_for_a_hero_lvl_4</v>
      </c>
      <c r="C1130" s="41" t="str">
        <f>_xlfn.XLOOKUP(tblCost[[#This Row],[TargetID]],tblTargets[TargetID],tblTargets[DisplayName],"")</f>
        <v>Workshop - Shield For A Hero Lvl 4</v>
      </c>
      <c r="D1130" s="41" t="str">
        <f>_xlfn.XLOOKUP(tblCost[[#This Row],[TargetID]],tblTargets[TargetID],tblTargets[TargetType],"")</f>
        <v>TECH</v>
      </c>
      <c r="E1130" s="41" t="s">
        <v>662</v>
      </c>
      <c r="F1130" s="62" t="str">
        <f>RIGHT(tblCost[[#This Row],[RequirementID]],1)</f>
        <v>1</v>
      </c>
      <c r="G1130" s="41">
        <v>25</v>
      </c>
      <c r="H1130" t="b">
        <f>COUNTIFS(tblCostChecklist[RequirementID],tblCost[[#This Row],[RequirementID]],tblCostChecklist[PlayerPaid],TRUE)&gt;0</f>
        <v>0</v>
      </c>
      <c r="I1130" s="41">
        <f>COUNTIF(tblCost[TargetID],tblCost[[#This Row],[TargetID]])</f>
        <v>7</v>
      </c>
      <c r="J1130" s="41">
        <f>COUNTIFS(tblCost[TargetID],tblCost[[#This Row],[TargetID]],tblCost[PlayerPaid],TRUE)</f>
        <v>0</v>
      </c>
      <c r="K1130" s="41">
        <f>tblCost[[#This Row],[TargetRequirements]]-tblCost[[#This Row],[CompletedRequirements]]</f>
        <v>7</v>
      </c>
      <c r="L1130" s="41" t="b">
        <f>tblCost[[#This Row],[RemainingRequirements]]=0</f>
        <v>0</v>
      </c>
      <c r="M1130" s="43">
        <f>IF(tblCost[[#This Row],[TargetRequirements]]=0,0,tblCost[[#This Row],[CompletedRequirements]]/tblCost[[#This Row],[TargetRequirements]])</f>
        <v>0</v>
      </c>
    </row>
    <row r="1131" spans="1:13">
      <c r="A1131" s="41" t="s">
        <v>4779</v>
      </c>
      <c r="B1131" s="41" t="str">
        <f>_xlfn.TEXTAFTER(_xlfn.TEXTBEFORE(tblCost[[#This Row],[RequirementID]],".",-2),"cost.")</f>
        <v>tech.workshop.shield_for_a_hero_lvl_4</v>
      </c>
      <c r="C1131" s="41" t="str">
        <f>_xlfn.XLOOKUP(tblCost[[#This Row],[TargetID]],tblTargets[TargetID],tblTargets[DisplayName],"")</f>
        <v>Workshop - Shield For A Hero Lvl 4</v>
      </c>
      <c r="D1131" s="41" t="str">
        <f>_xlfn.XLOOKUP(tblCost[[#This Row],[TargetID]],tblTargets[TargetID],tblTargets[TargetType],"")</f>
        <v>TECH</v>
      </c>
      <c r="E1131" s="41" t="s">
        <v>928</v>
      </c>
      <c r="F1131" s="62" t="str">
        <f>RIGHT(tblCost[[#This Row],[RequirementID]],1)</f>
        <v>1</v>
      </c>
      <c r="G1131" s="41">
        <v>10</v>
      </c>
      <c r="H1131" t="b">
        <f>COUNTIFS(tblCostChecklist[RequirementID],tblCost[[#This Row],[RequirementID]],tblCostChecklist[PlayerPaid],TRUE)&gt;0</f>
        <v>0</v>
      </c>
      <c r="I1131" s="41">
        <f>COUNTIF(tblCost[TargetID],tblCost[[#This Row],[TargetID]])</f>
        <v>7</v>
      </c>
      <c r="J1131" s="41">
        <f>COUNTIFS(tblCost[TargetID],tblCost[[#This Row],[TargetID]],tblCost[PlayerPaid],TRUE)</f>
        <v>0</v>
      </c>
      <c r="K1131" s="41">
        <f>tblCost[[#This Row],[TargetRequirements]]-tblCost[[#This Row],[CompletedRequirements]]</f>
        <v>7</v>
      </c>
      <c r="L1131" s="41" t="b">
        <f>tblCost[[#This Row],[RemainingRequirements]]=0</f>
        <v>0</v>
      </c>
      <c r="M1131" s="43">
        <f>IF(tblCost[[#This Row],[TargetRequirements]]=0,0,tblCost[[#This Row],[CompletedRequirements]]/tblCost[[#This Row],[TargetRequirements]])</f>
        <v>0</v>
      </c>
    </row>
    <row r="1132" spans="1:13">
      <c r="A1132" s="41" t="s">
        <v>4780</v>
      </c>
      <c r="B1132" s="41" t="str">
        <f>_xlfn.TEXTAFTER(_xlfn.TEXTBEFORE(tblCost[[#This Row],[RequirementID]],".",-2),"cost.")</f>
        <v>tech.workshop.shield_for_a_hero_lvl_4</v>
      </c>
      <c r="C1132" s="41" t="str">
        <f>_xlfn.XLOOKUP(tblCost[[#This Row],[TargetID]],tblTargets[TargetID],tblTargets[DisplayName],"")</f>
        <v>Workshop - Shield For A Hero Lvl 4</v>
      </c>
      <c r="D1132" s="41" t="str">
        <f>_xlfn.XLOOKUP(tblCost[[#This Row],[TargetID]],tblTargets[TargetID],tblTargets[TargetType],"")</f>
        <v>TECH</v>
      </c>
      <c r="E1132" s="41" t="s">
        <v>664</v>
      </c>
      <c r="F1132" s="62" t="str">
        <f>RIGHT(tblCost[[#This Row],[RequirementID]],1)</f>
        <v>1</v>
      </c>
      <c r="G1132" s="41">
        <v>30</v>
      </c>
      <c r="H1132" t="b">
        <f>COUNTIFS(tblCostChecklist[RequirementID],tblCost[[#This Row],[RequirementID]],tblCostChecklist[PlayerPaid],TRUE)&gt;0</f>
        <v>0</v>
      </c>
      <c r="I1132" s="41">
        <f>COUNTIF(tblCost[TargetID],tblCost[[#This Row],[TargetID]])</f>
        <v>7</v>
      </c>
      <c r="J1132" s="41">
        <f>COUNTIFS(tblCost[TargetID],tblCost[[#This Row],[TargetID]],tblCost[PlayerPaid],TRUE)</f>
        <v>0</v>
      </c>
      <c r="K1132" s="41">
        <f>tblCost[[#This Row],[TargetRequirements]]-tblCost[[#This Row],[CompletedRequirements]]</f>
        <v>7</v>
      </c>
      <c r="L1132" s="41" t="b">
        <f>tblCost[[#This Row],[RemainingRequirements]]=0</f>
        <v>0</v>
      </c>
      <c r="M1132" s="43">
        <f>IF(tblCost[[#This Row],[TargetRequirements]]=0,0,tblCost[[#This Row],[CompletedRequirements]]/tblCost[[#This Row],[TargetRequirements]])</f>
        <v>0</v>
      </c>
    </row>
    <row r="1133" spans="1:13">
      <c r="A1133" s="41" t="s">
        <v>4781</v>
      </c>
      <c r="B1133" s="41" t="str">
        <f>_xlfn.TEXTAFTER(_xlfn.TEXTBEFORE(tblCost[[#This Row],[RequirementID]],".",-2),"cost.")</f>
        <v>tech.workshop.shield_for_a_hero_lvl_4</v>
      </c>
      <c r="C1133" s="41" t="str">
        <f>_xlfn.XLOOKUP(tblCost[[#This Row],[TargetID]],tblTargets[TargetID],tblTargets[DisplayName],"")</f>
        <v>Workshop - Shield For A Hero Lvl 4</v>
      </c>
      <c r="D1133" s="41" t="str">
        <f>_xlfn.XLOOKUP(tblCost[[#This Row],[TargetID]],tblTargets[TargetID],tblTargets[TargetType],"")</f>
        <v>TECH</v>
      </c>
      <c r="E1133" s="41" t="s">
        <v>666</v>
      </c>
      <c r="F1133" s="62" t="str">
        <f>RIGHT(tblCost[[#This Row],[RequirementID]],1)</f>
        <v>1</v>
      </c>
      <c r="G1133" s="41">
        <v>1000</v>
      </c>
      <c r="H1133" t="b">
        <f>COUNTIFS(tblCostChecklist[RequirementID],tblCost[[#This Row],[RequirementID]],tblCostChecklist[PlayerPaid],TRUE)&gt;0</f>
        <v>0</v>
      </c>
      <c r="I1133" s="41">
        <f>COUNTIF(tblCost[TargetID],tblCost[[#This Row],[TargetID]])</f>
        <v>7</v>
      </c>
      <c r="J1133" s="41">
        <f>COUNTIFS(tblCost[TargetID],tblCost[[#This Row],[TargetID]],tblCost[PlayerPaid],TRUE)</f>
        <v>0</v>
      </c>
      <c r="K1133" s="41">
        <f>tblCost[[#This Row],[TargetRequirements]]-tblCost[[#This Row],[CompletedRequirements]]</f>
        <v>7</v>
      </c>
      <c r="L1133" s="41" t="b">
        <f>tblCost[[#This Row],[RemainingRequirements]]=0</f>
        <v>0</v>
      </c>
      <c r="M1133" s="43">
        <f>IF(tblCost[[#This Row],[TargetRequirements]]=0,0,tblCost[[#This Row],[CompletedRequirements]]/tblCost[[#This Row],[TargetRequirements]])</f>
        <v>0</v>
      </c>
    </row>
    <row r="1134" spans="1:13">
      <c r="A1134" s="41" t="s">
        <v>4782</v>
      </c>
      <c r="B1134" s="41" t="str">
        <f>_xlfn.TEXTAFTER(_xlfn.TEXTBEFORE(tblCost[[#This Row],[RequirementID]],".",-2),"cost.")</f>
        <v>tech.workshop.shield_for_a_hero_lvl_4</v>
      </c>
      <c r="C1134" s="41" t="str">
        <f>_xlfn.XLOOKUP(tblCost[[#This Row],[TargetID]],tblTargets[TargetID],tblTargets[DisplayName],"")</f>
        <v>Workshop - Shield For A Hero Lvl 4</v>
      </c>
      <c r="D1134" s="41" t="str">
        <f>_xlfn.XLOOKUP(tblCost[[#This Row],[TargetID]],tblTargets[TargetID],tblTargets[TargetType],"")</f>
        <v>TECH</v>
      </c>
      <c r="E1134" s="41" t="s">
        <v>686</v>
      </c>
      <c r="F1134" s="62" t="str">
        <f>RIGHT(tblCost[[#This Row],[RequirementID]],1)</f>
        <v>1</v>
      </c>
      <c r="G1134" s="41">
        <v>15</v>
      </c>
      <c r="H1134" t="b">
        <f>COUNTIFS(tblCostChecklist[RequirementID],tblCost[[#This Row],[RequirementID]],tblCostChecklist[PlayerPaid],TRUE)&gt;0</f>
        <v>0</v>
      </c>
      <c r="I1134" s="41">
        <f>COUNTIF(tblCost[TargetID],tblCost[[#This Row],[TargetID]])</f>
        <v>7</v>
      </c>
      <c r="J1134" s="41">
        <f>COUNTIFS(tblCost[TargetID],tblCost[[#This Row],[TargetID]],tblCost[PlayerPaid],TRUE)</f>
        <v>0</v>
      </c>
      <c r="K1134" s="41">
        <f>tblCost[[#This Row],[TargetRequirements]]-tblCost[[#This Row],[CompletedRequirements]]</f>
        <v>7</v>
      </c>
      <c r="L1134" s="41" t="b">
        <f>tblCost[[#This Row],[RemainingRequirements]]=0</f>
        <v>0</v>
      </c>
      <c r="M1134" s="43">
        <f>IF(tblCost[[#This Row],[TargetRequirements]]=0,0,tblCost[[#This Row],[CompletedRequirements]]/tblCost[[#This Row],[TargetRequirements]])</f>
        <v>0</v>
      </c>
    </row>
    <row r="1135" spans="1:13">
      <c r="A1135" s="41" t="s">
        <v>4783</v>
      </c>
      <c r="B1135" s="41" t="str">
        <f>_xlfn.TEXTAFTER(_xlfn.TEXTBEFORE(tblCost[[#This Row],[RequirementID]],".",-2),"cost.")</f>
        <v>tech.workshop.shield_for_a_hero_lvl_4</v>
      </c>
      <c r="C1135" s="41" t="str">
        <f>_xlfn.XLOOKUP(tblCost[[#This Row],[TargetID]],tblTargets[TargetID],tblTargets[DisplayName],"")</f>
        <v>Workshop - Shield For A Hero Lvl 4</v>
      </c>
      <c r="D1135" s="41" t="str">
        <f>_xlfn.XLOOKUP(tblCost[[#This Row],[TargetID]],tblTargets[TargetID],tblTargets[TargetType],"")</f>
        <v>TECH</v>
      </c>
      <c r="E1135" s="41" t="s">
        <v>708</v>
      </c>
      <c r="F1135" s="62" t="str">
        <f>RIGHT(tblCost[[#This Row],[RequirementID]],1)</f>
        <v>1</v>
      </c>
      <c r="G1135" s="41">
        <v>5</v>
      </c>
      <c r="H1135" t="b">
        <f>COUNTIFS(tblCostChecklist[RequirementID],tblCost[[#This Row],[RequirementID]],tblCostChecklist[PlayerPaid],TRUE)&gt;0</f>
        <v>0</v>
      </c>
      <c r="I1135" s="41">
        <f>COUNTIF(tblCost[TargetID],tblCost[[#This Row],[TargetID]])</f>
        <v>7</v>
      </c>
      <c r="J1135" s="41">
        <f>COUNTIFS(tblCost[TargetID],tblCost[[#This Row],[TargetID]],tblCost[PlayerPaid],TRUE)</f>
        <v>0</v>
      </c>
      <c r="K1135" s="41">
        <f>tblCost[[#This Row],[TargetRequirements]]-tblCost[[#This Row],[CompletedRequirements]]</f>
        <v>7</v>
      </c>
      <c r="L1135" s="41" t="b">
        <f>tblCost[[#This Row],[RemainingRequirements]]=0</f>
        <v>0</v>
      </c>
      <c r="M1135" s="43">
        <f>IF(tblCost[[#This Row],[TargetRequirements]]=0,0,tblCost[[#This Row],[CompletedRequirements]]/tblCost[[#This Row],[TargetRequirements]])</f>
        <v>0</v>
      </c>
    </row>
    <row r="1136" spans="1:13">
      <c r="A1136" s="41" t="s">
        <v>4784</v>
      </c>
      <c r="B1136" s="41" t="str">
        <f>_xlfn.TEXTAFTER(_xlfn.TEXTBEFORE(tblCost[[#This Row],[RequirementID]],".",-2),"cost.")</f>
        <v>tech.workshop.shield_for_a_hero_lvl_4</v>
      </c>
      <c r="C1136" s="41" t="str">
        <f>_xlfn.XLOOKUP(tblCost[[#This Row],[TargetID]],tblTargets[TargetID],tblTargets[DisplayName],"")</f>
        <v>Workshop - Shield For A Hero Lvl 4</v>
      </c>
      <c r="D1136" s="41" t="str">
        <f>_xlfn.XLOOKUP(tblCost[[#This Row],[TargetID]],tblTargets[TargetID],tblTargets[TargetType],"")</f>
        <v>TECH</v>
      </c>
      <c r="E1136" s="41" t="s">
        <v>949</v>
      </c>
      <c r="F1136" s="62" t="str">
        <f>RIGHT(tblCost[[#This Row],[RequirementID]],1)</f>
        <v>1</v>
      </c>
      <c r="G1136" s="41">
        <v>3</v>
      </c>
      <c r="H1136" t="b">
        <f>COUNTIFS(tblCostChecklist[RequirementID],tblCost[[#This Row],[RequirementID]],tblCostChecklist[PlayerPaid],TRUE)&gt;0</f>
        <v>0</v>
      </c>
      <c r="I1136" s="41">
        <f>COUNTIF(tblCost[TargetID],tblCost[[#This Row],[TargetID]])</f>
        <v>7</v>
      </c>
      <c r="J1136" s="41">
        <f>COUNTIFS(tblCost[TargetID],tblCost[[#This Row],[TargetID]],tblCost[PlayerPaid],TRUE)</f>
        <v>0</v>
      </c>
      <c r="K1136" s="41">
        <f>tblCost[[#This Row],[TargetRequirements]]-tblCost[[#This Row],[CompletedRequirements]]</f>
        <v>7</v>
      </c>
      <c r="L1136" s="41" t="b">
        <f>tblCost[[#This Row],[RemainingRequirements]]=0</f>
        <v>0</v>
      </c>
      <c r="M1136" s="43">
        <f>IF(tblCost[[#This Row],[TargetRequirements]]=0,0,tblCost[[#This Row],[CompletedRequirements]]/tblCost[[#This Row],[TargetRequirements]])</f>
        <v>0</v>
      </c>
    </row>
    <row r="1137" spans="1:13">
      <c r="A1137" s="41" t="s">
        <v>4785</v>
      </c>
      <c r="B1137" s="41" t="str">
        <f>_xlfn.TEXTAFTER(_xlfn.TEXTBEFORE(tblCost[[#This Row],[RequirementID]],".",-2),"cost.")</f>
        <v>tech.workshop.shield_for_a_hero_lvl_4+</v>
      </c>
      <c r="C1137" s="41" t="str">
        <f>_xlfn.XLOOKUP(tblCost[[#This Row],[TargetID]],tblTargets[TargetID],tblTargets[DisplayName],"")</f>
        <v>Workshop - Shield For A Hero Lvl 4+</v>
      </c>
      <c r="D1137" s="41" t="str">
        <f>_xlfn.XLOOKUP(tblCost[[#This Row],[TargetID]],tblTargets[TargetID],tblTargets[TargetType],"")</f>
        <v>TECH</v>
      </c>
      <c r="E1137" s="41" t="s">
        <v>655</v>
      </c>
      <c r="F1137" s="62" t="str">
        <f>RIGHT(tblCost[[#This Row],[RequirementID]],1)</f>
        <v>1</v>
      </c>
      <c r="G1137" s="41">
        <v>20</v>
      </c>
      <c r="H1137" t="b">
        <f>COUNTIFS(tblCostChecklist[RequirementID],tblCost[[#This Row],[RequirementID]],tblCostChecklist[PlayerPaid],TRUE)&gt;0</f>
        <v>0</v>
      </c>
      <c r="I1137" s="41">
        <f>COUNTIF(tblCost[TargetID],tblCost[[#This Row],[TargetID]])</f>
        <v>9</v>
      </c>
      <c r="J1137" s="41">
        <f>COUNTIFS(tblCost[TargetID],tblCost[[#This Row],[TargetID]],tblCost[PlayerPaid],TRUE)</f>
        <v>0</v>
      </c>
      <c r="K1137" s="41">
        <f>tblCost[[#This Row],[TargetRequirements]]-tblCost[[#This Row],[CompletedRequirements]]</f>
        <v>9</v>
      </c>
      <c r="L1137" s="41" t="b">
        <f>tblCost[[#This Row],[RemainingRequirements]]=0</f>
        <v>0</v>
      </c>
      <c r="M1137" s="43">
        <f>IF(tblCost[[#This Row],[TargetRequirements]]=0,0,tblCost[[#This Row],[CompletedRequirements]]/tblCost[[#This Row],[TargetRequirements]])</f>
        <v>0</v>
      </c>
    </row>
    <row r="1138" spans="1:13">
      <c r="A1138" s="41" t="s">
        <v>4786</v>
      </c>
      <c r="B1138" s="41" t="str">
        <f>_xlfn.TEXTAFTER(_xlfn.TEXTBEFORE(tblCost[[#This Row],[RequirementID]],".",-2),"cost.")</f>
        <v>tech.workshop.shield_for_a_hero_lvl_4+</v>
      </c>
      <c r="C1138" s="41" t="str">
        <f>_xlfn.XLOOKUP(tblCost[[#This Row],[TargetID]],tblTargets[TargetID],tblTargets[DisplayName],"")</f>
        <v>Workshop - Shield For A Hero Lvl 4+</v>
      </c>
      <c r="D1138" s="41" t="str">
        <f>_xlfn.XLOOKUP(tblCost[[#This Row],[TargetID]],tblTargets[TargetID],tblTargets[TargetType],"")</f>
        <v>TECH</v>
      </c>
      <c r="E1138" s="41" t="s">
        <v>928</v>
      </c>
      <c r="F1138" s="62" t="str">
        <f>RIGHT(tblCost[[#This Row],[RequirementID]],1)</f>
        <v>1</v>
      </c>
      <c r="G1138" s="41">
        <v>20</v>
      </c>
      <c r="H1138" t="b">
        <f>COUNTIFS(tblCostChecklist[RequirementID],tblCost[[#This Row],[RequirementID]],tblCostChecklist[PlayerPaid],TRUE)&gt;0</f>
        <v>0</v>
      </c>
      <c r="I1138" s="41">
        <f>COUNTIF(tblCost[TargetID],tblCost[[#This Row],[TargetID]])</f>
        <v>9</v>
      </c>
      <c r="J1138" s="41">
        <f>COUNTIFS(tblCost[TargetID],tblCost[[#This Row],[TargetID]],tblCost[PlayerPaid],TRUE)</f>
        <v>0</v>
      </c>
      <c r="K1138" s="41">
        <f>tblCost[[#This Row],[TargetRequirements]]-tblCost[[#This Row],[CompletedRequirements]]</f>
        <v>9</v>
      </c>
      <c r="L1138" s="41" t="b">
        <f>tblCost[[#This Row],[RemainingRequirements]]=0</f>
        <v>0</v>
      </c>
      <c r="M1138" s="43">
        <f>IF(tblCost[[#This Row],[TargetRequirements]]=0,0,tblCost[[#This Row],[CompletedRequirements]]/tblCost[[#This Row],[TargetRequirements]])</f>
        <v>0</v>
      </c>
    </row>
    <row r="1139" spans="1:13">
      <c r="A1139" s="41" t="s">
        <v>4787</v>
      </c>
      <c r="B1139" s="41" t="str">
        <f>_xlfn.TEXTAFTER(_xlfn.TEXTBEFORE(tblCost[[#This Row],[RequirementID]],".",-2),"cost.")</f>
        <v>tech.workshop.shield_for_a_hero_lvl_4+</v>
      </c>
      <c r="C1139" s="41" t="str">
        <f>_xlfn.XLOOKUP(tblCost[[#This Row],[TargetID]],tblTargets[TargetID],tblTargets[DisplayName],"")</f>
        <v>Workshop - Shield For A Hero Lvl 4+</v>
      </c>
      <c r="D1139" s="41" t="str">
        <f>_xlfn.XLOOKUP(tblCost[[#This Row],[TargetID]],tblTargets[TargetID],tblTargets[TargetType],"")</f>
        <v>TECH</v>
      </c>
      <c r="E1139" s="41" t="s">
        <v>666</v>
      </c>
      <c r="F1139" s="62" t="str">
        <f>RIGHT(tblCost[[#This Row],[RequirementID]],1)</f>
        <v>1</v>
      </c>
      <c r="G1139" s="41">
        <v>1000</v>
      </c>
      <c r="H1139" t="b">
        <f>COUNTIFS(tblCostChecklist[RequirementID],tblCost[[#This Row],[RequirementID]],tblCostChecklist[PlayerPaid],TRUE)&gt;0</f>
        <v>0</v>
      </c>
      <c r="I1139" s="41">
        <f>COUNTIF(tblCost[TargetID],tblCost[[#This Row],[TargetID]])</f>
        <v>9</v>
      </c>
      <c r="J1139" s="41">
        <f>COUNTIFS(tblCost[TargetID],tblCost[[#This Row],[TargetID]],tblCost[PlayerPaid],TRUE)</f>
        <v>0</v>
      </c>
      <c r="K1139" s="41">
        <f>tblCost[[#This Row],[TargetRequirements]]-tblCost[[#This Row],[CompletedRequirements]]</f>
        <v>9</v>
      </c>
      <c r="L1139" s="41" t="b">
        <f>tblCost[[#This Row],[RemainingRequirements]]=0</f>
        <v>0</v>
      </c>
      <c r="M1139" s="43">
        <f>IF(tblCost[[#This Row],[TargetRequirements]]=0,0,tblCost[[#This Row],[CompletedRequirements]]/tblCost[[#This Row],[TargetRequirements]])</f>
        <v>0</v>
      </c>
    </row>
    <row r="1140" spans="1:13">
      <c r="A1140" s="41" t="s">
        <v>4788</v>
      </c>
      <c r="B1140" s="41" t="str">
        <f>_xlfn.TEXTAFTER(_xlfn.TEXTBEFORE(tblCost[[#This Row],[RequirementID]],".",-2),"cost.")</f>
        <v>tech.workshop.shield_for_a_hero_lvl_4+</v>
      </c>
      <c r="C1140" s="41" t="str">
        <f>_xlfn.XLOOKUP(tblCost[[#This Row],[TargetID]],tblTargets[TargetID],tblTargets[DisplayName],"")</f>
        <v>Workshop - Shield For A Hero Lvl 4+</v>
      </c>
      <c r="D1140" s="41" t="str">
        <f>_xlfn.XLOOKUP(tblCost[[#This Row],[TargetID]],tblTargets[TargetID],tblTargets[TargetType],"")</f>
        <v>TECH</v>
      </c>
      <c r="E1140" s="41" t="s">
        <v>676</v>
      </c>
      <c r="F1140" s="62" t="str">
        <f>RIGHT(tblCost[[#This Row],[RequirementID]],1)</f>
        <v>1</v>
      </c>
      <c r="G1140" s="41">
        <v>25</v>
      </c>
      <c r="H1140" t="b">
        <f>COUNTIFS(tblCostChecklist[RequirementID],tblCost[[#This Row],[RequirementID]],tblCostChecklist[PlayerPaid],TRUE)&gt;0</f>
        <v>0</v>
      </c>
      <c r="I1140" s="41">
        <f>COUNTIF(tblCost[TargetID],tblCost[[#This Row],[TargetID]])</f>
        <v>9</v>
      </c>
      <c r="J1140" s="41">
        <f>COUNTIFS(tblCost[TargetID],tblCost[[#This Row],[TargetID]],tblCost[PlayerPaid],TRUE)</f>
        <v>0</v>
      </c>
      <c r="K1140" s="41">
        <f>tblCost[[#This Row],[TargetRequirements]]-tblCost[[#This Row],[CompletedRequirements]]</f>
        <v>9</v>
      </c>
      <c r="L1140" s="41" t="b">
        <f>tblCost[[#This Row],[RemainingRequirements]]=0</f>
        <v>0</v>
      </c>
      <c r="M1140" s="43">
        <f>IF(tblCost[[#This Row],[TargetRequirements]]=0,0,tblCost[[#This Row],[CompletedRequirements]]/tblCost[[#This Row],[TargetRequirements]])</f>
        <v>0</v>
      </c>
    </row>
    <row r="1141" spans="1:13">
      <c r="A1141" s="41" t="s">
        <v>4789</v>
      </c>
      <c r="B1141" s="41" t="str">
        <f>_xlfn.TEXTAFTER(_xlfn.TEXTBEFORE(tblCost[[#This Row],[RequirementID]],".",-2),"cost.")</f>
        <v>tech.workshop.shield_for_a_hero_lvl_4+</v>
      </c>
      <c r="C1141" s="41" t="str">
        <f>_xlfn.XLOOKUP(tblCost[[#This Row],[TargetID]],tblTargets[TargetID],tblTargets[DisplayName],"")</f>
        <v>Workshop - Shield For A Hero Lvl 4+</v>
      </c>
      <c r="D1141" s="41" t="str">
        <f>_xlfn.XLOOKUP(tblCost[[#This Row],[TargetID]],tblTargets[TargetID],tblTargets[TargetType],"")</f>
        <v>TECH</v>
      </c>
      <c r="E1141" s="41" t="s">
        <v>677</v>
      </c>
      <c r="F1141" s="62" t="str">
        <f>RIGHT(tblCost[[#This Row],[RequirementID]],1)</f>
        <v>1</v>
      </c>
      <c r="G1141" s="41">
        <v>10</v>
      </c>
      <c r="H1141" t="b">
        <f>COUNTIFS(tblCostChecklist[RequirementID],tblCost[[#This Row],[RequirementID]],tblCostChecklist[PlayerPaid],TRUE)&gt;0</f>
        <v>0</v>
      </c>
      <c r="I1141" s="41">
        <f>COUNTIF(tblCost[TargetID],tblCost[[#This Row],[TargetID]])</f>
        <v>9</v>
      </c>
      <c r="J1141" s="41">
        <f>COUNTIFS(tblCost[TargetID],tblCost[[#This Row],[TargetID]],tblCost[PlayerPaid],TRUE)</f>
        <v>0</v>
      </c>
      <c r="K1141" s="41">
        <f>tblCost[[#This Row],[TargetRequirements]]-tblCost[[#This Row],[CompletedRequirements]]</f>
        <v>9</v>
      </c>
      <c r="L1141" s="41" t="b">
        <f>tblCost[[#This Row],[RemainingRequirements]]=0</f>
        <v>0</v>
      </c>
      <c r="M1141" s="43">
        <f>IF(tblCost[[#This Row],[TargetRequirements]]=0,0,tblCost[[#This Row],[CompletedRequirements]]/tblCost[[#This Row],[TargetRequirements]])</f>
        <v>0</v>
      </c>
    </row>
    <row r="1142" spans="1:13">
      <c r="A1142" s="41" t="s">
        <v>4790</v>
      </c>
      <c r="B1142" s="41" t="str">
        <f>_xlfn.TEXTAFTER(_xlfn.TEXTBEFORE(tblCost[[#This Row],[RequirementID]],".",-2),"cost.")</f>
        <v>tech.workshop.shield_for_a_hero_lvl_4+</v>
      </c>
      <c r="C1142" s="41" t="str">
        <f>_xlfn.XLOOKUP(tblCost[[#This Row],[TargetID]],tblTargets[TargetID],tblTargets[DisplayName],"")</f>
        <v>Workshop - Shield For A Hero Lvl 4+</v>
      </c>
      <c r="D1142" s="41" t="str">
        <f>_xlfn.XLOOKUP(tblCost[[#This Row],[TargetID]],tblTargets[TargetID],tblTargets[TargetType],"")</f>
        <v>TECH</v>
      </c>
      <c r="E1142" s="41" t="s">
        <v>703</v>
      </c>
      <c r="F1142" s="62" t="str">
        <f>RIGHT(tblCost[[#This Row],[RequirementID]],1)</f>
        <v>1</v>
      </c>
      <c r="G1142" s="41">
        <v>10</v>
      </c>
      <c r="H1142" t="b">
        <f>COUNTIFS(tblCostChecklist[RequirementID],tblCost[[#This Row],[RequirementID]],tblCostChecklist[PlayerPaid],TRUE)&gt;0</f>
        <v>0</v>
      </c>
      <c r="I1142" s="41">
        <f>COUNTIF(tblCost[TargetID],tblCost[[#This Row],[TargetID]])</f>
        <v>9</v>
      </c>
      <c r="J1142" s="41">
        <f>COUNTIFS(tblCost[TargetID],tblCost[[#This Row],[TargetID]],tblCost[PlayerPaid],TRUE)</f>
        <v>0</v>
      </c>
      <c r="K1142" s="41">
        <f>tblCost[[#This Row],[TargetRequirements]]-tblCost[[#This Row],[CompletedRequirements]]</f>
        <v>9</v>
      </c>
      <c r="L1142" s="41" t="b">
        <f>tblCost[[#This Row],[RemainingRequirements]]=0</f>
        <v>0</v>
      </c>
      <c r="M1142" s="43">
        <f>IF(tblCost[[#This Row],[TargetRequirements]]=0,0,tblCost[[#This Row],[CompletedRequirements]]/tblCost[[#This Row],[TargetRequirements]])</f>
        <v>0</v>
      </c>
    </row>
    <row r="1143" spans="1:13">
      <c r="A1143" s="41" t="s">
        <v>4791</v>
      </c>
      <c r="B1143" s="41" t="str">
        <f>_xlfn.TEXTAFTER(_xlfn.TEXTBEFORE(tblCost[[#This Row],[RequirementID]],".",-2),"cost.")</f>
        <v>tech.workshop.shield_for_a_hero_lvl_4+</v>
      </c>
      <c r="C1143" s="41" t="str">
        <f>_xlfn.XLOOKUP(tblCost[[#This Row],[TargetID]],tblTargets[TargetID],tblTargets[DisplayName],"")</f>
        <v>Workshop - Shield For A Hero Lvl 4+</v>
      </c>
      <c r="D1143" s="41" t="str">
        <f>_xlfn.XLOOKUP(tblCost[[#This Row],[TargetID]],tblTargets[TargetID],tblTargets[TargetType],"")</f>
        <v>TECH</v>
      </c>
      <c r="E1143" s="41" t="s">
        <v>946</v>
      </c>
      <c r="F1143" s="62" t="str">
        <f>RIGHT(tblCost[[#This Row],[RequirementID]],1)</f>
        <v>1</v>
      </c>
      <c r="G1143" s="41">
        <v>1</v>
      </c>
      <c r="H1143" t="b">
        <f>COUNTIFS(tblCostChecklist[RequirementID],tblCost[[#This Row],[RequirementID]],tblCostChecklist[PlayerPaid],TRUE)&gt;0</f>
        <v>0</v>
      </c>
      <c r="I1143" s="41">
        <f>COUNTIF(tblCost[TargetID],tblCost[[#This Row],[TargetID]])</f>
        <v>9</v>
      </c>
      <c r="J1143" s="41">
        <f>COUNTIFS(tblCost[TargetID],tblCost[[#This Row],[TargetID]],tblCost[PlayerPaid],TRUE)</f>
        <v>0</v>
      </c>
      <c r="K1143" s="41">
        <f>tblCost[[#This Row],[TargetRequirements]]-tblCost[[#This Row],[CompletedRequirements]]</f>
        <v>9</v>
      </c>
      <c r="L1143" s="41" t="b">
        <f>tblCost[[#This Row],[RemainingRequirements]]=0</f>
        <v>0</v>
      </c>
      <c r="M1143" s="43">
        <f>IF(tblCost[[#This Row],[TargetRequirements]]=0,0,tblCost[[#This Row],[CompletedRequirements]]/tblCost[[#This Row],[TargetRequirements]])</f>
        <v>0</v>
      </c>
    </row>
    <row r="1144" spans="1:13">
      <c r="A1144" s="41" t="s">
        <v>4792</v>
      </c>
      <c r="B1144" s="41" t="str">
        <f>_xlfn.TEXTAFTER(_xlfn.TEXTBEFORE(tblCost[[#This Row],[RequirementID]],".",-2),"cost.")</f>
        <v>tech.workshop.shield_for_a_hero_lvl_4+</v>
      </c>
      <c r="C1144" s="41" t="str">
        <f>_xlfn.XLOOKUP(tblCost[[#This Row],[TargetID]],tblTargets[TargetID],tblTargets[DisplayName],"")</f>
        <v>Workshop - Shield For A Hero Lvl 4+</v>
      </c>
      <c r="D1144" s="41" t="str">
        <f>_xlfn.XLOOKUP(tblCost[[#This Row],[TargetID]],tblTargets[TargetID],tblTargets[TargetType],"")</f>
        <v>TECH</v>
      </c>
      <c r="E1144" s="41" t="s">
        <v>708</v>
      </c>
      <c r="F1144" s="62" t="str">
        <f>RIGHT(tblCost[[#This Row],[RequirementID]],1)</f>
        <v>1</v>
      </c>
      <c r="G1144" s="41">
        <v>5</v>
      </c>
      <c r="H1144" t="b">
        <f>COUNTIFS(tblCostChecklist[RequirementID],tblCost[[#This Row],[RequirementID]],tblCostChecklist[PlayerPaid],TRUE)&gt;0</f>
        <v>0</v>
      </c>
      <c r="I1144" s="41">
        <f>COUNTIF(tblCost[TargetID],tblCost[[#This Row],[TargetID]])</f>
        <v>9</v>
      </c>
      <c r="J1144" s="41">
        <f>COUNTIFS(tblCost[TargetID],tblCost[[#This Row],[TargetID]],tblCost[PlayerPaid],TRUE)</f>
        <v>0</v>
      </c>
      <c r="K1144" s="41">
        <f>tblCost[[#This Row],[TargetRequirements]]-tblCost[[#This Row],[CompletedRequirements]]</f>
        <v>9</v>
      </c>
      <c r="L1144" s="41" t="b">
        <f>tblCost[[#This Row],[RemainingRequirements]]=0</f>
        <v>0</v>
      </c>
      <c r="M1144" s="43">
        <f>IF(tblCost[[#This Row],[TargetRequirements]]=0,0,tblCost[[#This Row],[CompletedRequirements]]/tblCost[[#This Row],[TargetRequirements]])</f>
        <v>0</v>
      </c>
    </row>
    <row r="1145" spans="1:13">
      <c r="A1145" s="41" t="s">
        <v>4793</v>
      </c>
      <c r="B1145" s="41" t="str">
        <f>_xlfn.TEXTAFTER(_xlfn.TEXTBEFORE(tblCost[[#This Row],[RequirementID]],".",-2),"cost.")</f>
        <v>tech.workshop.shield_for_a_hero_lvl_4+</v>
      </c>
      <c r="C1145" s="41" t="str">
        <f>_xlfn.XLOOKUP(tblCost[[#This Row],[TargetID]],tblTargets[TargetID],tblTargets[DisplayName],"")</f>
        <v>Workshop - Shield For A Hero Lvl 4+</v>
      </c>
      <c r="D1145" s="41" t="str">
        <f>_xlfn.XLOOKUP(tblCost[[#This Row],[TargetID]],tblTargets[TargetID],tblTargets[TargetType],"")</f>
        <v>TECH</v>
      </c>
      <c r="E1145" s="41" t="s">
        <v>950</v>
      </c>
      <c r="F1145" s="62" t="str">
        <f>RIGHT(tblCost[[#This Row],[RequirementID]],1)</f>
        <v>1</v>
      </c>
      <c r="G1145" s="41">
        <v>1</v>
      </c>
      <c r="H1145" t="b">
        <f>COUNTIFS(tblCostChecklist[RequirementID],tblCost[[#This Row],[RequirementID]],tblCostChecklist[PlayerPaid],TRUE)&gt;0</f>
        <v>0</v>
      </c>
      <c r="I1145" s="41">
        <f>COUNTIF(tblCost[TargetID],tblCost[[#This Row],[TargetID]])</f>
        <v>9</v>
      </c>
      <c r="J1145" s="41">
        <f>COUNTIFS(tblCost[TargetID],tblCost[[#This Row],[TargetID]],tblCost[PlayerPaid],TRUE)</f>
        <v>0</v>
      </c>
      <c r="K1145" s="41">
        <f>tblCost[[#This Row],[TargetRequirements]]-tblCost[[#This Row],[CompletedRequirements]]</f>
        <v>9</v>
      </c>
      <c r="L1145" s="41" t="b">
        <f>tblCost[[#This Row],[RemainingRequirements]]=0</f>
        <v>0</v>
      </c>
      <c r="M1145" s="43">
        <f>IF(tblCost[[#This Row],[TargetRequirements]]=0,0,tblCost[[#This Row],[CompletedRequirements]]/tblCost[[#This Row],[TargetRequirements]])</f>
        <v>0</v>
      </c>
    </row>
    <row r="1146" spans="1:13">
      <c r="A1146" s="41" t="s">
        <v>4794</v>
      </c>
      <c r="B1146" s="41" t="str">
        <f>_xlfn.TEXTAFTER(_xlfn.TEXTBEFORE(tblCost[[#This Row],[RequirementID]],".",-2),"cost.")</f>
        <v>tech.workshop.strong_glue</v>
      </c>
      <c r="C1146" s="41" t="str">
        <f>_xlfn.XLOOKUP(tblCost[[#This Row],[TargetID]],tblTargets[TargetID],tblTargets[DisplayName],"")</f>
        <v>Workshop - Strong Glue</v>
      </c>
      <c r="D1146" s="41" t="str">
        <f>_xlfn.XLOOKUP(tblCost[[#This Row],[TargetID]],tblTargets[TargetID],tblTargets[TargetType],"")</f>
        <v>TECH</v>
      </c>
      <c r="E1146" s="41" t="s">
        <v>662</v>
      </c>
      <c r="F1146" s="62" t="str">
        <f>RIGHT(tblCost[[#This Row],[RequirementID]],1)</f>
        <v>1</v>
      </c>
      <c r="G1146" s="41">
        <v>15</v>
      </c>
      <c r="H1146" t="b">
        <f>COUNTIFS(tblCostChecklist[RequirementID],tblCost[[#This Row],[RequirementID]],tblCostChecklist[PlayerPaid],TRUE)&gt;0</f>
        <v>0</v>
      </c>
      <c r="I1146" s="41">
        <f>COUNTIF(tblCost[TargetID],tblCost[[#This Row],[TargetID]])</f>
        <v>5</v>
      </c>
      <c r="J1146" s="41">
        <f>COUNTIFS(tblCost[TargetID],tblCost[[#This Row],[TargetID]],tblCost[PlayerPaid],TRUE)</f>
        <v>0</v>
      </c>
      <c r="K1146" s="41">
        <f>tblCost[[#This Row],[TargetRequirements]]-tblCost[[#This Row],[CompletedRequirements]]</f>
        <v>5</v>
      </c>
      <c r="L1146" s="41" t="b">
        <f>tblCost[[#This Row],[RemainingRequirements]]=0</f>
        <v>0</v>
      </c>
      <c r="M1146" s="43">
        <f>IF(tblCost[[#This Row],[TargetRequirements]]=0,0,tblCost[[#This Row],[CompletedRequirements]]/tblCost[[#This Row],[TargetRequirements]])</f>
        <v>0</v>
      </c>
    </row>
    <row r="1147" spans="1:13">
      <c r="A1147" s="41" t="s">
        <v>4795</v>
      </c>
      <c r="B1147" s="41" t="str">
        <f>_xlfn.TEXTAFTER(_xlfn.TEXTBEFORE(tblCost[[#This Row],[RequirementID]],".",-2),"cost.")</f>
        <v>tech.workshop.strong_glue</v>
      </c>
      <c r="C1147" s="41" t="str">
        <f>_xlfn.XLOOKUP(tblCost[[#This Row],[TargetID]],tblTargets[TargetID],tblTargets[DisplayName],"")</f>
        <v>Workshop - Strong Glue</v>
      </c>
      <c r="D1147" s="41" t="str">
        <f>_xlfn.XLOOKUP(tblCost[[#This Row],[TargetID]],tblTargets[TargetID],tblTargets[TargetType],"")</f>
        <v>TECH</v>
      </c>
      <c r="E1147" s="41" t="s">
        <v>666</v>
      </c>
      <c r="F1147" s="62" t="str">
        <f>RIGHT(tblCost[[#This Row],[RequirementID]],1)</f>
        <v>1</v>
      </c>
      <c r="G1147" s="41">
        <v>500</v>
      </c>
      <c r="H1147" t="b">
        <f>COUNTIFS(tblCostChecklist[RequirementID],tblCost[[#This Row],[RequirementID]],tblCostChecklist[PlayerPaid],TRUE)&gt;0</f>
        <v>0</v>
      </c>
      <c r="I1147" s="41">
        <f>COUNTIF(tblCost[TargetID],tblCost[[#This Row],[TargetID]])</f>
        <v>5</v>
      </c>
      <c r="J1147" s="41">
        <f>COUNTIFS(tblCost[TargetID],tblCost[[#This Row],[TargetID]],tblCost[PlayerPaid],TRUE)</f>
        <v>0</v>
      </c>
      <c r="K1147" s="41">
        <f>tblCost[[#This Row],[TargetRequirements]]-tblCost[[#This Row],[CompletedRequirements]]</f>
        <v>5</v>
      </c>
      <c r="L1147" s="41" t="b">
        <f>tblCost[[#This Row],[RemainingRequirements]]=0</f>
        <v>0</v>
      </c>
      <c r="M1147" s="43">
        <f>IF(tblCost[[#This Row],[TargetRequirements]]=0,0,tblCost[[#This Row],[CompletedRequirements]]/tblCost[[#This Row],[TargetRequirements]])</f>
        <v>0</v>
      </c>
    </row>
    <row r="1148" spans="1:13">
      <c r="A1148" s="41" t="s">
        <v>4796</v>
      </c>
      <c r="B1148" s="41" t="str">
        <f>_xlfn.TEXTAFTER(_xlfn.TEXTBEFORE(tblCost[[#This Row],[RequirementID]],".",-2),"cost.")</f>
        <v>tech.workshop.strong_glue</v>
      </c>
      <c r="C1148" s="41" t="str">
        <f>_xlfn.XLOOKUP(tblCost[[#This Row],[TargetID]],tblTargets[TargetID],tblTargets[DisplayName],"")</f>
        <v>Workshop - Strong Glue</v>
      </c>
      <c r="D1148" s="41" t="str">
        <f>_xlfn.XLOOKUP(tblCost[[#This Row],[TargetID]],tblTargets[TargetID],tblTargets[TargetType],"")</f>
        <v>TECH</v>
      </c>
      <c r="E1148" s="41" t="s">
        <v>938</v>
      </c>
      <c r="F1148" s="62" t="str">
        <f>RIGHT(tblCost[[#This Row],[RequirementID]],1)</f>
        <v>1</v>
      </c>
      <c r="G1148" s="41">
        <v>10</v>
      </c>
      <c r="H1148" t="b">
        <f>COUNTIFS(tblCostChecklist[RequirementID],tblCost[[#This Row],[RequirementID]],tblCostChecklist[PlayerPaid],TRUE)&gt;0</f>
        <v>0</v>
      </c>
      <c r="I1148" s="41">
        <f>COUNTIF(tblCost[TargetID],tblCost[[#This Row],[TargetID]])</f>
        <v>5</v>
      </c>
      <c r="J1148" s="41">
        <f>COUNTIFS(tblCost[TargetID],tblCost[[#This Row],[TargetID]],tblCost[PlayerPaid],TRUE)</f>
        <v>0</v>
      </c>
      <c r="K1148" s="41">
        <f>tblCost[[#This Row],[TargetRequirements]]-tblCost[[#This Row],[CompletedRequirements]]</f>
        <v>5</v>
      </c>
      <c r="L1148" s="41" t="b">
        <f>tblCost[[#This Row],[RemainingRequirements]]=0</f>
        <v>0</v>
      </c>
      <c r="M1148" s="43">
        <f>IF(tblCost[[#This Row],[TargetRequirements]]=0,0,tblCost[[#This Row],[CompletedRequirements]]/tblCost[[#This Row],[TargetRequirements]])</f>
        <v>0</v>
      </c>
    </row>
    <row r="1149" spans="1:13">
      <c r="A1149" s="41" t="s">
        <v>4797</v>
      </c>
      <c r="B1149" s="41" t="str">
        <f>_xlfn.TEXTAFTER(_xlfn.TEXTBEFORE(tblCost[[#This Row],[RequirementID]],".",-2),"cost.")</f>
        <v>tech.workshop.strong_glue</v>
      </c>
      <c r="C1149" s="41" t="str">
        <f>_xlfn.XLOOKUP(tblCost[[#This Row],[TargetID]],tblTargets[TargetID],tblTargets[DisplayName],"")</f>
        <v>Workshop - Strong Glue</v>
      </c>
      <c r="D1149" s="41" t="str">
        <f>_xlfn.XLOOKUP(tblCost[[#This Row],[TargetID]],tblTargets[TargetID],tblTargets[TargetType],"")</f>
        <v>TECH</v>
      </c>
      <c r="E1149" s="41" t="s">
        <v>705</v>
      </c>
      <c r="F1149" s="62" t="str">
        <f>RIGHT(tblCost[[#This Row],[RequirementID]],1)</f>
        <v>1</v>
      </c>
      <c r="G1149" s="41">
        <v>15</v>
      </c>
      <c r="H1149" t="b">
        <f>COUNTIFS(tblCostChecklist[RequirementID],tblCost[[#This Row],[RequirementID]],tblCostChecklist[PlayerPaid],TRUE)&gt;0</f>
        <v>0</v>
      </c>
      <c r="I1149" s="41">
        <f>COUNTIF(tblCost[TargetID],tblCost[[#This Row],[TargetID]])</f>
        <v>5</v>
      </c>
      <c r="J1149" s="41">
        <f>COUNTIFS(tblCost[TargetID],tblCost[[#This Row],[TargetID]],tblCost[PlayerPaid],TRUE)</f>
        <v>0</v>
      </c>
      <c r="K1149" s="41">
        <f>tblCost[[#This Row],[TargetRequirements]]-tblCost[[#This Row],[CompletedRequirements]]</f>
        <v>5</v>
      </c>
      <c r="L1149" s="41" t="b">
        <f>tblCost[[#This Row],[RemainingRequirements]]=0</f>
        <v>0</v>
      </c>
      <c r="M1149" s="43">
        <f>IF(tblCost[[#This Row],[TargetRequirements]]=0,0,tblCost[[#This Row],[CompletedRequirements]]/tblCost[[#This Row],[TargetRequirements]])</f>
        <v>0</v>
      </c>
    </row>
    <row r="1150" spans="1:13">
      <c r="A1150" s="41" t="s">
        <v>4798</v>
      </c>
      <c r="B1150" s="41" t="str">
        <f>_xlfn.TEXTAFTER(_xlfn.TEXTBEFORE(tblCost[[#This Row],[RequirementID]],".",-2),"cost.")</f>
        <v>tech.workshop.strong_glue</v>
      </c>
      <c r="C1150" s="41" t="str">
        <f>_xlfn.XLOOKUP(tblCost[[#This Row],[TargetID]],tblTargets[TargetID],tblTargets[DisplayName],"")</f>
        <v>Workshop - Strong Glue</v>
      </c>
      <c r="D1150" s="41" t="str">
        <f>_xlfn.XLOOKUP(tblCost[[#This Row],[TargetID]],tblTargets[TargetID],tblTargets[TargetType],"")</f>
        <v>TECH</v>
      </c>
      <c r="E1150" s="41" t="s">
        <v>708</v>
      </c>
      <c r="F1150" s="62" t="str">
        <f>RIGHT(tblCost[[#This Row],[RequirementID]],1)</f>
        <v>1</v>
      </c>
      <c r="G1150" s="41">
        <v>2</v>
      </c>
      <c r="H1150" t="b">
        <f>COUNTIFS(tblCostChecklist[RequirementID],tblCost[[#This Row],[RequirementID]],tblCostChecklist[PlayerPaid],TRUE)&gt;0</f>
        <v>0</v>
      </c>
      <c r="I1150" s="41">
        <f>COUNTIF(tblCost[TargetID],tblCost[[#This Row],[TargetID]])</f>
        <v>5</v>
      </c>
      <c r="J1150" s="41">
        <f>COUNTIFS(tblCost[TargetID],tblCost[[#This Row],[TargetID]],tblCost[PlayerPaid],TRUE)</f>
        <v>0</v>
      </c>
      <c r="K1150" s="41">
        <f>tblCost[[#This Row],[TargetRequirements]]-tblCost[[#This Row],[CompletedRequirements]]</f>
        <v>5</v>
      </c>
      <c r="L1150" s="41" t="b">
        <f>tblCost[[#This Row],[RemainingRequirements]]=0</f>
        <v>0</v>
      </c>
      <c r="M1150" s="43">
        <f>IF(tblCost[[#This Row],[TargetRequirements]]=0,0,tblCost[[#This Row],[CompletedRequirements]]/tblCost[[#This Row],[TargetRequirements]])</f>
        <v>0</v>
      </c>
    </row>
    <row r="1151" spans="1:13">
      <c r="A1151" s="41" t="s">
        <v>4799</v>
      </c>
      <c r="B1151" s="41" t="str">
        <f>_xlfn.TEXTAFTER(_xlfn.TEXTBEFORE(tblCost[[#This Row],[RequirementID]],".",-2),"cost.")</f>
        <v>tech.workshop.mechanism</v>
      </c>
      <c r="C1151" s="41" t="str">
        <f>_xlfn.XLOOKUP(tblCost[[#This Row],[TargetID]],tblTargets[TargetID],tblTargets[DisplayName],"")</f>
        <v>Workshop - Mechanism</v>
      </c>
      <c r="D1151" s="41" t="str">
        <f>_xlfn.XLOOKUP(tblCost[[#This Row],[TargetID]],tblTargets[TargetID],tblTargets[TargetType],"")</f>
        <v>TECH</v>
      </c>
      <c r="E1151" s="41" t="s">
        <v>662</v>
      </c>
      <c r="F1151" s="62" t="str">
        <f>RIGHT(tblCost[[#This Row],[RequirementID]],1)</f>
        <v>1</v>
      </c>
      <c r="G1151" s="41">
        <v>30</v>
      </c>
      <c r="H1151" t="b">
        <f>COUNTIFS(tblCostChecklist[RequirementID],tblCost[[#This Row],[RequirementID]],tblCostChecklist[PlayerPaid],TRUE)&gt;0</f>
        <v>0</v>
      </c>
      <c r="I1151" s="41">
        <f>COUNTIF(tblCost[TargetID],tblCost[[#This Row],[TargetID]])</f>
        <v>5</v>
      </c>
      <c r="J1151" s="41">
        <f>COUNTIFS(tblCost[TargetID],tblCost[[#This Row],[TargetID]],tblCost[PlayerPaid],TRUE)</f>
        <v>0</v>
      </c>
      <c r="K1151" s="41">
        <f>tblCost[[#This Row],[TargetRequirements]]-tblCost[[#This Row],[CompletedRequirements]]</f>
        <v>5</v>
      </c>
      <c r="L1151" s="41" t="b">
        <f>tblCost[[#This Row],[RemainingRequirements]]=0</f>
        <v>0</v>
      </c>
      <c r="M1151" s="43">
        <f>IF(tblCost[[#This Row],[TargetRequirements]]=0,0,tblCost[[#This Row],[CompletedRequirements]]/tblCost[[#This Row],[TargetRequirements]])</f>
        <v>0</v>
      </c>
    </row>
    <row r="1152" spans="1:13">
      <c r="A1152" s="41" t="s">
        <v>4800</v>
      </c>
      <c r="B1152" s="41" t="str">
        <f>_xlfn.TEXTAFTER(_xlfn.TEXTBEFORE(tblCost[[#This Row],[RequirementID]],".",-2),"cost.")</f>
        <v>tech.workshop.mechanism</v>
      </c>
      <c r="C1152" s="41" t="str">
        <f>_xlfn.XLOOKUP(tblCost[[#This Row],[TargetID]],tblTargets[TargetID],tblTargets[DisplayName],"")</f>
        <v>Workshop - Mechanism</v>
      </c>
      <c r="D1152" s="41" t="str">
        <f>_xlfn.XLOOKUP(tblCost[[#This Row],[TargetID]],tblTargets[TargetID],tblTargets[TargetType],"")</f>
        <v>TECH</v>
      </c>
      <c r="E1152" s="41" t="s">
        <v>666</v>
      </c>
      <c r="F1152" s="62" t="str">
        <f>RIGHT(tblCost[[#This Row],[RequirementID]],1)</f>
        <v>1</v>
      </c>
      <c r="G1152" s="41">
        <v>700</v>
      </c>
      <c r="H1152" t="b">
        <f>COUNTIFS(tblCostChecklist[RequirementID],tblCost[[#This Row],[RequirementID]],tblCostChecklist[PlayerPaid],TRUE)&gt;0</f>
        <v>0</v>
      </c>
      <c r="I1152" s="41">
        <f>COUNTIF(tblCost[TargetID],tblCost[[#This Row],[TargetID]])</f>
        <v>5</v>
      </c>
      <c r="J1152" s="41">
        <f>COUNTIFS(tblCost[TargetID],tblCost[[#This Row],[TargetID]],tblCost[PlayerPaid],TRUE)</f>
        <v>0</v>
      </c>
      <c r="K1152" s="41">
        <f>tblCost[[#This Row],[TargetRequirements]]-tblCost[[#This Row],[CompletedRequirements]]</f>
        <v>5</v>
      </c>
      <c r="L1152" s="41" t="b">
        <f>tblCost[[#This Row],[RemainingRequirements]]=0</f>
        <v>0</v>
      </c>
      <c r="M1152" s="43">
        <f>IF(tblCost[[#This Row],[TargetRequirements]]=0,0,tblCost[[#This Row],[CompletedRequirements]]/tblCost[[#This Row],[TargetRequirements]])</f>
        <v>0</v>
      </c>
    </row>
    <row r="1153" spans="1:13">
      <c r="A1153" s="41" t="s">
        <v>4801</v>
      </c>
      <c r="B1153" s="41" t="str">
        <f>_xlfn.TEXTAFTER(_xlfn.TEXTBEFORE(tblCost[[#This Row],[RequirementID]],".",-2),"cost.")</f>
        <v>tech.workshop.mechanism</v>
      </c>
      <c r="C1153" s="41" t="str">
        <f>_xlfn.XLOOKUP(tblCost[[#This Row],[TargetID]],tblTargets[TargetID],tblTargets[DisplayName],"")</f>
        <v>Workshop - Mechanism</v>
      </c>
      <c r="D1153" s="41" t="str">
        <f>_xlfn.XLOOKUP(tblCost[[#This Row],[TargetID]],tblTargets[TargetID],tblTargets[TargetType],"")</f>
        <v>TECH</v>
      </c>
      <c r="E1153" s="41" t="s">
        <v>673</v>
      </c>
      <c r="F1153" s="62" t="str">
        <f>RIGHT(tblCost[[#This Row],[RequirementID]],1)</f>
        <v>1</v>
      </c>
      <c r="G1153" s="41">
        <v>30</v>
      </c>
      <c r="H1153" t="b">
        <f>COUNTIFS(tblCostChecklist[RequirementID],tblCost[[#This Row],[RequirementID]],tblCostChecklist[PlayerPaid],TRUE)&gt;0</f>
        <v>0</v>
      </c>
      <c r="I1153" s="41">
        <f>COUNTIF(tblCost[TargetID],tblCost[[#This Row],[TargetID]])</f>
        <v>5</v>
      </c>
      <c r="J1153" s="41">
        <f>COUNTIFS(tblCost[TargetID],tblCost[[#This Row],[TargetID]],tblCost[PlayerPaid],TRUE)</f>
        <v>0</v>
      </c>
      <c r="K1153" s="41">
        <f>tblCost[[#This Row],[TargetRequirements]]-tblCost[[#This Row],[CompletedRequirements]]</f>
        <v>5</v>
      </c>
      <c r="L1153" s="41" t="b">
        <f>tblCost[[#This Row],[RemainingRequirements]]=0</f>
        <v>0</v>
      </c>
      <c r="M1153" s="43">
        <f>IF(tblCost[[#This Row],[TargetRequirements]]=0,0,tblCost[[#This Row],[CompletedRequirements]]/tblCost[[#This Row],[TargetRequirements]])</f>
        <v>0</v>
      </c>
    </row>
    <row r="1154" spans="1:13">
      <c r="A1154" s="41" t="s">
        <v>4802</v>
      </c>
      <c r="B1154" s="41" t="str">
        <f>_xlfn.TEXTAFTER(_xlfn.TEXTBEFORE(tblCost[[#This Row],[RequirementID]],".",-2),"cost.")</f>
        <v>tech.workshop.mechanism</v>
      </c>
      <c r="C1154" s="41" t="str">
        <f>_xlfn.XLOOKUP(tblCost[[#This Row],[TargetID]],tblTargets[TargetID],tblTargets[DisplayName],"")</f>
        <v>Workshop - Mechanism</v>
      </c>
      <c r="D1154" s="41" t="str">
        <f>_xlfn.XLOOKUP(tblCost[[#This Row],[TargetID]],tblTargets[TargetID],tblTargets[TargetType],"")</f>
        <v>TECH</v>
      </c>
      <c r="E1154" s="41" t="s">
        <v>693</v>
      </c>
      <c r="F1154" s="62" t="str">
        <f>RIGHT(tblCost[[#This Row],[RequirementID]],1)</f>
        <v>1</v>
      </c>
      <c r="G1154" s="41">
        <v>10</v>
      </c>
      <c r="H1154" t="b">
        <f>COUNTIFS(tblCostChecklist[RequirementID],tblCost[[#This Row],[RequirementID]],tblCostChecklist[PlayerPaid],TRUE)&gt;0</f>
        <v>0</v>
      </c>
      <c r="I1154" s="41">
        <f>COUNTIF(tblCost[TargetID],tblCost[[#This Row],[TargetID]])</f>
        <v>5</v>
      </c>
      <c r="J1154" s="41">
        <f>COUNTIFS(tblCost[TargetID],tblCost[[#This Row],[TargetID]],tblCost[PlayerPaid],TRUE)</f>
        <v>0</v>
      </c>
      <c r="K1154" s="41">
        <f>tblCost[[#This Row],[TargetRequirements]]-tblCost[[#This Row],[CompletedRequirements]]</f>
        <v>5</v>
      </c>
      <c r="L1154" s="41" t="b">
        <f>tblCost[[#This Row],[RemainingRequirements]]=0</f>
        <v>0</v>
      </c>
      <c r="M1154" s="43">
        <f>IF(tblCost[[#This Row],[TargetRequirements]]=0,0,tblCost[[#This Row],[CompletedRequirements]]/tblCost[[#This Row],[TargetRequirements]])</f>
        <v>0</v>
      </c>
    </row>
    <row r="1155" spans="1:13">
      <c r="A1155" s="41" t="s">
        <v>4803</v>
      </c>
      <c r="B1155" s="41" t="str">
        <f>_xlfn.TEXTAFTER(_xlfn.TEXTBEFORE(tblCost[[#This Row],[RequirementID]],".",-2),"cost.")</f>
        <v>tech.workshop.mechanism</v>
      </c>
      <c r="C1155" s="41" t="str">
        <f>_xlfn.XLOOKUP(tblCost[[#This Row],[TargetID]],tblTargets[TargetID],tblTargets[DisplayName],"")</f>
        <v>Workshop - Mechanism</v>
      </c>
      <c r="D1155" s="41" t="str">
        <f>_xlfn.XLOOKUP(tblCost[[#This Row],[TargetID]],tblTargets[TargetID],tblTargets[TargetType],"")</f>
        <v>TECH</v>
      </c>
      <c r="E1155" s="41" t="s">
        <v>708</v>
      </c>
      <c r="F1155" s="62" t="str">
        <f>RIGHT(tblCost[[#This Row],[RequirementID]],1)</f>
        <v>1</v>
      </c>
      <c r="G1155" s="41">
        <v>3</v>
      </c>
      <c r="H1155" t="b">
        <f>COUNTIFS(tblCostChecklist[RequirementID],tblCost[[#This Row],[RequirementID]],tblCostChecklist[PlayerPaid],TRUE)&gt;0</f>
        <v>0</v>
      </c>
      <c r="I1155" s="41">
        <f>COUNTIF(tblCost[TargetID],tblCost[[#This Row],[TargetID]])</f>
        <v>5</v>
      </c>
      <c r="J1155" s="41">
        <f>COUNTIFS(tblCost[TargetID],tblCost[[#This Row],[TargetID]],tblCost[PlayerPaid],TRUE)</f>
        <v>0</v>
      </c>
      <c r="K1155" s="41">
        <f>tblCost[[#This Row],[TargetRequirements]]-tblCost[[#This Row],[CompletedRequirements]]</f>
        <v>5</v>
      </c>
      <c r="L1155" s="41" t="b">
        <f>tblCost[[#This Row],[RemainingRequirements]]=0</f>
        <v>0</v>
      </c>
      <c r="M1155" s="43">
        <f>IF(tblCost[[#This Row],[TargetRequirements]]=0,0,tblCost[[#This Row],[CompletedRequirements]]/tblCost[[#This Row],[TargetRequirements]])</f>
        <v>0</v>
      </c>
    </row>
    <row r="1156" spans="1:13">
      <c r="A1156" s="41" t="s">
        <v>4804</v>
      </c>
      <c r="B1156" s="41" t="str">
        <f>_xlfn.TEXTAFTER(_xlfn.TEXTBEFORE(tblCost[[#This Row],[RequirementID]],".",-2),"cost.")</f>
        <v>tech.workshop.mechanical_spider</v>
      </c>
      <c r="C1156" s="41" t="str">
        <f>_xlfn.XLOOKUP(tblCost[[#This Row],[TargetID]],tblTargets[TargetID],tblTargets[DisplayName],"")</f>
        <v>Workshop - Mechanical Spider</v>
      </c>
      <c r="D1156" s="41" t="str">
        <f>_xlfn.XLOOKUP(tblCost[[#This Row],[TargetID]],tblTargets[TargetID],tblTargets[TargetType],"")</f>
        <v>TECH</v>
      </c>
      <c r="E1156" s="41" t="s">
        <v>662</v>
      </c>
      <c r="F1156" s="62" t="str">
        <f>RIGHT(tblCost[[#This Row],[RequirementID]],1)</f>
        <v>1</v>
      </c>
      <c r="G1156" s="41">
        <v>30</v>
      </c>
      <c r="H1156" t="b">
        <f>COUNTIFS(tblCostChecklist[RequirementID],tblCost[[#This Row],[RequirementID]],tblCostChecklist[PlayerPaid],TRUE)&gt;0</f>
        <v>0</v>
      </c>
      <c r="I1156" s="41">
        <f>COUNTIF(tblCost[TargetID],tblCost[[#This Row],[TargetID]])</f>
        <v>5</v>
      </c>
      <c r="J1156" s="41">
        <f>COUNTIFS(tblCost[TargetID],tblCost[[#This Row],[TargetID]],tblCost[PlayerPaid],TRUE)</f>
        <v>0</v>
      </c>
      <c r="K1156" s="41">
        <f>tblCost[[#This Row],[TargetRequirements]]-tblCost[[#This Row],[CompletedRequirements]]</f>
        <v>5</v>
      </c>
      <c r="L1156" s="41" t="b">
        <f>tblCost[[#This Row],[RemainingRequirements]]=0</f>
        <v>0</v>
      </c>
      <c r="M1156" s="43">
        <f>IF(tblCost[[#This Row],[TargetRequirements]]=0,0,tblCost[[#This Row],[CompletedRequirements]]/tblCost[[#This Row],[TargetRequirements]])</f>
        <v>0</v>
      </c>
    </row>
    <row r="1157" spans="1:13">
      <c r="A1157" s="41" t="s">
        <v>4805</v>
      </c>
      <c r="B1157" s="41" t="str">
        <f>_xlfn.TEXTAFTER(_xlfn.TEXTBEFORE(tblCost[[#This Row],[RequirementID]],".",-2),"cost.")</f>
        <v>tech.workshop.mechanical_spider</v>
      </c>
      <c r="C1157" s="41" t="str">
        <f>_xlfn.XLOOKUP(tblCost[[#This Row],[TargetID]],tblTargets[TargetID],tblTargets[DisplayName],"")</f>
        <v>Workshop - Mechanical Spider</v>
      </c>
      <c r="D1157" s="41" t="str">
        <f>_xlfn.XLOOKUP(tblCost[[#This Row],[TargetID]],tblTargets[TargetID],tblTargets[TargetType],"")</f>
        <v>TECH</v>
      </c>
      <c r="E1157" s="41" t="s">
        <v>666</v>
      </c>
      <c r="F1157" s="62" t="str">
        <f>RIGHT(tblCost[[#This Row],[RequirementID]],1)</f>
        <v>1</v>
      </c>
      <c r="G1157" s="41">
        <v>1000</v>
      </c>
      <c r="H1157" t="b">
        <f>COUNTIFS(tblCostChecklist[RequirementID],tblCost[[#This Row],[RequirementID]],tblCostChecklist[PlayerPaid],TRUE)&gt;0</f>
        <v>0</v>
      </c>
      <c r="I1157" s="41">
        <f>COUNTIF(tblCost[TargetID],tblCost[[#This Row],[TargetID]])</f>
        <v>5</v>
      </c>
      <c r="J1157" s="41">
        <f>COUNTIFS(tblCost[TargetID],tblCost[[#This Row],[TargetID]],tblCost[PlayerPaid],TRUE)</f>
        <v>0</v>
      </c>
      <c r="K1157" s="41">
        <f>tblCost[[#This Row],[TargetRequirements]]-tblCost[[#This Row],[CompletedRequirements]]</f>
        <v>5</v>
      </c>
      <c r="L1157" s="41" t="b">
        <f>tblCost[[#This Row],[RemainingRequirements]]=0</f>
        <v>0</v>
      </c>
      <c r="M1157" s="43">
        <f>IF(tblCost[[#This Row],[TargetRequirements]]=0,0,tblCost[[#This Row],[CompletedRequirements]]/tblCost[[#This Row],[TargetRequirements]])</f>
        <v>0</v>
      </c>
    </row>
    <row r="1158" spans="1:13">
      <c r="A1158" s="41" t="s">
        <v>4806</v>
      </c>
      <c r="B1158" s="41" t="str">
        <f>_xlfn.TEXTAFTER(_xlfn.TEXTBEFORE(tblCost[[#This Row],[RequirementID]],".",-2),"cost.")</f>
        <v>tech.workshop.mechanical_spider</v>
      </c>
      <c r="C1158" s="41" t="str">
        <f>_xlfn.XLOOKUP(tblCost[[#This Row],[TargetID]],tblTargets[TargetID],tblTargets[DisplayName],"")</f>
        <v>Workshop - Mechanical Spider</v>
      </c>
      <c r="D1158" s="41" t="str">
        <f>_xlfn.XLOOKUP(tblCost[[#This Row],[TargetID]],tblTargets[TargetID],tblTargets[TargetType],"")</f>
        <v>TECH</v>
      </c>
      <c r="E1158" s="41" t="s">
        <v>686</v>
      </c>
      <c r="F1158" s="62" t="str">
        <f>RIGHT(tblCost[[#This Row],[RequirementID]],1)</f>
        <v>1</v>
      </c>
      <c r="G1158" s="41">
        <v>15</v>
      </c>
      <c r="H1158" t="b">
        <f>COUNTIFS(tblCostChecklist[RequirementID],tblCost[[#This Row],[RequirementID]],tblCostChecklist[PlayerPaid],TRUE)&gt;0</f>
        <v>0</v>
      </c>
      <c r="I1158" s="41">
        <f>COUNTIF(tblCost[TargetID],tblCost[[#This Row],[TargetID]])</f>
        <v>5</v>
      </c>
      <c r="J1158" s="41">
        <f>COUNTIFS(tblCost[TargetID],tblCost[[#This Row],[TargetID]],tblCost[PlayerPaid],TRUE)</f>
        <v>0</v>
      </c>
      <c r="K1158" s="41">
        <f>tblCost[[#This Row],[TargetRequirements]]-tblCost[[#This Row],[CompletedRequirements]]</f>
        <v>5</v>
      </c>
      <c r="L1158" s="41" t="b">
        <f>tblCost[[#This Row],[RemainingRequirements]]=0</f>
        <v>0</v>
      </c>
      <c r="M1158" s="43">
        <f>IF(tblCost[[#This Row],[TargetRequirements]]=0,0,tblCost[[#This Row],[CompletedRequirements]]/tblCost[[#This Row],[TargetRequirements]])</f>
        <v>0</v>
      </c>
    </row>
    <row r="1159" spans="1:13">
      <c r="A1159" s="41" t="s">
        <v>4807</v>
      </c>
      <c r="B1159" s="41" t="str">
        <f>_xlfn.TEXTAFTER(_xlfn.TEXTBEFORE(tblCost[[#This Row],[RequirementID]],".",-2),"cost.")</f>
        <v>tech.workshop.mechanical_spider</v>
      </c>
      <c r="C1159" s="41" t="str">
        <f>_xlfn.XLOOKUP(tblCost[[#This Row],[TargetID]],tblTargets[TargetID],tblTargets[DisplayName],"")</f>
        <v>Workshop - Mechanical Spider</v>
      </c>
      <c r="D1159" s="41" t="str">
        <f>_xlfn.XLOOKUP(tblCost[[#This Row],[TargetID]],tblTargets[TargetID],tblTargets[TargetType],"")</f>
        <v>TECH</v>
      </c>
      <c r="E1159" s="41" t="s">
        <v>693</v>
      </c>
      <c r="F1159" s="62" t="str">
        <f>RIGHT(tblCost[[#This Row],[RequirementID]],1)</f>
        <v>1</v>
      </c>
      <c r="G1159" s="41">
        <v>20</v>
      </c>
      <c r="H1159" t="b">
        <f>COUNTIFS(tblCostChecklist[RequirementID],tblCost[[#This Row],[RequirementID]],tblCostChecklist[PlayerPaid],TRUE)&gt;0</f>
        <v>0</v>
      </c>
      <c r="I1159" s="41">
        <f>COUNTIF(tblCost[TargetID],tblCost[[#This Row],[TargetID]])</f>
        <v>5</v>
      </c>
      <c r="J1159" s="41">
        <f>COUNTIFS(tblCost[TargetID],tblCost[[#This Row],[TargetID]],tblCost[PlayerPaid],TRUE)</f>
        <v>0</v>
      </c>
      <c r="K1159" s="41">
        <f>tblCost[[#This Row],[TargetRequirements]]-tblCost[[#This Row],[CompletedRequirements]]</f>
        <v>5</v>
      </c>
      <c r="L1159" s="41" t="b">
        <f>tblCost[[#This Row],[RemainingRequirements]]=0</f>
        <v>0</v>
      </c>
      <c r="M1159" s="43">
        <f>IF(tblCost[[#This Row],[TargetRequirements]]=0,0,tblCost[[#This Row],[CompletedRequirements]]/tblCost[[#This Row],[TargetRequirements]])</f>
        <v>0</v>
      </c>
    </row>
    <row r="1160" spans="1:13">
      <c r="A1160" s="41" t="s">
        <v>4808</v>
      </c>
      <c r="B1160" s="41" t="str">
        <f>_xlfn.TEXTAFTER(_xlfn.TEXTBEFORE(tblCost[[#This Row],[RequirementID]],".",-2),"cost.")</f>
        <v>tech.workshop.mechanical_spider</v>
      </c>
      <c r="C1160" s="41" t="str">
        <f>_xlfn.XLOOKUP(tblCost[[#This Row],[TargetID]],tblTargets[TargetID],tblTargets[DisplayName],"")</f>
        <v>Workshop - Mechanical Spider</v>
      </c>
      <c r="D1160" s="41" t="str">
        <f>_xlfn.XLOOKUP(tblCost[[#This Row],[TargetID]],tblTargets[TargetID],tblTargets[TargetType],"")</f>
        <v>TECH</v>
      </c>
      <c r="E1160" s="41" t="s">
        <v>708</v>
      </c>
      <c r="F1160" s="62" t="str">
        <f>RIGHT(tblCost[[#This Row],[RequirementID]],1)</f>
        <v>1</v>
      </c>
      <c r="G1160" s="41">
        <v>5</v>
      </c>
      <c r="H1160" t="b">
        <f>COUNTIFS(tblCostChecklist[RequirementID],tblCost[[#This Row],[RequirementID]],tblCostChecklist[PlayerPaid],TRUE)&gt;0</f>
        <v>0</v>
      </c>
      <c r="I1160" s="41">
        <f>COUNTIF(tblCost[TargetID],tblCost[[#This Row],[TargetID]])</f>
        <v>5</v>
      </c>
      <c r="J1160" s="41">
        <f>COUNTIFS(tblCost[TargetID],tblCost[[#This Row],[TargetID]],tblCost[PlayerPaid],TRUE)</f>
        <v>0</v>
      </c>
      <c r="K1160" s="41">
        <f>tblCost[[#This Row],[TargetRequirements]]-tblCost[[#This Row],[CompletedRequirements]]</f>
        <v>5</v>
      </c>
      <c r="L1160" s="41" t="b">
        <f>tblCost[[#This Row],[RemainingRequirements]]=0</f>
        <v>0</v>
      </c>
      <c r="M1160" s="43">
        <f>IF(tblCost[[#This Row],[TargetRequirements]]=0,0,tblCost[[#This Row],[CompletedRequirements]]/tblCost[[#This Row],[TargetRequirements]])</f>
        <v>0</v>
      </c>
    </row>
    <row r="1161" spans="1:13">
      <c r="A1161" s="41" t="s">
        <v>4809</v>
      </c>
      <c r="B1161" s="41" t="str">
        <f>_xlfn.TEXTAFTER(_xlfn.TEXTBEFORE(tblCost[[#This Row],[RequirementID]],".",-2),"cost.")</f>
        <v>tech.workshop.explosive_mechanical_spider</v>
      </c>
      <c r="C1161" s="41" t="str">
        <f>_xlfn.XLOOKUP(tblCost[[#This Row],[TargetID]],tblTargets[TargetID],tblTargets[DisplayName],"")</f>
        <v>Workshop - Explosive Mechanical Spider</v>
      </c>
      <c r="D1161" s="41" t="str">
        <f>_xlfn.XLOOKUP(tblCost[[#This Row],[TargetID]],tblTargets[TargetID],tblTargets[TargetType],"")</f>
        <v>TECH</v>
      </c>
      <c r="E1161" s="41" t="s">
        <v>662</v>
      </c>
      <c r="F1161" s="62" t="str">
        <f>RIGHT(tblCost[[#This Row],[RequirementID]],1)</f>
        <v>1</v>
      </c>
      <c r="G1161" s="41">
        <v>15</v>
      </c>
      <c r="H1161" t="b">
        <f>COUNTIFS(tblCostChecklist[RequirementID],tblCost[[#This Row],[RequirementID]],tblCostChecklist[PlayerPaid],TRUE)&gt;0</f>
        <v>0</v>
      </c>
      <c r="I1161" s="41">
        <f>COUNTIF(tblCost[TargetID],tblCost[[#This Row],[TargetID]])</f>
        <v>6</v>
      </c>
      <c r="J1161" s="41">
        <f>COUNTIFS(tblCost[TargetID],tblCost[[#This Row],[TargetID]],tblCost[PlayerPaid],TRUE)</f>
        <v>0</v>
      </c>
      <c r="K1161" s="41">
        <f>tblCost[[#This Row],[TargetRequirements]]-tblCost[[#This Row],[CompletedRequirements]]</f>
        <v>6</v>
      </c>
      <c r="L1161" s="41" t="b">
        <f>tblCost[[#This Row],[RemainingRequirements]]=0</f>
        <v>0</v>
      </c>
      <c r="M1161" s="43">
        <f>IF(tblCost[[#This Row],[TargetRequirements]]=0,0,tblCost[[#This Row],[CompletedRequirements]]/tblCost[[#This Row],[TargetRequirements]])</f>
        <v>0</v>
      </c>
    </row>
    <row r="1162" spans="1:13">
      <c r="A1162" s="41" t="s">
        <v>4810</v>
      </c>
      <c r="B1162" s="41" t="str">
        <f>_xlfn.TEXTAFTER(_xlfn.TEXTBEFORE(tblCost[[#This Row],[RequirementID]],".",-2),"cost.")</f>
        <v>tech.workshop.explosive_mechanical_spider</v>
      </c>
      <c r="C1162" s="41" t="str">
        <f>_xlfn.XLOOKUP(tblCost[[#This Row],[TargetID]],tblTargets[TargetID],tblTargets[DisplayName],"")</f>
        <v>Workshop - Explosive Mechanical Spider</v>
      </c>
      <c r="D1162" s="41" t="str">
        <f>_xlfn.XLOOKUP(tblCost[[#This Row],[TargetID]],tblTargets[TargetID],tblTargets[TargetType],"")</f>
        <v>TECH</v>
      </c>
      <c r="E1162" s="41" t="s">
        <v>666</v>
      </c>
      <c r="F1162" s="62" t="str">
        <f>RIGHT(tblCost[[#This Row],[RequirementID]],1)</f>
        <v>1</v>
      </c>
      <c r="G1162" s="41">
        <v>400</v>
      </c>
      <c r="H1162" t="b">
        <f>COUNTIFS(tblCostChecklist[RequirementID],tblCost[[#This Row],[RequirementID]],tblCostChecklist[PlayerPaid],TRUE)&gt;0</f>
        <v>0</v>
      </c>
      <c r="I1162" s="41">
        <f>COUNTIF(tblCost[TargetID],tblCost[[#This Row],[TargetID]])</f>
        <v>6</v>
      </c>
      <c r="J1162" s="41">
        <f>COUNTIFS(tblCost[TargetID],tblCost[[#This Row],[TargetID]],tblCost[PlayerPaid],TRUE)</f>
        <v>0</v>
      </c>
      <c r="K1162" s="41">
        <f>tblCost[[#This Row],[TargetRequirements]]-tblCost[[#This Row],[CompletedRequirements]]</f>
        <v>6</v>
      </c>
      <c r="L1162" s="41" t="b">
        <f>tblCost[[#This Row],[RemainingRequirements]]=0</f>
        <v>0</v>
      </c>
      <c r="M1162" s="43">
        <f>IF(tblCost[[#This Row],[TargetRequirements]]=0,0,tblCost[[#This Row],[CompletedRequirements]]/tblCost[[#This Row],[TargetRequirements]])</f>
        <v>0</v>
      </c>
    </row>
    <row r="1163" spans="1:13">
      <c r="A1163" s="41" t="s">
        <v>4811</v>
      </c>
      <c r="B1163" s="41" t="str">
        <f>_xlfn.TEXTAFTER(_xlfn.TEXTBEFORE(tblCost[[#This Row],[RequirementID]],".",-2),"cost.")</f>
        <v>tech.workshop.explosive_mechanical_spider</v>
      </c>
      <c r="C1163" s="41" t="str">
        <f>_xlfn.XLOOKUP(tblCost[[#This Row],[TargetID]],tblTargets[TargetID],tblTargets[DisplayName],"")</f>
        <v>Workshop - Explosive Mechanical Spider</v>
      </c>
      <c r="D1163" s="41" t="str">
        <f>_xlfn.XLOOKUP(tblCost[[#This Row],[TargetID]],tblTargets[TargetID],tblTargets[TargetType],"")</f>
        <v>TECH</v>
      </c>
      <c r="E1163" s="41" t="s">
        <v>936</v>
      </c>
      <c r="F1163" s="62" t="str">
        <f>RIGHT(tblCost[[#This Row],[RequirementID]],1)</f>
        <v>1</v>
      </c>
      <c r="G1163" s="41">
        <v>20</v>
      </c>
      <c r="H1163" t="b">
        <f>COUNTIFS(tblCostChecklist[RequirementID],tblCost[[#This Row],[RequirementID]],tblCostChecklist[PlayerPaid],TRUE)&gt;0</f>
        <v>0</v>
      </c>
      <c r="I1163" s="41">
        <f>COUNTIF(tblCost[TargetID],tblCost[[#This Row],[TargetID]])</f>
        <v>6</v>
      </c>
      <c r="J1163" s="41">
        <f>COUNTIFS(tblCost[TargetID],tblCost[[#This Row],[TargetID]],tblCost[PlayerPaid],TRUE)</f>
        <v>0</v>
      </c>
      <c r="K1163" s="41">
        <f>tblCost[[#This Row],[TargetRequirements]]-tblCost[[#This Row],[CompletedRequirements]]</f>
        <v>6</v>
      </c>
      <c r="L1163" s="41" t="b">
        <f>tblCost[[#This Row],[RemainingRequirements]]=0</f>
        <v>0</v>
      </c>
      <c r="M1163" s="43">
        <f>IF(tblCost[[#This Row],[TargetRequirements]]=0,0,tblCost[[#This Row],[CompletedRequirements]]/tblCost[[#This Row],[TargetRequirements]])</f>
        <v>0</v>
      </c>
    </row>
    <row r="1164" spans="1:13">
      <c r="A1164" s="41" t="s">
        <v>4812</v>
      </c>
      <c r="B1164" s="41" t="str">
        <f>_xlfn.TEXTAFTER(_xlfn.TEXTBEFORE(tblCost[[#This Row],[RequirementID]],".",-2),"cost.")</f>
        <v>tech.workshop.explosive_mechanical_spider</v>
      </c>
      <c r="C1164" s="41" t="str">
        <f>_xlfn.XLOOKUP(tblCost[[#This Row],[TargetID]],tblTargets[TargetID],tblTargets[DisplayName],"")</f>
        <v>Workshop - Explosive Mechanical Spider</v>
      </c>
      <c r="D1164" s="41" t="str">
        <f>_xlfn.XLOOKUP(tblCost[[#This Row],[TargetID]],tblTargets[TargetID],tblTargets[TargetType],"")</f>
        <v>TECH</v>
      </c>
      <c r="E1164" s="41" t="s">
        <v>686</v>
      </c>
      <c r="F1164" s="62" t="str">
        <f>RIGHT(tblCost[[#This Row],[RequirementID]],1)</f>
        <v>1</v>
      </c>
      <c r="G1164" s="41">
        <v>10</v>
      </c>
      <c r="H1164" t="b">
        <f>COUNTIFS(tblCostChecklist[RequirementID],tblCost[[#This Row],[RequirementID]],tblCostChecklist[PlayerPaid],TRUE)&gt;0</f>
        <v>0</v>
      </c>
      <c r="I1164" s="41">
        <f>COUNTIF(tblCost[TargetID],tblCost[[#This Row],[TargetID]])</f>
        <v>6</v>
      </c>
      <c r="J1164" s="41">
        <f>COUNTIFS(tblCost[TargetID],tblCost[[#This Row],[TargetID]],tblCost[PlayerPaid],TRUE)</f>
        <v>0</v>
      </c>
      <c r="K1164" s="41">
        <f>tblCost[[#This Row],[TargetRequirements]]-tblCost[[#This Row],[CompletedRequirements]]</f>
        <v>6</v>
      </c>
      <c r="L1164" s="41" t="b">
        <f>tblCost[[#This Row],[RemainingRequirements]]=0</f>
        <v>0</v>
      </c>
      <c r="M1164" s="43">
        <f>IF(tblCost[[#This Row],[TargetRequirements]]=0,0,tblCost[[#This Row],[CompletedRequirements]]/tblCost[[#This Row],[TargetRequirements]])</f>
        <v>0</v>
      </c>
    </row>
    <row r="1165" spans="1:13">
      <c r="A1165" s="41" t="s">
        <v>4813</v>
      </c>
      <c r="B1165" s="41" t="str">
        <f>_xlfn.TEXTAFTER(_xlfn.TEXTBEFORE(tblCost[[#This Row],[RequirementID]],".",-2),"cost.")</f>
        <v>tech.workshop.explosive_mechanical_spider</v>
      </c>
      <c r="C1165" s="41" t="str">
        <f>_xlfn.XLOOKUP(tblCost[[#This Row],[TargetID]],tblTargets[TargetID],tblTargets[DisplayName],"")</f>
        <v>Workshop - Explosive Mechanical Spider</v>
      </c>
      <c r="D1165" s="41" t="str">
        <f>_xlfn.XLOOKUP(tblCost[[#This Row],[TargetID]],tblTargets[TargetID],tblTargets[TargetType],"")</f>
        <v>TECH</v>
      </c>
      <c r="E1165" s="41" t="s">
        <v>692</v>
      </c>
      <c r="F1165" s="62" t="str">
        <f>RIGHT(tblCost[[#This Row],[RequirementID]],1)</f>
        <v>1</v>
      </c>
      <c r="G1165" s="41">
        <v>3</v>
      </c>
      <c r="H1165" t="b">
        <f>COUNTIFS(tblCostChecklist[RequirementID],tblCost[[#This Row],[RequirementID]],tblCostChecklist[PlayerPaid],TRUE)&gt;0</f>
        <v>0</v>
      </c>
      <c r="I1165" s="41">
        <f>COUNTIF(tblCost[TargetID],tblCost[[#This Row],[TargetID]])</f>
        <v>6</v>
      </c>
      <c r="J1165" s="41">
        <f>COUNTIFS(tblCost[TargetID],tblCost[[#This Row],[TargetID]],tblCost[PlayerPaid],TRUE)</f>
        <v>0</v>
      </c>
      <c r="K1165" s="41">
        <f>tblCost[[#This Row],[TargetRequirements]]-tblCost[[#This Row],[CompletedRequirements]]</f>
        <v>6</v>
      </c>
      <c r="L1165" s="41" t="b">
        <f>tblCost[[#This Row],[RemainingRequirements]]=0</f>
        <v>0</v>
      </c>
      <c r="M1165" s="43">
        <f>IF(tblCost[[#This Row],[TargetRequirements]]=0,0,tblCost[[#This Row],[CompletedRequirements]]/tblCost[[#This Row],[TargetRequirements]])</f>
        <v>0</v>
      </c>
    </row>
    <row r="1166" spans="1:13">
      <c r="A1166" s="41" t="s">
        <v>4814</v>
      </c>
      <c r="B1166" s="41" t="str">
        <f>_xlfn.TEXTAFTER(_xlfn.TEXTBEFORE(tblCost[[#This Row],[RequirementID]],".",-2),"cost.")</f>
        <v>tech.workshop.explosive_mechanical_spider</v>
      </c>
      <c r="C1166" s="41" t="str">
        <f>_xlfn.XLOOKUP(tblCost[[#This Row],[TargetID]],tblTargets[TargetID],tblTargets[DisplayName],"")</f>
        <v>Workshop - Explosive Mechanical Spider</v>
      </c>
      <c r="D1166" s="41" t="str">
        <f>_xlfn.XLOOKUP(tblCost[[#This Row],[TargetID]],tblTargets[TargetID],tblTargets[TargetType],"")</f>
        <v>TECH</v>
      </c>
      <c r="E1166" s="41" t="s">
        <v>708</v>
      </c>
      <c r="F1166" s="62" t="str">
        <f>RIGHT(tblCost[[#This Row],[RequirementID]],1)</f>
        <v>1</v>
      </c>
      <c r="G1166" s="41">
        <v>2</v>
      </c>
      <c r="H1166" t="b">
        <f>COUNTIFS(tblCostChecklist[RequirementID],tblCost[[#This Row],[RequirementID]],tblCostChecklist[PlayerPaid],TRUE)&gt;0</f>
        <v>0</v>
      </c>
      <c r="I1166" s="41">
        <f>COUNTIF(tblCost[TargetID],tblCost[[#This Row],[TargetID]])</f>
        <v>6</v>
      </c>
      <c r="J1166" s="41">
        <f>COUNTIFS(tblCost[TargetID],tblCost[[#This Row],[TargetID]],tblCost[PlayerPaid],TRUE)</f>
        <v>0</v>
      </c>
      <c r="K1166" s="41">
        <f>tblCost[[#This Row],[TargetRequirements]]-tblCost[[#This Row],[CompletedRequirements]]</f>
        <v>6</v>
      </c>
      <c r="L1166" s="41" t="b">
        <f>tblCost[[#This Row],[RemainingRequirements]]=0</f>
        <v>0</v>
      </c>
      <c r="M1166" s="43">
        <f>IF(tblCost[[#This Row],[TargetRequirements]]=0,0,tblCost[[#This Row],[CompletedRequirements]]/tblCost[[#This Row],[TargetRequirements]])</f>
        <v>0</v>
      </c>
    </row>
    <row r="1167" spans="1:13">
      <c r="A1167" s="41" t="s">
        <v>4815</v>
      </c>
      <c r="B1167" s="41" t="str">
        <f>_xlfn.TEXTAFTER(_xlfn.TEXTBEFORE(tblCost[[#This Row],[RequirementID]],".",-2),"cost.")</f>
        <v>tech.workshop.steamobile</v>
      </c>
      <c r="C1167" s="41" t="str">
        <f>_xlfn.XLOOKUP(tblCost[[#This Row],[TargetID]],tblTargets[TargetID],tblTargets[DisplayName],"")</f>
        <v>Workshop - Steamobile</v>
      </c>
      <c r="D1167" s="41" t="str">
        <f>_xlfn.XLOOKUP(tblCost[[#This Row],[TargetID]],tblTargets[TargetID],tblTargets[TargetType],"")</f>
        <v>TECH</v>
      </c>
      <c r="E1167" s="41" t="s">
        <v>662</v>
      </c>
      <c r="F1167" s="62" t="str">
        <f>RIGHT(tblCost[[#This Row],[RequirementID]],1)</f>
        <v>1</v>
      </c>
      <c r="G1167" s="41">
        <v>30</v>
      </c>
      <c r="H1167" t="b">
        <f>COUNTIFS(tblCostChecklist[RequirementID],tblCost[[#This Row],[RequirementID]],tblCostChecklist[PlayerPaid],TRUE)&gt;0</f>
        <v>0</v>
      </c>
      <c r="I1167" s="41">
        <f>COUNTIF(tblCost[TargetID],tblCost[[#This Row],[TargetID]])</f>
        <v>5</v>
      </c>
      <c r="J1167" s="41">
        <f>COUNTIFS(tblCost[TargetID],tblCost[[#This Row],[TargetID]],tblCost[PlayerPaid],TRUE)</f>
        <v>0</v>
      </c>
      <c r="K1167" s="41">
        <f>tblCost[[#This Row],[TargetRequirements]]-tblCost[[#This Row],[CompletedRequirements]]</f>
        <v>5</v>
      </c>
      <c r="L1167" s="41" t="b">
        <f>tblCost[[#This Row],[RemainingRequirements]]=0</f>
        <v>0</v>
      </c>
      <c r="M1167" s="43">
        <f>IF(tblCost[[#This Row],[TargetRequirements]]=0,0,tblCost[[#This Row],[CompletedRequirements]]/tblCost[[#This Row],[TargetRequirements]])</f>
        <v>0</v>
      </c>
    </row>
    <row r="1168" spans="1:13">
      <c r="A1168" s="41" t="s">
        <v>4816</v>
      </c>
      <c r="B1168" s="41" t="str">
        <f>_xlfn.TEXTAFTER(_xlfn.TEXTBEFORE(tblCost[[#This Row],[RequirementID]],".",-2),"cost.")</f>
        <v>tech.workshop.steamobile</v>
      </c>
      <c r="C1168" s="41" t="str">
        <f>_xlfn.XLOOKUP(tblCost[[#This Row],[TargetID]],tblTargets[TargetID],tblTargets[DisplayName],"")</f>
        <v>Workshop - Steamobile</v>
      </c>
      <c r="D1168" s="41" t="str">
        <f>_xlfn.XLOOKUP(tblCost[[#This Row],[TargetID]],tblTargets[TargetID],tblTargets[TargetType],"")</f>
        <v>TECH</v>
      </c>
      <c r="E1168" s="41" t="s">
        <v>666</v>
      </c>
      <c r="F1168" s="62" t="str">
        <f>RIGHT(tblCost[[#This Row],[RequirementID]],1)</f>
        <v>1</v>
      </c>
      <c r="G1168" s="41">
        <v>1500</v>
      </c>
      <c r="H1168" t="b">
        <f>COUNTIFS(tblCostChecklist[RequirementID],tblCost[[#This Row],[RequirementID]],tblCostChecklist[PlayerPaid],TRUE)&gt;0</f>
        <v>0</v>
      </c>
      <c r="I1168" s="41">
        <f>COUNTIF(tblCost[TargetID],tblCost[[#This Row],[TargetID]])</f>
        <v>5</v>
      </c>
      <c r="J1168" s="41">
        <f>COUNTIFS(tblCost[TargetID],tblCost[[#This Row],[TargetID]],tblCost[PlayerPaid],TRUE)</f>
        <v>0</v>
      </c>
      <c r="K1168" s="41">
        <f>tblCost[[#This Row],[TargetRequirements]]-tblCost[[#This Row],[CompletedRequirements]]</f>
        <v>5</v>
      </c>
      <c r="L1168" s="41" t="b">
        <f>tblCost[[#This Row],[RemainingRequirements]]=0</f>
        <v>0</v>
      </c>
      <c r="M1168" s="43">
        <f>IF(tblCost[[#This Row],[TargetRequirements]]=0,0,tblCost[[#This Row],[CompletedRequirements]]/tblCost[[#This Row],[TargetRequirements]])</f>
        <v>0</v>
      </c>
    </row>
    <row r="1169" spans="1:13">
      <c r="A1169" s="41" t="s">
        <v>4817</v>
      </c>
      <c r="B1169" s="41" t="str">
        <f>_xlfn.TEXTAFTER(_xlfn.TEXTBEFORE(tblCost[[#This Row],[RequirementID]],".",-2),"cost.")</f>
        <v>tech.workshop.steamobile</v>
      </c>
      <c r="C1169" s="41" t="str">
        <f>_xlfn.XLOOKUP(tblCost[[#This Row],[TargetID]],tblTargets[TargetID],tblTargets[DisplayName],"")</f>
        <v>Workshop - Steamobile</v>
      </c>
      <c r="D1169" s="41" t="str">
        <f>_xlfn.XLOOKUP(tblCost[[#This Row],[TargetID]],tblTargets[TargetID],tblTargets[TargetType],"")</f>
        <v>TECH</v>
      </c>
      <c r="E1169" s="41" t="s">
        <v>686</v>
      </c>
      <c r="F1169" s="62" t="str">
        <f>RIGHT(tblCost[[#This Row],[RequirementID]],1)</f>
        <v>1</v>
      </c>
      <c r="G1169" s="41">
        <v>15</v>
      </c>
      <c r="H1169" t="b">
        <f>COUNTIFS(tblCostChecklist[RequirementID],tblCost[[#This Row],[RequirementID]],tblCostChecklist[PlayerPaid],TRUE)&gt;0</f>
        <v>0</v>
      </c>
      <c r="I1169" s="41">
        <f>COUNTIF(tblCost[TargetID],tblCost[[#This Row],[TargetID]])</f>
        <v>5</v>
      </c>
      <c r="J1169" s="41">
        <f>COUNTIFS(tblCost[TargetID],tblCost[[#This Row],[TargetID]],tblCost[PlayerPaid],TRUE)</f>
        <v>0</v>
      </c>
      <c r="K1169" s="41">
        <f>tblCost[[#This Row],[TargetRequirements]]-tblCost[[#This Row],[CompletedRequirements]]</f>
        <v>5</v>
      </c>
      <c r="L1169" s="41" t="b">
        <f>tblCost[[#This Row],[RemainingRequirements]]=0</f>
        <v>0</v>
      </c>
      <c r="M1169" s="43">
        <f>IF(tblCost[[#This Row],[TargetRequirements]]=0,0,tblCost[[#This Row],[CompletedRequirements]]/tblCost[[#This Row],[TargetRequirements]])</f>
        <v>0</v>
      </c>
    </row>
    <row r="1170" spans="1:13">
      <c r="A1170" s="41" t="s">
        <v>4818</v>
      </c>
      <c r="B1170" s="41" t="str">
        <f>_xlfn.TEXTAFTER(_xlfn.TEXTBEFORE(tblCost[[#This Row],[RequirementID]],".",-2),"cost.")</f>
        <v>tech.workshop.steamobile</v>
      </c>
      <c r="C1170" s="41" t="str">
        <f>_xlfn.XLOOKUP(tblCost[[#This Row],[TargetID]],tblTargets[TargetID],tblTargets[DisplayName],"")</f>
        <v>Workshop - Steamobile</v>
      </c>
      <c r="D1170" s="41" t="str">
        <f>_xlfn.XLOOKUP(tblCost[[#This Row],[TargetID]],tblTargets[TargetID],tblTargets[TargetType],"")</f>
        <v>TECH</v>
      </c>
      <c r="E1170" s="41" t="s">
        <v>693</v>
      </c>
      <c r="F1170" s="62" t="str">
        <f>RIGHT(tblCost[[#This Row],[RequirementID]],1)</f>
        <v>1</v>
      </c>
      <c r="G1170" s="41">
        <v>30</v>
      </c>
      <c r="H1170" t="b">
        <f>COUNTIFS(tblCostChecklist[RequirementID],tblCost[[#This Row],[RequirementID]],tblCostChecklist[PlayerPaid],TRUE)&gt;0</f>
        <v>0</v>
      </c>
      <c r="I1170" s="41">
        <f>COUNTIF(tblCost[TargetID],tblCost[[#This Row],[TargetID]])</f>
        <v>5</v>
      </c>
      <c r="J1170" s="41">
        <f>COUNTIFS(tblCost[TargetID],tblCost[[#This Row],[TargetID]],tblCost[PlayerPaid],TRUE)</f>
        <v>0</v>
      </c>
      <c r="K1170" s="41">
        <f>tblCost[[#This Row],[TargetRequirements]]-tblCost[[#This Row],[CompletedRequirements]]</f>
        <v>5</v>
      </c>
      <c r="L1170" s="41" t="b">
        <f>tblCost[[#This Row],[RemainingRequirements]]=0</f>
        <v>0</v>
      </c>
      <c r="M1170" s="43">
        <f>IF(tblCost[[#This Row],[TargetRequirements]]=0,0,tblCost[[#This Row],[CompletedRequirements]]/tblCost[[#This Row],[TargetRequirements]])</f>
        <v>0</v>
      </c>
    </row>
    <row r="1171" spans="1:13">
      <c r="A1171" s="41" t="s">
        <v>4819</v>
      </c>
      <c r="B1171" s="41" t="str">
        <f>_xlfn.TEXTAFTER(_xlfn.TEXTBEFORE(tblCost[[#This Row],[RequirementID]],".",-2),"cost.")</f>
        <v>tech.workshop.steamobile</v>
      </c>
      <c r="C1171" s="41" t="str">
        <f>_xlfn.XLOOKUP(tblCost[[#This Row],[TargetID]],tblTargets[TargetID],tblTargets[DisplayName],"")</f>
        <v>Workshop - Steamobile</v>
      </c>
      <c r="D1171" s="41" t="str">
        <f>_xlfn.XLOOKUP(tblCost[[#This Row],[TargetID]],tblTargets[TargetID],tblTargets[TargetType],"")</f>
        <v>TECH</v>
      </c>
      <c r="E1171" s="41" t="s">
        <v>708</v>
      </c>
      <c r="F1171" s="62" t="str">
        <f>RIGHT(tblCost[[#This Row],[RequirementID]],1)</f>
        <v>1</v>
      </c>
      <c r="G1171" s="41">
        <v>7</v>
      </c>
      <c r="H1171" t="b">
        <f>COUNTIFS(tblCostChecklist[RequirementID],tblCost[[#This Row],[RequirementID]],tblCostChecklist[PlayerPaid],TRUE)&gt;0</f>
        <v>0</v>
      </c>
      <c r="I1171" s="41">
        <f>COUNTIF(tblCost[TargetID],tblCost[[#This Row],[TargetID]])</f>
        <v>5</v>
      </c>
      <c r="J1171" s="41">
        <f>COUNTIFS(tblCost[TargetID],tblCost[[#This Row],[TargetID]],tblCost[PlayerPaid],TRUE)</f>
        <v>0</v>
      </c>
      <c r="K1171" s="41">
        <f>tblCost[[#This Row],[TargetRequirements]]-tblCost[[#This Row],[CompletedRequirements]]</f>
        <v>5</v>
      </c>
      <c r="L1171" s="41" t="b">
        <f>tblCost[[#This Row],[RemainingRequirements]]=0</f>
        <v>0</v>
      </c>
      <c r="M1171" s="43">
        <f>IF(tblCost[[#This Row],[TargetRequirements]]=0,0,tblCost[[#This Row],[CompletedRequirements]]/tblCost[[#This Row],[TargetRequirements]])</f>
        <v>0</v>
      </c>
    </row>
    <row r="1172" spans="1:13">
      <c r="A1172" s="41" t="s">
        <v>4820</v>
      </c>
      <c r="B1172" s="41" t="str">
        <f>_xlfn.TEXTAFTER(_xlfn.TEXTBEFORE(tblCost[[#This Row],[RequirementID]],".",-2),"cost.")</f>
        <v>tech.workshop.zen_fountain</v>
      </c>
      <c r="C1172" s="41" t="str">
        <f>_xlfn.XLOOKUP(tblCost[[#This Row],[TargetID]],tblTargets[TargetID],tblTargets[DisplayName],"")</f>
        <v>Workshop - Zen Fountain</v>
      </c>
      <c r="D1172" s="41" t="str">
        <f>_xlfn.XLOOKUP(tblCost[[#This Row],[TargetID]],tblTargets[TargetID],tblTargets[TargetType],"")</f>
        <v>TECH</v>
      </c>
      <c r="E1172" s="41" t="s">
        <v>657</v>
      </c>
      <c r="F1172" s="62" t="str">
        <f>RIGHT(tblCost[[#This Row],[RequirementID]],1)</f>
        <v>1</v>
      </c>
      <c r="G1172" s="41">
        <v>30</v>
      </c>
      <c r="H1172" t="b">
        <f>COUNTIFS(tblCostChecklist[RequirementID],tblCost[[#This Row],[RequirementID]],tblCostChecklist[PlayerPaid],TRUE)&gt;0</f>
        <v>0</v>
      </c>
      <c r="I1172" s="41">
        <f>COUNTIF(tblCost[TargetID],tblCost[[#This Row],[TargetID]])</f>
        <v>6</v>
      </c>
      <c r="J1172" s="41">
        <f>COUNTIFS(tblCost[TargetID],tblCost[[#This Row],[TargetID]],tblCost[PlayerPaid],TRUE)</f>
        <v>0</v>
      </c>
      <c r="K1172" s="41">
        <f>tblCost[[#This Row],[TargetRequirements]]-tblCost[[#This Row],[CompletedRequirements]]</f>
        <v>6</v>
      </c>
      <c r="L1172" s="41" t="b">
        <f>tblCost[[#This Row],[RemainingRequirements]]=0</f>
        <v>0</v>
      </c>
      <c r="M1172" s="43">
        <f>IF(tblCost[[#This Row],[TargetRequirements]]=0,0,tblCost[[#This Row],[CompletedRequirements]]/tblCost[[#This Row],[TargetRequirements]])</f>
        <v>0</v>
      </c>
    </row>
    <row r="1173" spans="1:13">
      <c r="A1173" s="41" t="s">
        <v>4821</v>
      </c>
      <c r="B1173" s="41" t="str">
        <f>_xlfn.TEXTAFTER(_xlfn.TEXTBEFORE(tblCost[[#This Row],[RequirementID]],".",-2),"cost.")</f>
        <v>tech.workshop.zen_fountain</v>
      </c>
      <c r="C1173" s="41" t="str">
        <f>_xlfn.XLOOKUP(tblCost[[#This Row],[TargetID]],tblTargets[TargetID],tblTargets[DisplayName],"")</f>
        <v>Workshop - Zen Fountain</v>
      </c>
      <c r="D1173" s="41" t="str">
        <f>_xlfn.XLOOKUP(tblCost[[#This Row],[TargetID]],tblTargets[TargetID],tblTargets[TargetType],"")</f>
        <v>TECH</v>
      </c>
      <c r="E1173" s="41" t="s">
        <v>666</v>
      </c>
      <c r="F1173" s="62" t="str">
        <f>RIGHT(tblCost[[#This Row],[RequirementID]],1)</f>
        <v>1</v>
      </c>
      <c r="G1173" s="41">
        <v>1000</v>
      </c>
      <c r="H1173" t="b">
        <f>COUNTIFS(tblCostChecklist[RequirementID],tblCost[[#This Row],[RequirementID]],tblCostChecklist[PlayerPaid],TRUE)&gt;0</f>
        <v>0</v>
      </c>
      <c r="I1173" s="41">
        <f>COUNTIF(tblCost[TargetID],tblCost[[#This Row],[TargetID]])</f>
        <v>6</v>
      </c>
      <c r="J1173" s="41">
        <f>COUNTIFS(tblCost[TargetID],tblCost[[#This Row],[TargetID]],tblCost[PlayerPaid],TRUE)</f>
        <v>0</v>
      </c>
      <c r="K1173" s="41">
        <f>tblCost[[#This Row],[TargetRequirements]]-tblCost[[#This Row],[CompletedRequirements]]</f>
        <v>6</v>
      </c>
      <c r="L1173" s="41" t="b">
        <f>tblCost[[#This Row],[RemainingRequirements]]=0</f>
        <v>0</v>
      </c>
      <c r="M1173" s="43">
        <f>IF(tblCost[[#This Row],[TargetRequirements]]=0,0,tblCost[[#This Row],[CompletedRequirements]]/tblCost[[#This Row],[TargetRequirements]])</f>
        <v>0</v>
      </c>
    </row>
    <row r="1174" spans="1:13">
      <c r="A1174" s="41" t="s">
        <v>4822</v>
      </c>
      <c r="B1174" s="41" t="str">
        <f>_xlfn.TEXTAFTER(_xlfn.TEXTBEFORE(tblCost[[#This Row],[RequirementID]],".",-2),"cost.")</f>
        <v>tech.workshop.zen_fountain</v>
      </c>
      <c r="C1174" s="41" t="str">
        <f>_xlfn.XLOOKUP(tblCost[[#This Row],[TargetID]],tblTargets[TargetID],tblTargets[DisplayName],"")</f>
        <v>Workshop - Zen Fountain</v>
      </c>
      <c r="D1174" s="41" t="str">
        <f>_xlfn.XLOOKUP(tblCost[[#This Row],[TargetID]],tblTargets[TargetID],tblTargets[TargetType],"")</f>
        <v>TECH</v>
      </c>
      <c r="E1174" s="41" t="s">
        <v>677</v>
      </c>
      <c r="F1174" s="62" t="str">
        <f>RIGHT(tblCost[[#This Row],[RequirementID]],1)</f>
        <v>1</v>
      </c>
      <c r="G1174" s="41">
        <v>10</v>
      </c>
      <c r="H1174" t="b">
        <f>COUNTIFS(tblCostChecklist[RequirementID],tblCost[[#This Row],[RequirementID]],tblCostChecklist[PlayerPaid],TRUE)&gt;0</f>
        <v>0</v>
      </c>
      <c r="I1174" s="41">
        <f>COUNTIF(tblCost[TargetID],tblCost[[#This Row],[TargetID]])</f>
        <v>6</v>
      </c>
      <c r="J1174" s="41">
        <f>COUNTIFS(tblCost[TargetID],tblCost[[#This Row],[TargetID]],tblCost[PlayerPaid],TRUE)</f>
        <v>0</v>
      </c>
      <c r="K1174" s="41">
        <f>tblCost[[#This Row],[TargetRequirements]]-tblCost[[#This Row],[CompletedRequirements]]</f>
        <v>6</v>
      </c>
      <c r="L1174" s="41" t="b">
        <f>tblCost[[#This Row],[RemainingRequirements]]=0</f>
        <v>0</v>
      </c>
      <c r="M1174" s="43">
        <f>IF(tblCost[[#This Row],[TargetRequirements]]=0,0,tblCost[[#This Row],[CompletedRequirements]]/tblCost[[#This Row],[TargetRequirements]])</f>
        <v>0</v>
      </c>
    </row>
    <row r="1175" spans="1:13">
      <c r="A1175" s="41" t="s">
        <v>4823</v>
      </c>
      <c r="B1175" s="41" t="str">
        <f>_xlfn.TEXTAFTER(_xlfn.TEXTBEFORE(tblCost[[#This Row],[RequirementID]],".",-2),"cost.")</f>
        <v>tech.workshop.zen_fountain</v>
      </c>
      <c r="C1175" s="41" t="str">
        <f>_xlfn.XLOOKUP(tblCost[[#This Row],[TargetID]],tblTargets[TargetID],tblTargets[DisplayName],"")</f>
        <v>Workshop - Zen Fountain</v>
      </c>
      <c r="D1175" s="41" t="str">
        <f>_xlfn.XLOOKUP(tblCost[[#This Row],[TargetID]],tblTargets[TargetID],tblTargets[TargetType],"")</f>
        <v>TECH</v>
      </c>
      <c r="E1175" s="41" t="s">
        <v>708</v>
      </c>
      <c r="F1175" s="62" t="str">
        <f>RIGHT(tblCost[[#This Row],[RequirementID]],1)</f>
        <v>1</v>
      </c>
      <c r="G1175" s="41">
        <v>5</v>
      </c>
      <c r="H1175" t="b">
        <f>COUNTIFS(tblCostChecklist[RequirementID],tblCost[[#This Row],[RequirementID]],tblCostChecklist[PlayerPaid],TRUE)&gt;0</f>
        <v>0</v>
      </c>
      <c r="I1175" s="41">
        <f>COUNTIF(tblCost[TargetID],tblCost[[#This Row],[TargetID]])</f>
        <v>6</v>
      </c>
      <c r="J1175" s="41">
        <f>COUNTIFS(tblCost[TargetID],tblCost[[#This Row],[TargetID]],tblCost[PlayerPaid],TRUE)</f>
        <v>0</v>
      </c>
      <c r="K1175" s="41">
        <f>tblCost[[#This Row],[TargetRequirements]]-tblCost[[#This Row],[CompletedRequirements]]</f>
        <v>6</v>
      </c>
      <c r="L1175" s="41" t="b">
        <f>tblCost[[#This Row],[RemainingRequirements]]=0</f>
        <v>0</v>
      </c>
      <c r="M1175" s="43">
        <f>IF(tblCost[[#This Row],[TargetRequirements]]=0,0,tblCost[[#This Row],[CompletedRequirements]]/tblCost[[#This Row],[TargetRequirements]])</f>
        <v>0</v>
      </c>
    </row>
    <row r="1176" spans="1:13">
      <c r="A1176" s="41" t="s">
        <v>4824</v>
      </c>
      <c r="B1176" s="41" t="str">
        <f>_xlfn.TEXTAFTER(_xlfn.TEXTBEFORE(tblCost[[#This Row],[RequirementID]],".",-2),"cost.")</f>
        <v>tech.workshop.zen_fountain</v>
      </c>
      <c r="C1176" s="41" t="str">
        <f>_xlfn.XLOOKUP(tblCost[[#This Row],[TargetID]],tblTargets[TargetID],tblTargets[DisplayName],"")</f>
        <v>Workshop - Zen Fountain</v>
      </c>
      <c r="D1176" s="41" t="str">
        <f>_xlfn.XLOOKUP(tblCost[[#This Row],[TargetID]],tblTargets[TargetID],tblTargets[TargetType],"")</f>
        <v>TECH</v>
      </c>
      <c r="E1176" s="41" t="s">
        <v>717</v>
      </c>
      <c r="F1176" s="62" t="str">
        <f>RIGHT(tblCost[[#This Row],[RequirementID]],1)</f>
        <v>1</v>
      </c>
      <c r="G1176" s="41">
        <v>100</v>
      </c>
      <c r="H1176" t="b">
        <f>COUNTIFS(tblCostChecklist[RequirementID],tblCost[[#This Row],[RequirementID]],tblCostChecklist[PlayerPaid],TRUE)&gt;0</f>
        <v>0</v>
      </c>
      <c r="I1176" s="41">
        <f>COUNTIF(tblCost[TargetID],tblCost[[#This Row],[TargetID]])</f>
        <v>6</v>
      </c>
      <c r="J1176" s="41">
        <f>COUNTIFS(tblCost[TargetID],tblCost[[#This Row],[TargetID]],tblCost[PlayerPaid],TRUE)</f>
        <v>0</v>
      </c>
      <c r="K1176" s="41">
        <f>tblCost[[#This Row],[TargetRequirements]]-tblCost[[#This Row],[CompletedRequirements]]</f>
        <v>6</v>
      </c>
      <c r="L1176" s="41" t="b">
        <f>tblCost[[#This Row],[RemainingRequirements]]=0</f>
        <v>0</v>
      </c>
      <c r="M1176" s="43">
        <f>IF(tblCost[[#This Row],[TargetRequirements]]=0,0,tblCost[[#This Row],[CompletedRequirements]]/tblCost[[#This Row],[TargetRequirements]])</f>
        <v>0</v>
      </c>
    </row>
    <row r="1177" spans="1:13">
      <c r="A1177" s="41" t="s">
        <v>4825</v>
      </c>
      <c r="B1177" s="41" t="str">
        <f>_xlfn.TEXTAFTER(_xlfn.TEXTBEFORE(tblCost[[#This Row],[RequirementID]],".",-2),"cost.")</f>
        <v>tech.workshop.zen_fountain</v>
      </c>
      <c r="C1177" s="41" t="str">
        <f>_xlfn.XLOOKUP(tblCost[[#This Row],[TargetID]],tblTargets[TargetID],tblTargets[DisplayName],"")</f>
        <v>Workshop - Zen Fountain</v>
      </c>
      <c r="D1177" s="41" t="str">
        <f>_xlfn.XLOOKUP(tblCost[[#This Row],[TargetID]],tblTargets[TargetID],tblTargets[TargetType],"")</f>
        <v>TECH</v>
      </c>
      <c r="E1177" s="41" t="s">
        <v>719</v>
      </c>
      <c r="F1177" s="62" t="str">
        <f>RIGHT(tblCost[[#This Row],[RequirementID]],1)</f>
        <v>1</v>
      </c>
      <c r="G1177" s="41">
        <v>20</v>
      </c>
      <c r="H1177" t="b">
        <f>COUNTIFS(tblCostChecklist[RequirementID],tblCost[[#This Row],[RequirementID]],tblCostChecklist[PlayerPaid],TRUE)&gt;0</f>
        <v>0</v>
      </c>
      <c r="I1177" s="41">
        <f>COUNTIF(tblCost[TargetID],tblCost[[#This Row],[TargetID]])</f>
        <v>6</v>
      </c>
      <c r="J1177" s="41">
        <f>COUNTIFS(tblCost[TargetID],tblCost[[#This Row],[TargetID]],tblCost[PlayerPaid],TRUE)</f>
        <v>0</v>
      </c>
      <c r="K1177" s="41">
        <f>tblCost[[#This Row],[TargetRequirements]]-tblCost[[#This Row],[CompletedRequirements]]</f>
        <v>6</v>
      </c>
      <c r="L1177" s="41" t="b">
        <f>tblCost[[#This Row],[RemainingRequirements]]=0</f>
        <v>0</v>
      </c>
      <c r="M1177" s="43">
        <f>IF(tblCost[[#This Row],[TargetRequirements]]=0,0,tblCost[[#This Row],[CompletedRequirements]]/tblCost[[#This Row],[TargetRequirements]])</f>
        <v>0</v>
      </c>
    </row>
    <row r="1178" spans="1:13">
      <c r="A1178" s="41" t="s">
        <v>4826</v>
      </c>
      <c r="B1178" s="41" t="str">
        <f>_xlfn.TEXTAFTER(_xlfn.TEXTBEFORE(tblCost[[#This Row],[RequirementID]],".",-2),"cost.")</f>
        <v>tech.workshop.conveyor_lvl_1</v>
      </c>
      <c r="C1178" s="41" t="str">
        <f>_xlfn.XLOOKUP(tblCost[[#This Row],[TargetID]],tblTargets[TargetID],tblTargets[DisplayName],"")</f>
        <v>Workshop - Conveyor Lvl 1</v>
      </c>
      <c r="D1178" s="41" t="str">
        <f>_xlfn.XLOOKUP(tblCost[[#This Row],[TargetID]],tblTargets[TargetID],tblTargets[TargetType],"")</f>
        <v>TECH</v>
      </c>
      <c r="E1178" s="41" t="s">
        <v>662</v>
      </c>
      <c r="F1178" s="62" t="str">
        <f>RIGHT(tblCost[[#This Row],[RequirementID]],1)</f>
        <v>1</v>
      </c>
      <c r="G1178" s="41">
        <v>20</v>
      </c>
      <c r="H1178" t="b">
        <f>COUNTIFS(tblCostChecklist[RequirementID],tblCost[[#This Row],[RequirementID]],tblCostChecklist[PlayerPaid],TRUE)&gt;0</f>
        <v>0</v>
      </c>
      <c r="I1178" s="41">
        <f>COUNTIF(tblCost[TargetID],tblCost[[#This Row],[TargetID]])</f>
        <v>6</v>
      </c>
      <c r="J1178" s="41">
        <f>COUNTIFS(tblCost[TargetID],tblCost[[#This Row],[TargetID]],tblCost[PlayerPaid],TRUE)</f>
        <v>0</v>
      </c>
      <c r="K1178" s="41">
        <f>tblCost[[#This Row],[TargetRequirements]]-tblCost[[#This Row],[CompletedRequirements]]</f>
        <v>6</v>
      </c>
      <c r="L1178" s="41" t="b">
        <f>tblCost[[#This Row],[RemainingRequirements]]=0</f>
        <v>0</v>
      </c>
      <c r="M1178" s="43">
        <f>IF(tblCost[[#This Row],[TargetRequirements]]=0,0,tblCost[[#This Row],[CompletedRequirements]]/tblCost[[#This Row],[TargetRequirements]])</f>
        <v>0</v>
      </c>
    </row>
    <row r="1179" spans="1:13">
      <c r="A1179" s="41" t="s">
        <v>4827</v>
      </c>
      <c r="B1179" s="41" t="str">
        <f>_xlfn.TEXTAFTER(_xlfn.TEXTBEFORE(tblCost[[#This Row],[RequirementID]],".",-2),"cost.")</f>
        <v>tech.workshop.conveyor_lvl_1</v>
      </c>
      <c r="C1179" s="41" t="str">
        <f>_xlfn.XLOOKUP(tblCost[[#This Row],[TargetID]],tblTargets[TargetID],tblTargets[DisplayName],"")</f>
        <v>Workshop - Conveyor Lvl 1</v>
      </c>
      <c r="D1179" s="41" t="str">
        <f>_xlfn.XLOOKUP(tblCost[[#This Row],[TargetID]],tblTargets[TargetID],tblTargets[TargetType],"")</f>
        <v>TECH</v>
      </c>
      <c r="E1179" s="41" t="s">
        <v>666</v>
      </c>
      <c r="F1179" s="62" t="str">
        <f>RIGHT(tblCost[[#This Row],[RequirementID]],1)</f>
        <v>1</v>
      </c>
      <c r="G1179" s="41">
        <v>1000</v>
      </c>
      <c r="H1179" t="b">
        <f>COUNTIFS(tblCostChecklist[RequirementID],tblCost[[#This Row],[RequirementID]],tblCostChecklist[PlayerPaid],TRUE)&gt;0</f>
        <v>0</v>
      </c>
      <c r="I1179" s="41">
        <f>COUNTIF(tblCost[TargetID],tblCost[[#This Row],[TargetID]])</f>
        <v>6</v>
      </c>
      <c r="J1179" s="41">
        <f>COUNTIFS(tblCost[TargetID],tblCost[[#This Row],[TargetID]],tblCost[PlayerPaid],TRUE)</f>
        <v>0</v>
      </c>
      <c r="K1179" s="41">
        <f>tblCost[[#This Row],[TargetRequirements]]-tblCost[[#This Row],[CompletedRequirements]]</f>
        <v>6</v>
      </c>
      <c r="L1179" s="41" t="b">
        <f>tblCost[[#This Row],[RemainingRequirements]]=0</f>
        <v>0</v>
      </c>
      <c r="M1179" s="43">
        <f>IF(tblCost[[#This Row],[TargetRequirements]]=0,0,tblCost[[#This Row],[CompletedRequirements]]/tblCost[[#This Row],[TargetRequirements]])</f>
        <v>0</v>
      </c>
    </row>
    <row r="1180" spans="1:13">
      <c r="A1180" s="41" t="s">
        <v>4828</v>
      </c>
      <c r="B1180" s="41" t="str">
        <f>_xlfn.TEXTAFTER(_xlfn.TEXTBEFORE(tblCost[[#This Row],[RequirementID]],".",-2),"cost.")</f>
        <v>tech.workshop.conveyor_lvl_1</v>
      </c>
      <c r="C1180" s="41" t="str">
        <f>_xlfn.XLOOKUP(tblCost[[#This Row],[TargetID]],tblTargets[TargetID],tblTargets[DisplayName],"")</f>
        <v>Workshop - Conveyor Lvl 1</v>
      </c>
      <c r="D1180" s="41" t="str">
        <f>_xlfn.XLOOKUP(tblCost[[#This Row],[TargetID]],tblTargets[TargetID],tblTargets[TargetType],"")</f>
        <v>TECH</v>
      </c>
      <c r="E1180" s="41" t="s">
        <v>931</v>
      </c>
      <c r="F1180" s="62" t="str">
        <f>RIGHT(tblCost[[#This Row],[RequirementID]],1)</f>
        <v>1</v>
      </c>
      <c r="G1180" s="41">
        <v>50</v>
      </c>
      <c r="H1180" t="b">
        <f>COUNTIFS(tblCostChecklist[RequirementID],tblCost[[#This Row],[RequirementID]],tblCostChecklist[PlayerPaid],TRUE)&gt;0</f>
        <v>0</v>
      </c>
      <c r="I1180" s="41">
        <f>COUNTIF(tblCost[TargetID],tblCost[[#This Row],[TargetID]])</f>
        <v>6</v>
      </c>
      <c r="J1180" s="41">
        <f>COUNTIFS(tblCost[TargetID],tblCost[[#This Row],[TargetID]],tblCost[PlayerPaid],TRUE)</f>
        <v>0</v>
      </c>
      <c r="K1180" s="41">
        <f>tblCost[[#This Row],[TargetRequirements]]-tblCost[[#This Row],[CompletedRequirements]]</f>
        <v>6</v>
      </c>
      <c r="L1180" s="41" t="b">
        <f>tblCost[[#This Row],[RemainingRequirements]]=0</f>
        <v>0</v>
      </c>
      <c r="M1180" s="43">
        <f>IF(tblCost[[#This Row],[TargetRequirements]]=0,0,tblCost[[#This Row],[CompletedRequirements]]/tblCost[[#This Row],[TargetRequirements]])</f>
        <v>0</v>
      </c>
    </row>
    <row r="1181" spans="1:13">
      <c r="A1181" s="41" t="s">
        <v>4829</v>
      </c>
      <c r="B1181" s="41" t="str">
        <f>_xlfn.TEXTAFTER(_xlfn.TEXTBEFORE(tblCost[[#This Row],[RequirementID]],".",-2),"cost.")</f>
        <v>tech.workshop.conveyor_lvl_1</v>
      </c>
      <c r="C1181" s="41" t="str">
        <f>_xlfn.XLOOKUP(tblCost[[#This Row],[TargetID]],tblTargets[TargetID],tblTargets[DisplayName],"")</f>
        <v>Workshop - Conveyor Lvl 1</v>
      </c>
      <c r="D1181" s="41" t="str">
        <f>_xlfn.XLOOKUP(tblCost[[#This Row],[TargetID]],tblTargets[TargetID],tblTargets[TargetType],"")</f>
        <v>TECH</v>
      </c>
      <c r="E1181" s="41" t="s">
        <v>686</v>
      </c>
      <c r="F1181" s="62" t="str">
        <f>RIGHT(tblCost[[#This Row],[RequirementID]],1)</f>
        <v>1</v>
      </c>
      <c r="G1181" s="41">
        <v>10</v>
      </c>
      <c r="H1181" t="b">
        <f>COUNTIFS(tblCostChecklist[RequirementID],tblCost[[#This Row],[RequirementID]],tblCostChecklist[PlayerPaid],TRUE)&gt;0</f>
        <v>0</v>
      </c>
      <c r="I1181" s="41">
        <f>COUNTIF(tblCost[TargetID],tblCost[[#This Row],[TargetID]])</f>
        <v>6</v>
      </c>
      <c r="J1181" s="41">
        <f>COUNTIFS(tblCost[TargetID],tblCost[[#This Row],[TargetID]],tblCost[PlayerPaid],TRUE)</f>
        <v>0</v>
      </c>
      <c r="K1181" s="41">
        <f>tblCost[[#This Row],[TargetRequirements]]-tblCost[[#This Row],[CompletedRequirements]]</f>
        <v>6</v>
      </c>
      <c r="L1181" s="41" t="b">
        <f>tblCost[[#This Row],[RemainingRequirements]]=0</f>
        <v>0</v>
      </c>
      <c r="M1181" s="43">
        <f>IF(tblCost[[#This Row],[TargetRequirements]]=0,0,tblCost[[#This Row],[CompletedRequirements]]/tblCost[[#This Row],[TargetRequirements]])</f>
        <v>0</v>
      </c>
    </row>
    <row r="1182" spans="1:13">
      <c r="A1182" s="41" t="s">
        <v>4830</v>
      </c>
      <c r="B1182" s="41" t="str">
        <f>_xlfn.TEXTAFTER(_xlfn.TEXTBEFORE(tblCost[[#This Row],[RequirementID]],".",-2),"cost.")</f>
        <v>tech.workshop.conveyor_lvl_1</v>
      </c>
      <c r="C1182" s="41" t="str">
        <f>_xlfn.XLOOKUP(tblCost[[#This Row],[TargetID]],tblTargets[TargetID],tblTargets[DisplayName],"")</f>
        <v>Workshop - Conveyor Lvl 1</v>
      </c>
      <c r="D1182" s="41" t="str">
        <f>_xlfn.XLOOKUP(tblCost[[#This Row],[TargetID]],tblTargets[TargetID],tblTargets[TargetType],"")</f>
        <v>TECH</v>
      </c>
      <c r="E1182" s="41" t="s">
        <v>693</v>
      </c>
      <c r="F1182" s="62" t="str">
        <f>RIGHT(tblCost[[#This Row],[RequirementID]],1)</f>
        <v>1</v>
      </c>
      <c r="G1182" s="41">
        <v>20</v>
      </c>
      <c r="H1182" t="b">
        <f>COUNTIFS(tblCostChecklist[RequirementID],tblCost[[#This Row],[RequirementID]],tblCostChecklist[PlayerPaid],TRUE)&gt;0</f>
        <v>0</v>
      </c>
      <c r="I1182" s="41">
        <f>COUNTIF(tblCost[TargetID],tblCost[[#This Row],[TargetID]])</f>
        <v>6</v>
      </c>
      <c r="J1182" s="41">
        <f>COUNTIFS(tblCost[TargetID],tblCost[[#This Row],[TargetID]],tblCost[PlayerPaid],TRUE)</f>
        <v>0</v>
      </c>
      <c r="K1182" s="41">
        <f>tblCost[[#This Row],[TargetRequirements]]-tblCost[[#This Row],[CompletedRequirements]]</f>
        <v>6</v>
      </c>
      <c r="L1182" s="41" t="b">
        <f>tblCost[[#This Row],[RemainingRequirements]]=0</f>
        <v>0</v>
      </c>
      <c r="M1182" s="43">
        <f>IF(tblCost[[#This Row],[TargetRequirements]]=0,0,tblCost[[#This Row],[CompletedRequirements]]/tblCost[[#This Row],[TargetRequirements]])</f>
        <v>0</v>
      </c>
    </row>
    <row r="1183" spans="1:13">
      <c r="A1183" s="41" t="s">
        <v>4831</v>
      </c>
      <c r="B1183" s="41" t="str">
        <f>_xlfn.TEXTAFTER(_xlfn.TEXTBEFORE(tblCost[[#This Row],[RequirementID]],".",-2),"cost.")</f>
        <v>tech.workshop.conveyor_lvl_1</v>
      </c>
      <c r="C1183" s="41" t="str">
        <f>_xlfn.XLOOKUP(tblCost[[#This Row],[TargetID]],tblTargets[TargetID],tblTargets[DisplayName],"")</f>
        <v>Workshop - Conveyor Lvl 1</v>
      </c>
      <c r="D1183" s="41" t="str">
        <f>_xlfn.XLOOKUP(tblCost[[#This Row],[TargetID]],tblTargets[TargetID],tblTargets[TargetType],"")</f>
        <v>TECH</v>
      </c>
      <c r="E1183" s="41" t="s">
        <v>708</v>
      </c>
      <c r="F1183" s="62" t="str">
        <f>RIGHT(tblCost[[#This Row],[RequirementID]],1)</f>
        <v>1</v>
      </c>
      <c r="G1183" s="41">
        <v>3</v>
      </c>
      <c r="H1183" t="b">
        <f>COUNTIFS(tblCostChecklist[RequirementID],tblCost[[#This Row],[RequirementID]],tblCostChecklist[PlayerPaid],TRUE)&gt;0</f>
        <v>0</v>
      </c>
      <c r="I1183" s="41">
        <f>COUNTIF(tblCost[TargetID],tblCost[[#This Row],[TargetID]])</f>
        <v>6</v>
      </c>
      <c r="J1183" s="41">
        <f>COUNTIFS(tblCost[TargetID],tblCost[[#This Row],[TargetID]],tblCost[PlayerPaid],TRUE)</f>
        <v>0</v>
      </c>
      <c r="K1183" s="41">
        <f>tblCost[[#This Row],[TargetRequirements]]-tblCost[[#This Row],[CompletedRequirements]]</f>
        <v>6</v>
      </c>
      <c r="L1183" s="41" t="b">
        <f>tblCost[[#This Row],[RemainingRequirements]]=0</f>
        <v>0</v>
      </c>
      <c r="M1183" s="43">
        <f>IF(tblCost[[#This Row],[TargetRequirements]]=0,0,tblCost[[#This Row],[CompletedRequirements]]/tblCost[[#This Row],[TargetRequirements]])</f>
        <v>0</v>
      </c>
    </row>
    <row r="1184" spans="1:13">
      <c r="A1184" s="41" t="s">
        <v>4832</v>
      </c>
      <c r="B1184" s="41" t="str">
        <f>_xlfn.TEXTAFTER(_xlfn.TEXTBEFORE(tblCost[[#This Row],[RequirementID]],".",-2),"cost.")</f>
        <v>tech.workshop.conveyor_lvl_2</v>
      </c>
      <c r="C1184" s="41" t="str">
        <f>_xlfn.XLOOKUP(tblCost[[#This Row],[TargetID]],tblTargets[TargetID],tblTargets[DisplayName],"")</f>
        <v>Workshop - Conveyor Lvl 2</v>
      </c>
      <c r="D1184" s="41" t="str">
        <f>_xlfn.XLOOKUP(tblCost[[#This Row],[TargetID]],tblTargets[TargetID],tblTargets[TargetType],"")</f>
        <v>TECH</v>
      </c>
      <c r="E1184" s="41" t="s">
        <v>662</v>
      </c>
      <c r="F1184" s="62" t="str">
        <f>RIGHT(tblCost[[#This Row],[RequirementID]],1)</f>
        <v>1</v>
      </c>
      <c r="G1184" s="41">
        <v>30</v>
      </c>
      <c r="H1184" t="b">
        <f>COUNTIFS(tblCostChecklist[RequirementID],tblCost[[#This Row],[RequirementID]],tblCostChecklist[PlayerPaid],TRUE)&gt;0</f>
        <v>0</v>
      </c>
      <c r="I1184" s="41">
        <f>COUNTIF(tblCost[TargetID],tblCost[[#This Row],[TargetID]])</f>
        <v>6</v>
      </c>
      <c r="J1184" s="41">
        <f>COUNTIFS(tblCost[TargetID],tblCost[[#This Row],[TargetID]],tblCost[PlayerPaid],TRUE)</f>
        <v>0</v>
      </c>
      <c r="K1184" s="41">
        <f>tblCost[[#This Row],[TargetRequirements]]-tblCost[[#This Row],[CompletedRequirements]]</f>
        <v>6</v>
      </c>
      <c r="L1184" s="41" t="b">
        <f>tblCost[[#This Row],[RemainingRequirements]]=0</f>
        <v>0</v>
      </c>
      <c r="M1184" s="43">
        <f>IF(tblCost[[#This Row],[TargetRequirements]]=0,0,tblCost[[#This Row],[CompletedRequirements]]/tblCost[[#This Row],[TargetRequirements]])</f>
        <v>0</v>
      </c>
    </row>
    <row r="1185" spans="1:13">
      <c r="A1185" s="41" t="s">
        <v>4833</v>
      </c>
      <c r="B1185" s="41" t="str">
        <f>_xlfn.TEXTAFTER(_xlfn.TEXTBEFORE(tblCost[[#This Row],[RequirementID]],".",-2),"cost.")</f>
        <v>tech.workshop.conveyor_lvl_2</v>
      </c>
      <c r="C1185" s="41" t="str">
        <f>_xlfn.XLOOKUP(tblCost[[#This Row],[TargetID]],tblTargets[TargetID],tblTargets[DisplayName],"")</f>
        <v>Workshop - Conveyor Lvl 2</v>
      </c>
      <c r="D1185" s="41" t="str">
        <f>_xlfn.XLOOKUP(tblCost[[#This Row],[TargetID]],tblTargets[TargetID],tblTargets[TargetType],"")</f>
        <v>TECH</v>
      </c>
      <c r="E1185" s="41" t="s">
        <v>666</v>
      </c>
      <c r="F1185" s="62" t="str">
        <f>RIGHT(tblCost[[#This Row],[RequirementID]],1)</f>
        <v>1</v>
      </c>
      <c r="G1185" s="41">
        <v>1500</v>
      </c>
      <c r="H1185" t="b">
        <f>COUNTIFS(tblCostChecklist[RequirementID],tblCost[[#This Row],[RequirementID]],tblCostChecklist[PlayerPaid],TRUE)&gt;0</f>
        <v>0</v>
      </c>
      <c r="I1185" s="41">
        <f>COUNTIF(tblCost[TargetID],tblCost[[#This Row],[TargetID]])</f>
        <v>6</v>
      </c>
      <c r="J1185" s="41">
        <f>COUNTIFS(tblCost[TargetID],tblCost[[#This Row],[TargetID]],tblCost[PlayerPaid],TRUE)</f>
        <v>0</v>
      </c>
      <c r="K1185" s="41">
        <f>tblCost[[#This Row],[TargetRequirements]]-tblCost[[#This Row],[CompletedRequirements]]</f>
        <v>6</v>
      </c>
      <c r="L1185" s="41" t="b">
        <f>tblCost[[#This Row],[RemainingRequirements]]=0</f>
        <v>0</v>
      </c>
      <c r="M1185" s="43">
        <f>IF(tblCost[[#This Row],[TargetRequirements]]=0,0,tblCost[[#This Row],[CompletedRequirements]]/tblCost[[#This Row],[TargetRequirements]])</f>
        <v>0</v>
      </c>
    </row>
    <row r="1186" spans="1:13">
      <c r="A1186" s="41" t="s">
        <v>4834</v>
      </c>
      <c r="B1186" s="41" t="str">
        <f>_xlfn.TEXTAFTER(_xlfn.TEXTBEFORE(tblCost[[#This Row],[RequirementID]],".",-2),"cost.")</f>
        <v>tech.workshop.conveyor_lvl_2</v>
      </c>
      <c r="C1186" s="41" t="str">
        <f>_xlfn.XLOOKUP(tblCost[[#This Row],[TargetID]],tblTargets[TargetID],tblTargets[DisplayName],"")</f>
        <v>Workshop - Conveyor Lvl 2</v>
      </c>
      <c r="D1186" s="41" t="str">
        <f>_xlfn.XLOOKUP(tblCost[[#This Row],[TargetID]],tblTargets[TargetID],tblTargets[TargetType],"")</f>
        <v>TECH</v>
      </c>
      <c r="E1186" s="41" t="s">
        <v>931</v>
      </c>
      <c r="F1186" s="62" t="str">
        <f>RIGHT(tblCost[[#This Row],[RequirementID]],1)</f>
        <v>1</v>
      </c>
      <c r="G1186" s="41">
        <v>75</v>
      </c>
      <c r="H1186" t="b">
        <f>COUNTIFS(tblCostChecklist[RequirementID],tblCost[[#This Row],[RequirementID]],tblCostChecklist[PlayerPaid],TRUE)&gt;0</f>
        <v>0</v>
      </c>
      <c r="I1186" s="41">
        <f>COUNTIF(tblCost[TargetID],tblCost[[#This Row],[TargetID]])</f>
        <v>6</v>
      </c>
      <c r="J1186" s="41">
        <f>COUNTIFS(tblCost[TargetID],tblCost[[#This Row],[TargetID]],tblCost[PlayerPaid],TRUE)</f>
        <v>0</v>
      </c>
      <c r="K1186" s="41">
        <f>tblCost[[#This Row],[TargetRequirements]]-tblCost[[#This Row],[CompletedRequirements]]</f>
        <v>6</v>
      </c>
      <c r="L1186" s="41" t="b">
        <f>tblCost[[#This Row],[RemainingRequirements]]=0</f>
        <v>0</v>
      </c>
      <c r="M1186" s="43">
        <f>IF(tblCost[[#This Row],[TargetRequirements]]=0,0,tblCost[[#This Row],[CompletedRequirements]]/tblCost[[#This Row],[TargetRequirements]])</f>
        <v>0</v>
      </c>
    </row>
    <row r="1187" spans="1:13">
      <c r="A1187" s="41" t="s">
        <v>4835</v>
      </c>
      <c r="B1187" s="41" t="str">
        <f>_xlfn.TEXTAFTER(_xlfn.TEXTBEFORE(tblCost[[#This Row],[RequirementID]],".",-2),"cost.")</f>
        <v>tech.workshop.conveyor_lvl_2</v>
      </c>
      <c r="C1187" s="41" t="str">
        <f>_xlfn.XLOOKUP(tblCost[[#This Row],[TargetID]],tblTargets[TargetID],tblTargets[DisplayName],"")</f>
        <v>Workshop - Conveyor Lvl 2</v>
      </c>
      <c r="D1187" s="41" t="str">
        <f>_xlfn.XLOOKUP(tblCost[[#This Row],[TargetID]],tblTargets[TargetID],tblTargets[TargetType],"")</f>
        <v>TECH</v>
      </c>
      <c r="E1187" s="41" t="s">
        <v>686</v>
      </c>
      <c r="F1187" s="62" t="str">
        <f>RIGHT(tblCost[[#This Row],[RequirementID]],1)</f>
        <v>1</v>
      </c>
      <c r="G1187" s="41">
        <v>15</v>
      </c>
      <c r="H1187" t="b">
        <f>COUNTIFS(tblCostChecklist[RequirementID],tblCost[[#This Row],[RequirementID]],tblCostChecklist[PlayerPaid],TRUE)&gt;0</f>
        <v>0</v>
      </c>
      <c r="I1187" s="41">
        <f>COUNTIF(tblCost[TargetID],tblCost[[#This Row],[TargetID]])</f>
        <v>6</v>
      </c>
      <c r="J1187" s="41">
        <f>COUNTIFS(tblCost[TargetID],tblCost[[#This Row],[TargetID]],tblCost[PlayerPaid],TRUE)</f>
        <v>0</v>
      </c>
      <c r="K1187" s="41">
        <f>tblCost[[#This Row],[TargetRequirements]]-tblCost[[#This Row],[CompletedRequirements]]</f>
        <v>6</v>
      </c>
      <c r="L1187" s="41" t="b">
        <f>tblCost[[#This Row],[RemainingRequirements]]=0</f>
        <v>0</v>
      </c>
      <c r="M1187" s="43">
        <f>IF(tblCost[[#This Row],[TargetRequirements]]=0,0,tblCost[[#This Row],[CompletedRequirements]]/tblCost[[#This Row],[TargetRequirements]])</f>
        <v>0</v>
      </c>
    </row>
    <row r="1188" spans="1:13">
      <c r="A1188" s="41" t="s">
        <v>4836</v>
      </c>
      <c r="B1188" s="41" t="str">
        <f>_xlfn.TEXTAFTER(_xlfn.TEXTBEFORE(tblCost[[#This Row],[RequirementID]],".",-2),"cost.")</f>
        <v>tech.workshop.conveyor_lvl_2</v>
      </c>
      <c r="C1188" s="41" t="str">
        <f>_xlfn.XLOOKUP(tblCost[[#This Row],[TargetID]],tblTargets[TargetID],tblTargets[DisplayName],"")</f>
        <v>Workshop - Conveyor Lvl 2</v>
      </c>
      <c r="D1188" s="41" t="str">
        <f>_xlfn.XLOOKUP(tblCost[[#This Row],[TargetID]],tblTargets[TargetID],tblTargets[TargetType],"")</f>
        <v>TECH</v>
      </c>
      <c r="E1188" s="41" t="s">
        <v>693</v>
      </c>
      <c r="F1188" s="62" t="str">
        <f>RIGHT(tblCost[[#This Row],[RequirementID]],1)</f>
        <v>1</v>
      </c>
      <c r="G1188" s="41">
        <v>30</v>
      </c>
      <c r="H1188" t="b">
        <f>COUNTIFS(tblCostChecklist[RequirementID],tblCost[[#This Row],[RequirementID]],tblCostChecklist[PlayerPaid],TRUE)&gt;0</f>
        <v>0</v>
      </c>
      <c r="I1188" s="41">
        <f>COUNTIF(tblCost[TargetID],tblCost[[#This Row],[TargetID]])</f>
        <v>6</v>
      </c>
      <c r="J1188" s="41">
        <f>COUNTIFS(tblCost[TargetID],tblCost[[#This Row],[TargetID]],tblCost[PlayerPaid],TRUE)</f>
        <v>0</v>
      </c>
      <c r="K1188" s="41">
        <f>tblCost[[#This Row],[TargetRequirements]]-tblCost[[#This Row],[CompletedRequirements]]</f>
        <v>6</v>
      </c>
      <c r="L1188" s="41" t="b">
        <f>tblCost[[#This Row],[RemainingRequirements]]=0</f>
        <v>0</v>
      </c>
      <c r="M1188" s="43">
        <f>IF(tblCost[[#This Row],[TargetRequirements]]=0,0,tblCost[[#This Row],[CompletedRequirements]]/tblCost[[#This Row],[TargetRequirements]])</f>
        <v>0</v>
      </c>
    </row>
    <row r="1189" spans="1:13">
      <c r="A1189" s="41" t="s">
        <v>4837</v>
      </c>
      <c r="B1189" s="41" t="str">
        <f>_xlfn.TEXTAFTER(_xlfn.TEXTBEFORE(tblCost[[#This Row],[RequirementID]],".",-2),"cost.")</f>
        <v>tech.workshop.conveyor_lvl_2</v>
      </c>
      <c r="C1189" s="41" t="str">
        <f>_xlfn.XLOOKUP(tblCost[[#This Row],[TargetID]],tblTargets[TargetID],tblTargets[DisplayName],"")</f>
        <v>Workshop - Conveyor Lvl 2</v>
      </c>
      <c r="D1189" s="41" t="str">
        <f>_xlfn.XLOOKUP(tblCost[[#This Row],[TargetID]],tblTargets[TargetID],tblTargets[TargetType],"")</f>
        <v>TECH</v>
      </c>
      <c r="E1189" s="41" t="s">
        <v>708</v>
      </c>
      <c r="F1189" s="62" t="str">
        <f>RIGHT(tblCost[[#This Row],[RequirementID]],1)</f>
        <v>1</v>
      </c>
      <c r="G1189" s="41">
        <v>5</v>
      </c>
      <c r="H1189" t="b">
        <f>COUNTIFS(tblCostChecklist[RequirementID],tblCost[[#This Row],[RequirementID]],tblCostChecklist[PlayerPaid],TRUE)&gt;0</f>
        <v>0</v>
      </c>
      <c r="I1189" s="41">
        <f>COUNTIF(tblCost[TargetID],tblCost[[#This Row],[TargetID]])</f>
        <v>6</v>
      </c>
      <c r="J1189" s="41">
        <f>COUNTIFS(tblCost[TargetID],tblCost[[#This Row],[TargetID]],tblCost[PlayerPaid],TRUE)</f>
        <v>0</v>
      </c>
      <c r="K1189" s="41">
        <f>tblCost[[#This Row],[TargetRequirements]]-tblCost[[#This Row],[CompletedRequirements]]</f>
        <v>6</v>
      </c>
      <c r="L1189" s="41" t="b">
        <f>tblCost[[#This Row],[RemainingRequirements]]=0</f>
        <v>0</v>
      </c>
      <c r="M1189" s="43">
        <f>IF(tblCost[[#This Row],[TargetRequirements]]=0,0,tblCost[[#This Row],[CompletedRequirements]]/tblCost[[#This Row],[TargetRequirements]])</f>
        <v>0</v>
      </c>
    </row>
    <row r="1190" spans="1:13">
      <c r="A1190" s="41" t="s">
        <v>6008</v>
      </c>
      <c r="B1190" s="41" t="str">
        <f>_xlfn.TEXTAFTER(_xlfn.TEXTBEFORE(tblCost[[#This Row],[RequirementID]],".",-2),"cost.")</f>
        <v>tech.alchemists_hut.perfect_fertilizer</v>
      </c>
      <c r="C1190" s="41" t="str">
        <f>_xlfn.XLOOKUP(tblCost[[#This Row],[TargetID]],tblTargets[TargetID],tblTargets[DisplayName],"")</f>
        <v>Alchemist's Hut - Perfect Fertilizer</v>
      </c>
      <c r="D1190" s="41" t="str">
        <f>_xlfn.XLOOKUP(tblCost[[#This Row],[TargetID]],tblTargets[TargetID],tblTargets[TargetType],"")</f>
        <v>TECH</v>
      </c>
      <c r="E1190" s="41" t="s">
        <v>708</v>
      </c>
      <c r="F1190" s="62" t="str">
        <f>RIGHT(tblCost[[#This Row],[RequirementID]],1)</f>
        <v>1</v>
      </c>
      <c r="G1190" s="41">
        <v>5</v>
      </c>
      <c r="H1190" t="b">
        <f>COUNTIFS(tblCostChecklist[RequirementID],tblCost[[#This Row],[RequirementID]],tblCostChecklist[PlayerPaid],TRUE)&gt;0</f>
        <v>0</v>
      </c>
      <c r="I1190" s="41">
        <f>COUNTIF(tblCost[TargetID],tblCost[[#This Row],[TargetID]])</f>
        <v>9</v>
      </c>
      <c r="J1190" s="41">
        <f>COUNTIFS(tblCost[TargetID],tblCost[[#This Row],[TargetID]],tblCost[PlayerPaid],TRUE)</f>
        <v>0</v>
      </c>
      <c r="K1190" s="41">
        <f>tblCost[[#This Row],[TargetRequirements]]-tblCost[[#This Row],[CompletedRequirements]]</f>
        <v>9</v>
      </c>
      <c r="L1190" s="41" t="b">
        <f>tblCost[[#This Row],[RemainingRequirements]]=0</f>
        <v>0</v>
      </c>
      <c r="M1190" s="43">
        <f>IF(tblCost[[#This Row],[TargetRequirements]]=0,0,tblCost[[#This Row],[CompletedRequirements]]/tblCost[[#This Row],[TargetRequirements]])</f>
        <v>0</v>
      </c>
    </row>
    <row r="1191" spans="1:13">
      <c r="A1191" s="41" t="s">
        <v>6009</v>
      </c>
      <c r="B1191" s="41" t="str">
        <f>_xlfn.TEXTAFTER(_xlfn.TEXTBEFORE(tblCost[[#This Row],[RequirementID]],".",-2),"cost.")</f>
        <v>tech.alchemists_hut.perfect_fertilizer</v>
      </c>
      <c r="C1191" s="41" t="str">
        <f>_xlfn.XLOOKUP(tblCost[[#This Row],[TargetID]],tblTargets[TargetID],tblTargets[DisplayName],"")</f>
        <v>Alchemist's Hut - Perfect Fertilizer</v>
      </c>
      <c r="D1191" s="41" t="str">
        <f>_xlfn.XLOOKUP(tblCost[[#This Row],[TargetID]],tblTargets[TargetID],tblTargets[TargetType],"")</f>
        <v>TECH</v>
      </c>
      <c r="E1191" s="41" t="s">
        <v>666</v>
      </c>
      <c r="F1191" s="62" t="str">
        <f>RIGHT(tblCost[[#This Row],[RequirementID]],1)</f>
        <v>1</v>
      </c>
      <c r="G1191" s="41">
        <v>1000</v>
      </c>
      <c r="H1191" t="b">
        <f>COUNTIFS(tblCostChecklist[RequirementID],tblCost[[#This Row],[RequirementID]],tblCostChecklist[PlayerPaid],TRUE)&gt;0</f>
        <v>0</v>
      </c>
      <c r="I1191" s="41">
        <f>COUNTIF(tblCost[TargetID],tblCost[[#This Row],[TargetID]])</f>
        <v>9</v>
      </c>
      <c r="J1191" s="41">
        <f>COUNTIFS(tblCost[TargetID],tblCost[[#This Row],[TargetID]],tblCost[PlayerPaid],TRUE)</f>
        <v>0</v>
      </c>
      <c r="K1191" s="41">
        <f>tblCost[[#This Row],[TargetRequirements]]-tblCost[[#This Row],[CompletedRequirements]]</f>
        <v>9</v>
      </c>
      <c r="L1191" s="41" t="b">
        <f>tblCost[[#This Row],[RemainingRequirements]]=0</f>
        <v>0</v>
      </c>
      <c r="M1191" s="43">
        <f>IF(tblCost[[#This Row],[TargetRequirements]]=0,0,tblCost[[#This Row],[CompletedRequirements]]/tblCost[[#This Row],[TargetRequirements]])</f>
        <v>0</v>
      </c>
    </row>
    <row r="1192" spans="1:13">
      <c r="A1192" s="41" t="s">
        <v>6010</v>
      </c>
      <c r="B1192" s="41" t="str">
        <f>_xlfn.TEXTAFTER(_xlfn.TEXTBEFORE(tblCost[[#This Row],[RequirementID]],".",-2),"cost.")</f>
        <v>tech.alchemists_hut.perfect_fertilizer</v>
      </c>
      <c r="C1192" s="41" t="str">
        <f>_xlfn.XLOOKUP(tblCost[[#This Row],[TargetID]],tblTargets[TargetID],tblTargets[DisplayName],"")</f>
        <v>Alchemist's Hut - Perfect Fertilizer</v>
      </c>
      <c r="D1192" s="41" t="str">
        <f>_xlfn.XLOOKUP(tblCost[[#This Row],[TargetID]],tblTargets[TargetID],tblTargets[TargetType],"")</f>
        <v>TECH</v>
      </c>
      <c r="E1192" s="41" t="s">
        <v>835</v>
      </c>
      <c r="F1192" s="62" t="str">
        <f>RIGHT(tblCost[[#This Row],[RequirementID]],1)</f>
        <v>1</v>
      </c>
      <c r="G1192" s="41">
        <v>50</v>
      </c>
      <c r="H1192" t="b">
        <f>COUNTIFS(tblCostChecklist[RequirementID],tblCost[[#This Row],[RequirementID]],tblCostChecklist[PlayerPaid],TRUE)&gt;0</f>
        <v>0</v>
      </c>
      <c r="I1192" s="41">
        <f>COUNTIF(tblCost[TargetID],tblCost[[#This Row],[TargetID]])</f>
        <v>9</v>
      </c>
      <c r="J1192" s="41">
        <f>COUNTIFS(tblCost[TargetID],tblCost[[#This Row],[TargetID]],tblCost[PlayerPaid],TRUE)</f>
        <v>0</v>
      </c>
      <c r="K1192" s="41">
        <f>tblCost[[#This Row],[TargetRequirements]]-tblCost[[#This Row],[CompletedRequirements]]</f>
        <v>9</v>
      </c>
      <c r="L1192" s="41" t="b">
        <f>tblCost[[#This Row],[RemainingRequirements]]=0</f>
        <v>0</v>
      </c>
      <c r="M1192" s="43">
        <f>IF(tblCost[[#This Row],[TargetRequirements]]=0,0,tblCost[[#This Row],[CompletedRequirements]]/tblCost[[#This Row],[TargetRequirements]])</f>
        <v>0</v>
      </c>
    </row>
    <row r="1193" spans="1:13">
      <c r="A1193" s="41" t="s">
        <v>6011</v>
      </c>
      <c r="B1193" s="41" t="str">
        <f>_xlfn.TEXTAFTER(_xlfn.TEXTBEFORE(tblCost[[#This Row],[RequirementID]],".",-2),"cost.")</f>
        <v>tech.alchemists_hut.perfect_fertilizer</v>
      </c>
      <c r="C1193" s="41" t="str">
        <f>_xlfn.XLOOKUP(tblCost[[#This Row],[TargetID]],tblTargets[TargetID],tblTargets[DisplayName],"")</f>
        <v>Alchemist's Hut - Perfect Fertilizer</v>
      </c>
      <c r="D1193" s="41" t="str">
        <f>_xlfn.XLOOKUP(tblCost[[#This Row],[TargetID]],tblTargets[TargetID],tblTargets[TargetType],"")</f>
        <v>TECH</v>
      </c>
      <c r="E1193" s="41" t="s">
        <v>4838</v>
      </c>
      <c r="F1193" s="62" t="str">
        <f>RIGHT(tblCost[[#This Row],[RequirementID]],1)</f>
        <v>1</v>
      </c>
      <c r="G1193" s="41">
        <v>30</v>
      </c>
      <c r="H1193" t="b">
        <f>COUNTIFS(tblCostChecklist[RequirementID],tblCost[[#This Row],[RequirementID]],tblCostChecklist[PlayerPaid],TRUE)&gt;0</f>
        <v>0</v>
      </c>
      <c r="I1193" s="41">
        <f>COUNTIF(tblCost[TargetID],tblCost[[#This Row],[TargetID]])</f>
        <v>9</v>
      </c>
      <c r="J1193" s="41">
        <f>COUNTIFS(tblCost[TargetID],tblCost[[#This Row],[TargetID]],tblCost[PlayerPaid],TRUE)</f>
        <v>0</v>
      </c>
      <c r="K1193" s="41">
        <f>tblCost[[#This Row],[TargetRequirements]]-tblCost[[#This Row],[CompletedRequirements]]</f>
        <v>9</v>
      </c>
      <c r="L1193" s="41" t="b">
        <f>tblCost[[#This Row],[RemainingRequirements]]=0</f>
        <v>0</v>
      </c>
      <c r="M1193" s="43">
        <f>IF(tblCost[[#This Row],[TargetRequirements]]=0,0,tblCost[[#This Row],[CompletedRequirements]]/tblCost[[#This Row],[TargetRequirements]])</f>
        <v>0</v>
      </c>
    </row>
    <row r="1194" spans="1:13">
      <c r="A1194" s="41" t="s">
        <v>6012</v>
      </c>
      <c r="B1194" s="41" t="str">
        <f>_xlfn.TEXTAFTER(_xlfn.TEXTBEFORE(tblCost[[#This Row],[RequirementID]],".",-2),"cost.")</f>
        <v>tech.alchemists_hut.perfect_fertilizer</v>
      </c>
      <c r="C1194" s="41" t="str">
        <f>_xlfn.XLOOKUP(tblCost[[#This Row],[TargetID]],tblTargets[TargetID],tblTargets[DisplayName],"")</f>
        <v>Alchemist's Hut - Perfect Fertilizer</v>
      </c>
      <c r="D1194" s="41" t="str">
        <f>_xlfn.XLOOKUP(tblCost[[#This Row],[TargetID]],tblTargets[TargetID],tblTargets[TargetType],"")</f>
        <v>TECH</v>
      </c>
      <c r="E1194" s="41" t="s">
        <v>664</v>
      </c>
      <c r="F1194" s="62" t="str">
        <f>RIGHT(tblCost[[#This Row],[RequirementID]],1)</f>
        <v>1</v>
      </c>
      <c r="G1194" s="41">
        <v>100</v>
      </c>
      <c r="H1194" t="b">
        <f>COUNTIFS(tblCostChecklist[RequirementID],tblCost[[#This Row],[RequirementID]],tblCostChecklist[PlayerPaid],TRUE)&gt;0</f>
        <v>0</v>
      </c>
      <c r="I1194" s="41">
        <f>COUNTIF(tblCost[TargetID],tblCost[[#This Row],[TargetID]])</f>
        <v>9</v>
      </c>
      <c r="J1194" s="41">
        <f>COUNTIFS(tblCost[TargetID],tblCost[[#This Row],[TargetID]],tblCost[PlayerPaid],TRUE)</f>
        <v>0</v>
      </c>
      <c r="K1194" s="41">
        <f>tblCost[[#This Row],[TargetRequirements]]-tblCost[[#This Row],[CompletedRequirements]]</f>
        <v>9</v>
      </c>
      <c r="L1194" s="41" t="b">
        <f>tblCost[[#This Row],[RemainingRequirements]]=0</f>
        <v>0</v>
      </c>
      <c r="M1194" s="43">
        <f>IF(tblCost[[#This Row],[TargetRequirements]]=0,0,tblCost[[#This Row],[CompletedRequirements]]/tblCost[[#This Row],[TargetRequirements]])</f>
        <v>0</v>
      </c>
    </row>
    <row r="1195" spans="1:13">
      <c r="A1195" s="41" t="s">
        <v>6013</v>
      </c>
      <c r="B1195" s="41" t="str">
        <f>_xlfn.TEXTAFTER(_xlfn.TEXTBEFORE(tblCost[[#This Row],[RequirementID]],".",-2),"cost.")</f>
        <v>tech.alchemists_hut.perfect_fertilizer</v>
      </c>
      <c r="C1195" s="41" t="str">
        <f>_xlfn.XLOOKUP(tblCost[[#This Row],[TargetID]],tblTargets[TargetID],tblTargets[DisplayName],"")</f>
        <v>Alchemist's Hut - Perfect Fertilizer</v>
      </c>
      <c r="D1195" s="41" t="str">
        <f>_xlfn.XLOOKUP(tblCost[[#This Row],[TargetID]],tblTargets[TargetID],tblTargets[TargetType],"")</f>
        <v>TECH</v>
      </c>
      <c r="E1195" s="41" t="s">
        <v>705</v>
      </c>
      <c r="F1195" s="62" t="str">
        <f>RIGHT(tblCost[[#This Row],[RequirementID]],1)</f>
        <v>1</v>
      </c>
      <c r="G1195" s="41">
        <v>20</v>
      </c>
      <c r="H1195" t="b">
        <f>COUNTIFS(tblCostChecklist[RequirementID],tblCost[[#This Row],[RequirementID]],tblCostChecklist[PlayerPaid],TRUE)&gt;0</f>
        <v>0</v>
      </c>
      <c r="I1195" s="41">
        <f>COUNTIF(tblCost[TargetID],tblCost[[#This Row],[TargetID]])</f>
        <v>9</v>
      </c>
      <c r="J1195" s="41">
        <f>COUNTIFS(tblCost[TargetID],tblCost[[#This Row],[TargetID]],tblCost[PlayerPaid],TRUE)</f>
        <v>0</v>
      </c>
      <c r="K1195" s="41">
        <f>tblCost[[#This Row],[TargetRequirements]]-tblCost[[#This Row],[CompletedRequirements]]</f>
        <v>9</v>
      </c>
      <c r="L1195" s="41" t="b">
        <f>tblCost[[#This Row],[RemainingRequirements]]=0</f>
        <v>0</v>
      </c>
      <c r="M1195" s="43">
        <f>IF(tblCost[[#This Row],[TargetRequirements]]=0,0,tblCost[[#This Row],[CompletedRequirements]]/tblCost[[#This Row],[TargetRequirements]])</f>
        <v>0</v>
      </c>
    </row>
    <row r="1196" spans="1:13">
      <c r="A1196" s="41" t="s">
        <v>6014</v>
      </c>
      <c r="B1196" s="41" t="str">
        <f>_xlfn.TEXTAFTER(_xlfn.TEXTBEFORE(tblCost[[#This Row],[RequirementID]],".",-2),"cost.")</f>
        <v>tech.alchemists_hut.perfect_fertilizer</v>
      </c>
      <c r="C1196" s="41" t="str">
        <f>_xlfn.XLOOKUP(tblCost[[#This Row],[TargetID]],tblTargets[TargetID],tblTargets[DisplayName],"")</f>
        <v>Alchemist's Hut - Perfect Fertilizer</v>
      </c>
      <c r="D1196" s="41" t="str">
        <f>_xlfn.XLOOKUP(tblCost[[#This Row],[TargetID]],tblTargets[TargetID],tblTargets[TargetType],"")</f>
        <v>TECH</v>
      </c>
      <c r="E1196" s="41" t="s">
        <v>928</v>
      </c>
      <c r="F1196" s="62" t="str">
        <f>RIGHT(tblCost[[#This Row],[RequirementID]],1)</f>
        <v>1</v>
      </c>
      <c r="G1196" s="41">
        <v>20</v>
      </c>
      <c r="H1196" t="b">
        <f>COUNTIFS(tblCostChecklist[RequirementID],tblCost[[#This Row],[RequirementID]],tblCostChecklist[PlayerPaid],TRUE)&gt;0</f>
        <v>0</v>
      </c>
      <c r="I1196" s="41">
        <f>COUNTIF(tblCost[TargetID],tblCost[[#This Row],[TargetID]])</f>
        <v>9</v>
      </c>
      <c r="J1196" s="41">
        <f>COUNTIFS(tblCost[TargetID],tblCost[[#This Row],[TargetID]],tblCost[PlayerPaid],TRUE)</f>
        <v>0</v>
      </c>
      <c r="K1196" s="41">
        <f>tblCost[[#This Row],[TargetRequirements]]-tblCost[[#This Row],[CompletedRequirements]]</f>
        <v>9</v>
      </c>
      <c r="L1196" s="41" t="b">
        <f>tblCost[[#This Row],[RemainingRequirements]]=0</f>
        <v>0</v>
      </c>
      <c r="M1196" s="43">
        <f>IF(tblCost[[#This Row],[TargetRequirements]]=0,0,tblCost[[#This Row],[CompletedRequirements]]/tblCost[[#This Row],[TargetRequirements]])</f>
        <v>0</v>
      </c>
    </row>
    <row r="1197" spans="1:13">
      <c r="A1197" s="41" t="s">
        <v>6015</v>
      </c>
      <c r="B1197" s="41" t="str">
        <f>_xlfn.TEXTAFTER(_xlfn.TEXTBEFORE(tblCost[[#This Row],[RequirementID]],".",-2),"cost.")</f>
        <v>tech.alchemists_hut.perfect_fertilizer</v>
      </c>
      <c r="C1197" s="41" t="str">
        <f>_xlfn.XLOOKUP(tblCost[[#This Row],[TargetID]],tblTargets[TargetID],tblTargets[DisplayName],"")</f>
        <v>Alchemist's Hut - Perfect Fertilizer</v>
      </c>
      <c r="D1197" s="41" t="str">
        <f>_xlfn.XLOOKUP(tblCost[[#This Row],[TargetID]],tblTargets[TargetID],tblTargets[TargetType],"")</f>
        <v>TECH</v>
      </c>
      <c r="E1197" s="41" t="s">
        <v>662</v>
      </c>
      <c r="F1197" s="62" t="str">
        <f>RIGHT(tblCost[[#This Row],[RequirementID]],1)</f>
        <v>1</v>
      </c>
      <c r="G1197" s="41">
        <v>30</v>
      </c>
      <c r="H1197" t="b">
        <f>COUNTIFS(tblCostChecklist[RequirementID],tblCost[[#This Row],[RequirementID]],tblCostChecklist[PlayerPaid],TRUE)&gt;0</f>
        <v>0</v>
      </c>
      <c r="I1197" s="41">
        <f>COUNTIF(tblCost[TargetID],tblCost[[#This Row],[TargetID]])</f>
        <v>9</v>
      </c>
      <c r="J1197" s="41">
        <f>COUNTIFS(tblCost[TargetID],tblCost[[#This Row],[TargetID]],tblCost[PlayerPaid],TRUE)</f>
        <v>0</v>
      </c>
      <c r="K1197" s="41">
        <f>tblCost[[#This Row],[TargetRequirements]]-tblCost[[#This Row],[CompletedRequirements]]</f>
        <v>9</v>
      </c>
      <c r="L1197" s="41" t="b">
        <f>tblCost[[#This Row],[RemainingRequirements]]=0</f>
        <v>0</v>
      </c>
      <c r="M1197" s="43">
        <f>IF(tblCost[[#This Row],[TargetRequirements]]=0,0,tblCost[[#This Row],[CompletedRequirements]]/tblCost[[#This Row],[TargetRequirements]])</f>
        <v>0</v>
      </c>
    </row>
    <row r="1198" spans="1:13">
      <c r="A1198" s="41" t="s">
        <v>6016</v>
      </c>
      <c r="B1198" s="41" t="str">
        <f>_xlfn.TEXTAFTER(_xlfn.TEXTBEFORE(tblCost[[#This Row],[RequirementID]],".",-2),"cost.")</f>
        <v>tech.alchemists_hut.perfect_fertilizer</v>
      </c>
      <c r="C1198" s="41" t="str">
        <f>_xlfn.XLOOKUP(tblCost[[#This Row],[TargetID]],tblTargets[TargetID],tblTargets[DisplayName],"")</f>
        <v>Alchemist's Hut - Perfect Fertilizer</v>
      </c>
      <c r="D1198" s="41" t="str">
        <f>_xlfn.XLOOKUP(tblCost[[#This Row],[TargetID]],tblTargets[TargetID],tblTargets[TargetType],"")</f>
        <v>TECH</v>
      </c>
      <c r="E1198" s="41" t="s">
        <v>4839</v>
      </c>
      <c r="F1198" s="62" t="str">
        <f>RIGHT(tblCost[[#This Row],[RequirementID]],1)</f>
        <v>1</v>
      </c>
      <c r="G1198" s="41">
        <v>30</v>
      </c>
      <c r="H1198" t="b">
        <f>COUNTIFS(tblCostChecklist[RequirementID],tblCost[[#This Row],[RequirementID]],tblCostChecklist[PlayerPaid],TRUE)&gt;0</f>
        <v>0</v>
      </c>
      <c r="I1198" s="41">
        <f>COUNTIF(tblCost[TargetID],tblCost[[#This Row],[TargetID]])</f>
        <v>9</v>
      </c>
      <c r="J1198" s="41">
        <f>COUNTIFS(tblCost[TargetID],tblCost[[#This Row],[TargetID]],tblCost[PlayerPaid],TRUE)</f>
        <v>0</v>
      </c>
      <c r="K1198" s="41">
        <f>tblCost[[#This Row],[TargetRequirements]]-tblCost[[#This Row],[CompletedRequirements]]</f>
        <v>9</v>
      </c>
      <c r="L1198" s="41" t="b">
        <f>tblCost[[#This Row],[RemainingRequirements]]=0</f>
        <v>0</v>
      </c>
      <c r="M1198" s="43">
        <f>IF(tblCost[[#This Row],[TargetRequirements]]=0,0,tblCost[[#This Row],[CompletedRequirements]]/tblCost[[#This Row],[TargetRequirements]])</f>
        <v>0</v>
      </c>
    </row>
    <row r="1199" spans="1:13">
      <c r="A1199" s="41" t="s">
        <v>6017</v>
      </c>
      <c r="B1199" s="41" t="str">
        <f>_xlfn.TEXTAFTER(_xlfn.TEXTBEFORE(tblCost[[#This Row],[RequirementID]],".",-2),"cost.")</f>
        <v>tech.windmill.bone_meal</v>
      </c>
      <c r="C1199" s="41" t="str">
        <f>_xlfn.XLOOKUP(tblCost[[#This Row],[TargetID]],tblTargets[TargetID],tblTargets[DisplayName],"")</f>
        <v>Windmill -  Bone Meal</v>
      </c>
      <c r="D1199" s="41" t="str">
        <f>_xlfn.XLOOKUP(tblCost[[#This Row],[TargetID]],tblTargets[TargetID],tblTargets[TargetType],"")</f>
        <v>TECH</v>
      </c>
      <c r="E1199" s="41" t="s">
        <v>708</v>
      </c>
      <c r="F1199" s="62" t="str">
        <f>RIGHT(tblCost[[#This Row],[RequirementID]],1)</f>
        <v>1</v>
      </c>
      <c r="G1199" s="41">
        <v>2</v>
      </c>
      <c r="H1199" t="b">
        <f>COUNTIFS(tblCostChecklist[RequirementID],tblCost[[#This Row],[RequirementID]],tblCostChecklist[PlayerPaid],TRUE)&gt;0</f>
        <v>0</v>
      </c>
      <c r="I1199" s="41">
        <f>COUNTIF(tblCost[TargetID],tblCost[[#This Row],[TargetID]])</f>
        <v>7</v>
      </c>
      <c r="J1199" s="41">
        <f>COUNTIFS(tblCost[TargetID],tblCost[[#This Row],[TargetID]],tblCost[PlayerPaid],TRUE)</f>
        <v>0</v>
      </c>
      <c r="K1199" s="41">
        <f>tblCost[[#This Row],[TargetRequirements]]-tblCost[[#This Row],[CompletedRequirements]]</f>
        <v>7</v>
      </c>
      <c r="L1199" s="41" t="b">
        <f>tblCost[[#This Row],[RemainingRequirements]]=0</f>
        <v>0</v>
      </c>
      <c r="M1199" s="43">
        <f>IF(tblCost[[#This Row],[TargetRequirements]]=0,0,tblCost[[#This Row],[CompletedRequirements]]/tblCost[[#This Row],[TargetRequirements]])</f>
        <v>0</v>
      </c>
    </row>
    <row r="1200" spans="1:13">
      <c r="A1200" s="41" t="s">
        <v>6018</v>
      </c>
      <c r="B1200" s="41" t="str">
        <f>_xlfn.TEXTAFTER(_xlfn.TEXTBEFORE(tblCost[[#This Row],[RequirementID]],".",-2),"cost.")</f>
        <v>tech.windmill.bone_meal</v>
      </c>
      <c r="C1200" s="41" t="str">
        <f>_xlfn.XLOOKUP(tblCost[[#This Row],[TargetID]],tblTargets[TargetID],tblTargets[DisplayName],"")</f>
        <v>Windmill -  Bone Meal</v>
      </c>
      <c r="D1200" s="41" t="str">
        <f>_xlfn.XLOOKUP(tblCost[[#This Row],[TargetID]],tblTargets[TargetID],tblTargets[TargetType],"")</f>
        <v>TECH</v>
      </c>
      <c r="E1200" s="41" t="s">
        <v>666</v>
      </c>
      <c r="F1200" s="62" t="str">
        <f>RIGHT(tblCost[[#This Row],[RequirementID]],1)</f>
        <v>1</v>
      </c>
      <c r="G1200" s="41">
        <v>400</v>
      </c>
      <c r="H1200" t="b">
        <f>COUNTIFS(tblCostChecklist[RequirementID],tblCost[[#This Row],[RequirementID]],tblCostChecklist[PlayerPaid],TRUE)&gt;0</f>
        <v>0</v>
      </c>
      <c r="I1200" s="41">
        <f>COUNTIF(tblCost[TargetID],tblCost[[#This Row],[TargetID]])</f>
        <v>7</v>
      </c>
      <c r="J1200" s="41">
        <f>COUNTIFS(tblCost[TargetID],tblCost[[#This Row],[TargetID]],tblCost[PlayerPaid],TRUE)</f>
        <v>0</v>
      </c>
      <c r="K1200" s="41">
        <f>tblCost[[#This Row],[TargetRequirements]]-tblCost[[#This Row],[CompletedRequirements]]</f>
        <v>7</v>
      </c>
      <c r="L1200" s="41" t="b">
        <f>tblCost[[#This Row],[RemainingRequirements]]=0</f>
        <v>0</v>
      </c>
      <c r="M1200" s="43">
        <f>IF(tblCost[[#This Row],[TargetRequirements]]=0,0,tblCost[[#This Row],[CompletedRequirements]]/tblCost[[#This Row],[TargetRequirements]])</f>
        <v>0</v>
      </c>
    </row>
    <row r="1201" spans="1:13">
      <c r="A1201" s="41" t="s">
        <v>6019</v>
      </c>
      <c r="B1201" s="41" t="str">
        <f>_xlfn.TEXTAFTER(_xlfn.TEXTBEFORE(tblCost[[#This Row],[RequirementID]],".",-2),"cost.")</f>
        <v>tech.windmill.bone_meal</v>
      </c>
      <c r="C1201" s="41" t="str">
        <f>_xlfn.XLOOKUP(tblCost[[#This Row],[TargetID]],tblTargets[TargetID],tblTargets[DisplayName],"")</f>
        <v>Windmill -  Bone Meal</v>
      </c>
      <c r="D1201" s="41" t="str">
        <f>_xlfn.XLOOKUP(tblCost[[#This Row],[TargetID]],tblTargets[TargetID],tblTargets[TargetType],"")</f>
        <v>TECH</v>
      </c>
      <c r="E1201" s="41" t="s">
        <v>717</v>
      </c>
      <c r="F1201" s="62" t="str">
        <f>RIGHT(tblCost[[#This Row],[RequirementID]],1)</f>
        <v>1</v>
      </c>
      <c r="G1201" s="41">
        <v>100</v>
      </c>
      <c r="H1201" t="b">
        <f>COUNTIFS(tblCostChecklist[RequirementID],tblCost[[#This Row],[RequirementID]],tblCostChecklist[PlayerPaid],TRUE)&gt;0</f>
        <v>0</v>
      </c>
      <c r="I1201" s="41">
        <f>COUNTIF(tblCost[TargetID],tblCost[[#This Row],[TargetID]])</f>
        <v>7</v>
      </c>
      <c r="J1201" s="41">
        <f>COUNTIFS(tblCost[TargetID],tblCost[[#This Row],[TargetID]],tblCost[PlayerPaid],TRUE)</f>
        <v>0</v>
      </c>
      <c r="K1201" s="41">
        <f>tblCost[[#This Row],[TargetRequirements]]-tblCost[[#This Row],[CompletedRequirements]]</f>
        <v>7</v>
      </c>
      <c r="L1201" s="41" t="b">
        <f>tblCost[[#This Row],[RemainingRequirements]]=0</f>
        <v>0</v>
      </c>
      <c r="M1201" s="43">
        <f>IF(tblCost[[#This Row],[TargetRequirements]]=0,0,tblCost[[#This Row],[CompletedRequirements]]/tblCost[[#This Row],[TargetRequirements]])</f>
        <v>0</v>
      </c>
    </row>
    <row r="1202" spans="1:13">
      <c r="A1202" s="41" t="s">
        <v>6020</v>
      </c>
      <c r="B1202" s="41" t="str">
        <f>_xlfn.TEXTAFTER(_xlfn.TEXTBEFORE(tblCost[[#This Row],[RequirementID]],".",-2),"cost.")</f>
        <v>tech.windmill.bone_meal</v>
      </c>
      <c r="C1202" s="41" t="str">
        <f>_xlfn.XLOOKUP(tblCost[[#This Row],[TargetID]],tblTargets[TargetID],tblTargets[DisplayName],"")</f>
        <v>Windmill -  Bone Meal</v>
      </c>
      <c r="D1202" s="41" t="str">
        <f>_xlfn.XLOOKUP(tblCost[[#This Row],[TargetID]],tblTargets[TargetID],tblTargets[TargetType],"")</f>
        <v>TECH</v>
      </c>
      <c r="E1202" s="41" t="s">
        <v>4840</v>
      </c>
      <c r="F1202" s="62" t="str">
        <f>RIGHT(tblCost[[#This Row],[RequirementID]],1)</f>
        <v>1</v>
      </c>
      <c r="G1202" s="41">
        <v>20</v>
      </c>
      <c r="H1202" t="b">
        <f>COUNTIFS(tblCostChecklist[RequirementID],tblCost[[#This Row],[RequirementID]],tblCostChecklist[PlayerPaid],TRUE)&gt;0</f>
        <v>0</v>
      </c>
      <c r="I1202" s="41">
        <f>COUNTIF(tblCost[TargetID],tblCost[[#This Row],[TargetID]])</f>
        <v>7</v>
      </c>
      <c r="J1202" s="41">
        <f>COUNTIFS(tblCost[TargetID],tblCost[[#This Row],[TargetID]],tblCost[PlayerPaid],TRUE)</f>
        <v>0</v>
      </c>
      <c r="K1202" s="41">
        <f>tblCost[[#This Row],[TargetRequirements]]-tblCost[[#This Row],[CompletedRequirements]]</f>
        <v>7</v>
      </c>
      <c r="L1202" s="41" t="b">
        <f>tblCost[[#This Row],[RemainingRequirements]]=0</f>
        <v>0</v>
      </c>
      <c r="M1202" s="43">
        <f>IF(tblCost[[#This Row],[TargetRequirements]]=0,0,tblCost[[#This Row],[CompletedRequirements]]/tblCost[[#This Row],[TargetRequirements]])</f>
        <v>0</v>
      </c>
    </row>
    <row r="1203" spans="1:13">
      <c r="A1203" s="41" t="s">
        <v>6021</v>
      </c>
      <c r="B1203" s="41" t="str">
        <f>_xlfn.TEXTAFTER(_xlfn.TEXTBEFORE(tblCost[[#This Row],[RequirementID]],".",-2),"cost.")</f>
        <v>tech.windmill.bone_meal</v>
      </c>
      <c r="C1203" s="41" t="str">
        <f>_xlfn.XLOOKUP(tblCost[[#This Row],[TargetID]],tblTargets[TargetID],tblTargets[DisplayName],"")</f>
        <v>Windmill -  Bone Meal</v>
      </c>
      <c r="D1203" s="41" t="str">
        <f>_xlfn.XLOOKUP(tblCost[[#This Row],[TargetID]],tblTargets[TargetID],tblTargets[TargetType],"")</f>
        <v>TECH</v>
      </c>
      <c r="E1203" s="41" t="s">
        <v>3653</v>
      </c>
      <c r="F1203" s="62" t="str">
        <f>RIGHT(tblCost[[#This Row],[RequirementID]],1)</f>
        <v>1</v>
      </c>
      <c r="G1203" s="41">
        <v>40</v>
      </c>
      <c r="H1203" t="b">
        <f>COUNTIFS(tblCostChecklist[RequirementID],tblCost[[#This Row],[RequirementID]],tblCostChecklist[PlayerPaid],TRUE)&gt;0</f>
        <v>0</v>
      </c>
      <c r="I1203" s="41">
        <f>COUNTIF(tblCost[TargetID],tblCost[[#This Row],[TargetID]])</f>
        <v>7</v>
      </c>
      <c r="J1203" s="41">
        <f>COUNTIFS(tblCost[TargetID],tblCost[[#This Row],[TargetID]],tblCost[PlayerPaid],TRUE)</f>
        <v>0</v>
      </c>
      <c r="K1203" s="41">
        <f>tblCost[[#This Row],[TargetRequirements]]-tblCost[[#This Row],[CompletedRequirements]]</f>
        <v>7</v>
      </c>
      <c r="L1203" s="41" t="b">
        <f>tblCost[[#This Row],[RemainingRequirements]]=0</f>
        <v>0</v>
      </c>
      <c r="M1203" s="43">
        <f>IF(tblCost[[#This Row],[TargetRequirements]]=0,0,tblCost[[#This Row],[CompletedRequirements]]/tblCost[[#This Row],[TargetRequirements]])</f>
        <v>0</v>
      </c>
    </row>
    <row r="1204" spans="1:13">
      <c r="A1204" s="41" t="s">
        <v>6022</v>
      </c>
      <c r="B1204" s="41" t="str">
        <f>_xlfn.TEXTAFTER(_xlfn.TEXTBEFORE(tblCost[[#This Row],[RequirementID]],".",-2),"cost.")</f>
        <v>tech.windmill.bone_meal</v>
      </c>
      <c r="C1204" s="41" t="str">
        <f>_xlfn.XLOOKUP(tblCost[[#This Row],[TargetID]],tblTargets[TargetID],tblTargets[DisplayName],"")</f>
        <v>Windmill -  Bone Meal</v>
      </c>
      <c r="D1204" s="41" t="str">
        <f>_xlfn.XLOOKUP(tblCost[[#This Row],[TargetID]],tblTargets[TargetID],tblTargets[TargetType],"")</f>
        <v>TECH</v>
      </c>
      <c r="E1204" s="41" t="s">
        <v>4841</v>
      </c>
      <c r="F1204" s="62" t="str">
        <f>RIGHT(tblCost[[#This Row],[RequirementID]],1)</f>
        <v>1</v>
      </c>
      <c r="G1204" s="41">
        <v>20</v>
      </c>
      <c r="H1204" t="b">
        <f>COUNTIFS(tblCostChecklist[RequirementID],tblCost[[#This Row],[RequirementID]],tblCostChecklist[PlayerPaid],TRUE)&gt;0</f>
        <v>0</v>
      </c>
      <c r="I1204" s="41">
        <f>COUNTIF(tblCost[TargetID],tblCost[[#This Row],[TargetID]])</f>
        <v>7</v>
      </c>
      <c r="J1204" s="41">
        <f>COUNTIFS(tblCost[TargetID],tblCost[[#This Row],[TargetID]],tblCost[PlayerPaid],TRUE)</f>
        <v>0</v>
      </c>
      <c r="K1204" s="41">
        <f>tblCost[[#This Row],[TargetRequirements]]-tblCost[[#This Row],[CompletedRequirements]]</f>
        <v>7</v>
      </c>
      <c r="L1204" s="41" t="b">
        <f>tblCost[[#This Row],[RemainingRequirements]]=0</f>
        <v>0</v>
      </c>
      <c r="M1204" s="43">
        <f>IF(tblCost[[#This Row],[TargetRequirements]]=0,0,tblCost[[#This Row],[CompletedRequirements]]/tblCost[[#This Row],[TargetRequirements]])</f>
        <v>0</v>
      </c>
    </row>
    <row r="1205" spans="1:13">
      <c r="A1205" s="41" t="s">
        <v>6023</v>
      </c>
      <c r="B1205" s="41" t="str">
        <f>_xlfn.TEXTAFTER(_xlfn.TEXTBEFORE(tblCost[[#This Row],[RequirementID]],".",-2),"cost.")</f>
        <v>tech.windmill.bone_meal</v>
      </c>
      <c r="C1205" s="41" t="str">
        <f>_xlfn.XLOOKUP(tblCost[[#This Row],[TargetID]],tblTargets[TargetID],tblTargets[DisplayName],"")</f>
        <v>Windmill -  Bone Meal</v>
      </c>
      <c r="D1205" s="41" t="str">
        <f>_xlfn.XLOOKUP(tblCost[[#This Row],[TargetID]],tblTargets[TargetID],tblTargets[TargetType],"")</f>
        <v>TECH</v>
      </c>
      <c r="E1205" s="41" t="s">
        <v>4842</v>
      </c>
      <c r="F1205" s="62" t="str">
        <f>RIGHT(tblCost[[#This Row],[RequirementID]],1)</f>
        <v>1</v>
      </c>
      <c r="G1205" s="41">
        <v>15</v>
      </c>
      <c r="H1205" t="b">
        <f>COUNTIFS(tblCostChecklist[RequirementID],tblCost[[#This Row],[RequirementID]],tblCostChecklist[PlayerPaid],TRUE)&gt;0</f>
        <v>0</v>
      </c>
      <c r="I1205" s="41">
        <f>COUNTIF(tblCost[TargetID],tblCost[[#This Row],[TargetID]])</f>
        <v>7</v>
      </c>
      <c r="J1205" s="41">
        <f>COUNTIFS(tblCost[TargetID],tblCost[[#This Row],[TargetID]],tblCost[PlayerPaid],TRUE)</f>
        <v>0</v>
      </c>
      <c r="K1205" s="41">
        <f>tblCost[[#This Row],[TargetRequirements]]-tblCost[[#This Row],[CompletedRequirements]]</f>
        <v>7</v>
      </c>
      <c r="L1205" s="41" t="b">
        <f>tblCost[[#This Row],[RemainingRequirements]]=0</f>
        <v>0</v>
      </c>
      <c r="M1205" s="43">
        <f>IF(tblCost[[#This Row],[TargetRequirements]]=0,0,tblCost[[#This Row],[CompletedRequirements]]/tblCost[[#This Row],[TargetRequirements]])</f>
        <v>0</v>
      </c>
    </row>
    <row r="1206" spans="1:13">
      <c r="A1206" s="41" t="s">
        <v>4843</v>
      </c>
      <c r="B1206" s="41" t="str">
        <f>_xlfn.TEXTAFTER(_xlfn.TEXTBEFORE(tblCost[[#This Row],[RequirementID]],".",-2),"cost.")</f>
        <v>citadel.armory</v>
      </c>
      <c r="C1206" s="41" t="str">
        <f>_xlfn.XLOOKUP(tblCost[[#This Row],[TargetID]],tblTargets[TargetID],tblTargets[DisplayName],"")</f>
        <v>Armory</v>
      </c>
      <c r="D1206" s="41" t="str">
        <f>_xlfn.XLOOKUP(tblCost[[#This Row],[TargetID]],tblTargets[TargetID],tblTargets[TargetType],"")</f>
        <v>CITADEL</v>
      </c>
      <c r="E1206" s="41" t="s">
        <v>658</v>
      </c>
      <c r="F1206" s="62" t="str">
        <f>RIGHT(tblCost[[#This Row],[RequirementID]],1)</f>
        <v>1</v>
      </c>
      <c r="G1206" s="41">
        <v>500</v>
      </c>
      <c r="H1206" t="b">
        <f>COUNTIFS(tblCostChecklist[RequirementID],tblCost[[#This Row],[RequirementID]],tblCostChecklist[PlayerPaid],TRUE)&gt;0</f>
        <v>0</v>
      </c>
      <c r="I1206" s="41">
        <f>COUNTIF(tblCost[TargetID],tblCost[[#This Row],[TargetID]])</f>
        <v>6</v>
      </c>
      <c r="J1206" s="41">
        <f>COUNTIFS(tblCost[TargetID],tblCost[[#This Row],[TargetID]],tblCost[PlayerPaid],TRUE)</f>
        <v>0</v>
      </c>
      <c r="K1206" s="41">
        <f>tblCost[[#This Row],[TargetRequirements]]-tblCost[[#This Row],[CompletedRequirements]]</f>
        <v>6</v>
      </c>
      <c r="L1206" s="41" t="b">
        <f>tblCost[[#This Row],[RemainingRequirements]]=0</f>
        <v>0</v>
      </c>
      <c r="M1206" s="43">
        <f>IF(tblCost[[#This Row],[TargetRequirements]]=0,0,tblCost[[#This Row],[CompletedRequirements]]/tblCost[[#This Row],[TargetRequirements]])</f>
        <v>0</v>
      </c>
    </row>
    <row r="1207" spans="1:13">
      <c r="A1207" s="41" t="s">
        <v>4844</v>
      </c>
      <c r="B1207" s="41" t="str">
        <f>_xlfn.TEXTAFTER(_xlfn.TEXTBEFORE(tblCost[[#This Row],[RequirementID]],".",-2),"cost.")</f>
        <v>citadel.armory</v>
      </c>
      <c r="C1207" s="41" t="str">
        <f>_xlfn.XLOOKUP(tblCost[[#This Row],[TargetID]],tblTargets[TargetID],tblTargets[DisplayName],"")</f>
        <v>Armory</v>
      </c>
      <c r="D1207" s="41" t="str">
        <f>_xlfn.XLOOKUP(tblCost[[#This Row],[TargetID]],tblTargets[TargetID],tblTargets[TargetType],"")</f>
        <v>CITADEL</v>
      </c>
      <c r="E1207" s="41" t="s">
        <v>666</v>
      </c>
      <c r="F1207" s="62" t="str">
        <f>RIGHT(tblCost[[#This Row],[RequirementID]],1)</f>
        <v>1</v>
      </c>
      <c r="G1207" s="41">
        <v>500</v>
      </c>
      <c r="H1207" t="b">
        <f>COUNTIFS(tblCostChecklist[RequirementID],tblCost[[#This Row],[RequirementID]],tblCostChecklist[PlayerPaid],TRUE)&gt;0</f>
        <v>0</v>
      </c>
      <c r="I1207" s="41">
        <f>COUNTIF(tblCost[TargetID],tblCost[[#This Row],[TargetID]])</f>
        <v>6</v>
      </c>
      <c r="J1207" s="41">
        <f>COUNTIFS(tblCost[TargetID],tblCost[[#This Row],[TargetID]],tblCost[PlayerPaid],TRUE)</f>
        <v>0</v>
      </c>
      <c r="K1207" s="41">
        <f>tblCost[[#This Row],[TargetRequirements]]-tblCost[[#This Row],[CompletedRequirements]]</f>
        <v>6</v>
      </c>
      <c r="L1207" s="41" t="b">
        <f>tblCost[[#This Row],[RemainingRequirements]]=0</f>
        <v>0</v>
      </c>
      <c r="M1207" s="43">
        <f>IF(tblCost[[#This Row],[TargetRequirements]]=0,0,tblCost[[#This Row],[CompletedRequirements]]/tblCost[[#This Row],[TargetRequirements]])</f>
        <v>0</v>
      </c>
    </row>
    <row r="1208" spans="1:13">
      <c r="A1208" s="41" t="s">
        <v>4845</v>
      </c>
      <c r="B1208" s="41" t="str">
        <f>_xlfn.TEXTAFTER(_xlfn.TEXTBEFORE(tblCost[[#This Row],[RequirementID]],".",-2),"cost.")</f>
        <v>citadel.armory</v>
      </c>
      <c r="C1208" s="41" t="str">
        <f>_xlfn.XLOOKUP(tblCost[[#This Row],[TargetID]],tblTargets[TargetID],tblTargets[DisplayName],"")</f>
        <v>Armory</v>
      </c>
      <c r="D1208" s="41" t="str">
        <f>_xlfn.XLOOKUP(tblCost[[#This Row],[TargetID]],tblTargets[TargetID],tblTargets[TargetType],"")</f>
        <v>CITADEL</v>
      </c>
      <c r="E1208" s="41" t="s">
        <v>696</v>
      </c>
      <c r="F1208" s="62" t="str">
        <f>RIGHT(tblCost[[#This Row],[RequirementID]],1)</f>
        <v>1</v>
      </c>
      <c r="G1208" s="41">
        <v>15</v>
      </c>
      <c r="H1208" t="b">
        <f>COUNTIFS(tblCostChecklist[RequirementID],tblCost[[#This Row],[RequirementID]],tblCostChecklist[PlayerPaid],TRUE)&gt;0</f>
        <v>0</v>
      </c>
      <c r="I1208" s="41">
        <f>COUNTIF(tblCost[TargetID],tblCost[[#This Row],[TargetID]])</f>
        <v>6</v>
      </c>
      <c r="J1208" s="41">
        <f>COUNTIFS(tblCost[TargetID],tblCost[[#This Row],[TargetID]],tblCost[PlayerPaid],TRUE)</f>
        <v>0</v>
      </c>
      <c r="K1208" s="41">
        <f>tblCost[[#This Row],[TargetRequirements]]-tblCost[[#This Row],[CompletedRequirements]]</f>
        <v>6</v>
      </c>
      <c r="L1208" s="41" t="b">
        <f>tblCost[[#This Row],[RemainingRequirements]]=0</f>
        <v>0</v>
      </c>
      <c r="M1208" s="43">
        <f>IF(tblCost[[#This Row],[TargetRequirements]]=0,0,tblCost[[#This Row],[CompletedRequirements]]/tblCost[[#This Row],[TargetRequirements]])</f>
        <v>0</v>
      </c>
    </row>
    <row r="1209" spans="1:13">
      <c r="A1209" s="41" t="s">
        <v>4846</v>
      </c>
      <c r="B1209" s="41" t="str">
        <f>_xlfn.TEXTAFTER(_xlfn.TEXTBEFORE(tblCost[[#This Row],[RequirementID]],".",-2),"cost.")</f>
        <v>citadel.armory</v>
      </c>
      <c r="C1209" s="41" t="str">
        <f>_xlfn.XLOOKUP(tblCost[[#This Row],[TargetID]],tblTargets[TargetID],tblTargets[DisplayName],"")</f>
        <v>Armory</v>
      </c>
      <c r="D1209" s="41" t="str">
        <f>_xlfn.XLOOKUP(tblCost[[#This Row],[TargetID]],tblTargets[TargetID],tblTargets[TargetType],"")</f>
        <v>CITADEL</v>
      </c>
      <c r="E1209" s="41" t="s">
        <v>708</v>
      </c>
      <c r="F1209" s="62" t="str">
        <f>RIGHT(tblCost[[#This Row],[RequirementID]],1)</f>
        <v>1</v>
      </c>
      <c r="G1209" s="41">
        <v>3</v>
      </c>
      <c r="H1209" t="b">
        <f>COUNTIFS(tblCostChecklist[RequirementID],tblCost[[#This Row],[RequirementID]],tblCostChecklist[PlayerPaid],TRUE)&gt;0</f>
        <v>0</v>
      </c>
      <c r="I1209" s="41">
        <f>COUNTIF(tblCost[TargetID],tblCost[[#This Row],[TargetID]])</f>
        <v>6</v>
      </c>
      <c r="J1209" s="41">
        <f>COUNTIFS(tblCost[TargetID],tblCost[[#This Row],[TargetID]],tblCost[PlayerPaid],TRUE)</f>
        <v>0</v>
      </c>
      <c r="K1209" s="41">
        <f>tblCost[[#This Row],[TargetRequirements]]-tblCost[[#This Row],[CompletedRequirements]]</f>
        <v>6</v>
      </c>
      <c r="L1209" s="41" t="b">
        <f>tblCost[[#This Row],[RemainingRequirements]]=0</f>
        <v>0</v>
      </c>
      <c r="M1209" s="43">
        <f>IF(tblCost[[#This Row],[TargetRequirements]]=0,0,tblCost[[#This Row],[CompletedRequirements]]/tblCost[[#This Row],[TargetRequirements]])</f>
        <v>0</v>
      </c>
    </row>
    <row r="1210" spans="1:13">
      <c r="A1210" s="41" t="s">
        <v>4847</v>
      </c>
      <c r="B1210" s="41" t="str">
        <f>_xlfn.TEXTAFTER(_xlfn.TEXTBEFORE(tblCost[[#This Row],[RequirementID]],".",-2),"cost.")</f>
        <v>citadel.armory</v>
      </c>
      <c r="C1210" s="41" t="str">
        <f>_xlfn.XLOOKUP(tblCost[[#This Row],[TargetID]],tblTargets[TargetID],tblTargets[DisplayName],"")</f>
        <v>Armory</v>
      </c>
      <c r="D1210" s="41" t="str">
        <f>_xlfn.XLOOKUP(tblCost[[#This Row],[TargetID]],tblTargets[TargetID],tblTargets[TargetType],"")</f>
        <v>CITADEL</v>
      </c>
      <c r="E1210" s="41" t="s">
        <v>716</v>
      </c>
      <c r="F1210" s="62" t="str">
        <f>RIGHT(tblCost[[#This Row],[RequirementID]],1)</f>
        <v>1</v>
      </c>
      <c r="G1210" s="41">
        <v>100</v>
      </c>
      <c r="H1210" t="b">
        <f>COUNTIFS(tblCostChecklist[RequirementID],tblCost[[#This Row],[RequirementID]],tblCostChecklist[PlayerPaid],TRUE)&gt;0</f>
        <v>0</v>
      </c>
      <c r="I1210" s="41">
        <f>COUNTIF(tblCost[TargetID],tblCost[[#This Row],[TargetID]])</f>
        <v>6</v>
      </c>
      <c r="J1210" s="41">
        <f>COUNTIFS(tblCost[TargetID],tblCost[[#This Row],[TargetID]],tblCost[PlayerPaid],TRUE)</f>
        <v>0</v>
      </c>
      <c r="K1210" s="41">
        <f>tblCost[[#This Row],[TargetRequirements]]-tblCost[[#This Row],[CompletedRequirements]]</f>
        <v>6</v>
      </c>
      <c r="L1210" s="41" t="b">
        <f>tblCost[[#This Row],[RemainingRequirements]]=0</f>
        <v>0</v>
      </c>
      <c r="M1210" s="43">
        <f>IF(tblCost[[#This Row],[TargetRequirements]]=0,0,tblCost[[#This Row],[CompletedRequirements]]/tblCost[[#This Row],[TargetRequirements]])</f>
        <v>0</v>
      </c>
    </row>
    <row r="1211" spans="1:13">
      <c r="A1211" s="41" t="s">
        <v>4848</v>
      </c>
      <c r="B1211" s="41" t="str">
        <f>_xlfn.TEXTAFTER(_xlfn.TEXTBEFORE(tblCost[[#This Row],[RequirementID]],".",-2),"cost.")</f>
        <v>citadel.armory</v>
      </c>
      <c r="C1211" s="41" t="str">
        <f>_xlfn.XLOOKUP(tblCost[[#This Row],[TargetID]],tblTargets[TargetID],tblTargets[DisplayName],"")</f>
        <v>Armory</v>
      </c>
      <c r="D1211" s="41" t="str">
        <f>_xlfn.XLOOKUP(tblCost[[#This Row],[TargetID]],tblTargets[TargetID],tblTargets[TargetType],"")</f>
        <v>CITADEL</v>
      </c>
      <c r="E1211" s="41" t="s">
        <v>717</v>
      </c>
      <c r="F1211" s="62" t="str">
        <f>RIGHT(tblCost[[#This Row],[RequirementID]],1)</f>
        <v>1</v>
      </c>
      <c r="G1211" s="41">
        <v>500</v>
      </c>
      <c r="H1211" t="b">
        <f>COUNTIFS(tblCostChecklist[RequirementID],tblCost[[#This Row],[RequirementID]],tblCostChecklist[PlayerPaid],TRUE)&gt;0</f>
        <v>0</v>
      </c>
      <c r="I1211" s="41">
        <f>COUNTIF(tblCost[TargetID],tblCost[[#This Row],[TargetID]])</f>
        <v>6</v>
      </c>
      <c r="J1211" s="41">
        <f>COUNTIFS(tblCost[TargetID],tblCost[[#This Row],[TargetID]],tblCost[PlayerPaid],TRUE)</f>
        <v>0</v>
      </c>
      <c r="K1211" s="41">
        <f>tblCost[[#This Row],[TargetRequirements]]-tblCost[[#This Row],[CompletedRequirements]]</f>
        <v>6</v>
      </c>
      <c r="L1211" s="41" t="b">
        <f>tblCost[[#This Row],[RemainingRequirements]]=0</f>
        <v>0</v>
      </c>
      <c r="M1211" s="43">
        <f>IF(tblCost[[#This Row],[TargetRequirements]]=0,0,tblCost[[#This Row],[CompletedRequirements]]/tblCost[[#This Row],[TargetRequirements]])</f>
        <v>0</v>
      </c>
    </row>
    <row r="1212" spans="1:13">
      <c r="A1212" s="41" t="s">
        <v>4849</v>
      </c>
      <c r="B1212" s="41" t="str">
        <f>_xlfn.TEXTAFTER(_xlfn.TEXTBEFORE(tblCost[[#This Row],[RequirementID]],".",-2),"cost.")</f>
        <v>citadel.attic</v>
      </c>
      <c r="C1212" s="41" t="str">
        <f>_xlfn.XLOOKUP(tblCost[[#This Row],[TargetID]],tblTargets[TargetID],tblTargets[DisplayName],"")</f>
        <v>Attic</v>
      </c>
      <c r="D1212" s="41" t="str">
        <f>_xlfn.XLOOKUP(tblCost[[#This Row],[TargetID]],tblTargets[TargetID],tblTargets[TargetType],"")</f>
        <v>CITADEL</v>
      </c>
      <c r="E1212" s="41" t="s">
        <v>658</v>
      </c>
      <c r="F1212" s="62" t="str">
        <f>RIGHT(tblCost[[#This Row],[RequirementID]],1)</f>
        <v>1</v>
      </c>
      <c r="G1212" s="41">
        <v>400</v>
      </c>
      <c r="H1212" t="b">
        <f>COUNTIFS(tblCostChecklist[RequirementID],tblCost[[#This Row],[RequirementID]],tblCostChecklist[PlayerPaid],TRUE)&gt;0</f>
        <v>0</v>
      </c>
      <c r="I1212" s="41">
        <f>COUNTIF(tblCost[TargetID],tblCost[[#This Row],[TargetID]])</f>
        <v>5</v>
      </c>
      <c r="J1212" s="41">
        <f>COUNTIFS(tblCost[TargetID],tblCost[[#This Row],[TargetID]],tblCost[PlayerPaid],TRUE)</f>
        <v>0</v>
      </c>
      <c r="K1212" s="41">
        <f>tblCost[[#This Row],[TargetRequirements]]-tblCost[[#This Row],[CompletedRequirements]]</f>
        <v>5</v>
      </c>
      <c r="L1212" s="41" t="b">
        <f>tblCost[[#This Row],[RemainingRequirements]]=0</f>
        <v>0</v>
      </c>
      <c r="M1212" s="43">
        <f>IF(tblCost[[#This Row],[TargetRequirements]]=0,0,tblCost[[#This Row],[CompletedRequirements]]/tblCost[[#This Row],[TargetRequirements]])</f>
        <v>0</v>
      </c>
    </row>
    <row r="1213" spans="1:13">
      <c r="A1213" s="41" t="s">
        <v>4850</v>
      </c>
      <c r="B1213" s="41" t="str">
        <f>_xlfn.TEXTAFTER(_xlfn.TEXTBEFORE(tblCost[[#This Row],[RequirementID]],".",-2),"cost.")</f>
        <v>citadel.attic</v>
      </c>
      <c r="C1213" s="41" t="str">
        <f>_xlfn.XLOOKUP(tblCost[[#This Row],[TargetID]],tblTargets[TargetID],tblTargets[DisplayName],"")</f>
        <v>Attic</v>
      </c>
      <c r="D1213" s="41" t="str">
        <f>_xlfn.XLOOKUP(tblCost[[#This Row],[TargetID]],tblTargets[TargetID],tblTargets[TargetType],"")</f>
        <v>CITADEL</v>
      </c>
      <c r="E1213" s="41" t="s">
        <v>666</v>
      </c>
      <c r="F1213" s="62" t="str">
        <f>RIGHT(tblCost[[#This Row],[RequirementID]],1)</f>
        <v>1</v>
      </c>
      <c r="G1213" s="41">
        <v>400</v>
      </c>
      <c r="H1213" t="b">
        <f>COUNTIFS(tblCostChecklist[RequirementID],tblCost[[#This Row],[RequirementID]],tblCostChecklist[PlayerPaid],TRUE)&gt;0</f>
        <v>0</v>
      </c>
      <c r="I1213" s="41">
        <f>COUNTIF(tblCost[TargetID],tblCost[[#This Row],[TargetID]])</f>
        <v>5</v>
      </c>
      <c r="J1213" s="41">
        <f>COUNTIFS(tblCost[TargetID],tblCost[[#This Row],[TargetID]],tblCost[PlayerPaid],TRUE)</f>
        <v>0</v>
      </c>
      <c r="K1213" s="41">
        <f>tblCost[[#This Row],[TargetRequirements]]-tblCost[[#This Row],[CompletedRequirements]]</f>
        <v>5</v>
      </c>
      <c r="L1213" s="41" t="b">
        <f>tblCost[[#This Row],[RemainingRequirements]]=0</f>
        <v>0</v>
      </c>
      <c r="M1213" s="43">
        <f>IF(tblCost[[#This Row],[TargetRequirements]]=0,0,tblCost[[#This Row],[CompletedRequirements]]/tblCost[[#This Row],[TargetRequirements]])</f>
        <v>0</v>
      </c>
    </row>
    <row r="1214" spans="1:13">
      <c r="A1214" s="41" t="s">
        <v>4851</v>
      </c>
      <c r="B1214" s="41" t="str">
        <f>_xlfn.TEXTAFTER(_xlfn.TEXTBEFORE(tblCost[[#This Row],[RequirementID]],".",-2),"cost.")</f>
        <v>citadel.attic</v>
      </c>
      <c r="C1214" s="41" t="str">
        <f>_xlfn.XLOOKUP(tblCost[[#This Row],[TargetID]],tblTargets[TargetID],tblTargets[DisplayName],"")</f>
        <v>Attic</v>
      </c>
      <c r="D1214" s="41" t="str">
        <f>_xlfn.XLOOKUP(tblCost[[#This Row],[TargetID]],tblTargets[TargetID],tblTargets[TargetType],"")</f>
        <v>CITADEL</v>
      </c>
      <c r="E1214" s="41" t="s">
        <v>696</v>
      </c>
      <c r="F1214" s="62" t="str">
        <f>RIGHT(tblCost[[#This Row],[RequirementID]],1)</f>
        <v>1</v>
      </c>
      <c r="G1214" s="41">
        <v>10</v>
      </c>
      <c r="H1214" t="b">
        <f>COUNTIFS(tblCostChecklist[RequirementID],tblCost[[#This Row],[RequirementID]],tblCostChecklist[PlayerPaid],TRUE)&gt;0</f>
        <v>0</v>
      </c>
      <c r="I1214" s="41">
        <f>COUNTIF(tblCost[TargetID],tblCost[[#This Row],[TargetID]])</f>
        <v>5</v>
      </c>
      <c r="J1214" s="41">
        <f>COUNTIFS(tblCost[TargetID],tblCost[[#This Row],[TargetID]],tblCost[PlayerPaid],TRUE)</f>
        <v>0</v>
      </c>
      <c r="K1214" s="41">
        <f>tblCost[[#This Row],[TargetRequirements]]-tblCost[[#This Row],[CompletedRequirements]]</f>
        <v>5</v>
      </c>
      <c r="L1214" s="41" t="b">
        <f>tblCost[[#This Row],[RemainingRequirements]]=0</f>
        <v>0</v>
      </c>
      <c r="M1214" s="43">
        <f>IF(tblCost[[#This Row],[TargetRequirements]]=0,0,tblCost[[#This Row],[CompletedRequirements]]/tblCost[[#This Row],[TargetRequirements]])</f>
        <v>0</v>
      </c>
    </row>
    <row r="1215" spans="1:13">
      <c r="A1215" s="41" t="s">
        <v>4852</v>
      </c>
      <c r="B1215" s="41" t="str">
        <f>_xlfn.TEXTAFTER(_xlfn.TEXTBEFORE(tblCost[[#This Row],[RequirementID]],".",-2),"cost.")</f>
        <v>citadel.attic</v>
      </c>
      <c r="C1215" s="41" t="str">
        <f>_xlfn.XLOOKUP(tblCost[[#This Row],[TargetID]],tblTargets[TargetID],tblTargets[DisplayName],"")</f>
        <v>Attic</v>
      </c>
      <c r="D1215" s="41" t="str">
        <f>_xlfn.XLOOKUP(tblCost[[#This Row],[TargetID]],tblTargets[TargetID],tblTargets[TargetType],"")</f>
        <v>CITADEL</v>
      </c>
      <c r="E1215" s="41" t="s">
        <v>708</v>
      </c>
      <c r="F1215" s="62" t="str">
        <f>RIGHT(tblCost[[#This Row],[RequirementID]],1)</f>
        <v>1</v>
      </c>
      <c r="G1215" s="41">
        <v>2</v>
      </c>
      <c r="H1215" t="b">
        <f>COUNTIFS(tblCostChecklist[RequirementID],tblCost[[#This Row],[RequirementID]],tblCostChecklist[PlayerPaid],TRUE)&gt;0</f>
        <v>0</v>
      </c>
      <c r="I1215" s="41">
        <f>COUNTIF(tblCost[TargetID],tblCost[[#This Row],[TargetID]])</f>
        <v>5</v>
      </c>
      <c r="J1215" s="41">
        <f>COUNTIFS(tblCost[TargetID],tblCost[[#This Row],[TargetID]],tblCost[PlayerPaid],TRUE)</f>
        <v>0</v>
      </c>
      <c r="K1215" s="41">
        <f>tblCost[[#This Row],[TargetRequirements]]-tblCost[[#This Row],[CompletedRequirements]]</f>
        <v>5</v>
      </c>
      <c r="L1215" s="41" t="b">
        <f>tblCost[[#This Row],[RemainingRequirements]]=0</f>
        <v>0</v>
      </c>
      <c r="M1215" s="43">
        <f>IF(tblCost[[#This Row],[TargetRequirements]]=0,0,tblCost[[#This Row],[CompletedRequirements]]/tblCost[[#This Row],[TargetRequirements]])</f>
        <v>0</v>
      </c>
    </row>
    <row r="1216" spans="1:13">
      <c r="A1216" s="41" t="s">
        <v>4853</v>
      </c>
      <c r="B1216" s="41" t="str">
        <f>_xlfn.TEXTAFTER(_xlfn.TEXTBEFORE(tblCost[[#This Row],[RequirementID]],".",-2),"cost.")</f>
        <v>citadel.attic</v>
      </c>
      <c r="C1216" s="41" t="str">
        <f>_xlfn.XLOOKUP(tblCost[[#This Row],[TargetID]],tblTargets[TargetID],tblTargets[DisplayName],"")</f>
        <v>Attic</v>
      </c>
      <c r="D1216" s="41" t="str">
        <f>_xlfn.XLOOKUP(tblCost[[#This Row],[TargetID]],tblTargets[TargetID],tblTargets[TargetType],"")</f>
        <v>CITADEL</v>
      </c>
      <c r="E1216" s="41" t="s">
        <v>717</v>
      </c>
      <c r="F1216" s="62" t="str">
        <f>RIGHT(tblCost[[#This Row],[RequirementID]],1)</f>
        <v>1</v>
      </c>
      <c r="G1216" s="41">
        <v>400</v>
      </c>
      <c r="H1216" t="b">
        <f>COUNTIFS(tblCostChecklist[RequirementID],tblCost[[#This Row],[RequirementID]],tblCostChecklist[PlayerPaid],TRUE)&gt;0</f>
        <v>0</v>
      </c>
      <c r="I1216" s="41">
        <f>COUNTIF(tblCost[TargetID],tblCost[[#This Row],[TargetID]])</f>
        <v>5</v>
      </c>
      <c r="J1216" s="41">
        <f>COUNTIFS(tblCost[TargetID],tblCost[[#This Row],[TargetID]],tblCost[PlayerPaid],TRUE)</f>
        <v>0</v>
      </c>
      <c r="K1216" s="41">
        <f>tblCost[[#This Row],[TargetRequirements]]-tblCost[[#This Row],[CompletedRequirements]]</f>
        <v>5</v>
      </c>
      <c r="L1216" s="41" t="b">
        <f>tblCost[[#This Row],[RemainingRequirements]]=0</f>
        <v>0</v>
      </c>
      <c r="M1216" s="43">
        <f>IF(tblCost[[#This Row],[TargetRequirements]]=0,0,tblCost[[#This Row],[CompletedRequirements]]/tblCost[[#This Row],[TargetRequirements]])</f>
        <v>0</v>
      </c>
    </row>
    <row r="1217" spans="1:13">
      <c r="A1217" s="41" t="s">
        <v>4854</v>
      </c>
      <c r="B1217" s="41" t="str">
        <f>_xlfn.TEXTAFTER(_xlfn.TEXTBEFORE(tblCost[[#This Row],[RequirementID]],".",-2),"cost.")</f>
        <v>citadel.cheese_cave</v>
      </c>
      <c r="C1217" s="41" t="str">
        <f>_xlfn.XLOOKUP(tblCost[[#This Row],[TargetID]],tblTargets[TargetID],tblTargets[DisplayName],"")</f>
        <v>Cheese Cave</v>
      </c>
      <c r="D1217" s="41" t="str">
        <f>_xlfn.XLOOKUP(tblCost[[#This Row],[TargetID]],tblTargets[TargetID],tblTargets[TargetType],"")</f>
        <v>CITADEL</v>
      </c>
      <c r="E1217" s="41" t="s">
        <v>666</v>
      </c>
      <c r="F1217" s="62" t="str">
        <f>RIGHT(tblCost[[#This Row],[RequirementID]],1)</f>
        <v>1</v>
      </c>
      <c r="G1217" s="41">
        <v>1000</v>
      </c>
      <c r="H1217" t="b">
        <f>COUNTIFS(tblCostChecklist[RequirementID],tblCost[[#This Row],[RequirementID]],tblCostChecklist[PlayerPaid],TRUE)&gt;0</f>
        <v>0</v>
      </c>
      <c r="I1217" s="41">
        <f>COUNTIF(tblCost[TargetID],tblCost[[#This Row],[TargetID]])</f>
        <v>7</v>
      </c>
      <c r="J1217" s="41">
        <f>COUNTIFS(tblCost[TargetID],tblCost[[#This Row],[TargetID]],tblCost[PlayerPaid],TRUE)</f>
        <v>0</v>
      </c>
      <c r="K1217" s="41">
        <f>tblCost[[#This Row],[TargetRequirements]]-tblCost[[#This Row],[CompletedRequirements]]</f>
        <v>7</v>
      </c>
      <c r="L1217" s="41" t="b">
        <f>tblCost[[#This Row],[RemainingRequirements]]=0</f>
        <v>0</v>
      </c>
      <c r="M1217" s="43">
        <f>IF(tblCost[[#This Row],[TargetRequirements]]=0,0,tblCost[[#This Row],[CompletedRequirements]]/tblCost[[#This Row],[TargetRequirements]])</f>
        <v>0</v>
      </c>
    </row>
    <row r="1218" spans="1:13">
      <c r="A1218" s="41" t="s">
        <v>4855</v>
      </c>
      <c r="B1218" s="41" t="str">
        <f>_xlfn.TEXTAFTER(_xlfn.TEXTBEFORE(tblCost[[#This Row],[RequirementID]],".",-2),"cost.")</f>
        <v>citadel.cheese_cave</v>
      </c>
      <c r="C1218" s="41" t="str">
        <f>_xlfn.XLOOKUP(tblCost[[#This Row],[TargetID]],tblTargets[TargetID],tblTargets[DisplayName],"")</f>
        <v>Cheese Cave</v>
      </c>
      <c r="D1218" s="41" t="str">
        <f>_xlfn.XLOOKUP(tblCost[[#This Row],[TargetID]],tblTargets[TargetID],tblTargets[TargetType],"")</f>
        <v>CITADEL</v>
      </c>
      <c r="E1218" s="41" t="s">
        <v>670</v>
      </c>
      <c r="F1218" s="62" t="str">
        <f>RIGHT(tblCost[[#This Row],[RequirementID]],1)</f>
        <v>1</v>
      </c>
      <c r="G1218" s="41">
        <v>10</v>
      </c>
      <c r="H1218" t="b">
        <f>COUNTIFS(tblCostChecklist[RequirementID],tblCost[[#This Row],[RequirementID]],tblCostChecklist[PlayerPaid],TRUE)&gt;0</f>
        <v>0</v>
      </c>
      <c r="I1218" s="41">
        <f>COUNTIF(tblCost[TargetID],tblCost[[#This Row],[TargetID]])</f>
        <v>7</v>
      </c>
      <c r="J1218" s="41">
        <f>COUNTIFS(tblCost[TargetID],tblCost[[#This Row],[TargetID]],tblCost[PlayerPaid],TRUE)</f>
        <v>0</v>
      </c>
      <c r="K1218" s="41">
        <f>tblCost[[#This Row],[TargetRequirements]]-tblCost[[#This Row],[CompletedRequirements]]</f>
        <v>7</v>
      </c>
      <c r="L1218" s="41" t="b">
        <f>tblCost[[#This Row],[RemainingRequirements]]=0</f>
        <v>0</v>
      </c>
      <c r="M1218" s="43">
        <f>IF(tblCost[[#This Row],[TargetRequirements]]=0,0,tblCost[[#This Row],[CompletedRequirements]]/tblCost[[#This Row],[TargetRequirements]])</f>
        <v>0</v>
      </c>
    </row>
    <row r="1219" spans="1:13">
      <c r="A1219" s="41" t="s">
        <v>4856</v>
      </c>
      <c r="B1219" s="41" t="str">
        <f>_xlfn.TEXTAFTER(_xlfn.TEXTBEFORE(tblCost[[#This Row],[RequirementID]],".",-2),"cost.")</f>
        <v>citadel.cheese_cave</v>
      </c>
      <c r="C1219" s="41" t="str">
        <f>_xlfn.XLOOKUP(tblCost[[#This Row],[TargetID]],tblTargets[TargetID],tblTargets[DisplayName],"")</f>
        <v>Cheese Cave</v>
      </c>
      <c r="D1219" s="41" t="str">
        <f>_xlfn.XLOOKUP(tblCost[[#This Row],[TargetID]],tblTargets[TargetID],tblTargets[TargetType],"")</f>
        <v>CITADEL</v>
      </c>
      <c r="E1219" s="41" t="s">
        <v>677</v>
      </c>
      <c r="F1219" s="62" t="str">
        <f>RIGHT(tblCost[[#This Row],[RequirementID]],1)</f>
        <v>1</v>
      </c>
      <c r="G1219" s="41">
        <v>5</v>
      </c>
      <c r="H1219" t="b">
        <f>COUNTIFS(tblCostChecklist[RequirementID],tblCost[[#This Row],[RequirementID]],tblCostChecklist[PlayerPaid],TRUE)&gt;0</f>
        <v>0</v>
      </c>
      <c r="I1219" s="41">
        <f>COUNTIF(tblCost[TargetID],tblCost[[#This Row],[TargetID]])</f>
        <v>7</v>
      </c>
      <c r="J1219" s="41">
        <f>COUNTIFS(tblCost[TargetID],tblCost[[#This Row],[TargetID]],tblCost[PlayerPaid],TRUE)</f>
        <v>0</v>
      </c>
      <c r="K1219" s="41">
        <f>tblCost[[#This Row],[TargetRequirements]]-tblCost[[#This Row],[CompletedRequirements]]</f>
        <v>7</v>
      </c>
      <c r="L1219" s="41" t="b">
        <f>tblCost[[#This Row],[RemainingRequirements]]=0</f>
        <v>0</v>
      </c>
      <c r="M1219" s="43">
        <f>IF(tblCost[[#This Row],[TargetRequirements]]=0,0,tblCost[[#This Row],[CompletedRequirements]]/tblCost[[#This Row],[TargetRequirements]])</f>
        <v>0</v>
      </c>
    </row>
    <row r="1220" spans="1:13">
      <c r="A1220" s="41" t="s">
        <v>4857</v>
      </c>
      <c r="B1220" s="41" t="str">
        <f>_xlfn.TEXTAFTER(_xlfn.TEXTBEFORE(tblCost[[#This Row],[RequirementID]],".",-2),"cost.")</f>
        <v>citadel.cheese_cave</v>
      </c>
      <c r="C1220" s="41" t="str">
        <f>_xlfn.XLOOKUP(tblCost[[#This Row],[TargetID]],tblTargets[TargetID],tblTargets[DisplayName],"")</f>
        <v>Cheese Cave</v>
      </c>
      <c r="D1220" s="41" t="str">
        <f>_xlfn.XLOOKUP(tblCost[[#This Row],[TargetID]],tblTargets[TargetID],tblTargets[TargetType],"")</f>
        <v>CITADEL</v>
      </c>
      <c r="E1220" s="41" t="s">
        <v>701</v>
      </c>
      <c r="F1220" s="62" t="str">
        <f>RIGHT(tblCost[[#This Row],[RequirementID]],1)</f>
        <v>1</v>
      </c>
      <c r="G1220" s="41">
        <v>600</v>
      </c>
      <c r="H1220" t="b">
        <f>COUNTIFS(tblCostChecklist[RequirementID],tblCost[[#This Row],[RequirementID]],tblCostChecklist[PlayerPaid],TRUE)&gt;0</f>
        <v>0</v>
      </c>
      <c r="I1220" s="41">
        <f>COUNTIF(tblCost[TargetID],tblCost[[#This Row],[TargetID]])</f>
        <v>7</v>
      </c>
      <c r="J1220" s="41">
        <f>COUNTIFS(tblCost[TargetID],tblCost[[#This Row],[TargetID]],tblCost[PlayerPaid],TRUE)</f>
        <v>0</v>
      </c>
      <c r="K1220" s="41">
        <f>tblCost[[#This Row],[TargetRequirements]]-tblCost[[#This Row],[CompletedRequirements]]</f>
        <v>7</v>
      </c>
      <c r="L1220" s="41" t="b">
        <f>tblCost[[#This Row],[RemainingRequirements]]=0</f>
        <v>0</v>
      </c>
      <c r="M1220" s="43">
        <f>IF(tblCost[[#This Row],[TargetRequirements]]=0,0,tblCost[[#This Row],[CompletedRequirements]]/tblCost[[#This Row],[TargetRequirements]])</f>
        <v>0</v>
      </c>
    </row>
    <row r="1221" spans="1:13">
      <c r="A1221" s="41" t="s">
        <v>4858</v>
      </c>
      <c r="B1221" s="41" t="str">
        <f>_xlfn.TEXTAFTER(_xlfn.TEXTBEFORE(tblCost[[#This Row],[RequirementID]],".",-2),"cost.")</f>
        <v>citadel.cheese_cave</v>
      </c>
      <c r="C1221" s="41" t="str">
        <f>_xlfn.XLOOKUP(tblCost[[#This Row],[TargetID]],tblTargets[TargetID],tblTargets[DisplayName],"")</f>
        <v>Cheese Cave</v>
      </c>
      <c r="D1221" s="41" t="str">
        <f>_xlfn.XLOOKUP(tblCost[[#This Row],[TargetID]],tblTargets[TargetID],tblTargets[TargetType],"")</f>
        <v>CITADEL</v>
      </c>
      <c r="E1221" s="41" t="s">
        <v>708</v>
      </c>
      <c r="F1221" s="62" t="str">
        <f>RIGHT(tblCost[[#This Row],[RequirementID]],1)</f>
        <v>1</v>
      </c>
      <c r="G1221" s="41">
        <v>5</v>
      </c>
      <c r="H1221" t="b">
        <f>COUNTIFS(tblCostChecklist[RequirementID],tblCost[[#This Row],[RequirementID]],tblCostChecklist[PlayerPaid],TRUE)&gt;0</f>
        <v>0</v>
      </c>
      <c r="I1221" s="41">
        <f>COUNTIF(tblCost[TargetID],tblCost[[#This Row],[TargetID]])</f>
        <v>7</v>
      </c>
      <c r="J1221" s="41">
        <f>COUNTIFS(tblCost[TargetID],tblCost[[#This Row],[TargetID]],tblCost[PlayerPaid],TRUE)</f>
        <v>0</v>
      </c>
      <c r="K1221" s="41">
        <f>tblCost[[#This Row],[TargetRequirements]]-tblCost[[#This Row],[CompletedRequirements]]</f>
        <v>7</v>
      </c>
      <c r="L1221" s="41" t="b">
        <f>tblCost[[#This Row],[RemainingRequirements]]=0</f>
        <v>0</v>
      </c>
      <c r="M1221" s="43">
        <f>IF(tblCost[[#This Row],[TargetRequirements]]=0,0,tblCost[[#This Row],[CompletedRequirements]]/tblCost[[#This Row],[TargetRequirements]])</f>
        <v>0</v>
      </c>
    </row>
    <row r="1222" spans="1:13">
      <c r="A1222" s="41" t="s">
        <v>4859</v>
      </c>
      <c r="B1222" s="41" t="str">
        <f>_xlfn.TEXTAFTER(_xlfn.TEXTBEFORE(tblCost[[#This Row],[RequirementID]],".",-2),"cost.")</f>
        <v>citadel.cheese_cave</v>
      </c>
      <c r="C1222" s="41" t="str">
        <f>_xlfn.XLOOKUP(tblCost[[#This Row],[TargetID]],tblTargets[TargetID],tblTargets[DisplayName],"")</f>
        <v>Cheese Cave</v>
      </c>
      <c r="D1222" s="41" t="str">
        <f>_xlfn.XLOOKUP(tblCost[[#This Row],[TargetID]],tblTargets[TargetID],tblTargets[TargetType],"")</f>
        <v>CITADEL</v>
      </c>
      <c r="E1222" s="41" t="s">
        <v>1681</v>
      </c>
      <c r="F1222" s="62" t="str">
        <f>RIGHT(tblCost[[#This Row],[RequirementID]],1)</f>
        <v>1</v>
      </c>
      <c r="G1222" s="41">
        <v>10</v>
      </c>
      <c r="H1222" t="b">
        <f>COUNTIFS(tblCostChecklist[RequirementID],tblCost[[#This Row],[RequirementID]],tblCostChecklist[PlayerPaid],TRUE)&gt;0</f>
        <v>0</v>
      </c>
      <c r="I1222" s="41">
        <f>COUNTIF(tblCost[TargetID],tblCost[[#This Row],[TargetID]])</f>
        <v>7</v>
      </c>
      <c r="J1222" s="41">
        <f>COUNTIFS(tblCost[TargetID],tblCost[[#This Row],[TargetID]],tblCost[PlayerPaid],TRUE)</f>
        <v>0</v>
      </c>
      <c r="K1222" s="41">
        <f>tblCost[[#This Row],[TargetRequirements]]-tblCost[[#This Row],[CompletedRequirements]]</f>
        <v>7</v>
      </c>
      <c r="L1222" s="41" t="b">
        <f>tblCost[[#This Row],[RemainingRequirements]]=0</f>
        <v>0</v>
      </c>
      <c r="M1222" s="43">
        <f>IF(tblCost[[#This Row],[TargetRequirements]]=0,0,tblCost[[#This Row],[CompletedRequirements]]/tblCost[[#This Row],[TargetRequirements]])</f>
        <v>0</v>
      </c>
    </row>
    <row r="1223" spans="1:13">
      <c r="A1223" s="41" t="s">
        <v>4860</v>
      </c>
      <c r="B1223" s="41" t="str">
        <f>_xlfn.TEXTAFTER(_xlfn.TEXTBEFORE(tblCost[[#This Row],[RequirementID]],".",-2),"cost.")</f>
        <v>citadel.cheese_cave</v>
      </c>
      <c r="C1223" s="41" t="str">
        <f>_xlfn.XLOOKUP(tblCost[[#This Row],[TargetID]],tblTargets[TargetID],tblTargets[DisplayName],"")</f>
        <v>Cheese Cave</v>
      </c>
      <c r="D1223" s="41" t="str">
        <f>_xlfn.XLOOKUP(tblCost[[#This Row],[TargetID]],tblTargets[TargetID],tblTargets[TargetType],"")</f>
        <v>CITADEL</v>
      </c>
      <c r="E1223" s="41" t="s">
        <v>717</v>
      </c>
      <c r="F1223" s="62" t="str">
        <f>RIGHT(tblCost[[#This Row],[RequirementID]],1)</f>
        <v>1</v>
      </c>
      <c r="G1223" s="41">
        <v>100</v>
      </c>
      <c r="H1223" t="b">
        <f>COUNTIFS(tblCostChecklist[RequirementID],tblCost[[#This Row],[RequirementID]],tblCostChecklist[PlayerPaid],TRUE)&gt;0</f>
        <v>0</v>
      </c>
      <c r="I1223" s="41">
        <f>COUNTIF(tblCost[TargetID],tblCost[[#This Row],[TargetID]])</f>
        <v>7</v>
      </c>
      <c r="J1223" s="41">
        <f>COUNTIFS(tblCost[TargetID],tblCost[[#This Row],[TargetID]],tblCost[PlayerPaid],TRUE)</f>
        <v>0</v>
      </c>
      <c r="K1223" s="41">
        <f>tblCost[[#This Row],[TargetRequirements]]-tblCost[[#This Row],[CompletedRequirements]]</f>
        <v>7</v>
      </c>
      <c r="L1223" s="41" t="b">
        <f>tblCost[[#This Row],[RemainingRequirements]]=0</f>
        <v>0</v>
      </c>
      <c r="M1223" s="43">
        <f>IF(tblCost[[#This Row],[TargetRequirements]]=0,0,tblCost[[#This Row],[CompletedRequirements]]/tblCost[[#This Row],[TargetRequirements]])</f>
        <v>0</v>
      </c>
    </row>
    <row r="1224" spans="1:13">
      <c r="A1224" s="41" t="s">
        <v>4861</v>
      </c>
      <c r="B1224" s="41" t="str">
        <f>_xlfn.TEXTAFTER(_xlfn.TEXTBEFORE(tblCost[[#This Row],[RequirementID]],".",-2),"cost.")</f>
        <v>citadel.courtyard</v>
      </c>
      <c r="C1224" s="41" t="str">
        <f>_xlfn.XLOOKUP(tblCost[[#This Row],[TargetID]],tblTargets[TargetID],tblTargets[DisplayName],"")</f>
        <v>Courtyard</v>
      </c>
      <c r="D1224" s="41" t="str">
        <f>_xlfn.XLOOKUP(tblCost[[#This Row],[TargetID]],tblTargets[TargetID],tblTargets[TargetType],"")</f>
        <v>CITADEL</v>
      </c>
      <c r="E1224" s="41" t="s">
        <v>658</v>
      </c>
      <c r="F1224" s="62" t="str">
        <f>RIGHT(tblCost[[#This Row],[RequirementID]],1)</f>
        <v>1</v>
      </c>
      <c r="G1224" s="41">
        <v>500</v>
      </c>
      <c r="H1224" t="b">
        <f>COUNTIFS(tblCostChecklist[RequirementID],tblCost[[#This Row],[RequirementID]],tblCostChecklist[PlayerPaid],TRUE)&gt;0</f>
        <v>0</v>
      </c>
      <c r="I1224" s="41">
        <f>COUNTIF(tblCost[TargetID],tblCost[[#This Row],[TargetID]])</f>
        <v>5</v>
      </c>
      <c r="J1224" s="41">
        <f>COUNTIFS(tblCost[TargetID],tblCost[[#This Row],[TargetID]],tblCost[PlayerPaid],TRUE)</f>
        <v>0</v>
      </c>
      <c r="K1224" s="41">
        <f>tblCost[[#This Row],[TargetRequirements]]-tblCost[[#This Row],[CompletedRequirements]]</f>
        <v>5</v>
      </c>
      <c r="L1224" s="41" t="b">
        <f>tblCost[[#This Row],[RemainingRequirements]]=0</f>
        <v>0</v>
      </c>
      <c r="M1224" s="43">
        <f>IF(tblCost[[#This Row],[TargetRequirements]]=0,0,tblCost[[#This Row],[CompletedRequirements]]/tblCost[[#This Row],[TargetRequirements]])</f>
        <v>0</v>
      </c>
    </row>
    <row r="1225" spans="1:13">
      <c r="A1225" s="41" t="s">
        <v>4862</v>
      </c>
      <c r="B1225" s="41" t="str">
        <f>_xlfn.TEXTAFTER(_xlfn.TEXTBEFORE(tblCost[[#This Row],[RequirementID]],".",-2),"cost.")</f>
        <v>citadel.courtyard</v>
      </c>
      <c r="C1225" s="41" t="str">
        <f>_xlfn.XLOOKUP(tblCost[[#This Row],[TargetID]],tblTargets[TargetID],tblTargets[DisplayName],"")</f>
        <v>Courtyard</v>
      </c>
      <c r="D1225" s="41" t="str">
        <f>_xlfn.XLOOKUP(tblCost[[#This Row],[TargetID]],tblTargets[TargetID],tblTargets[TargetType],"")</f>
        <v>CITADEL</v>
      </c>
      <c r="E1225" s="41" t="s">
        <v>666</v>
      </c>
      <c r="F1225" s="62" t="str">
        <f>RIGHT(tblCost[[#This Row],[RequirementID]],1)</f>
        <v>1</v>
      </c>
      <c r="G1225" s="41">
        <v>500</v>
      </c>
      <c r="H1225" t="b">
        <f>COUNTIFS(tblCostChecklist[RequirementID],tblCost[[#This Row],[RequirementID]],tblCostChecklist[PlayerPaid],TRUE)&gt;0</f>
        <v>0</v>
      </c>
      <c r="I1225" s="41">
        <f>COUNTIF(tblCost[TargetID],tblCost[[#This Row],[TargetID]])</f>
        <v>5</v>
      </c>
      <c r="J1225" s="41">
        <f>COUNTIFS(tblCost[TargetID],tblCost[[#This Row],[TargetID]],tblCost[PlayerPaid],TRUE)</f>
        <v>0</v>
      </c>
      <c r="K1225" s="41">
        <f>tblCost[[#This Row],[TargetRequirements]]-tblCost[[#This Row],[CompletedRequirements]]</f>
        <v>5</v>
      </c>
      <c r="L1225" s="41" t="b">
        <f>tblCost[[#This Row],[RemainingRequirements]]=0</f>
        <v>0</v>
      </c>
      <c r="M1225" s="43">
        <f>IF(tblCost[[#This Row],[TargetRequirements]]=0,0,tblCost[[#This Row],[CompletedRequirements]]/tblCost[[#This Row],[TargetRequirements]])</f>
        <v>0</v>
      </c>
    </row>
    <row r="1226" spans="1:13">
      <c r="A1226" s="41" t="s">
        <v>4863</v>
      </c>
      <c r="B1226" s="41" t="str">
        <f>_xlfn.TEXTAFTER(_xlfn.TEXTBEFORE(tblCost[[#This Row],[RequirementID]],".",-2),"cost.")</f>
        <v>citadel.courtyard</v>
      </c>
      <c r="C1226" s="41" t="str">
        <f>_xlfn.XLOOKUP(tblCost[[#This Row],[TargetID]],tblTargets[TargetID],tblTargets[DisplayName],"")</f>
        <v>Courtyard</v>
      </c>
      <c r="D1226" s="41" t="str">
        <f>_xlfn.XLOOKUP(tblCost[[#This Row],[TargetID]],tblTargets[TargetID],tblTargets[TargetType],"")</f>
        <v>CITADEL</v>
      </c>
      <c r="E1226" s="41" t="s">
        <v>696</v>
      </c>
      <c r="F1226" s="62" t="str">
        <f>RIGHT(tblCost[[#This Row],[RequirementID]],1)</f>
        <v>1</v>
      </c>
      <c r="G1226" s="41">
        <v>15</v>
      </c>
      <c r="H1226" t="b">
        <f>COUNTIFS(tblCostChecklist[RequirementID],tblCost[[#This Row],[RequirementID]],tblCostChecklist[PlayerPaid],TRUE)&gt;0</f>
        <v>0</v>
      </c>
      <c r="I1226" s="41">
        <f>COUNTIF(tblCost[TargetID],tblCost[[#This Row],[TargetID]])</f>
        <v>5</v>
      </c>
      <c r="J1226" s="41">
        <f>COUNTIFS(tblCost[TargetID],tblCost[[#This Row],[TargetID]],tblCost[PlayerPaid],TRUE)</f>
        <v>0</v>
      </c>
      <c r="K1226" s="41">
        <f>tblCost[[#This Row],[TargetRequirements]]-tblCost[[#This Row],[CompletedRequirements]]</f>
        <v>5</v>
      </c>
      <c r="L1226" s="41" t="b">
        <f>tblCost[[#This Row],[RemainingRequirements]]=0</f>
        <v>0</v>
      </c>
      <c r="M1226" s="43">
        <f>IF(tblCost[[#This Row],[TargetRequirements]]=0,0,tblCost[[#This Row],[CompletedRequirements]]/tblCost[[#This Row],[TargetRequirements]])</f>
        <v>0</v>
      </c>
    </row>
    <row r="1227" spans="1:13">
      <c r="A1227" s="41" t="s">
        <v>4864</v>
      </c>
      <c r="B1227" s="41" t="str">
        <f>_xlfn.TEXTAFTER(_xlfn.TEXTBEFORE(tblCost[[#This Row],[RequirementID]],".",-2),"cost.")</f>
        <v>citadel.courtyard</v>
      </c>
      <c r="C1227" s="41" t="str">
        <f>_xlfn.XLOOKUP(tblCost[[#This Row],[TargetID]],tblTargets[TargetID],tblTargets[DisplayName],"")</f>
        <v>Courtyard</v>
      </c>
      <c r="D1227" s="41" t="str">
        <f>_xlfn.XLOOKUP(tblCost[[#This Row],[TargetID]],tblTargets[TargetID],tblTargets[TargetType],"")</f>
        <v>CITADEL</v>
      </c>
      <c r="E1227" s="41" t="s">
        <v>708</v>
      </c>
      <c r="F1227" s="62" t="str">
        <f>RIGHT(tblCost[[#This Row],[RequirementID]],1)</f>
        <v>1</v>
      </c>
      <c r="G1227" s="41">
        <v>3</v>
      </c>
      <c r="H1227" t="b">
        <f>COUNTIFS(tblCostChecklist[RequirementID],tblCost[[#This Row],[RequirementID]],tblCostChecklist[PlayerPaid],TRUE)&gt;0</f>
        <v>0</v>
      </c>
      <c r="I1227" s="41">
        <f>COUNTIF(tblCost[TargetID],tblCost[[#This Row],[TargetID]])</f>
        <v>5</v>
      </c>
      <c r="J1227" s="41">
        <f>COUNTIFS(tblCost[TargetID],tblCost[[#This Row],[TargetID]],tblCost[PlayerPaid],TRUE)</f>
        <v>0</v>
      </c>
      <c r="K1227" s="41">
        <f>tblCost[[#This Row],[TargetRequirements]]-tblCost[[#This Row],[CompletedRequirements]]</f>
        <v>5</v>
      </c>
      <c r="L1227" s="41" t="b">
        <f>tblCost[[#This Row],[RemainingRequirements]]=0</f>
        <v>0</v>
      </c>
      <c r="M1227" s="43">
        <f>IF(tblCost[[#This Row],[TargetRequirements]]=0,0,tblCost[[#This Row],[CompletedRequirements]]/tblCost[[#This Row],[TargetRequirements]])</f>
        <v>0</v>
      </c>
    </row>
    <row r="1228" spans="1:13">
      <c r="A1228" s="41" t="s">
        <v>4865</v>
      </c>
      <c r="B1228" s="41" t="str">
        <f>_xlfn.TEXTAFTER(_xlfn.TEXTBEFORE(tblCost[[#This Row],[RequirementID]],".",-2),"cost.")</f>
        <v>citadel.courtyard</v>
      </c>
      <c r="C1228" s="41" t="str">
        <f>_xlfn.XLOOKUP(tblCost[[#This Row],[TargetID]],tblTargets[TargetID],tblTargets[DisplayName],"")</f>
        <v>Courtyard</v>
      </c>
      <c r="D1228" s="41" t="str">
        <f>_xlfn.XLOOKUP(tblCost[[#This Row],[TargetID]],tblTargets[TargetID],tblTargets[TargetType],"")</f>
        <v>CITADEL</v>
      </c>
      <c r="E1228" s="41" t="s">
        <v>717</v>
      </c>
      <c r="F1228" s="62" t="str">
        <f>RIGHT(tblCost[[#This Row],[RequirementID]],1)</f>
        <v>1</v>
      </c>
      <c r="G1228" s="41">
        <v>500</v>
      </c>
      <c r="H1228" t="b">
        <f>COUNTIFS(tblCostChecklist[RequirementID],tblCost[[#This Row],[RequirementID]],tblCostChecklist[PlayerPaid],TRUE)&gt;0</f>
        <v>0</v>
      </c>
      <c r="I1228" s="41">
        <f>COUNTIF(tblCost[TargetID],tblCost[[#This Row],[TargetID]])</f>
        <v>5</v>
      </c>
      <c r="J1228" s="41">
        <f>COUNTIFS(tblCost[TargetID],tblCost[[#This Row],[TargetID]],tblCost[PlayerPaid],TRUE)</f>
        <v>0</v>
      </c>
      <c r="K1228" s="41">
        <f>tblCost[[#This Row],[TargetRequirements]]-tblCost[[#This Row],[CompletedRequirements]]</f>
        <v>5</v>
      </c>
      <c r="L1228" s="41" t="b">
        <f>tblCost[[#This Row],[RemainingRequirements]]=0</f>
        <v>0</v>
      </c>
      <c r="M1228" s="43">
        <f>IF(tblCost[[#This Row],[TargetRequirements]]=0,0,tblCost[[#This Row],[CompletedRequirements]]/tblCost[[#This Row],[TargetRequirements]])</f>
        <v>0</v>
      </c>
    </row>
    <row r="1229" spans="1:13">
      <c r="A1229" s="41" t="s">
        <v>4866</v>
      </c>
      <c r="B1229" s="41" t="str">
        <f>_xlfn.TEXTAFTER(_xlfn.TEXTBEFORE(tblCost[[#This Row],[RequirementID]],".",-2),"cost.")</f>
        <v>citadel.gallery</v>
      </c>
      <c r="C1229" s="41" t="str">
        <f>_xlfn.XLOOKUP(tblCost[[#This Row],[TargetID]],tblTargets[TargetID],tblTargets[DisplayName],"")</f>
        <v>Gallery</v>
      </c>
      <c r="D1229" s="41" t="str">
        <f>_xlfn.XLOOKUP(tblCost[[#This Row],[TargetID]],tblTargets[TargetID],tblTargets[TargetType],"")</f>
        <v>CITADEL</v>
      </c>
      <c r="E1229" s="41" t="s">
        <v>658</v>
      </c>
      <c r="F1229" s="62" t="str">
        <f>RIGHT(tblCost[[#This Row],[RequirementID]],1)</f>
        <v>1</v>
      </c>
      <c r="G1229" s="41">
        <v>500</v>
      </c>
      <c r="H1229" t="b">
        <f>COUNTIFS(tblCostChecklist[RequirementID],tblCost[[#This Row],[RequirementID]],tblCostChecklist[PlayerPaid],TRUE)&gt;0</f>
        <v>0</v>
      </c>
      <c r="I1229" s="41">
        <f>COUNTIF(tblCost[TargetID],tblCost[[#This Row],[TargetID]])</f>
        <v>6</v>
      </c>
      <c r="J1229" s="41">
        <f>COUNTIFS(tblCost[TargetID],tblCost[[#This Row],[TargetID]],tblCost[PlayerPaid],TRUE)</f>
        <v>0</v>
      </c>
      <c r="K1229" s="41">
        <f>tblCost[[#This Row],[TargetRequirements]]-tblCost[[#This Row],[CompletedRequirements]]</f>
        <v>6</v>
      </c>
      <c r="L1229" s="41" t="b">
        <f>tblCost[[#This Row],[RemainingRequirements]]=0</f>
        <v>0</v>
      </c>
      <c r="M1229" s="43">
        <f>IF(tblCost[[#This Row],[TargetRequirements]]=0,0,tblCost[[#This Row],[CompletedRequirements]]/tblCost[[#This Row],[TargetRequirements]])</f>
        <v>0</v>
      </c>
    </row>
    <row r="1230" spans="1:13">
      <c r="A1230" s="41" t="s">
        <v>4867</v>
      </c>
      <c r="B1230" s="41" t="str">
        <f>_xlfn.TEXTAFTER(_xlfn.TEXTBEFORE(tblCost[[#This Row],[RequirementID]],".",-2),"cost.")</f>
        <v>citadel.gallery</v>
      </c>
      <c r="C1230" s="41" t="str">
        <f>_xlfn.XLOOKUP(tblCost[[#This Row],[TargetID]],tblTargets[TargetID],tblTargets[DisplayName],"")</f>
        <v>Gallery</v>
      </c>
      <c r="D1230" s="41" t="str">
        <f>_xlfn.XLOOKUP(tblCost[[#This Row],[TargetID]],tblTargets[TargetID],tblTargets[TargetType],"")</f>
        <v>CITADEL</v>
      </c>
      <c r="E1230" s="41" t="s">
        <v>666</v>
      </c>
      <c r="F1230" s="62" t="str">
        <f>RIGHT(tblCost[[#This Row],[RequirementID]],1)</f>
        <v>1</v>
      </c>
      <c r="G1230" s="41">
        <v>500</v>
      </c>
      <c r="H1230" t="b">
        <f>COUNTIFS(tblCostChecklist[RequirementID],tblCost[[#This Row],[RequirementID]],tblCostChecklist[PlayerPaid],TRUE)&gt;0</f>
        <v>0</v>
      </c>
      <c r="I1230" s="41">
        <f>COUNTIF(tblCost[TargetID],tblCost[[#This Row],[TargetID]])</f>
        <v>6</v>
      </c>
      <c r="J1230" s="41">
        <f>COUNTIFS(tblCost[TargetID],tblCost[[#This Row],[TargetID]],tblCost[PlayerPaid],TRUE)</f>
        <v>0</v>
      </c>
      <c r="K1230" s="41">
        <f>tblCost[[#This Row],[TargetRequirements]]-tblCost[[#This Row],[CompletedRequirements]]</f>
        <v>6</v>
      </c>
      <c r="L1230" s="41" t="b">
        <f>tblCost[[#This Row],[RemainingRequirements]]=0</f>
        <v>0</v>
      </c>
      <c r="M1230" s="43">
        <f>IF(tblCost[[#This Row],[TargetRequirements]]=0,0,tblCost[[#This Row],[CompletedRequirements]]/tblCost[[#This Row],[TargetRequirements]])</f>
        <v>0</v>
      </c>
    </row>
    <row r="1231" spans="1:13">
      <c r="A1231" s="41" t="s">
        <v>4868</v>
      </c>
      <c r="B1231" s="41" t="str">
        <f>_xlfn.TEXTAFTER(_xlfn.TEXTBEFORE(tblCost[[#This Row],[RequirementID]],".",-2),"cost.")</f>
        <v>citadel.gallery</v>
      </c>
      <c r="C1231" s="41" t="str">
        <f>_xlfn.XLOOKUP(tblCost[[#This Row],[TargetID]],tblTargets[TargetID],tblTargets[DisplayName],"")</f>
        <v>Gallery</v>
      </c>
      <c r="D1231" s="41" t="str">
        <f>_xlfn.XLOOKUP(tblCost[[#This Row],[TargetID]],tblTargets[TargetID],tblTargets[TargetType],"")</f>
        <v>CITADEL</v>
      </c>
      <c r="E1231" s="41" t="s">
        <v>696</v>
      </c>
      <c r="F1231" s="62" t="str">
        <f>RIGHT(tblCost[[#This Row],[RequirementID]],1)</f>
        <v>1</v>
      </c>
      <c r="G1231" s="41">
        <v>15</v>
      </c>
      <c r="H1231" t="b">
        <f>COUNTIFS(tblCostChecklist[RequirementID],tblCost[[#This Row],[RequirementID]],tblCostChecklist[PlayerPaid],TRUE)&gt;0</f>
        <v>0</v>
      </c>
      <c r="I1231" s="41">
        <f>COUNTIF(tblCost[TargetID],tblCost[[#This Row],[TargetID]])</f>
        <v>6</v>
      </c>
      <c r="J1231" s="41">
        <f>COUNTIFS(tblCost[TargetID],tblCost[[#This Row],[TargetID]],tblCost[PlayerPaid],TRUE)</f>
        <v>0</v>
      </c>
      <c r="K1231" s="41">
        <f>tblCost[[#This Row],[TargetRequirements]]-tblCost[[#This Row],[CompletedRequirements]]</f>
        <v>6</v>
      </c>
      <c r="L1231" s="41" t="b">
        <f>tblCost[[#This Row],[RemainingRequirements]]=0</f>
        <v>0</v>
      </c>
      <c r="M1231" s="43">
        <f>IF(tblCost[[#This Row],[TargetRequirements]]=0,0,tblCost[[#This Row],[CompletedRequirements]]/tblCost[[#This Row],[TargetRequirements]])</f>
        <v>0</v>
      </c>
    </row>
    <row r="1232" spans="1:13">
      <c r="A1232" s="41" t="s">
        <v>4869</v>
      </c>
      <c r="B1232" s="41" t="str">
        <f>_xlfn.TEXTAFTER(_xlfn.TEXTBEFORE(tblCost[[#This Row],[RequirementID]],".",-2),"cost.")</f>
        <v>citadel.gallery</v>
      </c>
      <c r="C1232" s="41" t="str">
        <f>_xlfn.XLOOKUP(tblCost[[#This Row],[TargetID]],tblTargets[TargetID],tblTargets[DisplayName],"")</f>
        <v>Gallery</v>
      </c>
      <c r="D1232" s="41" t="str">
        <f>_xlfn.XLOOKUP(tblCost[[#This Row],[TargetID]],tblTargets[TargetID],tblTargets[TargetType],"")</f>
        <v>CITADEL</v>
      </c>
      <c r="E1232" s="41" t="s">
        <v>708</v>
      </c>
      <c r="F1232" s="62" t="str">
        <f>RIGHT(tblCost[[#This Row],[RequirementID]],1)</f>
        <v>1</v>
      </c>
      <c r="G1232" s="41">
        <v>3</v>
      </c>
      <c r="H1232" t="b">
        <f>COUNTIFS(tblCostChecklist[RequirementID],tblCost[[#This Row],[RequirementID]],tblCostChecklist[PlayerPaid],TRUE)&gt;0</f>
        <v>0</v>
      </c>
      <c r="I1232" s="41">
        <f>COUNTIF(tblCost[TargetID],tblCost[[#This Row],[TargetID]])</f>
        <v>6</v>
      </c>
      <c r="J1232" s="41">
        <f>COUNTIFS(tblCost[TargetID],tblCost[[#This Row],[TargetID]],tblCost[PlayerPaid],TRUE)</f>
        <v>0</v>
      </c>
      <c r="K1232" s="41">
        <f>tblCost[[#This Row],[TargetRequirements]]-tblCost[[#This Row],[CompletedRequirements]]</f>
        <v>6</v>
      </c>
      <c r="L1232" s="41" t="b">
        <f>tblCost[[#This Row],[RemainingRequirements]]=0</f>
        <v>0</v>
      </c>
      <c r="M1232" s="43">
        <f>IF(tblCost[[#This Row],[TargetRequirements]]=0,0,tblCost[[#This Row],[CompletedRequirements]]/tblCost[[#This Row],[TargetRequirements]])</f>
        <v>0</v>
      </c>
    </row>
    <row r="1233" spans="1:13">
      <c r="A1233" s="41" t="s">
        <v>4870</v>
      </c>
      <c r="B1233" s="41" t="str">
        <f>_xlfn.TEXTAFTER(_xlfn.TEXTBEFORE(tblCost[[#This Row],[RequirementID]],".",-2),"cost.")</f>
        <v>citadel.gallery</v>
      </c>
      <c r="C1233" s="41" t="str">
        <f>_xlfn.XLOOKUP(tblCost[[#This Row],[TargetID]],tblTargets[TargetID],tblTargets[DisplayName],"")</f>
        <v>Gallery</v>
      </c>
      <c r="D1233" s="41" t="str">
        <f>_xlfn.XLOOKUP(tblCost[[#This Row],[TargetID]],tblTargets[TargetID],tblTargets[TargetType],"")</f>
        <v>CITADEL</v>
      </c>
      <c r="E1233" s="41" t="s">
        <v>716</v>
      </c>
      <c r="F1233" s="62" t="str">
        <f>RIGHT(tblCost[[#This Row],[RequirementID]],1)</f>
        <v>1</v>
      </c>
      <c r="G1233" s="41">
        <v>100</v>
      </c>
      <c r="H1233" t="b">
        <f>COUNTIFS(tblCostChecklist[RequirementID],tblCost[[#This Row],[RequirementID]],tblCostChecklist[PlayerPaid],TRUE)&gt;0</f>
        <v>0</v>
      </c>
      <c r="I1233" s="41">
        <f>COUNTIF(tblCost[TargetID],tblCost[[#This Row],[TargetID]])</f>
        <v>6</v>
      </c>
      <c r="J1233" s="41">
        <f>COUNTIFS(tblCost[TargetID],tblCost[[#This Row],[TargetID]],tblCost[PlayerPaid],TRUE)</f>
        <v>0</v>
      </c>
      <c r="K1233" s="41">
        <f>tblCost[[#This Row],[TargetRequirements]]-tblCost[[#This Row],[CompletedRequirements]]</f>
        <v>6</v>
      </c>
      <c r="L1233" s="41" t="b">
        <f>tblCost[[#This Row],[RemainingRequirements]]=0</f>
        <v>0</v>
      </c>
      <c r="M1233" s="43">
        <f>IF(tblCost[[#This Row],[TargetRequirements]]=0,0,tblCost[[#This Row],[CompletedRequirements]]/tblCost[[#This Row],[TargetRequirements]])</f>
        <v>0</v>
      </c>
    </row>
    <row r="1234" spans="1:13">
      <c r="A1234" s="41" t="s">
        <v>4871</v>
      </c>
      <c r="B1234" s="41" t="str">
        <f>_xlfn.TEXTAFTER(_xlfn.TEXTBEFORE(tblCost[[#This Row],[RequirementID]],".",-2),"cost.")</f>
        <v>citadel.gallery</v>
      </c>
      <c r="C1234" s="41" t="str">
        <f>_xlfn.XLOOKUP(tblCost[[#This Row],[TargetID]],tblTargets[TargetID],tblTargets[DisplayName],"")</f>
        <v>Gallery</v>
      </c>
      <c r="D1234" s="41" t="str">
        <f>_xlfn.XLOOKUP(tblCost[[#This Row],[TargetID]],tblTargets[TargetID],tblTargets[TargetType],"")</f>
        <v>CITADEL</v>
      </c>
      <c r="E1234" s="41" t="s">
        <v>717</v>
      </c>
      <c r="F1234" s="62" t="str">
        <f>RIGHT(tblCost[[#This Row],[RequirementID]],1)</f>
        <v>1</v>
      </c>
      <c r="G1234" s="41">
        <v>500</v>
      </c>
      <c r="H1234" t="b">
        <f>COUNTIFS(tblCostChecklist[RequirementID],tblCost[[#This Row],[RequirementID]],tblCostChecklist[PlayerPaid],TRUE)&gt;0</f>
        <v>0</v>
      </c>
      <c r="I1234" s="41">
        <f>COUNTIF(tblCost[TargetID],tblCost[[#This Row],[TargetID]])</f>
        <v>6</v>
      </c>
      <c r="J1234" s="41">
        <f>COUNTIFS(tblCost[TargetID],tblCost[[#This Row],[TargetID]],tblCost[PlayerPaid],TRUE)</f>
        <v>0</v>
      </c>
      <c r="K1234" s="41">
        <f>tblCost[[#This Row],[TargetRequirements]]-tblCost[[#This Row],[CompletedRequirements]]</f>
        <v>6</v>
      </c>
      <c r="L1234" s="41" t="b">
        <f>tblCost[[#This Row],[RemainingRequirements]]=0</f>
        <v>0</v>
      </c>
      <c r="M1234" s="43">
        <f>IF(tblCost[[#This Row],[TargetRequirements]]=0,0,tblCost[[#This Row],[CompletedRequirements]]/tblCost[[#This Row],[TargetRequirements]])</f>
        <v>0</v>
      </c>
    </row>
    <row r="1235" spans="1:13">
      <c r="A1235" s="41" t="s">
        <v>4872</v>
      </c>
      <c r="B1235" s="41" t="str">
        <f>_xlfn.TEXTAFTER(_xlfn.TEXTBEFORE(tblCost[[#This Row],[RequirementID]],".",-2),"cost.")</f>
        <v>citadel.great_hall</v>
      </c>
      <c r="C1235" s="41" t="str">
        <f>_xlfn.XLOOKUP(tblCost[[#This Row],[TargetID]],tblTargets[TargetID],tblTargets[DisplayName],"")</f>
        <v>Great Hall</v>
      </c>
      <c r="D1235" s="41" t="str">
        <f>_xlfn.XLOOKUP(tblCost[[#This Row],[TargetID]],tblTargets[TargetID],tblTargets[TargetType],"")</f>
        <v>CITADEL</v>
      </c>
      <c r="E1235" s="41" t="s">
        <v>658</v>
      </c>
      <c r="F1235" s="62" t="str">
        <f>RIGHT(tblCost[[#This Row],[RequirementID]],1)</f>
        <v>1</v>
      </c>
      <c r="G1235" s="41">
        <v>600</v>
      </c>
      <c r="H1235" t="b">
        <f>COUNTIFS(tblCostChecklist[RequirementID],tblCost[[#This Row],[RequirementID]],tblCostChecklist[PlayerPaid],TRUE)&gt;0</f>
        <v>0</v>
      </c>
      <c r="I1235" s="41">
        <f>COUNTIF(tblCost[TargetID],tblCost[[#This Row],[TargetID]])</f>
        <v>5</v>
      </c>
      <c r="J1235" s="41">
        <f>COUNTIFS(tblCost[TargetID],tblCost[[#This Row],[TargetID]],tblCost[PlayerPaid],TRUE)</f>
        <v>0</v>
      </c>
      <c r="K1235" s="41">
        <f>tblCost[[#This Row],[TargetRequirements]]-tblCost[[#This Row],[CompletedRequirements]]</f>
        <v>5</v>
      </c>
      <c r="L1235" s="41" t="b">
        <f>tblCost[[#This Row],[RemainingRequirements]]=0</f>
        <v>0</v>
      </c>
      <c r="M1235" s="43">
        <f>IF(tblCost[[#This Row],[TargetRequirements]]=0,0,tblCost[[#This Row],[CompletedRequirements]]/tblCost[[#This Row],[TargetRequirements]])</f>
        <v>0</v>
      </c>
    </row>
    <row r="1236" spans="1:13">
      <c r="A1236" s="41" t="s">
        <v>4873</v>
      </c>
      <c r="B1236" s="41" t="str">
        <f>_xlfn.TEXTAFTER(_xlfn.TEXTBEFORE(tblCost[[#This Row],[RequirementID]],".",-2),"cost.")</f>
        <v>citadel.great_hall</v>
      </c>
      <c r="C1236" s="41" t="str">
        <f>_xlfn.XLOOKUP(tblCost[[#This Row],[TargetID]],tblTargets[TargetID],tblTargets[DisplayName],"")</f>
        <v>Great Hall</v>
      </c>
      <c r="D1236" s="41" t="str">
        <f>_xlfn.XLOOKUP(tblCost[[#This Row],[TargetID]],tblTargets[TargetID],tblTargets[TargetType],"")</f>
        <v>CITADEL</v>
      </c>
      <c r="E1236" s="41" t="s">
        <v>666</v>
      </c>
      <c r="F1236" s="62" t="str">
        <f>RIGHT(tblCost[[#This Row],[RequirementID]],1)</f>
        <v>1</v>
      </c>
      <c r="G1236" s="41">
        <v>800</v>
      </c>
      <c r="H1236" t="b">
        <f>COUNTIFS(tblCostChecklist[RequirementID],tblCost[[#This Row],[RequirementID]],tblCostChecklist[PlayerPaid],TRUE)&gt;0</f>
        <v>0</v>
      </c>
      <c r="I1236" s="41">
        <f>COUNTIF(tblCost[TargetID],tblCost[[#This Row],[TargetID]])</f>
        <v>5</v>
      </c>
      <c r="J1236" s="41">
        <f>COUNTIFS(tblCost[TargetID],tblCost[[#This Row],[TargetID]],tblCost[PlayerPaid],TRUE)</f>
        <v>0</v>
      </c>
      <c r="K1236" s="41">
        <f>tblCost[[#This Row],[TargetRequirements]]-tblCost[[#This Row],[CompletedRequirements]]</f>
        <v>5</v>
      </c>
      <c r="L1236" s="41" t="b">
        <f>tblCost[[#This Row],[RemainingRequirements]]=0</f>
        <v>0</v>
      </c>
      <c r="M1236" s="43">
        <f>IF(tblCost[[#This Row],[TargetRequirements]]=0,0,tblCost[[#This Row],[CompletedRequirements]]/tblCost[[#This Row],[TargetRequirements]])</f>
        <v>0</v>
      </c>
    </row>
    <row r="1237" spans="1:13">
      <c r="A1237" s="41" t="s">
        <v>4874</v>
      </c>
      <c r="B1237" s="41" t="str">
        <f>_xlfn.TEXTAFTER(_xlfn.TEXTBEFORE(tblCost[[#This Row],[RequirementID]],".",-2),"cost.")</f>
        <v>citadel.great_hall</v>
      </c>
      <c r="C1237" s="41" t="str">
        <f>_xlfn.XLOOKUP(tblCost[[#This Row],[TargetID]],tblTargets[TargetID],tblTargets[DisplayName],"")</f>
        <v>Great Hall</v>
      </c>
      <c r="D1237" s="41" t="str">
        <f>_xlfn.XLOOKUP(tblCost[[#This Row],[TargetID]],tblTargets[TargetID],tblTargets[TargetType],"")</f>
        <v>CITADEL</v>
      </c>
      <c r="E1237" s="41" t="s">
        <v>696</v>
      </c>
      <c r="F1237" s="62" t="str">
        <f>RIGHT(tblCost[[#This Row],[RequirementID]],1)</f>
        <v>1</v>
      </c>
      <c r="G1237" s="41">
        <v>20</v>
      </c>
      <c r="H1237" t="b">
        <f>COUNTIFS(tblCostChecklist[RequirementID],tblCost[[#This Row],[RequirementID]],tblCostChecklist[PlayerPaid],TRUE)&gt;0</f>
        <v>0</v>
      </c>
      <c r="I1237" s="41">
        <f>COUNTIF(tblCost[TargetID],tblCost[[#This Row],[TargetID]])</f>
        <v>5</v>
      </c>
      <c r="J1237" s="41">
        <f>COUNTIFS(tblCost[TargetID],tblCost[[#This Row],[TargetID]],tblCost[PlayerPaid],TRUE)</f>
        <v>0</v>
      </c>
      <c r="K1237" s="41">
        <f>tblCost[[#This Row],[TargetRequirements]]-tblCost[[#This Row],[CompletedRequirements]]</f>
        <v>5</v>
      </c>
      <c r="L1237" s="41" t="b">
        <f>tblCost[[#This Row],[RemainingRequirements]]=0</f>
        <v>0</v>
      </c>
      <c r="M1237" s="43">
        <f>IF(tblCost[[#This Row],[TargetRequirements]]=0,0,tblCost[[#This Row],[CompletedRequirements]]/tblCost[[#This Row],[TargetRequirements]])</f>
        <v>0</v>
      </c>
    </row>
    <row r="1238" spans="1:13">
      <c r="A1238" s="41" t="s">
        <v>4875</v>
      </c>
      <c r="B1238" s="41" t="str">
        <f>_xlfn.TEXTAFTER(_xlfn.TEXTBEFORE(tblCost[[#This Row],[RequirementID]],".",-2),"cost.")</f>
        <v>citadel.great_hall</v>
      </c>
      <c r="C1238" s="41" t="str">
        <f>_xlfn.XLOOKUP(tblCost[[#This Row],[TargetID]],tblTargets[TargetID],tblTargets[DisplayName],"")</f>
        <v>Great Hall</v>
      </c>
      <c r="D1238" s="41" t="str">
        <f>_xlfn.XLOOKUP(tblCost[[#This Row],[TargetID]],tblTargets[TargetID],tblTargets[TargetType],"")</f>
        <v>CITADEL</v>
      </c>
      <c r="E1238" s="41" t="s">
        <v>708</v>
      </c>
      <c r="F1238" s="62" t="str">
        <f>RIGHT(tblCost[[#This Row],[RequirementID]],1)</f>
        <v>1</v>
      </c>
      <c r="G1238" s="41">
        <v>5</v>
      </c>
      <c r="H1238" t="b">
        <f>COUNTIFS(tblCostChecklist[RequirementID],tblCost[[#This Row],[RequirementID]],tblCostChecklist[PlayerPaid],TRUE)&gt;0</f>
        <v>0</v>
      </c>
      <c r="I1238" s="41">
        <f>COUNTIF(tblCost[TargetID],tblCost[[#This Row],[TargetID]])</f>
        <v>5</v>
      </c>
      <c r="J1238" s="41">
        <f>COUNTIFS(tblCost[TargetID],tblCost[[#This Row],[TargetID]],tblCost[PlayerPaid],TRUE)</f>
        <v>0</v>
      </c>
      <c r="K1238" s="41">
        <f>tblCost[[#This Row],[TargetRequirements]]-tblCost[[#This Row],[CompletedRequirements]]</f>
        <v>5</v>
      </c>
      <c r="L1238" s="41" t="b">
        <f>tblCost[[#This Row],[RemainingRequirements]]=0</f>
        <v>0</v>
      </c>
      <c r="M1238" s="43">
        <f>IF(tblCost[[#This Row],[TargetRequirements]]=0,0,tblCost[[#This Row],[CompletedRequirements]]/tblCost[[#This Row],[TargetRequirements]])</f>
        <v>0</v>
      </c>
    </row>
    <row r="1239" spans="1:13">
      <c r="A1239" s="41" t="s">
        <v>4876</v>
      </c>
      <c r="B1239" s="41" t="str">
        <f>_xlfn.TEXTAFTER(_xlfn.TEXTBEFORE(tblCost[[#This Row],[RequirementID]],".",-2),"cost.")</f>
        <v>citadel.great_hall</v>
      </c>
      <c r="C1239" s="41" t="str">
        <f>_xlfn.XLOOKUP(tblCost[[#This Row],[TargetID]],tblTargets[TargetID],tblTargets[DisplayName],"")</f>
        <v>Great Hall</v>
      </c>
      <c r="D1239" s="41" t="str">
        <f>_xlfn.XLOOKUP(tblCost[[#This Row],[TargetID]],tblTargets[TargetID],tblTargets[TargetType],"")</f>
        <v>CITADEL</v>
      </c>
      <c r="E1239" s="41" t="s">
        <v>717</v>
      </c>
      <c r="F1239" s="62" t="str">
        <f>RIGHT(tblCost[[#This Row],[RequirementID]],1)</f>
        <v>1</v>
      </c>
      <c r="G1239" s="41">
        <v>600</v>
      </c>
      <c r="H1239" t="b">
        <f>COUNTIFS(tblCostChecklist[RequirementID],tblCost[[#This Row],[RequirementID]],tblCostChecklist[PlayerPaid],TRUE)&gt;0</f>
        <v>0</v>
      </c>
      <c r="I1239" s="41">
        <f>COUNTIF(tblCost[TargetID],tblCost[[#This Row],[TargetID]])</f>
        <v>5</v>
      </c>
      <c r="J1239" s="41">
        <f>COUNTIFS(tblCost[TargetID],tblCost[[#This Row],[TargetID]],tblCost[PlayerPaid],TRUE)</f>
        <v>0</v>
      </c>
      <c r="K1239" s="41">
        <f>tblCost[[#This Row],[TargetRequirements]]-tblCost[[#This Row],[CompletedRequirements]]</f>
        <v>5</v>
      </c>
      <c r="L1239" s="41" t="b">
        <f>tblCost[[#This Row],[RemainingRequirements]]=0</f>
        <v>0</v>
      </c>
      <c r="M1239" s="43">
        <f>IF(tblCost[[#This Row],[TargetRequirements]]=0,0,tblCost[[#This Row],[CompletedRequirements]]/tblCost[[#This Row],[TargetRequirements]])</f>
        <v>0</v>
      </c>
    </row>
    <row r="1240" spans="1:13">
      <c r="A1240" s="41" t="s">
        <v>4877</v>
      </c>
      <c r="B1240" s="41" t="str">
        <f>_xlfn.TEXTAFTER(_xlfn.TEXTBEFORE(tblCost[[#This Row],[RequirementID]],".",-2),"cost.")</f>
        <v>citadel.kitchen_and_buttery</v>
      </c>
      <c r="C1240" s="41" t="str">
        <f>_xlfn.XLOOKUP(tblCost[[#This Row],[TargetID]],tblTargets[TargetID],tblTargets[DisplayName],"")</f>
        <v>Kitchen and Buttery</v>
      </c>
      <c r="D1240" s="41" t="str">
        <f>_xlfn.XLOOKUP(tblCost[[#This Row],[TargetID]],tblTargets[TargetID],tblTargets[TargetType],"")</f>
        <v>CITADEL</v>
      </c>
      <c r="E1240" s="41" t="s">
        <v>658</v>
      </c>
      <c r="F1240" s="62" t="str">
        <f>RIGHT(tblCost[[#This Row],[RequirementID]],1)</f>
        <v>1</v>
      </c>
      <c r="G1240" s="41">
        <v>400</v>
      </c>
      <c r="H1240" t="b">
        <f>COUNTIFS(tblCostChecklist[RequirementID],tblCost[[#This Row],[RequirementID]],tblCostChecklist[PlayerPaid],TRUE)&gt;0</f>
        <v>0</v>
      </c>
      <c r="I1240" s="41">
        <f>COUNTIF(tblCost[TargetID],tblCost[[#This Row],[TargetID]])</f>
        <v>5</v>
      </c>
      <c r="J1240" s="41">
        <f>COUNTIFS(tblCost[TargetID],tblCost[[#This Row],[TargetID]],tblCost[PlayerPaid],TRUE)</f>
        <v>0</v>
      </c>
      <c r="K1240" s="41">
        <f>tblCost[[#This Row],[TargetRequirements]]-tblCost[[#This Row],[CompletedRequirements]]</f>
        <v>5</v>
      </c>
      <c r="L1240" s="41" t="b">
        <f>tblCost[[#This Row],[RemainingRequirements]]=0</f>
        <v>0</v>
      </c>
      <c r="M1240" s="43">
        <f>IF(tblCost[[#This Row],[TargetRequirements]]=0,0,tblCost[[#This Row],[CompletedRequirements]]/tblCost[[#This Row],[TargetRequirements]])</f>
        <v>0</v>
      </c>
    </row>
    <row r="1241" spans="1:13">
      <c r="A1241" s="41" t="s">
        <v>4878</v>
      </c>
      <c r="B1241" s="41" t="str">
        <f>_xlfn.TEXTAFTER(_xlfn.TEXTBEFORE(tblCost[[#This Row],[RequirementID]],".",-2),"cost.")</f>
        <v>citadel.kitchen_and_buttery</v>
      </c>
      <c r="C1241" s="41" t="str">
        <f>_xlfn.XLOOKUP(tblCost[[#This Row],[TargetID]],tblTargets[TargetID],tblTargets[DisplayName],"")</f>
        <v>Kitchen and Buttery</v>
      </c>
      <c r="D1241" s="41" t="str">
        <f>_xlfn.XLOOKUP(tblCost[[#This Row],[TargetID]],tblTargets[TargetID],tblTargets[TargetType],"")</f>
        <v>CITADEL</v>
      </c>
      <c r="E1241" s="41" t="s">
        <v>666</v>
      </c>
      <c r="F1241" s="62" t="str">
        <f>RIGHT(tblCost[[#This Row],[RequirementID]],1)</f>
        <v>1</v>
      </c>
      <c r="G1241" s="41">
        <v>400</v>
      </c>
      <c r="H1241" t="b">
        <f>COUNTIFS(tblCostChecklist[RequirementID],tblCost[[#This Row],[RequirementID]],tblCostChecklist[PlayerPaid],TRUE)&gt;0</f>
        <v>0</v>
      </c>
      <c r="I1241" s="41">
        <f>COUNTIF(tblCost[TargetID],tblCost[[#This Row],[TargetID]])</f>
        <v>5</v>
      </c>
      <c r="J1241" s="41">
        <f>COUNTIFS(tblCost[TargetID],tblCost[[#This Row],[TargetID]],tblCost[PlayerPaid],TRUE)</f>
        <v>0</v>
      </c>
      <c r="K1241" s="41">
        <f>tblCost[[#This Row],[TargetRequirements]]-tblCost[[#This Row],[CompletedRequirements]]</f>
        <v>5</v>
      </c>
      <c r="L1241" s="41" t="b">
        <f>tblCost[[#This Row],[RemainingRequirements]]=0</f>
        <v>0</v>
      </c>
      <c r="M1241" s="43">
        <f>IF(tblCost[[#This Row],[TargetRequirements]]=0,0,tblCost[[#This Row],[CompletedRequirements]]/tblCost[[#This Row],[TargetRequirements]])</f>
        <v>0</v>
      </c>
    </row>
    <row r="1242" spans="1:13">
      <c r="A1242" s="41" t="s">
        <v>4879</v>
      </c>
      <c r="B1242" s="41" t="str">
        <f>_xlfn.TEXTAFTER(_xlfn.TEXTBEFORE(tblCost[[#This Row],[RequirementID]],".",-2),"cost.")</f>
        <v>citadel.kitchen_and_buttery</v>
      </c>
      <c r="C1242" s="41" t="str">
        <f>_xlfn.XLOOKUP(tblCost[[#This Row],[TargetID]],tblTargets[TargetID],tblTargets[DisplayName],"")</f>
        <v>Kitchen and Buttery</v>
      </c>
      <c r="D1242" s="41" t="str">
        <f>_xlfn.XLOOKUP(tblCost[[#This Row],[TargetID]],tblTargets[TargetID],tblTargets[TargetType],"")</f>
        <v>CITADEL</v>
      </c>
      <c r="E1242" s="41" t="s">
        <v>696</v>
      </c>
      <c r="F1242" s="62" t="str">
        <f>RIGHT(tblCost[[#This Row],[RequirementID]],1)</f>
        <v>1</v>
      </c>
      <c r="G1242" s="41">
        <v>10</v>
      </c>
      <c r="H1242" t="b">
        <f>COUNTIFS(tblCostChecklist[RequirementID],tblCost[[#This Row],[RequirementID]],tblCostChecklist[PlayerPaid],TRUE)&gt;0</f>
        <v>0</v>
      </c>
      <c r="I1242" s="41">
        <f>COUNTIF(tblCost[TargetID],tblCost[[#This Row],[TargetID]])</f>
        <v>5</v>
      </c>
      <c r="J1242" s="41">
        <f>COUNTIFS(tblCost[TargetID],tblCost[[#This Row],[TargetID]],tblCost[PlayerPaid],TRUE)</f>
        <v>0</v>
      </c>
      <c r="K1242" s="41">
        <f>tblCost[[#This Row],[TargetRequirements]]-tblCost[[#This Row],[CompletedRequirements]]</f>
        <v>5</v>
      </c>
      <c r="L1242" s="41" t="b">
        <f>tblCost[[#This Row],[RemainingRequirements]]=0</f>
        <v>0</v>
      </c>
      <c r="M1242" s="43">
        <f>IF(tblCost[[#This Row],[TargetRequirements]]=0,0,tblCost[[#This Row],[CompletedRequirements]]/tblCost[[#This Row],[TargetRequirements]])</f>
        <v>0</v>
      </c>
    </row>
    <row r="1243" spans="1:13">
      <c r="A1243" s="41" t="s">
        <v>4880</v>
      </c>
      <c r="B1243" s="41" t="str">
        <f>_xlfn.TEXTAFTER(_xlfn.TEXTBEFORE(tblCost[[#This Row],[RequirementID]],".",-2),"cost.")</f>
        <v>citadel.kitchen_and_buttery</v>
      </c>
      <c r="C1243" s="41" t="str">
        <f>_xlfn.XLOOKUP(tblCost[[#This Row],[TargetID]],tblTargets[TargetID],tblTargets[DisplayName],"")</f>
        <v>Kitchen and Buttery</v>
      </c>
      <c r="D1243" s="41" t="str">
        <f>_xlfn.XLOOKUP(tblCost[[#This Row],[TargetID]],tblTargets[TargetID],tblTargets[TargetType],"")</f>
        <v>CITADEL</v>
      </c>
      <c r="E1243" s="41" t="s">
        <v>708</v>
      </c>
      <c r="F1243" s="62" t="str">
        <f>RIGHT(tblCost[[#This Row],[RequirementID]],1)</f>
        <v>1</v>
      </c>
      <c r="G1243" s="41">
        <v>2</v>
      </c>
      <c r="H1243" t="b">
        <f>COUNTIFS(tblCostChecklist[RequirementID],tblCost[[#This Row],[RequirementID]],tblCostChecklist[PlayerPaid],TRUE)&gt;0</f>
        <v>0</v>
      </c>
      <c r="I1243" s="41">
        <f>COUNTIF(tblCost[TargetID],tblCost[[#This Row],[TargetID]])</f>
        <v>5</v>
      </c>
      <c r="J1243" s="41">
        <f>COUNTIFS(tblCost[TargetID],tblCost[[#This Row],[TargetID]],tblCost[PlayerPaid],TRUE)</f>
        <v>0</v>
      </c>
      <c r="K1243" s="41">
        <f>tblCost[[#This Row],[TargetRequirements]]-tblCost[[#This Row],[CompletedRequirements]]</f>
        <v>5</v>
      </c>
      <c r="L1243" s="41" t="b">
        <f>tblCost[[#This Row],[RemainingRequirements]]=0</f>
        <v>0</v>
      </c>
      <c r="M1243" s="43">
        <f>IF(tblCost[[#This Row],[TargetRequirements]]=0,0,tblCost[[#This Row],[CompletedRequirements]]/tblCost[[#This Row],[TargetRequirements]])</f>
        <v>0</v>
      </c>
    </row>
    <row r="1244" spans="1:13">
      <c r="A1244" s="41" t="s">
        <v>4881</v>
      </c>
      <c r="B1244" s="41" t="str">
        <f>_xlfn.TEXTAFTER(_xlfn.TEXTBEFORE(tblCost[[#This Row],[RequirementID]],".",-2),"cost.")</f>
        <v>citadel.kitchen_and_buttery</v>
      </c>
      <c r="C1244" s="41" t="str">
        <f>_xlfn.XLOOKUP(tblCost[[#This Row],[TargetID]],tblTargets[TargetID],tblTargets[DisplayName],"")</f>
        <v>Kitchen and Buttery</v>
      </c>
      <c r="D1244" s="41" t="str">
        <f>_xlfn.XLOOKUP(tblCost[[#This Row],[TargetID]],tblTargets[TargetID],tblTargets[TargetType],"")</f>
        <v>CITADEL</v>
      </c>
      <c r="E1244" s="41" t="s">
        <v>717</v>
      </c>
      <c r="F1244" s="62" t="str">
        <f>RIGHT(tblCost[[#This Row],[RequirementID]],1)</f>
        <v>1</v>
      </c>
      <c r="G1244" s="41">
        <v>400</v>
      </c>
      <c r="H1244" t="b">
        <f>COUNTIFS(tblCostChecklist[RequirementID],tblCost[[#This Row],[RequirementID]],tblCostChecklist[PlayerPaid],TRUE)&gt;0</f>
        <v>0</v>
      </c>
      <c r="I1244" s="41">
        <f>COUNTIF(tblCost[TargetID],tblCost[[#This Row],[TargetID]])</f>
        <v>5</v>
      </c>
      <c r="J1244" s="41">
        <f>COUNTIFS(tblCost[TargetID],tblCost[[#This Row],[TargetID]],tblCost[PlayerPaid],TRUE)</f>
        <v>0</v>
      </c>
      <c r="K1244" s="41">
        <f>tblCost[[#This Row],[TargetRequirements]]-tblCost[[#This Row],[CompletedRequirements]]</f>
        <v>5</v>
      </c>
      <c r="L1244" s="41" t="b">
        <f>tblCost[[#This Row],[RemainingRequirements]]=0</f>
        <v>0</v>
      </c>
      <c r="M1244" s="43">
        <f>IF(tblCost[[#This Row],[TargetRequirements]]=0,0,tblCost[[#This Row],[CompletedRequirements]]/tblCost[[#This Row],[TargetRequirements]])</f>
        <v>0</v>
      </c>
    </row>
    <row r="1245" spans="1:13">
      <c r="A1245" s="41" t="s">
        <v>4882</v>
      </c>
      <c r="B1245" s="41" t="str">
        <f>_xlfn.TEXTAFTER(_xlfn.TEXTBEFORE(tblCost[[#This Row],[RequirementID]],".",-2),"cost.")</f>
        <v>citadel.lair_lvl_1</v>
      </c>
      <c r="C1245" s="41" t="str">
        <f>_xlfn.XLOOKUP(tblCost[[#This Row],[TargetID]],tblTargets[TargetID],tblTargets[DisplayName],"")</f>
        <v>Lair lvl. 1</v>
      </c>
      <c r="D1245" s="41" t="str">
        <f>_xlfn.XLOOKUP(tblCost[[#This Row],[TargetID]],tblTargets[TargetID],tblTargets[TargetType],"")</f>
        <v>CITADEL</v>
      </c>
      <c r="E1245" s="41" t="s">
        <v>667</v>
      </c>
      <c r="F1245" s="62" t="str">
        <f>RIGHT(tblCost[[#This Row],[RequirementID]],1)</f>
        <v>1</v>
      </c>
      <c r="G1245" s="41">
        <v>200</v>
      </c>
      <c r="H1245" t="b">
        <f>COUNTIFS(tblCostChecklist[RequirementID],tblCost[[#This Row],[RequirementID]],tblCostChecklist[PlayerPaid],TRUE)&gt;0</f>
        <v>0</v>
      </c>
      <c r="I1245" s="41">
        <f>COUNTIF(tblCost[TargetID],tblCost[[#This Row],[TargetID]])</f>
        <v>6</v>
      </c>
      <c r="J1245" s="41">
        <f>COUNTIFS(tblCost[TargetID],tblCost[[#This Row],[TargetID]],tblCost[PlayerPaid],TRUE)</f>
        <v>0</v>
      </c>
      <c r="K1245" s="41">
        <f>tblCost[[#This Row],[TargetRequirements]]-tblCost[[#This Row],[CompletedRequirements]]</f>
        <v>6</v>
      </c>
      <c r="L1245" s="41" t="b">
        <f>tblCost[[#This Row],[RemainingRequirements]]=0</f>
        <v>0</v>
      </c>
      <c r="M1245" s="43">
        <f>IF(tblCost[[#This Row],[TargetRequirements]]=0,0,tblCost[[#This Row],[CompletedRequirements]]/tblCost[[#This Row],[TargetRequirements]])</f>
        <v>0</v>
      </c>
    </row>
    <row r="1246" spans="1:13">
      <c r="A1246" s="41" t="s">
        <v>4883</v>
      </c>
      <c r="B1246" s="41" t="str">
        <f>_xlfn.TEXTAFTER(_xlfn.TEXTBEFORE(tblCost[[#This Row],[RequirementID]],".",-2),"cost.")</f>
        <v>citadel.lair_lvl_1</v>
      </c>
      <c r="C1246" s="41" t="str">
        <f>_xlfn.XLOOKUP(tblCost[[#This Row],[TargetID]],tblTargets[TargetID],tblTargets[DisplayName],"")</f>
        <v>Lair lvl. 1</v>
      </c>
      <c r="D1246" s="41" t="str">
        <f>_xlfn.XLOOKUP(tblCost[[#This Row],[TargetID]],tblTargets[TargetID],tblTargets[TargetType],"")</f>
        <v>CITADEL</v>
      </c>
      <c r="E1246" s="41" t="s">
        <v>677</v>
      </c>
      <c r="F1246" s="62" t="str">
        <f>RIGHT(tblCost[[#This Row],[RequirementID]],1)</f>
        <v>1</v>
      </c>
      <c r="G1246" s="41">
        <v>17</v>
      </c>
      <c r="H1246" t="b">
        <f>COUNTIFS(tblCostChecklist[RequirementID],tblCost[[#This Row],[RequirementID]],tblCostChecklist[PlayerPaid],TRUE)&gt;0</f>
        <v>0</v>
      </c>
      <c r="I1246" s="41">
        <f>COUNTIF(tblCost[TargetID],tblCost[[#This Row],[TargetID]])</f>
        <v>6</v>
      </c>
      <c r="J1246" s="41">
        <f>COUNTIFS(tblCost[TargetID],tblCost[[#This Row],[TargetID]],tblCost[PlayerPaid],TRUE)</f>
        <v>0</v>
      </c>
      <c r="K1246" s="41">
        <f>tblCost[[#This Row],[TargetRequirements]]-tblCost[[#This Row],[CompletedRequirements]]</f>
        <v>6</v>
      </c>
      <c r="L1246" s="41" t="b">
        <f>tblCost[[#This Row],[RemainingRequirements]]=0</f>
        <v>0</v>
      </c>
      <c r="M1246" s="43">
        <f>IF(tblCost[[#This Row],[TargetRequirements]]=0,0,tblCost[[#This Row],[CompletedRequirements]]/tblCost[[#This Row],[TargetRequirements]])</f>
        <v>0</v>
      </c>
    </row>
    <row r="1247" spans="1:13">
      <c r="A1247" s="41" t="s">
        <v>4884</v>
      </c>
      <c r="B1247" s="41" t="str">
        <f>_xlfn.TEXTAFTER(_xlfn.TEXTBEFORE(tblCost[[#This Row],[RequirementID]],".",-2),"cost.")</f>
        <v>citadel.lair_lvl_1</v>
      </c>
      <c r="C1247" s="41" t="str">
        <f>_xlfn.XLOOKUP(tblCost[[#This Row],[TargetID]],tblTargets[TargetID],tblTargets[DisplayName],"")</f>
        <v>Lair lvl. 1</v>
      </c>
      <c r="D1247" s="41" t="str">
        <f>_xlfn.XLOOKUP(tblCost[[#This Row],[TargetID]],tblTargets[TargetID],tblTargets[TargetType],"")</f>
        <v>CITADEL</v>
      </c>
      <c r="E1247" s="41" t="s">
        <v>858</v>
      </c>
      <c r="F1247" s="62" t="str">
        <f>RIGHT(tblCost[[#This Row],[RequirementID]],1)</f>
        <v>1</v>
      </c>
      <c r="G1247" s="41">
        <v>10</v>
      </c>
      <c r="H1247" t="b">
        <f>COUNTIFS(tblCostChecklist[RequirementID],tblCost[[#This Row],[RequirementID]],tblCostChecklist[PlayerPaid],TRUE)&gt;0</f>
        <v>0</v>
      </c>
      <c r="I1247" s="41">
        <f>COUNTIF(tblCost[TargetID],tblCost[[#This Row],[TargetID]])</f>
        <v>6</v>
      </c>
      <c r="J1247" s="41">
        <f>COUNTIFS(tblCost[TargetID],tblCost[[#This Row],[TargetID]],tblCost[PlayerPaid],TRUE)</f>
        <v>0</v>
      </c>
      <c r="K1247" s="41">
        <f>tblCost[[#This Row],[TargetRequirements]]-tblCost[[#This Row],[CompletedRequirements]]</f>
        <v>6</v>
      </c>
      <c r="L1247" s="41" t="b">
        <f>tblCost[[#This Row],[RemainingRequirements]]=0</f>
        <v>0</v>
      </c>
      <c r="M1247" s="43">
        <f>IF(tblCost[[#This Row],[TargetRequirements]]=0,0,tblCost[[#This Row],[CompletedRequirements]]/tblCost[[#This Row],[TargetRequirements]])</f>
        <v>0</v>
      </c>
    </row>
    <row r="1248" spans="1:13">
      <c r="A1248" s="41" t="s">
        <v>4885</v>
      </c>
      <c r="B1248" s="41" t="str">
        <f>_xlfn.TEXTAFTER(_xlfn.TEXTBEFORE(tblCost[[#This Row],[RequirementID]],".",-2),"cost.")</f>
        <v>citadel.lair_lvl_1</v>
      </c>
      <c r="C1248" s="41" t="str">
        <f>_xlfn.XLOOKUP(tblCost[[#This Row],[TargetID]],tblTargets[TargetID],tblTargets[DisplayName],"")</f>
        <v>Lair lvl. 1</v>
      </c>
      <c r="D1248" s="41" t="str">
        <f>_xlfn.XLOOKUP(tblCost[[#This Row],[TargetID]],tblTargets[TargetID],tblTargets[TargetType],"")</f>
        <v>CITADEL</v>
      </c>
      <c r="E1248" s="41" t="s">
        <v>708</v>
      </c>
      <c r="F1248" s="62" t="str">
        <f>RIGHT(tblCost[[#This Row],[RequirementID]],1)</f>
        <v>1</v>
      </c>
      <c r="G1248" s="41">
        <v>5</v>
      </c>
      <c r="H1248" t="b">
        <f>COUNTIFS(tblCostChecklist[RequirementID],tblCost[[#This Row],[RequirementID]],tblCostChecklist[PlayerPaid],TRUE)&gt;0</f>
        <v>0</v>
      </c>
      <c r="I1248" s="41">
        <f>COUNTIF(tblCost[TargetID],tblCost[[#This Row],[TargetID]])</f>
        <v>6</v>
      </c>
      <c r="J1248" s="41">
        <f>COUNTIFS(tblCost[TargetID],tblCost[[#This Row],[TargetID]],tblCost[PlayerPaid],TRUE)</f>
        <v>0</v>
      </c>
      <c r="K1248" s="41">
        <f>tblCost[[#This Row],[TargetRequirements]]-tblCost[[#This Row],[CompletedRequirements]]</f>
        <v>6</v>
      </c>
      <c r="L1248" s="41" t="b">
        <f>tblCost[[#This Row],[RemainingRequirements]]=0</f>
        <v>0</v>
      </c>
      <c r="M1248" s="43">
        <f>IF(tblCost[[#This Row],[TargetRequirements]]=0,0,tblCost[[#This Row],[CompletedRequirements]]/tblCost[[#This Row],[TargetRequirements]])</f>
        <v>0</v>
      </c>
    </row>
    <row r="1249" spans="1:13">
      <c r="A1249" s="41" t="s">
        <v>4886</v>
      </c>
      <c r="B1249" s="41" t="str">
        <f>_xlfn.TEXTAFTER(_xlfn.TEXTBEFORE(tblCost[[#This Row],[RequirementID]],".",-2),"cost.")</f>
        <v>citadel.lair_lvl_1</v>
      </c>
      <c r="C1249" s="41" t="str">
        <f>_xlfn.XLOOKUP(tblCost[[#This Row],[TargetID]],tblTargets[TargetID],tblTargets[DisplayName],"")</f>
        <v>Lair lvl. 1</v>
      </c>
      <c r="D1249" s="41" t="str">
        <f>_xlfn.XLOOKUP(tblCost[[#This Row],[TargetID]],tblTargets[TargetID],tblTargets[TargetType],"")</f>
        <v>CITADEL</v>
      </c>
      <c r="E1249" s="41" t="s">
        <v>721</v>
      </c>
      <c r="F1249" s="62" t="str">
        <f>RIGHT(tblCost[[#This Row],[RequirementID]],1)</f>
        <v>1</v>
      </c>
      <c r="G1249" s="41">
        <v>3</v>
      </c>
      <c r="H1249" t="b">
        <f>COUNTIFS(tblCostChecklist[RequirementID],tblCost[[#This Row],[RequirementID]],tblCostChecklist[PlayerPaid],TRUE)&gt;0</f>
        <v>0</v>
      </c>
      <c r="I1249" s="41">
        <f>COUNTIF(tblCost[TargetID],tblCost[[#This Row],[TargetID]])</f>
        <v>6</v>
      </c>
      <c r="J1249" s="41">
        <f>COUNTIFS(tblCost[TargetID],tblCost[[#This Row],[TargetID]],tblCost[PlayerPaid],TRUE)</f>
        <v>0</v>
      </c>
      <c r="K1249" s="41">
        <f>tblCost[[#This Row],[TargetRequirements]]-tblCost[[#This Row],[CompletedRequirements]]</f>
        <v>6</v>
      </c>
      <c r="L1249" s="41" t="b">
        <f>tblCost[[#This Row],[RemainingRequirements]]=0</f>
        <v>0</v>
      </c>
      <c r="M1249" s="43">
        <f>IF(tblCost[[#This Row],[TargetRequirements]]=0,0,tblCost[[#This Row],[CompletedRequirements]]/tblCost[[#This Row],[TargetRequirements]])</f>
        <v>0</v>
      </c>
    </row>
    <row r="1250" spans="1:13">
      <c r="A1250" s="41" t="s">
        <v>4887</v>
      </c>
      <c r="B1250" s="41" t="str">
        <f>_xlfn.TEXTAFTER(_xlfn.TEXTBEFORE(tblCost[[#This Row],[RequirementID]],".",-2),"cost.")</f>
        <v>citadel.lair_lvl_1</v>
      </c>
      <c r="C1250" s="41" t="str">
        <f>_xlfn.XLOOKUP(tblCost[[#This Row],[TargetID]],tblTargets[TargetID],tblTargets[DisplayName],"")</f>
        <v>Lair lvl. 1</v>
      </c>
      <c r="D1250" s="41" t="str">
        <f>_xlfn.XLOOKUP(tblCost[[#This Row],[TargetID]],tblTargets[TargetID],tblTargets[TargetType],"")</f>
        <v>CITADEL</v>
      </c>
      <c r="E1250" s="41" t="s">
        <v>723</v>
      </c>
      <c r="F1250" s="62" t="str">
        <f>RIGHT(tblCost[[#This Row],[RequirementID]],1)</f>
        <v>1</v>
      </c>
      <c r="G1250" s="41">
        <v>300</v>
      </c>
      <c r="H1250" t="b">
        <f>COUNTIFS(tblCostChecklist[RequirementID],tblCost[[#This Row],[RequirementID]],tblCostChecklist[PlayerPaid],TRUE)&gt;0</f>
        <v>0</v>
      </c>
      <c r="I1250" s="41">
        <f>COUNTIF(tblCost[TargetID],tblCost[[#This Row],[TargetID]])</f>
        <v>6</v>
      </c>
      <c r="J1250" s="41">
        <f>COUNTIFS(tblCost[TargetID],tblCost[[#This Row],[TargetID]],tblCost[PlayerPaid],TRUE)</f>
        <v>0</v>
      </c>
      <c r="K1250" s="41">
        <f>tblCost[[#This Row],[TargetRequirements]]-tblCost[[#This Row],[CompletedRequirements]]</f>
        <v>6</v>
      </c>
      <c r="L1250" s="41" t="b">
        <f>tblCost[[#This Row],[RemainingRequirements]]=0</f>
        <v>0</v>
      </c>
      <c r="M1250" s="43">
        <f>IF(tblCost[[#This Row],[TargetRequirements]]=0,0,tblCost[[#This Row],[CompletedRequirements]]/tblCost[[#This Row],[TargetRequirements]])</f>
        <v>0</v>
      </c>
    </row>
    <row r="1251" spans="1:13">
      <c r="A1251" s="41" t="s">
        <v>4888</v>
      </c>
      <c r="B1251" s="41" t="str">
        <f>_xlfn.TEXTAFTER(_xlfn.TEXTBEFORE(tblCost[[#This Row],[RequirementID]],".",-2),"cost.")</f>
        <v>citadel.lair_lvl_2</v>
      </c>
      <c r="C1251" s="41" t="str">
        <f>_xlfn.XLOOKUP(tblCost[[#This Row],[TargetID]],tblTargets[TargetID],tblTargets[DisplayName],"")</f>
        <v>Lair lvl. 2</v>
      </c>
      <c r="D1251" s="41" t="str">
        <f>_xlfn.XLOOKUP(tblCost[[#This Row],[TargetID]],tblTargets[TargetID],tblTargets[TargetType],"")</f>
        <v>CITADEL</v>
      </c>
      <c r="E1251" s="41" t="s">
        <v>667</v>
      </c>
      <c r="F1251" s="62" t="str">
        <f>RIGHT(tblCost[[#This Row],[RequirementID]],1)</f>
        <v>1</v>
      </c>
      <c r="G1251" s="41">
        <v>400</v>
      </c>
      <c r="H1251" t="b">
        <f>COUNTIFS(tblCostChecklist[RequirementID],tblCost[[#This Row],[RequirementID]],tblCostChecklist[PlayerPaid],TRUE)&gt;0</f>
        <v>0</v>
      </c>
      <c r="I1251" s="41">
        <f>COUNTIF(tblCost[TargetID],tblCost[[#This Row],[TargetID]])</f>
        <v>6</v>
      </c>
      <c r="J1251" s="41">
        <f>COUNTIFS(tblCost[TargetID],tblCost[[#This Row],[TargetID]],tblCost[PlayerPaid],TRUE)</f>
        <v>0</v>
      </c>
      <c r="K1251" s="41">
        <f>tblCost[[#This Row],[TargetRequirements]]-tblCost[[#This Row],[CompletedRequirements]]</f>
        <v>6</v>
      </c>
      <c r="L1251" s="41" t="b">
        <f>tblCost[[#This Row],[RemainingRequirements]]=0</f>
        <v>0</v>
      </c>
      <c r="M1251" s="43">
        <f>IF(tblCost[[#This Row],[TargetRequirements]]=0,0,tblCost[[#This Row],[CompletedRequirements]]/tblCost[[#This Row],[TargetRequirements]])</f>
        <v>0</v>
      </c>
    </row>
    <row r="1252" spans="1:13">
      <c r="A1252" s="41" t="s">
        <v>4889</v>
      </c>
      <c r="B1252" s="41" t="str">
        <f>_xlfn.TEXTAFTER(_xlfn.TEXTBEFORE(tblCost[[#This Row],[RequirementID]],".",-2),"cost.")</f>
        <v>citadel.lair_lvl_2</v>
      </c>
      <c r="C1252" s="41" t="str">
        <f>_xlfn.XLOOKUP(tblCost[[#This Row],[TargetID]],tblTargets[TargetID],tblTargets[DisplayName],"")</f>
        <v>Lair lvl. 2</v>
      </c>
      <c r="D1252" s="41" t="str">
        <f>_xlfn.XLOOKUP(tblCost[[#This Row],[TargetID]],tblTargets[TargetID],tblTargets[TargetType],"")</f>
        <v>CITADEL</v>
      </c>
      <c r="E1252" s="41" t="s">
        <v>677</v>
      </c>
      <c r="F1252" s="62" t="str">
        <f>RIGHT(tblCost[[#This Row],[RequirementID]],1)</f>
        <v>1</v>
      </c>
      <c r="G1252" s="41">
        <v>19</v>
      </c>
      <c r="H1252" t="b">
        <f>COUNTIFS(tblCostChecklist[RequirementID],tblCost[[#This Row],[RequirementID]],tblCostChecklist[PlayerPaid],TRUE)&gt;0</f>
        <v>0</v>
      </c>
      <c r="I1252" s="41">
        <f>COUNTIF(tblCost[TargetID],tblCost[[#This Row],[TargetID]])</f>
        <v>6</v>
      </c>
      <c r="J1252" s="41">
        <f>COUNTIFS(tblCost[TargetID],tblCost[[#This Row],[TargetID]],tblCost[PlayerPaid],TRUE)</f>
        <v>0</v>
      </c>
      <c r="K1252" s="41">
        <f>tblCost[[#This Row],[TargetRequirements]]-tblCost[[#This Row],[CompletedRequirements]]</f>
        <v>6</v>
      </c>
      <c r="L1252" s="41" t="b">
        <f>tblCost[[#This Row],[RemainingRequirements]]=0</f>
        <v>0</v>
      </c>
      <c r="M1252" s="43">
        <f>IF(tblCost[[#This Row],[TargetRequirements]]=0,0,tblCost[[#This Row],[CompletedRequirements]]/tblCost[[#This Row],[TargetRequirements]])</f>
        <v>0</v>
      </c>
    </row>
    <row r="1253" spans="1:13">
      <c r="A1253" s="41" t="s">
        <v>4890</v>
      </c>
      <c r="B1253" s="41" t="str">
        <f>_xlfn.TEXTAFTER(_xlfn.TEXTBEFORE(tblCost[[#This Row],[RequirementID]],".",-2),"cost.")</f>
        <v>citadel.lair_lvl_2</v>
      </c>
      <c r="C1253" s="41" t="str">
        <f>_xlfn.XLOOKUP(tblCost[[#This Row],[TargetID]],tblTargets[TargetID],tblTargets[DisplayName],"")</f>
        <v>Lair lvl. 2</v>
      </c>
      <c r="D1253" s="41" t="str">
        <f>_xlfn.XLOOKUP(tblCost[[#This Row],[TargetID]],tblTargets[TargetID],tblTargets[TargetType],"")</f>
        <v>CITADEL</v>
      </c>
      <c r="E1253" s="41" t="s">
        <v>858</v>
      </c>
      <c r="F1253" s="62" t="str">
        <f>RIGHT(tblCost[[#This Row],[RequirementID]],1)</f>
        <v>1</v>
      </c>
      <c r="G1253" s="41">
        <v>20</v>
      </c>
      <c r="H1253" t="b">
        <f>COUNTIFS(tblCostChecklist[RequirementID],tblCost[[#This Row],[RequirementID]],tblCostChecklist[PlayerPaid],TRUE)&gt;0</f>
        <v>0</v>
      </c>
      <c r="I1253" s="41">
        <f>COUNTIF(tblCost[TargetID],tblCost[[#This Row],[TargetID]])</f>
        <v>6</v>
      </c>
      <c r="J1253" s="41">
        <f>COUNTIFS(tblCost[TargetID],tblCost[[#This Row],[TargetID]],tblCost[PlayerPaid],TRUE)</f>
        <v>0</v>
      </c>
      <c r="K1253" s="41">
        <f>tblCost[[#This Row],[TargetRequirements]]-tblCost[[#This Row],[CompletedRequirements]]</f>
        <v>6</v>
      </c>
      <c r="L1253" s="41" t="b">
        <f>tblCost[[#This Row],[RemainingRequirements]]=0</f>
        <v>0</v>
      </c>
      <c r="M1253" s="43">
        <f>IF(tblCost[[#This Row],[TargetRequirements]]=0,0,tblCost[[#This Row],[CompletedRequirements]]/tblCost[[#This Row],[TargetRequirements]])</f>
        <v>0</v>
      </c>
    </row>
    <row r="1254" spans="1:13">
      <c r="A1254" s="41" t="s">
        <v>4891</v>
      </c>
      <c r="B1254" s="41" t="str">
        <f>_xlfn.TEXTAFTER(_xlfn.TEXTBEFORE(tblCost[[#This Row],[RequirementID]],".",-2),"cost.")</f>
        <v>citadel.lair_lvl_2</v>
      </c>
      <c r="C1254" s="41" t="str">
        <f>_xlfn.XLOOKUP(tblCost[[#This Row],[TargetID]],tblTargets[TargetID],tblTargets[DisplayName],"")</f>
        <v>Lair lvl. 2</v>
      </c>
      <c r="D1254" s="41" t="str">
        <f>_xlfn.XLOOKUP(tblCost[[#This Row],[TargetID]],tblTargets[TargetID],tblTargets[TargetType],"")</f>
        <v>CITADEL</v>
      </c>
      <c r="E1254" s="41" t="s">
        <v>708</v>
      </c>
      <c r="F1254" s="62" t="str">
        <f>RIGHT(tblCost[[#This Row],[RequirementID]],1)</f>
        <v>1</v>
      </c>
      <c r="G1254" s="41">
        <v>10</v>
      </c>
      <c r="H1254" t="b">
        <f>COUNTIFS(tblCostChecklist[RequirementID],tblCost[[#This Row],[RequirementID]],tblCostChecklist[PlayerPaid],TRUE)&gt;0</f>
        <v>0</v>
      </c>
      <c r="I1254" s="41">
        <f>COUNTIF(tblCost[TargetID],tblCost[[#This Row],[TargetID]])</f>
        <v>6</v>
      </c>
      <c r="J1254" s="41">
        <f>COUNTIFS(tblCost[TargetID],tblCost[[#This Row],[TargetID]],tblCost[PlayerPaid],TRUE)</f>
        <v>0</v>
      </c>
      <c r="K1254" s="41">
        <f>tblCost[[#This Row],[TargetRequirements]]-tblCost[[#This Row],[CompletedRequirements]]</f>
        <v>6</v>
      </c>
      <c r="L1254" s="41" t="b">
        <f>tblCost[[#This Row],[RemainingRequirements]]=0</f>
        <v>0</v>
      </c>
      <c r="M1254" s="43">
        <f>IF(tblCost[[#This Row],[TargetRequirements]]=0,0,tblCost[[#This Row],[CompletedRequirements]]/tblCost[[#This Row],[TargetRequirements]])</f>
        <v>0</v>
      </c>
    </row>
    <row r="1255" spans="1:13">
      <c r="A1255" s="41" t="s">
        <v>4892</v>
      </c>
      <c r="B1255" s="41" t="str">
        <f>_xlfn.TEXTAFTER(_xlfn.TEXTBEFORE(tblCost[[#This Row],[RequirementID]],".",-2),"cost.")</f>
        <v>citadel.lair_lvl_2</v>
      </c>
      <c r="C1255" s="41" t="str">
        <f>_xlfn.XLOOKUP(tblCost[[#This Row],[TargetID]],tblTargets[TargetID],tblTargets[DisplayName],"")</f>
        <v>Lair lvl. 2</v>
      </c>
      <c r="D1255" s="41" t="str">
        <f>_xlfn.XLOOKUP(tblCost[[#This Row],[TargetID]],tblTargets[TargetID],tblTargets[TargetType],"")</f>
        <v>CITADEL</v>
      </c>
      <c r="E1255" s="41" t="s">
        <v>721</v>
      </c>
      <c r="F1255" s="62" t="str">
        <f>RIGHT(tblCost[[#This Row],[RequirementID]],1)</f>
        <v>1</v>
      </c>
      <c r="G1255" s="41">
        <v>6</v>
      </c>
      <c r="H1255" t="b">
        <f>COUNTIFS(tblCostChecklist[RequirementID],tblCost[[#This Row],[RequirementID]],tblCostChecklist[PlayerPaid],TRUE)&gt;0</f>
        <v>0</v>
      </c>
      <c r="I1255" s="41">
        <f>COUNTIF(tblCost[TargetID],tblCost[[#This Row],[TargetID]])</f>
        <v>6</v>
      </c>
      <c r="J1255" s="41">
        <f>COUNTIFS(tblCost[TargetID],tblCost[[#This Row],[TargetID]],tblCost[PlayerPaid],TRUE)</f>
        <v>0</v>
      </c>
      <c r="K1255" s="41">
        <f>tblCost[[#This Row],[TargetRequirements]]-tblCost[[#This Row],[CompletedRequirements]]</f>
        <v>6</v>
      </c>
      <c r="L1255" s="41" t="b">
        <f>tblCost[[#This Row],[RemainingRequirements]]=0</f>
        <v>0</v>
      </c>
      <c r="M1255" s="43">
        <f>IF(tblCost[[#This Row],[TargetRequirements]]=0,0,tblCost[[#This Row],[CompletedRequirements]]/tblCost[[#This Row],[TargetRequirements]])</f>
        <v>0</v>
      </c>
    </row>
    <row r="1256" spans="1:13">
      <c r="A1256" s="41" t="s">
        <v>4893</v>
      </c>
      <c r="B1256" s="41" t="str">
        <f>_xlfn.TEXTAFTER(_xlfn.TEXTBEFORE(tblCost[[#This Row],[RequirementID]],".",-2),"cost.")</f>
        <v>citadel.lair_lvl_2</v>
      </c>
      <c r="C1256" s="41" t="str">
        <f>_xlfn.XLOOKUP(tblCost[[#This Row],[TargetID]],tblTargets[TargetID],tblTargets[DisplayName],"")</f>
        <v>Lair lvl. 2</v>
      </c>
      <c r="D1256" s="41" t="str">
        <f>_xlfn.XLOOKUP(tblCost[[#This Row],[TargetID]],tblTargets[TargetID],tblTargets[TargetType],"")</f>
        <v>CITADEL</v>
      </c>
      <c r="E1256" s="41" t="s">
        <v>723</v>
      </c>
      <c r="F1256" s="62" t="str">
        <f>RIGHT(tblCost[[#This Row],[RequirementID]],1)</f>
        <v>1</v>
      </c>
      <c r="G1256" s="41">
        <v>600</v>
      </c>
      <c r="H1256" t="b">
        <f>COUNTIFS(tblCostChecklist[RequirementID],tblCost[[#This Row],[RequirementID]],tblCostChecklist[PlayerPaid],TRUE)&gt;0</f>
        <v>0</v>
      </c>
      <c r="I1256" s="41">
        <f>COUNTIF(tblCost[TargetID],tblCost[[#This Row],[TargetID]])</f>
        <v>6</v>
      </c>
      <c r="J1256" s="41">
        <f>COUNTIFS(tblCost[TargetID],tblCost[[#This Row],[TargetID]],tblCost[PlayerPaid],TRUE)</f>
        <v>0</v>
      </c>
      <c r="K1256" s="41">
        <f>tblCost[[#This Row],[TargetRequirements]]-tblCost[[#This Row],[CompletedRequirements]]</f>
        <v>6</v>
      </c>
      <c r="L1256" s="41" t="b">
        <f>tblCost[[#This Row],[RemainingRequirements]]=0</f>
        <v>0</v>
      </c>
      <c r="M1256" s="43">
        <f>IF(tblCost[[#This Row],[TargetRequirements]]=0,0,tblCost[[#This Row],[CompletedRequirements]]/tblCost[[#This Row],[TargetRequirements]])</f>
        <v>0</v>
      </c>
    </row>
    <row r="1257" spans="1:13">
      <c r="A1257" s="41" t="s">
        <v>4894</v>
      </c>
      <c r="B1257" s="41" t="str">
        <f>_xlfn.TEXTAFTER(_xlfn.TEXTBEFORE(tblCost[[#This Row],[RequirementID]],".",-2),"cost.")</f>
        <v>citadel.mushroom_farm</v>
      </c>
      <c r="C1257" s="41" t="str">
        <f>_xlfn.XLOOKUP(tblCost[[#This Row],[TargetID]],tblTargets[TargetID],tblTargets[DisplayName],"")</f>
        <v>Mushroom Farm</v>
      </c>
      <c r="D1257" s="41" t="str">
        <f>_xlfn.XLOOKUP(tblCost[[#This Row],[TargetID]],tblTargets[TargetID],tblTargets[TargetType],"")</f>
        <v>CITADEL</v>
      </c>
      <c r="E1257" s="41" t="s">
        <v>658</v>
      </c>
      <c r="F1257" s="62" t="str">
        <f>RIGHT(tblCost[[#This Row],[RequirementID]],1)</f>
        <v>1</v>
      </c>
      <c r="G1257" s="41">
        <v>400</v>
      </c>
      <c r="H1257" t="b">
        <f>COUNTIFS(tblCostChecklist[RequirementID],tblCost[[#This Row],[RequirementID]],tblCostChecklist[PlayerPaid],TRUE)&gt;0</f>
        <v>0</v>
      </c>
      <c r="I1257" s="41">
        <f>COUNTIF(tblCost[TargetID],tblCost[[#This Row],[TargetID]])</f>
        <v>5</v>
      </c>
      <c r="J1257" s="41">
        <f>COUNTIFS(tblCost[TargetID],tblCost[[#This Row],[TargetID]],tblCost[PlayerPaid],TRUE)</f>
        <v>0</v>
      </c>
      <c r="K1257" s="41">
        <f>tblCost[[#This Row],[TargetRequirements]]-tblCost[[#This Row],[CompletedRequirements]]</f>
        <v>5</v>
      </c>
      <c r="L1257" s="41" t="b">
        <f>tblCost[[#This Row],[RemainingRequirements]]=0</f>
        <v>0</v>
      </c>
      <c r="M1257" s="43">
        <f>IF(tblCost[[#This Row],[TargetRequirements]]=0,0,tblCost[[#This Row],[CompletedRequirements]]/tblCost[[#This Row],[TargetRequirements]])</f>
        <v>0</v>
      </c>
    </row>
    <row r="1258" spans="1:13">
      <c r="A1258" s="41" t="s">
        <v>4895</v>
      </c>
      <c r="B1258" s="41" t="str">
        <f>_xlfn.TEXTAFTER(_xlfn.TEXTBEFORE(tblCost[[#This Row],[RequirementID]],".",-2),"cost.")</f>
        <v>citadel.mushroom_farm</v>
      </c>
      <c r="C1258" s="41" t="str">
        <f>_xlfn.XLOOKUP(tblCost[[#This Row],[TargetID]],tblTargets[TargetID],tblTargets[DisplayName],"")</f>
        <v>Mushroom Farm</v>
      </c>
      <c r="D1258" s="41" t="str">
        <f>_xlfn.XLOOKUP(tblCost[[#This Row],[TargetID]],tblTargets[TargetID],tblTargets[TargetType],"")</f>
        <v>CITADEL</v>
      </c>
      <c r="E1258" s="41" t="s">
        <v>666</v>
      </c>
      <c r="F1258" s="62" t="str">
        <f>RIGHT(tblCost[[#This Row],[RequirementID]],1)</f>
        <v>1</v>
      </c>
      <c r="G1258" s="41">
        <v>400</v>
      </c>
      <c r="H1258" t="b">
        <f>COUNTIFS(tblCostChecklist[RequirementID],tblCost[[#This Row],[RequirementID]],tblCostChecklist[PlayerPaid],TRUE)&gt;0</f>
        <v>0</v>
      </c>
      <c r="I1258" s="41">
        <f>COUNTIF(tblCost[TargetID],tblCost[[#This Row],[TargetID]])</f>
        <v>5</v>
      </c>
      <c r="J1258" s="41">
        <f>COUNTIFS(tblCost[TargetID],tblCost[[#This Row],[TargetID]],tblCost[PlayerPaid],TRUE)</f>
        <v>0</v>
      </c>
      <c r="K1258" s="41">
        <f>tblCost[[#This Row],[TargetRequirements]]-tblCost[[#This Row],[CompletedRequirements]]</f>
        <v>5</v>
      </c>
      <c r="L1258" s="41" t="b">
        <f>tblCost[[#This Row],[RemainingRequirements]]=0</f>
        <v>0</v>
      </c>
      <c r="M1258" s="43">
        <f>IF(tblCost[[#This Row],[TargetRequirements]]=0,0,tblCost[[#This Row],[CompletedRequirements]]/tblCost[[#This Row],[TargetRequirements]])</f>
        <v>0</v>
      </c>
    </row>
    <row r="1259" spans="1:13">
      <c r="A1259" s="41" t="s">
        <v>4896</v>
      </c>
      <c r="B1259" s="41" t="str">
        <f>_xlfn.TEXTAFTER(_xlfn.TEXTBEFORE(tblCost[[#This Row],[RequirementID]],".",-2),"cost.")</f>
        <v>citadel.mushroom_farm</v>
      </c>
      <c r="C1259" s="41" t="str">
        <f>_xlfn.XLOOKUP(tblCost[[#This Row],[TargetID]],tblTargets[TargetID],tblTargets[DisplayName],"")</f>
        <v>Mushroom Farm</v>
      </c>
      <c r="D1259" s="41" t="str">
        <f>_xlfn.XLOOKUP(tblCost[[#This Row],[TargetID]],tblTargets[TargetID],tblTargets[TargetType],"")</f>
        <v>CITADEL</v>
      </c>
      <c r="E1259" s="41" t="s">
        <v>696</v>
      </c>
      <c r="F1259" s="62" t="str">
        <f>RIGHT(tblCost[[#This Row],[RequirementID]],1)</f>
        <v>1</v>
      </c>
      <c r="G1259" s="41">
        <v>10</v>
      </c>
      <c r="H1259" t="b">
        <f>COUNTIFS(tblCostChecklist[RequirementID],tblCost[[#This Row],[RequirementID]],tblCostChecklist[PlayerPaid],TRUE)&gt;0</f>
        <v>0</v>
      </c>
      <c r="I1259" s="41">
        <f>COUNTIF(tblCost[TargetID],tblCost[[#This Row],[TargetID]])</f>
        <v>5</v>
      </c>
      <c r="J1259" s="41">
        <f>COUNTIFS(tblCost[TargetID],tblCost[[#This Row],[TargetID]],tblCost[PlayerPaid],TRUE)</f>
        <v>0</v>
      </c>
      <c r="K1259" s="41">
        <f>tblCost[[#This Row],[TargetRequirements]]-tblCost[[#This Row],[CompletedRequirements]]</f>
        <v>5</v>
      </c>
      <c r="L1259" s="41" t="b">
        <f>tblCost[[#This Row],[RemainingRequirements]]=0</f>
        <v>0</v>
      </c>
      <c r="M1259" s="43">
        <f>IF(tblCost[[#This Row],[TargetRequirements]]=0,0,tblCost[[#This Row],[CompletedRequirements]]/tblCost[[#This Row],[TargetRequirements]])</f>
        <v>0</v>
      </c>
    </row>
    <row r="1260" spans="1:13">
      <c r="A1260" s="41" t="s">
        <v>4897</v>
      </c>
      <c r="B1260" s="41" t="str">
        <f>_xlfn.TEXTAFTER(_xlfn.TEXTBEFORE(tblCost[[#This Row],[RequirementID]],".",-2),"cost.")</f>
        <v>citadel.mushroom_farm</v>
      </c>
      <c r="C1260" s="41" t="str">
        <f>_xlfn.XLOOKUP(tblCost[[#This Row],[TargetID]],tblTargets[TargetID],tblTargets[DisplayName],"")</f>
        <v>Mushroom Farm</v>
      </c>
      <c r="D1260" s="41" t="str">
        <f>_xlfn.XLOOKUP(tblCost[[#This Row],[TargetID]],tblTargets[TargetID],tblTargets[TargetType],"")</f>
        <v>CITADEL</v>
      </c>
      <c r="E1260" s="41" t="s">
        <v>708</v>
      </c>
      <c r="F1260" s="62" t="str">
        <f>RIGHT(tblCost[[#This Row],[RequirementID]],1)</f>
        <v>1</v>
      </c>
      <c r="G1260" s="41">
        <v>2</v>
      </c>
      <c r="H1260" t="b">
        <f>COUNTIFS(tblCostChecklist[RequirementID],tblCost[[#This Row],[RequirementID]],tblCostChecklist[PlayerPaid],TRUE)&gt;0</f>
        <v>0</v>
      </c>
      <c r="I1260" s="41">
        <f>COUNTIF(tblCost[TargetID],tblCost[[#This Row],[TargetID]])</f>
        <v>5</v>
      </c>
      <c r="J1260" s="41">
        <f>COUNTIFS(tblCost[TargetID],tblCost[[#This Row],[TargetID]],tblCost[PlayerPaid],TRUE)</f>
        <v>0</v>
      </c>
      <c r="K1260" s="41">
        <f>tblCost[[#This Row],[TargetRequirements]]-tblCost[[#This Row],[CompletedRequirements]]</f>
        <v>5</v>
      </c>
      <c r="L1260" s="41" t="b">
        <f>tblCost[[#This Row],[RemainingRequirements]]=0</f>
        <v>0</v>
      </c>
      <c r="M1260" s="43">
        <f>IF(tblCost[[#This Row],[TargetRequirements]]=0,0,tblCost[[#This Row],[CompletedRequirements]]/tblCost[[#This Row],[TargetRequirements]])</f>
        <v>0</v>
      </c>
    </row>
    <row r="1261" spans="1:13">
      <c r="A1261" s="41" t="s">
        <v>4898</v>
      </c>
      <c r="B1261" s="41" t="str">
        <f>_xlfn.TEXTAFTER(_xlfn.TEXTBEFORE(tblCost[[#This Row],[RequirementID]],".",-2),"cost.")</f>
        <v>citadel.mushroom_farm</v>
      </c>
      <c r="C1261" s="41" t="str">
        <f>_xlfn.XLOOKUP(tblCost[[#This Row],[TargetID]],tblTargets[TargetID],tblTargets[DisplayName],"")</f>
        <v>Mushroom Farm</v>
      </c>
      <c r="D1261" s="41" t="str">
        <f>_xlfn.XLOOKUP(tblCost[[#This Row],[TargetID]],tblTargets[TargetID],tblTargets[TargetType],"")</f>
        <v>CITADEL</v>
      </c>
      <c r="E1261" s="41" t="s">
        <v>717</v>
      </c>
      <c r="F1261" s="62" t="str">
        <f>RIGHT(tblCost[[#This Row],[RequirementID]],1)</f>
        <v>1</v>
      </c>
      <c r="G1261" s="41">
        <v>400</v>
      </c>
      <c r="H1261" t="b">
        <f>COUNTIFS(tblCostChecklist[RequirementID],tblCost[[#This Row],[RequirementID]],tblCostChecklist[PlayerPaid],TRUE)&gt;0</f>
        <v>0</v>
      </c>
      <c r="I1261" s="41">
        <f>COUNTIF(tblCost[TargetID],tblCost[[#This Row],[TargetID]])</f>
        <v>5</v>
      </c>
      <c r="J1261" s="41">
        <f>COUNTIFS(tblCost[TargetID],tblCost[[#This Row],[TargetID]],tblCost[PlayerPaid],TRUE)</f>
        <v>0</v>
      </c>
      <c r="K1261" s="41">
        <f>tblCost[[#This Row],[TargetRequirements]]-tblCost[[#This Row],[CompletedRequirements]]</f>
        <v>5</v>
      </c>
      <c r="L1261" s="41" t="b">
        <f>tblCost[[#This Row],[RemainingRequirements]]=0</f>
        <v>0</v>
      </c>
      <c r="M1261" s="43">
        <f>IF(tblCost[[#This Row],[TargetRequirements]]=0,0,tblCost[[#This Row],[CompletedRequirements]]/tblCost[[#This Row],[TargetRequirements]])</f>
        <v>0</v>
      </c>
    </row>
    <row r="1262" spans="1:13">
      <c r="A1262" s="41" t="s">
        <v>4899</v>
      </c>
      <c r="B1262" s="41" t="str">
        <f>_xlfn.TEXTAFTER(_xlfn.TEXTBEFORE(tblCost[[#This Row],[RequirementID]],".",-2),"cost.")</f>
        <v>citadel.orangery</v>
      </c>
      <c r="C1262" s="41" t="str">
        <f>_xlfn.XLOOKUP(tblCost[[#This Row],[TargetID]],tblTargets[TargetID],tblTargets[DisplayName],"")</f>
        <v>Orangery</v>
      </c>
      <c r="D1262" s="41" t="str">
        <f>_xlfn.XLOOKUP(tblCost[[#This Row],[TargetID]],tblTargets[TargetID],tblTargets[TargetType],"")</f>
        <v>CITADEL</v>
      </c>
      <c r="E1262" s="41" t="s">
        <v>658</v>
      </c>
      <c r="F1262" s="62" t="str">
        <f>RIGHT(tblCost[[#This Row],[RequirementID]],1)</f>
        <v>1</v>
      </c>
      <c r="G1262" s="41">
        <v>400</v>
      </c>
      <c r="H1262" t="b">
        <f>COUNTIFS(tblCostChecklist[RequirementID],tblCost[[#This Row],[RequirementID]],tblCostChecklist[PlayerPaid],TRUE)&gt;0</f>
        <v>0</v>
      </c>
      <c r="I1262" s="41">
        <f>COUNTIF(tblCost[TargetID],tblCost[[#This Row],[TargetID]])</f>
        <v>5</v>
      </c>
      <c r="J1262" s="41">
        <f>COUNTIFS(tblCost[TargetID],tblCost[[#This Row],[TargetID]],tblCost[PlayerPaid],TRUE)</f>
        <v>0</v>
      </c>
      <c r="K1262" s="41">
        <f>tblCost[[#This Row],[TargetRequirements]]-tblCost[[#This Row],[CompletedRequirements]]</f>
        <v>5</v>
      </c>
      <c r="L1262" s="41" t="b">
        <f>tblCost[[#This Row],[RemainingRequirements]]=0</f>
        <v>0</v>
      </c>
      <c r="M1262" s="43">
        <f>IF(tblCost[[#This Row],[TargetRequirements]]=0,0,tblCost[[#This Row],[CompletedRequirements]]/tblCost[[#This Row],[TargetRequirements]])</f>
        <v>0</v>
      </c>
    </row>
    <row r="1263" spans="1:13">
      <c r="A1263" s="41" t="s">
        <v>4900</v>
      </c>
      <c r="B1263" s="41" t="str">
        <f>_xlfn.TEXTAFTER(_xlfn.TEXTBEFORE(tblCost[[#This Row],[RequirementID]],".",-2),"cost.")</f>
        <v>citadel.orangery</v>
      </c>
      <c r="C1263" s="41" t="str">
        <f>_xlfn.XLOOKUP(tblCost[[#This Row],[TargetID]],tblTargets[TargetID],tblTargets[DisplayName],"")</f>
        <v>Orangery</v>
      </c>
      <c r="D1263" s="41" t="str">
        <f>_xlfn.XLOOKUP(tblCost[[#This Row],[TargetID]],tblTargets[TargetID],tblTargets[TargetType],"")</f>
        <v>CITADEL</v>
      </c>
      <c r="E1263" s="41" t="s">
        <v>666</v>
      </c>
      <c r="F1263" s="62" t="str">
        <f>RIGHT(tblCost[[#This Row],[RequirementID]],1)</f>
        <v>1</v>
      </c>
      <c r="G1263" s="41">
        <v>400</v>
      </c>
      <c r="H1263" t="b">
        <f>COUNTIFS(tblCostChecklist[RequirementID],tblCost[[#This Row],[RequirementID]],tblCostChecklist[PlayerPaid],TRUE)&gt;0</f>
        <v>0</v>
      </c>
      <c r="I1263" s="41">
        <f>COUNTIF(tblCost[TargetID],tblCost[[#This Row],[TargetID]])</f>
        <v>5</v>
      </c>
      <c r="J1263" s="41">
        <f>COUNTIFS(tblCost[TargetID],tblCost[[#This Row],[TargetID]],tblCost[PlayerPaid],TRUE)</f>
        <v>0</v>
      </c>
      <c r="K1263" s="41">
        <f>tblCost[[#This Row],[TargetRequirements]]-tblCost[[#This Row],[CompletedRequirements]]</f>
        <v>5</v>
      </c>
      <c r="L1263" s="41" t="b">
        <f>tblCost[[#This Row],[RemainingRequirements]]=0</f>
        <v>0</v>
      </c>
      <c r="M1263" s="43">
        <f>IF(tblCost[[#This Row],[TargetRequirements]]=0,0,tblCost[[#This Row],[CompletedRequirements]]/tblCost[[#This Row],[TargetRequirements]])</f>
        <v>0</v>
      </c>
    </row>
    <row r="1264" spans="1:13">
      <c r="A1264" s="41" t="s">
        <v>4901</v>
      </c>
      <c r="B1264" s="41" t="str">
        <f>_xlfn.TEXTAFTER(_xlfn.TEXTBEFORE(tblCost[[#This Row],[RequirementID]],".",-2),"cost.")</f>
        <v>citadel.orangery</v>
      </c>
      <c r="C1264" s="41" t="str">
        <f>_xlfn.XLOOKUP(tblCost[[#This Row],[TargetID]],tblTargets[TargetID],tblTargets[DisplayName],"")</f>
        <v>Orangery</v>
      </c>
      <c r="D1264" s="41" t="str">
        <f>_xlfn.XLOOKUP(tblCost[[#This Row],[TargetID]],tblTargets[TargetID],tblTargets[TargetType],"")</f>
        <v>CITADEL</v>
      </c>
      <c r="E1264" s="41" t="s">
        <v>696</v>
      </c>
      <c r="F1264" s="62" t="str">
        <f>RIGHT(tblCost[[#This Row],[RequirementID]],1)</f>
        <v>1</v>
      </c>
      <c r="G1264" s="41">
        <v>10</v>
      </c>
      <c r="H1264" t="b">
        <f>COUNTIFS(tblCostChecklist[RequirementID],tblCost[[#This Row],[RequirementID]],tblCostChecklist[PlayerPaid],TRUE)&gt;0</f>
        <v>0</v>
      </c>
      <c r="I1264" s="41">
        <f>COUNTIF(tblCost[TargetID],tblCost[[#This Row],[TargetID]])</f>
        <v>5</v>
      </c>
      <c r="J1264" s="41">
        <f>COUNTIFS(tblCost[TargetID],tblCost[[#This Row],[TargetID]],tblCost[PlayerPaid],TRUE)</f>
        <v>0</v>
      </c>
      <c r="K1264" s="41">
        <f>tblCost[[#This Row],[TargetRequirements]]-tblCost[[#This Row],[CompletedRequirements]]</f>
        <v>5</v>
      </c>
      <c r="L1264" s="41" t="b">
        <f>tblCost[[#This Row],[RemainingRequirements]]=0</f>
        <v>0</v>
      </c>
      <c r="M1264" s="43">
        <f>IF(tblCost[[#This Row],[TargetRequirements]]=0,0,tblCost[[#This Row],[CompletedRequirements]]/tblCost[[#This Row],[TargetRequirements]])</f>
        <v>0</v>
      </c>
    </row>
    <row r="1265" spans="1:13">
      <c r="A1265" s="41" t="s">
        <v>4902</v>
      </c>
      <c r="B1265" s="41" t="str">
        <f>_xlfn.TEXTAFTER(_xlfn.TEXTBEFORE(tblCost[[#This Row],[RequirementID]],".",-2),"cost.")</f>
        <v>citadel.orangery</v>
      </c>
      <c r="C1265" s="41" t="str">
        <f>_xlfn.XLOOKUP(tblCost[[#This Row],[TargetID]],tblTargets[TargetID],tblTargets[DisplayName],"")</f>
        <v>Orangery</v>
      </c>
      <c r="D1265" s="41" t="str">
        <f>_xlfn.XLOOKUP(tblCost[[#This Row],[TargetID]],tblTargets[TargetID],tblTargets[TargetType],"")</f>
        <v>CITADEL</v>
      </c>
      <c r="E1265" s="41" t="s">
        <v>708</v>
      </c>
      <c r="F1265" s="62" t="str">
        <f>RIGHT(tblCost[[#This Row],[RequirementID]],1)</f>
        <v>1</v>
      </c>
      <c r="G1265" s="41">
        <v>2</v>
      </c>
      <c r="H1265" t="b">
        <f>COUNTIFS(tblCostChecklist[RequirementID],tblCost[[#This Row],[RequirementID]],tblCostChecklist[PlayerPaid],TRUE)&gt;0</f>
        <v>0</v>
      </c>
      <c r="I1265" s="41">
        <f>COUNTIF(tblCost[TargetID],tblCost[[#This Row],[TargetID]])</f>
        <v>5</v>
      </c>
      <c r="J1265" s="41">
        <f>COUNTIFS(tblCost[TargetID],tblCost[[#This Row],[TargetID]],tblCost[PlayerPaid],TRUE)</f>
        <v>0</v>
      </c>
      <c r="K1265" s="41">
        <f>tblCost[[#This Row],[TargetRequirements]]-tblCost[[#This Row],[CompletedRequirements]]</f>
        <v>5</v>
      </c>
      <c r="L1265" s="41" t="b">
        <f>tblCost[[#This Row],[RemainingRequirements]]=0</f>
        <v>0</v>
      </c>
      <c r="M1265" s="43">
        <f>IF(tblCost[[#This Row],[TargetRequirements]]=0,0,tblCost[[#This Row],[CompletedRequirements]]/tblCost[[#This Row],[TargetRequirements]])</f>
        <v>0</v>
      </c>
    </row>
    <row r="1266" spans="1:13">
      <c r="A1266" s="41" t="s">
        <v>4903</v>
      </c>
      <c r="B1266" s="41" t="str">
        <f>_xlfn.TEXTAFTER(_xlfn.TEXTBEFORE(tblCost[[#This Row],[RequirementID]],".",-2),"cost.")</f>
        <v>citadel.orangery</v>
      </c>
      <c r="C1266" s="41" t="str">
        <f>_xlfn.XLOOKUP(tblCost[[#This Row],[TargetID]],tblTargets[TargetID],tblTargets[DisplayName],"")</f>
        <v>Orangery</v>
      </c>
      <c r="D1266" s="41" t="str">
        <f>_xlfn.XLOOKUP(tblCost[[#This Row],[TargetID]],tblTargets[TargetID],tblTargets[TargetType],"")</f>
        <v>CITADEL</v>
      </c>
      <c r="E1266" s="41" t="s">
        <v>717</v>
      </c>
      <c r="F1266" s="62" t="str">
        <f>RIGHT(tblCost[[#This Row],[RequirementID]],1)</f>
        <v>1</v>
      </c>
      <c r="G1266" s="41">
        <v>400</v>
      </c>
      <c r="H1266" t="b">
        <f>COUNTIFS(tblCostChecklist[RequirementID],tblCost[[#This Row],[RequirementID]],tblCostChecklist[PlayerPaid],TRUE)&gt;0</f>
        <v>0</v>
      </c>
      <c r="I1266" s="41">
        <f>COUNTIF(tblCost[TargetID],tblCost[[#This Row],[TargetID]])</f>
        <v>5</v>
      </c>
      <c r="J1266" s="41">
        <f>COUNTIFS(tblCost[TargetID],tblCost[[#This Row],[TargetID]],tblCost[PlayerPaid],TRUE)</f>
        <v>0</v>
      </c>
      <c r="K1266" s="41">
        <f>tblCost[[#This Row],[TargetRequirements]]-tblCost[[#This Row],[CompletedRequirements]]</f>
        <v>5</v>
      </c>
      <c r="L1266" s="41" t="b">
        <f>tblCost[[#This Row],[RemainingRequirements]]=0</f>
        <v>0</v>
      </c>
      <c r="M1266" s="43">
        <f>IF(tblCost[[#This Row],[TargetRequirements]]=0,0,tblCost[[#This Row],[CompletedRequirements]]/tblCost[[#This Row],[TargetRequirements]])</f>
        <v>0</v>
      </c>
    </row>
    <row r="1267" spans="1:13">
      <c r="A1267" s="41" t="s">
        <v>4904</v>
      </c>
      <c r="B1267" s="41" t="str">
        <f>_xlfn.TEXTAFTER(_xlfn.TEXTBEFORE(tblCost[[#This Row],[RequirementID]],".",-2),"cost.")</f>
        <v>citadel.pantry</v>
      </c>
      <c r="C1267" s="41" t="str">
        <f>_xlfn.XLOOKUP(tblCost[[#This Row],[TargetID]],tblTargets[TargetID],tblTargets[DisplayName],"")</f>
        <v>Pantry</v>
      </c>
      <c r="D1267" s="41" t="str">
        <f>_xlfn.XLOOKUP(tblCost[[#This Row],[TargetID]],tblTargets[TargetID],tblTargets[TargetType],"")</f>
        <v>CITADEL</v>
      </c>
      <c r="E1267" s="41" t="s">
        <v>658</v>
      </c>
      <c r="F1267" s="62" t="str">
        <f>RIGHT(tblCost[[#This Row],[RequirementID]],1)</f>
        <v>1</v>
      </c>
      <c r="G1267" s="41">
        <v>400</v>
      </c>
      <c r="H1267" t="b">
        <f>COUNTIFS(tblCostChecklist[RequirementID],tblCost[[#This Row],[RequirementID]],tblCostChecklist[PlayerPaid],TRUE)&gt;0</f>
        <v>0</v>
      </c>
      <c r="I1267" s="41">
        <f>COUNTIF(tblCost[TargetID],tblCost[[#This Row],[TargetID]])</f>
        <v>5</v>
      </c>
      <c r="J1267" s="41">
        <f>COUNTIFS(tblCost[TargetID],tblCost[[#This Row],[TargetID]],tblCost[PlayerPaid],TRUE)</f>
        <v>0</v>
      </c>
      <c r="K1267" s="41">
        <f>tblCost[[#This Row],[TargetRequirements]]-tblCost[[#This Row],[CompletedRequirements]]</f>
        <v>5</v>
      </c>
      <c r="L1267" s="41" t="b">
        <f>tblCost[[#This Row],[RemainingRequirements]]=0</f>
        <v>0</v>
      </c>
      <c r="M1267" s="43">
        <f>IF(tblCost[[#This Row],[TargetRequirements]]=0,0,tblCost[[#This Row],[CompletedRequirements]]/tblCost[[#This Row],[TargetRequirements]])</f>
        <v>0</v>
      </c>
    </row>
    <row r="1268" spans="1:13">
      <c r="A1268" s="41" t="s">
        <v>4905</v>
      </c>
      <c r="B1268" s="41" t="str">
        <f>_xlfn.TEXTAFTER(_xlfn.TEXTBEFORE(tblCost[[#This Row],[RequirementID]],".",-2),"cost.")</f>
        <v>citadel.pantry</v>
      </c>
      <c r="C1268" s="41" t="str">
        <f>_xlfn.XLOOKUP(tblCost[[#This Row],[TargetID]],tblTargets[TargetID],tblTargets[DisplayName],"")</f>
        <v>Pantry</v>
      </c>
      <c r="D1268" s="41" t="str">
        <f>_xlfn.XLOOKUP(tblCost[[#This Row],[TargetID]],tblTargets[TargetID],tblTargets[TargetType],"")</f>
        <v>CITADEL</v>
      </c>
      <c r="E1268" s="41" t="s">
        <v>666</v>
      </c>
      <c r="F1268" s="62" t="str">
        <f>RIGHT(tblCost[[#This Row],[RequirementID]],1)</f>
        <v>1</v>
      </c>
      <c r="G1268" s="41">
        <v>400</v>
      </c>
      <c r="H1268" t="b">
        <f>COUNTIFS(tblCostChecklist[RequirementID],tblCost[[#This Row],[RequirementID]],tblCostChecklist[PlayerPaid],TRUE)&gt;0</f>
        <v>0</v>
      </c>
      <c r="I1268" s="41">
        <f>COUNTIF(tblCost[TargetID],tblCost[[#This Row],[TargetID]])</f>
        <v>5</v>
      </c>
      <c r="J1268" s="41">
        <f>COUNTIFS(tblCost[TargetID],tblCost[[#This Row],[TargetID]],tblCost[PlayerPaid],TRUE)</f>
        <v>0</v>
      </c>
      <c r="K1268" s="41">
        <f>tblCost[[#This Row],[TargetRequirements]]-tblCost[[#This Row],[CompletedRequirements]]</f>
        <v>5</v>
      </c>
      <c r="L1268" s="41" t="b">
        <f>tblCost[[#This Row],[RemainingRequirements]]=0</f>
        <v>0</v>
      </c>
      <c r="M1268" s="43">
        <f>IF(tblCost[[#This Row],[TargetRequirements]]=0,0,tblCost[[#This Row],[CompletedRequirements]]/tblCost[[#This Row],[TargetRequirements]])</f>
        <v>0</v>
      </c>
    </row>
    <row r="1269" spans="1:13">
      <c r="A1269" s="41" t="s">
        <v>4906</v>
      </c>
      <c r="B1269" s="41" t="str">
        <f>_xlfn.TEXTAFTER(_xlfn.TEXTBEFORE(tblCost[[#This Row],[RequirementID]],".",-2),"cost.")</f>
        <v>citadel.pantry</v>
      </c>
      <c r="C1269" s="41" t="str">
        <f>_xlfn.XLOOKUP(tblCost[[#This Row],[TargetID]],tblTargets[TargetID],tblTargets[DisplayName],"")</f>
        <v>Pantry</v>
      </c>
      <c r="D1269" s="41" t="str">
        <f>_xlfn.XLOOKUP(tblCost[[#This Row],[TargetID]],tblTargets[TargetID],tblTargets[TargetType],"")</f>
        <v>CITADEL</v>
      </c>
      <c r="E1269" s="41" t="s">
        <v>696</v>
      </c>
      <c r="F1269" s="62" t="str">
        <f>RIGHT(tblCost[[#This Row],[RequirementID]],1)</f>
        <v>1</v>
      </c>
      <c r="G1269" s="41">
        <v>10</v>
      </c>
      <c r="H1269" t="b">
        <f>COUNTIFS(tblCostChecklist[RequirementID],tblCost[[#This Row],[RequirementID]],tblCostChecklist[PlayerPaid],TRUE)&gt;0</f>
        <v>0</v>
      </c>
      <c r="I1269" s="41">
        <f>COUNTIF(tblCost[TargetID],tblCost[[#This Row],[TargetID]])</f>
        <v>5</v>
      </c>
      <c r="J1269" s="41">
        <f>COUNTIFS(tblCost[TargetID],tblCost[[#This Row],[TargetID]],tblCost[PlayerPaid],TRUE)</f>
        <v>0</v>
      </c>
      <c r="K1269" s="41">
        <f>tblCost[[#This Row],[TargetRequirements]]-tblCost[[#This Row],[CompletedRequirements]]</f>
        <v>5</v>
      </c>
      <c r="L1269" s="41" t="b">
        <f>tblCost[[#This Row],[RemainingRequirements]]=0</f>
        <v>0</v>
      </c>
      <c r="M1269" s="43">
        <f>IF(tblCost[[#This Row],[TargetRequirements]]=0,0,tblCost[[#This Row],[CompletedRequirements]]/tblCost[[#This Row],[TargetRequirements]])</f>
        <v>0</v>
      </c>
    </row>
    <row r="1270" spans="1:13">
      <c r="A1270" s="41" t="s">
        <v>4907</v>
      </c>
      <c r="B1270" s="41" t="str">
        <f>_xlfn.TEXTAFTER(_xlfn.TEXTBEFORE(tblCost[[#This Row],[RequirementID]],".",-2),"cost.")</f>
        <v>citadel.pantry</v>
      </c>
      <c r="C1270" s="41" t="str">
        <f>_xlfn.XLOOKUP(tblCost[[#This Row],[TargetID]],tblTargets[TargetID],tblTargets[DisplayName],"")</f>
        <v>Pantry</v>
      </c>
      <c r="D1270" s="41" t="str">
        <f>_xlfn.XLOOKUP(tblCost[[#This Row],[TargetID]],tblTargets[TargetID],tblTargets[TargetType],"")</f>
        <v>CITADEL</v>
      </c>
      <c r="E1270" s="41" t="s">
        <v>708</v>
      </c>
      <c r="F1270" s="62" t="str">
        <f>RIGHT(tblCost[[#This Row],[RequirementID]],1)</f>
        <v>1</v>
      </c>
      <c r="G1270" s="41">
        <v>2</v>
      </c>
      <c r="H1270" t="b">
        <f>COUNTIFS(tblCostChecklist[RequirementID],tblCost[[#This Row],[RequirementID]],tblCostChecklist[PlayerPaid],TRUE)&gt;0</f>
        <v>0</v>
      </c>
      <c r="I1270" s="41">
        <f>COUNTIF(tblCost[TargetID],tblCost[[#This Row],[TargetID]])</f>
        <v>5</v>
      </c>
      <c r="J1270" s="41">
        <f>COUNTIFS(tblCost[TargetID],tblCost[[#This Row],[TargetID]],tblCost[PlayerPaid],TRUE)</f>
        <v>0</v>
      </c>
      <c r="K1270" s="41">
        <f>tblCost[[#This Row],[TargetRequirements]]-tblCost[[#This Row],[CompletedRequirements]]</f>
        <v>5</v>
      </c>
      <c r="L1270" s="41" t="b">
        <f>tblCost[[#This Row],[RemainingRequirements]]=0</f>
        <v>0</v>
      </c>
      <c r="M1270" s="43">
        <f>IF(tblCost[[#This Row],[TargetRequirements]]=0,0,tblCost[[#This Row],[CompletedRequirements]]/tblCost[[#This Row],[TargetRequirements]])</f>
        <v>0</v>
      </c>
    </row>
    <row r="1271" spans="1:13">
      <c r="A1271" s="41" t="s">
        <v>4908</v>
      </c>
      <c r="B1271" s="41" t="str">
        <f>_xlfn.TEXTAFTER(_xlfn.TEXTBEFORE(tblCost[[#This Row],[RequirementID]],".",-2),"cost.")</f>
        <v>citadel.pantry</v>
      </c>
      <c r="C1271" s="41" t="str">
        <f>_xlfn.XLOOKUP(tblCost[[#This Row],[TargetID]],tblTargets[TargetID],tblTargets[DisplayName],"")</f>
        <v>Pantry</v>
      </c>
      <c r="D1271" s="41" t="str">
        <f>_xlfn.XLOOKUP(tblCost[[#This Row],[TargetID]],tblTargets[TargetID],tblTargets[TargetType],"")</f>
        <v>CITADEL</v>
      </c>
      <c r="E1271" s="41" t="s">
        <v>717</v>
      </c>
      <c r="F1271" s="62" t="str">
        <f>RIGHT(tblCost[[#This Row],[RequirementID]],1)</f>
        <v>1</v>
      </c>
      <c r="G1271" s="41">
        <v>400</v>
      </c>
      <c r="H1271" t="b">
        <f>COUNTIFS(tblCostChecklist[RequirementID],tblCost[[#This Row],[RequirementID]],tblCostChecklist[PlayerPaid],TRUE)&gt;0</f>
        <v>0</v>
      </c>
      <c r="I1271" s="41">
        <f>COUNTIF(tblCost[TargetID],tblCost[[#This Row],[TargetID]])</f>
        <v>5</v>
      </c>
      <c r="J1271" s="41">
        <f>COUNTIFS(tblCost[TargetID],tblCost[[#This Row],[TargetID]],tblCost[PlayerPaid],TRUE)</f>
        <v>0</v>
      </c>
      <c r="K1271" s="41">
        <f>tblCost[[#This Row],[TargetRequirements]]-tblCost[[#This Row],[CompletedRequirements]]</f>
        <v>5</v>
      </c>
      <c r="L1271" s="41" t="b">
        <f>tblCost[[#This Row],[RemainingRequirements]]=0</f>
        <v>0</v>
      </c>
      <c r="M1271" s="43">
        <f>IF(tblCost[[#This Row],[TargetRequirements]]=0,0,tblCost[[#This Row],[CompletedRequirements]]/tblCost[[#This Row],[TargetRequirements]])</f>
        <v>0</v>
      </c>
    </row>
    <row r="1272" spans="1:13">
      <c r="A1272" s="41" t="s">
        <v>4909</v>
      </c>
      <c r="B1272" s="41" t="str">
        <f>_xlfn.TEXTAFTER(_xlfn.TEXTBEFORE(tblCost[[#This Row],[RequirementID]],".",-2),"cost.")</f>
        <v>citadel.tavern</v>
      </c>
      <c r="C1272" s="41" t="str">
        <f>_xlfn.XLOOKUP(tblCost[[#This Row],[TargetID]],tblTargets[TargetID],tblTargets[DisplayName],"")</f>
        <v>Tavern</v>
      </c>
      <c r="D1272" s="41" t="str">
        <f>_xlfn.XLOOKUP(tblCost[[#This Row],[TargetID]],tblTargets[TargetID],tblTargets[TargetType],"")</f>
        <v>CITADEL</v>
      </c>
      <c r="E1272" s="41" t="s">
        <v>658</v>
      </c>
      <c r="F1272" s="62" t="str">
        <f>RIGHT(tblCost[[#This Row],[RequirementID]],1)</f>
        <v>1</v>
      </c>
      <c r="G1272" s="41">
        <v>400</v>
      </c>
      <c r="H1272" t="b">
        <f>COUNTIFS(tblCostChecklist[RequirementID],tblCost[[#This Row],[RequirementID]],tblCostChecklist[PlayerPaid],TRUE)&gt;0</f>
        <v>0</v>
      </c>
      <c r="I1272" s="41">
        <f>COUNTIF(tblCost[TargetID],tblCost[[#This Row],[TargetID]])</f>
        <v>5</v>
      </c>
      <c r="J1272" s="41">
        <f>COUNTIFS(tblCost[TargetID],tblCost[[#This Row],[TargetID]],tblCost[PlayerPaid],TRUE)</f>
        <v>0</v>
      </c>
      <c r="K1272" s="41">
        <f>tblCost[[#This Row],[TargetRequirements]]-tblCost[[#This Row],[CompletedRequirements]]</f>
        <v>5</v>
      </c>
      <c r="L1272" s="41" t="b">
        <f>tblCost[[#This Row],[RemainingRequirements]]=0</f>
        <v>0</v>
      </c>
      <c r="M1272" s="43">
        <f>IF(tblCost[[#This Row],[TargetRequirements]]=0,0,tblCost[[#This Row],[CompletedRequirements]]/tblCost[[#This Row],[TargetRequirements]])</f>
        <v>0</v>
      </c>
    </row>
    <row r="1273" spans="1:13">
      <c r="A1273" s="41" t="s">
        <v>4910</v>
      </c>
      <c r="B1273" s="41" t="str">
        <f>_xlfn.TEXTAFTER(_xlfn.TEXTBEFORE(tblCost[[#This Row],[RequirementID]],".",-2),"cost.")</f>
        <v>citadel.tavern</v>
      </c>
      <c r="C1273" s="41" t="str">
        <f>_xlfn.XLOOKUP(tblCost[[#This Row],[TargetID]],tblTargets[TargetID],tblTargets[DisplayName],"")</f>
        <v>Tavern</v>
      </c>
      <c r="D1273" s="41" t="str">
        <f>_xlfn.XLOOKUP(tblCost[[#This Row],[TargetID]],tblTargets[TargetID],tblTargets[TargetType],"")</f>
        <v>CITADEL</v>
      </c>
      <c r="E1273" s="41" t="s">
        <v>666</v>
      </c>
      <c r="F1273" s="62" t="str">
        <f>RIGHT(tblCost[[#This Row],[RequirementID]],1)</f>
        <v>1</v>
      </c>
      <c r="G1273" s="41">
        <v>400</v>
      </c>
      <c r="H1273" t="b">
        <f>COUNTIFS(tblCostChecklist[RequirementID],tblCost[[#This Row],[RequirementID]],tblCostChecklist[PlayerPaid],TRUE)&gt;0</f>
        <v>0</v>
      </c>
      <c r="I1273" s="41">
        <f>COUNTIF(tblCost[TargetID],tblCost[[#This Row],[TargetID]])</f>
        <v>5</v>
      </c>
      <c r="J1273" s="41">
        <f>COUNTIFS(tblCost[TargetID],tblCost[[#This Row],[TargetID]],tblCost[PlayerPaid],TRUE)</f>
        <v>0</v>
      </c>
      <c r="K1273" s="41">
        <f>tblCost[[#This Row],[TargetRequirements]]-tblCost[[#This Row],[CompletedRequirements]]</f>
        <v>5</v>
      </c>
      <c r="L1273" s="41" t="b">
        <f>tblCost[[#This Row],[RemainingRequirements]]=0</f>
        <v>0</v>
      </c>
      <c r="M1273" s="43">
        <f>IF(tblCost[[#This Row],[TargetRequirements]]=0,0,tblCost[[#This Row],[CompletedRequirements]]/tblCost[[#This Row],[TargetRequirements]])</f>
        <v>0</v>
      </c>
    </row>
    <row r="1274" spans="1:13">
      <c r="A1274" s="41" t="s">
        <v>4911</v>
      </c>
      <c r="B1274" s="41" t="str">
        <f>_xlfn.TEXTAFTER(_xlfn.TEXTBEFORE(tblCost[[#This Row],[RequirementID]],".",-2),"cost.")</f>
        <v>citadel.tavern</v>
      </c>
      <c r="C1274" s="41" t="str">
        <f>_xlfn.XLOOKUP(tblCost[[#This Row],[TargetID]],tblTargets[TargetID],tblTargets[DisplayName],"")</f>
        <v>Tavern</v>
      </c>
      <c r="D1274" s="41" t="str">
        <f>_xlfn.XLOOKUP(tblCost[[#This Row],[TargetID]],tblTargets[TargetID],tblTargets[TargetType],"")</f>
        <v>CITADEL</v>
      </c>
      <c r="E1274" s="41" t="s">
        <v>696</v>
      </c>
      <c r="F1274" s="62" t="str">
        <f>RIGHT(tblCost[[#This Row],[RequirementID]],1)</f>
        <v>1</v>
      </c>
      <c r="G1274" s="41">
        <v>10</v>
      </c>
      <c r="H1274" t="b">
        <f>COUNTIFS(tblCostChecklist[RequirementID],tblCost[[#This Row],[RequirementID]],tblCostChecklist[PlayerPaid],TRUE)&gt;0</f>
        <v>0</v>
      </c>
      <c r="I1274" s="41">
        <f>COUNTIF(tblCost[TargetID],tblCost[[#This Row],[TargetID]])</f>
        <v>5</v>
      </c>
      <c r="J1274" s="41">
        <f>COUNTIFS(tblCost[TargetID],tblCost[[#This Row],[TargetID]],tblCost[PlayerPaid],TRUE)</f>
        <v>0</v>
      </c>
      <c r="K1274" s="41">
        <f>tblCost[[#This Row],[TargetRequirements]]-tblCost[[#This Row],[CompletedRequirements]]</f>
        <v>5</v>
      </c>
      <c r="L1274" s="41" t="b">
        <f>tblCost[[#This Row],[RemainingRequirements]]=0</f>
        <v>0</v>
      </c>
      <c r="M1274" s="43">
        <f>IF(tblCost[[#This Row],[TargetRequirements]]=0,0,tblCost[[#This Row],[CompletedRequirements]]/tblCost[[#This Row],[TargetRequirements]])</f>
        <v>0</v>
      </c>
    </row>
    <row r="1275" spans="1:13">
      <c r="A1275" s="41" t="s">
        <v>4912</v>
      </c>
      <c r="B1275" s="41" t="str">
        <f>_xlfn.TEXTAFTER(_xlfn.TEXTBEFORE(tblCost[[#This Row],[RequirementID]],".",-2),"cost.")</f>
        <v>citadel.tavern</v>
      </c>
      <c r="C1275" s="41" t="str">
        <f>_xlfn.XLOOKUP(tblCost[[#This Row],[TargetID]],tblTargets[TargetID],tblTargets[DisplayName],"")</f>
        <v>Tavern</v>
      </c>
      <c r="D1275" s="41" t="str">
        <f>_xlfn.XLOOKUP(tblCost[[#This Row],[TargetID]],tblTargets[TargetID],tblTargets[TargetType],"")</f>
        <v>CITADEL</v>
      </c>
      <c r="E1275" s="41" t="s">
        <v>708</v>
      </c>
      <c r="F1275" s="62" t="str">
        <f>RIGHT(tblCost[[#This Row],[RequirementID]],1)</f>
        <v>1</v>
      </c>
      <c r="G1275" s="41">
        <v>2</v>
      </c>
      <c r="H1275" t="b">
        <f>COUNTIFS(tblCostChecklist[RequirementID],tblCost[[#This Row],[RequirementID]],tblCostChecklist[PlayerPaid],TRUE)&gt;0</f>
        <v>0</v>
      </c>
      <c r="I1275" s="41">
        <f>COUNTIF(tblCost[TargetID],tblCost[[#This Row],[TargetID]])</f>
        <v>5</v>
      </c>
      <c r="J1275" s="41">
        <f>COUNTIFS(tblCost[TargetID],tblCost[[#This Row],[TargetID]],tblCost[PlayerPaid],TRUE)</f>
        <v>0</v>
      </c>
      <c r="K1275" s="41">
        <f>tblCost[[#This Row],[TargetRequirements]]-tblCost[[#This Row],[CompletedRequirements]]</f>
        <v>5</v>
      </c>
      <c r="L1275" s="41" t="b">
        <f>tblCost[[#This Row],[RemainingRequirements]]=0</f>
        <v>0</v>
      </c>
      <c r="M1275" s="43">
        <f>IF(tblCost[[#This Row],[TargetRequirements]]=0,0,tblCost[[#This Row],[CompletedRequirements]]/tblCost[[#This Row],[TargetRequirements]])</f>
        <v>0</v>
      </c>
    </row>
    <row r="1276" spans="1:13">
      <c r="A1276" s="41" t="s">
        <v>4913</v>
      </c>
      <c r="B1276" s="41" t="str">
        <f>_xlfn.TEXTAFTER(_xlfn.TEXTBEFORE(tblCost[[#This Row],[RequirementID]],".",-2),"cost.")</f>
        <v>citadel.tavern</v>
      </c>
      <c r="C1276" s="41" t="str">
        <f>_xlfn.XLOOKUP(tblCost[[#This Row],[TargetID]],tblTargets[TargetID],tblTargets[DisplayName],"")</f>
        <v>Tavern</v>
      </c>
      <c r="D1276" s="41" t="str">
        <f>_xlfn.XLOOKUP(tblCost[[#This Row],[TargetID]],tblTargets[TargetID],tblTargets[TargetType],"")</f>
        <v>CITADEL</v>
      </c>
      <c r="E1276" s="41" t="s">
        <v>717</v>
      </c>
      <c r="F1276" s="62" t="str">
        <f>RIGHT(tblCost[[#This Row],[RequirementID]],1)</f>
        <v>1</v>
      </c>
      <c r="G1276" s="41">
        <v>400</v>
      </c>
      <c r="H1276" t="b">
        <f>COUNTIFS(tblCostChecklist[RequirementID],tblCost[[#This Row],[RequirementID]],tblCostChecklist[PlayerPaid],TRUE)&gt;0</f>
        <v>0</v>
      </c>
      <c r="I1276" s="41">
        <f>COUNTIF(tblCost[TargetID],tblCost[[#This Row],[TargetID]])</f>
        <v>5</v>
      </c>
      <c r="J1276" s="41">
        <f>COUNTIFS(tblCost[TargetID],tblCost[[#This Row],[TargetID]],tblCost[PlayerPaid],TRUE)</f>
        <v>0</v>
      </c>
      <c r="K1276" s="41">
        <f>tblCost[[#This Row],[TargetRequirements]]-tblCost[[#This Row],[CompletedRequirements]]</f>
        <v>5</v>
      </c>
      <c r="L1276" s="41" t="b">
        <f>tblCost[[#This Row],[RemainingRequirements]]=0</f>
        <v>0</v>
      </c>
      <c r="M1276" s="43">
        <f>IF(tblCost[[#This Row],[TargetRequirements]]=0,0,tblCost[[#This Row],[CompletedRequirements]]/tblCost[[#This Row],[TargetRequirements]])</f>
        <v>0</v>
      </c>
    </row>
    <row r="1277" spans="1:13">
      <c r="A1277" s="41" t="s">
        <v>4914</v>
      </c>
      <c r="B1277" s="41" t="str">
        <f>_xlfn.TEXTAFTER(_xlfn.TEXTBEFORE(tblCost[[#This Row],[RequirementID]],".",-2),"cost.")</f>
        <v>citadel.treasury</v>
      </c>
      <c r="C1277" s="41" t="str">
        <f>_xlfn.XLOOKUP(tblCost[[#This Row],[TargetID]],tblTargets[TargetID],tblTargets[DisplayName],"")</f>
        <v>Treasury</v>
      </c>
      <c r="D1277" s="41" t="str">
        <f>_xlfn.XLOOKUP(tblCost[[#This Row],[TargetID]],tblTargets[TargetID],tblTargets[TargetType],"")</f>
        <v>CITADEL</v>
      </c>
      <c r="E1277" s="41" t="s">
        <v>658</v>
      </c>
      <c r="F1277" s="62" t="str">
        <f>RIGHT(tblCost[[#This Row],[RequirementID]],1)</f>
        <v>1</v>
      </c>
      <c r="G1277" s="41">
        <v>600</v>
      </c>
      <c r="H1277" t="b">
        <f>COUNTIFS(tblCostChecklist[RequirementID],tblCost[[#This Row],[RequirementID]],tblCostChecklist[PlayerPaid],TRUE)&gt;0</f>
        <v>0</v>
      </c>
      <c r="I1277" s="41">
        <f>COUNTIF(tblCost[TargetID],tblCost[[#This Row],[TargetID]])</f>
        <v>6</v>
      </c>
      <c r="J1277" s="41">
        <f>COUNTIFS(tblCost[TargetID],tblCost[[#This Row],[TargetID]],tblCost[PlayerPaid],TRUE)</f>
        <v>0</v>
      </c>
      <c r="K1277" s="41">
        <f>tblCost[[#This Row],[TargetRequirements]]-tblCost[[#This Row],[CompletedRequirements]]</f>
        <v>6</v>
      </c>
      <c r="L1277" s="41" t="b">
        <f>tblCost[[#This Row],[RemainingRequirements]]=0</f>
        <v>0</v>
      </c>
      <c r="M1277" s="43">
        <f>IF(tblCost[[#This Row],[TargetRequirements]]=0,0,tblCost[[#This Row],[CompletedRequirements]]/tblCost[[#This Row],[TargetRequirements]])</f>
        <v>0</v>
      </c>
    </row>
    <row r="1278" spans="1:13">
      <c r="A1278" s="41" t="s">
        <v>4915</v>
      </c>
      <c r="B1278" s="41" t="str">
        <f>_xlfn.TEXTAFTER(_xlfn.TEXTBEFORE(tblCost[[#This Row],[RequirementID]],".",-2),"cost.")</f>
        <v>citadel.treasury</v>
      </c>
      <c r="C1278" s="41" t="str">
        <f>_xlfn.XLOOKUP(tblCost[[#This Row],[TargetID]],tblTargets[TargetID],tblTargets[DisplayName],"")</f>
        <v>Treasury</v>
      </c>
      <c r="D1278" s="41" t="str">
        <f>_xlfn.XLOOKUP(tblCost[[#This Row],[TargetID]],tblTargets[TargetID],tblTargets[TargetType],"")</f>
        <v>CITADEL</v>
      </c>
      <c r="E1278" s="41" t="s">
        <v>666</v>
      </c>
      <c r="F1278" s="62" t="str">
        <f>RIGHT(tblCost[[#This Row],[RequirementID]],1)</f>
        <v>1</v>
      </c>
      <c r="G1278" s="41">
        <v>600</v>
      </c>
      <c r="H1278" t="b">
        <f>COUNTIFS(tblCostChecklist[RequirementID],tblCost[[#This Row],[RequirementID]],tblCostChecklist[PlayerPaid],TRUE)&gt;0</f>
        <v>0</v>
      </c>
      <c r="I1278" s="41">
        <f>COUNTIF(tblCost[TargetID],tblCost[[#This Row],[TargetID]])</f>
        <v>6</v>
      </c>
      <c r="J1278" s="41">
        <f>COUNTIFS(tblCost[TargetID],tblCost[[#This Row],[TargetID]],tblCost[PlayerPaid],TRUE)</f>
        <v>0</v>
      </c>
      <c r="K1278" s="41">
        <f>tblCost[[#This Row],[TargetRequirements]]-tblCost[[#This Row],[CompletedRequirements]]</f>
        <v>6</v>
      </c>
      <c r="L1278" s="41" t="b">
        <f>tblCost[[#This Row],[RemainingRequirements]]=0</f>
        <v>0</v>
      </c>
      <c r="M1278" s="43">
        <f>IF(tblCost[[#This Row],[TargetRequirements]]=0,0,tblCost[[#This Row],[CompletedRequirements]]/tblCost[[#This Row],[TargetRequirements]])</f>
        <v>0</v>
      </c>
    </row>
    <row r="1279" spans="1:13">
      <c r="A1279" s="41" t="s">
        <v>4916</v>
      </c>
      <c r="B1279" s="41" t="str">
        <f>_xlfn.TEXTAFTER(_xlfn.TEXTBEFORE(tblCost[[#This Row],[RequirementID]],".",-2),"cost.")</f>
        <v>citadel.treasury</v>
      </c>
      <c r="C1279" s="41" t="str">
        <f>_xlfn.XLOOKUP(tblCost[[#This Row],[TargetID]],tblTargets[TargetID],tblTargets[DisplayName],"")</f>
        <v>Treasury</v>
      </c>
      <c r="D1279" s="41" t="str">
        <f>_xlfn.XLOOKUP(tblCost[[#This Row],[TargetID]],tblTargets[TargetID],tblTargets[TargetType],"")</f>
        <v>CITADEL</v>
      </c>
      <c r="E1279" s="41" t="s">
        <v>696</v>
      </c>
      <c r="F1279" s="62" t="str">
        <f>RIGHT(tblCost[[#This Row],[RequirementID]],1)</f>
        <v>1</v>
      </c>
      <c r="G1279" s="41">
        <v>20</v>
      </c>
      <c r="H1279" t="b">
        <f>COUNTIFS(tblCostChecklist[RequirementID],tblCost[[#This Row],[RequirementID]],tblCostChecklist[PlayerPaid],TRUE)&gt;0</f>
        <v>0</v>
      </c>
      <c r="I1279" s="41">
        <f>COUNTIF(tblCost[TargetID],tblCost[[#This Row],[TargetID]])</f>
        <v>6</v>
      </c>
      <c r="J1279" s="41">
        <f>COUNTIFS(tblCost[TargetID],tblCost[[#This Row],[TargetID]],tblCost[PlayerPaid],TRUE)</f>
        <v>0</v>
      </c>
      <c r="K1279" s="41">
        <f>tblCost[[#This Row],[TargetRequirements]]-tblCost[[#This Row],[CompletedRequirements]]</f>
        <v>6</v>
      </c>
      <c r="L1279" s="41" t="b">
        <f>tblCost[[#This Row],[RemainingRequirements]]=0</f>
        <v>0</v>
      </c>
      <c r="M1279" s="43">
        <f>IF(tblCost[[#This Row],[TargetRequirements]]=0,0,tblCost[[#This Row],[CompletedRequirements]]/tblCost[[#This Row],[TargetRequirements]])</f>
        <v>0</v>
      </c>
    </row>
    <row r="1280" spans="1:13">
      <c r="A1280" s="41" t="s">
        <v>4917</v>
      </c>
      <c r="B1280" s="41" t="str">
        <f>_xlfn.TEXTAFTER(_xlfn.TEXTBEFORE(tblCost[[#This Row],[RequirementID]],".",-2),"cost.")</f>
        <v>citadel.treasury</v>
      </c>
      <c r="C1280" s="41" t="str">
        <f>_xlfn.XLOOKUP(tblCost[[#This Row],[TargetID]],tblTargets[TargetID],tblTargets[DisplayName],"")</f>
        <v>Treasury</v>
      </c>
      <c r="D1280" s="41" t="str">
        <f>_xlfn.XLOOKUP(tblCost[[#This Row],[TargetID]],tblTargets[TargetID],tblTargets[TargetType],"")</f>
        <v>CITADEL</v>
      </c>
      <c r="E1280" s="41" t="s">
        <v>708</v>
      </c>
      <c r="F1280" s="62" t="str">
        <f>RIGHT(tblCost[[#This Row],[RequirementID]],1)</f>
        <v>1</v>
      </c>
      <c r="G1280" s="41">
        <v>3</v>
      </c>
      <c r="H1280" t="b">
        <f>COUNTIFS(tblCostChecklist[RequirementID],tblCost[[#This Row],[RequirementID]],tblCostChecklist[PlayerPaid],TRUE)&gt;0</f>
        <v>0</v>
      </c>
      <c r="I1280" s="41">
        <f>COUNTIF(tblCost[TargetID],tblCost[[#This Row],[TargetID]])</f>
        <v>6</v>
      </c>
      <c r="J1280" s="41">
        <f>COUNTIFS(tblCost[TargetID],tblCost[[#This Row],[TargetID]],tblCost[PlayerPaid],TRUE)</f>
        <v>0</v>
      </c>
      <c r="K1280" s="41">
        <f>tblCost[[#This Row],[TargetRequirements]]-tblCost[[#This Row],[CompletedRequirements]]</f>
        <v>6</v>
      </c>
      <c r="L1280" s="41" t="b">
        <f>tblCost[[#This Row],[RemainingRequirements]]=0</f>
        <v>0</v>
      </c>
      <c r="M1280" s="43">
        <f>IF(tblCost[[#This Row],[TargetRequirements]]=0,0,tblCost[[#This Row],[CompletedRequirements]]/tblCost[[#This Row],[TargetRequirements]])</f>
        <v>0</v>
      </c>
    </row>
    <row r="1281" spans="1:13">
      <c r="A1281" s="41" t="s">
        <v>4918</v>
      </c>
      <c r="B1281" s="41" t="str">
        <f>_xlfn.TEXTAFTER(_xlfn.TEXTBEFORE(tblCost[[#This Row],[RequirementID]],".",-2),"cost.")</f>
        <v>citadel.treasury</v>
      </c>
      <c r="C1281" s="41" t="str">
        <f>_xlfn.XLOOKUP(tblCost[[#This Row],[TargetID]],tblTargets[TargetID],tblTargets[DisplayName],"")</f>
        <v>Treasury</v>
      </c>
      <c r="D1281" s="41" t="str">
        <f>_xlfn.XLOOKUP(tblCost[[#This Row],[TargetID]],tblTargets[TargetID],tblTargets[TargetType],"")</f>
        <v>CITADEL</v>
      </c>
      <c r="E1281" s="41" t="s">
        <v>716</v>
      </c>
      <c r="F1281" s="62" t="str">
        <f>RIGHT(tblCost[[#This Row],[RequirementID]],1)</f>
        <v>1</v>
      </c>
      <c r="G1281" s="41">
        <v>300</v>
      </c>
      <c r="H1281" t="b">
        <f>COUNTIFS(tblCostChecklist[RequirementID],tblCost[[#This Row],[RequirementID]],tblCostChecklist[PlayerPaid],TRUE)&gt;0</f>
        <v>0</v>
      </c>
      <c r="I1281" s="41">
        <f>COUNTIF(tblCost[TargetID],tblCost[[#This Row],[TargetID]])</f>
        <v>6</v>
      </c>
      <c r="J1281" s="41">
        <f>COUNTIFS(tblCost[TargetID],tblCost[[#This Row],[TargetID]],tblCost[PlayerPaid],TRUE)</f>
        <v>0</v>
      </c>
      <c r="K1281" s="41">
        <f>tblCost[[#This Row],[TargetRequirements]]-tblCost[[#This Row],[CompletedRequirements]]</f>
        <v>6</v>
      </c>
      <c r="L1281" s="41" t="b">
        <f>tblCost[[#This Row],[RemainingRequirements]]=0</f>
        <v>0</v>
      </c>
      <c r="M1281" s="43">
        <f>IF(tblCost[[#This Row],[TargetRequirements]]=0,0,tblCost[[#This Row],[CompletedRequirements]]/tblCost[[#This Row],[TargetRequirements]])</f>
        <v>0</v>
      </c>
    </row>
    <row r="1282" spans="1:13">
      <c r="A1282" s="41" t="s">
        <v>4919</v>
      </c>
      <c r="B1282" s="41" t="str">
        <f>_xlfn.TEXTAFTER(_xlfn.TEXTBEFORE(tblCost[[#This Row],[RequirementID]],".",-2),"cost.")</f>
        <v>citadel.treasury</v>
      </c>
      <c r="C1282" s="41" t="str">
        <f>_xlfn.XLOOKUP(tblCost[[#This Row],[TargetID]],tblTargets[TargetID],tblTargets[DisplayName],"")</f>
        <v>Treasury</v>
      </c>
      <c r="D1282" s="41" t="str">
        <f>_xlfn.XLOOKUP(tblCost[[#This Row],[TargetID]],tblTargets[TargetID],tblTargets[TargetType],"")</f>
        <v>CITADEL</v>
      </c>
      <c r="E1282" s="41" t="s">
        <v>717</v>
      </c>
      <c r="F1282" s="62" t="str">
        <f>RIGHT(tblCost[[#This Row],[RequirementID]],1)</f>
        <v>1</v>
      </c>
      <c r="G1282" s="41">
        <v>600</v>
      </c>
      <c r="H1282" t="b">
        <f>COUNTIFS(tblCostChecklist[RequirementID],tblCost[[#This Row],[RequirementID]],tblCostChecklist[PlayerPaid],TRUE)&gt;0</f>
        <v>0</v>
      </c>
      <c r="I1282" s="41">
        <f>COUNTIF(tblCost[TargetID],tblCost[[#This Row],[TargetID]])</f>
        <v>6</v>
      </c>
      <c r="J1282" s="41">
        <f>COUNTIFS(tblCost[TargetID],tblCost[[#This Row],[TargetID]],tblCost[PlayerPaid],TRUE)</f>
        <v>0</v>
      </c>
      <c r="K1282" s="41">
        <f>tblCost[[#This Row],[TargetRequirements]]-tblCost[[#This Row],[CompletedRequirements]]</f>
        <v>6</v>
      </c>
      <c r="L1282" s="41" t="b">
        <f>tblCost[[#This Row],[RemainingRequirements]]=0</f>
        <v>0</v>
      </c>
      <c r="M1282" s="43">
        <f>IF(tblCost[[#This Row],[TargetRequirements]]=0,0,tblCost[[#This Row],[CompletedRequirements]]/tblCost[[#This Row],[TargetRequirements]])</f>
        <v>0</v>
      </c>
    </row>
    <row r="1283" spans="1:13">
      <c r="A1283" s="41" t="s">
        <v>4920</v>
      </c>
      <c r="B1283" s="41" t="str">
        <f>_xlfn.TEXTAFTER(_xlfn.TEXTBEFORE(tblCost[[#This Row],[RequirementID]],".",-2),"cost.")</f>
        <v>collection.armory_1@1</v>
      </c>
      <c r="C1283" s="41" t="str">
        <f>_xlfn.XLOOKUP(tblCost[[#This Row],[TargetID]],tblTargets[TargetID],tblTargets[DisplayName],"")</f>
        <v>Armory 1 Lv 1</v>
      </c>
      <c r="D1283" s="41" t="str">
        <f>_xlfn.XLOOKUP(tblCost[[#This Row],[TargetID]],tblTargets[TargetID],tblTargets[TargetType],"")</f>
        <v>COLLECTION</v>
      </c>
      <c r="E1283" s="41" t="s">
        <v>1786</v>
      </c>
      <c r="F1283" s="62" t="str">
        <f>RIGHT(tblCost[[#This Row],[RequirementID]],1)</f>
        <v>1</v>
      </c>
      <c r="G1283" s="41">
        <v>3</v>
      </c>
      <c r="H1283" t="b">
        <f>COUNTIFS(tblCostChecklist[RequirementID],tblCost[[#This Row],[RequirementID]],tblCostChecklist[PlayerPaid],TRUE)&gt;0</f>
        <v>0</v>
      </c>
      <c r="I1283" s="41">
        <f>COUNTIF(tblCost[TargetID],tblCost[[#This Row],[TargetID]])</f>
        <v>12</v>
      </c>
      <c r="J1283" s="41">
        <f>COUNTIFS(tblCost[TargetID],tblCost[[#This Row],[TargetID]],tblCost[PlayerPaid],TRUE)</f>
        <v>0</v>
      </c>
      <c r="K1283" s="41">
        <f>tblCost[[#This Row],[TargetRequirements]]-tblCost[[#This Row],[CompletedRequirements]]</f>
        <v>12</v>
      </c>
      <c r="L1283" s="41" t="b">
        <f>tblCost[[#This Row],[RemainingRequirements]]=0</f>
        <v>0</v>
      </c>
      <c r="M1283" s="43">
        <f>IF(tblCost[[#This Row],[TargetRequirements]]=0,0,tblCost[[#This Row],[CompletedRequirements]]/tblCost[[#This Row],[TargetRequirements]])</f>
        <v>0</v>
      </c>
    </row>
    <row r="1284" spans="1:13">
      <c r="A1284" s="41" t="s">
        <v>4921</v>
      </c>
      <c r="B1284" s="41" t="str">
        <f>_xlfn.TEXTAFTER(_xlfn.TEXTBEFORE(tblCost[[#This Row],[RequirementID]],".",-2),"cost.")</f>
        <v>collection.armory_1@1</v>
      </c>
      <c r="C1284" s="41" t="str">
        <f>_xlfn.XLOOKUP(tblCost[[#This Row],[TargetID]],tblTargets[TargetID],tblTargets[DisplayName],"")</f>
        <v>Armory 1 Lv 1</v>
      </c>
      <c r="D1284" s="41" t="str">
        <f>_xlfn.XLOOKUP(tblCost[[#This Row],[TargetID]],tblTargets[TargetID],tblTargets[TargetType],"")</f>
        <v>COLLECTION</v>
      </c>
      <c r="E1284" s="41" t="s">
        <v>1787</v>
      </c>
      <c r="F1284" s="62" t="str">
        <f>RIGHT(tblCost[[#This Row],[RequirementID]],1)</f>
        <v>1</v>
      </c>
      <c r="G1284" s="41">
        <v>3</v>
      </c>
      <c r="H1284" t="b">
        <f>COUNTIFS(tblCostChecklist[RequirementID],tblCost[[#This Row],[RequirementID]],tblCostChecklist[PlayerPaid],TRUE)&gt;0</f>
        <v>0</v>
      </c>
      <c r="I1284" s="41">
        <f>COUNTIF(tblCost[TargetID],tblCost[[#This Row],[TargetID]])</f>
        <v>12</v>
      </c>
      <c r="J1284" s="41">
        <f>COUNTIFS(tblCost[TargetID],tblCost[[#This Row],[TargetID]],tblCost[PlayerPaid],TRUE)</f>
        <v>0</v>
      </c>
      <c r="K1284" s="41">
        <f>tblCost[[#This Row],[TargetRequirements]]-tblCost[[#This Row],[CompletedRequirements]]</f>
        <v>12</v>
      </c>
      <c r="L1284" s="41" t="b">
        <f>tblCost[[#This Row],[RemainingRequirements]]=0</f>
        <v>0</v>
      </c>
      <c r="M1284" s="43">
        <f>IF(tblCost[[#This Row],[TargetRequirements]]=0,0,tblCost[[#This Row],[CompletedRequirements]]/tblCost[[#This Row],[TargetRequirements]])</f>
        <v>0</v>
      </c>
    </row>
    <row r="1285" spans="1:13">
      <c r="A1285" s="41" t="s">
        <v>4922</v>
      </c>
      <c r="B1285" s="41" t="str">
        <f>_xlfn.TEXTAFTER(_xlfn.TEXTBEFORE(tblCost[[#This Row],[RequirementID]],".",-2),"cost.")</f>
        <v>collection.armory_1@1</v>
      </c>
      <c r="C1285" s="41" t="str">
        <f>_xlfn.XLOOKUP(tblCost[[#This Row],[TargetID]],tblTargets[TargetID],tblTargets[DisplayName],"")</f>
        <v>Armory 1 Lv 1</v>
      </c>
      <c r="D1285" s="41" t="str">
        <f>_xlfn.XLOOKUP(tblCost[[#This Row],[TargetID]],tblTargets[TargetID],tblTargets[TargetType],"")</f>
        <v>COLLECTION</v>
      </c>
      <c r="E1285" s="41" t="s">
        <v>1788</v>
      </c>
      <c r="F1285" s="62" t="str">
        <f>RIGHT(tblCost[[#This Row],[RequirementID]],1)</f>
        <v>1</v>
      </c>
      <c r="G1285" s="41">
        <v>3</v>
      </c>
      <c r="H1285" t="b">
        <f>COUNTIFS(tblCostChecklist[RequirementID],tblCost[[#This Row],[RequirementID]],tblCostChecklist[PlayerPaid],TRUE)&gt;0</f>
        <v>0</v>
      </c>
      <c r="I1285" s="41">
        <f>COUNTIF(tblCost[TargetID],tblCost[[#This Row],[TargetID]])</f>
        <v>12</v>
      </c>
      <c r="J1285" s="41">
        <f>COUNTIFS(tblCost[TargetID],tblCost[[#This Row],[TargetID]],tblCost[PlayerPaid],TRUE)</f>
        <v>0</v>
      </c>
      <c r="K1285" s="41">
        <f>tblCost[[#This Row],[TargetRequirements]]-tblCost[[#This Row],[CompletedRequirements]]</f>
        <v>12</v>
      </c>
      <c r="L1285" s="41" t="b">
        <f>tblCost[[#This Row],[RemainingRequirements]]=0</f>
        <v>0</v>
      </c>
      <c r="M1285" s="43">
        <f>IF(tblCost[[#This Row],[TargetRequirements]]=0,0,tblCost[[#This Row],[CompletedRequirements]]/tblCost[[#This Row],[TargetRequirements]])</f>
        <v>0</v>
      </c>
    </row>
    <row r="1286" spans="1:13">
      <c r="A1286" s="41" t="s">
        <v>4923</v>
      </c>
      <c r="B1286" s="41" t="str">
        <f>_xlfn.TEXTAFTER(_xlfn.TEXTBEFORE(tblCost[[#This Row],[RequirementID]],".",-2),"cost.")</f>
        <v>collection.armory_1@1</v>
      </c>
      <c r="C1286" s="41" t="str">
        <f>_xlfn.XLOOKUP(tblCost[[#This Row],[TargetID]],tblTargets[TargetID],tblTargets[DisplayName],"")</f>
        <v>Armory 1 Lv 1</v>
      </c>
      <c r="D1286" s="41" t="str">
        <f>_xlfn.XLOOKUP(tblCost[[#This Row],[TargetID]],tblTargets[TargetID],tblTargets[TargetType],"")</f>
        <v>COLLECTION</v>
      </c>
      <c r="E1286" s="41" t="s">
        <v>927</v>
      </c>
      <c r="F1286" s="62" t="str">
        <f>RIGHT(tblCost[[#This Row],[RequirementID]],1)</f>
        <v>1</v>
      </c>
      <c r="G1286" s="41">
        <v>3</v>
      </c>
      <c r="H1286" t="b">
        <f>COUNTIFS(tblCostChecklist[RequirementID],tblCost[[#This Row],[RequirementID]],tblCostChecklist[PlayerPaid],TRUE)&gt;0</f>
        <v>0</v>
      </c>
      <c r="I1286" s="41">
        <f>COUNTIF(tblCost[TargetID],tblCost[[#This Row],[TargetID]])</f>
        <v>12</v>
      </c>
      <c r="J1286" s="41">
        <f>COUNTIFS(tblCost[TargetID],tblCost[[#This Row],[TargetID]],tblCost[PlayerPaid],TRUE)</f>
        <v>0</v>
      </c>
      <c r="K1286" s="41">
        <f>tblCost[[#This Row],[TargetRequirements]]-tblCost[[#This Row],[CompletedRequirements]]</f>
        <v>12</v>
      </c>
      <c r="L1286" s="41" t="b">
        <f>tblCost[[#This Row],[RemainingRequirements]]=0</f>
        <v>0</v>
      </c>
      <c r="M1286" s="43">
        <f>IF(tblCost[[#This Row],[TargetRequirements]]=0,0,tblCost[[#This Row],[CompletedRequirements]]/tblCost[[#This Row],[TargetRequirements]])</f>
        <v>0</v>
      </c>
    </row>
    <row r="1287" spans="1:13">
      <c r="A1287" s="41" t="s">
        <v>4924</v>
      </c>
      <c r="B1287" s="41" t="str">
        <f>_xlfn.TEXTAFTER(_xlfn.TEXTBEFORE(tblCost[[#This Row],[RequirementID]],".",-2),"cost.")</f>
        <v>collection.armory_1@1</v>
      </c>
      <c r="C1287" s="41" t="str">
        <f>_xlfn.XLOOKUP(tblCost[[#This Row],[TargetID]],tblTargets[TargetID],tblTargets[DisplayName],"")</f>
        <v>Armory 1 Lv 1</v>
      </c>
      <c r="D1287" s="41" t="str">
        <f>_xlfn.XLOOKUP(tblCost[[#This Row],[TargetID]],tblTargets[TargetID],tblTargets[TargetType],"")</f>
        <v>COLLECTION</v>
      </c>
      <c r="E1287" s="41" t="s">
        <v>1835</v>
      </c>
      <c r="F1287" s="62" t="str">
        <f>RIGHT(tblCost[[#This Row],[RequirementID]],1)</f>
        <v>1</v>
      </c>
      <c r="G1287" s="41">
        <v>3</v>
      </c>
      <c r="H1287" t="b">
        <f>COUNTIFS(tblCostChecklist[RequirementID],tblCost[[#This Row],[RequirementID]],tblCostChecklist[PlayerPaid],TRUE)&gt;0</f>
        <v>0</v>
      </c>
      <c r="I1287" s="41">
        <f>COUNTIF(tblCost[TargetID],tblCost[[#This Row],[TargetID]])</f>
        <v>12</v>
      </c>
      <c r="J1287" s="41">
        <f>COUNTIFS(tblCost[TargetID],tblCost[[#This Row],[TargetID]],tblCost[PlayerPaid],TRUE)</f>
        <v>0</v>
      </c>
      <c r="K1287" s="41">
        <f>tblCost[[#This Row],[TargetRequirements]]-tblCost[[#This Row],[CompletedRequirements]]</f>
        <v>12</v>
      </c>
      <c r="L1287" s="41" t="b">
        <f>tblCost[[#This Row],[RemainingRequirements]]=0</f>
        <v>0</v>
      </c>
      <c r="M1287" s="43">
        <f>IF(tblCost[[#This Row],[TargetRequirements]]=0,0,tblCost[[#This Row],[CompletedRequirements]]/tblCost[[#This Row],[TargetRequirements]])</f>
        <v>0</v>
      </c>
    </row>
    <row r="1288" spans="1:13">
      <c r="A1288" s="41" t="s">
        <v>4925</v>
      </c>
      <c r="B1288" s="41" t="str">
        <f>_xlfn.TEXTAFTER(_xlfn.TEXTBEFORE(tblCost[[#This Row],[RequirementID]],".",-2),"cost.")</f>
        <v>collection.armory_1@1</v>
      </c>
      <c r="C1288" s="41" t="str">
        <f>_xlfn.XLOOKUP(tblCost[[#This Row],[TargetID]],tblTargets[TargetID],tblTargets[DisplayName],"")</f>
        <v>Armory 1 Lv 1</v>
      </c>
      <c r="D1288" s="41" t="str">
        <f>_xlfn.XLOOKUP(tblCost[[#This Row],[TargetID]],tblTargets[TargetID],tblTargets[TargetType],"")</f>
        <v>COLLECTION</v>
      </c>
      <c r="E1288" s="41" t="s">
        <v>1836</v>
      </c>
      <c r="F1288" s="62" t="str">
        <f>RIGHT(tblCost[[#This Row],[RequirementID]],1)</f>
        <v>1</v>
      </c>
      <c r="G1288" s="41">
        <v>3</v>
      </c>
      <c r="H1288" t="b">
        <f>COUNTIFS(tblCostChecklist[RequirementID],tblCost[[#This Row],[RequirementID]],tblCostChecklist[PlayerPaid],TRUE)&gt;0</f>
        <v>0</v>
      </c>
      <c r="I1288" s="41">
        <f>COUNTIF(tblCost[TargetID],tblCost[[#This Row],[TargetID]])</f>
        <v>12</v>
      </c>
      <c r="J1288" s="41">
        <f>COUNTIFS(tblCost[TargetID],tblCost[[#This Row],[TargetID]],tblCost[PlayerPaid],TRUE)</f>
        <v>0</v>
      </c>
      <c r="K1288" s="41">
        <f>tblCost[[#This Row],[TargetRequirements]]-tblCost[[#This Row],[CompletedRequirements]]</f>
        <v>12</v>
      </c>
      <c r="L1288" s="41" t="b">
        <f>tblCost[[#This Row],[RemainingRequirements]]=0</f>
        <v>0</v>
      </c>
      <c r="M1288" s="43">
        <f>IF(tblCost[[#This Row],[TargetRequirements]]=0,0,tblCost[[#This Row],[CompletedRequirements]]/tblCost[[#This Row],[TargetRequirements]])</f>
        <v>0</v>
      </c>
    </row>
    <row r="1289" spans="1:13">
      <c r="A1289" s="41" t="s">
        <v>4926</v>
      </c>
      <c r="B1289" s="41" t="str">
        <f>_xlfn.TEXTAFTER(_xlfn.TEXTBEFORE(tblCost[[#This Row],[RequirementID]],".",-2),"cost.")</f>
        <v>collection.armory_1@1</v>
      </c>
      <c r="C1289" s="41" t="str">
        <f>_xlfn.XLOOKUP(tblCost[[#This Row],[TargetID]],tblTargets[TargetID],tblTargets[DisplayName],"")</f>
        <v>Armory 1 Lv 1</v>
      </c>
      <c r="D1289" s="41" t="str">
        <f>_xlfn.XLOOKUP(tblCost[[#This Row],[TargetID]],tblTargets[TargetID],tblTargets[TargetType],"")</f>
        <v>COLLECTION</v>
      </c>
      <c r="E1289" s="41" t="s">
        <v>949</v>
      </c>
      <c r="F1289" s="62" t="str">
        <f>RIGHT(tblCost[[#This Row],[RequirementID]],1)</f>
        <v>1</v>
      </c>
      <c r="G1289" s="41">
        <v>3</v>
      </c>
      <c r="H1289" t="b">
        <f>COUNTIFS(tblCostChecklist[RequirementID],tblCost[[#This Row],[RequirementID]],tblCostChecklist[PlayerPaid],TRUE)&gt;0</f>
        <v>0</v>
      </c>
      <c r="I1289" s="41">
        <f>COUNTIF(tblCost[TargetID],tblCost[[#This Row],[TargetID]])</f>
        <v>12</v>
      </c>
      <c r="J1289" s="41">
        <f>COUNTIFS(tblCost[TargetID],tblCost[[#This Row],[TargetID]],tblCost[PlayerPaid],TRUE)</f>
        <v>0</v>
      </c>
      <c r="K1289" s="41">
        <f>tblCost[[#This Row],[TargetRequirements]]-tblCost[[#This Row],[CompletedRequirements]]</f>
        <v>12</v>
      </c>
      <c r="L1289" s="41" t="b">
        <f>tblCost[[#This Row],[RemainingRequirements]]=0</f>
        <v>0</v>
      </c>
      <c r="M1289" s="43">
        <f>IF(tblCost[[#This Row],[TargetRequirements]]=0,0,tblCost[[#This Row],[CompletedRequirements]]/tblCost[[#This Row],[TargetRequirements]])</f>
        <v>0</v>
      </c>
    </row>
    <row r="1290" spans="1:13">
      <c r="A1290" s="41" t="s">
        <v>4927</v>
      </c>
      <c r="B1290" s="41" t="str">
        <f>_xlfn.TEXTAFTER(_xlfn.TEXTBEFORE(tblCost[[#This Row],[RequirementID]],".",-2),"cost.")</f>
        <v>collection.armory_1@1</v>
      </c>
      <c r="C1290" s="41" t="str">
        <f>_xlfn.XLOOKUP(tblCost[[#This Row],[TargetID]],tblTargets[TargetID],tblTargets[DisplayName],"")</f>
        <v>Armory 1 Lv 1</v>
      </c>
      <c r="D1290" s="41" t="str">
        <f>_xlfn.XLOOKUP(tblCost[[#This Row],[TargetID]],tblTargets[TargetID],tblTargets[TargetType],"")</f>
        <v>COLLECTION</v>
      </c>
      <c r="E1290" s="41" t="s">
        <v>950</v>
      </c>
      <c r="F1290" s="62" t="str">
        <f>RIGHT(tblCost[[#This Row],[RequirementID]],1)</f>
        <v>1</v>
      </c>
      <c r="G1290" s="41">
        <v>3</v>
      </c>
      <c r="H1290" t="b">
        <f>COUNTIFS(tblCostChecklist[RequirementID],tblCost[[#This Row],[RequirementID]],tblCostChecklist[PlayerPaid],TRUE)&gt;0</f>
        <v>0</v>
      </c>
      <c r="I1290" s="41">
        <f>COUNTIF(tblCost[TargetID],tblCost[[#This Row],[TargetID]])</f>
        <v>12</v>
      </c>
      <c r="J1290" s="41">
        <f>COUNTIFS(tblCost[TargetID],tblCost[[#This Row],[TargetID]],tblCost[PlayerPaid],TRUE)</f>
        <v>0</v>
      </c>
      <c r="K1290" s="41">
        <f>tblCost[[#This Row],[TargetRequirements]]-tblCost[[#This Row],[CompletedRequirements]]</f>
        <v>12</v>
      </c>
      <c r="L1290" s="41" t="b">
        <f>tblCost[[#This Row],[RemainingRequirements]]=0</f>
        <v>0</v>
      </c>
      <c r="M1290" s="43">
        <f>IF(tblCost[[#This Row],[TargetRequirements]]=0,0,tblCost[[#This Row],[CompletedRequirements]]/tblCost[[#This Row],[TargetRequirements]])</f>
        <v>0</v>
      </c>
    </row>
    <row r="1291" spans="1:13">
      <c r="A1291" s="41" t="s">
        <v>4928</v>
      </c>
      <c r="B1291" s="41" t="str">
        <f>_xlfn.TEXTAFTER(_xlfn.TEXTBEFORE(tblCost[[#This Row],[RequirementID]],".",-2),"cost.")</f>
        <v>collection.armory_1@1</v>
      </c>
      <c r="C1291" s="41" t="str">
        <f>_xlfn.XLOOKUP(tblCost[[#This Row],[TargetID]],tblTargets[TargetID],tblTargets[DisplayName],"")</f>
        <v>Armory 1 Lv 1</v>
      </c>
      <c r="D1291" s="41" t="str">
        <f>_xlfn.XLOOKUP(tblCost[[#This Row],[TargetID]],tblTargets[TargetID],tblTargets[TargetType],"")</f>
        <v>COLLECTION</v>
      </c>
      <c r="E1291" s="41" t="s">
        <v>1844</v>
      </c>
      <c r="F1291" s="62" t="str">
        <f>RIGHT(tblCost[[#This Row],[RequirementID]],1)</f>
        <v>1</v>
      </c>
      <c r="G1291" s="41">
        <v>3</v>
      </c>
      <c r="H1291" t="b">
        <f>COUNTIFS(tblCostChecklist[RequirementID],tblCost[[#This Row],[RequirementID]],tblCostChecklist[PlayerPaid],TRUE)&gt;0</f>
        <v>0</v>
      </c>
      <c r="I1291" s="41">
        <f>COUNTIF(tblCost[TargetID],tblCost[[#This Row],[TargetID]])</f>
        <v>12</v>
      </c>
      <c r="J1291" s="41">
        <f>COUNTIFS(tblCost[TargetID],tblCost[[#This Row],[TargetID]],tblCost[PlayerPaid],TRUE)</f>
        <v>0</v>
      </c>
      <c r="K1291" s="41">
        <f>tblCost[[#This Row],[TargetRequirements]]-tblCost[[#This Row],[CompletedRequirements]]</f>
        <v>12</v>
      </c>
      <c r="L1291" s="41" t="b">
        <f>tblCost[[#This Row],[RemainingRequirements]]=0</f>
        <v>0</v>
      </c>
      <c r="M1291" s="43">
        <f>IF(tblCost[[#This Row],[TargetRequirements]]=0,0,tblCost[[#This Row],[CompletedRequirements]]/tblCost[[#This Row],[TargetRequirements]])</f>
        <v>0</v>
      </c>
    </row>
    <row r="1292" spans="1:13">
      <c r="A1292" s="41" t="s">
        <v>4929</v>
      </c>
      <c r="B1292" s="41" t="str">
        <f>_xlfn.TEXTAFTER(_xlfn.TEXTBEFORE(tblCost[[#This Row],[RequirementID]],".",-2),"cost.")</f>
        <v>collection.armory_1@1</v>
      </c>
      <c r="C1292" s="41" t="str">
        <f>_xlfn.XLOOKUP(tblCost[[#This Row],[TargetID]],tblTargets[TargetID],tblTargets[DisplayName],"")</f>
        <v>Armory 1 Lv 1</v>
      </c>
      <c r="D1292" s="41" t="str">
        <f>_xlfn.XLOOKUP(tblCost[[#This Row],[TargetID]],tblTargets[TargetID],tblTargets[TargetType],"")</f>
        <v>COLLECTION</v>
      </c>
      <c r="E1292" s="41" t="s">
        <v>1845</v>
      </c>
      <c r="F1292" s="62" t="str">
        <f>RIGHT(tblCost[[#This Row],[RequirementID]],1)</f>
        <v>1</v>
      </c>
      <c r="G1292" s="41">
        <v>3</v>
      </c>
      <c r="H1292" t="b">
        <f>COUNTIFS(tblCostChecklist[RequirementID],tblCost[[#This Row],[RequirementID]],tblCostChecklist[PlayerPaid],TRUE)&gt;0</f>
        <v>0</v>
      </c>
      <c r="I1292" s="41">
        <f>COUNTIF(tblCost[TargetID],tblCost[[#This Row],[TargetID]])</f>
        <v>12</v>
      </c>
      <c r="J1292" s="41">
        <f>COUNTIFS(tblCost[TargetID],tblCost[[#This Row],[TargetID]],tblCost[PlayerPaid],TRUE)</f>
        <v>0</v>
      </c>
      <c r="K1292" s="41">
        <f>tblCost[[#This Row],[TargetRequirements]]-tblCost[[#This Row],[CompletedRequirements]]</f>
        <v>12</v>
      </c>
      <c r="L1292" s="41" t="b">
        <f>tblCost[[#This Row],[RemainingRequirements]]=0</f>
        <v>0</v>
      </c>
      <c r="M1292" s="43">
        <f>IF(tblCost[[#This Row],[TargetRequirements]]=0,0,tblCost[[#This Row],[CompletedRequirements]]/tblCost[[#This Row],[TargetRequirements]])</f>
        <v>0</v>
      </c>
    </row>
    <row r="1293" spans="1:13">
      <c r="A1293" s="41" t="s">
        <v>4930</v>
      </c>
      <c r="B1293" s="41" t="str">
        <f>_xlfn.TEXTAFTER(_xlfn.TEXTBEFORE(tblCost[[#This Row],[RequirementID]],".",-2),"cost.")</f>
        <v>collection.armory_1@1</v>
      </c>
      <c r="C1293" s="41" t="str">
        <f>_xlfn.XLOOKUP(tblCost[[#This Row],[TargetID]],tblTargets[TargetID],tblTargets[DisplayName],"")</f>
        <v>Armory 1 Lv 1</v>
      </c>
      <c r="D1293" s="41" t="str">
        <f>_xlfn.XLOOKUP(tblCost[[#This Row],[TargetID]],tblTargets[TargetID],tblTargets[TargetType],"")</f>
        <v>COLLECTION</v>
      </c>
      <c r="E1293" s="41" t="s">
        <v>952</v>
      </c>
      <c r="F1293" s="62" t="str">
        <f>RIGHT(tblCost[[#This Row],[RequirementID]],1)</f>
        <v>1</v>
      </c>
      <c r="G1293" s="41">
        <v>3</v>
      </c>
      <c r="H1293" t="b">
        <f>COUNTIFS(tblCostChecklist[RequirementID],tblCost[[#This Row],[RequirementID]],tblCostChecklist[PlayerPaid],TRUE)&gt;0</f>
        <v>0</v>
      </c>
      <c r="I1293" s="41">
        <f>COUNTIF(tblCost[TargetID],tblCost[[#This Row],[TargetID]])</f>
        <v>12</v>
      </c>
      <c r="J1293" s="41">
        <f>COUNTIFS(tblCost[TargetID],tblCost[[#This Row],[TargetID]],tblCost[PlayerPaid],TRUE)</f>
        <v>0</v>
      </c>
      <c r="K1293" s="41">
        <f>tblCost[[#This Row],[TargetRequirements]]-tblCost[[#This Row],[CompletedRequirements]]</f>
        <v>12</v>
      </c>
      <c r="L1293" s="41" t="b">
        <f>tblCost[[#This Row],[RemainingRequirements]]=0</f>
        <v>0</v>
      </c>
      <c r="M1293" s="43">
        <f>IF(tblCost[[#This Row],[TargetRequirements]]=0,0,tblCost[[#This Row],[CompletedRequirements]]/tblCost[[#This Row],[TargetRequirements]])</f>
        <v>0</v>
      </c>
    </row>
    <row r="1294" spans="1:13">
      <c r="A1294" s="41" t="s">
        <v>4931</v>
      </c>
      <c r="B1294" s="41" t="str">
        <f>_xlfn.TEXTAFTER(_xlfn.TEXTBEFORE(tblCost[[#This Row],[RequirementID]],".",-2),"cost.")</f>
        <v>collection.armory_1@1</v>
      </c>
      <c r="C1294" s="41" t="str">
        <f>_xlfn.XLOOKUP(tblCost[[#This Row],[TargetID]],tblTargets[TargetID],tblTargets[DisplayName],"")</f>
        <v>Armory 1 Lv 1</v>
      </c>
      <c r="D1294" s="41" t="str">
        <f>_xlfn.XLOOKUP(tblCost[[#This Row],[TargetID]],tblTargets[TargetID],tblTargets[TargetType],"")</f>
        <v>COLLECTION</v>
      </c>
      <c r="E1294" s="41" t="s">
        <v>953</v>
      </c>
      <c r="F1294" s="62" t="str">
        <f>RIGHT(tblCost[[#This Row],[RequirementID]],1)</f>
        <v>1</v>
      </c>
      <c r="G1294" s="41">
        <v>3</v>
      </c>
      <c r="H1294" t="b">
        <f>COUNTIFS(tblCostChecklist[RequirementID],tblCost[[#This Row],[RequirementID]],tblCostChecklist[PlayerPaid],TRUE)&gt;0</f>
        <v>0</v>
      </c>
      <c r="I1294" s="41">
        <f>COUNTIF(tblCost[TargetID],tblCost[[#This Row],[TargetID]])</f>
        <v>12</v>
      </c>
      <c r="J1294" s="41">
        <f>COUNTIFS(tblCost[TargetID],tblCost[[#This Row],[TargetID]],tblCost[PlayerPaid],TRUE)</f>
        <v>0</v>
      </c>
      <c r="K1294" s="41">
        <f>tblCost[[#This Row],[TargetRequirements]]-tblCost[[#This Row],[CompletedRequirements]]</f>
        <v>12</v>
      </c>
      <c r="L1294" s="41" t="b">
        <f>tblCost[[#This Row],[RemainingRequirements]]=0</f>
        <v>0</v>
      </c>
      <c r="M1294" s="43">
        <f>IF(tblCost[[#This Row],[TargetRequirements]]=0,0,tblCost[[#This Row],[CompletedRequirements]]/tblCost[[#This Row],[TargetRequirements]])</f>
        <v>0</v>
      </c>
    </row>
    <row r="1295" spans="1:13">
      <c r="A1295" s="41" t="s">
        <v>4932</v>
      </c>
      <c r="B1295" s="41" t="str">
        <f>_xlfn.TEXTAFTER(_xlfn.TEXTBEFORE(tblCost[[#This Row],[RequirementID]],".",-2),"cost.")</f>
        <v>collection.armory_1@2</v>
      </c>
      <c r="C1295" s="41" t="str">
        <f>_xlfn.XLOOKUP(tblCost[[#This Row],[TargetID]],tblTargets[TargetID],tblTargets[DisplayName],"")</f>
        <v>Armory 1 Lv 2</v>
      </c>
      <c r="D1295" s="41" t="str">
        <f>_xlfn.XLOOKUP(tblCost[[#This Row],[TargetID]],tblTargets[TargetID],tblTargets[TargetType],"")</f>
        <v>COLLECTION</v>
      </c>
      <c r="E1295" s="41" t="s">
        <v>1786</v>
      </c>
      <c r="F1295" s="62" t="str">
        <f>RIGHT(tblCost[[#This Row],[RequirementID]],1)</f>
        <v>1</v>
      </c>
      <c r="G1295" s="41">
        <v>6</v>
      </c>
      <c r="H1295" t="b">
        <f>COUNTIFS(tblCostChecklist[RequirementID],tblCost[[#This Row],[RequirementID]],tblCostChecklist[PlayerPaid],TRUE)&gt;0</f>
        <v>0</v>
      </c>
      <c r="I1295" s="41">
        <f>COUNTIF(tblCost[TargetID],tblCost[[#This Row],[TargetID]])</f>
        <v>12</v>
      </c>
      <c r="J1295" s="41">
        <f>COUNTIFS(tblCost[TargetID],tblCost[[#This Row],[TargetID]],tblCost[PlayerPaid],TRUE)</f>
        <v>0</v>
      </c>
      <c r="K1295" s="41">
        <f>tblCost[[#This Row],[TargetRequirements]]-tblCost[[#This Row],[CompletedRequirements]]</f>
        <v>12</v>
      </c>
      <c r="L1295" s="41" t="b">
        <f>tblCost[[#This Row],[RemainingRequirements]]=0</f>
        <v>0</v>
      </c>
      <c r="M1295" s="43">
        <f>IF(tblCost[[#This Row],[TargetRequirements]]=0,0,tblCost[[#This Row],[CompletedRequirements]]/tblCost[[#This Row],[TargetRequirements]])</f>
        <v>0</v>
      </c>
    </row>
    <row r="1296" spans="1:13">
      <c r="A1296" s="41" t="s">
        <v>4933</v>
      </c>
      <c r="B1296" s="41" t="str">
        <f>_xlfn.TEXTAFTER(_xlfn.TEXTBEFORE(tblCost[[#This Row],[RequirementID]],".",-2),"cost.")</f>
        <v>collection.armory_1@2</v>
      </c>
      <c r="C1296" s="41" t="str">
        <f>_xlfn.XLOOKUP(tblCost[[#This Row],[TargetID]],tblTargets[TargetID],tblTargets[DisplayName],"")</f>
        <v>Armory 1 Lv 2</v>
      </c>
      <c r="D1296" s="41" t="str">
        <f>_xlfn.XLOOKUP(tblCost[[#This Row],[TargetID]],tblTargets[TargetID],tblTargets[TargetType],"")</f>
        <v>COLLECTION</v>
      </c>
      <c r="E1296" s="41" t="s">
        <v>1787</v>
      </c>
      <c r="F1296" s="62" t="str">
        <f>RIGHT(tblCost[[#This Row],[RequirementID]],1)</f>
        <v>1</v>
      </c>
      <c r="G1296" s="41">
        <v>6</v>
      </c>
      <c r="H1296" t="b">
        <f>COUNTIFS(tblCostChecklist[RequirementID],tblCost[[#This Row],[RequirementID]],tblCostChecklist[PlayerPaid],TRUE)&gt;0</f>
        <v>0</v>
      </c>
      <c r="I1296" s="41">
        <f>COUNTIF(tblCost[TargetID],tblCost[[#This Row],[TargetID]])</f>
        <v>12</v>
      </c>
      <c r="J1296" s="41">
        <f>COUNTIFS(tblCost[TargetID],tblCost[[#This Row],[TargetID]],tblCost[PlayerPaid],TRUE)</f>
        <v>0</v>
      </c>
      <c r="K1296" s="41">
        <f>tblCost[[#This Row],[TargetRequirements]]-tblCost[[#This Row],[CompletedRequirements]]</f>
        <v>12</v>
      </c>
      <c r="L1296" s="41" t="b">
        <f>tblCost[[#This Row],[RemainingRequirements]]=0</f>
        <v>0</v>
      </c>
      <c r="M1296" s="43">
        <f>IF(tblCost[[#This Row],[TargetRequirements]]=0,0,tblCost[[#This Row],[CompletedRequirements]]/tblCost[[#This Row],[TargetRequirements]])</f>
        <v>0</v>
      </c>
    </row>
    <row r="1297" spans="1:13">
      <c r="A1297" s="41" t="s">
        <v>4934</v>
      </c>
      <c r="B1297" s="41" t="str">
        <f>_xlfn.TEXTAFTER(_xlfn.TEXTBEFORE(tblCost[[#This Row],[RequirementID]],".",-2),"cost.")</f>
        <v>collection.armory_1@2</v>
      </c>
      <c r="C1297" s="41" t="str">
        <f>_xlfn.XLOOKUP(tblCost[[#This Row],[TargetID]],tblTargets[TargetID],tblTargets[DisplayName],"")</f>
        <v>Armory 1 Lv 2</v>
      </c>
      <c r="D1297" s="41" t="str">
        <f>_xlfn.XLOOKUP(tblCost[[#This Row],[TargetID]],tblTargets[TargetID],tblTargets[TargetType],"")</f>
        <v>COLLECTION</v>
      </c>
      <c r="E1297" s="41" t="s">
        <v>1788</v>
      </c>
      <c r="F1297" s="62" t="str">
        <f>RIGHT(tblCost[[#This Row],[RequirementID]],1)</f>
        <v>1</v>
      </c>
      <c r="G1297" s="41">
        <v>6</v>
      </c>
      <c r="H1297" t="b">
        <f>COUNTIFS(tblCostChecklist[RequirementID],tblCost[[#This Row],[RequirementID]],tblCostChecklist[PlayerPaid],TRUE)&gt;0</f>
        <v>0</v>
      </c>
      <c r="I1297" s="41">
        <f>COUNTIF(tblCost[TargetID],tblCost[[#This Row],[TargetID]])</f>
        <v>12</v>
      </c>
      <c r="J1297" s="41">
        <f>COUNTIFS(tblCost[TargetID],tblCost[[#This Row],[TargetID]],tblCost[PlayerPaid],TRUE)</f>
        <v>0</v>
      </c>
      <c r="K1297" s="41">
        <f>tblCost[[#This Row],[TargetRequirements]]-tblCost[[#This Row],[CompletedRequirements]]</f>
        <v>12</v>
      </c>
      <c r="L1297" s="41" t="b">
        <f>tblCost[[#This Row],[RemainingRequirements]]=0</f>
        <v>0</v>
      </c>
      <c r="M1297" s="43">
        <f>IF(tblCost[[#This Row],[TargetRequirements]]=0,0,tblCost[[#This Row],[CompletedRequirements]]/tblCost[[#This Row],[TargetRequirements]])</f>
        <v>0</v>
      </c>
    </row>
    <row r="1298" spans="1:13">
      <c r="A1298" s="41" t="s">
        <v>4935</v>
      </c>
      <c r="B1298" s="41" t="str">
        <f>_xlfn.TEXTAFTER(_xlfn.TEXTBEFORE(tblCost[[#This Row],[RequirementID]],".",-2),"cost.")</f>
        <v>collection.armory_1@2</v>
      </c>
      <c r="C1298" s="41" t="str">
        <f>_xlfn.XLOOKUP(tblCost[[#This Row],[TargetID]],tblTargets[TargetID],tblTargets[DisplayName],"")</f>
        <v>Armory 1 Lv 2</v>
      </c>
      <c r="D1298" s="41" t="str">
        <f>_xlfn.XLOOKUP(tblCost[[#This Row],[TargetID]],tblTargets[TargetID],tblTargets[TargetType],"")</f>
        <v>COLLECTION</v>
      </c>
      <c r="E1298" s="41" t="s">
        <v>927</v>
      </c>
      <c r="F1298" s="62" t="str">
        <f>RIGHT(tblCost[[#This Row],[RequirementID]],1)</f>
        <v>1</v>
      </c>
      <c r="G1298" s="41">
        <v>6</v>
      </c>
      <c r="H1298" t="b">
        <f>COUNTIFS(tblCostChecklist[RequirementID],tblCost[[#This Row],[RequirementID]],tblCostChecklist[PlayerPaid],TRUE)&gt;0</f>
        <v>0</v>
      </c>
      <c r="I1298" s="41">
        <f>COUNTIF(tblCost[TargetID],tblCost[[#This Row],[TargetID]])</f>
        <v>12</v>
      </c>
      <c r="J1298" s="41">
        <f>COUNTIFS(tblCost[TargetID],tblCost[[#This Row],[TargetID]],tblCost[PlayerPaid],TRUE)</f>
        <v>0</v>
      </c>
      <c r="K1298" s="41">
        <f>tblCost[[#This Row],[TargetRequirements]]-tblCost[[#This Row],[CompletedRequirements]]</f>
        <v>12</v>
      </c>
      <c r="L1298" s="41" t="b">
        <f>tblCost[[#This Row],[RemainingRequirements]]=0</f>
        <v>0</v>
      </c>
      <c r="M1298" s="43">
        <f>IF(tblCost[[#This Row],[TargetRequirements]]=0,0,tblCost[[#This Row],[CompletedRequirements]]/tblCost[[#This Row],[TargetRequirements]])</f>
        <v>0</v>
      </c>
    </row>
    <row r="1299" spans="1:13">
      <c r="A1299" s="41" t="s">
        <v>4936</v>
      </c>
      <c r="B1299" s="41" t="str">
        <f>_xlfn.TEXTAFTER(_xlfn.TEXTBEFORE(tblCost[[#This Row],[RequirementID]],".",-2),"cost.")</f>
        <v>collection.armory_1@2</v>
      </c>
      <c r="C1299" s="41" t="str">
        <f>_xlfn.XLOOKUP(tblCost[[#This Row],[TargetID]],tblTargets[TargetID],tblTargets[DisplayName],"")</f>
        <v>Armory 1 Lv 2</v>
      </c>
      <c r="D1299" s="41" t="str">
        <f>_xlfn.XLOOKUP(tblCost[[#This Row],[TargetID]],tblTargets[TargetID],tblTargets[TargetType],"")</f>
        <v>COLLECTION</v>
      </c>
      <c r="E1299" s="41" t="s">
        <v>1835</v>
      </c>
      <c r="F1299" s="62" t="str">
        <f>RIGHT(tblCost[[#This Row],[RequirementID]],1)</f>
        <v>1</v>
      </c>
      <c r="G1299" s="41">
        <v>6</v>
      </c>
      <c r="H1299" t="b">
        <f>COUNTIFS(tblCostChecklist[RequirementID],tblCost[[#This Row],[RequirementID]],tblCostChecklist[PlayerPaid],TRUE)&gt;0</f>
        <v>0</v>
      </c>
      <c r="I1299" s="41">
        <f>COUNTIF(tblCost[TargetID],tblCost[[#This Row],[TargetID]])</f>
        <v>12</v>
      </c>
      <c r="J1299" s="41">
        <f>COUNTIFS(tblCost[TargetID],tblCost[[#This Row],[TargetID]],tblCost[PlayerPaid],TRUE)</f>
        <v>0</v>
      </c>
      <c r="K1299" s="41">
        <f>tblCost[[#This Row],[TargetRequirements]]-tblCost[[#This Row],[CompletedRequirements]]</f>
        <v>12</v>
      </c>
      <c r="L1299" s="41" t="b">
        <f>tblCost[[#This Row],[RemainingRequirements]]=0</f>
        <v>0</v>
      </c>
      <c r="M1299" s="43">
        <f>IF(tblCost[[#This Row],[TargetRequirements]]=0,0,tblCost[[#This Row],[CompletedRequirements]]/tblCost[[#This Row],[TargetRequirements]])</f>
        <v>0</v>
      </c>
    </row>
    <row r="1300" spans="1:13">
      <c r="A1300" s="41" t="s">
        <v>4937</v>
      </c>
      <c r="B1300" s="41" t="str">
        <f>_xlfn.TEXTAFTER(_xlfn.TEXTBEFORE(tblCost[[#This Row],[RequirementID]],".",-2),"cost.")</f>
        <v>collection.armory_1@2</v>
      </c>
      <c r="C1300" s="41" t="str">
        <f>_xlfn.XLOOKUP(tblCost[[#This Row],[TargetID]],tblTargets[TargetID],tblTargets[DisplayName],"")</f>
        <v>Armory 1 Lv 2</v>
      </c>
      <c r="D1300" s="41" t="str">
        <f>_xlfn.XLOOKUP(tblCost[[#This Row],[TargetID]],tblTargets[TargetID],tblTargets[TargetType],"")</f>
        <v>COLLECTION</v>
      </c>
      <c r="E1300" s="41" t="s">
        <v>1836</v>
      </c>
      <c r="F1300" s="62" t="str">
        <f>RIGHT(tblCost[[#This Row],[RequirementID]],1)</f>
        <v>1</v>
      </c>
      <c r="G1300" s="41">
        <v>6</v>
      </c>
      <c r="H1300" t="b">
        <f>COUNTIFS(tblCostChecklist[RequirementID],tblCost[[#This Row],[RequirementID]],tblCostChecklist[PlayerPaid],TRUE)&gt;0</f>
        <v>0</v>
      </c>
      <c r="I1300" s="41">
        <f>COUNTIF(tblCost[TargetID],tblCost[[#This Row],[TargetID]])</f>
        <v>12</v>
      </c>
      <c r="J1300" s="41">
        <f>COUNTIFS(tblCost[TargetID],tblCost[[#This Row],[TargetID]],tblCost[PlayerPaid],TRUE)</f>
        <v>0</v>
      </c>
      <c r="K1300" s="41">
        <f>tblCost[[#This Row],[TargetRequirements]]-tblCost[[#This Row],[CompletedRequirements]]</f>
        <v>12</v>
      </c>
      <c r="L1300" s="41" t="b">
        <f>tblCost[[#This Row],[RemainingRequirements]]=0</f>
        <v>0</v>
      </c>
      <c r="M1300" s="43">
        <f>IF(tblCost[[#This Row],[TargetRequirements]]=0,0,tblCost[[#This Row],[CompletedRequirements]]/tblCost[[#This Row],[TargetRequirements]])</f>
        <v>0</v>
      </c>
    </row>
    <row r="1301" spans="1:13">
      <c r="A1301" s="41" t="s">
        <v>4938</v>
      </c>
      <c r="B1301" s="41" t="str">
        <f>_xlfn.TEXTAFTER(_xlfn.TEXTBEFORE(tblCost[[#This Row],[RequirementID]],".",-2),"cost.")</f>
        <v>collection.armory_1@2</v>
      </c>
      <c r="C1301" s="41" t="str">
        <f>_xlfn.XLOOKUP(tblCost[[#This Row],[TargetID]],tblTargets[TargetID],tblTargets[DisplayName],"")</f>
        <v>Armory 1 Lv 2</v>
      </c>
      <c r="D1301" s="41" t="str">
        <f>_xlfn.XLOOKUP(tblCost[[#This Row],[TargetID]],tblTargets[TargetID],tblTargets[TargetType],"")</f>
        <v>COLLECTION</v>
      </c>
      <c r="E1301" s="41" t="s">
        <v>949</v>
      </c>
      <c r="F1301" s="62" t="str">
        <f>RIGHT(tblCost[[#This Row],[RequirementID]],1)</f>
        <v>1</v>
      </c>
      <c r="G1301" s="41">
        <v>6</v>
      </c>
      <c r="H1301" t="b">
        <f>COUNTIFS(tblCostChecklist[RequirementID],tblCost[[#This Row],[RequirementID]],tblCostChecklist[PlayerPaid],TRUE)&gt;0</f>
        <v>0</v>
      </c>
      <c r="I1301" s="41">
        <f>COUNTIF(tblCost[TargetID],tblCost[[#This Row],[TargetID]])</f>
        <v>12</v>
      </c>
      <c r="J1301" s="41">
        <f>COUNTIFS(tblCost[TargetID],tblCost[[#This Row],[TargetID]],tblCost[PlayerPaid],TRUE)</f>
        <v>0</v>
      </c>
      <c r="K1301" s="41">
        <f>tblCost[[#This Row],[TargetRequirements]]-tblCost[[#This Row],[CompletedRequirements]]</f>
        <v>12</v>
      </c>
      <c r="L1301" s="41" t="b">
        <f>tblCost[[#This Row],[RemainingRequirements]]=0</f>
        <v>0</v>
      </c>
      <c r="M1301" s="43">
        <f>IF(tblCost[[#This Row],[TargetRequirements]]=0,0,tblCost[[#This Row],[CompletedRequirements]]/tblCost[[#This Row],[TargetRequirements]])</f>
        <v>0</v>
      </c>
    </row>
    <row r="1302" spans="1:13">
      <c r="A1302" s="41" t="s">
        <v>4939</v>
      </c>
      <c r="B1302" s="41" t="str">
        <f>_xlfn.TEXTAFTER(_xlfn.TEXTBEFORE(tblCost[[#This Row],[RequirementID]],".",-2),"cost.")</f>
        <v>collection.armory_1@2</v>
      </c>
      <c r="C1302" s="41" t="str">
        <f>_xlfn.XLOOKUP(tblCost[[#This Row],[TargetID]],tblTargets[TargetID],tblTargets[DisplayName],"")</f>
        <v>Armory 1 Lv 2</v>
      </c>
      <c r="D1302" s="41" t="str">
        <f>_xlfn.XLOOKUP(tblCost[[#This Row],[TargetID]],tblTargets[TargetID],tblTargets[TargetType],"")</f>
        <v>COLLECTION</v>
      </c>
      <c r="E1302" s="41" t="s">
        <v>950</v>
      </c>
      <c r="F1302" s="62" t="str">
        <f>RIGHT(tblCost[[#This Row],[RequirementID]],1)</f>
        <v>1</v>
      </c>
      <c r="G1302" s="41">
        <v>6</v>
      </c>
      <c r="H1302" t="b">
        <f>COUNTIFS(tblCostChecklist[RequirementID],tblCost[[#This Row],[RequirementID]],tblCostChecklist[PlayerPaid],TRUE)&gt;0</f>
        <v>0</v>
      </c>
      <c r="I1302" s="41">
        <f>COUNTIF(tblCost[TargetID],tblCost[[#This Row],[TargetID]])</f>
        <v>12</v>
      </c>
      <c r="J1302" s="41">
        <f>COUNTIFS(tblCost[TargetID],tblCost[[#This Row],[TargetID]],tblCost[PlayerPaid],TRUE)</f>
        <v>0</v>
      </c>
      <c r="K1302" s="41">
        <f>tblCost[[#This Row],[TargetRequirements]]-tblCost[[#This Row],[CompletedRequirements]]</f>
        <v>12</v>
      </c>
      <c r="L1302" s="41" t="b">
        <f>tblCost[[#This Row],[RemainingRequirements]]=0</f>
        <v>0</v>
      </c>
      <c r="M1302" s="43">
        <f>IF(tblCost[[#This Row],[TargetRequirements]]=0,0,tblCost[[#This Row],[CompletedRequirements]]/tblCost[[#This Row],[TargetRequirements]])</f>
        <v>0</v>
      </c>
    </row>
    <row r="1303" spans="1:13">
      <c r="A1303" s="41" t="s">
        <v>4940</v>
      </c>
      <c r="B1303" s="41" t="str">
        <f>_xlfn.TEXTAFTER(_xlfn.TEXTBEFORE(tblCost[[#This Row],[RequirementID]],".",-2),"cost.")</f>
        <v>collection.armory_1@2</v>
      </c>
      <c r="C1303" s="41" t="str">
        <f>_xlfn.XLOOKUP(tblCost[[#This Row],[TargetID]],tblTargets[TargetID],tblTargets[DisplayName],"")</f>
        <v>Armory 1 Lv 2</v>
      </c>
      <c r="D1303" s="41" t="str">
        <f>_xlfn.XLOOKUP(tblCost[[#This Row],[TargetID]],tblTargets[TargetID],tblTargets[TargetType],"")</f>
        <v>COLLECTION</v>
      </c>
      <c r="E1303" s="41" t="s">
        <v>1844</v>
      </c>
      <c r="F1303" s="62" t="str">
        <f>RIGHT(tblCost[[#This Row],[RequirementID]],1)</f>
        <v>1</v>
      </c>
      <c r="G1303" s="41">
        <v>6</v>
      </c>
      <c r="H1303" t="b">
        <f>COUNTIFS(tblCostChecklist[RequirementID],tblCost[[#This Row],[RequirementID]],tblCostChecklist[PlayerPaid],TRUE)&gt;0</f>
        <v>0</v>
      </c>
      <c r="I1303" s="41">
        <f>COUNTIF(tblCost[TargetID],tblCost[[#This Row],[TargetID]])</f>
        <v>12</v>
      </c>
      <c r="J1303" s="41">
        <f>COUNTIFS(tblCost[TargetID],tblCost[[#This Row],[TargetID]],tblCost[PlayerPaid],TRUE)</f>
        <v>0</v>
      </c>
      <c r="K1303" s="41">
        <f>tblCost[[#This Row],[TargetRequirements]]-tblCost[[#This Row],[CompletedRequirements]]</f>
        <v>12</v>
      </c>
      <c r="L1303" s="41" t="b">
        <f>tblCost[[#This Row],[RemainingRequirements]]=0</f>
        <v>0</v>
      </c>
      <c r="M1303" s="43">
        <f>IF(tblCost[[#This Row],[TargetRequirements]]=0,0,tblCost[[#This Row],[CompletedRequirements]]/tblCost[[#This Row],[TargetRequirements]])</f>
        <v>0</v>
      </c>
    </row>
    <row r="1304" spans="1:13">
      <c r="A1304" s="41" t="s">
        <v>4941</v>
      </c>
      <c r="B1304" s="41" t="str">
        <f>_xlfn.TEXTAFTER(_xlfn.TEXTBEFORE(tblCost[[#This Row],[RequirementID]],".",-2),"cost.")</f>
        <v>collection.armory_1@2</v>
      </c>
      <c r="C1304" s="41" t="str">
        <f>_xlfn.XLOOKUP(tblCost[[#This Row],[TargetID]],tblTargets[TargetID],tblTargets[DisplayName],"")</f>
        <v>Armory 1 Lv 2</v>
      </c>
      <c r="D1304" s="41" t="str">
        <f>_xlfn.XLOOKUP(tblCost[[#This Row],[TargetID]],tblTargets[TargetID],tblTargets[TargetType],"")</f>
        <v>COLLECTION</v>
      </c>
      <c r="E1304" s="41" t="s">
        <v>1845</v>
      </c>
      <c r="F1304" s="62" t="str">
        <f>RIGHT(tblCost[[#This Row],[RequirementID]],1)</f>
        <v>1</v>
      </c>
      <c r="G1304" s="41">
        <v>6</v>
      </c>
      <c r="H1304" t="b">
        <f>COUNTIFS(tblCostChecklist[RequirementID],tblCost[[#This Row],[RequirementID]],tblCostChecklist[PlayerPaid],TRUE)&gt;0</f>
        <v>0</v>
      </c>
      <c r="I1304" s="41">
        <f>COUNTIF(tblCost[TargetID],tblCost[[#This Row],[TargetID]])</f>
        <v>12</v>
      </c>
      <c r="J1304" s="41">
        <f>COUNTIFS(tblCost[TargetID],tblCost[[#This Row],[TargetID]],tblCost[PlayerPaid],TRUE)</f>
        <v>0</v>
      </c>
      <c r="K1304" s="41">
        <f>tblCost[[#This Row],[TargetRequirements]]-tblCost[[#This Row],[CompletedRequirements]]</f>
        <v>12</v>
      </c>
      <c r="L1304" s="41" t="b">
        <f>tblCost[[#This Row],[RemainingRequirements]]=0</f>
        <v>0</v>
      </c>
      <c r="M1304" s="43">
        <f>IF(tblCost[[#This Row],[TargetRequirements]]=0,0,tblCost[[#This Row],[CompletedRequirements]]/tblCost[[#This Row],[TargetRequirements]])</f>
        <v>0</v>
      </c>
    </row>
    <row r="1305" spans="1:13">
      <c r="A1305" s="41" t="s">
        <v>4942</v>
      </c>
      <c r="B1305" s="41" t="str">
        <f>_xlfn.TEXTAFTER(_xlfn.TEXTBEFORE(tblCost[[#This Row],[RequirementID]],".",-2),"cost.")</f>
        <v>collection.armory_1@2</v>
      </c>
      <c r="C1305" s="41" t="str">
        <f>_xlfn.XLOOKUP(tblCost[[#This Row],[TargetID]],tblTargets[TargetID],tblTargets[DisplayName],"")</f>
        <v>Armory 1 Lv 2</v>
      </c>
      <c r="D1305" s="41" t="str">
        <f>_xlfn.XLOOKUP(tblCost[[#This Row],[TargetID]],tblTargets[TargetID],tblTargets[TargetType],"")</f>
        <v>COLLECTION</v>
      </c>
      <c r="E1305" s="41" t="s">
        <v>952</v>
      </c>
      <c r="F1305" s="62" t="str">
        <f>RIGHT(tblCost[[#This Row],[RequirementID]],1)</f>
        <v>1</v>
      </c>
      <c r="G1305" s="41">
        <v>6</v>
      </c>
      <c r="H1305" t="b">
        <f>COUNTIFS(tblCostChecklist[RequirementID],tblCost[[#This Row],[RequirementID]],tblCostChecklist[PlayerPaid],TRUE)&gt;0</f>
        <v>0</v>
      </c>
      <c r="I1305" s="41">
        <f>COUNTIF(tblCost[TargetID],tblCost[[#This Row],[TargetID]])</f>
        <v>12</v>
      </c>
      <c r="J1305" s="41">
        <f>COUNTIFS(tblCost[TargetID],tblCost[[#This Row],[TargetID]],tblCost[PlayerPaid],TRUE)</f>
        <v>0</v>
      </c>
      <c r="K1305" s="41">
        <f>tblCost[[#This Row],[TargetRequirements]]-tblCost[[#This Row],[CompletedRequirements]]</f>
        <v>12</v>
      </c>
      <c r="L1305" s="41" t="b">
        <f>tblCost[[#This Row],[RemainingRequirements]]=0</f>
        <v>0</v>
      </c>
      <c r="M1305" s="43">
        <f>IF(tblCost[[#This Row],[TargetRequirements]]=0,0,tblCost[[#This Row],[CompletedRequirements]]/tblCost[[#This Row],[TargetRequirements]])</f>
        <v>0</v>
      </c>
    </row>
    <row r="1306" spans="1:13">
      <c r="A1306" s="41" t="s">
        <v>4943</v>
      </c>
      <c r="B1306" s="41" t="str">
        <f>_xlfn.TEXTAFTER(_xlfn.TEXTBEFORE(tblCost[[#This Row],[RequirementID]],".",-2),"cost.")</f>
        <v>collection.armory_1@2</v>
      </c>
      <c r="C1306" s="41" t="str">
        <f>_xlfn.XLOOKUP(tblCost[[#This Row],[TargetID]],tblTargets[TargetID],tblTargets[DisplayName],"")</f>
        <v>Armory 1 Lv 2</v>
      </c>
      <c r="D1306" s="41" t="str">
        <f>_xlfn.XLOOKUP(tblCost[[#This Row],[TargetID]],tblTargets[TargetID],tblTargets[TargetType],"")</f>
        <v>COLLECTION</v>
      </c>
      <c r="E1306" s="41" t="s">
        <v>953</v>
      </c>
      <c r="F1306" s="62" t="str">
        <f>RIGHT(tblCost[[#This Row],[RequirementID]],1)</f>
        <v>1</v>
      </c>
      <c r="G1306" s="41">
        <v>6</v>
      </c>
      <c r="H1306" t="b">
        <f>COUNTIFS(tblCostChecklist[RequirementID],tblCost[[#This Row],[RequirementID]],tblCostChecklist[PlayerPaid],TRUE)&gt;0</f>
        <v>0</v>
      </c>
      <c r="I1306" s="41">
        <f>COUNTIF(tblCost[TargetID],tblCost[[#This Row],[TargetID]])</f>
        <v>12</v>
      </c>
      <c r="J1306" s="41">
        <f>COUNTIFS(tblCost[TargetID],tblCost[[#This Row],[TargetID]],tblCost[PlayerPaid],TRUE)</f>
        <v>0</v>
      </c>
      <c r="K1306" s="41">
        <f>tblCost[[#This Row],[TargetRequirements]]-tblCost[[#This Row],[CompletedRequirements]]</f>
        <v>12</v>
      </c>
      <c r="L1306" s="41" t="b">
        <f>tblCost[[#This Row],[RemainingRequirements]]=0</f>
        <v>0</v>
      </c>
      <c r="M1306" s="43">
        <f>IF(tblCost[[#This Row],[TargetRequirements]]=0,0,tblCost[[#This Row],[CompletedRequirements]]/tblCost[[#This Row],[TargetRequirements]])</f>
        <v>0</v>
      </c>
    </row>
    <row r="1307" spans="1:13">
      <c r="A1307" s="41" t="s">
        <v>4944</v>
      </c>
      <c r="B1307" s="41" t="str">
        <f>_xlfn.TEXTAFTER(_xlfn.TEXTBEFORE(tblCost[[#This Row],[RequirementID]],".",-2),"cost.")</f>
        <v>collection.armory_1@3</v>
      </c>
      <c r="C1307" s="41" t="str">
        <f>_xlfn.XLOOKUP(tblCost[[#This Row],[TargetID]],tblTargets[TargetID],tblTargets[DisplayName],"")</f>
        <v>Armory 1 Lv 3</v>
      </c>
      <c r="D1307" s="41" t="str">
        <f>_xlfn.XLOOKUP(tblCost[[#This Row],[TargetID]],tblTargets[TargetID],tblTargets[TargetType],"")</f>
        <v>COLLECTION</v>
      </c>
      <c r="E1307" s="41" t="s">
        <v>1786</v>
      </c>
      <c r="F1307" s="62" t="str">
        <f>RIGHT(tblCost[[#This Row],[RequirementID]],1)</f>
        <v>1</v>
      </c>
      <c r="G1307" s="41">
        <v>9</v>
      </c>
      <c r="H1307" t="b">
        <f>COUNTIFS(tblCostChecklist[RequirementID],tblCost[[#This Row],[RequirementID]],tblCostChecklist[PlayerPaid],TRUE)&gt;0</f>
        <v>0</v>
      </c>
      <c r="I1307" s="41">
        <f>COUNTIF(tblCost[TargetID],tblCost[[#This Row],[TargetID]])</f>
        <v>12</v>
      </c>
      <c r="J1307" s="41">
        <f>COUNTIFS(tblCost[TargetID],tblCost[[#This Row],[TargetID]],tblCost[PlayerPaid],TRUE)</f>
        <v>0</v>
      </c>
      <c r="K1307" s="41">
        <f>tblCost[[#This Row],[TargetRequirements]]-tblCost[[#This Row],[CompletedRequirements]]</f>
        <v>12</v>
      </c>
      <c r="L1307" s="41" t="b">
        <f>tblCost[[#This Row],[RemainingRequirements]]=0</f>
        <v>0</v>
      </c>
      <c r="M1307" s="43">
        <f>IF(tblCost[[#This Row],[TargetRequirements]]=0,0,tblCost[[#This Row],[CompletedRequirements]]/tblCost[[#This Row],[TargetRequirements]])</f>
        <v>0</v>
      </c>
    </row>
    <row r="1308" spans="1:13">
      <c r="A1308" s="41" t="s">
        <v>4945</v>
      </c>
      <c r="B1308" s="41" t="str">
        <f>_xlfn.TEXTAFTER(_xlfn.TEXTBEFORE(tblCost[[#This Row],[RequirementID]],".",-2),"cost.")</f>
        <v>collection.armory_1@3</v>
      </c>
      <c r="C1308" s="41" t="str">
        <f>_xlfn.XLOOKUP(tblCost[[#This Row],[TargetID]],tblTargets[TargetID],tblTargets[DisplayName],"")</f>
        <v>Armory 1 Lv 3</v>
      </c>
      <c r="D1308" s="41" t="str">
        <f>_xlfn.XLOOKUP(tblCost[[#This Row],[TargetID]],tblTargets[TargetID],tblTargets[TargetType],"")</f>
        <v>COLLECTION</v>
      </c>
      <c r="E1308" s="41" t="s">
        <v>1787</v>
      </c>
      <c r="F1308" s="62" t="str">
        <f>RIGHT(tblCost[[#This Row],[RequirementID]],1)</f>
        <v>1</v>
      </c>
      <c r="G1308" s="41">
        <v>9</v>
      </c>
      <c r="H1308" t="b">
        <f>COUNTIFS(tblCostChecklist[RequirementID],tblCost[[#This Row],[RequirementID]],tblCostChecklist[PlayerPaid],TRUE)&gt;0</f>
        <v>0</v>
      </c>
      <c r="I1308" s="41">
        <f>COUNTIF(tblCost[TargetID],tblCost[[#This Row],[TargetID]])</f>
        <v>12</v>
      </c>
      <c r="J1308" s="41">
        <f>COUNTIFS(tblCost[TargetID],tblCost[[#This Row],[TargetID]],tblCost[PlayerPaid],TRUE)</f>
        <v>0</v>
      </c>
      <c r="K1308" s="41">
        <f>tblCost[[#This Row],[TargetRequirements]]-tblCost[[#This Row],[CompletedRequirements]]</f>
        <v>12</v>
      </c>
      <c r="L1308" s="41" t="b">
        <f>tblCost[[#This Row],[RemainingRequirements]]=0</f>
        <v>0</v>
      </c>
      <c r="M1308" s="43">
        <f>IF(tblCost[[#This Row],[TargetRequirements]]=0,0,tblCost[[#This Row],[CompletedRequirements]]/tblCost[[#This Row],[TargetRequirements]])</f>
        <v>0</v>
      </c>
    </row>
    <row r="1309" spans="1:13">
      <c r="A1309" s="41" t="s">
        <v>4946</v>
      </c>
      <c r="B1309" s="41" t="str">
        <f>_xlfn.TEXTAFTER(_xlfn.TEXTBEFORE(tblCost[[#This Row],[RequirementID]],".",-2),"cost.")</f>
        <v>collection.armory_1@3</v>
      </c>
      <c r="C1309" s="41" t="str">
        <f>_xlfn.XLOOKUP(tblCost[[#This Row],[TargetID]],tblTargets[TargetID],tblTargets[DisplayName],"")</f>
        <v>Armory 1 Lv 3</v>
      </c>
      <c r="D1309" s="41" t="str">
        <f>_xlfn.XLOOKUP(tblCost[[#This Row],[TargetID]],tblTargets[TargetID],tblTargets[TargetType],"")</f>
        <v>COLLECTION</v>
      </c>
      <c r="E1309" s="41" t="s">
        <v>1788</v>
      </c>
      <c r="F1309" s="62" t="str">
        <f>RIGHT(tblCost[[#This Row],[RequirementID]],1)</f>
        <v>1</v>
      </c>
      <c r="G1309" s="41">
        <v>9</v>
      </c>
      <c r="H1309" t="b">
        <f>COUNTIFS(tblCostChecklist[RequirementID],tblCost[[#This Row],[RequirementID]],tblCostChecklist[PlayerPaid],TRUE)&gt;0</f>
        <v>0</v>
      </c>
      <c r="I1309" s="41">
        <f>COUNTIF(tblCost[TargetID],tblCost[[#This Row],[TargetID]])</f>
        <v>12</v>
      </c>
      <c r="J1309" s="41">
        <f>COUNTIFS(tblCost[TargetID],tblCost[[#This Row],[TargetID]],tblCost[PlayerPaid],TRUE)</f>
        <v>0</v>
      </c>
      <c r="K1309" s="41">
        <f>tblCost[[#This Row],[TargetRequirements]]-tblCost[[#This Row],[CompletedRequirements]]</f>
        <v>12</v>
      </c>
      <c r="L1309" s="41" t="b">
        <f>tblCost[[#This Row],[RemainingRequirements]]=0</f>
        <v>0</v>
      </c>
      <c r="M1309" s="43">
        <f>IF(tblCost[[#This Row],[TargetRequirements]]=0,0,tblCost[[#This Row],[CompletedRequirements]]/tblCost[[#This Row],[TargetRequirements]])</f>
        <v>0</v>
      </c>
    </row>
    <row r="1310" spans="1:13">
      <c r="A1310" s="41" t="s">
        <v>4947</v>
      </c>
      <c r="B1310" s="41" t="str">
        <f>_xlfn.TEXTAFTER(_xlfn.TEXTBEFORE(tblCost[[#This Row],[RequirementID]],".",-2),"cost.")</f>
        <v>collection.armory_1@3</v>
      </c>
      <c r="C1310" s="41" t="str">
        <f>_xlfn.XLOOKUP(tblCost[[#This Row],[TargetID]],tblTargets[TargetID],tblTargets[DisplayName],"")</f>
        <v>Armory 1 Lv 3</v>
      </c>
      <c r="D1310" s="41" t="str">
        <f>_xlfn.XLOOKUP(tblCost[[#This Row],[TargetID]],tblTargets[TargetID],tblTargets[TargetType],"")</f>
        <v>COLLECTION</v>
      </c>
      <c r="E1310" s="41" t="s">
        <v>927</v>
      </c>
      <c r="F1310" s="62" t="str">
        <f>RIGHT(tblCost[[#This Row],[RequirementID]],1)</f>
        <v>1</v>
      </c>
      <c r="G1310" s="41">
        <v>9</v>
      </c>
      <c r="H1310" t="b">
        <f>COUNTIFS(tblCostChecklist[RequirementID],tblCost[[#This Row],[RequirementID]],tblCostChecklist[PlayerPaid],TRUE)&gt;0</f>
        <v>0</v>
      </c>
      <c r="I1310" s="41">
        <f>COUNTIF(tblCost[TargetID],tblCost[[#This Row],[TargetID]])</f>
        <v>12</v>
      </c>
      <c r="J1310" s="41">
        <f>COUNTIFS(tblCost[TargetID],tblCost[[#This Row],[TargetID]],tblCost[PlayerPaid],TRUE)</f>
        <v>0</v>
      </c>
      <c r="K1310" s="41">
        <f>tblCost[[#This Row],[TargetRequirements]]-tblCost[[#This Row],[CompletedRequirements]]</f>
        <v>12</v>
      </c>
      <c r="L1310" s="41" t="b">
        <f>tblCost[[#This Row],[RemainingRequirements]]=0</f>
        <v>0</v>
      </c>
      <c r="M1310" s="43">
        <f>IF(tblCost[[#This Row],[TargetRequirements]]=0,0,tblCost[[#This Row],[CompletedRequirements]]/tblCost[[#This Row],[TargetRequirements]])</f>
        <v>0</v>
      </c>
    </row>
    <row r="1311" spans="1:13">
      <c r="A1311" s="41" t="s">
        <v>4948</v>
      </c>
      <c r="B1311" s="41" t="str">
        <f>_xlfn.TEXTAFTER(_xlfn.TEXTBEFORE(tblCost[[#This Row],[RequirementID]],".",-2),"cost.")</f>
        <v>collection.armory_1@3</v>
      </c>
      <c r="C1311" s="41" t="str">
        <f>_xlfn.XLOOKUP(tblCost[[#This Row],[TargetID]],tblTargets[TargetID],tblTargets[DisplayName],"")</f>
        <v>Armory 1 Lv 3</v>
      </c>
      <c r="D1311" s="41" t="str">
        <f>_xlfn.XLOOKUP(tblCost[[#This Row],[TargetID]],tblTargets[TargetID],tblTargets[TargetType],"")</f>
        <v>COLLECTION</v>
      </c>
      <c r="E1311" s="41" t="s">
        <v>1835</v>
      </c>
      <c r="F1311" s="62" t="str">
        <f>RIGHT(tblCost[[#This Row],[RequirementID]],1)</f>
        <v>1</v>
      </c>
      <c r="G1311" s="41">
        <v>9</v>
      </c>
      <c r="H1311" t="b">
        <f>COUNTIFS(tblCostChecklist[RequirementID],tblCost[[#This Row],[RequirementID]],tblCostChecklist[PlayerPaid],TRUE)&gt;0</f>
        <v>0</v>
      </c>
      <c r="I1311" s="41">
        <f>COUNTIF(tblCost[TargetID],tblCost[[#This Row],[TargetID]])</f>
        <v>12</v>
      </c>
      <c r="J1311" s="41">
        <f>COUNTIFS(tblCost[TargetID],tblCost[[#This Row],[TargetID]],tblCost[PlayerPaid],TRUE)</f>
        <v>0</v>
      </c>
      <c r="K1311" s="41">
        <f>tblCost[[#This Row],[TargetRequirements]]-tblCost[[#This Row],[CompletedRequirements]]</f>
        <v>12</v>
      </c>
      <c r="L1311" s="41" t="b">
        <f>tblCost[[#This Row],[RemainingRequirements]]=0</f>
        <v>0</v>
      </c>
      <c r="M1311" s="43">
        <f>IF(tblCost[[#This Row],[TargetRequirements]]=0,0,tblCost[[#This Row],[CompletedRequirements]]/tblCost[[#This Row],[TargetRequirements]])</f>
        <v>0</v>
      </c>
    </row>
    <row r="1312" spans="1:13">
      <c r="A1312" s="41" t="s">
        <v>4949</v>
      </c>
      <c r="B1312" s="41" t="str">
        <f>_xlfn.TEXTAFTER(_xlfn.TEXTBEFORE(tblCost[[#This Row],[RequirementID]],".",-2),"cost.")</f>
        <v>collection.armory_1@3</v>
      </c>
      <c r="C1312" s="41" t="str">
        <f>_xlfn.XLOOKUP(tblCost[[#This Row],[TargetID]],tblTargets[TargetID],tblTargets[DisplayName],"")</f>
        <v>Armory 1 Lv 3</v>
      </c>
      <c r="D1312" s="41" t="str">
        <f>_xlfn.XLOOKUP(tblCost[[#This Row],[TargetID]],tblTargets[TargetID],tblTargets[TargetType],"")</f>
        <v>COLLECTION</v>
      </c>
      <c r="E1312" s="41" t="s">
        <v>1836</v>
      </c>
      <c r="F1312" s="62" t="str">
        <f>RIGHT(tblCost[[#This Row],[RequirementID]],1)</f>
        <v>1</v>
      </c>
      <c r="G1312" s="41">
        <v>9</v>
      </c>
      <c r="H1312" t="b">
        <f>COUNTIFS(tblCostChecklist[RequirementID],tblCost[[#This Row],[RequirementID]],tblCostChecklist[PlayerPaid],TRUE)&gt;0</f>
        <v>0</v>
      </c>
      <c r="I1312" s="41">
        <f>COUNTIF(tblCost[TargetID],tblCost[[#This Row],[TargetID]])</f>
        <v>12</v>
      </c>
      <c r="J1312" s="41">
        <f>COUNTIFS(tblCost[TargetID],tblCost[[#This Row],[TargetID]],tblCost[PlayerPaid],TRUE)</f>
        <v>0</v>
      </c>
      <c r="K1312" s="41">
        <f>tblCost[[#This Row],[TargetRequirements]]-tblCost[[#This Row],[CompletedRequirements]]</f>
        <v>12</v>
      </c>
      <c r="L1312" s="41" t="b">
        <f>tblCost[[#This Row],[RemainingRequirements]]=0</f>
        <v>0</v>
      </c>
      <c r="M1312" s="43">
        <f>IF(tblCost[[#This Row],[TargetRequirements]]=0,0,tblCost[[#This Row],[CompletedRequirements]]/tblCost[[#This Row],[TargetRequirements]])</f>
        <v>0</v>
      </c>
    </row>
    <row r="1313" spans="1:13">
      <c r="A1313" s="41" t="s">
        <v>4950</v>
      </c>
      <c r="B1313" s="41" t="str">
        <f>_xlfn.TEXTAFTER(_xlfn.TEXTBEFORE(tblCost[[#This Row],[RequirementID]],".",-2),"cost.")</f>
        <v>collection.armory_1@3</v>
      </c>
      <c r="C1313" s="41" t="str">
        <f>_xlfn.XLOOKUP(tblCost[[#This Row],[TargetID]],tblTargets[TargetID],tblTargets[DisplayName],"")</f>
        <v>Armory 1 Lv 3</v>
      </c>
      <c r="D1313" s="41" t="str">
        <f>_xlfn.XLOOKUP(tblCost[[#This Row],[TargetID]],tblTargets[TargetID],tblTargets[TargetType],"")</f>
        <v>COLLECTION</v>
      </c>
      <c r="E1313" s="41" t="s">
        <v>949</v>
      </c>
      <c r="F1313" s="62" t="str">
        <f>RIGHT(tblCost[[#This Row],[RequirementID]],1)</f>
        <v>1</v>
      </c>
      <c r="G1313" s="41">
        <v>9</v>
      </c>
      <c r="H1313" t="b">
        <f>COUNTIFS(tblCostChecklist[RequirementID],tblCost[[#This Row],[RequirementID]],tblCostChecklist[PlayerPaid],TRUE)&gt;0</f>
        <v>0</v>
      </c>
      <c r="I1313" s="41">
        <f>COUNTIF(tblCost[TargetID],tblCost[[#This Row],[TargetID]])</f>
        <v>12</v>
      </c>
      <c r="J1313" s="41">
        <f>COUNTIFS(tblCost[TargetID],tblCost[[#This Row],[TargetID]],tblCost[PlayerPaid],TRUE)</f>
        <v>0</v>
      </c>
      <c r="K1313" s="41">
        <f>tblCost[[#This Row],[TargetRequirements]]-tblCost[[#This Row],[CompletedRequirements]]</f>
        <v>12</v>
      </c>
      <c r="L1313" s="41" t="b">
        <f>tblCost[[#This Row],[RemainingRequirements]]=0</f>
        <v>0</v>
      </c>
      <c r="M1313" s="43">
        <f>IF(tblCost[[#This Row],[TargetRequirements]]=0,0,tblCost[[#This Row],[CompletedRequirements]]/tblCost[[#This Row],[TargetRequirements]])</f>
        <v>0</v>
      </c>
    </row>
    <row r="1314" spans="1:13">
      <c r="A1314" s="41" t="s">
        <v>4951</v>
      </c>
      <c r="B1314" s="41" t="str">
        <f>_xlfn.TEXTAFTER(_xlfn.TEXTBEFORE(tblCost[[#This Row],[RequirementID]],".",-2),"cost.")</f>
        <v>collection.armory_1@3</v>
      </c>
      <c r="C1314" s="41" t="str">
        <f>_xlfn.XLOOKUP(tblCost[[#This Row],[TargetID]],tblTargets[TargetID],tblTargets[DisplayName],"")</f>
        <v>Armory 1 Lv 3</v>
      </c>
      <c r="D1314" s="41" t="str">
        <f>_xlfn.XLOOKUP(tblCost[[#This Row],[TargetID]],tblTargets[TargetID],tblTargets[TargetType],"")</f>
        <v>COLLECTION</v>
      </c>
      <c r="E1314" s="41" t="s">
        <v>950</v>
      </c>
      <c r="F1314" s="62" t="str">
        <f>RIGHT(tblCost[[#This Row],[RequirementID]],1)</f>
        <v>1</v>
      </c>
      <c r="G1314" s="41">
        <v>9</v>
      </c>
      <c r="H1314" t="b">
        <f>COUNTIFS(tblCostChecklist[RequirementID],tblCost[[#This Row],[RequirementID]],tblCostChecklist[PlayerPaid],TRUE)&gt;0</f>
        <v>0</v>
      </c>
      <c r="I1314" s="41">
        <f>COUNTIF(tblCost[TargetID],tblCost[[#This Row],[TargetID]])</f>
        <v>12</v>
      </c>
      <c r="J1314" s="41">
        <f>COUNTIFS(tblCost[TargetID],tblCost[[#This Row],[TargetID]],tblCost[PlayerPaid],TRUE)</f>
        <v>0</v>
      </c>
      <c r="K1314" s="41">
        <f>tblCost[[#This Row],[TargetRequirements]]-tblCost[[#This Row],[CompletedRequirements]]</f>
        <v>12</v>
      </c>
      <c r="L1314" s="41" t="b">
        <f>tblCost[[#This Row],[RemainingRequirements]]=0</f>
        <v>0</v>
      </c>
      <c r="M1314" s="43">
        <f>IF(tblCost[[#This Row],[TargetRequirements]]=0,0,tblCost[[#This Row],[CompletedRequirements]]/tblCost[[#This Row],[TargetRequirements]])</f>
        <v>0</v>
      </c>
    </row>
    <row r="1315" spans="1:13">
      <c r="A1315" s="41" t="s">
        <v>4952</v>
      </c>
      <c r="B1315" s="41" t="str">
        <f>_xlfn.TEXTAFTER(_xlfn.TEXTBEFORE(tblCost[[#This Row],[RequirementID]],".",-2),"cost.")</f>
        <v>collection.armory_1@3</v>
      </c>
      <c r="C1315" s="41" t="str">
        <f>_xlfn.XLOOKUP(tblCost[[#This Row],[TargetID]],tblTargets[TargetID],tblTargets[DisplayName],"")</f>
        <v>Armory 1 Lv 3</v>
      </c>
      <c r="D1315" s="41" t="str">
        <f>_xlfn.XLOOKUP(tblCost[[#This Row],[TargetID]],tblTargets[TargetID],tblTargets[TargetType],"")</f>
        <v>COLLECTION</v>
      </c>
      <c r="E1315" s="41" t="s">
        <v>1844</v>
      </c>
      <c r="F1315" s="62" t="str">
        <f>RIGHT(tblCost[[#This Row],[RequirementID]],1)</f>
        <v>1</v>
      </c>
      <c r="G1315" s="41">
        <v>9</v>
      </c>
      <c r="H1315" t="b">
        <f>COUNTIFS(tblCostChecklist[RequirementID],tblCost[[#This Row],[RequirementID]],tblCostChecklist[PlayerPaid],TRUE)&gt;0</f>
        <v>0</v>
      </c>
      <c r="I1315" s="41">
        <f>COUNTIF(tblCost[TargetID],tblCost[[#This Row],[TargetID]])</f>
        <v>12</v>
      </c>
      <c r="J1315" s="41">
        <f>COUNTIFS(tblCost[TargetID],tblCost[[#This Row],[TargetID]],tblCost[PlayerPaid],TRUE)</f>
        <v>0</v>
      </c>
      <c r="K1315" s="41">
        <f>tblCost[[#This Row],[TargetRequirements]]-tblCost[[#This Row],[CompletedRequirements]]</f>
        <v>12</v>
      </c>
      <c r="L1315" s="41" t="b">
        <f>tblCost[[#This Row],[RemainingRequirements]]=0</f>
        <v>0</v>
      </c>
      <c r="M1315" s="43">
        <f>IF(tblCost[[#This Row],[TargetRequirements]]=0,0,tblCost[[#This Row],[CompletedRequirements]]/tblCost[[#This Row],[TargetRequirements]])</f>
        <v>0</v>
      </c>
    </row>
    <row r="1316" spans="1:13">
      <c r="A1316" s="41" t="s">
        <v>4953</v>
      </c>
      <c r="B1316" s="41" t="str">
        <f>_xlfn.TEXTAFTER(_xlfn.TEXTBEFORE(tblCost[[#This Row],[RequirementID]],".",-2),"cost.")</f>
        <v>collection.armory_1@3</v>
      </c>
      <c r="C1316" s="41" t="str">
        <f>_xlfn.XLOOKUP(tblCost[[#This Row],[TargetID]],tblTargets[TargetID],tblTargets[DisplayName],"")</f>
        <v>Armory 1 Lv 3</v>
      </c>
      <c r="D1316" s="41" t="str">
        <f>_xlfn.XLOOKUP(tblCost[[#This Row],[TargetID]],tblTargets[TargetID],tblTargets[TargetType],"")</f>
        <v>COLLECTION</v>
      </c>
      <c r="E1316" s="41" t="s">
        <v>1845</v>
      </c>
      <c r="F1316" s="62" t="str">
        <f>RIGHT(tblCost[[#This Row],[RequirementID]],1)</f>
        <v>1</v>
      </c>
      <c r="G1316" s="41">
        <v>9</v>
      </c>
      <c r="H1316" t="b">
        <f>COUNTIFS(tblCostChecklist[RequirementID],tblCost[[#This Row],[RequirementID]],tblCostChecklist[PlayerPaid],TRUE)&gt;0</f>
        <v>0</v>
      </c>
      <c r="I1316" s="41">
        <f>COUNTIF(tblCost[TargetID],tblCost[[#This Row],[TargetID]])</f>
        <v>12</v>
      </c>
      <c r="J1316" s="41">
        <f>COUNTIFS(tblCost[TargetID],tblCost[[#This Row],[TargetID]],tblCost[PlayerPaid],TRUE)</f>
        <v>0</v>
      </c>
      <c r="K1316" s="41">
        <f>tblCost[[#This Row],[TargetRequirements]]-tblCost[[#This Row],[CompletedRequirements]]</f>
        <v>12</v>
      </c>
      <c r="L1316" s="41" t="b">
        <f>tblCost[[#This Row],[RemainingRequirements]]=0</f>
        <v>0</v>
      </c>
      <c r="M1316" s="43">
        <f>IF(tblCost[[#This Row],[TargetRequirements]]=0,0,tblCost[[#This Row],[CompletedRequirements]]/tblCost[[#This Row],[TargetRequirements]])</f>
        <v>0</v>
      </c>
    </row>
    <row r="1317" spans="1:13">
      <c r="A1317" s="41" t="s">
        <v>4954</v>
      </c>
      <c r="B1317" s="41" t="str">
        <f>_xlfn.TEXTAFTER(_xlfn.TEXTBEFORE(tblCost[[#This Row],[RequirementID]],".",-2),"cost.")</f>
        <v>collection.armory_1@3</v>
      </c>
      <c r="C1317" s="41" t="str">
        <f>_xlfn.XLOOKUP(tblCost[[#This Row],[TargetID]],tblTargets[TargetID],tblTargets[DisplayName],"")</f>
        <v>Armory 1 Lv 3</v>
      </c>
      <c r="D1317" s="41" t="str">
        <f>_xlfn.XLOOKUP(tblCost[[#This Row],[TargetID]],tblTargets[TargetID],tblTargets[TargetType],"")</f>
        <v>COLLECTION</v>
      </c>
      <c r="E1317" s="41" t="s">
        <v>952</v>
      </c>
      <c r="F1317" s="62" t="str">
        <f>RIGHT(tblCost[[#This Row],[RequirementID]],1)</f>
        <v>1</v>
      </c>
      <c r="G1317" s="41">
        <v>9</v>
      </c>
      <c r="H1317" t="b">
        <f>COUNTIFS(tblCostChecklist[RequirementID],tblCost[[#This Row],[RequirementID]],tblCostChecklist[PlayerPaid],TRUE)&gt;0</f>
        <v>0</v>
      </c>
      <c r="I1317" s="41">
        <f>COUNTIF(tblCost[TargetID],tblCost[[#This Row],[TargetID]])</f>
        <v>12</v>
      </c>
      <c r="J1317" s="41">
        <f>COUNTIFS(tblCost[TargetID],tblCost[[#This Row],[TargetID]],tblCost[PlayerPaid],TRUE)</f>
        <v>0</v>
      </c>
      <c r="K1317" s="41">
        <f>tblCost[[#This Row],[TargetRequirements]]-tblCost[[#This Row],[CompletedRequirements]]</f>
        <v>12</v>
      </c>
      <c r="L1317" s="41" t="b">
        <f>tblCost[[#This Row],[RemainingRequirements]]=0</f>
        <v>0</v>
      </c>
      <c r="M1317" s="43">
        <f>IF(tblCost[[#This Row],[TargetRequirements]]=0,0,tblCost[[#This Row],[CompletedRequirements]]/tblCost[[#This Row],[TargetRequirements]])</f>
        <v>0</v>
      </c>
    </row>
    <row r="1318" spans="1:13">
      <c r="A1318" s="41" t="s">
        <v>4955</v>
      </c>
      <c r="B1318" s="41" t="str">
        <f>_xlfn.TEXTAFTER(_xlfn.TEXTBEFORE(tblCost[[#This Row],[RequirementID]],".",-2),"cost.")</f>
        <v>collection.armory_1@3</v>
      </c>
      <c r="C1318" s="41" t="str">
        <f>_xlfn.XLOOKUP(tblCost[[#This Row],[TargetID]],tblTargets[TargetID],tblTargets[DisplayName],"")</f>
        <v>Armory 1 Lv 3</v>
      </c>
      <c r="D1318" s="41" t="str">
        <f>_xlfn.XLOOKUP(tblCost[[#This Row],[TargetID]],tblTargets[TargetID],tblTargets[TargetType],"")</f>
        <v>COLLECTION</v>
      </c>
      <c r="E1318" s="41" t="s">
        <v>953</v>
      </c>
      <c r="F1318" s="62" t="str">
        <f>RIGHT(tblCost[[#This Row],[RequirementID]],1)</f>
        <v>1</v>
      </c>
      <c r="G1318" s="41">
        <v>9</v>
      </c>
      <c r="H1318" t="b">
        <f>COUNTIFS(tblCostChecklist[RequirementID],tblCost[[#This Row],[RequirementID]],tblCostChecklist[PlayerPaid],TRUE)&gt;0</f>
        <v>0</v>
      </c>
      <c r="I1318" s="41">
        <f>COUNTIF(tblCost[TargetID],tblCost[[#This Row],[TargetID]])</f>
        <v>12</v>
      </c>
      <c r="J1318" s="41">
        <f>COUNTIFS(tblCost[TargetID],tblCost[[#This Row],[TargetID]],tblCost[PlayerPaid],TRUE)</f>
        <v>0</v>
      </c>
      <c r="K1318" s="41">
        <f>tblCost[[#This Row],[TargetRequirements]]-tblCost[[#This Row],[CompletedRequirements]]</f>
        <v>12</v>
      </c>
      <c r="L1318" s="41" t="b">
        <f>tblCost[[#This Row],[RemainingRequirements]]=0</f>
        <v>0</v>
      </c>
      <c r="M1318" s="43">
        <f>IF(tblCost[[#This Row],[TargetRequirements]]=0,0,tblCost[[#This Row],[CompletedRequirements]]/tblCost[[#This Row],[TargetRequirements]])</f>
        <v>0</v>
      </c>
    </row>
    <row r="1319" spans="1:13">
      <c r="A1319" s="41" t="s">
        <v>4956</v>
      </c>
      <c r="B1319" s="41" t="str">
        <f>_xlfn.TEXTAFTER(_xlfn.TEXTBEFORE(tblCost[[#This Row],[RequirementID]],".",-2),"cost.")</f>
        <v>collection.armory_2@1</v>
      </c>
      <c r="C1319" s="41" t="str">
        <f>_xlfn.XLOOKUP(tblCost[[#This Row],[TargetID]],tblTargets[TargetID],tblTargets[DisplayName],"")</f>
        <v>Armory 2 Lv 1</v>
      </c>
      <c r="D1319" s="41" t="str">
        <f>_xlfn.XLOOKUP(tblCost[[#This Row],[TargetID]],tblTargets[TargetID],tblTargets[TargetType],"")</f>
        <v>COLLECTION</v>
      </c>
      <c r="E1319" s="41" t="s">
        <v>1789</v>
      </c>
      <c r="F1319" s="62" t="str">
        <f>RIGHT(tblCost[[#This Row],[RequirementID]],1)</f>
        <v>1</v>
      </c>
      <c r="G1319" s="41">
        <v>3</v>
      </c>
      <c r="H1319" t="b">
        <f>COUNTIFS(tblCostChecklist[RequirementID],tblCost[[#This Row],[RequirementID]],tblCostChecklist[PlayerPaid],TRUE)&gt;0</f>
        <v>0</v>
      </c>
      <c r="I1319" s="41">
        <f>COUNTIF(tblCost[TargetID],tblCost[[#This Row],[TargetID]])</f>
        <v>3</v>
      </c>
      <c r="J1319" s="41">
        <f>COUNTIFS(tblCost[TargetID],tblCost[[#This Row],[TargetID]],tblCost[PlayerPaid],TRUE)</f>
        <v>0</v>
      </c>
      <c r="K1319" s="41">
        <f>tblCost[[#This Row],[TargetRequirements]]-tblCost[[#This Row],[CompletedRequirements]]</f>
        <v>3</v>
      </c>
      <c r="L1319" s="41" t="b">
        <f>tblCost[[#This Row],[RemainingRequirements]]=0</f>
        <v>0</v>
      </c>
      <c r="M1319" s="43">
        <f>IF(tblCost[[#This Row],[TargetRequirements]]=0,0,tblCost[[#This Row],[CompletedRequirements]]/tblCost[[#This Row],[TargetRequirements]])</f>
        <v>0</v>
      </c>
    </row>
    <row r="1320" spans="1:13">
      <c r="A1320" s="41" t="s">
        <v>4957</v>
      </c>
      <c r="B1320" s="41" t="str">
        <f>_xlfn.TEXTAFTER(_xlfn.TEXTBEFORE(tblCost[[#This Row],[RequirementID]],".",-2),"cost.")</f>
        <v>collection.armory_2@1</v>
      </c>
      <c r="C1320" s="41" t="str">
        <f>_xlfn.XLOOKUP(tblCost[[#This Row],[TargetID]],tblTargets[TargetID],tblTargets[DisplayName],"")</f>
        <v>Armory 2 Lv 1</v>
      </c>
      <c r="D1320" s="41" t="str">
        <f>_xlfn.XLOOKUP(tblCost[[#This Row],[TargetID]],tblTargets[TargetID],tblTargets[TargetType],"")</f>
        <v>COLLECTION</v>
      </c>
      <c r="E1320" s="41" t="s">
        <v>1837</v>
      </c>
      <c r="F1320" s="62" t="str">
        <f>RIGHT(tblCost[[#This Row],[RequirementID]],1)</f>
        <v>1</v>
      </c>
      <c r="G1320" s="41">
        <v>3</v>
      </c>
      <c r="H1320" t="b">
        <f>COUNTIFS(tblCostChecklist[RequirementID],tblCost[[#This Row],[RequirementID]],tblCostChecklist[PlayerPaid],TRUE)&gt;0</f>
        <v>0</v>
      </c>
      <c r="I1320" s="41">
        <f>COUNTIF(tblCost[TargetID],tblCost[[#This Row],[TargetID]])</f>
        <v>3</v>
      </c>
      <c r="J1320" s="41">
        <f>COUNTIFS(tblCost[TargetID],tblCost[[#This Row],[TargetID]],tblCost[PlayerPaid],TRUE)</f>
        <v>0</v>
      </c>
      <c r="K1320" s="41">
        <f>tblCost[[#This Row],[TargetRequirements]]-tblCost[[#This Row],[CompletedRequirements]]</f>
        <v>3</v>
      </c>
      <c r="L1320" s="41" t="b">
        <f>tblCost[[#This Row],[RemainingRequirements]]=0</f>
        <v>0</v>
      </c>
      <c r="M1320" s="43">
        <f>IF(tblCost[[#This Row],[TargetRequirements]]=0,0,tblCost[[#This Row],[CompletedRequirements]]/tblCost[[#This Row],[TargetRequirements]])</f>
        <v>0</v>
      </c>
    </row>
    <row r="1321" spans="1:13">
      <c r="A1321" s="41" t="s">
        <v>4958</v>
      </c>
      <c r="B1321" s="41" t="str">
        <f>_xlfn.TEXTAFTER(_xlfn.TEXTBEFORE(tblCost[[#This Row],[RequirementID]],".",-2),"cost.")</f>
        <v>collection.armory_2@1</v>
      </c>
      <c r="C1321" s="41" t="str">
        <f>_xlfn.XLOOKUP(tblCost[[#This Row],[TargetID]],tblTargets[TargetID],tblTargets[DisplayName],"")</f>
        <v>Armory 2 Lv 1</v>
      </c>
      <c r="D1321" s="41" t="str">
        <f>_xlfn.XLOOKUP(tblCost[[#This Row],[TargetID]],tblTargets[TargetID],tblTargets[TargetType],"")</f>
        <v>COLLECTION</v>
      </c>
      <c r="E1321" s="41" t="s">
        <v>1846</v>
      </c>
      <c r="F1321" s="62" t="str">
        <f>RIGHT(tblCost[[#This Row],[RequirementID]],1)</f>
        <v>1</v>
      </c>
      <c r="G1321" s="41">
        <v>3</v>
      </c>
      <c r="H1321" t="b">
        <f>COUNTIFS(tblCostChecklist[RequirementID],tblCost[[#This Row],[RequirementID]],tblCostChecklist[PlayerPaid],TRUE)&gt;0</f>
        <v>0</v>
      </c>
      <c r="I1321" s="41">
        <f>COUNTIF(tblCost[TargetID],tblCost[[#This Row],[TargetID]])</f>
        <v>3</v>
      </c>
      <c r="J1321" s="41">
        <f>COUNTIFS(tblCost[TargetID],tblCost[[#This Row],[TargetID]],tblCost[PlayerPaid],TRUE)</f>
        <v>0</v>
      </c>
      <c r="K1321" s="41">
        <f>tblCost[[#This Row],[TargetRequirements]]-tblCost[[#This Row],[CompletedRequirements]]</f>
        <v>3</v>
      </c>
      <c r="L1321" s="41" t="b">
        <f>tblCost[[#This Row],[RemainingRequirements]]=0</f>
        <v>0</v>
      </c>
      <c r="M1321" s="43">
        <f>IF(tblCost[[#This Row],[TargetRequirements]]=0,0,tblCost[[#This Row],[CompletedRequirements]]/tblCost[[#This Row],[TargetRequirements]])</f>
        <v>0</v>
      </c>
    </row>
    <row r="1322" spans="1:13">
      <c r="A1322" s="41" t="s">
        <v>4959</v>
      </c>
      <c r="B1322" s="41" t="str">
        <f>_xlfn.TEXTAFTER(_xlfn.TEXTBEFORE(tblCost[[#This Row],[RequirementID]],".",-2),"cost.")</f>
        <v>collection.attic@1</v>
      </c>
      <c r="C1322" s="41" t="str">
        <f>_xlfn.XLOOKUP(tblCost[[#This Row],[TargetID]],tblTargets[TargetID],tblTargets[DisplayName],"")</f>
        <v>Attic Lv 1</v>
      </c>
      <c r="D1322" s="41" t="str">
        <f>_xlfn.XLOOKUP(tblCost[[#This Row],[TargetID]],tblTargets[TargetID],tblTargets[TargetType],"")</f>
        <v>COLLECTION</v>
      </c>
      <c r="E1322" s="41" t="s">
        <v>668</v>
      </c>
      <c r="F1322" s="62" t="str">
        <f>RIGHT(tblCost[[#This Row],[RequirementID]],1)</f>
        <v>1</v>
      </c>
      <c r="G1322" s="41">
        <v>3</v>
      </c>
      <c r="H1322" t="b">
        <f>COUNTIFS(tblCostChecklist[RequirementID],tblCost[[#This Row],[RequirementID]],tblCostChecklist[PlayerPaid],TRUE)&gt;0</f>
        <v>0</v>
      </c>
      <c r="I1322" s="41">
        <f>COUNTIF(tblCost[TargetID],tblCost[[#This Row],[TargetID]])</f>
        <v>9</v>
      </c>
      <c r="J1322" s="41">
        <f>COUNTIFS(tblCost[TargetID],tblCost[[#This Row],[TargetID]],tblCost[PlayerPaid],TRUE)</f>
        <v>0</v>
      </c>
      <c r="K1322" s="41">
        <f>tblCost[[#This Row],[TargetRequirements]]-tblCost[[#This Row],[CompletedRequirements]]</f>
        <v>9</v>
      </c>
      <c r="L1322" s="41" t="b">
        <f>tblCost[[#This Row],[RemainingRequirements]]=0</f>
        <v>0</v>
      </c>
      <c r="M1322" s="43">
        <f>IF(tblCost[[#This Row],[TargetRequirements]]=0,0,tblCost[[#This Row],[CompletedRequirements]]/tblCost[[#This Row],[TargetRequirements]])</f>
        <v>0</v>
      </c>
    </row>
    <row r="1323" spans="1:13">
      <c r="A1323" s="41" t="s">
        <v>4960</v>
      </c>
      <c r="B1323" s="41" t="str">
        <f>_xlfn.TEXTAFTER(_xlfn.TEXTBEFORE(tblCost[[#This Row],[RequirementID]],".",-2),"cost.")</f>
        <v>collection.attic@1</v>
      </c>
      <c r="C1323" s="41" t="str">
        <f>_xlfn.XLOOKUP(tblCost[[#This Row],[TargetID]],tblTargets[TargetID],tblTargets[DisplayName],"")</f>
        <v>Attic Lv 1</v>
      </c>
      <c r="D1323" s="41" t="str">
        <f>_xlfn.XLOOKUP(tblCost[[#This Row],[TargetID]],tblTargets[TargetID],tblTargets[TargetType],"")</f>
        <v>COLLECTION</v>
      </c>
      <c r="E1323" s="41" t="s">
        <v>671</v>
      </c>
      <c r="F1323" s="62" t="str">
        <f>RIGHT(tblCost[[#This Row],[RequirementID]],1)</f>
        <v>1</v>
      </c>
      <c r="G1323" s="41">
        <v>20</v>
      </c>
      <c r="H1323" t="b">
        <f>COUNTIFS(tblCostChecklist[RequirementID],tblCost[[#This Row],[RequirementID]],tblCostChecklist[PlayerPaid],TRUE)&gt;0</f>
        <v>0</v>
      </c>
      <c r="I1323" s="41">
        <f>COUNTIF(tblCost[TargetID],tblCost[[#This Row],[TargetID]])</f>
        <v>9</v>
      </c>
      <c r="J1323" s="41">
        <f>COUNTIFS(tblCost[TargetID],tblCost[[#This Row],[TargetID]],tblCost[PlayerPaid],TRUE)</f>
        <v>0</v>
      </c>
      <c r="K1323" s="41">
        <f>tblCost[[#This Row],[TargetRequirements]]-tblCost[[#This Row],[CompletedRequirements]]</f>
        <v>9</v>
      </c>
      <c r="L1323" s="41" t="b">
        <f>tblCost[[#This Row],[RemainingRequirements]]=0</f>
        <v>0</v>
      </c>
      <c r="M1323" s="43">
        <f>IF(tblCost[[#This Row],[TargetRequirements]]=0,0,tblCost[[#This Row],[CompletedRequirements]]/tblCost[[#This Row],[TargetRequirements]])</f>
        <v>0</v>
      </c>
    </row>
    <row r="1324" spans="1:13">
      <c r="A1324" s="41" t="s">
        <v>4961</v>
      </c>
      <c r="B1324" s="41" t="str">
        <f>_xlfn.TEXTAFTER(_xlfn.TEXTBEFORE(tblCost[[#This Row],[RequirementID]],".",-2),"cost.")</f>
        <v>collection.attic@1</v>
      </c>
      <c r="C1324" s="41" t="str">
        <f>_xlfn.XLOOKUP(tblCost[[#This Row],[TargetID]],tblTargets[TargetID],tblTargets[DisplayName],"")</f>
        <v>Attic Lv 1</v>
      </c>
      <c r="D1324" s="41" t="str">
        <f>_xlfn.XLOOKUP(tblCost[[#This Row],[TargetID]],tblTargets[TargetID],tblTargets[TargetType],"")</f>
        <v>COLLECTION</v>
      </c>
      <c r="E1324" s="41" t="s">
        <v>1804</v>
      </c>
      <c r="F1324" s="62" t="str">
        <f>RIGHT(tblCost[[#This Row],[RequirementID]],1)</f>
        <v>1</v>
      </c>
      <c r="G1324" s="41">
        <v>3</v>
      </c>
      <c r="H1324" t="b">
        <f>COUNTIFS(tblCostChecklist[RequirementID],tblCost[[#This Row],[RequirementID]],tblCostChecklist[PlayerPaid],TRUE)&gt;0</f>
        <v>0</v>
      </c>
      <c r="I1324" s="41">
        <f>COUNTIF(tblCost[TargetID],tblCost[[#This Row],[TargetID]])</f>
        <v>9</v>
      </c>
      <c r="J1324" s="41">
        <f>COUNTIFS(tblCost[TargetID],tblCost[[#This Row],[TargetID]],tblCost[PlayerPaid],TRUE)</f>
        <v>0</v>
      </c>
      <c r="K1324" s="41">
        <f>tblCost[[#This Row],[TargetRequirements]]-tblCost[[#This Row],[CompletedRequirements]]</f>
        <v>9</v>
      </c>
      <c r="L1324" s="41" t="b">
        <f>tblCost[[#This Row],[RemainingRequirements]]=0</f>
        <v>0</v>
      </c>
      <c r="M1324" s="43">
        <f>IF(tblCost[[#This Row],[TargetRequirements]]=0,0,tblCost[[#This Row],[CompletedRequirements]]/tblCost[[#This Row],[TargetRequirements]])</f>
        <v>0</v>
      </c>
    </row>
    <row r="1325" spans="1:13">
      <c r="A1325" s="41" t="s">
        <v>4962</v>
      </c>
      <c r="B1325" s="41" t="str">
        <f>_xlfn.TEXTAFTER(_xlfn.TEXTBEFORE(tblCost[[#This Row],[RequirementID]],".",-2),"cost.")</f>
        <v>collection.attic@1</v>
      </c>
      <c r="C1325" s="41" t="str">
        <f>_xlfn.XLOOKUP(tblCost[[#This Row],[TargetID]],tblTargets[TargetID],tblTargets[DisplayName],"")</f>
        <v>Attic Lv 1</v>
      </c>
      <c r="D1325" s="41" t="str">
        <f>_xlfn.XLOOKUP(tblCost[[#This Row],[TargetID]],tblTargets[TargetID],tblTargets[TargetType],"")</f>
        <v>COLLECTION</v>
      </c>
      <c r="E1325" s="41" t="s">
        <v>681</v>
      </c>
      <c r="F1325" s="62" t="str">
        <f>RIGHT(tblCost[[#This Row],[RequirementID]],1)</f>
        <v>1</v>
      </c>
      <c r="G1325" s="41">
        <v>10</v>
      </c>
      <c r="H1325" t="b">
        <f>COUNTIFS(tblCostChecklist[RequirementID],tblCost[[#This Row],[RequirementID]],tblCostChecklist[PlayerPaid],TRUE)&gt;0</f>
        <v>0</v>
      </c>
      <c r="I1325" s="41">
        <f>COUNTIF(tblCost[TargetID],tblCost[[#This Row],[TargetID]])</f>
        <v>9</v>
      </c>
      <c r="J1325" s="41">
        <f>COUNTIFS(tblCost[TargetID],tblCost[[#This Row],[TargetID]],tblCost[PlayerPaid],TRUE)</f>
        <v>0</v>
      </c>
      <c r="K1325" s="41">
        <f>tblCost[[#This Row],[TargetRequirements]]-tblCost[[#This Row],[CompletedRequirements]]</f>
        <v>9</v>
      </c>
      <c r="L1325" s="41" t="b">
        <f>tblCost[[#This Row],[RemainingRequirements]]=0</f>
        <v>0</v>
      </c>
      <c r="M1325" s="43">
        <f>IF(tblCost[[#This Row],[TargetRequirements]]=0,0,tblCost[[#This Row],[CompletedRequirements]]/tblCost[[#This Row],[TargetRequirements]])</f>
        <v>0</v>
      </c>
    </row>
    <row r="1326" spans="1:13">
      <c r="A1326" s="41" t="s">
        <v>4963</v>
      </c>
      <c r="B1326" s="41" t="str">
        <f>_xlfn.TEXTAFTER(_xlfn.TEXTBEFORE(tblCost[[#This Row],[RequirementID]],".",-2),"cost.")</f>
        <v>collection.attic@1</v>
      </c>
      <c r="C1326" s="41" t="str">
        <f>_xlfn.XLOOKUP(tblCost[[#This Row],[TargetID]],tblTargets[TargetID],tblTargets[DisplayName],"")</f>
        <v>Attic Lv 1</v>
      </c>
      <c r="D1326" s="41" t="str">
        <f>_xlfn.XLOOKUP(tblCost[[#This Row],[TargetID]],tblTargets[TargetID],tblTargets[TargetType],"")</f>
        <v>COLLECTION</v>
      </c>
      <c r="E1326" s="41" t="s">
        <v>682</v>
      </c>
      <c r="F1326" s="62" t="str">
        <f>RIGHT(tblCost[[#This Row],[RequirementID]],1)</f>
        <v>1</v>
      </c>
      <c r="G1326" s="41">
        <v>3</v>
      </c>
      <c r="H1326" t="b">
        <f>COUNTIFS(tblCostChecklist[RequirementID],tblCost[[#This Row],[RequirementID]],tblCostChecklist[PlayerPaid],TRUE)&gt;0</f>
        <v>0</v>
      </c>
      <c r="I1326" s="41">
        <f>COUNTIF(tblCost[TargetID],tblCost[[#This Row],[TargetID]])</f>
        <v>9</v>
      </c>
      <c r="J1326" s="41">
        <f>COUNTIFS(tblCost[TargetID],tblCost[[#This Row],[TargetID]],tblCost[PlayerPaid],TRUE)</f>
        <v>0</v>
      </c>
      <c r="K1326" s="41">
        <f>tblCost[[#This Row],[TargetRequirements]]-tblCost[[#This Row],[CompletedRequirements]]</f>
        <v>9</v>
      </c>
      <c r="L1326" s="41" t="b">
        <f>tblCost[[#This Row],[RemainingRequirements]]=0</f>
        <v>0</v>
      </c>
      <c r="M1326" s="43">
        <f>IF(tblCost[[#This Row],[TargetRequirements]]=0,0,tblCost[[#This Row],[CompletedRequirements]]/tblCost[[#This Row],[TargetRequirements]])</f>
        <v>0</v>
      </c>
    </row>
    <row r="1327" spans="1:13">
      <c r="A1327" s="41" t="s">
        <v>4964</v>
      </c>
      <c r="B1327" s="41" t="str">
        <f>_xlfn.TEXTAFTER(_xlfn.TEXTBEFORE(tblCost[[#This Row],[RequirementID]],".",-2),"cost.")</f>
        <v>collection.attic@1</v>
      </c>
      <c r="C1327" s="41" t="str">
        <f>_xlfn.XLOOKUP(tblCost[[#This Row],[TargetID]],tblTargets[TargetID],tblTargets[DisplayName],"")</f>
        <v>Attic Lv 1</v>
      </c>
      <c r="D1327" s="41" t="str">
        <f>_xlfn.XLOOKUP(tblCost[[#This Row],[TargetID]],tblTargets[TargetID],tblTargets[TargetType],"")</f>
        <v>COLLECTION</v>
      </c>
      <c r="E1327" s="41" t="s">
        <v>694</v>
      </c>
      <c r="F1327" s="62" t="str">
        <f>RIGHT(tblCost[[#This Row],[RequirementID]],1)</f>
        <v>1</v>
      </c>
      <c r="G1327" s="41">
        <v>3</v>
      </c>
      <c r="H1327" t="b">
        <f>COUNTIFS(tblCostChecklist[RequirementID],tblCost[[#This Row],[RequirementID]],tblCostChecklist[PlayerPaid],TRUE)&gt;0</f>
        <v>0</v>
      </c>
      <c r="I1327" s="41">
        <f>COUNTIF(tblCost[TargetID],tblCost[[#This Row],[TargetID]])</f>
        <v>9</v>
      </c>
      <c r="J1327" s="41">
        <f>COUNTIFS(tblCost[TargetID],tblCost[[#This Row],[TargetID]],tblCost[PlayerPaid],TRUE)</f>
        <v>0</v>
      </c>
      <c r="K1327" s="41">
        <f>tblCost[[#This Row],[TargetRequirements]]-tblCost[[#This Row],[CompletedRequirements]]</f>
        <v>9</v>
      </c>
      <c r="L1327" s="41" t="b">
        <f>tblCost[[#This Row],[RemainingRequirements]]=0</f>
        <v>0</v>
      </c>
      <c r="M1327" s="43">
        <f>IF(tblCost[[#This Row],[TargetRequirements]]=0,0,tblCost[[#This Row],[CompletedRequirements]]/tblCost[[#This Row],[TargetRequirements]])</f>
        <v>0</v>
      </c>
    </row>
    <row r="1328" spans="1:13">
      <c r="A1328" s="41" t="s">
        <v>4965</v>
      </c>
      <c r="B1328" s="41" t="str">
        <f>_xlfn.TEXTAFTER(_xlfn.TEXTBEFORE(tblCost[[#This Row],[RequirementID]],".",-2),"cost.")</f>
        <v>collection.attic@1</v>
      </c>
      <c r="C1328" s="41" t="str">
        <f>_xlfn.XLOOKUP(tblCost[[#This Row],[TargetID]],tblTargets[TargetID],tblTargets[DisplayName],"")</f>
        <v>Attic Lv 1</v>
      </c>
      <c r="D1328" s="41" t="str">
        <f>_xlfn.XLOOKUP(tblCost[[#This Row],[TargetID]],tblTargets[TargetID],tblTargets[TargetType],"")</f>
        <v>COLLECTION</v>
      </c>
      <c r="E1328" s="41" t="s">
        <v>709</v>
      </c>
      <c r="F1328" s="62" t="str">
        <f>RIGHT(tblCost[[#This Row],[RequirementID]],1)</f>
        <v>1</v>
      </c>
      <c r="G1328" s="41">
        <v>3</v>
      </c>
      <c r="H1328" t="b">
        <f>COUNTIFS(tblCostChecklist[RequirementID],tblCost[[#This Row],[RequirementID]],tblCostChecklist[PlayerPaid],TRUE)&gt;0</f>
        <v>0</v>
      </c>
      <c r="I1328" s="41">
        <f>COUNTIF(tblCost[TargetID],tblCost[[#This Row],[TargetID]])</f>
        <v>9</v>
      </c>
      <c r="J1328" s="41">
        <f>COUNTIFS(tblCost[TargetID],tblCost[[#This Row],[TargetID]],tblCost[PlayerPaid],TRUE)</f>
        <v>0</v>
      </c>
      <c r="K1328" s="41">
        <f>tblCost[[#This Row],[TargetRequirements]]-tblCost[[#This Row],[CompletedRequirements]]</f>
        <v>9</v>
      </c>
      <c r="L1328" s="41" t="b">
        <f>tblCost[[#This Row],[RemainingRequirements]]=0</f>
        <v>0</v>
      </c>
      <c r="M1328" s="43">
        <f>IF(tblCost[[#This Row],[TargetRequirements]]=0,0,tblCost[[#This Row],[CompletedRequirements]]/tblCost[[#This Row],[TargetRequirements]])</f>
        <v>0</v>
      </c>
    </row>
    <row r="1329" spans="1:13">
      <c r="A1329" s="41" t="s">
        <v>4966</v>
      </c>
      <c r="B1329" s="41" t="str">
        <f>_xlfn.TEXTAFTER(_xlfn.TEXTBEFORE(tblCost[[#This Row],[RequirementID]],".",-2),"cost.")</f>
        <v>collection.attic@1</v>
      </c>
      <c r="C1329" s="41" t="str">
        <f>_xlfn.XLOOKUP(tblCost[[#This Row],[TargetID]],tblTargets[TargetID],tblTargets[DisplayName],"")</f>
        <v>Attic Lv 1</v>
      </c>
      <c r="D1329" s="41" t="str">
        <f>_xlfn.XLOOKUP(tblCost[[#This Row],[TargetID]],tblTargets[TargetID],tblTargets[TargetType],"")</f>
        <v>COLLECTION</v>
      </c>
      <c r="E1329" s="41" t="s">
        <v>1838</v>
      </c>
      <c r="F1329" s="62" t="str">
        <f>RIGHT(tblCost[[#This Row],[RequirementID]],1)</f>
        <v>1</v>
      </c>
      <c r="G1329" s="41">
        <v>20</v>
      </c>
      <c r="H1329" t="b">
        <f>COUNTIFS(tblCostChecklist[RequirementID],tblCost[[#This Row],[RequirementID]],tblCostChecklist[PlayerPaid],TRUE)&gt;0</f>
        <v>0</v>
      </c>
      <c r="I1329" s="41">
        <f>COUNTIF(tblCost[TargetID],tblCost[[#This Row],[TargetID]])</f>
        <v>9</v>
      </c>
      <c r="J1329" s="41">
        <f>COUNTIFS(tblCost[TargetID],tblCost[[#This Row],[TargetID]],tblCost[PlayerPaid],TRUE)</f>
        <v>0</v>
      </c>
      <c r="K1329" s="41">
        <f>tblCost[[#This Row],[TargetRequirements]]-tblCost[[#This Row],[CompletedRequirements]]</f>
        <v>9</v>
      </c>
      <c r="L1329" s="41" t="b">
        <f>tblCost[[#This Row],[RemainingRequirements]]=0</f>
        <v>0</v>
      </c>
      <c r="M1329" s="43">
        <f>IF(tblCost[[#This Row],[TargetRequirements]]=0,0,tblCost[[#This Row],[CompletedRequirements]]/tblCost[[#This Row],[TargetRequirements]])</f>
        <v>0</v>
      </c>
    </row>
    <row r="1330" spans="1:13">
      <c r="A1330" s="41" t="s">
        <v>4967</v>
      </c>
      <c r="B1330" s="41" t="str">
        <f>_xlfn.TEXTAFTER(_xlfn.TEXTBEFORE(tblCost[[#This Row],[RequirementID]],".",-2),"cost.")</f>
        <v>collection.attic@1</v>
      </c>
      <c r="C1330" s="41" t="str">
        <f>_xlfn.XLOOKUP(tblCost[[#This Row],[TargetID]],tblTargets[TargetID],tblTargets[DisplayName],"")</f>
        <v>Attic Lv 1</v>
      </c>
      <c r="D1330" s="41" t="str">
        <f>_xlfn.XLOOKUP(tblCost[[#This Row],[TargetID]],tblTargets[TargetID],tblTargets[TargetType],"")</f>
        <v>COLLECTION</v>
      </c>
      <c r="E1330" s="41" t="s">
        <v>1840</v>
      </c>
      <c r="F1330" s="62" t="str">
        <f>RIGHT(tblCost[[#This Row],[RequirementID]],1)</f>
        <v>1</v>
      </c>
      <c r="G1330" s="41">
        <v>20</v>
      </c>
      <c r="H1330" t="b">
        <f>COUNTIFS(tblCostChecklist[RequirementID],tblCost[[#This Row],[RequirementID]],tblCostChecklist[PlayerPaid],TRUE)&gt;0</f>
        <v>0</v>
      </c>
      <c r="I1330" s="41">
        <f>COUNTIF(tblCost[TargetID],tblCost[[#This Row],[TargetID]])</f>
        <v>9</v>
      </c>
      <c r="J1330" s="41">
        <f>COUNTIFS(tblCost[TargetID],tblCost[[#This Row],[TargetID]],tblCost[PlayerPaid],TRUE)</f>
        <v>0</v>
      </c>
      <c r="K1330" s="41">
        <f>tblCost[[#This Row],[TargetRequirements]]-tblCost[[#This Row],[CompletedRequirements]]</f>
        <v>9</v>
      </c>
      <c r="L1330" s="41" t="b">
        <f>tblCost[[#This Row],[RemainingRequirements]]=0</f>
        <v>0</v>
      </c>
      <c r="M1330" s="43">
        <f>IF(tblCost[[#This Row],[TargetRequirements]]=0,0,tblCost[[#This Row],[CompletedRequirements]]/tblCost[[#This Row],[TargetRequirements]])</f>
        <v>0</v>
      </c>
    </row>
    <row r="1331" spans="1:13">
      <c r="A1331" s="41" t="s">
        <v>4968</v>
      </c>
      <c r="B1331" s="41" t="str">
        <f>_xlfn.TEXTAFTER(_xlfn.TEXTBEFORE(tblCost[[#This Row],[RequirementID]],".",-2),"cost.")</f>
        <v>collection.attic@2</v>
      </c>
      <c r="C1331" s="41" t="str">
        <f>_xlfn.XLOOKUP(tblCost[[#This Row],[TargetID]],tblTargets[TargetID],tblTargets[DisplayName],"")</f>
        <v>Attic Lv 2</v>
      </c>
      <c r="D1331" s="41" t="str">
        <f>_xlfn.XLOOKUP(tblCost[[#This Row],[TargetID]],tblTargets[TargetID],tblTargets[TargetType],"")</f>
        <v>COLLECTION</v>
      </c>
      <c r="E1331" s="41" t="s">
        <v>668</v>
      </c>
      <c r="F1331" s="62" t="str">
        <f>RIGHT(tblCost[[#This Row],[RequirementID]],1)</f>
        <v>1</v>
      </c>
      <c r="G1331" s="41">
        <v>6</v>
      </c>
      <c r="H1331" t="b">
        <f>COUNTIFS(tblCostChecklist[RequirementID],tblCost[[#This Row],[RequirementID]],tblCostChecklist[PlayerPaid],TRUE)&gt;0</f>
        <v>0</v>
      </c>
      <c r="I1331" s="41">
        <f>COUNTIF(tblCost[TargetID],tblCost[[#This Row],[TargetID]])</f>
        <v>9</v>
      </c>
      <c r="J1331" s="41">
        <f>COUNTIFS(tblCost[TargetID],tblCost[[#This Row],[TargetID]],tblCost[PlayerPaid],TRUE)</f>
        <v>0</v>
      </c>
      <c r="K1331" s="41">
        <f>tblCost[[#This Row],[TargetRequirements]]-tblCost[[#This Row],[CompletedRequirements]]</f>
        <v>9</v>
      </c>
      <c r="L1331" s="41" t="b">
        <f>tblCost[[#This Row],[RemainingRequirements]]=0</f>
        <v>0</v>
      </c>
      <c r="M1331" s="43">
        <f>IF(tblCost[[#This Row],[TargetRequirements]]=0,0,tblCost[[#This Row],[CompletedRequirements]]/tblCost[[#This Row],[TargetRequirements]])</f>
        <v>0</v>
      </c>
    </row>
    <row r="1332" spans="1:13">
      <c r="A1332" s="41" t="s">
        <v>4969</v>
      </c>
      <c r="B1332" s="41" t="str">
        <f>_xlfn.TEXTAFTER(_xlfn.TEXTBEFORE(tblCost[[#This Row],[RequirementID]],".",-2),"cost.")</f>
        <v>collection.attic@2</v>
      </c>
      <c r="C1332" s="41" t="str">
        <f>_xlfn.XLOOKUP(tblCost[[#This Row],[TargetID]],tblTargets[TargetID],tblTargets[DisplayName],"")</f>
        <v>Attic Lv 2</v>
      </c>
      <c r="D1332" s="41" t="str">
        <f>_xlfn.XLOOKUP(tblCost[[#This Row],[TargetID]],tblTargets[TargetID],tblTargets[TargetType],"")</f>
        <v>COLLECTION</v>
      </c>
      <c r="E1332" s="41" t="s">
        <v>671</v>
      </c>
      <c r="F1332" s="62" t="str">
        <f>RIGHT(tblCost[[#This Row],[RequirementID]],1)</f>
        <v>1</v>
      </c>
      <c r="G1332" s="41">
        <v>40</v>
      </c>
      <c r="H1332" t="b">
        <f>COUNTIFS(tblCostChecklist[RequirementID],tblCost[[#This Row],[RequirementID]],tblCostChecklist[PlayerPaid],TRUE)&gt;0</f>
        <v>0</v>
      </c>
      <c r="I1332" s="41">
        <f>COUNTIF(tblCost[TargetID],tblCost[[#This Row],[TargetID]])</f>
        <v>9</v>
      </c>
      <c r="J1332" s="41">
        <f>COUNTIFS(tblCost[TargetID],tblCost[[#This Row],[TargetID]],tblCost[PlayerPaid],TRUE)</f>
        <v>0</v>
      </c>
      <c r="K1332" s="41">
        <f>tblCost[[#This Row],[TargetRequirements]]-tblCost[[#This Row],[CompletedRequirements]]</f>
        <v>9</v>
      </c>
      <c r="L1332" s="41" t="b">
        <f>tblCost[[#This Row],[RemainingRequirements]]=0</f>
        <v>0</v>
      </c>
      <c r="M1332" s="43">
        <f>IF(tblCost[[#This Row],[TargetRequirements]]=0,0,tblCost[[#This Row],[CompletedRequirements]]/tblCost[[#This Row],[TargetRequirements]])</f>
        <v>0</v>
      </c>
    </row>
    <row r="1333" spans="1:13">
      <c r="A1333" s="41" t="s">
        <v>4970</v>
      </c>
      <c r="B1333" s="41" t="str">
        <f>_xlfn.TEXTAFTER(_xlfn.TEXTBEFORE(tblCost[[#This Row],[RequirementID]],".",-2),"cost.")</f>
        <v>collection.attic@2</v>
      </c>
      <c r="C1333" s="41" t="str">
        <f>_xlfn.XLOOKUP(tblCost[[#This Row],[TargetID]],tblTargets[TargetID],tblTargets[DisplayName],"")</f>
        <v>Attic Lv 2</v>
      </c>
      <c r="D1333" s="41" t="str">
        <f>_xlfn.XLOOKUP(tblCost[[#This Row],[TargetID]],tblTargets[TargetID],tblTargets[TargetType],"")</f>
        <v>COLLECTION</v>
      </c>
      <c r="E1333" s="41" t="s">
        <v>1804</v>
      </c>
      <c r="F1333" s="62" t="str">
        <f>RIGHT(tblCost[[#This Row],[RequirementID]],1)</f>
        <v>1</v>
      </c>
      <c r="G1333" s="41">
        <v>6</v>
      </c>
      <c r="H1333" t="b">
        <f>COUNTIFS(tblCostChecklist[RequirementID],tblCost[[#This Row],[RequirementID]],tblCostChecklist[PlayerPaid],TRUE)&gt;0</f>
        <v>0</v>
      </c>
      <c r="I1333" s="41">
        <f>COUNTIF(tblCost[TargetID],tblCost[[#This Row],[TargetID]])</f>
        <v>9</v>
      </c>
      <c r="J1333" s="41">
        <f>COUNTIFS(tblCost[TargetID],tblCost[[#This Row],[TargetID]],tblCost[PlayerPaid],TRUE)</f>
        <v>0</v>
      </c>
      <c r="K1333" s="41">
        <f>tblCost[[#This Row],[TargetRequirements]]-tblCost[[#This Row],[CompletedRequirements]]</f>
        <v>9</v>
      </c>
      <c r="L1333" s="41" t="b">
        <f>tblCost[[#This Row],[RemainingRequirements]]=0</f>
        <v>0</v>
      </c>
      <c r="M1333" s="43">
        <f>IF(tblCost[[#This Row],[TargetRequirements]]=0,0,tblCost[[#This Row],[CompletedRequirements]]/tblCost[[#This Row],[TargetRequirements]])</f>
        <v>0</v>
      </c>
    </row>
    <row r="1334" spans="1:13">
      <c r="A1334" s="41" t="s">
        <v>4971</v>
      </c>
      <c r="B1334" s="41" t="str">
        <f>_xlfn.TEXTAFTER(_xlfn.TEXTBEFORE(tblCost[[#This Row],[RequirementID]],".",-2),"cost.")</f>
        <v>collection.attic@2</v>
      </c>
      <c r="C1334" s="41" t="str">
        <f>_xlfn.XLOOKUP(tblCost[[#This Row],[TargetID]],tblTargets[TargetID],tblTargets[DisplayName],"")</f>
        <v>Attic Lv 2</v>
      </c>
      <c r="D1334" s="41" t="str">
        <f>_xlfn.XLOOKUP(tblCost[[#This Row],[TargetID]],tblTargets[TargetID],tblTargets[TargetType],"")</f>
        <v>COLLECTION</v>
      </c>
      <c r="E1334" s="41" t="s">
        <v>681</v>
      </c>
      <c r="F1334" s="62" t="str">
        <f>RIGHT(tblCost[[#This Row],[RequirementID]],1)</f>
        <v>1</v>
      </c>
      <c r="G1334" s="41">
        <v>20</v>
      </c>
      <c r="H1334" t="b">
        <f>COUNTIFS(tblCostChecklist[RequirementID],tblCost[[#This Row],[RequirementID]],tblCostChecklist[PlayerPaid],TRUE)&gt;0</f>
        <v>0</v>
      </c>
      <c r="I1334" s="41">
        <f>COUNTIF(tblCost[TargetID],tblCost[[#This Row],[TargetID]])</f>
        <v>9</v>
      </c>
      <c r="J1334" s="41">
        <f>COUNTIFS(tblCost[TargetID],tblCost[[#This Row],[TargetID]],tblCost[PlayerPaid],TRUE)</f>
        <v>0</v>
      </c>
      <c r="K1334" s="41">
        <f>tblCost[[#This Row],[TargetRequirements]]-tblCost[[#This Row],[CompletedRequirements]]</f>
        <v>9</v>
      </c>
      <c r="L1334" s="41" t="b">
        <f>tblCost[[#This Row],[RemainingRequirements]]=0</f>
        <v>0</v>
      </c>
      <c r="M1334" s="43">
        <f>IF(tblCost[[#This Row],[TargetRequirements]]=0,0,tblCost[[#This Row],[CompletedRequirements]]/tblCost[[#This Row],[TargetRequirements]])</f>
        <v>0</v>
      </c>
    </row>
    <row r="1335" spans="1:13">
      <c r="A1335" s="41" t="s">
        <v>4972</v>
      </c>
      <c r="B1335" s="41" t="str">
        <f>_xlfn.TEXTAFTER(_xlfn.TEXTBEFORE(tblCost[[#This Row],[RequirementID]],".",-2),"cost.")</f>
        <v>collection.attic@2</v>
      </c>
      <c r="C1335" s="41" t="str">
        <f>_xlfn.XLOOKUP(tblCost[[#This Row],[TargetID]],tblTargets[TargetID],tblTargets[DisplayName],"")</f>
        <v>Attic Lv 2</v>
      </c>
      <c r="D1335" s="41" t="str">
        <f>_xlfn.XLOOKUP(tblCost[[#This Row],[TargetID]],tblTargets[TargetID],tblTargets[TargetType],"")</f>
        <v>COLLECTION</v>
      </c>
      <c r="E1335" s="41" t="s">
        <v>682</v>
      </c>
      <c r="F1335" s="62" t="str">
        <f>RIGHT(tblCost[[#This Row],[RequirementID]],1)</f>
        <v>1</v>
      </c>
      <c r="G1335" s="41">
        <v>6</v>
      </c>
      <c r="H1335" t="b">
        <f>COUNTIFS(tblCostChecklist[RequirementID],tblCost[[#This Row],[RequirementID]],tblCostChecklist[PlayerPaid],TRUE)&gt;0</f>
        <v>0</v>
      </c>
      <c r="I1335" s="41">
        <f>COUNTIF(tblCost[TargetID],tblCost[[#This Row],[TargetID]])</f>
        <v>9</v>
      </c>
      <c r="J1335" s="41">
        <f>COUNTIFS(tblCost[TargetID],tblCost[[#This Row],[TargetID]],tblCost[PlayerPaid],TRUE)</f>
        <v>0</v>
      </c>
      <c r="K1335" s="41">
        <f>tblCost[[#This Row],[TargetRequirements]]-tblCost[[#This Row],[CompletedRequirements]]</f>
        <v>9</v>
      </c>
      <c r="L1335" s="41" t="b">
        <f>tblCost[[#This Row],[RemainingRequirements]]=0</f>
        <v>0</v>
      </c>
      <c r="M1335" s="43">
        <f>IF(tblCost[[#This Row],[TargetRequirements]]=0,0,tblCost[[#This Row],[CompletedRequirements]]/tblCost[[#This Row],[TargetRequirements]])</f>
        <v>0</v>
      </c>
    </row>
    <row r="1336" spans="1:13">
      <c r="A1336" s="41" t="s">
        <v>4973</v>
      </c>
      <c r="B1336" s="41" t="str">
        <f>_xlfn.TEXTAFTER(_xlfn.TEXTBEFORE(tblCost[[#This Row],[RequirementID]],".",-2),"cost.")</f>
        <v>collection.attic@2</v>
      </c>
      <c r="C1336" s="41" t="str">
        <f>_xlfn.XLOOKUP(tblCost[[#This Row],[TargetID]],tblTargets[TargetID],tblTargets[DisplayName],"")</f>
        <v>Attic Lv 2</v>
      </c>
      <c r="D1336" s="41" t="str">
        <f>_xlfn.XLOOKUP(tblCost[[#This Row],[TargetID]],tblTargets[TargetID],tblTargets[TargetType],"")</f>
        <v>COLLECTION</v>
      </c>
      <c r="E1336" s="41" t="s">
        <v>694</v>
      </c>
      <c r="F1336" s="62" t="str">
        <f>RIGHT(tblCost[[#This Row],[RequirementID]],1)</f>
        <v>1</v>
      </c>
      <c r="G1336" s="41">
        <v>6</v>
      </c>
      <c r="H1336" t="b">
        <f>COUNTIFS(tblCostChecklist[RequirementID],tblCost[[#This Row],[RequirementID]],tblCostChecklist[PlayerPaid],TRUE)&gt;0</f>
        <v>0</v>
      </c>
      <c r="I1336" s="41">
        <f>COUNTIF(tblCost[TargetID],tblCost[[#This Row],[TargetID]])</f>
        <v>9</v>
      </c>
      <c r="J1336" s="41">
        <f>COUNTIFS(tblCost[TargetID],tblCost[[#This Row],[TargetID]],tblCost[PlayerPaid],TRUE)</f>
        <v>0</v>
      </c>
      <c r="K1336" s="41">
        <f>tblCost[[#This Row],[TargetRequirements]]-tblCost[[#This Row],[CompletedRequirements]]</f>
        <v>9</v>
      </c>
      <c r="L1336" s="41" t="b">
        <f>tblCost[[#This Row],[RemainingRequirements]]=0</f>
        <v>0</v>
      </c>
      <c r="M1336" s="43">
        <f>IF(tblCost[[#This Row],[TargetRequirements]]=0,0,tblCost[[#This Row],[CompletedRequirements]]/tblCost[[#This Row],[TargetRequirements]])</f>
        <v>0</v>
      </c>
    </row>
    <row r="1337" spans="1:13">
      <c r="A1337" s="41" t="s">
        <v>4974</v>
      </c>
      <c r="B1337" s="41" t="str">
        <f>_xlfn.TEXTAFTER(_xlfn.TEXTBEFORE(tblCost[[#This Row],[RequirementID]],".",-2),"cost.")</f>
        <v>collection.attic@2</v>
      </c>
      <c r="C1337" s="41" t="str">
        <f>_xlfn.XLOOKUP(tblCost[[#This Row],[TargetID]],tblTargets[TargetID],tblTargets[DisplayName],"")</f>
        <v>Attic Lv 2</v>
      </c>
      <c r="D1337" s="41" t="str">
        <f>_xlfn.XLOOKUP(tblCost[[#This Row],[TargetID]],tblTargets[TargetID],tblTargets[TargetType],"")</f>
        <v>COLLECTION</v>
      </c>
      <c r="E1337" s="41" t="s">
        <v>709</v>
      </c>
      <c r="F1337" s="62" t="str">
        <f>RIGHT(tblCost[[#This Row],[RequirementID]],1)</f>
        <v>1</v>
      </c>
      <c r="G1337" s="41">
        <v>6</v>
      </c>
      <c r="H1337" t="b">
        <f>COUNTIFS(tblCostChecklist[RequirementID],tblCost[[#This Row],[RequirementID]],tblCostChecklist[PlayerPaid],TRUE)&gt;0</f>
        <v>0</v>
      </c>
      <c r="I1337" s="41">
        <f>COUNTIF(tblCost[TargetID],tblCost[[#This Row],[TargetID]])</f>
        <v>9</v>
      </c>
      <c r="J1337" s="41">
        <f>COUNTIFS(tblCost[TargetID],tblCost[[#This Row],[TargetID]],tblCost[PlayerPaid],TRUE)</f>
        <v>0</v>
      </c>
      <c r="K1337" s="41">
        <f>tblCost[[#This Row],[TargetRequirements]]-tblCost[[#This Row],[CompletedRequirements]]</f>
        <v>9</v>
      </c>
      <c r="L1337" s="41" t="b">
        <f>tblCost[[#This Row],[RemainingRequirements]]=0</f>
        <v>0</v>
      </c>
      <c r="M1337" s="43">
        <f>IF(tblCost[[#This Row],[TargetRequirements]]=0,0,tblCost[[#This Row],[CompletedRequirements]]/tblCost[[#This Row],[TargetRequirements]])</f>
        <v>0</v>
      </c>
    </row>
    <row r="1338" spans="1:13">
      <c r="A1338" s="41" t="s">
        <v>4975</v>
      </c>
      <c r="B1338" s="41" t="str">
        <f>_xlfn.TEXTAFTER(_xlfn.TEXTBEFORE(tblCost[[#This Row],[RequirementID]],".",-2),"cost.")</f>
        <v>collection.attic@2</v>
      </c>
      <c r="C1338" s="41" t="str">
        <f>_xlfn.XLOOKUP(tblCost[[#This Row],[TargetID]],tblTargets[TargetID],tblTargets[DisplayName],"")</f>
        <v>Attic Lv 2</v>
      </c>
      <c r="D1338" s="41" t="str">
        <f>_xlfn.XLOOKUP(tblCost[[#This Row],[TargetID]],tblTargets[TargetID],tblTargets[TargetType],"")</f>
        <v>COLLECTION</v>
      </c>
      <c r="E1338" s="41" t="s">
        <v>1838</v>
      </c>
      <c r="F1338" s="62" t="str">
        <f>RIGHT(tblCost[[#This Row],[RequirementID]],1)</f>
        <v>1</v>
      </c>
      <c r="G1338" s="41">
        <v>40</v>
      </c>
      <c r="H1338" t="b">
        <f>COUNTIFS(tblCostChecklist[RequirementID],tblCost[[#This Row],[RequirementID]],tblCostChecklist[PlayerPaid],TRUE)&gt;0</f>
        <v>0</v>
      </c>
      <c r="I1338" s="41">
        <f>COUNTIF(tblCost[TargetID],tblCost[[#This Row],[TargetID]])</f>
        <v>9</v>
      </c>
      <c r="J1338" s="41">
        <f>COUNTIFS(tblCost[TargetID],tblCost[[#This Row],[TargetID]],tblCost[PlayerPaid],TRUE)</f>
        <v>0</v>
      </c>
      <c r="K1338" s="41">
        <f>tblCost[[#This Row],[TargetRequirements]]-tblCost[[#This Row],[CompletedRequirements]]</f>
        <v>9</v>
      </c>
      <c r="L1338" s="41" t="b">
        <f>tblCost[[#This Row],[RemainingRequirements]]=0</f>
        <v>0</v>
      </c>
      <c r="M1338" s="43">
        <f>IF(tblCost[[#This Row],[TargetRequirements]]=0,0,tblCost[[#This Row],[CompletedRequirements]]/tblCost[[#This Row],[TargetRequirements]])</f>
        <v>0</v>
      </c>
    </row>
    <row r="1339" spans="1:13">
      <c r="A1339" s="41" t="s">
        <v>4976</v>
      </c>
      <c r="B1339" s="41" t="str">
        <f>_xlfn.TEXTAFTER(_xlfn.TEXTBEFORE(tblCost[[#This Row],[RequirementID]],".",-2),"cost.")</f>
        <v>collection.attic@2</v>
      </c>
      <c r="C1339" s="41" t="str">
        <f>_xlfn.XLOOKUP(tblCost[[#This Row],[TargetID]],tblTargets[TargetID],tblTargets[DisplayName],"")</f>
        <v>Attic Lv 2</v>
      </c>
      <c r="D1339" s="41" t="str">
        <f>_xlfn.XLOOKUP(tblCost[[#This Row],[TargetID]],tblTargets[TargetID],tblTargets[TargetType],"")</f>
        <v>COLLECTION</v>
      </c>
      <c r="E1339" s="41" t="s">
        <v>1840</v>
      </c>
      <c r="F1339" s="62" t="str">
        <f>RIGHT(tblCost[[#This Row],[RequirementID]],1)</f>
        <v>1</v>
      </c>
      <c r="G1339" s="41">
        <v>40</v>
      </c>
      <c r="H1339" t="b">
        <f>COUNTIFS(tblCostChecklist[RequirementID],tblCost[[#This Row],[RequirementID]],tblCostChecklist[PlayerPaid],TRUE)&gt;0</f>
        <v>0</v>
      </c>
      <c r="I1339" s="41">
        <f>COUNTIF(tblCost[TargetID],tblCost[[#This Row],[TargetID]])</f>
        <v>9</v>
      </c>
      <c r="J1339" s="41">
        <f>COUNTIFS(tblCost[TargetID],tblCost[[#This Row],[TargetID]],tblCost[PlayerPaid],TRUE)</f>
        <v>0</v>
      </c>
      <c r="K1339" s="41">
        <f>tblCost[[#This Row],[TargetRequirements]]-tblCost[[#This Row],[CompletedRequirements]]</f>
        <v>9</v>
      </c>
      <c r="L1339" s="41" t="b">
        <f>tblCost[[#This Row],[RemainingRequirements]]=0</f>
        <v>0</v>
      </c>
      <c r="M1339" s="43">
        <f>IF(tblCost[[#This Row],[TargetRequirements]]=0,0,tblCost[[#This Row],[CompletedRequirements]]/tblCost[[#This Row],[TargetRequirements]])</f>
        <v>0</v>
      </c>
    </row>
    <row r="1340" spans="1:13">
      <c r="A1340" s="41" t="s">
        <v>4977</v>
      </c>
      <c r="B1340" s="41" t="str">
        <f>_xlfn.TEXTAFTER(_xlfn.TEXTBEFORE(tblCost[[#This Row],[RequirementID]],".",-2),"cost.")</f>
        <v>collection.attic@3</v>
      </c>
      <c r="C1340" s="41" t="str">
        <f>_xlfn.XLOOKUP(tblCost[[#This Row],[TargetID]],tblTargets[TargetID],tblTargets[DisplayName],"")</f>
        <v>Attic Lv 3</v>
      </c>
      <c r="D1340" s="41" t="str">
        <f>_xlfn.XLOOKUP(tblCost[[#This Row],[TargetID]],tblTargets[TargetID],tblTargets[TargetType],"")</f>
        <v>COLLECTION</v>
      </c>
      <c r="E1340" s="41" t="s">
        <v>668</v>
      </c>
      <c r="F1340" s="62" t="str">
        <f>RIGHT(tblCost[[#This Row],[RequirementID]],1)</f>
        <v>1</v>
      </c>
      <c r="G1340" s="41">
        <v>9</v>
      </c>
      <c r="H1340" t="b">
        <f>COUNTIFS(tblCostChecklist[RequirementID],tblCost[[#This Row],[RequirementID]],tblCostChecklist[PlayerPaid],TRUE)&gt;0</f>
        <v>0</v>
      </c>
      <c r="I1340" s="41">
        <f>COUNTIF(tblCost[TargetID],tblCost[[#This Row],[TargetID]])</f>
        <v>9</v>
      </c>
      <c r="J1340" s="41">
        <f>COUNTIFS(tblCost[TargetID],tblCost[[#This Row],[TargetID]],tblCost[PlayerPaid],TRUE)</f>
        <v>0</v>
      </c>
      <c r="K1340" s="41">
        <f>tblCost[[#This Row],[TargetRequirements]]-tblCost[[#This Row],[CompletedRequirements]]</f>
        <v>9</v>
      </c>
      <c r="L1340" s="41" t="b">
        <f>tblCost[[#This Row],[RemainingRequirements]]=0</f>
        <v>0</v>
      </c>
      <c r="M1340" s="43">
        <f>IF(tblCost[[#This Row],[TargetRequirements]]=0,0,tblCost[[#This Row],[CompletedRequirements]]/tblCost[[#This Row],[TargetRequirements]])</f>
        <v>0</v>
      </c>
    </row>
    <row r="1341" spans="1:13">
      <c r="A1341" s="41" t="s">
        <v>4978</v>
      </c>
      <c r="B1341" s="41" t="str">
        <f>_xlfn.TEXTAFTER(_xlfn.TEXTBEFORE(tblCost[[#This Row],[RequirementID]],".",-2),"cost.")</f>
        <v>collection.attic@3</v>
      </c>
      <c r="C1341" s="41" t="str">
        <f>_xlfn.XLOOKUP(tblCost[[#This Row],[TargetID]],tblTargets[TargetID],tblTargets[DisplayName],"")</f>
        <v>Attic Lv 3</v>
      </c>
      <c r="D1341" s="41" t="str">
        <f>_xlfn.XLOOKUP(tblCost[[#This Row],[TargetID]],tblTargets[TargetID],tblTargets[TargetType],"")</f>
        <v>COLLECTION</v>
      </c>
      <c r="E1341" s="41" t="s">
        <v>671</v>
      </c>
      <c r="F1341" s="62" t="str">
        <f>RIGHT(tblCost[[#This Row],[RequirementID]],1)</f>
        <v>1</v>
      </c>
      <c r="G1341" s="41">
        <v>60</v>
      </c>
      <c r="H1341" t="b">
        <f>COUNTIFS(tblCostChecklist[RequirementID],tblCost[[#This Row],[RequirementID]],tblCostChecklist[PlayerPaid],TRUE)&gt;0</f>
        <v>0</v>
      </c>
      <c r="I1341" s="41">
        <f>COUNTIF(tblCost[TargetID],tblCost[[#This Row],[TargetID]])</f>
        <v>9</v>
      </c>
      <c r="J1341" s="41">
        <f>COUNTIFS(tblCost[TargetID],tblCost[[#This Row],[TargetID]],tblCost[PlayerPaid],TRUE)</f>
        <v>0</v>
      </c>
      <c r="K1341" s="41">
        <f>tblCost[[#This Row],[TargetRequirements]]-tblCost[[#This Row],[CompletedRequirements]]</f>
        <v>9</v>
      </c>
      <c r="L1341" s="41" t="b">
        <f>tblCost[[#This Row],[RemainingRequirements]]=0</f>
        <v>0</v>
      </c>
      <c r="M1341" s="43">
        <f>IF(tblCost[[#This Row],[TargetRequirements]]=0,0,tblCost[[#This Row],[CompletedRequirements]]/tblCost[[#This Row],[TargetRequirements]])</f>
        <v>0</v>
      </c>
    </row>
    <row r="1342" spans="1:13">
      <c r="A1342" s="41" t="s">
        <v>4979</v>
      </c>
      <c r="B1342" s="41" t="str">
        <f>_xlfn.TEXTAFTER(_xlfn.TEXTBEFORE(tblCost[[#This Row],[RequirementID]],".",-2),"cost.")</f>
        <v>collection.attic@3</v>
      </c>
      <c r="C1342" s="41" t="str">
        <f>_xlfn.XLOOKUP(tblCost[[#This Row],[TargetID]],tblTargets[TargetID],tblTargets[DisplayName],"")</f>
        <v>Attic Lv 3</v>
      </c>
      <c r="D1342" s="41" t="str">
        <f>_xlfn.XLOOKUP(tblCost[[#This Row],[TargetID]],tblTargets[TargetID],tblTargets[TargetType],"")</f>
        <v>COLLECTION</v>
      </c>
      <c r="E1342" s="41" t="s">
        <v>1804</v>
      </c>
      <c r="F1342" s="62" t="str">
        <f>RIGHT(tblCost[[#This Row],[RequirementID]],1)</f>
        <v>1</v>
      </c>
      <c r="G1342" s="41">
        <v>9</v>
      </c>
      <c r="H1342" t="b">
        <f>COUNTIFS(tblCostChecklist[RequirementID],tblCost[[#This Row],[RequirementID]],tblCostChecklist[PlayerPaid],TRUE)&gt;0</f>
        <v>0</v>
      </c>
      <c r="I1342" s="41">
        <f>COUNTIF(tblCost[TargetID],tblCost[[#This Row],[TargetID]])</f>
        <v>9</v>
      </c>
      <c r="J1342" s="41">
        <f>COUNTIFS(tblCost[TargetID],tblCost[[#This Row],[TargetID]],tblCost[PlayerPaid],TRUE)</f>
        <v>0</v>
      </c>
      <c r="K1342" s="41">
        <f>tblCost[[#This Row],[TargetRequirements]]-tblCost[[#This Row],[CompletedRequirements]]</f>
        <v>9</v>
      </c>
      <c r="L1342" s="41" t="b">
        <f>tblCost[[#This Row],[RemainingRequirements]]=0</f>
        <v>0</v>
      </c>
      <c r="M1342" s="43">
        <f>IF(tblCost[[#This Row],[TargetRequirements]]=0,0,tblCost[[#This Row],[CompletedRequirements]]/tblCost[[#This Row],[TargetRequirements]])</f>
        <v>0</v>
      </c>
    </row>
    <row r="1343" spans="1:13">
      <c r="A1343" s="41" t="s">
        <v>4980</v>
      </c>
      <c r="B1343" s="41" t="str">
        <f>_xlfn.TEXTAFTER(_xlfn.TEXTBEFORE(tblCost[[#This Row],[RequirementID]],".",-2),"cost.")</f>
        <v>collection.attic@3</v>
      </c>
      <c r="C1343" s="41" t="str">
        <f>_xlfn.XLOOKUP(tblCost[[#This Row],[TargetID]],tblTargets[TargetID],tblTargets[DisplayName],"")</f>
        <v>Attic Lv 3</v>
      </c>
      <c r="D1343" s="41" t="str">
        <f>_xlfn.XLOOKUP(tblCost[[#This Row],[TargetID]],tblTargets[TargetID],tblTargets[TargetType],"")</f>
        <v>COLLECTION</v>
      </c>
      <c r="E1343" s="41" t="s">
        <v>681</v>
      </c>
      <c r="F1343" s="62" t="str">
        <f>RIGHT(tblCost[[#This Row],[RequirementID]],1)</f>
        <v>1</v>
      </c>
      <c r="G1343" s="41">
        <v>30</v>
      </c>
      <c r="H1343" t="b">
        <f>COUNTIFS(tblCostChecklist[RequirementID],tblCost[[#This Row],[RequirementID]],tblCostChecklist[PlayerPaid],TRUE)&gt;0</f>
        <v>0</v>
      </c>
      <c r="I1343" s="41">
        <f>COUNTIF(tblCost[TargetID],tblCost[[#This Row],[TargetID]])</f>
        <v>9</v>
      </c>
      <c r="J1343" s="41">
        <f>COUNTIFS(tblCost[TargetID],tblCost[[#This Row],[TargetID]],tblCost[PlayerPaid],TRUE)</f>
        <v>0</v>
      </c>
      <c r="K1343" s="41">
        <f>tblCost[[#This Row],[TargetRequirements]]-tblCost[[#This Row],[CompletedRequirements]]</f>
        <v>9</v>
      </c>
      <c r="L1343" s="41" t="b">
        <f>tblCost[[#This Row],[RemainingRequirements]]=0</f>
        <v>0</v>
      </c>
      <c r="M1343" s="43">
        <f>IF(tblCost[[#This Row],[TargetRequirements]]=0,0,tblCost[[#This Row],[CompletedRequirements]]/tblCost[[#This Row],[TargetRequirements]])</f>
        <v>0</v>
      </c>
    </row>
    <row r="1344" spans="1:13">
      <c r="A1344" s="41" t="s">
        <v>4981</v>
      </c>
      <c r="B1344" s="41" t="str">
        <f>_xlfn.TEXTAFTER(_xlfn.TEXTBEFORE(tblCost[[#This Row],[RequirementID]],".",-2),"cost.")</f>
        <v>collection.attic@3</v>
      </c>
      <c r="C1344" s="41" t="str">
        <f>_xlfn.XLOOKUP(tblCost[[#This Row],[TargetID]],tblTargets[TargetID],tblTargets[DisplayName],"")</f>
        <v>Attic Lv 3</v>
      </c>
      <c r="D1344" s="41" t="str">
        <f>_xlfn.XLOOKUP(tblCost[[#This Row],[TargetID]],tblTargets[TargetID],tblTargets[TargetType],"")</f>
        <v>COLLECTION</v>
      </c>
      <c r="E1344" s="41" t="s">
        <v>682</v>
      </c>
      <c r="F1344" s="62" t="str">
        <f>RIGHT(tblCost[[#This Row],[RequirementID]],1)</f>
        <v>1</v>
      </c>
      <c r="G1344" s="41">
        <v>9</v>
      </c>
      <c r="H1344" t="b">
        <f>COUNTIFS(tblCostChecklist[RequirementID],tblCost[[#This Row],[RequirementID]],tblCostChecklist[PlayerPaid],TRUE)&gt;0</f>
        <v>0</v>
      </c>
      <c r="I1344" s="41">
        <f>COUNTIF(tblCost[TargetID],tblCost[[#This Row],[TargetID]])</f>
        <v>9</v>
      </c>
      <c r="J1344" s="41">
        <f>COUNTIFS(tblCost[TargetID],tblCost[[#This Row],[TargetID]],tblCost[PlayerPaid],TRUE)</f>
        <v>0</v>
      </c>
      <c r="K1344" s="41">
        <f>tblCost[[#This Row],[TargetRequirements]]-tblCost[[#This Row],[CompletedRequirements]]</f>
        <v>9</v>
      </c>
      <c r="L1344" s="41" t="b">
        <f>tblCost[[#This Row],[RemainingRequirements]]=0</f>
        <v>0</v>
      </c>
      <c r="M1344" s="43">
        <f>IF(tblCost[[#This Row],[TargetRequirements]]=0,0,tblCost[[#This Row],[CompletedRequirements]]/tblCost[[#This Row],[TargetRequirements]])</f>
        <v>0</v>
      </c>
    </row>
    <row r="1345" spans="1:13">
      <c r="A1345" s="41" t="s">
        <v>4982</v>
      </c>
      <c r="B1345" s="41" t="str">
        <f>_xlfn.TEXTAFTER(_xlfn.TEXTBEFORE(tblCost[[#This Row],[RequirementID]],".",-2),"cost.")</f>
        <v>collection.attic@3</v>
      </c>
      <c r="C1345" s="41" t="str">
        <f>_xlfn.XLOOKUP(tblCost[[#This Row],[TargetID]],tblTargets[TargetID],tblTargets[DisplayName],"")</f>
        <v>Attic Lv 3</v>
      </c>
      <c r="D1345" s="41" t="str">
        <f>_xlfn.XLOOKUP(tblCost[[#This Row],[TargetID]],tblTargets[TargetID],tblTargets[TargetType],"")</f>
        <v>COLLECTION</v>
      </c>
      <c r="E1345" s="41" t="s">
        <v>694</v>
      </c>
      <c r="F1345" s="62" t="str">
        <f>RIGHT(tblCost[[#This Row],[RequirementID]],1)</f>
        <v>1</v>
      </c>
      <c r="G1345" s="41">
        <v>9</v>
      </c>
      <c r="H1345" t="b">
        <f>COUNTIFS(tblCostChecklist[RequirementID],tblCost[[#This Row],[RequirementID]],tblCostChecklist[PlayerPaid],TRUE)&gt;0</f>
        <v>0</v>
      </c>
      <c r="I1345" s="41">
        <f>COUNTIF(tblCost[TargetID],tblCost[[#This Row],[TargetID]])</f>
        <v>9</v>
      </c>
      <c r="J1345" s="41">
        <f>COUNTIFS(tblCost[TargetID],tblCost[[#This Row],[TargetID]],tblCost[PlayerPaid],TRUE)</f>
        <v>0</v>
      </c>
      <c r="K1345" s="41">
        <f>tblCost[[#This Row],[TargetRequirements]]-tblCost[[#This Row],[CompletedRequirements]]</f>
        <v>9</v>
      </c>
      <c r="L1345" s="41" t="b">
        <f>tblCost[[#This Row],[RemainingRequirements]]=0</f>
        <v>0</v>
      </c>
      <c r="M1345" s="43">
        <f>IF(tblCost[[#This Row],[TargetRequirements]]=0,0,tblCost[[#This Row],[CompletedRequirements]]/tblCost[[#This Row],[TargetRequirements]])</f>
        <v>0</v>
      </c>
    </row>
    <row r="1346" spans="1:13">
      <c r="A1346" s="41" t="s">
        <v>4983</v>
      </c>
      <c r="B1346" s="41" t="str">
        <f>_xlfn.TEXTAFTER(_xlfn.TEXTBEFORE(tblCost[[#This Row],[RequirementID]],".",-2),"cost.")</f>
        <v>collection.attic@3</v>
      </c>
      <c r="C1346" s="41" t="str">
        <f>_xlfn.XLOOKUP(tblCost[[#This Row],[TargetID]],tblTargets[TargetID],tblTargets[DisplayName],"")</f>
        <v>Attic Lv 3</v>
      </c>
      <c r="D1346" s="41" t="str">
        <f>_xlfn.XLOOKUP(tblCost[[#This Row],[TargetID]],tblTargets[TargetID],tblTargets[TargetType],"")</f>
        <v>COLLECTION</v>
      </c>
      <c r="E1346" s="41" t="s">
        <v>709</v>
      </c>
      <c r="F1346" s="62" t="str">
        <f>RIGHT(tblCost[[#This Row],[RequirementID]],1)</f>
        <v>1</v>
      </c>
      <c r="G1346" s="41">
        <v>9</v>
      </c>
      <c r="H1346" t="b">
        <f>COUNTIFS(tblCostChecklist[RequirementID],tblCost[[#This Row],[RequirementID]],tblCostChecklist[PlayerPaid],TRUE)&gt;0</f>
        <v>0</v>
      </c>
      <c r="I1346" s="41">
        <f>COUNTIF(tblCost[TargetID],tblCost[[#This Row],[TargetID]])</f>
        <v>9</v>
      </c>
      <c r="J1346" s="41">
        <f>COUNTIFS(tblCost[TargetID],tblCost[[#This Row],[TargetID]],tblCost[PlayerPaid],TRUE)</f>
        <v>0</v>
      </c>
      <c r="K1346" s="41">
        <f>tblCost[[#This Row],[TargetRequirements]]-tblCost[[#This Row],[CompletedRequirements]]</f>
        <v>9</v>
      </c>
      <c r="L1346" s="41" t="b">
        <f>tblCost[[#This Row],[RemainingRequirements]]=0</f>
        <v>0</v>
      </c>
      <c r="M1346" s="43">
        <f>IF(tblCost[[#This Row],[TargetRequirements]]=0,0,tblCost[[#This Row],[CompletedRequirements]]/tblCost[[#This Row],[TargetRequirements]])</f>
        <v>0</v>
      </c>
    </row>
    <row r="1347" spans="1:13">
      <c r="A1347" s="41" t="s">
        <v>4984</v>
      </c>
      <c r="B1347" s="41" t="str">
        <f>_xlfn.TEXTAFTER(_xlfn.TEXTBEFORE(tblCost[[#This Row],[RequirementID]],".",-2),"cost.")</f>
        <v>collection.attic@3</v>
      </c>
      <c r="C1347" s="41" t="str">
        <f>_xlfn.XLOOKUP(tblCost[[#This Row],[TargetID]],tblTargets[TargetID],tblTargets[DisplayName],"")</f>
        <v>Attic Lv 3</v>
      </c>
      <c r="D1347" s="41" t="str">
        <f>_xlfn.XLOOKUP(tblCost[[#This Row],[TargetID]],tblTargets[TargetID],tblTargets[TargetType],"")</f>
        <v>COLLECTION</v>
      </c>
      <c r="E1347" s="41" t="s">
        <v>1838</v>
      </c>
      <c r="F1347" s="62" t="str">
        <f>RIGHT(tblCost[[#This Row],[RequirementID]],1)</f>
        <v>1</v>
      </c>
      <c r="G1347" s="41">
        <v>60</v>
      </c>
      <c r="H1347" t="b">
        <f>COUNTIFS(tblCostChecklist[RequirementID],tblCost[[#This Row],[RequirementID]],tblCostChecklist[PlayerPaid],TRUE)&gt;0</f>
        <v>0</v>
      </c>
      <c r="I1347" s="41">
        <f>COUNTIF(tblCost[TargetID],tblCost[[#This Row],[TargetID]])</f>
        <v>9</v>
      </c>
      <c r="J1347" s="41">
        <f>COUNTIFS(tblCost[TargetID],tblCost[[#This Row],[TargetID]],tblCost[PlayerPaid],TRUE)</f>
        <v>0</v>
      </c>
      <c r="K1347" s="41">
        <f>tblCost[[#This Row],[TargetRequirements]]-tblCost[[#This Row],[CompletedRequirements]]</f>
        <v>9</v>
      </c>
      <c r="L1347" s="41" t="b">
        <f>tblCost[[#This Row],[RemainingRequirements]]=0</f>
        <v>0</v>
      </c>
      <c r="M1347" s="43">
        <f>IF(tblCost[[#This Row],[TargetRequirements]]=0,0,tblCost[[#This Row],[CompletedRequirements]]/tblCost[[#This Row],[TargetRequirements]])</f>
        <v>0</v>
      </c>
    </row>
    <row r="1348" spans="1:13">
      <c r="A1348" s="41" t="s">
        <v>4985</v>
      </c>
      <c r="B1348" s="41" t="str">
        <f>_xlfn.TEXTAFTER(_xlfn.TEXTBEFORE(tblCost[[#This Row],[RequirementID]],".",-2),"cost.")</f>
        <v>collection.attic@3</v>
      </c>
      <c r="C1348" s="41" t="str">
        <f>_xlfn.XLOOKUP(tblCost[[#This Row],[TargetID]],tblTargets[TargetID],tblTargets[DisplayName],"")</f>
        <v>Attic Lv 3</v>
      </c>
      <c r="D1348" s="41" t="str">
        <f>_xlfn.XLOOKUP(tblCost[[#This Row],[TargetID]],tblTargets[TargetID],tblTargets[TargetType],"")</f>
        <v>COLLECTION</v>
      </c>
      <c r="E1348" s="41" t="s">
        <v>1840</v>
      </c>
      <c r="F1348" s="62" t="str">
        <f>RIGHT(tblCost[[#This Row],[RequirementID]],1)</f>
        <v>1</v>
      </c>
      <c r="G1348" s="41">
        <v>60</v>
      </c>
      <c r="H1348" t="b">
        <f>COUNTIFS(tblCostChecklist[RequirementID],tblCost[[#This Row],[RequirementID]],tblCostChecklist[PlayerPaid],TRUE)&gt;0</f>
        <v>0</v>
      </c>
      <c r="I1348" s="41">
        <f>COUNTIF(tblCost[TargetID],tblCost[[#This Row],[TargetID]])</f>
        <v>9</v>
      </c>
      <c r="J1348" s="41">
        <f>COUNTIFS(tblCost[TargetID],tblCost[[#This Row],[TargetID]],tblCost[PlayerPaid],TRUE)</f>
        <v>0</v>
      </c>
      <c r="K1348" s="41">
        <f>tblCost[[#This Row],[TargetRequirements]]-tblCost[[#This Row],[CompletedRequirements]]</f>
        <v>9</v>
      </c>
      <c r="L1348" s="41" t="b">
        <f>tblCost[[#This Row],[RemainingRequirements]]=0</f>
        <v>0</v>
      </c>
      <c r="M1348" s="43">
        <f>IF(tblCost[[#This Row],[TargetRequirements]]=0,0,tblCost[[#This Row],[CompletedRequirements]]/tblCost[[#This Row],[TargetRequirements]])</f>
        <v>0</v>
      </c>
    </row>
    <row r="1349" spans="1:13">
      <c r="A1349" s="41" t="s">
        <v>4986</v>
      </c>
      <c r="B1349" s="41" t="str">
        <f>_xlfn.TEXTAFTER(_xlfn.TEXTBEFORE(tblCost[[#This Row],[RequirementID]],".",-2),"cost.")</f>
        <v>collection.attic@4</v>
      </c>
      <c r="C1349" s="41" t="str">
        <f>_xlfn.XLOOKUP(tblCost[[#This Row],[TargetID]],tblTargets[TargetID],tblTargets[DisplayName],"")</f>
        <v>Attic Lv 4</v>
      </c>
      <c r="D1349" s="41" t="str">
        <f>_xlfn.XLOOKUP(tblCost[[#This Row],[TargetID]],tblTargets[TargetID],tblTargets[TargetType],"")</f>
        <v>COLLECTION</v>
      </c>
      <c r="E1349" s="41" t="s">
        <v>668</v>
      </c>
      <c r="F1349" s="62" t="str">
        <f>RIGHT(tblCost[[#This Row],[RequirementID]],1)</f>
        <v>1</v>
      </c>
      <c r="G1349" s="41">
        <v>12</v>
      </c>
      <c r="H1349" t="b">
        <f>COUNTIFS(tblCostChecklist[RequirementID],tblCost[[#This Row],[RequirementID]],tblCostChecklist[PlayerPaid],TRUE)&gt;0</f>
        <v>0</v>
      </c>
      <c r="I1349" s="41">
        <f>COUNTIF(tblCost[TargetID],tblCost[[#This Row],[TargetID]])</f>
        <v>9</v>
      </c>
      <c r="J1349" s="41">
        <f>COUNTIFS(tblCost[TargetID],tblCost[[#This Row],[TargetID]],tblCost[PlayerPaid],TRUE)</f>
        <v>0</v>
      </c>
      <c r="K1349" s="41">
        <f>tblCost[[#This Row],[TargetRequirements]]-tblCost[[#This Row],[CompletedRequirements]]</f>
        <v>9</v>
      </c>
      <c r="L1349" s="41" t="b">
        <f>tblCost[[#This Row],[RemainingRequirements]]=0</f>
        <v>0</v>
      </c>
      <c r="M1349" s="43">
        <f>IF(tblCost[[#This Row],[TargetRequirements]]=0,0,tblCost[[#This Row],[CompletedRequirements]]/tblCost[[#This Row],[TargetRequirements]])</f>
        <v>0</v>
      </c>
    </row>
    <row r="1350" spans="1:13">
      <c r="A1350" s="41" t="s">
        <v>4987</v>
      </c>
      <c r="B1350" s="41" t="str">
        <f>_xlfn.TEXTAFTER(_xlfn.TEXTBEFORE(tblCost[[#This Row],[RequirementID]],".",-2),"cost.")</f>
        <v>collection.attic@4</v>
      </c>
      <c r="C1350" s="41" t="str">
        <f>_xlfn.XLOOKUP(tblCost[[#This Row],[TargetID]],tblTargets[TargetID],tblTargets[DisplayName],"")</f>
        <v>Attic Lv 4</v>
      </c>
      <c r="D1350" s="41" t="str">
        <f>_xlfn.XLOOKUP(tblCost[[#This Row],[TargetID]],tblTargets[TargetID],tblTargets[TargetType],"")</f>
        <v>COLLECTION</v>
      </c>
      <c r="E1350" s="41" t="s">
        <v>671</v>
      </c>
      <c r="F1350" s="62" t="str">
        <f>RIGHT(tblCost[[#This Row],[RequirementID]],1)</f>
        <v>1</v>
      </c>
      <c r="G1350" s="41">
        <v>80</v>
      </c>
      <c r="H1350" t="b">
        <f>COUNTIFS(tblCostChecklist[RequirementID],tblCost[[#This Row],[RequirementID]],tblCostChecklist[PlayerPaid],TRUE)&gt;0</f>
        <v>0</v>
      </c>
      <c r="I1350" s="41">
        <f>COUNTIF(tblCost[TargetID],tblCost[[#This Row],[TargetID]])</f>
        <v>9</v>
      </c>
      <c r="J1350" s="41">
        <f>COUNTIFS(tblCost[TargetID],tblCost[[#This Row],[TargetID]],tblCost[PlayerPaid],TRUE)</f>
        <v>0</v>
      </c>
      <c r="K1350" s="41">
        <f>tblCost[[#This Row],[TargetRequirements]]-tblCost[[#This Row],[CompletedRequirements]]</f>
        <v>9</v>
      </c>
      <c r="L1350" s="41" t="b">
        <f>tblCost[[#This Row],[RemainingRequirements]]=0</f>
        <v>0</v>
      </c>
      <c r="M1350" s="43">
        <f>IF(tblCost[[#This Row],[TargetRequirements]]=0,0,tblCost[[#This Row],[CompletedRequirements]]/tblCost[[#This Row],[TargetRequirements]])</f>
        <v>0</v>
      </c>
    </row>
    <row r="1351" spans="1:13">
      <c r="A1351" s="41" t="s">
        <v>4988</v>
      </c>
      <c r="B1351" s="41" t="str">
        <f>_xlfn.TEXTAFTER(_xlfn.TEXTBEFORE(tblCost[[#This Row],[RequirementID]],".",-2),"cost.")</f>
        <v>collection.attic@4</v>
      </c>
      <c r="C1351" s="41" t="str">
        <f>_xlfn.XLOOKUP(tblCost[[#This Row],[TargetID]],tblTargets[TargetID],tblTargets[DisplayName],"")</f>
        <v>Attic Lv 4</v>
      </c>
      <c r="D1351" s="41" t="str">
        <f>_xlfn.XLOOKUP(tblCost[[#This Row],[TargetID]],tblTargets[TargetID],tblTargets[TargetType],"")</f>
        <v>COLLECTION</v>
      </c>
      <c r="E1351" s="41" t="s">
        <v>1804</v>
      </c>
      <c r="F1351" s="62" t="str">
        <f>RIGHT(tblCost[[#This Row],[RequirementID]],1)</f>
        <v>1</v>
      </c>
      <c r="G1351" s="41">
        <v>12</v>
      </c>
      <c r="H1351" t="b">
        <f>COUNTIFS(tblCostChecklist[RequirementID],tblCost[[#This Row],[RequirementID]],tblCostChecklist[PlayerPaid],TRUE)&gt;0</f>
        <v>0</v>
      </c>
      <c r="I1351" s="41">
        <f>COUNTIF(tblCost[TargetID],tblCost[[#This Row],[TargetID]])</f>
        <v>9</v>
      </c>
      <c r="J1351" s="41">
        <f>COUNTIFS(tblCost[TargetID],tblCost[[#This Row],[TargetID]],tblCost[PlayerPaid],TRUE)</f>
        <v>0</v>
      </c>
      <c r="K1351" s="41">
        <f>tblCost[[#This Row],[TargetRequirements]]-tblCost[[#This Row],[CompletedRequirements]]</f>
        <v>9</v>
      </c>
      <c r="L1351" s="41" t="b">
        <f>tblCost[[#This Row],[RemainingRequirements]]=0</f>
        <v>0</v>
      </c>
      <c r="M1351" s="43">
        <f>IF(tblCost[[#This Row],[TargetRequirements]]=0,0,tblCost[[#This Row],[CompletedRequirements]]/tblCost[[#This Row],[TargetRequirements]])</f>
        <v>0</v>
      </c>
    </row>
    <row r="1352" spans="1:13">
      <c r="A1352" s="41" t="s">
        <v>4989</v>
      </c>
      <c r="B1352" s="41" t="str">
        <f>_xlfn.TEXTAFTER(_xlfn.TEXTBEFORE(tblCost[[#This Row],[RequirementID]],".",-2),"cost.")</f>
        <v>collection.attic@4</v>
      </c>
      <c r="C1352" s="41" t="str">
        <f>_xlfn.XLOOKUP(tblCost[[#This Row],[TargetID]],tblTargets[TargetID],tblTargets[DisplayName],"")</f>
        <v>Attic Lv 4</v>
      </c>
      <c r="D1352" s="41" t="str">
        <f>_xlfn.XLOOKUP(tblCost[[#This Row],[TargetID]],tblTargets[TargetID],tblTargets[TargetType],"")</f>
        <v>COLLECTION</v>
      </c>
      <c r="E1352" s="41" t="s">
        <v>681</v>
      </c>
      <c r="F1352" s="62" t="str">
        <f>RIGHT(tblCost[[#This Row],[RequirementID]],1)</f>
        <v>1</v>
      </c>
      <c r="G1352" s="41">
        <v>40</v>
      </c>
      <c r="H1352" t="b">
        <f>COUNTIFS(tblCostChecklist[RequirementID],tblCost[[#This Row],[RequirementID]],tblCostChecklist[PlayerPaid],TRUE)&gt;0</f>
        <v>0</v>
      </c>
      <c r="I1352" s="41">
        <f>COUNTIF(tblCost[TargetID],tblCost[[#This Row],[TargetID]])</f>
        <v>9</v>
      </c>
      <c r="J1352" s="41">
        <f>COUNTIFS(tblCost[TargetID],tblCost[[#This Row],[TargetID]],tblCost[PlayerPaid],TRUE)</f>
        <v>0</v>
      </c>
      <c r="K1352" s="41">
        <f>tblCost[[#This Row],[TargetRequirements]]-tblCost[[#This Row],[CompletedRequirements]]</f>
        <v>9</v>
      </c>
      <c r="L1352" s="41" t="b">
        <f>tblCost[[#This Row],[RemainingRequirements]]=0</f>
        <v>0</v>
      </c>
      <c r="M1352" s="43">
        <f>IF(tblCost[[#This Row],[TargetRequirements]]=0,0,tblCost[[#This Row],[CompletedRequirements]]/tblCost[[#This Row],[TargetRequirements]])</f>
        <v>0</v>
      </c>
    </row>
    <row r="1353" spans="1:13">
      <c r="A1353" s="41" t="s">
        <v>4990</v>
      </c>
      <c r="B1353" s="41" t="str">
        <f>_xlfn.TEXTAFTER(_xlfn.TEXTBEFORE(tblCost[[#This Row],[RequirementID]],".",-2),"cost.")</f>
        <v>collection.attic@4</v>
      </c>
      <c r="C1353" s="41" t="str">
        <f>_xlfn.XLOOKUP(tblCost[[#This Row],[TargetID]],tblTargets[TargetID],tblTargets[DisplayName],"")</f>
        <v>Attic Lv 4</v>
      </c>
      <c r="D1353" s="41" t="str">
        <f>_xlfn.XLOOKUP(tblCost[[#This Row],[TargetID]],tblTargets[TargetID],tblTargets[TargetType],"")</f>
        <v>COLLECTION</v>
      </c>
      <c r="E1353" s="41" t="s">
        <v>682</v>
      </c>
      <c r="F1353" s="62" t="str">
        <f>RIGHT(tblCost[[#This Row],[RequirementID]],1)</f>
        <v>1</v>
      </c>
      <c r="G1353" s="41">
        <v>12</v>
      </c>
      <c r="H1353" t="b">
        <f>COUNTIFS(tblCostChecklist[RequirementID],tblCost[[#This Row],[RequirementID]],tblCostChecklist[PlayerPaid],TRUE)&gt;0</f>
        <v>0</v>
      </c>
      <c r="I1353" s="41">
        <f>COUNTIF(tblCost[TargetID],tblCost[[#This Row],[TargetID]])</f>
        <v>9</v>
      </c>
      <c r="J1353" s="41">
        <f>COUNTIFS(tblCost[TargetID],tblCost[[#This Row],[TargetID]],tblCost[PlayerPaid],TRUE)</f>
        <v>0</v>
      </c>
      <c r="K1353" s="41">
        <f>tblCost[[#This Row],[TargetRequirements]]-tblCost[[#This Row],[CompletedRequirements]]</f>
        <v>9</v>
      </c>
      <c r="L1353" s="41" t="b">
        <f>tblCost[[#This Row],[RemainingRequirements]]=0</f>
        <v>0</v>
      </c>
      <c r="M1353" s="43">
        <f>IF(tblCost[[#This Row],[TargetRequirements]]=0,0,tblCost[[#This Row],[CompletedRequirements]]/tblCost[[#This Row],[TargetRequirements]])</f>
        <v>0</v>
      </c>
    </row>
    <row r="1354" spans="1:13">
      <c r="A1354" s="41" t="s">
        <v>4991</v>
      </c>
      <c r="B1354" s="41" t="str">
        <f>_xlfn.TEXTAFTER(_xlfn.TEXTBEFORE(tblCost[[#This Row],[RequirementID]],".",-2),"cost.")</f>
        <v>collection.attic@4</v>
      </c>
      <c r="C1354" s="41" t="str">
        <f>_xlfn.XLOOKUP(tblCost[[#This Row],[TargetID]],tblTargets[TargetID],tblTargets[DisplayName],"")</f>
        <v>Attic Lv 4</v>
      </c>
      <c r="D1354" s="41" t="str">
        <f>_xlfn.XLOOKUP(tblCost[[#This Row],[TargetID]],tblTargets[TargetID],tblTargets[TargetType],"")</f>
        <v>COLLECTION</v>
      </c>
      <c r="E1354" s="41" t="s">
        <v>694</v>
      </c>
      <c r="F1354" s="62" t="str">
        <f>RIGHT(tblCost[[#This Row],[RequirementID]],1)</f>
        <v>1</v>
      </c>
      <c r="G1354" s="41">
        <v>12</v>
      </c>
      <c r="H1354" t="b">
        <f>COUNTIFS(tblCostChecklist[RequirementID],tblCost[[#This Row],[RequirementID]],tblCostChecklist[PlayerPaid],TRUE)&gt;0</f>
        <v>0</v>
      </c>
      <c r="I1354" s="41">
        <f>COUNTIF(tblCost[TargetID],tblCost[[#This Row],[TargetID]])</f>
        <v>9</v>
      </c>
      <c r="J1354" s="41">
        <f>COUNTIFS(tblCost[TargetID],tblCost[[#This Row],[TargetID]],tblCost[PlayerPaid],TRUE)</f>
        <v>0</v>
      </c>
      <c r="K1354" s="41">
        <f>tblCost[[#This Row],[TargetRequirements]]-tblCost[[#This Row],[CompletedRequirements]]</f>
        <v>9</v>
      </c>
      <c r="L1354" s="41" t="b">
        <f>tblCost[[#This Row],[RemainingRequirements]]=0</f>
        <v>0</v>
      </c>
      <c r="M1354" s="43">
        <f>IF(tblCost[[#This Row],[TargetRequirements]]=0,0,tblCost[[#This Row],[CompletedRequirements]]/tblCost[[#This Row],[TargetRequirements]])</f>
        <v>0</v>
      </c>
    </row>
    <row r="1355" spans="1:13">
      <c r="A1355" s="41" t="s">
        <v>4992</v>
      </c>
      <c r="B1355" s="41" t="str">
        <f>_xlfn.TEXTAFTER(_xlfn.TEXTBEFORE(tblCost[[#This Row],[RequirementID]],".",-2),"cost.")</f>
        <v>collection.attic@4</v>
      </c>
      <c r="C1355" s="41" t="str">
        <f>_xlfn.XLOOKUP(tblCost[[#This Row],[TargetID]],tblTargets[TargetID],tblTargets[DisplayName],"")</f>
        <v>Attic Lv 4</v>
      </c>
      <c r="D1355" s="41" t="str">
        <f>_xlfn.XLOOKUP(tblCost[[#This Row],[TargetID]],tblTargets[TargetID],tblTargets[TargetType],"")</f>
        <v>COLLECTION</v>
      </c>
      <c r="E1355" s="41" t="s">
        <v>709</v>
      </c>
      <c r="F1355" s="62" t="str">
        <f>RIGHT(tblCost[[#This Row],[RequirementID]],1)</f>
        <v>1</v>
      </c>
      <c r="G1355" s="41">
        <v>12</v>
      </c>
      <c r="H1355" t="b">
        <f>COUNTIFS(tblCostChecklist[RequirementID],tblCost[[#This Row],[RequirementID]],tblCostChecklist[PlayerPaid],TRUE)&gt;0</f>
        <v>0</v>
      </c>
      <c r="I1355" s="41">
        <f>COUNTIF(tblCost[TargetID],tblCost[[#This Row],[TargetID]])</f>
        <v>9</v>
      </c>
      <c r="J1355" s="41">
        <f>COUNTIFS(tblCost[TargetID],tblCost[[#This Row],[TargetID]],tblCost[PlayerPaid],TRUE)</f>
        <v>0</v>
      </c>
      <c r="K1355" s="41">
        <f>tblCost[[#This Row],[TargetRequirements]]-tblCost[[#This Row],[CompletedRequirements]]</f>
        <v>9</v>
      </c>
      <c r="L1355" s="41" t="b">
        <f>tblCost[[#This Row],[RemainingRequirements]]=0</f>
        <v>0</v>
      </c>
      <c r="M1355" s="43">
        <f>IF(tblCost[[#This Row],[TargetRequirements]]=0,0,tblCost[[#This Row],[CompletedRequirements]]/tblCost[[#This Row],[TargetRequirements]])</f>
        <v>0</v>
      </c>
    </row>
    <row r="1356" spans="1:13">
      <c r="A1356" s="41" t="s">
        <v>4993</v>
      </c>
      <c r="B1356" s="41" t="str">
        <f>_xlfn.TEXTAFTER(_xlfn.TEXTBEFORE(tblCost[[#This Row],[RequirementID]],".",-2),"cost.")</f>
        <v>collection.attic@4</v>
      </c>
      <c r="C1356" s="41" t="str">
        <f>_xlfn.XLOOKUP(tblCost[[#This Row],[TargetID]],tblTargets[TargetID],tblTargets[DisplayName],"")</f>
        <v>Attic Lv 4</v>
      </c>
      <c r="D1356" s="41" t="str">
        <f>_xlfn.XLOOKUP(tblCost[[#This Row],[TargetID]],tblTargets[TargetID],tblTargets[TargetType],"")</f>
        <v>COLLECTION</v>
      </c>
      <c r="E1356" s="41" t="s">
        <v>1838</v>
      </c>
      <c r="F1356" s="62" t="str">
        <f>RIGHT(tblCost[[#This Row],[RequirementID]],1)</f>
        <v>1</v>
      </c>
      <c r="G1356" s="41">
        <v>80</v>
      </c>
      <c r="H1356" t="b">
        <f>COUNTIFS(tblCostChecklist[RequirementID],tblCost[[#This Row],[RequirementID]],tblCostChecklist[PlayerPaid],TRUE)&gt;0</f>
        <v>0</v>
      </c>
      <c r="I1356" s="41">
        <f>COUNTIF(tblCost[TargetID],tblCost[[#This Row],[TargetID]])</f>
        <v>9</v>
      </c>
      <c r="J1356" s="41">
        <f>COUNTIFS(tblCost[TargetID],tblCost[[#This Row],[TargetID]],tblCost[PlayerPaid],TRUE)</f>
        <v>0</v>
      </c>
      <c r="K1356" s="41">
        <f>tblCost[[#This Row],[TargetRequirements]]-tblCost[[#This Row],[CompletedRequirements]]</f>
        <v>9</v>
      </c>
      <c r="L1356" s="41" t="b">
        <f>tblCost[[#This Row],[RemainingRequirements]]=0</f>
        <v>0</v>
      </c>
      <c r="M1356" s="43">
        <f>IF(tblCost[[#This Row],[TargetRequirements]]=0,0,tblCost[[#This Row],[CompletedRequirements]]/tblCost[[#This Row],[TargetRequirements]])</f>
        <v>0</v>
      </c>
    </row>
    <row r="1357" spans="1:13">
      <c r="A1357" s="41" t="s">
        <v>4994</v>
      </c>
      <c r="B1357" s="41" t="str">
        <f>_xlfn.TEXTAFTER(_xlfn.TEXTBEFORE(tblCost[[#This Row],[RequirementID]],".",-2),"cost.")</f>
        <v>collection.attic@4</v>
      </c>
      <c r="C1357" s="41" t="str">
        <f>_xlfn.XLOOKUP(tblCost[[#This Row],[TargetID]],tblTargets[TargetID],tblTargets[DisplayName],"")</f>
        <v>Attic Lv 4</v>
      </c>
      <c r="D1357" s="41" t="str">
        <f>_xlfn.XLOOKUP(tblCost[[#This Row],[TargetID]],tblTargets[TargetID],tblTargets[TargetType],"")</f>
        <v>COLLECTION</v>
      </c>
      <c r="E1357" s="41" t="s">
        <v>1840</v>
      </c>
      <c r="F1357" s="62" t="str">
        <f>RIGHT(tblCost[[#This Row],[RequirementID]],1)</f>
        <v>1</v>
      </c>
      <c r="G1357" s="41">
        <v>80</v>
      </c>
      <c r="H1357" t="b">
        <f>COUNTIFS(tblCostChecklist[RequirementID],tblCost[[#This Row],[RequirementID]],tblCostChecklist[PlayerPaid],TRUE)&gt;0</f>
        <v>0</v>
      </c>
      <c r="I1357" s="41">
        <f>COUNTIF(tblCost[TargetID],tblCost[[#This Row],[TargetID]])</f>
        <v>9</v>
      </c>
      <c r="J1357" s="41">
        <f>COUNTIFS(tblCost[TargetID],tblCost[[#This Row],[TargetID]],tblCost[PlayerPaid],TRUE)</f>
        <v>0</v>
      </c>
      <c r="K1357" s="41">
        <f>tblCost[[#This Row],[TargetRequirements]]-tblCost[[#This Row],[CompletedRequirements]]</f>
        <v>9</v>
      </c>
      <c r="L1357" s="41" t="b">
        <f>tblCost[[#This Row],[RemainingRequirements]]=0</f>
        <v>0</v>
      </c>
      <c r="M1357" s="43">
        <f>IF(tblCost[[#This Row],[TargetRequirements]]=0,0,tblCost[[#This Row],[CompletedRequirements]]/tblCost[[#This Row],[TargetRequirements]])</f>
        <v>0</v>
      </c>
    </row>
    <row r="1358" spans="1:13">
      <c r="A1358" s="41" t="s">
        <v>4995</v>
      </c>
      <c r="B1358" s="41" t="str">
        <f>_xlfn.TEXTAFTER(_xlfn.TEXTBEFORE(tblCost[[#This Row],[RequirementID]],".",-2),"cost.")</f>
        <v>collection.attic@5</v>
      </c>
      <c r="C1358" s="41" t="str">
        <f>_xlfn.XLOOKUP(tblCost[[#This Row],[TargetID]],tblTargets[TargetID],tblTargets[DisplayName],"")</f>
        <v>Attic Lv 5</v>
      </c>
      <c r="D1358" s="41" t="str">
        <f>_xlfn.XLOOKUP(tblCost[[#This Row],[TargetID]],tblTargets[TargetID],tblTargets[TargetType],"")</f>
        <v>COLLECTION</v>
      </c>
      <c r="E1358" s="41" t="s">
        <v>668</v>
      </c>
      <c r="F1358" s="62" t="str">
        <f>RIGHT(tblCost[[#This Row],[RequirementID]],1)</f>
        <v>1</v>
      </c>
      <c r="G1358" s="41">
        <v>15</v>
      </c>
      <c r="H1358" t="b">
        <f>COUNTIFS(tblCostChecklist[RequirementID],tblCost[[#This Row],[RequirementID]],tblCostChecklist[PlayerPaid],TRUE)&gt;0</f>
        <v>0</v>
      </c>
      <c r="I1358" s="41">
        <f>COUNTIF(tblCost[TargetID],tblCost[[#This Row],[TargetID]])</f>
        <v>9</v>
      </c>
      <c r="J1358" s="41">
        <f>COUNTIFS(tblCost[TargetID],tblCost[[#This Row],[TargetID]],tblCost[PlayerPaid],TRUE)</f>
        <v>0</v>
      </c>
      <c r="K1358" s="41">
        <f>tblCost[[#This Row],[TargetRequirements]]-tblCost[[#This Row],[CompletedRequirements]]</f>
        <v>9</v>
      </c>
      <c r="L1358" s="41" t="b">
        <f>tblCost[[#This Row],[RemainingRequirements]]=0</f>
        <v>0</v>
      </c>
      <c r="M1358" s="43">
        <f>IF(tblCost[[#This Row],[TargetRequirements]]=0,0,tblCost[[#This Row],[CompletedRequirements]]/tblCost[[#This Row],[TargetRequirements]])</f>
        <v>0</v>
      </c>
    </row>
    <row r="1359" spans="1:13">
      <c r="A1359" s="41" t="s">
        <v>4996</v>
      </c>
      <c r="B1359" s="41" t="str">
        <f>_xlfn.TEXTAFTER(_xlfn.TEXTBEFORE(tblCost[[#This Row],[RequirementID]],".",-2),"cost.")</f>
        <v>collection.attic@5</v>
      </c>
      <c r="C1359" s="41" t="str">
        <f>_xlfn.XLOOKUP(tblCost[[#This Row],[TargetID]],tblTargets[TargetID],tblTargets[DisplayName],"")</f>
        <v>Attic Lv 5</v>
      </c>
      <c r="D1359" s="41" t="str">
        <f>_xlfn.XLOOKUP(tblCost[[#This Row],[TargetID]],tblTargets[TargetID],tblTargets[TargetType],"")</f>
        <v>COLLECTION</v>
      </c>
      <c r="E1359" s="41" t="s">
        <v>671</v>
      </c>
      <c r="F1359" s="62" t="str">
        <f>RIGHT(tblCost[[#This Row],[RequirementID]],1)</f>
        <v>1</v>
      </c>
      <c r="G1359" s="41">
        <v>100</v>
      </c>
      <c r="H1359" t="b">
        <f>COUNTIFS(tblCostChecklist[RequirementID],tblCost[[#This Row],[RequirementID]],tblCostChecklist[PlayerPaid],TRUE)&gt;0</f>
        <v>0</v>
      </c>
      <c r="I1359" s="41">
        <f>COUNTIF(tblCost[TargetID],tblCost[[#This Row],[TargetID]])</f>
        <v>9</v>
      </c>
      <c r="J1359" s="41">
        <f>COUNTIFS(tblCost[TargetID],tblCost[[#This Row],[TargetID]],tblCost[PlayerPaid],TRUE)</f>
        <v>0</v>
      </c>
      <c r="K1359" s="41">
        <f>tblCost[[#This Row],[TargetRequirements]]-tblCost[[#This Row],[CompletedRequirements]]</f>
        <v>9</v>
      </c>
      <c r="L1359" s="41" t="b">
        <f>tblCost[[#This Row],[RemainingRequirements]]=0</f>
        <v>0</v>
      </c>
      <c r="M1359" s="43">
        <f>IF(tblCost[[#This Row],[TargetRequirements]]=0,0,tblCost[[#This Row],[CompletedRequirements]]/tblCost[[#This Row],[TargetRequirements]])</f>
        <v>0</v>
      </c>
    </row>
    <row r="1360" spans="1:13">
      <c r="A1360" s="41" t="s">
        <v>4997</v>
      </c>
      <c r="B1360" s="41" t="str">
        <f>_xlfn.TEXTAFTER(_xlfn.TEXTBEFORE(tblCost[[#This Row],[RequirementID]],".",-2),"cost.")</f>
        <v>collection.attic@5</v>
      </c>
      <c r="C1360" s="41" t="str">
        <f>_xlfn.XLOOKUP(tblCost[[#This Row],[TargetID]],tblTargets[TargetID],tblTargets[DisplayName],"")</f>
        <v>Attic Lv 5</v>
      </c>
      <c r="D1360" s="41" t="str">
        <f>_xlfn.XLOOKUP(tblCost[[#This Row],[TargetID]],tblTargets[TargetID],tblTargets[TargetType],"")</f>
        <v>COLLECTION</v>
      </c>
      <c r="E1360" s="41" t="s">
        <v>1804</v>
      </c>
      <c r="F1360" s="62" t="str">
        <f>RIGHT(tblCost[[#This Row],[RequirementID]],1)</f>
        <v>1</v>
      </c>
      <c r="G1360" s="41">
        <v>15</v>
      </c>
      <c r="H1360" t="b">
        <f>COUNTIFS(tblCostChecklist[RequirementID],tblCost[[#This Row],[RequirementID]],tblCostChecklist[PlayerPaid],TRUE)&gt;0</f>
        <v>0</v>
      </c>
      <c r="I1360" s="41">
        <f>COUNTIF(tblCost[TargetID],tblCost[[#This Row],[TargetID]])</f>
        <v>9</v>
      </c>
      <c r="J1360" s="41">
        <f>COUNTIFS(tblCost[TargetID],tblCost[[#This Row],[TargetID]],tblCost[PlayerPaid],TRUE)</f>
        <v>0</v>
      </c>
      <c r="K1360" s="41">
        <f>tblCost[[#This Row],[TargetRequirements]]-tblCost[[#This Row],[CompletedRequirements]]</f>
        <v>9</v>
      </c>
      <c r="L1360" s="41" t="b">
        <f>tblCost[[#This Row],[RemainingRequirements]]=0</f>
        <v>0</v>
      </c>
      <c r="M1360" s="43">
        <f>IF(tblCost[[#This Row],[TargetRequirements]]=0,0,tblCost[[#This Row],[CompletedRequirements]]/tblCost[[#This Row],[TargetRequirements]])</f>
        <v>0</v>
      </c>
    </row>
    <row r="1361" spans="1:13">
      <c r="A1361" s="41" t="s">
        <v>4998</v>
      </c>
      <c r="B1361" s="41" t="str">
        <f>_xlfn.TEXTAFTER(_xlfn.TEXTBEFORE(tblCost[[#This Row],[RequirementID]],".",-2),"cost.")</f>
        <v>collection.attic@5</v>
      </c>
      <c r="C1361" s="41" t="str">
        <f>_xlfn.XLOOKUP(tblCost[[#This Row],[TargetID]],tblTargets[TargetID],tblTargets[DisplayName],"")</f>
        <v>Attic Lv 5</v>
      </c>
      <c r="D1361" s="41" t="str">
        <f>_xlfn.XLOOKUP(tblCost[[#This Row],[TargetID]],tblTargets[TargetID],tblTargets[TargetType],"")</f>
        <v>COLLECTION</v>
      </c>
      <c r="E1361" s="41" t="s">
        <v>681</v>
      </c>
      <c r="F1361" s="62" t="str">
        <f>RIGHT(tblCost[[#This Row],[RequirementID]],1)</f>
        <v>1</v>
      </c>
      <c r="G1361" s="41">
        <v>50</v>
      </c>
      <c r="H1361" t="b">
        <f>COUNTIFS(tblCostChecklist[RequirementID],tblCost[[#This Row],[RequirementID]],tblCostChecklist[PlayerPaid],TRUE)&gt;0</f>
        <v>0</v>
      </c>
      <c r="I1361" s="41">
        <f>COUNTIF(tblCost[TargetID],tblCost[[#This Row],[TargetID]])</f>
        <v>9</v>
      </c>
      <c r="J1361" s="41">
        <f>COUNTIFS(tblCost[TargetID],tblCost[[#This Row],[TargetID]],tblCost[PlayerPaid],TRUE)</f>
        <v>0</v>
      </c>
      <c r="K1361" s="41">
        <f>tblCost[[#This Row],[TargetRequirements]]-tblCost[[#This Row],[CompletedRequirements]]</f>
        <v>9</v>
      </c>
      <c r="L1361" s="41" t="b">
        <f>tblCost[[#This Row],[RemainingRequirements]]=0</f>
        <v>0</v>
      </c>
      <c r="M1361" s="43">
        <f>IF(tblCost[[#This Row],[TargetRequirements]]=0,0,tblCost[[#This Row],[CompletedRequirements]]/tblCost[[#This Row],[TargetRequirements]])</f>
        <v>0</v>
      </c>
    </row>
    <row r="1362" spans="1:13">
      <c r="A1362" s="41" t="s">
        <v>4999</v>
      </c>
      <c r="B1362" s="41" t="str">
        <f>_xlfn.TEXTAFTER(_xlfn.TEXTBEFORE(tblCost[[#This Row],[RequirementID]],".",-2),"cost.")</f>
        <v>collection.attic@5</v>
      </c>
      <c r="C1362" s="41" t="str">
        <f>_xlfn.XLOOKUP(tblCost[[#This Row],[TargetID]],tblTargets[TargetID],tblTargets[DisplayName],"")</f>
        <v>Attic Lv 5</v>
      </c>
      <c r="D1362" s="41" t="str">
        <f>_xlfn.XLOOKUP(tblCost[[#This Row],[TargetID]],tblTargets[TargetID],tblTargets[TargetType],"")</f>
        <v>COLLECTION</v>
      </c>
      <c r="E1362" s="41" t="s">
        <v>682</v>
      </c>
      <c r="F1362" s="62" t="str">
        <f>RIGHT(tblCost[[#This Row],[RequirementID]],1)</f>
        <v>1</v>
      </c>
      <c r="G1362" s="41">
        <v>15</v>
      </c>
      <c r="H1362" t="b">
        <f>COUNTIFS(tblCostChecklist[RequirementID],tblCost[[#This Row],[RequirementID]],tblCostChecklist[PlayerPaid],TRUE)&gt;0</f>
        <v>0</v>
      </c>
      <c r="I1362" s="41">
        <f>COUNTIF(tblCost[TargetID],tblCost[[#This Row],[TargetID]])</f>
        <v>9</v>
      </c>
      <c r="J1362" s="41">
        <f>COUNTIFS(tblCost[TargetID],tblCost[[#This Row],[TargetID]],tblCost[PlayerPaid],TRUE)</f>
        <v>0</v>
      </c>
      <c r="K1362" s="41">
        <f>tblCost[[#This Row],[TargetRequirements]]-tblCost[[#This Row],[CompletedRequirements]]</f>
        <v>9</v>
      </c>
      <c r="L1362" s="41" t="b">
        <f>tblCost[[#This Row],[RemainingRequirements]]=0</f>
        <v>0</v>
      </c>
      <c r="M1362" s="43">
        <f>IF(tblCost[[#This Row],[TargetRequirements]]=0,0,tblCost[[#This Row],[CompletedRequirements]]/tblCost[[#This Row],[TargetRequirements]])</f>
        <v>0</v>
      </c>
    </row>
    <row r="1363" spans="1:13">
      <c r="A1363" s="41" t="s">
        <v>5000</v>
      </c>
      <c r="B1363" s="41" t="str">
        <f>_xlfn.TEXTAFTER(_xlfn.TEXTBEFORE(tblCost[[#This Row],[RequirementID]],".",-2),"cost.")</f>
        <v>collection.attic@5</v>
      </c>
      <c r="C1363" s="41" t="str">
        <f>_xlfn.XLOOKUP(tblCost[[#This Row],[TargetID]],tblTargets[TargetID],tblTargets[DisplayName],"")</f>
        <v>Attic Lv 5</v>
      </c>
      <c r="D1363" s="41" t="str">
        <f>_xlfn.XLOOKUP(tblCost[[#This Row],[TargetID]],tblTargets[TargetID],tblTargets[TargetType],"")</f>
        <v>COLLECTION</v>
      </c>
      <c r="E1363" s="41" t="s">
        <v>694</v>
      </c>
      <c r="F1363" s="62" t="str">
        <f>RIGHT(tblCost[[#This Row],[RequirementID]],1)</f>
        <v>1</v>
      </c>
      <c r="G1363" s="41">
        <v>15</v>
      </c>
      <c r="H1363" t="b">
        <f>COUNTIFS(tblCostChecklist[RequirementID],tblCost[[#This Row],[RequirementID]],tblCostChecklist[PlayerPaid],TRUE)&gt;0</f>
        <v>0</v>
      </c>
      <c r="I1363" s="41">
        <f>COUNTIF(tblCost[TargetID],tblCost[[#This Row],[TargetID]])</f>
        <v>9</v>
      </c>
      <c r="J1363" s="41">
        <f>COUNTIFS(tblCost[TargetID],tblCost[[#This Row],[TargetID]],tblCost[PlayerPaid],TRUE)</f>
        <v>0</v>
      </c>
      <c r="K1363" s="41">
        <f>tblCost[[#This Row],[TargetRequirements]]-tblCost[[#This Row],[CompletedRequirements]]</f>
        <v>9</v>
      </c>
      <c r="L1363" s="41" t="b">
        <f>tblCost[[#This Row],[RemainingRequirements]]=0</f>
        <v>0</v>
      </c>
      <c r="M1363" s="43">
        <f>IF(tblCost[[#This Row],[TargetRequirements]]=0,0,tblCost[[#This Row],[CompletedRequirements]]/tblCost[[#This Row],[TargetRequirements]])</f>
        <v>0</v>
      </c>
    </row>
    <row r="1364" spans="1:13">
      <c r="A1364" s="41" t="s">
        <v>5001</v>
      </c>
      <c r="B1364" s="41" t="str">
        <f>_xlfn.TEXTAFTER(_xlfn.TEXTBEFORE(tblCost[[#This Row],[RequirementID]],".",-2),"cost.")</f>
        <v>collection.attic@5</v>
      </c>
      <c r="C1364" s="41" t="str">
        <f>_xlfn.XLOOKUP(tblCost[[#This Row],[TargetID]],tblTargets[TargetID],tblTargets[DisplayName],"")</f>
        <v>Attic Lv 5</v>
      </c>
      <c r="D1364" s="41" t="str">
        <f>_xlfn.XLOOKUP(tblCost[[#This Row],[TargetID]],tblTargets[TargetID],tblTargets[TargetType],"")</f>
        <v>COLLECTION</v>
      </c>
      <c r="E1364" s="41" t="s">
        <v>709</v>
      </c>
      <c r="F1364" s="62" t="str">
        <f>RIGHT(tblCost[[#This Row],[RequirementID]],1)</f>
        <v>1</v>
      </c>
      <c r="G1364" s="41">
        <v>15</v>
      </c>
      <c r="H1364" t="b">
        <f>COUNTIFS(tblCostChecklist[RequirementID],tblCost[[#This Row],[RequirementID]],tblCostChecklist[PlayerPaid],TRUE)&gt;0</f>
        <v>0</v>
      </c>
      <c r="I1364" s="41">
        <f>COUNTIF(tblCost[TargetID],tblCost[[#This Row],[TargetID]])</f>
        <v>9</v>
      </c>
      <c r="J1364" s="41">
        <f>COUNTIFS(tblCost[TargetID],tblCost[[#This Row],[TargetID]],tblCost[PlayerPaid],TRUE)</f>
        <v>0</v>
      </c>
      <c r="K1364" s="41">
        <f>tblCost[[#This Row],[TargetRequirements]]-tblCost[[#This Row],[CompletedRequirements]]</f>
        <v>9</v>
      </c>
      <c r="L1364" s="41" t="b">
        <f>tblCost[[#This Row],[RemainingRequirements]]=0</f>
        <v>0</v>
      </c>
      <c r="M1364" s="43">
        <f>IF(tblCost[[#This Row],[TargetRequirements]]=0,0,tblCost[[#This Row],[CompletedRequirements]]/tblCost[[#This Row],[TargetRequirements]])</f>
        <v>0</v>
      </c>
    </row>
    <row r="1365" spans="1:13">
      <c r="A1365" s="41" t="s">
        <v>5002</v>
      </c>
      <c r="B1365" s="41" t="str">
        <f>_xlfn.TEXTAFTER(_xlfn.TEXTBEFORE(tblCost[[#This Row],[RequirementID]],".",-2),"cost.")</f>
        <v>collection.attic@5</v>
      </c>
      <c r="C1365" s="41" t="str">
        <f>_xlfn.XLOOKUP(tblCost[[#This Row],[TargetID]],tblTargets[TargetID],tblTargets[DisplayName],"")</f>
        <v>Attic Lv 5</v>
      </c>
      <c r="D1365" s="41" t="str">
        <f>_xlfn.XLOOKUP(tblCost[[#This Row],[TargetID]],tblTargets[TargetID],tblTargets[TargetType],"")</f>
        <v>COLLECTION</v>
      </c>
      <c r="E1365" s="41" t="s">
        <v>1838</v>
      </c>
      <c r="F1365" s="62" t="str">
        <f>RIGHT(tblCost[[#This Row],[RequirementID]],1)</f>
        <v>1</v>
      </c>
      <c r="G1365" s="41">
        <v>100</v>
      </c>
      <c r="H1365" t="b">
        <f>COUNTIFS(tblCostChecklist[RequirementID],tblCost[[#This Row],[RequirementID]],tblCostChecklist[PlayerPaid],TRUE)&gt;0</f>
        <v>0</v>
      </c>
      <c r="I1365" s="41">
        <f>COUNTIF(tblCost[TargetID],tblCost[[#This Row],[TargetID]])</f>
        <v>9</v>
      </c>
      <c r="J1365" s="41">
        <f>COUNTIFS(tblCost[TargetID],tblCost[[#This Row],[TargetID]],tblCost[PlayerPaid],TRUE)</f>
        <v>0</v>
      </c>
      <c r="K1365" s="41">
        <f>tblCost[[#This Row],[TargetRequirements]]-tblCost[[#This Row],[CompletedRequirements]]</f>
        <v>9</v>
      </c>
      <c r="L1365" s="41" t="b">
        <f>tblCost[[#This Row],[RemainingRequirements]]=0</f>
        <v>0</v>
      </c>
      <c r="M1365" s="43">
        <f>IF(tblCost[[#This Row],[TargetRequirements]]=0,0,tblCost[[#This Row],[CompletedRequirements]]/tblCost[[#This Row],[TargetRequirements]])</f>
        <v>0</v>
      </c>
    </row>
    <row r="1366" spans="1:13">
      <c r="A1366" s="41" t="s">
        <v>5003</v>
      </c>
      <c r="B1366" s="41" t="str">
        <f>_xlfn.TEXTAFTER(_xlfn.TEXTBEFORE(tblCost[[#This Row],[RequirementID]],".",-2),"cost.")</f>
        <v>collection.attic@5</v>
      </c>
      <c r="C1366" s="41" t="str">
        <f>_xlfn.XLOOKUP(tblCost[[#This Row],[TargetID]],tblTargets[TargetID],tblTargets[DisplayName],"")</f>
        <v>Attic Lv 5</v>
      </c>
      <c r="D1366" s="41" t="str">
        <f>_xlfn.XLOOKUP(tblCost[[#This Row],[TargetID]],tblTargets[TargetID],tblTargets[TargetType],"")</f>
        <v>COLLECTION</v>
      </c>
      <c r="E1366" s="41" t="s">
        <v>1840</v>
      </c>
      <c r="F1366" s="62" t="str">
        <f>RIGHT(tblCost[[#This Row],[RequirementID]],1)</f>
        <v>1</v>
      </c>
      <c r="G1366" s="41">
        <v>100</v>
      </c>
      <c r="H1366" t="b">
        <f>COUNTIFS(tblCostChecklist[RequirementID],tblCost[[#This Row],[RequirementID]],tblCostChecklist[PlayerPaid],TRUE)&gt;0</f>
        <v>0</v>
      </c>
      <c r="I1366" s="41">
        <f>COUNTIF(tblCost[TargetID],tblCost[[#This Row],[TargetID]])</f>
        <v>9</v>
      </c>
      <c r="J1366" s="41">
        <f>COUNTIFS(tblCost[TargetID],tblCost[[#This Row],[TargetID]],tblCost[PlayerPaid],TRUE)</f>
        <v>0</v>
      </c>
      <c r="K1366" s="41">
        <f>tblCost[[#This Row],[TargetRequirements]]-tblCost[[#This Row],[CompletedRequirements]]</f>
        <v>9</v>
      </c>
      <c r="L1366" s="41" t="b">
        <f>tblCost[[#This Row],[RemainingRequirements]]=0</f>
        <v>0</v>
      </c>
      <c r="M1366" s="43">
        <f>IF(tblCost[[#This Row],[TargetRequirements]]=0,0,tblCost[[#This Row],[CompletedRequirements]]/tblCost[[#This Row],[TargetRequirements]])</f>
        <v>0</v>
      </c>
    </row>
    <row r="1367" spans="1:13">
      <c r="A1367" s="41" t="s">
        <v>5004</v>
      </c>
      <c r="B1367" s="41" t="str">
        <f>_xlfn.TEXTAFTER(_xlfn.TEXTBEFORE(tblCost[[#This Row],[RequirementID]],".",-2),"cost.")</f>
        <v>collection.courtyard_1@1</v>
      </c>
      <c r="C1367" s="41" t="str">
        <f>_xlfn.XLOOKUP(tblCost[[#This Row],[TargetID]],tblTargets[TargetID],tblTargets[DisplayName],"")</f>
        <v>Courtyard 1 Lv 1</v>
      </c>
      <c r="D1367" s="41" t="str">
        <f>_xlfn.XLOOKUP(tblCost[[#This Row],[TargetID]],tblTargets[TargetID],tblTargets[TargetType],"")</f>
        <v>COLLECTION</v>
      </c>
      <c r="E1367" s="41" t="s">
        <v>935</v>
      </c>
      <c r="F1367" s="62" t="str">
        <f>RIGHT(tblCost[[#This Row],[RequirementID]],1)</f>
        <v>1</v>
      </c>
      <c r="G1367" s="41">
        <v>20</v>
      </c>
      <c r="H1367" t="b">
        <f>COUNTIFS(tblCostChecklist[RequirementID],tblCost[[#This Row],[RequirementID]],tblCostChecklist[PlayerPaid],TRUE)&gt;0</f>
        <v>0</v>
      </c>
      <c r="I1367" s="41">
        <f>COUNTIF(tblCost[TargetID],tblCost[[#This Row],[TargetID]])</f>
        <v>10</v>
      </c>
      <c r="J1367" s="41">
        <f>COUNTIFS(tblCost[TargetID],tblCost[[#This Row],[TargetID]],tblCost[PlayerPaid],TRUE)</f>
        <v>0</v>
      </c>
      <c r="K1367" s="41">
        <f>tblCost[[#This Row],[TargetRequirements]]-tblCost[[#This Row],[CompletedRequirements]]</f>
        <v>10</v>
      </c>
      <c r="L1367" s="41" t="b">
        <f>tblCost[[#This Row],[RemainingRequirements]]=0</f>
        <v>0</v>
      </c>
      <c r="M1367" s="43">
        <f>IF(tblCost[[#This Row],[TargetRequirements]]=0,0,tblCost[[#This Row],[CompletedRequirements]]/tblCost[[#This Row],[TargetRequirements]])</f>
        <v>0</v>
      </c>
    </row>
    <row r="1368" spans="1:13">
      <c r="A1368" s="41" t="s">
        <v>5005</v>
      </c>
      <c r="B1368" s="41" t="str">
        <f>_xlfn.TEXTAFTER(_xlfn.TEXTBEFORE(tblCost[[#This Row],[RequirementID]],".",-2),"cost.")</f>
        <v>collection.courtyard_1@1</v>
      </c>
      <c r="C1368" s="41" t="str">
        <f>_xlfn.XLOOKUP(tblCost[[#This Row],[TargetID]],tblTargets[TargetID],tblTargets[DisplayName],"")</f>
        <v>Courtyard 1 Lv 1</v>
      </c>
      <c r="D1368" s="41" t="str">
        <f>_xlfn.XLOOKUP(tblCost[[#This Row],[TargetID]],tblTargets[TargetID],tblTargets[TargetType],"")</f>
        <v>COLLECTION</v>
      </c>
      <c r="E1368" s="41" t="s">
        <v>679</v>
      </c>
      <c r="F1368" s="62" t="str">
        <f>RIGHT(tblCost[[#This Row],[RequirementID]],1)</f>
        <v>1</v>
      </c>
      <c r="G1368" s="41">
        <v>5</v>
      </c>
      <c r="H1368" t="b">
        <f>COUNTIFS(tblCostChecklist[RequirementID],tblCost[[#This Row],[RequirementID]],tblCostChecklist[PlayerPaid],TRUE)&gt;0</f>
        <v>0</v>
      </c>
      <c r="I1368" s="41">
        <f>COUNTIF(tblCost[TargetID],tblCost[[#This Row],[TargetID]])</f>
        <v>10</v>
      </c>
      <c r="J1368" s="41">
        <f>COUNTIFS(tblCost[TargetID],tblCost[[#This Row],[TargetID]],tblCost[PlayerPaid],TRUE)</f>
        <v>0</v>
      </c>
      <c r="K1368" s="41">
        <f>tblCost[[#This Row],[TargetRequirements]]-tblCost[[#This Row],[CompletedRequirements]]</f>
        <v>10</v>
      </c>
      <c r="L1368" s="41" t="b">
        <f>tblCost[[#This Row],[RemainingRequirements]]=0</f>
        <v>0</v>
      </c>
      <c r="M1368" s="43">
        <f>IF(tblCost[[#This Row],[TargetRequirements]]=0,0,tblCost[[#This Row],[CompletedRequirements]]/tblCost[[#This Row],[TargetRequirements]])</f>
        <v>0</v>
      </c>
    </row>
    <row r="1369" spans="1:13">
      <c r="A1369" s="41" t="s">
        <v>5006</v>
      </c>
      <c r="B1369" s="41" t="str">
        <f>_xlfn.TEXTAFTER(_xlfn.TEXTBEFORE(tblCost[[#This Row],[RequirementID]],".",-2),"cost.")</f>
        <v>collection.courtyard_1@1</v>
      </c>
      <c r="C1369" s="41" t="str">
        <f>_xlfn.XLOOKUP(tblCost[[#This Row],[TargetID]],tblTargets[TargetID],tblTargets[DisplayName],"")</f>
        <v>Courtyard 1 Lv 1</v>
      </c>
      <c r="D1369" s="41" t="str">
        <f>_xlfn.XLOOKUP(tblCost[[#This Row],[TargetID]],tblTargets[TargetID],tblTargets[TargetType],"")</f>
        <v>COLLECTION</v>
      </c>
      <c r="E1369" s="41" t="s">
        <v>679</v>
      </c>
      <c r="F1369" s="62" t="str">
        <f>RIGHT(tblCost[[#This Row],[RequirementID]],1)</f>
        <v>2</v>
      </c>
      <c r="G1369" s="41">
        <v>5</v>
      </c>
      <c r="H1369" t="b">
        <f>COUNTIFS(tblCostChecklist[RequirementID],tblCost[[#This Row],[RequirementID]],tblCostChecklist[PlayerPaid],TRUE)&gt;0</f>
        <v>0</v>
      </c>
      <c r="I1369" s="41">
        <f>COUNTIF(tblCost[TargetID],tblCost[[#This Row],[TargetID]])</f>
        <v>10</v>
      </c>
      <c r="J1369" s="41">
        <f>COUNTIFS(tblCost[TargetID],tblCost[[#This Row],[TargetID]],tblCost[PlayerPaid],TRUE)</f>
        <v>0</v>
      </c>
      <c r="K1369" s="41">
        <f>tblCost[[#This Row],[TargetRequirements]]-tblCost[[#This Row],[CompletedRequirements]]</f>
        <v>10</v>
      </c>
      <c r="L1369" s="41" t="b">
        <f>tblCost[[#This Row],[RemainingRequirements]]=0</f>
        <v>0</v>
      </c>
      <c r="M1369" s="43">
        <f>IF(tblCost[[#This Row],[TargetRequirements]]=0,0,tblCost[[#This Row],[CompletedRequirements]]/tblCost[[#This Row],[TargetRequirements]])</f>
        <v>0</v>
      </c>
    </row>
    <row r="1370" spans="1:13">
      <c r="A1370" s="41" t="s">
        <v>5007</v>
      </c>
      <c r="B1370" s="41" t="str">
        <f>_xlfn.TEXTAFTER(_xlfn.TEXTBEFORE(tblCost[[#This Row],[RequirementID]],".",-2),"cost.")</f>
        <v>collection.courtyard_1@1</v>
      </c>
      <c r="C1370" s="41" t="str">
        <f>_xlfn.XLOOKUP(tblCost[[#This Row],[TargetID]],tblTargets[TargetID],tblTargets[DisplayName],"")</f>
        <v>Courtyard 1 Lv 1</v>
      </c>
      <c r="D1370" s="41" t="str">
        <f>_xlfn.XLOOKUP(tblCost[[#This Row],[TargetID]],tblTargets[TargetID],tblTargets[TargetType],"")</f>
        <v>COLLECTION</v>
      </c>
      <c r="E1370" s="41" t="s">
        <v>679</v>
      </c>
      <c r="F1370" s="62" t="str">
        <f>RIGHT(tblCost[[#This Row],[RequirementID]],1)</f>
        <v>3</v>
      </c>
      <c r="G1370" s="41">
        <v>5</v>
      </c>
      <c r="H1370" t="b">
        <f>COUNTIFS(tblCostChecklist[RequirementID],tblCost[[#This Row],[RequirementID]],tblCostChecklist[PlayerPaid],TRUE)&gt;0</f>
        <v>0</v>
      </c>
      <c r="I1370" s="41">
        <f>COUNTIF(tblCost[TargetID],tblCost[[#This Row],[TargetID]])</f>
        <v>10</v>
      </c>
      <c r="J1370" s="41">
        <f>COUNTIFS(tblCost[TargetID],tblCost[[#This Row],[TargetID]],tblCost[PlayerPaid],TRUE)</f>
        <v>0</v>
      </c>
      <c r="K1370" s="41">
        <f>tblCost[[#This Row],[TargetRequirements]]-tblCost[[#This Row],[CompletedRequirements]]</f>
        <v>10</v>
      </c>
      <c r="L1370" s="41" t="b">
        <f>tblCost[[#This Row],[RemainingRequirements]]=0</f>
        <v>0</v>
      </c>
      <c r="M1370" s="43">
        <f>IF(tblCost[[#This Row],[TargetRequirements]]=0,0,tblCost[[#This Row],[CompletedRequirements]]/tblCost[[#This Row],[TargetRequirements]])</f>
        <v>0</v>
      </c>
    </row>
    <row r="1371" spans="1:13">
      <c r="A1371" s="41" t="s">
        <v>5008</v>
      </c>
      <c r="B1371" s="41" t="str">
        <f>_xlfn.TEXTAFTER(_xlfn.TEXTBEFORE(tblCost[[#This Row],[RequirementID]],".",-2),"cost.")</f>
        <v>collection.courtyard_1@1</v>
      </c>
      <c r="C1371" s="41" t="str">
        <f>_xlfn.XLOOKUP(tblCost[[#This Row],[TargetID]],tblTargets[TargetID],tblTargets[DisplayName],"")</f>
        <v>Courtyard 1 Lv 1</v>
      </c>
      <c r="D1371" s="41" t="str">
        <f>_xlfn.XLOOKUP(tblCost[[#This Row],[TargetID]],tblTargets[TargetID],tblTargets[TargetType],"")</f>
        <v>COLLECTION</v>
      </c>
      <c r="E1371" s="41" t="s">
        <v>938</v>
      </c>
      <c r="F1371" s="62" t="str">
        <f>RIGHT(tblCost[[#This Row],[RequirementID]],1)</f>
        <v>1</v>
      </c>
      <c r="G1371" s="41">
        <v>15</v>
      </c>
      <c r="H1371" t="b">
        <f>COUNTIFS(tblCostChecklist[RequirementID],tblCost[[#This Row],[RequirementID]],tblCostChecklist[PlayerPaid],TRUE)&gt;0</f>
        <v>0</v>
      </c>
      <c r="I1371" s="41">
        <f>COUNTIF(tblCost[TargetID],tblCost[[#This Row],[TargetID]])</f>
        <v>10</v>
      </c>
      <c r="J1371" s="41">
        <f>COUNTIFS(tblCost[TargetID],tblCost[[#This Row],[TargetID]],tblCost[PlayerPaid],TRUE)</f>
        <v>0</v>
      </c>
      <c r="K1371" s="41">
        <f>tblCost[[#This Row],[TargetRequirements]]-tblCost[[#This Row],[CompletedRequirements]]</f>
        <v>10</v>
      </c>
      <c r="L1371" s="41" t="b">
        <f>tblCost[[#This Row],[RemainingRequirements]]=0</f>
        <v>0</v>
      </c>
      <c r="M1371" s="43">
        <f>IF(tblCost[[#This Row],[TargetRequirements]]=0,0,tblCost[[#This Row],[CompletedRequirements]]/tblCost[[#This Row],[TargetRequirements]])</f>
        <v>0</v>
      </c>
    </row>
    <row r="1372" spans="1:13">
      <c r="A1372" s="41" t="s">
        <v>5009</v>
      </c>
      <c r="B1372" s="41" t="str">
        <f>_xlfn.TEXTAFTER(_xlfn.TEXTBEFORE(tblCost[[#This Row],[RequirementID]],".",-2),"cost.")</f>
        <v>collection.courtyard_1@1</v>
      </c>
      <c r="C1372" s="41" t="str">
        <f>_xlfn.XLOOKUP(tblCost[[#This Row],[TargetID]],tblTargets[TargetID],tblTargets[DisplayName],"")</f>
        <v>Courtyard 1 Lv 1</v>
      </c>
      <c r="D1372" s="41" t="str">
        <f>_xlfn.XLOOKUP(tblCost[[#This Row],[TargetID]],tblTargets[TargetID],tblTargets[TargetType],"")</f>
        <v>COLLECTION</v>
      </c>
      <c r="E1372" s="41" t="s">
        <v>1830</v>
      </c>
      <c r="F1372" s="62" t="str">
        <f>RIGHT(tblCost[[#This Row],[RequirementID]],1)</f>
        <v>1</v>
      </c>
      <c r="G1372" s="41">
        <v>10</v>
      </c>
      <c r="H1372" t="b">
        <f>COUNTIFS(tblCostChecklist[RequirementID],tblCost[[#This Row],[RequirementID]],tblCostChecklist[PlayerPaid],TRUE)&gt;0</f>
        <v>0</v>
      </c>
      <c r="I1372" s="41">
        <f>COUNTIF(tblCost[TargetID],tblCost[[#This Row],[TargetID]])</f>
        <v>10</v>
      </c>
      <c r="J1372" s="41">
        <f>COUNTIFS(tblCost[TargetID],tblCost[[#This Row],[TargetID]],tblCost[PlayerPaid],TRUE)</f>
        <v>0</v>
      </c>
      <c r="K1372" s="41">
        <f>tblCost[[#This Row],[TargetRequirements]]-tblCost[[#This Row],[CompletedRequirements]]</f>
        <v>10</v>
      </c>
      <c r="L1372" s="41" t="b">
        <f>tblCost[[#This Row],[RemainingRequirements]]=0</f>
        <v>0</v>
      </c>
      <c r="M1372" s="43">
        <f>IF(tblCost[[#This Row],[TargetRequirements]]=0,0,tblCost[[#This Row],[CompletedRequirements]]/tblCost[[#This Row],[TargetRequirements]])</f>
        <v>0</v>
      </c>
    </row>
    <row r="1373" spans="1:13">
      <c r="A1373" s="41" t="s">
        <v>5010</v>
      </c>
      <c r="B1373" s="41" t="str">
        <f>_xlfn.TEXTAFTER(_xlfn.TEXTBEFORE(tblCost[[#This Row],[RequirementID]],".",-2),"cost.")</f>
        <v>collection.courtyard_1@1</v>
      </c>
      <c r="C1373" s="41" t="str">
        <f>_xlfn.XLOOKUP(tblCost[[#This Row],[TargetID]],tblTargets[TargetID],tblTargets[DisplayName],"")</f>
        <v>Courtyard 1 Lv 1</v>
      </c>
      <c r="D1373" s="41" t="str">
        <f>_xlfn.XLOOKUP(tblCost[[#This Row],[TargetID]],tblTargets[TargetID],tblTargets[TargetType],"")</f>
        <v>COLLECTION</v>
      </c>
      <c r="E1373" s="41" t="s">
        <v>951</v>
      </c>
      <c r="F1373" s="62" t="str">
        <f>RIGHT(tblCost[[#This Row],[RequirementID]],1)</f>
        <v>1</v>
      </c>
      <c r="G1373" s="41">
        <v>5</v>
      </c>
      <c r="H1373" t="b">
        <f>COUNTIFS(tblCostChecklist[RequirementID],tblCost[[#This Row],[RequirementID]],tblCostChecklist[PlayerPaid],TRUE)&gt;0</f>
        <v>0</v>
      </c>
      <c r="I1373" s="41">
        <f>COUNTIF(tblCost[TargetID],tblCost[[#This Row],[TargetID]])</f>
        <v>10</v>
      </c>
      <c r="J1373" s="41">
        <f>COUNTIFS(tblCost[TargetID],tblCost[[#This Row],[TargetID]],tblCost[PlayerPaid],TRUE)</f>
        <v>0</v>
      </c>
      <c r="K1373" s="41">
        <f>tblCost[[#This Row],[TargetRequirements]]-tblCost[[#This Row],[CompletedRequirements]]</f>
        <v>10</v>
      </c>
      <c r="L1373" s="41" t="b">
        <f>tblCost[[#This Row],[RemainingRequirements]]=0</f>
        <v>0</v>
      </c>
      <c r="M1373" s="43">
        <f>IF(tblCost[[#This Row],[TargetRequirements]]=0,0,tblCost[[#This Row],[CompletedRequirements]]/tblCost[[#This Row],[TargetRequirements]])</f>
        <v>0</v>
      </c>
    </row>
    <row r="1374" spans="1:13">
      <c r="A1374" s="41" t="s">
        <v>5011</v>
      </c>
      <c r="B1374" s="41" t="str">
        <f>_xlfn.TEXTAFTER(_xlfn.TEXTBEFORE(tblCost[[#This Row],[RequirementID]],".",-2),"cost.")</f>
        <v>collection.courtyard_1@1</v>
      </c>
      <c r="C1374" s="41" t="str">
        <f>_xlfn.XLOOKUP(tblCost[[#This Row],[TargetID]],tblTargets[TargetID],tblTargets[DisplayName],"")</f>
        <v>Courtyard 1 Lv 1</v>
      </c>
      <c r="D1374" s="41" t="str">
        <f>_xlfn.XLOOKUP(tblCost[[#This Row],[TargetID]],tblTargets[TargetID],tblTargets[TargetType],"")</f>
        <v>COLLECTION</v>
      </c>
      <c r="E1374" s="41" t="s">
        <v>951</v>
      </c>
      <c r="F1374" s="62" t="str">
        <f>RIGHT(tblCost[[#This Row],[RequirementID]],1)</f>
        <v>2</v>
      </c>
      <c r="G1374" s="41">
        <v>5</v>
      </c>
      <c r="H1374" t="b">
        <f>COUNTIFS(tblCostChecklist[RequirementID],tblCost[[#This Row],[RequirementID]],tblCostChecklist[PlayerPaid],TRUE)&gt;0</f>
        <v>0</v>
      </c>
      <c r="I1374" s="41">
        <f>COUNTIF(tblCost[TargetID],tblCost[[#This Row],[TargetID]])</f>
        <v>10</v>
      </c>
      <c r="J1374" s="41">
        <f>COUNTIFS(tblCost[TargetID],tblCost[[#This Row],[TargetID]],tblCost[PlayerPaid],TRUE)</f>
        <v>0</v>
      </c>
      <c r="K1374" s="41">
        <f>tblCost[[#This Row],[TargetRequirements]]-tblCost[[#This Row],[CompletedRequirements]]</f>
        <v>10</v>
      </c>
      <c r="L1374" s="41" t="b">
        <f>tblCost[[#This Row],[RemainingRequirements]]=0</f>
        <v>0</v>
      </c>
      <c r="M1374" s="43">
        <f>IF(tblCost[[#This Row],[TargetRequirements]]=0,0,tblCost[[#This Row],[CompletedRequirements]]/tblCost[[#This Row],[TargetRequirements]])</f>
        <v>0</v>
      </c>
    </row>
    <row r="1375" spans="1:13">
      <c r="A1375" s="41" t="s">
        <v>5012</v>
      </c>
      <c r="B1375" s="41" t="str">
        <f>_xlfn.TEXTAFTER(_xlfn.TEXTBEFORE(tblCost[[#This Row],[RequirementID]],".",-2),"cost.")</f>
        <v>collection.courtyard_1@1</v>
      </c>
      <c r="C1375" s="41" t="str">
        <f>_xlfn.XLOOKUP(tblCost[[#This Row],[TargetID]],tblTargets[TargetID],tblTargets[DisplayName],"")</f>
        <v>Courtyard 1 Lv 1</v>
      </c>
      <c r="D1375" s="41" t="str">
        <f>_xlfn.XLOOKUP(tblCost[[#This Row],[TargetID]],tblTargets[TargetID],tblTargets[TargetType],"")</f>
        <v>COLLECTION</v>
      </c>
      <c r="E1375" s="41" t="s">
        <v>951</v>
      </c>
      <c r="F1375" s="62" t="str">
        <f>RIGHT(tblCost[[#This Row],[RequirementID]],1)</f>
        <v>3</v>
      </c>
      <c r="G1375" s="41">
        <v>5</v>
      </c>
      <c r="H1375" t="b">
        <f>COUNTIFS(tblCostChecklist[RequirementID],tblCost[[#This Row],[RequirementID]],tblCostChecklist[PlayerPaid],TRUE)&gt;0</f>
        <v>0</v>
      </c>
      <c r="I1375" s="41">
        <f>COUNTIF(tblCost[TargetID],tblCost[[#This Row],[TargetID]])</f>
        <v>10</v>
      </c>
      <c r="J1375" s="41">
        <f>COUNTIFS(tblCost[TargetID],tblCost[[#This Row],[TargetID]],tblCost[PlayerPaid],TRUE)</f>
        <v>0</v>
      </c>
      <c r="K1375" s="41">
        <f>tblCost[[#This Row],[TargetRequirements]]-tblCost[[#This Row],[CompletedRequirements]]</f>
        <v>10</v>
      </c>
      <c r="L1375" s="41" t="b">
        <f>tblCost[[#This Row],[RemainingRequirements]]=0</f>
        <v>0</v>
      </c>
      <c r="M1375" s="43">
        <f>IF(tblCost[[#This Row],[TargetRequirements]]=0,0,tblCost[[#This Row],[CompletedRequirements]]/tblCost[[#This Row],[TargetRequirements]])</f>
        <v>0</v>
      </c>
    </row>
    <row r="1376" spans="1:13">
      <c r="A1376" s="41" t="s">
        <v>5013</v>
      </c>
      <c r="B1376" s="41" t="str">
        <f>_xlfn.TEXTAFTER(_xlfn.TEXTBEFORE(tblCost[[#This Row],[RequirementID]],".",-2),"cost.")</f>
        <v>collection.courtyard_1@1</v>
      </c>
      <c r="C1376" s="41" t="str">
        <f>_xlfn.XLOOKUP(tblCost[[#This Row],[TargetID]],tblTargets[TargetID],tblTargets[DisplayName],"")</f>
        <v>Courtyard 1 Lv 1</v>
      </c>
      <c r="D1376" s="41" t="str">
        <f>_xlfn.XLOOKUP(tblCost[[#This Row],[TargetID]],tblTargets[TargetID],tblTargets[TargetType],"")</f>
        <v>COLLECTION</v>
      </c>
      <c r="E1376" s="41" t="s">
        <v>723</v>
      </c>
      <c r="F1376" s="62" t="str">
        <f>RIGHT(tblCost[[#This Row],[RequirementID]],1)</f>
        <v>1</v>
      </c>
      <c r="G1376" s="41">
        <v>50</v>
      </c>
      <c r="H1376" t="b">
        <f>COUNTIFS(tblCostChecklist[RequirementID],tblCost[[#This Row],[RequirementID]],tblCostChecklist[PlayerPaid],TRUE)&gt;0</f>
        <v>0</v>
      </c>
      <c r="I1376" s="41">
        <f>COUNTIF(tblCost[TargetID],tblCost[[#This Row],[TargetID]])</f>
        <v>10</v>
      </c>
      <c r="J1376" s="41">
        <f>COUNTIFS(tblCost[TargetID],tblCost[[#This Row],[TargetID]],tblCost[PlayerPaid],TRUE)</f>
        <v>0</v>
      </c>
      <c r="K1376" s="41">
        <f>tblCost[[#This Row],[TargetRequirements]]-tblCost[[#This Row],[CompletedRequirements]]</f>
        <v>10</v>
      </c>
      <c r="L1376" s="41" t="b">
        <f>tblCost[[#This Row],[RemainingRequirements]]=0</f>
        <v>0</v>
      </c>
      <c r="M1376" s="43">
        <f>IF(tblCost[[#This Row],[TargetRequirements]]=0,0,tblCost[[#This Row],[CompletedRequirements]]/tblCost[[#This Row],[TargetRequirements]])</f>
        <v>0</v>
      </c>
    </row>
    <row r="1377" spans="1:13">
      <c r="A1377" s="41" t="s">
        <v>5014</v>
      </c>
      <c r="B1377" s="41" t="str">
        <f>_xlfn.TEXTAFTER(_xlfn.TEXTBEFORE(tblCost[[#This Row],[RequirementID]],".",-2),"cost.")</f>
        <v>collection.courtyard_1@2</v>
      </c>
      <c r="C1377" s="41" t="str">
        <f>_xlfn.XLOOKUP(tblCost[[#This Row],[TargetID]],tblTargets[TargetID],tblTargets[DisplayName],"")</f>
        <v>Courtyard 1 Lv 2</v>
      </c>
      <c r="D1377" s="41" t="str">
        <f>_xlfn.XLOOKUP(tblCost[[#This Row],[TargetID]],tblTargets[TargetID],tblTargets[TargetType],"")</f>
        <v>COLLECTION</v>
      </c>
      <c r="E1377" s="41" t="s">
        <v>935</v>
      </c>
      <c r="F1377" s="62" t="str">
        <f>RIGHT(tblCost[[#This Row],[RequirementID]],1)</f>
        <v>1</v>
      </c>
      <c r="G1377" s="41">
        <v>40</v>
      </c>
      <c r="H1377" t="b">
        <f>COUNTIFS(tblCostChecklist[RequirementID],tblCost[[#This Row],[RequirementID]],tblCostChecklist[PlayerPaid],TRUE)&gt;0</f>
        <v>0</v>
      </c>
      <c r="I1377" s="41">
        <f>COUNTIF(tblCost[TargetID],tblCost[[#This Row],[TargetID]])</f>
        <v>10</v>
      </c>
      <c r="J1377" s="41">
        <f>COUNTIFS(tblCost[TargetID],tblCost[[#This Row],[TargetID]],tblCost[PlayerPaid],TRUE)</f>
        <v>0</v>
      </c>
      <c r="K1377" s="41">
        <f>tblCost[[#This Row],[TargetRequirements]]-tblCost[[#This Row],[CompletedRequirements]]</f>
        <v>10</v>
      </c>
      <c r="L1377" s="41" t="b">
        <f>tblCost[[#This Row],[RemainingRequirements]]=0</f>
        <v>0</v>
      </c>
      <c r="M1377" s="43">
        <f>IF(tblCost[[#This Row],[TargetRequirements]]=0,0,tblCost[[#This Row],[CompletedRequirements]]/tblCost[[#This Row],[TargetRequirements]])</f>
        <v>0</v>
      </c>
    </row>
    <row r="1378" spans="1:13">
      <c r="A1378" s="41" t="s">
        <v>5015</v>
      </c>
      <c r="B1378" s="41" t="str">
        <f>_xlfn.TEXTAFTER(_xlfn.TEXTBEFORE(tblCost[[#This Row],[RequirementID]],".",-2),"cost.")</f>
        <v>collection.courtyard_1@2</v>
      </c>
      <c r="C1378" s="41" t="str">
        <f>_xlfn.XLOOKUP(tblCost[[#This Row],[TargetID]],tblTargets[TargetID],tblTargets[DisplayName],"")</f>
        <v>Courtyard 1 Lv 2</v>
      </c>
      <c r="D1378" s="41" t="str">
        <f>_xlfn.XLOOKUP(tblCost[[#This Row],[TargetID]],tblTargets[TargetID],tblTargets[TargetType],"")</f>
        <v>COLLECTION</v>
      </c>
      <c r="E1378" s="41" t="s">
        <v>679</v>
      </c>
      <c r="F1378" s="62" t="str">
        <f>RIGHT(tblCost[[#This Row],[RequirementID]],1)</f>
        <v>1</v>
      </c>
      <c r="G1378" s="41">
        <v>10</v>
      </c>
      <c r="H1378" t="b">
        <f>COUNTIFS(tblCostChecklist[RequirementID],tblCost[[#This Row],[RequirementID]],tblCostChecklist[PlayerPaid],TRUE)&gt;0</f>
        <v>0</v>
      </c>
      <c r="I1378" s="41">
        <f>COUNTIF(tblCost[TargetID],tblCost[[#This Row],[TargetID]])</f>
        <v>10</v>
      </c>
      <c r="J1378" s="41">
        <f>COUNTIFS(tblCost[TargetID],tblCost[[#This Row],[TargetID]],tblCost[PlayerPaid],TRUE)</f>
        <v>0</v>
      </c>
      <c r="K1378" s="41">
        <f>tblCost[[#This Row],[TargetRequirements]]-tblCost[[#This Row],[CompletedRequirements]]</f>
        <v>10</v>
      </c>
      <c r="L1378" s="41" t="b">
        <f>tblCost[[#This Row],[RemainingRequirements]]=0</f>
        <v>0</v>
      </c>
      <c r="M1378" s="43">
        <f>IF(tblCost[[#This Row],[TargetRequirements]]=0,0,tblCost[[#This Row],[CompletedRequirements]]/tblCost[[#This Row],[TargetRequirements]])</f>
        <v>0</v>
      </c>
    </row>
    <row r="1379" spans="1:13">
      <c r="A1379" s="41" t="s">
        <v>5016</v>
      </c>
      <c r="B1379" s="41" t="str">
        <f>_xlfn.TEXTAFTER(_xlfn.TEXTBEFORE(tblCost[[#This Row],[RequirementID]],".",-2),"cost.")</f>
        <v>collection.courtyard_1@2</v>
      </c>
      <c r="C1379" s="41" t="str">
        <f>_xlfn.XLOOKUP(tblCost[[#This Row],[TargetID]],tblTargets[TargetID],tblTargets[DisplayName],"")</f>
        <v>Courtyard 1 Lv 2</v>
      </c>
      <c r="D1379" s="41" t="str">
        <f>_xlfn.XLOOKUP(tblCost[[#This Row],[TargetID]],tblTargets[TargetID],tblTargets[TargetType],"")</f>
        <v>COLLECTION</v>
      </c>
      <c r="E1379" s="41" t="s">
        <v>679</v>
      </c>
      <c r="F1379" s="62" t="str">
        <f>RIGHT(tblCost[[#This Row],[RequirementID]],1)</f>
        <v>2</v>
      </c>
      <c r="G1379" s="41">
        <v>10</v>
      </c>
      <c r="H1379" t="b">
        <f>COUNTIFS(tblCostChecklist[RequirementID],tblCost[[#This Row],[RequirementID]],tblCostChecklist[PlayerPaid],TRUE)&gt;0</f>
        <v>0</v>
      </c>
      <c r="I1379" s="41">
        <f>COUNTIF(tblCost[TargetID],tblCost[[#This Row],[TargetID]])</f>
        <v>10</v>
      </c>
      <c r="J1379" s="41">
        <f>COUNTIFS(tblCost[TargetID],tblCost[[#This Row],[TargetID]],tblCost[PlayerPaid],TRUE)</f>
        <v>0</v>
      </c>
      <c r="K1379" s="41">
        <f>tblCost[[#This Row],[TargetRequirements]]-tblCost[[#This Row],[CompletedRequirements]]</f>
        <v>10</v>
      </c>
      <c r="L1379" s="41" t="b">
        <f>tblCost[[#This Row],[RemainingRequirements]]=0</f>
        <v>0</v>
      </c>
      <c r="M1379" s="43">
        <f>IF(tblCost[[#This Row],[TargetRequirements]]=0,0,tblCost[[#This Row],[CompletedRequirements]]/tblCost[[#This Row],[TargetRequirements]])</f>
        <v>0</v>
      </c>
    </row>
    <row r="1380" spans="1:13">
      <c r="A1380" s="41" t="s">
        <v>5017</v>
      </c>
      <c r="B1380" s="41" t="str">
        <f>_xlfn.TEXTAFTER(_xlfn.TEXTBEFORE(tblCost[[#This Row],[RequirementID]],".",-2),"cost.")</f>
        <v>collection.courtyard_1@2</v>
      </c>
      <c r="C1380" s="41" t="str">
        <f>_xlfn.XLOOKUP(tblCost[[#This Row],[TargetID]],tblTargets[TargetID],tblTargets[DisplayName],"")</f>
        <v>Courtyard 1 Lv 2</v>
      </c>
      <c r="D1380" s="41" t="str">
        <f>_xlfn.XLOOKUP(tblCost[[#This Row],[TargetID]],tblTargets[TargetID],tblTargets[TargetType],"")</f>
        <v>COLLECTION</v>
      </c>
      <c r="E1380" s="41" t="s">
        <v>679</v>
      </c>
      <c r="F1380" s="62" t="str">
        <f>RIGHT(tblCost[[#This Row],[RequirementID]],1)</f>
        <v>3</v>
      </c>
      <c r="G1380" s="41">
        <v>10</v>
      </c>
      <c r="H1380" t="b">
        <f>COUNTIFS(tblCostChecklist[RequirementID],tblCost[[#This Row],[RequirementID]],tblCostChecklist[PlayerPaid],TRUE)&gt;0</f>
        <v>0</v>
      </c>
      <c r="I1380" s="41">
        <f>COUNTIF(tblCost[TargetID],tblCost[[#This Row],[TargetID]])</f>
        <v>10</v>
      </c>
      <c r="J1380" s="41">
        <f>COUNTIFS(tblCost[TargetID],tblCost[[#This Row],[TargetID]],tblCost[PlayerPaid],TRUE)</f>
        <v>0</v>
      </c>
      <c r="K1380" s="41">
        <f>tblCost[[#This Row],[TargetRequirements]]-tblCost[[#This Row],[CompletedRequirements]]</f>
        <v>10</v>
      </c>
      <c r="L1380" s="41" t="b">
        <f>tblCost[[#This Row],[RemainingRequirements]]=0</f>
        <v>0</v>
      </c>
      <c r="M1380" s="43">
        <f>IF(tblCost[[#This Row],[TargetRequirements]]=0,0,tblCost[[#This Row],[CompletedRequirements]]/tblCost[[#This Row],[TargetRequirements]])</f>
        <v>0</v>
      </c>
    </row>
    <row r="1381" spans="1:13">
      <c r="A1381" s="41" t="s">
        <v>5018</v>
      </c>
      <c r="B1381" s="41" t="str">
        <f>_xlfn.TEXTAFTER(_xlfn.TEXTBEFORE(tblCost[[#This Row],[RequirementID]],".",-2),"cost.")</f>
        <v>collection.courtyard_1@2</v>
      </c>
      <c r="C1381" s="41" t="str">
        <f>_xlfn.XLOOKUP(tblCost[[#This Row],[TargetID]],tblTargets[TargetID],tblTargets[DisplayName],"")</f>
        <v>Courtyard 1 Lv 2</v>
      </c>
      <c r="D1381" s="41" t="str">
        <f>_xlfn.XLOOKUP(tblCost[[#This Row],[TargetID]],tblTargets[TargetID],tblTargets[TargetType],"")</f>
        <v>COLLECTION</v>
      </c>
      <c r="E1381" s="41" t="s">
        <v>938</v>
      </c>
      <c r="F1381" s="62" t="str">
        <f>RIGHT(tblCost[[#This Row],[RequirementID]],1)</f>
        <v>1</v>
      </c>
      <c r="G1381" s="41">
        <v>30</v>
      </c>
      <c r="H1381" t="b">
        <f>COUNTIFS(tblCostChecklist[RequirementID],tblCost[[#This Row],[RequirementID]],tblCostChecklist[PlayerPaid],TRUE)&gt;0</f>
        <v>0</v>
      </c>
      <c r="I1381" s="41">
        <f>COUNTIF(tblCost[TargetID],tblCost[[#This Row],[TargetID]])</f>
        <v>10</v>
      </c>
      <c r="J1381" s="41">
        <f>COUNTIFS(tblCost[TargetID],tblCost[[#This Row],[TargetID]],tblCost[PlayerPaid],TRUE)</f>
        <v>0</v>
      </c>
      <c r="K1381" s="41">
        <f>tblCost[[#This Row],[TargetRequirements]]-tblCost[[#This Row],[CompletedRequirements]]</f>
        <v>10</v>
      </c>
      <c r="L1381" s="41" t="b">
        <f>tblCost[[#This Row],[RemainingRequirements]]=0</f>
        <v>0</v>
      </c>
      <c r="M1381" s="43">
        <f>IF(tblCost[[#This Row],[TargetRequirements]]=0,0,tblCost[[#This Row],[CompletedRequirements]]/tblCost[[#This Row],[TargetRequirements]])</f>
        <v>0</v>
      </c>
    </row>
    <row r="1382" spans="1:13">
      <c r="A1382" s="41" t="s">
        <v>5019</v>
      </c>
      <c r="B1382" s="41" t="str">
        <f>_xlfn.TEXTAFTER(_xlfn.TEXTBEFORE(tblCost[[#This Row],[RequirementID]],".",-2),"cost.")</f>
        <v>collection.courtyard_1@2</v>
      </c>
      <c r="C1382" s="41" t="str">
        <f>_xlfn.XLOOKUP(tblCost[[#This Row],[TargetID]],tblTargets[TargetID],tblTargets[DisplayName],"")</f>
        <v>Courtyard 1 Lv 2</v>
      </c>
      <c r="D1382" s="41" t="str">
        <f>_xlfn.XLOOKUP(tblCost[[#This Row],[TargetID]],tblTargets[TargetID],tblTargets[TargetType],"")</f>
        <v>COLLECTION</v>
      </c>
      <c r="E1382" s="41" t="s">
        <v>1830</v>
      </c>
      <c r="F1382" s="62" t="str">
        <f>RIGHT(tblCost[[#This Row],[RequirementID]],1)</f>
        <v>1</v>
      </c>
      <c r="G1382" s="41">
        <v>20</v>
      </c>
      <c r="H1382" t="b">
        <f>COUNTIFS(tblCostChecklist[RequirementID],tblCost[[#This Row],[RequirementID]],tblCostChecklist[PlayerPaid],TRUE)&gt;0</f>
        <v>0</v>
      </c>
      <c r="I1382" s="41">
        <f>COUNTIF(tblCost[TargetID],tblCost[[#This Row],[TargetID]])</f>
        <v>10</v>
      </c>
      <c r="J1382" s="41">
        <f>COUNTIFS(tblCost[TargetID],tblCost[[#This Row],[TargetID]],tblCost[PlayerPaid],TRUE)</f>
        <v>0</v>
      </c>
      <c r="K1382" s="41">
        <f>tblCost[[#This Row],[TargetRequirements]]-tblCost[[#This Row],[CompletedRequirements]]</f>
        <v>10</v>
      </c>
      <c r="L1382" s="41" t="b">
        <f>tblCost[[#This Row],[RemainingRequirements]]=0</f>
        <v>0</v>
      </c>
      <c r="M1382" s="43">
        <f>IF(tblCost[[#This Row],[TargetRequirements]]=0,0,tblCost[[#This Row],[CompletedRequirements]]/tblCost[[#This Row],[TargetRequirements]])</f>
        <v>0</v>
      </c>
    </row>
    <row r="1383" spans="1:13">
      <c r="A1383" s="41" t="s">
        <v>5020</v>
      </c>
      <c r="B1383" s="41" t="str">
        <f>_xlfn.TEXTAFTER(_xlfn.TEXTBEFORE(tblCost[[#This Row],[RequirementID]],".",-2),"cost.")</f>
        <v>collection.courtyard_1@2</v>
      </c>
      <c r="C1383" s="41" t="str">
        <f>_xlfn.XLOOKUP(tblCost[[#This Row],[TargetID]],tblTargets[TargetID],tblTargets[DisplayName],"")</f>
        <v>Courtyard 1 Lv 2</v>
      </c>
      <c r="D1383" s="41" t="str">
        <f>_xlfn.XLOOKUP(tblCost[[#This Row],[TargetID]],tblTargets[TargetID],tblTargets[TargetType],"")</f>
        <v>COLLECTION</v>
      </c>
      <c r="E1383" s="41" t="s">
        <v>951</v>
      </c>
      <c r="F1383" s="62" t="str">
        <f>RIGHT(tblCost[[#This Row],[RequirementID]],1)</f>
        <v>1</v>
      </c>
      <c r="G1383" s="41">
        <v>10</v>
      </c>
      <c r="H1383" t="b">
        <f>COUNTIFS(tblCostChecklist[RequirementID],tblCost[[#This Row],[RequirementID]],tblCostChecklist[PlayerPaid],TRUE)&gt;0</f>
        <v>0</v>
      </c>
      <c r="I1383" s="41">
        <f>COUNTIF(tblCost[TargetID],tblCost[[#This Row],[TargetID]])</f>
        <v>10</v>
      </c>
      <c r="J1383" s="41">
        <f>COUNTIFS(tblCost[TargetID],tblCost[[#This Row],[TargetID]],tblCost[PlayerPaid],TRUE)</f>
        <v>0</v>
      </c>
      <c r="K1383" s="41">
        <f>tblCost[[#This Row],[TargetRequirements]]-tblCost[[#This Row],[CompletedRequirements]]</f>
        <v>10</v>
      </c>
      <c r="L1383" s="41" t="b">
        <f>tblCost[[#This Row],[RemainingRequirements]]=0</f>
        <v>0</v>
      </c>
      <c r="M1383" s="43">
        <f>IF(tblCost[[#This Row],[TargetRequirements]]=0,0,tblCost[[#This Row],[CompletedRequirements]]/tblCost[[#This Row],[TargetRequirements]])</f>
        <v>0</v>
      </c>
    </row>
    <row r="1384" spans="1:13">
      <c r="A1384" s="41" t="s">
        <v>5021</v>
      </c>
      <c r="B1384" s="41" t="str">
        <f>_xlfn.TEXTAFTER(_xlfn.TEXTBEFORE(tblCost[[#This Row],[RequirementID]],".",-2),"cost.")</f>
        <v>collection.courtyard_1@2</v>
      </c>
      <c r="C1384" s="41" t="str">
        <f>_xlfn.XLOOKUP(tblCost[[#This Row],[TargetID]],tblTargets[TargetID],tblTargets[DisplayName],"")</f>
        <v>Courtyard 1 Lv 2</v>
      </c>
      <c r="D1384" s="41" t="str">
        <f>_xlfn.XLOOKUP(tblCost[[#This Row],[TargetID]],tblTargets[TargetID],tblTargets[TargetType],"")</f>
        <v>COLLECTION</v>
      </c>
      <c r="E1384" s="41" t="s">
        <v>951</v>
      </c>
      <c r="F1384" s="62" t="str">
        <f>RIGHT(tblCost[[#This Row],[RequirementID]],1)</f>
        <v>2</v>
      </c>
      <c r="G1384" s="41">
        <v>10</v>
      </c>
      <c r="H1384" t="b">
        <f>COUNTIFS(tblCostChecklist[RequirementID],tblCost[[#This Row],[RequirementID]],tblCostChecklist[PlayerPaid],TRUE)&gt;0</f>
        <v>0</v>
      </c>
      <c r="I1384" s="41">
        <f>COUNTIF(tblCost[TargetID],tblCost[[#This Row],[TargetID]])</f>
        <v>10</v>
      </c>
      <c r="J1384" s="41">
        <f>COUNTIFS(tblCost[TargetID],tblCost[[#This Row],[TargetID]],tblCost[PlayerPaid],TRUE)</f>
        <v>0</v>
      </c>
      <c r="K1384" s="41">
        <f>tblCost[[#This Row],[TargetRequirements]]-tblCost[[#This Row],[CompletedRequirements]]</f>
        <v>10</v>
      </c>
      <c r="L1384" s="41" t="b">
        <f>tblCost[[#This Row],[RemainingRequirements]]=0</f>
        <v>0</v>
      </c>
      <c r="M1384" s="43">
        <f>IF(tblCost[[#This Row],[TargetRequirements]]=0,0,tblCost[[#This Row],[CompletedRequirements]]/tblCost[[#This Row],[TargetRequirements]])</f>
        <v>0</v>
      </c>
    </row>
    <row r="1385" spans="1:13">
      <c r="A1385" s="41" t="s">
        <v>5022</v>
      </c>
      <c r="B1385" s="41" t="str">
        <f>_xlfn.TEXTAFTER(_xlfn.TEXTBEFORE(tblCost[[#This Row],[RequirementID]],".",-2),"cost.")</f>
        <v>collection.courtyard_1@2</v>
      </c>
      <c r="C1385" s="41" t="str">
        <f>_xlfn.XLOOKUP(tblCost[[#This Row],[TargetID]],tblTargets[TargetID],tblTargets[DisplayName],"")</f>
        <v>Courtyard 1 Lv 2</v>
      </c>
      <c r="D1385" s="41" t="str">
        <f>_xlfn.XLOOKUP(tblCost[[#This Row],[TargetID]],tblTargets[TargetID],tblTargets[TargetType],"")</f>
        <v>COLLECTION</v>
      </c>
      <c r="E1385" s="41" t="s">
        <v>951</v>
      </c>
      <c r="F1385" s="62" t="str">
        <f>RIGHT(tblCost[[#This Row],[RequirementID]],1)</f>
        <v>3</v>
      </c>
      <c r="G1385" s="41">
        <v>10</v>
      </c>
      <c r="H1385" t="b">
        <f>COUNTIFS(tblCostChecklist[RequirementID],tblCost[[#This Row],[RequirementID]],tblCostChecklist[PlayerPaid],TRUE)&gt;0</f>
        <v>0</v>
      </c>
      <c r="I1385" s="41">
        <f>COUNTIF(tblCost[TargetID],tblCost[[#This Row],[TargetID]])</f>
        <v>10</v>
      </c>
      <c r="J1385" s="41">
        <f>COUNTIFS(tblCost[TargetID],tblCost[[#This Row],[TargetID]],tblCost[PlayerPaid],TRUE)</f>
        <v>0</v>
      </c>
      <c r="K1385" s="41">
        <f>tblCost[[#This Row],[TargetRequirements]]-tblCost[[#This Row],[CompletedRequirements]]</f>
        <v>10</v>
      </c>
      <c r="L1385" s="41" t="b">
        <f>tblCost[[#This Row],[RemainingRequirements]]=0</f>
        <v>0</v>
      </c>
      <c r="M1385" s="43">
        <f>IF(tblCost[[#This Row],[TargetRequirements]]=0,0,tblCost[[#This Row],[CompletedRequirements]]/tblCost[[#This Row],[TargetRequirements]])</f>
        <v>0</v>
      </c>
    </row>
    <row r="1386" spans="1:13">
      <c r="A1386" s="41" t="s">
        <v>5023</v>
      </c>
      <c r="B1386" s="41" t="str">
        <f>_xlfn.TEXTAFTER(_xlfn.TEXTBEFORE(tblCost[[#This Row],[RequirementID]],".",-2),"cost.")</f>
        <v>collection.courtyard_1@2</v>
      </c>
      <c r="C1386" s="41" t="str">
        <f>_xlfn.XLOOKUP(tblCost[[#This Row],[TargetID]],tblTargets[TargetID],tblTargets[DisplayName],"")</f>
        <v>Courtyard 1 Lv 2</v>
      </c>
      <c r="D1386" s="41" t="str">
        <f>_xlfn.XLOOKUP(tblCost[[#This Row],[TargetID]],tblTargets[TargetID],tblTargets[TargetType],"")</f>
        <v>COLLECTION</v>
      </c>
      <c r="E1386" s="41" t="s">
        <v>723</v>
      </c>
      <c r="F1386" s="62" t="str">
        <f>RIGHT(tblCost[[#This Row],[RequirementID]],1)</f>
        <v>1</v>
      </c>
      <c r="G1386" s="41">
        <v>100</v>
      </c>
      <c r="H1386" t="b">
        <f>COUNTIFS(tblCostChecklist[RequirementID],tblCost[[#This Row],[RequirementID]],tblCostChecklist[PlayerPaid],TRUE)&gt;0</f>
        <v>0</v>
      </c>
      <c r="I1386" s="41">
        <f>COUNTIF(tblCost[TargetID],tblCost[[#This Row],[TargetID]])</f>
        <v>10</v>
      </c>
      <c r="J1386" s="41">
        <f>COUNTIFS(tblCost[TargetID],tblCost[[#This Row],[TargetID]],tblCost[PlayerPaid],TRUE)</f>
        <v>0</v>
      </c>
      <c r="K1386" s="41">
        <f>tblCost[[#This Row],[TargetRequirements]]-tblCost[[#This Row],[CompletedRequirements]]</f>
        <v>10</v>
      </c>
      <c r="L1386" s="41" t="b">
        <f>tblCost[[#This Row],[RemainingRequirements]]=0</f>
        <v>0</v>
      </c>
      <c r="M1386" s="43">
        <f>IF(tblCost[[#This Row],[TargetRequirements]]=0,0,tblCost[[#This Row],[CompletedRequirements]]/tblCost[[#This Row],[TargetRequirements]])</f>
        <v>0</v>
      </c>
    </row>
    <row r="1387" spans="1:13">
      <c r="A1387" s="41" t="s">
        <v>5024</v>
      </c>
      <c r="B1387" s="41" t="str">
        <f>_xlfn.TEXTAFTER(_xlfn.TEXTBEFORE(tblCost[[#This Row],[RequirementID]],".",-2),"cost.")</f>
        <v>collection.courtyard_2@1</v>
      </c>
      <c r="C1387" s="41" t="str">
        <f>_xlfn.XLOOKUP(tblCost[[#This Row],[TargetID]],tblTargets[TargetID],tblTargets[DisplayName],"")</f>
        <v>Courtyard 2 Lv 1</v>
      </c>
      <c r="D1387" s="41" t="str">
        <f>_xlfn.XLOOKUP(tblCost[[#This Row],[TargetID]],tblTargets[TargetID],tblTargets[TargetType],"")</f>
        <v>COLLECTION</v>
      </c>
      <c r="E1387" s="41" t="s">
        <v>657</v>
      </c>
      <c r="F1387" s="62" t="str">
        <f>RIGHT(tblCost[[#This Row],[RequirementID]],1)</f>
        <v>1</v>
      </c>
      <c r="G1387" s="41">
        <v>15</v>
      </c>
      <c r="H1387" t="b">
        <f>COUNTIFS(tblCostChecklist[RequirementID],tblCost[[#This Row],[RequirementID]],tblCostChecklist[PlayerPaid],TRUE)&gt;0</f>
        <v>0</v>
      </c>
      <c r="I1387" s="41">
        <f>COUNTIF(tblCost[TargetID],tblCost[[#This Row],[TargetID]])</f>
        <v>3</v>
      </c>
      <c r="J1387" s="41">
        <f>COUNTIFS(tblCost[TargetID],tblCost[[#This Row],[TargetID]],tblCost[PlayerPaid],TRUE)</f>
        <v>0</v>
      </c>
      <c r="K1387" s="41">
        <f>tblCost[[#This Row],[TargetRequirements]]-tblCost[[#This Row],[CompletedRequirements]]</f>
        <v>3</v>
      </c>
      <c r="L1387" s="41" t="b">
        <f>tblCost[[#This Row],[RemainingRequirements]]=0</f>
        <v>0</v>
      </c>
      <c r="M1387" s="43">
        <f>IF(tblCost[[#This Row],[TargetRequirements]]=0,0,tblCost[[#This Row],[CompletedRequirements]]/tblCost[[#This Row],[TargetRequirements]])</f>
        <v>0</v>
      </c>
    </row>
    <row r="1388" spans="1:13">
      <c r="A1388" s="41" t="s">
        <v>5025</v>
      </c>
      <c r="B1388" s="41" t="str">
        <f>_xlfn.TEXTAFTER(_xlfn.TEXTBEFORE(tblCost[[#This Row],[RequirementID]],".",-2),"cost.")</f>
        <v>collection.courtyard_2@1</v>
      </c>
      <c r="C1388" s="41" t="str">
        <f>_xlfn.XLOOKUP(tblCost[[#This Row],[TargetID]],tblTargets[TargetID],tblTargets[DisplayName],"")</f>
        <v>Courtyard 2 Lv 1</v>
      </c>
      <c r="D1388" s="41" t="str">
        <f>_xlfn.XLOOKUP(tblCost[[#This Row],[TargetID]],tblTargets[TargetID],tblTargets[TargetType],"")</f>
        <v>COLLECTION</v>
      </c>
      <c r="E1388" s="41" t="s">
        <v>657</v>
      </c>
      <c r="F1388" s="62" t="str">
        <f>RIGHT(tblCost[[#This Row],[RequirementID]],1)</f>
        <v>2</v>
      </c>
      <c r="G1388" s="41">
        <v>15</v>
      </c>
      <c r="H1388" t="b">
        <f>COUNTIFS(tblCostChecklist[RequirementID],tblCost[[#This Row],[RequirementID]],tblCostChecklist[PlayerPaid],TRUE)&gt;0</f>
        <v>0</v>
      </c>
      <c r="I1388" s="41">
        <f>COUNTIF(tblCost[TargetID],tblCost[[#This Row],[TargetID]])</f>
        <v>3</v>
      </c>
      <c r="J1388" s="41">
        <f>COUNTIFS(tblCost[TargetID],tblCost[[#This Row],[TargetID]],tblCost[PlayerPaid],TRUE)</f>
        <v>0</v>
      </c>
      <c r="K1388" s="41">
        <f>tblCost[[#This Row],[TargetRequirements]]-tblCost[[#This Row],[CompletedRequirements]]</f>
        <v>3</v>
      </c>
      <c r="L1388" s="41" t="b">
        <f>tblCost[[#This Row],[RemainingRequirements]]=0</f>
        <v>0</v>
      </c>
      <c r="M1388" s="43">
        <f>IF(tblCost[[#This Row],[TargetRequirements]]=0,0,tblCost[[#This Row],[CompletedRequirements]]/tblCost[[#This Row],[TargetRequirements]])</f>
        <v>0</v>
      </c>
    </row>
    <row r="1389" spans="1:13">
      <c r="A1389" s="41" t="s">
        <v>5026</v>
      </c>
      <c r="B1389" s="41" t="str">
        <f>_xlfn.TEXTAFTER(_xlfn.TEXTBEFORE(tblCost[[#This Row],[RequirementID]],".",-2),"cost.")</f>
        <v>collection.courtyard_2@1</v>
      </c>
      <c r="C1389" s="41" t="str">
        <f>_xlfn.XLOOKUP(tblCost[[#This Row],[TargetID]],tblTargets[TargetID],tblTargets[DisplayName],"")</f>
        <v>Courtyard 2 Lv 1</v>
      </c>
      <c r="D1389" s="41" t="str">
        <f>_xlfn.XLOOKUP(tblCost[[#This Row],[TargetID]],tblTargets[TargetID],tblTargets[TargetType],"")</f>
        <v>COLLECTION</v>
      </c>
      <c r="E1389" s="41" t="s">
        <v>657</v>
      </c>
      <c r="F1389" s="62" t="str">
        <f>RIGHT(tblCost[[#This Row],[RequirementID]],1)</f>
        <v>3</v>
      </c>
      <c r="G1389" s="41">
        <v>15</v>
      </c>
      <c r="H1389" t="b">
        <f>COUNTIFS(tblCostChecklist[RequirementID],tblCost[[#This Row],[RequirementID]],tblCostChecklist[PlayerPaid],TRUE)&gt;0</f>
        <v>0</v>
      </c>
      <c r="I1389" s="41">
        <f>COUNTIF(tblCost[TargetID],tblCost[[#This Row],[TargetID]])</f>
        <v>3</v>
      </c>
      <c r="J1389" s="41">
        <f>COUNTIFS(tblCost[TargetID],tblCost[[#This Row],[TargetID]],tblCost[PlayerPaid],TRUE)</f>
        <v>0</v>
      </c>
      <c r="K1389" s="41">
        <f>tblCost[[#This Row],[TargetRequirements]]-tblCost[[#This Row],[CompletedRequirements]]</f>
        <v>3</v>
      </c>
      <c r="L1389" s="41" t="b">
        <f>tblCost[[#This Row],[RemainingRequirements]]=0</f>
        <v>0</v>
      </c>
      <c r="M1389" s="43">
        <f>IF(tblCost[[#This Row],[TargetRequirements]]=0,0,tblCost[[#This Row],[CompletedRequirements]]/tblCost[[#This Row],[TargetRequirements]])</f>
        <v>0</v>
      </c>
    </row>
    <row r="1390" spans="1:13">
      <c r="A1390" s="41" t="s">
        <v>5027</v>
      </c>
      <c r="B1390" s="41" t="str">
        <f>_xlfn.TEXTAFTER(_xlfn.TEXTBEFORE(tblCost[[#This Row],[RequirementID]],".",-2),"cost.")</f>
        <v>collection.gallery_1@1</v>
      </c>
      <c r="C1390" s="41" t="str">
        <f>_xlfn.XLOOKUP(tblCost[[#This Row],[TargetID]],tblTargets[TargetID],tblTargets[DisplayName],"")</f>
        <v>Gallery 1 Lv 1</v>
      </c>
      <c r="D1390" s="41" t="str">
        <f>_xlfn.XLOOKUP(tblCost[[#This Row],[TargetID]],tblTargets[TargetID],tblTargets[TargetType],"")</f>
        <v>COLLECTION</v>
      </c>
      <c r="E1390" s="41" t="s">
        <v>655</v>
      </c>
      <c r="F1390" s="62" t="str">
        <f>RIGHT(tblCost[[#This Row],[RequirementID]],1)</f>
        <v>1</v>
      </c>
      <c r="G1390" s="41">
        <v>5</v>
      </c>
      <c r="H1390" t="b">
        <f>COUNTIFS(tblCostChecklist[RequirementID],tblCost[[#This Row],[RequirementID]],tblCostChecklist[PlayerPaid],TRUE)&gt;0</f>
        <v>0</v>
      </c>
      <c r="I1390" s="41">
        <f>COUNTIF(tblCost[TargetID],tblCost[[#This Row],[TargetID]])</f>
        <v>6</v>
      </c>
      <c r="J1390" s="41">
        <f>COUNTIFS(tblCost[TargetID],tblCost[[#This Row],[TargetID]],tblCost[PlayerPaid],TRUE)</f>
        <v>0</v>
      </c>
      <c r="K1390" s="41">
        <f>tblCost[[#This Row],[TargetRequirements]]-tblCost[[#This Row],[CompletedRequirements]]</f>
        <v>6</v>
      </c>
      <c r="L1390" s="41" t="b">
        <f>tblCost[[#This Row],[RemainingRequirements]]=0</f>
        <v>0</v>
      </c>
      <c r="M1390" s="43">
        <f>IF(tblCost[[#This Row],[TargetRequirements]]=0,0,tblCost[[#This Row],[CompletedRequirements]]/tblCost[[#This Row],[TargetRequirements]])</f>
        <v>0</v>
      </c>
    </row>
    <row r="1391" spans="1:13">
      <c r="A1391" s="41" t="s">
        <v>5028</v>
      </c>
      <c r="B1391" s="41" t="str">
        <f>_xlfn.TEXTAFTER(_xlfn.TEXTBEFORE(tblCost[[#This Row],[RequirementID]],".",-2),"cost.")</f>
        <v>collection.gallery_1@1</v>
      </c>
      <c r="C1391" s="41" t="str">
        <f>_xlfn.XLOOKUP(tblCost[[#This Row],[TargetID]],tblTargets[TargetID],tblTargets[DisplayName],"")</f>
        <v>Gallery 1 Lv 1</v>
      </c>
      <c r="D1391" s="41" t="str">
        <f>_xlfn.XLOOKUP(tblCost[[#This Row],[TargetID]],tblTargets[TargetID],tblTargets[TargetType],"")</f>
        <v>COLLECTION</v>
      </c>
      <c r="E1391" s="41" t="s">
        <v>929</v>
      </c>
      <c r="F1391" s="62" t="str">
        <f>RIGHT(tblCost[[#This Row],[RequirementID]],1)</f>
        <v>1</v>
      </c>
      <c r="G1391" s="41">
        <v>10</v>
      </c>
      <c r="H1391" t="b">
        <f>COUNTIFS(tblCostChecklist[RequirementID],tblCost[[#This Row],[RequirementID]],tblCostChecklist[PlayerPaid],TRUE)&gt;0</f>
        <v>0</v>
      </c>
      <c r="I1391" s="41">
        <f>COUNTIF(tblCost[TargetID],tblCost[[#This Row],[TargetID]])</f>
        <v>6</v>
      </c>
      <c r="J1391" s="41">
        <f>COUNTIFS(tblCost[TargetID],tblCost[[#This Row],[TargetID]],tblCost[PlayerPaid],TRUE)</f>
        <v>0</v>
      </c>
      <c r="K1391" s="41">
        <f>tblCost[[#This Row],[TargetRequirements]]-tblCost[[#This Row],[CompletedRequirements]]</f>
        <v>6</v>
      </c>
      <c r="L1391" s="41" t="b">
        <f>tblCost[[#This Row],[RemainingRequirements]]=0</f>
        <v>0</v>
      </c>
      <c r="M1391" s="43">
        <f>IF(tblCost[[#This Row],[TargetRequirements]]=0,0,tblCost[[#This Row],[CompletedRequirements]]/tblCost[[#This Row],[TargetRequirements]])</f>
        <v>0</v>
      </c>
    </row>
    <row r="1392" spans="1:13">
      <c r="A1392" s="41" t="s">
        <v>5029</v>
      </c>
      <c r="B1392" s="41" t="str">
        <f>_xlfn.TEXTAFTER(_xlfn.TEXTBEFORE(tblCost[[#This Row],[RequirementID]],".",-2),"cost.")</f>
        <v>collection.gallery_1@1</v>
      </c>
      <c r="C1392" s="41" t="str">
        <f>_xlfn.XLOOKUP(tblCost[[#This Row],[TargetID]],tblTargets[TargetID],tblTargets[DisplayName],"")</f>
        <v>Gallery 1 Lv 1</v>
      </c>
      <c r="D1392" s="41" t="str">
        <f>_xlfn.XLOOKUP(tblCost[[#This Row],[TargetID]],tblTargets[TargetID],tblTargets[TargetType],"")</f>
        <v>COLLECTION</v>
      </c>
      <c r="E1392" s="41" t="s">
        <v>940</v>
      </c>
      <c r="F1392" s="62" t="str">
        <f>RIGHT(tblCost[[#This Row],[RequirementID]],1)</f>
        <v>1</v>
      </c>
      <c r="G1392" s="41">
        <v>10</v>
      </c>
      <c r="H1392" t="b">
        <f>COUNTIFS(tblCostChecklist[RequirementID],tblCost[[#This Row],[RequirementID]],tblCostChecklist[PlayerPaid],TRUE)&gt;0</f>
        <v>0</v>
      </c>
      <c r="I1392" s="41">
        <f>COUNTIF(tblCost[TargetID],tblCost[[#This Row],[TargetID]])</f>
        <v>6</v>
      </c>
      <c r="J1392" s="41">
        <f>COUNTIFS(tblCost[TargetID],tblCost[[#This Row],[TargetID]],tblCost[PlayerPaid],TRUE)</f>
        <v>0</v>
      </c>
      <c r="K1392" s="41">
        <f>tblCost[[#This Row],[TargetRequirements]]-tblCost[[#This Row],[CompletedRequirements]]</f>
        <v>6</v>
      </c>
      <c r="L1392" s="41" t="b">
        <f>tblCost[[#This Row],[RemainingRequirements]]=0</f>
        <v>0</v>
      </c>
      <c r="M1392" s="43">
        <f>IF(tblCost[[#This Row],[TargetRequirements]]=0,0,tblCost[[#This Row],[CompletedRequirements]]/tblCost[[#This Row],[TargetRequirements]])</f>
        <v>0</v>
      </c>
    </row>
    <row r="1393" spans="1:13">
      <c r="A1393" s="41" t="s">
        <v>5030</v>
      </c>
      <c r="B1393" s="41" t="str">
        <f>_xlfn.TEXTAFTER(_xlfn.TEXTBEFORE(tblCost[[#This Row],[RequirementID]],".",-2),"cost.")</f>
        <v>collection.gallery_1@1</v>
      </c>
      <c r="C1393" s="41" t="str">
        <f>_xlfn.XLOOKUP(tblCost[[#This Row],[TargetID]],tblTargets[TargetID],tblTargets[DisplayName],"")</f>
        <v>Gallery 1 Lv 1</v>
      </c>
      <c r="D1393" s="41" t="str">
        <f>_xlfn.XLOOKUP(tblCost[[#This Row],[TargetID]],tblTargets[TargetID],tblTargets[TargetType],"")</f>
        <v>COLLECTION</v>
      </c>
      <c r="E1393" s="41" t="s">
        <v>690</v>
      </c>
      <c r="F1393" s="62" t="str">
        <f>RIGHT(tblCost[[#This Row],[RequirementID]],1)</f>
        <v>1</v>
      </c>
      <c r="G1393" s="41">
        <v>15</v>
      </c>
      <c r="H1393" t="b">
        <f>COUNTIFS(tblCostChecklist[RequirementID],tblCost[[#This Row],[RequirementID]],tblCostChecklist[PlayerPaid],TRUE)&gt;0</f>
        <v>0</v>
      </c>
      <c r="I1393" s="41">
        <f>COUNTIF(tblCost[TargetID],tblCost[[#This Row],[TargetID]])</f>
        <v>6</v>
      </c>
      <c r="J1393" s="41">
        <f>COUNTIFS(tblCost[TargetID],tblCost[[#This Row],[TargetID]],tblCost[PlayerPaid],TRUE)</f>
        <v>0</v>
      </c>
      <c r="K1393" s="41">
        <f>tblCost[[#This Row],[TargetRequirements]]-tblCost[[#This Row],[CompletedRequirements]]</f>
        <v>6</v>
      </c>
      <c r="L1393" s="41" t="b">
        <f>tblCost[[#This Row],[RemainingRequirements]]=0</f>
        <v>0</v>
      </c>
      <c r="M1393" s="43">
        <f>IF(tblCost[[#This Row],[TargetRequirements]]=0,0,tblCost[[#This Row],[CompletedRequirements]]/tblCost[[#This Row],[TargetRequirements]])</f>
        <v>0</v>
      </c>
    </row>
    <row r="1394" spans="1:13">
      <c r="A1394" s="41" t="s">
        <v>5031</v>
      </c>
      <c r="B1394" s="41" t="str">
        <f>_xlfn.TEXTAFTER(_xlfn.TEXTBEFORE(tblCost[[#This Row],[RequirementID]],".",-2),"cost.")</f>
        <v>collection.gallery_1@1</v>
      </c>
      <c r="C1394" s="41" t="str">
        <f>_xlfn.XLOOKUP(tblCost[[#This Row],[TargetID]],tblTargets[TargetID],tblTargets[DisplayName],"")</f>
        <v>Gallery 1 Lv 1</v>
      </c>
      <c r="D1394" s="41" t="str">
        <f>_xlfn.XLOOKUP(tblCost[[#This Row],[TargetID]],tblTargets[TargetID],tblTargets[TargetType],"")</f>
        <v>COLLECTION</v>
      </c>
      <c r="E1394" s="41" t="s">
        <v>705</v>
      </c>
      <c r="F1394" s="62" t="str">
        <f>RIGHT(tblCost[[#This Row],[RequirementID]],1)</f>
        <v>1</v>
      </c>
      <c r="G1394" s="41">
        <v>15</v>
      </c>
      <c r="H1394" t="b">
        <f>COUNTIFS(tblCostChecklist[RequirementID],tblCost[[#This Row],[RequirementID]],tblCostChecklist[PlayerPaid],TRUE)&gt;0</f>
        <v>0</v>
      </c>
      <c r="I1394" s="41">
        <f>COUNTIF(tblCost[TargetID],tblCost[[#This Row],[TargetID]])</f>
        <v>6</v>
      </c>
      <c r="J1394" s="41">
        <f>COUNTIFS(tblCost[TargetID],tblCost[[#This Row],[TargetID]],tblCost[PlayerPaid],TRUE)</f>
        <v>0</v>
      </c>
      <c r="K1394" s="41">
        <f>tblCost[[#This Row],[TargetRequirements]]-tblCost[[#This Row],[CompletedRequirements]]</f>
        <v>6</v>
      </c>
      <c r="L1394" s="41" t="b">
        <f>tblCost[[#This Row],[RemainingRequirements]]=0</f>
        <v>0</v>
      </c>
      <c r="M1394" s="43">
        <f>IF(tblCost[[#This Row],[TargetRequirements]]=0,0,tblCost[[#This Row],[CompletedRequirements]]/tblCost[[#This Row],[TargetRequirements]])</f>
        <v>0</v>
      </c>
    </row>
    <row r="1395" spans="1:13">
      <c r="A1395" s="41" t="s">
        <v>5032</v>
      </c>
      <c r="B1395" s="41" t="str">
        <f>_xlfn.TEXTAFTER(_xlfn.TEXTBEFORE(tblCost[[#This Row],[RequirementID]],".",-2),"cost.")</f>
        <v>collection.gallery_1@1</v>
      </c>
      <c r="C1395" s="41" t="str">
        <f>_xlfn.XLOOKUP(tblCost[[#This Row],[TargetID]],tblTargets[TargetID],tblTargets[DisplayName],"")</f>
        <v>Gallery 1 Lv 1</v>
      </c>
      <c r="D1395" s="41" t="str">
        <f>_xlfn.XLOOKUP(tblCost[[#This Row],[TargetID]],tblTargets[TargetID],tblTargets[TargetType],"")</f>
        <v>COLLECTION</v>
      </c>
      <c r="E1395" s="41" t="s">
        <v>720</v>
      </c>
      <c r="F1395" s="62" t="str">
        <f>RIGHT(tblCost[[#This Row],[RequirementID]],1)</f>
        <v>1</v>
      </c>
      <c r="G1395" s="41">
        <v>5</v>
      </c>
      <c r="H1395" t="b">
        <f>COUNTIFS(tblCostChecklist[RequirementID],tblCost[[#This Row],[RequirementID]],tblCostChecklist[PlayerPaid],TRUE)&gt;0</f>
        <v>0</v>
      </c>
      <c r="I1395" s="41">
        <f>COUNTIF(tblCost[TargetID],tblCost[[#This Row],[TargetID]])</f>
        <v>6</v>
      </c>
      <c r="J1395" s="41">
        <f>COUNTIFS(tblCost[TargetID],tblCost[[#This Row],[TargetID]],tblCost[PlayerPaid],TRUE)</f>
        <v>0</v>
      </c>
      <c r="K1395" s="41">
        <f>tblCost[[#This Row],[TargetRequirements]]-tblCost[[#This Row],[CompletedRequirements]]</f>
        <v>6</v>
      </c>
      <c r="L1395" s="41" t="b">
        <f>tblCost[[#This Row],[RemainingRequirements]]=0</f>
        <v>0</v>
      </c>
      <c r="M1395" s="43">
        <f>IF(tblCost[[#This Row],[TargetRequirements]]=0,0,tblCost[[#This Row],[CompletedRequirements]]/tblCost[[#This Row],[TargetRequirements]])</f>
        <v>0</v>
      </c>
    </row>
    <row r="1396" spans="1:13">
      <c r="A1396" s="41" t="s">
        <v>5033</v>
      </c>
      <c r="B1396" s="41" t="str">
        <f>_xlfn.TEXTAFTER(_xlfn.TEXTBEFORE(tblCost[[#This Row],[RequirementID]],".",-2),"cost.")</f>
        <v>collection.gallery_1@2</v>
      </c>
      <c r="C1396" s="41" t="str">
        <f>_xlfn.XLOOKUP(tblCost[[#This Row],[TargetID]],tblTargets[TargetID],tblTargets[DisplayName],"")</f>
        <v>Gallery 1 Lv 2</v>
      </c>
      <c r="D1396" s="41" t="str">
        <f>_xlfn.XLOOKUP(tblCost[[#This Row],[TargetID]],tblTargets[TargetID],tblTargets[TargetType],"")</f>
        <v>COLLECTION</v>
      </c>
      <c r="E1396" s="41" t="s">
        <v>655</v>
      </c>
      <c r="F1396" s="62" t="str">
        <f>RIGHT(tblCost[[#This Row],[RequirementID]],1)</f>
        <v>1</v>
      </c>
      <c r="G1396" s="41">
        <v>10</v>
      </c>
      <c r="H1396" t="b">
        <f>COUNTIFS(tblCostChecklist[RequirementID],tblCost[[#This Row],[RequirementID]],tblCostChecklist[PlayerPaid],TRUE)&gt;0</f>
        <v>0</v>
      </c>
      <c r="I1396" s="41">
        <f>COUNTIF(tblCost[TargetID],tblCost[[#This Row],[TargetID]])</f>
        <v>6</v>
      </c>
      <c r="J1396" s="41">
        <f>COUNTIFS(tblCost[TargetID],tblCost[[#This Row],[TargetID]],tblCost[PlayerPaid],TRUE)</f>
        <v>0</v>
      </c>
      <c r="K1396" s="41">
        <f>tblCost[[#This Row],[TargetRequirements]]-tblCost[[#This Row],[CompletedRequirements]]</f>
        <v>6</v>
      </c>
      <c r="L1396" s="41" t="b">
        <f>tblCost[[#This Row],[RemainingRequirements]]=0</f>
        <v>0</v>
      </c>
      <c r="M1396" s="43">
        <f>IF(tblCost[[#This Row],[TargetRequirements]]=0,0,tblCost[[#This Row],[CompletedRequirements]]/tblCost[[#This Row],[TargetRequirements]])</f>
        <v>0</v>
      </c>
    </row>
    <row r="1397" spans="1:13">
      <c r="A1397" s="41" t="s">
        <v>5034</v>
      </c>
      <c r="B1397" s="41" t="str">
        <f>_xlfn.TEXTAFTER(_xlfn.TEXTBEFORE(tblCost[[#This Row],[RequirementID]],".",-2),"cost.")</f>
        <v>collection.gallery_1@2</v>
      </c>
      <c r="C1397" s="41" t="str">
        <f>_xlfn.XLOOKUP(tblCost[[#This Row],[TargetID]],tblTargets[TargetID],tblTargets[DisplayName],"")</f>
        <v>Gallery 1 Lv 2</v>
      </c>
      <c r="D1397" s="41" t="str">
        <f>_xlfn.XLOOKUP(tblCost[[#This Row],[TargetID]],tblTargets[TargetID],tblTargets[TargetType],"")</f>
        <v>COLLECTION</v>
      </c>
      <c r="E1397" s="41" t="s">
        <v>929</v>
      </c>
      <c r="F1397" s="62" t="str">
        <f>RIGHT(tblCost[[#This Row],[RequirementID]],1)</f>
        <v>1</v>
      </c>
      <c r="G1397" s="41">
        <v>20</v>
      </c>
      <c r="H1397" t="b">
        <f>COUNTIFS(tblCostChecklist[RequirementID],tblCost[[#This Row],[RequirementID]],tblCostChecklist[PlayerPaid],TRUE)&gt;0</f>
        <v>0</v>
      </c>
      <c r="I1397" s="41">
        <f>COUNTIF(tblCost[TargetID],tblCost[[#This Row],[TargetID]])</f>
        <v>6</v>
      </c>
      <c r="J1397" s="41">
        <f>COUNTIFS(tblCost[TargetID],tblCost[[#This Row],[TargetID]],tblCost[PlayerPaid],TRUE)</f>
        <v>0</v>
      </c>
      <c r="K1397" s="41">
        <f>tblCost[[#This Row],[TargetRequirements]]-tblCost[[#This Row],[CompletedRequirements]]</f>
        <v>6</v>
      </c>
      <c r="L1397" s="41" t="b">
        <f>tblCost[[#This Row],[RemainingRequirements]]=0</f>
        <v>0</v>
      </c>
      <c r="M1397" s="43">
        <f>IF(tblCost[[#This Row],[TargetRequirements]]=0,0,tblCost[[#This Row],[CompletedRequirements]]/tblCost[[#This Row],[TargetRequirements]])</f>
        <v>0</v>
      </c>
    </row>
    <row r="1398" spans="1:13">
      <c r="A1398" s="41" t="s">
        <v>5035</v>
      </c>
      <c r="B1398" s="41" t="str">
        <f>_xlfn.TEXTAFTER(_xlfn.TEXTBEFORE(tblCost[[#This Row],[RequirementID]],".",-2),"cost.")</f>
        <v>collection.gallery_1@2</v>
      </c>
      <c r="C1398" s="41" t="str">
        <f>_xlfn.XLOOKUP(tblCost[[#This Row],[TargetID]],tblTargets[TargetID],tblTargets[DisplayName],"")</f>
        <v>Gallery 1 Lv 2</v>
      </c>
      <c r="D1398" s="41" t="str">
        <f>_xlfn.XLOOKUP(tblCost[[#This Row],[TargetID]],tblTargets[TargetID],tblTargets[TargetType],"")</f>
        <v>COLLECTION</v>
      </c>
      <c r="E1398" s="41" t="s">
        <v>940</v>
      </c>
      <c r="F1398" s="62" t="str">
        <f>RIGHT(tblCost[[#This Row],[RequirementID]],1)</f>
        <v>1</v>
      </c>
      <c r="G1398" s="41">
        <v>20</v>
      </c>
      <c r="H1398" t="b">
        <f>COUNTIFS(tblCostChecklist[RequirementID],tblCost[[#This Row],[RequirementID]],tblCostChecklist[PlayerPaid],TRUE)&gt;0</f>
        <v>0</v>
      </c>
      <c r="I1398" s="41">
        <f>COUNTIF(tblCost[TargetID],tblCost[[#This Row],[TargetID]])</f>
        <v>6</v>
      </c>
      <c r="J1398" s="41">
        <f>COUNTIFS(tblCost[TargetID],tblCost[[#This Row],[TargetID]],tblCost[PlayerPaid],TRUE)</f>
        <v>0</v>
      </c>
      <c r="K1398" s="41">
        <f>tblCost[[#This Row],[TargetRequirements]]-tblCost[[#This Row],[CompletedRequirements]]</f>
        <v>6</v>
      </c>
      <c r="L1398" s="41" t="b">
        <f>tblCost[[#This Row],[RemainingRequirements]]=0</f>
        <v>0</v>
      </c>
      <c r="M1398" s="43">
        <f>IF(tblCost[[#This Row],[TargetRequirements]]=0,0,tblCost[[#This Row],[CompletedRequirements]]/tblCost[[#This Row],[TargetRequirements]])</f>
        <v>0</v>
      </c>
    </row>
    <row r="1399" spans="1:13">
      <c r="A1399" s="41" t="s">
        <v>5036</v>
      </c>
      <c r="B1399" s="41" t="str">
        <f>_xlfn.TEXTAFTER(_xlfn.TEXTBEFORE(tblCost[[#This Row],[RequirementID]],".",-2),"cost.")</f>
        <v>collection.gallery_1@2</v>
      </c>
      <c r="C1399" s="41" t="str">
        <f>_xlfn.XLOOKUP(tblCost[[#This Row],[TargetID]],tblTargets[TargetID],tblTargets[DisplayName],"")</f>
        <v>Gallery 1 Lv 2</v>
      </c>
      <c r="D1399" s="41" t="str">
        <f>_xlfn.XLOOKUP(tblCost[[#This Row],[TargetID]],tblTargets[TargetID],tblTargets[TargetType],"")</f>
        <v>COLLECTION</v>
      </c>
      <c r="E1399" s="41" t="s">
        <v>690</v>
      </c>
      <c r="F1399" s="62" t="str">
        <f>RIGHT(tblCost[[#This Row],[RequirementID]],1)</f>
        <v>1</v>
      </c>
      <c r="G1399" s="41">
        <v>30</v>
      </c>
      <c r="H1399" t="b">
        <f>COUNTIFS(tblCostChecklist[RequirementID],tblCost[[#This Row],[RequirementID]],tblCostChecklist[PlayerPaid],TRUE)&gt;0</f>
        <v>0</v>
      </c>
      <c r="I1399" s="41">
        <f>COUNTIF(tblCost[TargetID],tblCost[[#This Row],[TargetID]])</f>
        <v>6</v>
      </c>
      <c r="J1399" s="41">
        <f>COUNTIFS(tblCost[TargetID],tblCost[[#This Row],[TargetID]],tblCost[PlayerPaid],TRUE)</f>
        <v>0</v>
      </c>
      <c r="K1399" s="41">
        <f>tblCost[[#This Row],[TargetRequirements]]-tblCost[[#This Row],[CompletedRequirements]]</f>
        <v>6</v>
      </c>
      <c r="L1399" s="41" t="b">
        <f>tblCost[[#This Row],[RemainingRequirements]]=0</f>
        <v>0</v>
      </c>
      <c r="M1399" s="43">
        <f>IF(tblCost[[#This Row],[TargetRequirements]]=0,0,tblCost[[#This Row],[CompletedRequirements]]/tblCost[[#This Row],[TargetRequirements]])</f>
        <v>0</v>
      </c>
    </row>
    <row r="1400" spans="1:13">
      <c r="A1400" s="41" t="s">
        <v>5037</v>
      </c>
      <c r="B1400" s="41" t="str">
        <f>_xlfn.TEXTAFTER(_xlfn.TEXTBEFORE(tblCost[[#This Row],[RequirementID]],".",-2),"cost.")</f>
        <v>collection.gallery_1@2</v>
      </c>
      <c r="C1400" s="41" t="str">
        <f>_xlfn.XLOOKUP(tblCost[[#This Row],[TargetID]],tblTargets[TargetID],tblTargets[DisplayName],"")</f>
        <v>Gallery 1 Lv 2</v>
      </c>
      <c r="D1400" s="41" t="str">
        <f>_xlfn.XLOOKUP(tblCost[[#This Row],[TargetID]],tblTargets[TargetID],tblTargets[TargetType],"")</f>
        <v>COLLECTION</v>
      </c>
      <c r="E1400" s="41" t="s">
        <v>705</v>
      </c>
      <c r="F1400" s="62" t="str">
        <f>RIGHT(tblCost[[#This Row],[RequirementID]],1)</f>
        <v>1</v>
      </c>
      <c r="G1400" s="41">
        <v>30</v>
      </c>
      <c r="H1400" t="b">
        <f>COUNTIFS(tblCostChecklist[RequirementID],tblCost[[#This Row],[RequirementID]],tblCostChecklist[PlayerPaid],TRUE)&gt;0</f>
        <v>0</v>
      </c>
      <c r="I1400" s="41">
        <f>COUNTIF(tblCost[TargetID],tblCost[[#This Row],[TargetID]])</f>
        <v>6</v>
      </c>
      <c r="J1400" s="41">
        <f>COUNTIFS(tblCost[TargetID],tblCost[[#This Row],[TargetID]],tblCost[PlayerPaid],TRUE)</f>
        <v>0</v>
      </c>
      <c r="K1400" s="41">
        <f>tblCost[[#This Row],[TargetRequirements]]-tblCost[[#This Row],[CompletedRequirements]]</f>
        <v>6</v>
      </c>
      <c r="L1400" s="41" t="b">
        <f>tblCost[[#This Row],[RemainingRequirements]]=0</f>
        <v>0</v>
      </c>
      <c r="M1400" s="43">
        <f>IF(tblCost[[#This Row],[TargetRequirements]]=0,0,tblCost[[#This Row],[CompletedRequirements]]/tblCost[[#This Row],[TargetRequirements]])</f>
        <v>0</v>
      </c>
    </row>
    <row r="1401" spans="1:13">
      <c r="A1401" s="41" t="s">
        <v>5038</v>
      </c>
      <c r="B1401" s="41" t="str">
        <f>_xlfn.TEXTAFTER(_xlfn.TEXTBEFORE(tblCost[[#This Row],[RequirementID]],".",-2),"cost.")</f>
        <v>collection.gallery_1@2</v>
      </c>
      <c r="C1401" s="41" t="str">
        <f>_xlfn.XLOOKUP(tblCost[[#This Row],[TargetID]],tblTargets[TargetID],tblTargets[DisplayName],"")</f>
        <v>Gallery 1 Lv 2</v>
      </c>
      <c r="D1401" s="41" t="str">
        <f>_xlfn.XLOOKUP(tblCost[[#This Row],[TargetID]],tblTargets[TargetID],tblTargets[TargetType],"")</f>
        <v>COLLECTION</v>
      </c>
      <c r="E1401" s="41" t="s">
        <v>720</v>
      </c>
      <c r="F1401" s="62" t="str">
        <f>RIGHT(tblCost[[#This Row],[RequirementID]],1)</f>
        <v>1</v>
      </c>
      <c r="G1401" s="41">
        <v>10</v>
      </c>
      <c r="H1401" t="b">
        <f>COUNTIFS(tblCostChecklist[RequirementID],tblCost[[#This Row],[RequirementID]],tblCostChecklist[PlayerPaid],TRUE)&gt;0</f>
        <v>0</v>
      </c>
      <c r="I1401" s="41">
        <f>COUNTIF(tblCost[TargetID],tblCost[[#This Row],[TargetID]])</f>
        <v>6</v>
      </c>
      <c r="J1401" s="41">
        <f>COUNTIFS(tblCost[TargetID],tblCost[[#This Row],[TargetID]],tblCost[PlayerPaid],TRUE)</f>
        <v>0</v>
      </c>
      <c r="K1401" s="41">
        <f>tblCost[[#This Row],[TargetRequirements]]-tblCost[[#This Row],[CompletedRequirements]]</f>
        <v>6</v>
      </c>
      <c r="L1401" s="41" t="b">
        <f>tblCost[[#This Row],[RemainingRequirements]]=0</f>
        <v>0</v>
      </c>
      <c r="M1401" s="43">
        <f>IF(tblCost[[#This Row],[TargetRequirements]]=0,0,tblCost[[#This Row],[CompletedRequirements]]/tblCost[[#This Row],[TargetRequirements]])</f>
        <v>0</v>
      </c>
    </row>
    <row r="1402" spans="1:13">
      <c r="A1402" s="41" t="s">
        <v>5039</v>
      </c>
      <c r="B1402" s="41" t="str">
        <f>_xlfn.TEXTAFTER(_xlfn.TEXTBEFORE(tblCost[[#This Row],[RequirementID]],".",-2),"cost.")</f>
        <v>collection.gallery_1@3</v>
      </c>
      <c r="C1402" s="41" t="str">
        <f>_xlfn.XLOOKUP(tblCost[[#This Row],[TargetID]],tblTargets[TargetID],tblTargets[DisplayName],"")</f>
        <v>Gallery 1 Lv 3</v>
      </c>
      <c r="D1402" s="41" t="str">
        <f>_xlfn.XLOOKUP(tblCost[[#This Row],[TargetID]],tblTargets[TargetID],tblTargets[TargetType],"")</f>
        <v>COLLECTION</v>
      </c>
      <c r="E1402" s="41" t="s">
        <v>655</v>
      </c>
      <c r="F1402" s="62" t="str">
        <f>RIGHT(tblCost[[#This Row],[RequirementID]],1)</f>
        <v>1</v>
      </c>
      <c r="G1402" s="41">
        <v>15</v>
      </c>
      <c r="H1402" t="b">
        <f>COUNTIFS(tblCostChecklist[RequirementID],tblCost[[#This Row],[RequirementID]],tblCostChecklist[PlayerPaid],TRUE)&gt;0</f>
        <v>0</v>
      </c>
      <c r="I1402" s="41">
        <f>COUNTIF(tblCost[TargetID],tblCost[[#This Row],[TargetID]])</f>
        <v>6</v>
      </c>
      <c r="J1402" s="41">
        <f>COUNTIFS(tblCost[TargetID],tblCost[[#This Row],[TargetID]],tblCost[PlayerPaid],TRUE)</f>
        <v>0</v>
      </c>
      <c r="K1402" s="41">
        <f>tblCost[[#This Row],[TargetRequirements]]-tblCost[[#This Row],[CompletedRequirements]]</f>
        <v>6</v>
      </c>
      <c r="L1402" s="41" t="b">
        <f>tblCost[[#This Row],[RemainingRequirements]]=0</f>
        <v>0</v>
      </c>
      <c r="M1402" s="43">
        <f>IF(tblCost[[#This Row],[TargetRequirements]]=0,0,tblCost[[#This Row],[CompletedRequirements]]/tblCost[[#This Row],[TargetRequirements]])</f>
        <v>0</v>
      </c>
    </row>
    <row r="1403" spans="1:13">
      <c r="A1403" s="41" t="s">
        <v>5040</v>
      </c>
      <c r="B1403" s="41" t="str">
        <f>_xlfn.TEXTAFTER(_xlfn.TEXTBEFORE(tblCost[[#This Row],[RequirementID]],".",-2),"cost.")</f>
        <v>collection.gallery_1@3</v>
      </c>
      <c r="C1403" s="41" t="str">
        <f>_xlfn.XLOOKUP(tblCost[[#This Row],[TargetID]],tblTargets[TargetID],tblTargets[DisplayName],"")</f>
        <v>Gallery 1 Lv 3</v>
      </c>
      <c r="D1403" s="41" t="str">
        <f>_xlfn.XLOOKUP(tblCost[[#This Row],[TargetID]],tblTargets[TargetID],tblTargets[TargetType],"")</f>
        <v>COLLECTION</v>
      </c>
      <c r="E1403" s="41" t="s">
        <v>929</v>
      </c>
      <c r="F1403" s="62" t="str">
        <f>RIGHT(tblCost[[#This Row],[RequirementID]],1)</f>
        <v>1</v>
      </c>
      <c r="G1403" s="41">
        <v>30</v>
      </c>
      <c r="H1403" t="b">
        <f>COUNTIFS(tblCostChecklist[RequirementID],tblCost[[#This Row],[RequirementID]],tblCostChecklist[PlayerPaid],TRUE)&gt;0</f>
        <v>0</v>
      </c>
      <c r="I1403" s="41">
        <f>COUNTIF(tblCost[TargetID],tblCost[[#This Row],[TargetID]])</f>
        <v>6</v>
      </c>
      <c r="J1403" s="41">
        <f>COUNTIFS(tblCost[TargetID],tblCost[[#This Row],[TargetID]],tblCost[PlayerPaid],TRUE)</f>
        <v>0</v>
      </c>
      <c r="K1403" s="41">
        <f>tblCost[[#This Row],[TargetRequirements]]-tblCost[[#This Row],[CompletedRequirements]]</f>
        <v>6</v>
      </c>
      <c r="L1403" s="41" t="b">
        <f>tblCost[[#This Row],[RemainingRequirements]]=0</f>
        <v>0</v>
      </c>
      <c r="M1403" s="43">
        <f>IF(tblCost[[#This Row],[TargetRequirements]]=0,0,tblCost[[#This Row],[CompletedRequirements]]/tblCost[[#This Row],[TargetRequirements]])</f>
        <v>0</v>
      </c>
    </row>
    <row r="1404" spans="1:13">
      <c r="A1404" s="41" t="s">
        <v>5041</v>
      </c>
      <c r="B1404" s="41" t="str">
        <f>_xlfn.TEXTAFTER(_xlfn.TEXTBEFORE(tblCost[[#This Row],[RequirementID]],".",-2),"cost.")</f>
        <v>collection.gallery_1@3</v>
      </c>
      <c r="C1404" s="41" t="str">
        <f>_xlfn.XLOOKUP(tblCost[[#This Row],[TargetID]],tblTargets[TargetID],tblTargets[DisplayName],"")</f>
        <v>Gallery 1 Lv 3</v>
      </c>
      <c r="D1404" s="41" t="str">
        <f>_xlfn.XLOOKUP(tblCost[[#This Row],[TargetID]],tblTargets[TargetID],tblTargets[TargetType],"")</f>
        <v>COLLECTION</v>
      </c>
      <c r="E1404" s="41" t="s">
        <v>940</v>
      </c>
      <c r="F1404" s="62" t="str">
        <f>RIGHT(tblCost[[#This Row],[RequirementID]],1)</f>
        <v>1</v>
      </c>
      <c r="G1404" s="41">
        <v>30</v>
      </c>
      <c r="H1404" t="b">
        <f>COUNTIFS(tblCostChecklist[RequirementID],tblCost[[#This Row],[RequirementID]],tblCostChecklist[PlayerPaid],TRUE)&gt;0</f>
        <v>0</v>
      </c>
      <c r="I1404" s="41">
        <f>COUNTIF(tblCost[TargetID],tblCost[[#This Row],[TargetID]])</f>
        <v>6</v>
      </c>
      <c r="J1404" s="41">
        <f>COUNTIFS(tblCost[TargetID],tblCost[[#This Row],[TargetID]],tblCost[PlayerPaid],TRUE)</f>
        <v>0</v>
      </c>
      <c r="K1404" s="41">
        <f>tblCost[[#This Row],[TargetRequirements]]-tblCost[[#This Row],[CompletedRequirements]]</f>
        <v>6</v>
      </c>
      <c r="L1404" s="41" t="b">
        <f>tblCost[[#This Row],[RemainingRequirements]]=0</f>
        <v>0</v>
      </c>
      <c r="M1404" s="43">
        <f>IF(tblCost[[#This Row],[TargetRequirements]]=0,0,tblCost[[#This Row],[CompletedRequirements]]/tblCost[[#This Row],[TargetRequirements]])</f>
        <v>0</v>
      </c>
    </row>
    <row r="1405" spans="1:13">
      <c r="A1405" s="41" t="s">
        <v>5042</v>
      </c>
      <c r="B1405" s="41" t="str">
        <f>_xlfn.TEXTAFTER(_xlfn.TEXTBEFORE(tblCost[[#This Row],[RequirementID]],".",-2),"cost.")</f>
        <v>collection.gallery_1@3</v>
      </c>
      <c r="C1405" s="41" t="str">
        <f>_xlfn.XLOOKUP(tblCost[[#This Row],[TargetID]],tblTargets[TargetID],tblTargets[DisplayName],"")</f>
        <v>Gallery 1 Lv 3</v>
      </c>
      <c r="D1405" s="41" t="str">
        <f>_xlfn.XLOOKUP(tblCost[[#This Row],[TargetID]],tblTargets[TargetID],tblTargets[TargetType],"")</f>
        <v>COLLECTION</v>
      </c>
      <c r="E1405" s="41" t="s">
        <v>690</v>
      </c>
      <c r="F1405" s="62" t="str">
        <f>RIGHT(tblCost[[#This Row],[RequirementID]],1)</f>
        <v>1</v>
      </c>
      <c r="G1405" s="41">
        <v>45</v>
      </c>
      <c r="H1405" t="b">
        <f>COUNTIFS(tblCostChecklist[RequirementID],tblCost[[#This Row],[RequirementID]],tblCostChecklist[PlayerPaid],TRUE)&gt;0</f>
        <v>0</v>
      </c>
      <c r="I1405" s="41">
        <f>COUNTIF(tblCost[TargetID],tblCost[[#This Row],[TargetID]])</f>
        <v>6</v>
      </c>
      <c r="J1405" s="41">
        <f>COUNTIFS(tblCost[TargetID],tblCost[[#This Row],[TargetID]],tblCost[PlayerPaid],TRUE)</f>
        <v>0</v>
      </c>
      <c r="K1405" s="41">
        <f>tblCost[[#This Row],[TargetRequirements]]-tblCost[[#This Row],[CompletedRequirements]]</f>
        <v>6</v>
      </c>
      <c r="L1405" s="41" t="b">
        <f>tblCost[[#This Row],[RemainingRequirements]]=0</f>
        <v>0</v>
      </c>
      <c r="M1405" s="43">
        <f>IF(tblCost[[#This Row],[TargetRequirements]]=0,0,tblCost[[#This Row],[CompletedRequirements]]/tblCost[[#This Row],[TargetRequirements]])</f>
        <v>0</v>
      </c>
    </row>
    <row r="1406" spans="1:13">
      <c r="A1406" s="41" t="s">
        <v>5043</v>
      </c>
      <c r="B1406" s="41" t="str">
        <f>_xlfn.TEXTAFTER(_xlfn.TEXTBEFORE(tblCost[[#This Row],[RequirementID]],".",-2),"cost.")</f>
        <v>collection.gallery_1@3</v>
      </c>
      <c r="C1406" s="41" t="str">
        <f>_xlfn.XLOOKUP(tblCost[[#This Row],[TargetID]],tblTargets[TargetID],tblTargets[DisplayName],"")</f>
        <v>Gallery 1 Lv 3</v>
      </c>
      <c r="D1406" s="41" t="str">
        <f>_xlfn.XLOOKUP(tblCost[[#This Row],[TargetID]],tblTargets[TargetID],tblTargets[TargetType],"")</f>
        <v>COLLECTION</v>
      </c>
      <c r="E1406" s="41" t="s">
        <v>705</v>
      </c>
      <c r="F1406" s="62" t="str">
        <f>RIGHT(tblCost[[#This Row],[RequirementID]],1)</f>
        <v>1</v>
      </c>
      <c r="G1406" s="41">
        <v>45</v>
      </c>
      <c r="H1406" t="b">
        <f>COUNTIFS(tblCostChecklist[RequirementID],tblCost[[#This Row],[RequirementID]],tblCostChecklist[PlayerPaid],TRUE)&gt;0</f>
        <v>0</v>
      </c>
      <c r="I1406" s="41">
        <f>COUNTIF(tblCost[TargetID],tblCost[[#This Row],[TargetID]])</f>
        <v>6</v>
      </c>
      <c r="J1406" s="41">
        <f>COUNTIFS(tblCost[TargetID],tblCost[[#This Row],[TargetID]],tblCost[PlayerPaid],TRUE)</f>
        <v>0</v>
      </c>
      <c r="K1406" s="41">
        <f>tblCost[[#This Row],[TargetRequirements]]-tblCost[[#This Row],[CompletedRequirements]]</f>
        <v>6</v>
      </c>
      <c r="L1406" s="41" t="b">
        <f>tblCost[[#This Row],[RemainingRequirements]]=0</f>
        <v>0</v>
      </c>
      <c r="M1406" s="43">
        <f>IF(tblCost[[#This Row],[TargetRequirements]]=0,0,tblCost[[#This Row],[CompletedRequirements]]/tblCost[[#This Row],[TargetRequirements]])</f>
        <v>0</v>
      </c>
    </row>
    <row r="1407" spans="1:13">
      <c r="A1407" s="41" t="s">
        <v>5044</v>
      </c>
      <c r="B1407" s="41" t="str">
        <f>_xlfn.TEXTAFTER(_xlfn.TEXTBEFORE(tblCost[[#This Row],[RequirementID]],".",-2),"cost.")</f>
        <v>collection.gallery_1@3</v>
      </c>
      <c r="C1407" s="41" t="str">
        <f>_xlfn.XLOOKUP(tblCost[[#This Row],[TargetID]],tblTargets[TargetID],tblTargets[DisplayName],"")</f>
        <v>Gallery 1 Lv 3</v>
      </c>
      <c r="D1407" s="41" t="str">
        <f>_xlfn.XLOOKUP(tblCost[[#This Row],[TargetID]],tblTargets[TargetID],tblTargets[TargetType],"")</f>
        <v>COLLECTION</v>
      </c>
      <c r="E1407" s="41" t="s">
        <v>720</v>
      </c>
      <c r="F1407" s="62" t="str">
        <f>RIGHT(tblCost[[#This Row],[RequirementID]],1)</f>
        <v>1</v>
      </c>
      <c r="G1407" s="41">
        <v>15</v>
      </c>
      <c r="H1407" t="b">
        <f>COUNTIFS(tblCostChecklist[RequirementID],tblCost[[#This Row],[RequirementID]],tblCostChecklist[PlayerPaid],TRUE)&gt;0</f>
        <v>0</v>
      </c>
      <c r="I1407" s="41">
        <f>COUNTIF(tblCost[TargetID],tblCost[[#This Row],[TargetID]])</f>
        <v>6</v>
      </c>
      <c r="J1407" s="41">
        <f>COUNTIFS(tblCost[TargetID],tblCost[[#This Row],[TargetID]],tblCost[PlayerPaid],TRUE)</f>
        <v>0</v>
      </c>
      <c r="K1407" s="41">
        <f>tblCost[[#This Row],[TargetRequirements]]-tblCost[[#This Row],[CompletedRequirements]]</f>
        <v>6</v>
      </c>
      <c r="L1407" s="41" t="b">
        <f>tblCost[[#This Row],[RemainingRequirements]]=0</f>
        <v>0</v>
      </c>
      <c r="M1407" s="43">
        <f>IF(tblCost[[#This Row],[TargetRequirements]]=0,0,tblCost[[#This Row],[CompletedRequirements]]/tblCost[[#This Row],[TargetRequirements]])</f>
        <v>0</v>
      </c>
    </row>
    <row r="1408" spans="1:13">
      <c r="A1408" s="41" t="s">
        <v>5045</v>
      </c>
      <c r="B1408" s="41" t="str">
        <f>_xlfn.TEXTAFTER(_xlfn.TEXTBEFORE(tblCost[[#This Row],[RequirementID]],".",-2),"cost.")</f>
        <v>collection.gallery_1@4</v>
      </c>
      <c r="C1408" s="41" t="str">
        <f>_xlfn.XLOOKUP(tblCost[[#This Row],[TargetID]],tblTargets[TargetID],tblTargets[DisplayName],"")</f>
        <v>Gallery 1 Lv 4</v>
      </c>
      <c r="D1408" s="41" t="str">
        <f>_xlfn.XLOOKUP(tblCost[[#This Row],[TargetID]],tblTargets[TargetID],tblTargets[TargetType],"")</f>
        <v>COLLECTION</v>
      </c>
      <c r="E1408" s="41" t="s">
        <v>655</v>
      </c>
      <c r="F1408" s="62" t="str">
        <f>RIGHT(tblCost[[#This Row],[RequirementID]],1)</f>
        <v>1</v>
      </c>
      <c r="G1408" s="41">
        <v>20</v>
      </c>
      <c r="H1408" t="b">
        <f>COUNTIFS(tblCostChecklist[RequirementID],tblCost[[#This Row],[RequirementID]],tblCostChecklist[PlayerPaid],TRUE)&gt;0</f>
        <v>0</v>
      </c>
      <c r="I1408" s="41">
        <f>COUNTIF(tblCost[TargetID],tblCost[[#This Row],[TargetID]])</f>
        <v>6</v>
      </c>
      <c r="J1408" s="41">
        <f>COUNTIFS(tblCost[TargetID],tblCost[[#This Row],[TargetID]],tblCost[PlayerPaid],TRUE)</f>
        <v>0</v>
      </c>
      <c r="K1408" s="41">
        <f>tblCost[[#This Row],[TargetRequirements]]-tblCost[[#This Row],[CompletedRequirements]]</f>
        <v>6</v>
      </c>
      <c r="L1408" s="41" t="b">
        <f>tblCost[[#This Row],[RemainingRequirements]]=0</f>
        <v>0</v>
      </c>
      <c r="M1408" s="43">
        <f>IF(tblCost[[#This Row],[TargetRequirements]]=0,0,tblCost[[#This Row],[CompletedRequirements]]/tblCost[[#This Row],[TargetRequirements]])</f>
        <v>0</v>
      </c>
    </row>
    <row r="1409" spans="1:13">
      <c r="A1409" s="41" t="s">
        <v>5046</v>
      </c>
      <c r="B1409" s="41" t="str">
        <f>_xlfn.TEXTAFTER(_xlfn.TEXTBEFORE(tblCost[[#This Row],[RequirementID]],".",-2),"cost.")</f>
        <v>collection.gallery_1@4</v>
      </c>
      <c r="C1409" s="41" t="str">
        <f>_xlfn.XLOOKUP(tblCost[[#This Row],[TargetID]],tblTargets[TargetID],tblTargets[DisplayName],"")</f>
        <v>Gallery 1 Lv 4</v>
      </c>
      <c r="D1409" s="41" t="str">
        <f>_xlfn.XLOOKUP(tblCost[[#This Row],[TargetID]],tblTargets[TargetID],tblTargets[TargetType],"")</f>
        <v>COLLECTION</v>
      </c>
      <c r="E1409" s="41" t="s">
        <v>929</v>
      </c>
      <c r="F1409" s="62" t="str">
        <f>RIGHT(tblCost[[#This Row],[RequirementID]],1)</f>
        <v>1</v>
      </c>
      <c r="G1409" s="41">
        <v>40</v>
      </c>
      <c r="H1409" t="b">
        <f>COUNTIFS(tblCostChecklist[RequirementID],tblCost[[#This Row],[RequirementID]],tblCostChecklist[PlayerPaid],TRUE)&gt;0</f>
        <v>0</v>
      </c>
      <c r="I1409" s="41">
        <f>COUNTIF(tblCost[TargetID],tblCost[[#This Row],[TargetID]])</f>
        <v>6</v>
      </c>
      <c r="J1409" s="41">
        <f>COUNTIFS(tblCost[TargetID],tblCost[[#This Row],[TargetID]],tblCost[PlayerPaid],TRUE)</f>
        <v>0</v>
      </c>
      <c r="K1409" s="41">
        <f>tblCost[[#This Row],[TargetRequirements]]-tblCost[[#This Row],[CompletedRequirements]]</f>
        <v>6</v>
      </c>
      <c r="L1409" s="41" t="b">
        <f>tblCost[[#This Row],[RemainingRequirements]]=0</f>
        <v>0</v>
      </c>
      <c r="M1409" s="43">
        <f>IF(tblCost[[#This Row],[TargetRequirements]]=0,0,tblCost[[#This Row],[CompletedRequirements]]/tblCost[[#This Row],[TargetRequirements]])</f>
        <v>0</v>
      </c>
    </row>
    <row r="1410" spans="1:13">
      <c r="A1410" s="41" t="s">
        <v>5047</v>
      </c>
      <c r="B1410" s="41" t="str">
        <f>_xlfn.TEXTAFTER(_xlfn.TEXTBEFORE(tblCost[[#This Row],[RequirementID]],".",-2),"cost.")</f>
        <v>collection.gallery_1@4</v>
      </c>
      <c r="C1410" s="41" t="str">
        <f>_xlfn.XLOOKUP(tblCost[[#This Row],[TargetID]],tblTargets[TargetID],tblTargets[DisplayName],"")</f>
        <v>Gallery 1 Lv 4</v>
      </c>
      <c r="D1410" s="41" t="str">
        <f>_xlfn.XLOOKUP(tblCost[[#This Row],[TargetID]],tblTargets[TargetID],tblTargets[TargetType],"")</f>
        <v>COLLECTION</v>
      </c>
      <c r="E1410" s="41" t="s">
        <v>940</v>
      </c>
      <c r="F1410" s="62" t="str">
        <f>RIGHT(tblCost[[#This Row],[RequirementID]],1)</f>
        <v>1</v>
      </c>
      <c r="G1410" s="41">
        <v>40</v>
      </c>
      <c r="H1410" t="b">
        <f>COUNTIFS(tblCostChecklist[RequirementID],tblCost[[#This Row],[RequirementID]],tblCostChecklist[PlayerPaid],TRUE)&gt;0</f>
        <v>0</v>
      </c>
      <c r="I1410" s="41">
        <f>COUNTIF(tblCost[TargetID],tblCost[[#This Row],[TargetID]])</f>
        <v>6</v>
      </c>
      <c r="J1410" s="41">
        <f>COUNTIFS(tblCost[TargetID],tblCost[[#This Row],[TargetID]],tblCost[PlayerPaid],TRUE)</f>
        <v>0</v>
      </c>
      <c r="K1410" s="41">
        <f>tblCost[[#This Row],[TargetRequirements]]-tblCost[[#This Row],[CompletedRequirements]]</f>
        <v>6</v>
      </c>
      <c r="L1410" s="41" t="b">
        <f>tblCost[[#This Row],[RemainingRequirements]]=0</f>
        <v>0</v>
      </c>
      <c r="M1410" s="43">
        <f>IF(tblCost[[#This Row],[TargetRequirements]]=0,0,tblCost[[#This Row],[CompletedRequirements]]/tblCost[[#This Row],[TargetRequirements]])</f>
        <v>0</v>
      </c>
    </row>
    <row r="1411" spans="1:13">
      <c r="A1411" s="41" t="s">
        <v>5048</v>
      </c>
      <c r="B1411" s="41" t="str">
        <f>_xlfn.TEXTAFTER(_xlfn.TEXTBEFORE(tblCost[[#This Row],[RequirementID]],".",-2),"cost.")</f>
        <v>collection.gallery_1@4</v>
      </c>
      <c r="C1411" s="41" t="str">
        <f>_xlfn.XLOOKUP(tblCost[[#This Row],[TargetID]],tblTargets[TargetID],tblTargets[DisplayName],"")</f>
        <v>Gallery 1 Lv 4</v>
      </c>
      <c r="D1411" s="41" t="str">
        <f>_xlfn.XLOOKUP(tblCost[[#This Row],[TargetID]],tblTargets[TargetID],tblTargets[TargetType],"")</f>
        <v>COLLECTION</v>
      </c>
      <c r="E1411" s="41" t="s">
        <v>690</v>
      </c>
      <c r="F1411" s="62" t="str">
        <f>RIGHT(tblCost[[#This Row],[RequirementID]],1)</f>
        <v>1</v>
      </c>
      <c r="G1411" s="41">
        <v>60</v>
      </c>
      <c r="H1411" t="b">
        <f>COUNTIFS(tblCostChecklist[RequirementID],tblCost[[#This Row],[RequirementID]],tblCostChecklist[PlayerPaid],TRUE)&gt;0</f>
        <v>0</v>
      </c>
      <c r="I1411" s="41">
        <f>COUNTIF(tblCost[TargetID],tblCost[[#This Row],[TargetID]])</f>
        <v>6</v>
      </c>
      <c r="J1411" s="41">
        <f>COUNTIFS(tblCost[TargetID],tblCost[[#This Row],[TargetID]],tblCost[PlayerPaid],TRUE)</f>
        <v>0</v>
      </c>
      <c r="K1411" s="41">
        <f>tblCost[[#This Row],[TargetRequirements]]-tblCost[[#This Row],[CompletedRequirements]]</f>
        <v>6</v>
      </c>
      <c r="L1411" s="41" t="b">
        <f>tblCost[[#This Row],[RemainingRequirements]]=0</f>
        <v>0</v>
      </c>
      <c r="M1411" s="43">
        <f>IF(tblCost[[#This Row],[TargetRequirements]]=0,0,tblCost[[#This Row],[CompletedRequirements]]/tblCost[[#This Row],[TargetRequirements]])</f>
        <v>0</v>
      </c>
    </row>
    <row r="1412" spans="1:13">
      <c r="A1412" s="41" t="s">
        <v>5049</v>
      </c>
      <c r="B1412" s="41" t="str">
        <f>_xlfn.TEXTAFTER(_xlfn.TEXTBEFORE(tblCost[[#This Row],[RequirementID]],".",-2),"cost.")</f>
        <v>collection.gallery_1@4</v>
      </c>
      <c r="C1412" s="41" t="str">
        <f>_xlfn.XLOOKUP(tblCost[[#This Row],[TargetID]],tblTargets[TargetID],tblTargets[DisplayName],"")</f>
        <v>Gallery 1 Lv 4</v>
      </c>
      <c r="D1412" s="41" t="str">
        <f>_xlfn.XLOOKUP(tblCost[[#This Row],[TargetID]],tblTargets[TargetID],tblTargets[TargetType],"")</f>
        <v>COLLECTION</v>
      </c>
      <c r="E1412" s="41" t="s">
        <v>705</v>
      </c>
      <c r="F1412" s="62" t="str">
        <f>RIGHT(tblCost[[#This Row],[RequirementID]],1)</f>
        <v>1</v>
      </c>
      <c r="G1412" s="41">
        <v>60</v>
      </c>
      <c r="H1412" t="b">
        <f>COUNTIFS(tblCostChecklist[RequirementID],tblCost[[#This Row],[RequirementID]],tblCostChecklist[PlayerPaid],TRUE)&gt;0</f>
        <v>0</v>
      </c>
      <c r="I1412" s="41">
        <f>COUNTIF(tblCost[TargetID],tblCost[[#This Row],[TargetID]])</f>
        <v>6</v>
      </c>
      <c r="J1412" s="41">
        <f>COUNTIFS(tblCost[TargetID],tblCost[[#This Row],[TargetID]],tblCost[PlayerPaid],TRUE)</f>
        <v>0</v>
      </c>
      <c r="K1412" s="41">
        <f>tblCost[[#This Row],[TargetRequirements]]-tblCost[[#This Row],[CompletedRequirements]]</f>
        <v>6</v>
      </c>
      <c r="L1412" s="41" t="b">
        <f>tblCost[[#This Row],[RemainingRequirements]]=0</f>
        <v>0</v>
      </c>
      <c r="M1412" s="43">
        <f>IF(tblCost[[#This Row],[TargetRequirements]]=0,0,tblCost[[#This Row],[CompletedRequirements]]/tblCost[[#This Row],[TargetRequirements]])</f>
        <v>0</v>
      </c>
    </row>
    <row r="1413" spans="1:13">
      <c r="A1413" s="41" t="s">
        <v>5050</v>
      </c>
      <c r="B1413" s="41" t="str">
        <f>_xlfn.TEXTAFTER(_xlfn.TEXTBEFORE(tblCost[[#This Row],[RequirementID]],".",-2),"cost.")</f>
        <v>collection.gallery_1@4</v>
      </c>
      <c r="C1413" s="41" t="str">
        <f>_xlfn.XLOOKUP(tblCost[[#This Row],[TargetID]],tblTargets[TargetID],tblTargets[DisplayName],"")</f>
        <v>Gallery 1 Lv 4</v>
      </c>
      <c r="D1413" s="41" t="str">
        <f>_xlfn.XLOOKUP(tblCost[[#This Row],[TargetID]],tblTargets[TargetID],tblTargets[TargetType],"")</f>
        <v>COLLECTION</v>
      </c>
      <c r="E1413" s="41" t="s">
        <v>720</v>
      </c>
      <c r="F1413" s="62" t="str">
        <f>RIGHT(tblCost[[#This Row],[RequirementID]],1)</f>
        <v>1</v>
      </c>
      <c r="G1413" s="41">
        <v>20</v>
      </c>
      <c r="H1413" t="b">
        <f>COUNTIFS(tblCostChecklist[RequirementID],tblCost[[#This Row],[RequirementID]],tblCostChecklist[PlayerPaid],TRUE)&gt;0</f>
        <v>0</v>
      </c>
      <c r="I1413" s="41">
        <f>COUNTIF(tblCost[TargetID],tblCost[[#This Row],[TargetID]])</f>
        <v>6</v>
      </c>
      <c r="J1413" s="41">
        <f>COUNTIFS(tblCost[TargetID],tblCost[[#This Row],[TargetID]],tblCost[PlayerPaid],TRUE)</f>
        <v>0</v>
      </c>
      <c r="K1413" s="41">
        <f>tblCost[[#This Row],[TargetRequirements]]-tblCost[[#This Row],[CompletedRequirements]]</f>
        <v>6</v>
      </c>
      <c r="L1413" s="41" t="b">
        <f>tblCost[[#This Row],[RemainingRequirements]]=0</f>
        <v>0</v>
      </c>
      <c r="M1413" s="43">
        <f>IF(tblCost[[#This Row],[TargetRequirements]]=0,0,tblCost[[#This Row],[CompletedRequirements]]/tblCost[[#This Row],[TargetRequirements]])</f>
        <v>0</v>
      </c>
    </row>
    <row r="1414" spans="1:13">
      <c r="A1414" s="41" t="s">
        <v>5051</v>
      </c>
      <c r="B1414" s="41" t="str">
        <f>_xlfn.TEXTAFTER(_xlfn.TEXTBEFORE(tblCost[[#This Row],[RequirementID]],".",-2),"cost.")</f>
        <v>collection.gallery_1@5</v>
      </c>
      <c r="C1414" s="41" t="str">
        <f>_xlfn.XLOOKUP(tblCost[[#This Row],[TargetID]],tblTargets[TargetID],tblTargets[DisplayName],"")</f>
        <v>Gallery 1 Lv 5</v>
      </c>
      <c r="D1414" s="41" t="str">
        <f>_xlfn.XLOOKUP(tblCost[[#This Row],[TargetID]],tblTargets[TargetID],tblTargets[TargetType],"")</f>
        <v>COLLECTION</v>
      </c>
      <c r="E1414" s="41" t="s">
        <v>655</v>
      </c>
      <c r="F1414" s="62" t="str">
        <f>RIGHT(tblCost[[#This Row],[RequirementID]],1)</f>
        <v>1</v>
      </c>
      <c r="G1414" s="41">
        <v>25</v>
      </c>
      <c r="H1414" t="b">
        <f>COUNTIFS(tblCostChecklist[RequirementID],tblCost[[#This Row],[RequirementID]],tblCostChecklist[PlayerPaid],TRUE)&gt;0</f>
        <v>0</v>
      </c>
      <c r="I1414" s="41">
        <f>COUNTIF(tblCost[TargetID],tblCost[[#This Row],[TargetID]])</f>
        <v>6</v>
      </c>
      <c r="J1414" s="41">
        <f>COUNTIFS(tblCost[TargetID],tblCost[[#This Row],[TargetID]],tblCost[PlayerPaid],TRUE)</f>
        <v>0</v>
      </c>
      <c r="K1414" s="41">
        <f>tblCost[[#This Row],[TargetRequirements]]-tblCost[[#This Row],[CompletedRequirements]]</f>
        <v>6</v>
      </c>
      <c r="L1414" s="41" t="b">
        <f>tblCost[[#This Row],[RemainingRequirements]]=0</f>
        <v>0</v>
      </c>
      <c r="M1414" s="43">
        <f>IF(tblCost[[#This Row],[TargetRequirements]]=0,0,tblCost[[#This Row],[CompletedRequirements]]/tblCost[[#This Row],[TargetRequirements]])</f>
        <v>0</v>
      </c>
    </row>
    <row r="1415" spans="1:13">
      <c r="A1415" s="41" t="s">
        <v>5052</v>
      </c>
      <c r="B1415" s="41" t="str">
        <f>_xlfn.TEXTAFTER(_xlfn.TEXTBEFORE(tblCost[[#This Row],[RequirementID]],".",-2),"cost.")</f>
        <v>collection.gallery_1@5</v>
      </c>
      <c r="C1415" s="41" t="str">
        <f>_xlfn.XLOOKUP(tblCost[[#This Row],[TargetID]],tblTargets[TargetID],tblTargets[DisplayName],"")</f>
        <v>Gallery 1 Lv 5</v>
      </c>
      <c r="D1415" s="41" t="str">
        <f>_xlfn.XLOOKUP(tblCost[[#This Row],[TargetID]],tblTargets[TargetID],tblTargets[TargetType],"")</f>
        <v>COLLECTION</v>
      </c>
      <c r="E1415" s="41" t="s">
        <v>929</v>
      </c>
      <c r="F1415" s="62" t="str">
        <f>RIGHT(tblCost[[#This Row],[RequirementID]],1)</f>
        <v>1</v>
      </c>
      <c r="G1415" s="41">
        <v>50</v>
      </c>
      <c r="H1415" t="b">
        <f>COUNTIFS(tblCostChecklist[RequirementID],tblCost[[#This Row],[RequirementID]],tblCostChecklist[PlayerPaid],TRUE)&gt;0</f>
        <v>0</v>
      </c>
      <c r="I1415" s="41">
        <f>COUNTIF(tblCost[TargetID],tblCost[[#This Row],[TargetID]])</f>
        <v>6</v>
      </c>
      <c r="J1415" s="41">
        <f>COUNTIFS(tblCost[TargetID],tblCost[[#This Row],[TargetID]],tblCost[PlayerPaid],TRUE)</f>
        <v>0</v>
      </c>
      <c r="K1415" s="41">
        <f>tblCost[[#This Row],[TargetRequirements]]-tblCost[[#This Row],[CompletedRequirements]]</f>
        <v>6</v>
      </c>
      <c r="L1415" s="41" t="b">
        <f>tblCost[[#This Row],[RemainingRequirements]]=0</f>
        <v>0</v>
      </c>
      <c r="M1415" s="43">
        <f>IF(tblCost[[#This Row],[TargetRequirements]]=0,0,tblCost[[#This Row],[CompletedRequirements]]/tblCost[[#This Row],[TargetRequirements]])</f>
        <v>0</v>
      </c>
    </row>
    <row r="1416" spans="1:13">
      <c r="A1416" s="41" t="s">
        <v>5053</v>
      </c>
      <c r="B1416" s="41" t="str">
        <f>_xlfn.TEXTAFTER(_xlfn.TEXTBEFORE(tblCost[[#This Row],[RequirementID]],".",-2),"cost.")</f>
        <v>collection.gallery_1@5</v>
      </c>
      <c r="C1416" s="41" t="str">
        <f>_xlfn.XLOOKUP(tblCost[[#This Row],[TargetID]],tblTargets[TargetID],tblTargets[DisplayName],"")</f>
        <v>Gallery 1 Lv 5</v>
      </c>
      <c r="D1416" s="41" t="str">
        <f>_xlfn.XLOOKUP(tblCost[[#This Row],[TargetID]],tblTargets[TargetID],tblTargets[TargetType],"")</f>
        <v>COLLECTION</v>
      </c>
      <c r="E1416" s="41" t="s">
        <v>940</v>
      </c>
      <c r="F1416" s="62" t="str">
        <f>RIGHT(tblCost[[#This Row],[RequirementID]],1)</f>
        <v>1</v>
      </c>
      <c r="G1416" s="41">
        <v>50</v>
      </c>
      <c r="H1416" t="b">
        <f>COUNTIFS(tblCostChecklist[RequirementID],tblCost[[#This Row],[RequirementID]],tblCostChecklist[PlayerPaid],TRUE)&gt;0</f>
        <v>0</v>
      </c>
      <c r="I1416" s="41">
        <f>COUNTIF(tblCost[TargetID],tblCost[[#This Row],[TargetID]])</f>
        <v>6</v>
      </c>
      <c r="J1416" s="41">
        <f>COUNTIFS(tblCost[TargetID],tblCost[[#This Row],[TargetID]],tblCost[PlayerPaid],TRUE)</f>
        <v>0</v>
      </c>
      <c r="K1416" s="41">
        <f>tblCost[[#This Row],[TargetRequirements]]-tblCost[[#This Row],[CompletedRequirements]]</f>
        <v>6</v>
      </c>
      <c r="L1416" s="41" t="b">
        <f>tblCost[[#This Row],[RemainingRequirements]]=0</f>
        <v>0</v>
      </c>
      <c r="M1416" s="43">
        <f>IF(tblCost[[#This Row],[TargetRequirements]]=0,0,tblCost[[#This Row],[CompletedRequirements]]/tblCost[[#This Row],[TargetRequirements]])</f>
        <v>0</v>
      </c>
    </row>
    <row r="1417" spans="1:13">
      <c r="A1417" s="41" t="s">
        <v>5054</v>
      </c>
      <c r="B1417" s="41" t="str">
        <f>_xlfn.TEXTAFTER(_xlfn.TEXTBEFORE(tblCost[[#This Row],[RequirementID]],".",-2),"cost.")</f>
        <v>collection.gallery_1@5</v>
      </c>
      <c r="C1417" s="41" t="str">
        <f>_xlfn.XLOOKUP(tblCost[[#This Row],[TargetID]],tblTargets[TargetID],tblTargets[DisplayName],"")</f>
        <v>Gallery 1 Lv 5</v>
      </c>
      <c r="D1417" s="41" t="str">
        <f>_xlfn.XLOOKUP(tblCost[[#This Row],[TargetID]],tblTargets[TargetID],tblTargets[TargetType],"")</f>
        <v>COLLECTION</v>
      </c>
      <c r="E1417" s="41" t="s">
        <v>690</v>
      </c>
      <c r="F1417" s="62" t="str">
        <f>RIGHT(tblCost[[#This Row],[RequirementID]],1)</f>
        <v>1</v>
      </c>
      <c r="G1417" s="41">
        <v>75</v>
      </c>
      <c r="H1417" t="b">
        <f>COUNTIFS(tblCostChecklist[RequirementID],tblCost[[#This Row],[RequirementID]],tblCostChecklist[PlayerPaid],TRUE)&gt;0</f>
        <v>0</v>
      </c>
      <c r="I1417" s="41">
        <f>COUNTIF(tblCost[TargetID],tblCost[[#This Row],[TargetID]])</f>
        <v>6</v>
      </c>
      <c r="J1417" s="41">
        <f>COUNTIFS(tblCost[TargetID],tblCost[[#This Row],[TargetID]],tblCost[PlayerPaid],TRUE)</f>
        <v>0</v>
      </c>
      <c r="K1417" s="41">
        <f>tblCost[[#This Row],[TargetRequirements]]-tblCost[[#This Row],[CompletedRequirements]]</f>
        <v>6</v>
      </c>
      <c r="L1417" s="41" t="b">
        <f>tblCost[[#This Row],[RemainingRequirements]]=0</f>
        <v>0</v>
      </c>
      <c r="M1417" s="43">
        <f>IF(tblCost[[#This Row],[TargetRequirements]]=0,0,tblCost[[#This Row],[CompletedRequirements]]/tblCost[[#This Row],[TargetRequirements]])</f>
        <v>0</v>
      </c>
    </row>
    <row r="1418" spans="1:13">
      <c r="A1418" s="41" t="s">
        <v>5055</v>
      </c>
      <c r="B1418" s="41" t="str">
        <f>_xlfn.TEXTAFTER(_xlfn.TEXTBEFORE(tblCost[[#This Row],[RequirementID]],".",-2),"cost.")</f>
        <v>collection.gallery_1@5</v>
      </c>
      <c r="C1418" s="41" t="str">
        <f>_xlfn.XLOOKUP(tblCost[[#This Row],[TargetID]],tblTargets[TargetID],tblTargets[DisplayName],"")</f>
        <v>Gallery 1 Lv 5</v>
      </c>
      <c r="D1418" s="41" t="str">
        <f>_xlfn.XLOOKUP(tblCost[[#This Row],[TargetID]],tblTargets[TargetID],tblTargets[TargetType],"")</f>
        <v>COLLECTION</v>
      </c>
      <c r="E1418" s="41" t="s">
        <v>705</v>
      </c>
      <c r="F1418" s="62" t="str">
        <f>RIGHT(tblCost[[#This Row],[RequirementID]],1)</f>
        <v>1</v>
      </c>
      <c r="G1418" s="41">
        <v>75</v>
      </c>
      <c r="H1418" t="b">
        <f>COUNTIFS(tblCostChecklist[RequirementID],tblCost[[#This Row],[RequirementID]],tblCostChecklist[PlayerPaid],TRUE)&gt;0</f>
        <v>0</v>
      </c>
      <c r="I1418" s="41">
        <f>COUNTIF(tblCost[TargetID],tblCost[[#This Row],[TargetID]])</f>
        <v>6</v>
      </c>
      <c r="J1418" s="41">
        <f>COUNTIFS(tblCost[TargetID],tblCost[[#This Row],[TargetID]],tblCost[PlayerPaid],TRUE)</f>
        <v>0</v>
      </c>
      <c r="K1418" s="41">
        <f>tblCost[[#This Row],[TargetRequirements]]-tblCost[[#This Row],[CompletedRequirements]]</f>
        <v>6</v>
      </c>
      <c r="L1418" s="41" t="b">
        <f>tblCost[[#This Row],[RemainingRequirements]]=0</f>
        <v>0</v>
      </c>
      <c r="M1418" s="43">
        <f>IF(tblCost[[#This Row],[TargetRequirements]]=0,0,tblCost[[#This Row],[CompletedRequirements]]/tblCost[[#This Row],[TargetRequirements]])</f>
        <v>0</v>
      </c>
    </row>
    <row r="1419" spans="1:13">
      <c r="A1419" s="41" t="s">
        <v>5056</v>
      </c>
      <c r="B1419" s="41" t="str">
        <f>_xlfn.TEXTAFTER(_xlfn.TEXTBEFORE(tblCost[[#This Row],[RequirementID]],".",-2),"cost.")</f>
        <v>collection.gallery_1@5</v>
      </c>
      <c r="C1419" s="41" t="str">
        <f>_xlfn.XLOOKUP(tblCost[[#This Row],[TargetID]],tblTargets[TargetID],tblTargets[DisplayName],"")</f>
        <v>Gallery 1 Lv 5</v>
      </c>
      <c r="D1419" s="41" t="str">
        <f>_xlfn.XLOOKUP(tblCost[[#This Row],[TargetID]],tblTargets[TargetID],tblTargets[TargetType],"")</f>
        <v>COLLECTION</v>
      </c>
      <c r="E1419" s="41" t="s">
        <v>720</v>
      </c>
      <c r="F1419" s="62" t="str">
        <f>RIGHT(tblCost[[#This Row],[RequirementID]],1)</f>
        <v>1</v>
      </c>
      <c r="G1419" s="41">
        <v>25</v>
      </c>
      <c r="H1419" t="b">
        <f>COUNTIFS(tblCostChecklist[RequirementID],tblCost[[#This Row],[RequirementID]],tblCostChecklist[PlayerPaid],TRUE)&gt;0</f>
        <v>0</v>
      </c>
      <c r="I1419" s="41">
        <f>COUNTIF(tblCost[TargetID],tblCost[[#This Row],[TargetID]])</f>
        <v>6</v>
      </c>
      <c r="J1419" s="41">
        <f>COUNTIFS(tblCost[TargetID],tblCost[[#This Row],[TargetID]],tblCost[PlayerPaid],TRUE)</f>
        <v>0</v>
      </c>
      <c r="K1419" s="41">
        <f>tblCost[[#This Row],[TargetRequirements]]-tblCost[[#This Row],[CompletedRequirements]]</f>
        <v>6</v>
      </c>
      <c r="L1419" s="41" t="b">
        <f>tblCost[[#This Row],[RemainingRequirements]]=0</f>
        <v>0</v>
      </c>
      <c r="M1419" s="43">
        <f>IF(tblCost[[#This Row],[TargetRequirements]]=0,0,tblCost[[#This Row],[CompletedRequirements]]/tblCost[[#This Row],[TargetRequirements]])</f>
        <v>0</v>
      </c>
    </row>
    <row r="1420" spans="1:13">
      <c r="A1420" s="41" t="s">
        <v>5057</v>
      </c>
      <c r="B1420" s="41" t="str">
        <f>_xlfn.TEXTAFTER(_xlfn.TEXTBEFORE(tblCost[[#This Row],[RequirementID]],".",-2),"cost.")</f>
        <v>collection.gallery_2@1</v>
      </c>
      <c r="C1420" s="41" t="str">
        <f>_xlfn.XLOOKUP(tblCost[[#This Row],[TargetID]],tblTargets[TargetID],tblTargets[DisplayName],"")</f>
        <v>Gallery 2 Lv 1</v>
      </c>
      <c r="D1420" s="41" t="str">
        <f>_xlfn.XLOOKUP(tblCost[[#This Row],[TargetID]],tblTargets[TargetID],tblTargets[TargetType],"")</f>
        <v>COLLECTION</v>
      </c>
      <c r="E1420" s="41" t="s">
        <v>937</v>
      </c>
      <c r="F1420" s="62" t="str">
        <f>RIGHT(tblCost[[#This Row],[RequirementID]],1)</f>
        <v>1</v>
      </c>
      <c r="G1420" s="41">
        <v>3</v>
      </c>
      <c r="H1420" t="b">
        <f>COUNTIFS(tblCostChecklist[RequirementID],tblCost[[#This Row],[RequirementID]],tblCostChecklist[PlayerPaid],TRUE)&gt;0</f>
        <v>0</v>
      </c>
      <c r="I1420" s="41">
        <f>COUNTIF(tblCost[TargetID],tblCost[[#This Row],[TargetID]])</f>
        <v>3</v>
      </c>
      <c r="J1420" s="41">
        <f>COUNTIFS(tblCost[TargetID],tblCost[[#This Row],[TargetID]],tblCost[PlayerPaid],TRUE)</f>
        <v>0</v>
      </c>
      <c r="K1420" s="41">
        <f>tblCost[[#This Row],[TargetRequirements]]-tblCost[[#This Row],[CompletedRequirements]]</f>
        <v>3</v>
      </c>
      <c r="L1420" s="41" t="b">
        <f>tblCost[[#This Row],[RemainingRequirements]]=0</f>
        <v>0</v>
      </c>
      <c r="M1420" s="43">
        <f>IF(tblCost[[#This Row],[TargetRequirements]]=0,0,tblCost[[#This Row],[CompletedRequirements]]/tblCost[[#This Row],[TargetRequirements]])</f>
        <v>0</v>
      </c>
    </row>
    <row r="1421" spans="1:13">
      <c r="A1421" s="41" t="s">
        <v>5058</v>
      </c>
      <c r="B1421" s="41" t="str">
        <f>_xlfn.TEXTAFTER(_xlfn.TEXTBEFORE(tblCost[[#This Row],[RequirementID]],".",-2),"cost.")</f>
        <v>collection.gallery_2@1</v>
      </c>
      <c r="C1421" s="41" t="str">
        <f>_xlfn.XLOOKUP(tblCost[[#This Row],[TargetID]],tblTargets[TargetID],tblTargets[DisplayName],"")</f>
        <v>Gallery 2 Lv 1</v>
      </c>
      <c r="D1421" s="41" t="str">
        <f>_xlfn.XLOOKUP(tblCost[[#This Row],[TargetID]],tblTargets[TargetID],tblTargets[TargetType],"")</f>
        <v>COLLECTION</v>
      </c>
      <c r="E1421" s="41" t="s">
        <v>939</v>
      </c>
      <c r="F1421" s="62" t="str">
        <f>RIGHT(tblCost[[#This Row],[RequirementID]],1)</f>
        <v>1</v>
      </c>
      <c r="G1421" s="41">
        <v>1</v>
      </c>
      <c r="H1421" t="b">
        <f>COUNTIFS(tblCostChecklist[RequirementID],tblCost[[#This Row],[RequirementID]],tblCostChecklist[PlayerPaid],TRUE)&gt;0</f>
        <v>0</v>
      </c>
      <c r="I1421" s="41">
        <f>COUNTIF(tblCost[TargetID],tblCost[[#This Row],[TargetID]])</f>
        <v>3</v>
      </c>
      <c r="J1421" s="41">
        <f>COUNTIFS(tblCost[TargetID],tblCost[[#This Row],[TargetID]],tblCost[PlayerPaid],TRUE)</f>
        <v>0</v>
      </c>
      <c r="K1421" s="41">
        <f>tblCost[[#This Row],[TargetRequirements]]-tblCost[[#This Row],[CompletedRequirements]]</f>
        <v>3</v>
      </c>
      <c r="L1421" s="41" t="b">
        <f>tblCost[[#This Row],[RemainingRequirements]]=0</f>
        <v>0</v>
      </c>
      <c r="M1421" s="43">
        <f>IF(tblCost[[#This Row],[TargetRequirements]]=0,0,tblCost[[#This Row],[CompletedRequirements]]/tblCost[[#This Row],[TargetRequirements]])</f>
        <v>0</v>
      </c>
    </row>
    <row r="1422" spans="1:13">
      <c r="A1422" s="41" t="s">
        <v>5059</v>
      </c>
      <c r="B1422" s="41" t="str">
        <f>_xlfn.TEXTAFTER(_xlfn.TEXTBEFORE(tblCost[[#This Row],[RequirementID]],".",-2),"cost.")</f>
        <v>collection.gallery_2@1</v>
      </c>
      <c r="C1422" s="41" t="str">
        <f>_xlfn.XLOOKUP(tblCost[[#This Row],[TargetID]],tblTargets[TargetID],tblTargets[DisplayName],"")</f>
        <v>Gallery 2 Lv 1</v>
      </c>
      <c r="D1422" s="41" t="str">
        <f>_xlfn.XLOOKUP(tblCost[[#This Row],[TargetID]],tblTargets[TargetID],tblTargets[TargetType],"")</f>
        <v>COLLECTION</v>
      </c>
      <c r="E1422" s="41" t="s">
        <v>1847</v>
      </c>
      <c r="F1422" s="62" t="str">
        <f>RIGHT(tblCost[[#This Row],[RequirementID]],1)</f>
        <v>1</v>
      </c>
      <c r="G1422" s="41">
        <v>3</v>
      </c>
      <c r="H1422" t="b">
        <f>COUNTIFS(tblCostChecklist[RequirementID],tblCost[[#This Row],[RequirementID]],tblCostChecklist[PlayerPaid],TRUE)&gt;0</f>
        <v>0</v>
      </c>
      <c r="I1422" s="41">
        <f>COUNTIF(tblCost[TargetID],tblCost[[#This Row],[TargetID]])</f>
        <v>3</v>
      </c>
      <c r="J1422" s="41">
        <f>COUNTIFS(tblCost[TargetID],tblCost[[#This Row],[TargetID]],tblCost[PlayerPaid],TRUE)</f>
        <v>0</v>
      </c>
      <c r="K1422" s="41">
        <f>tblCost[[#This Row],[TargetRequirements]]-tblCost[[#This Row],[CompletedRequirements]]</f>
        <v>3</v>
      </c>
      <c r="L1422" s="41" t="b">
        <f>tblCost[[#This Row],[RemainingRequirements]]=0</f>
        <v>0</v>
      </c>
      <c r="M1422" s="43">
        <f>IF(tblCost[[#This Row],[TargetRequirements]]=0,0,tblCost[[#This Row],[CompletedRequirements]]/tblCost[[#This Row],[TargetRequirements]])</f>
        <v>0</v>
      </c>
    </row>
    <row r="1423" spans="1:13">
      <c r="A1423" s="41" t="s">
        <v>5060</v>
      </c>
      <c r="B1423" s="41" t="str">
        <f>_xlfn.TEXTAFTER(_xlfn.TEXTBEFORE(tblCost[[#This Row],[RequirementID]],".",-2),"cost.")</f>
        <v>collection.gallery_2@2</v>
      </c>
      <c r="C1423" s="41" t="str">
        <f>_xlfn.XLOOKUP(tblCost[[#This Row],[TargetID]],tblTargets[TargetID],tblTargets[DisplayName],"")</f>
        <v>Gallery 2 Lv 2</v>
      </c>
      <c r="D1423" s="41" t="str">
        <f>_xlfn.XLOOKUP(tblCost[[#This Row],[TargetID]],tblTargets[TargetID],tblTargets[TargetType],"")</f>
        <v>COLLECTION</v>
      </c>
      <c r="E1423" s="41" t="s">
        <v>937</v>
      </c>
      <c r="F1423" s="62" t="str">
        <f>RIGHT(tblCost[[#This Row],[RequirementID]],1)</f>
        <v>1</v>
      </c>
      <c r="G1423" s="41">
        <v>6</v>
      </c>
      <c r="H1423" t="b">
        <f>COUNTIFS(tblCostChecklist[RequirementID],tblCost[[#This Row],[RequirementID]],tblCostChecklist[PlayerPaid],TRUE)&gt;0</f>
        <v>0</v>
      </c>
      <c r="I1423" s="41">
        <f>COUNTIF(tblCost[TargetID],tblCost[[#This Row],[TargetID]])</f>
        <v>3</v>
      </c>
      <c r="J1423" s="41">
        <f>COUNTIFS(tblCost[TargetID],tblCost[[#This Row],[TargetID]],tblCost[PlayerPaid],TRUE)</f>
        <v>0</v>
      </c>
      <c r="K1423" s="41">
        <f>tblCost[[#This Row],[TargetRequirements]]-tblCost[[#This Row],[CompletedRequirements]]</f>
        <v>3</v>
      </c>
      <c r="L1423" s="41" t="b">
        <f>tblCost[[#This Row],[RemainingRequirements]]=0</f>
        <v>0</v>
      </c>
      <c r="M1423" s="43">
        <f>IF(tblCost[[#This Row],[TargetRequirements]]=0,0,tblCost[[#This Row],[CompletedRequirements]]/tblCost[[#This Row],[TargetRequirements]])</f>
        <v>0</v>
      </c>
    </row>
    <row r="1424" spans="1:13">
      <c r="A1424" s="41" t="s">
        <v>5061</v>
      </c>
      <c r="B1424" s="41" t="str">
        <f>_xlfn.TEXTAFTER(_xlfn.TEXTBEFORE(tblCost[[#This Row],[RequirementID]],".",-2),"cost.")</f>
        <v>collection.gallery_2@2</v>
      </c>
      <c r="C1424" s="41" t="str">
        <f>_xlfn.XLOOKUP(tblCost[[#This Row],[TargetID]],tblTargets[TargetID],tblTargets[DisplayName],"")</f>
        <v>Gallery 2 Lv 2</v>
      </c>
      <c r="D1424" s="41" t="str">
        <f>_xlfn.XLOOKUP(tblCost[[#This Row],[TargetID]],tblTargets[TargetID],tblTargets[TargetType],"")</f>
        <v>COLLECTION</v>
      </c>
      <c r="E1424" s="41" t="s">
        <v>939</v>
      </c>
      <c r="F1424" s="62" t="str">
        <f>RIGHT(tblCost[[#This Row],[RequirementID]],1)</f>
        <v>1</v>
      </c>
      <c r="G1424" s="41">
        <v>2</v>
      </c>
      <c r="H1424" t="b">
        <f>COUNTIFS(tblCostChecklist[RequirementID],tblCost[[#This Row],[RequirementID]],tblCostChecklist[PlayerPaid],TRUE)&gt;0</f>
        <v>0</v>
      </c>
      <c r="I1424" s="41">
        <f>COUNTIF(tblCost[TargetID],tblCost[[#This Row],[TargetID]])</f>
        <v>3</v>
      </c>
      <c r="J1424" s="41">
        <f>COUNTIFS(tblCost[TargetID],tblCost[[#This Row],[TargetID]],tblCost[PlayerPaid],TRUE)</f>
        <v>0</v>
      </c>
      <c r="K1424" s="41">
        <f>tblCost[[#This Row],[TargetRequirements]]-tblCost[[#This Row],[CompletedRequirements]]</f>
        <v>3</v>
      </c>
      <c r="L1424" s="41" t="b">
        <f>tblCost[[#This Row],[RemainingRequirements]]=0</f>
        <v>0</v>
      </c>
      <c r="M1424" s="43">
        <f>IF(tblCost[[#This Row],[TargetRequirements]]=0,0,tblCost[[#This Row],[CompletedRequirements]]/tblCost[[#This Row],[TargetRequirements]])</f>
        <v>0</v>
      </c>
    </row>
    <row r="1425" spans="1:13">
      <c r="A1425" s="41" t="s">
        <v>5062</v>
      </c>
      <c r="B1425" s="41" t="str">
        <f>_xlfn.TEXTAFTER(_xlfn.TEXTBEFORE(tblCost[[#This Row],[RequirementID]],".",-2),"cost.")</f>
        <v>collection.gallery_2@2</v>
      </c>
      <c r="C1425" s="41" t="str">
        <f>_xlfn.XLOOKUP(tblCost[[#This Row],[TargetID]],tblTargets[TargetID],tblTargets[DisplayName],"")</f>
        <v>Gallery 2 Lv 2</v>
      </c>
      <c r="D1425" s="41" t="str">
        <f>_xlfn.XLOOKUP(tblCost[[#This Row],[TargetID]],tblTargets[TargetID],tblTargets[TargetType],"")</f>
        <v>COLLECTION</v>
      </c>
      <c r="E1425" s="41" t="s">
        <v>1847</v>
      </c>
      <c r="F1425" s="62" t="str">
        <f>RIGHT(tblCost[[#This Row],[RequirementID]],1)</f>
        <v>1</v>
      </c>
      <c r="G1425" s="41">
        <v>6</v>
      </c>
      <c r="H1425" t="b">
        <f>COUNTIFS(tblCostChecklist[RequirementID],tblCost[[#This Row],[RequirementID]],tblCostChecklist[PlayerPaid],TRUE)&gt;0</f>
        <v>0</v>
      </c>
      <c r="I1425" s="41">
        <f>COUNTIF(tblCost[TargetID],tblCost[[#This Row],[TargetID]])</f>
        <v>3</v>
      </c>
      <c r="J1425" s="41">
        <f>COUNTIFS(tblCost[TargetID],tblCost[[#This Row],[TargetID]],tblCost[PlayerPaid],TRUE)</f>
        <v>0</v>
      </c>
      <c r="K1425" s="41">
        <f>tblCost[[#This Row],[TargetRequirements]]-tblCost[[#This Row],[CompletedRequirements]]</f>
        <v>3</v>
      </c>
      <c r="L1425" s="41" t="b">
        <f>tblCost[[#This Row],[RemainingRequirements]]=0</f>
        <v>0</v>
      </c>
      <c r="M1425" s="43">
        <f>IF(tblCost[[#This Row],[TargetRequirements]]=0,0,tblCost[[#This Row],[CompletedRequirements]]/tblCost[[#This Row],[TargetRequirements]])</f>
        <v>0</v>
      </c>
    </row>
    <row r="1426" spans="1:13">
      <c r="A1426" s="41" t="s">
        <v>5063</v>
      </c>
      <c r="B1426" s="41" t="str">
        <f>_xlfn.TEXTAFTER(_xlfn.TEXTBEFORE(tblCost[[#This Row],[RequirementID]],".",-2),"cost.")</f>
        <v>collection.gallery_2@3</v>
      </c>
      <c r="C1426" s="41" t="str">
        <f>_xlfn.XLOOKUP(tblCost[[#This Row],[TargetID]],tblTargets[TargetID],tblTargets[DisplayName],"")</f>
        <v>Gallery 2 Lv 3</v>
      </c>
      <c r="D1426" s="41" t="str">
        <f>_xlfn.XLOOKUP(tblCost[[#This Row],[TargetID]],tblTargets[TargetID],tblTargets[TargetType],"")</f>
        <v>COLLECTION</v>
      </c>
      <c r="E1426" s="41" t="s">
        <v>937</v>
      </c>
      <c r="F1426" s="62" t="str">
        <f>RIGHT(tblCost[[#This Row],[RequirementID]],1)</f>
        <v>1</v>
      </c>
      <c r="G1426" s="41">
        <v>9</v>
      </c>
      <c r="H1426" t="b">
        <f>COUNTIFS(tblCostChecklist[RequirementID],tblCost[[#This Row],[RequirementID]],tblCostChecklist[PlayerPaid],TRUE)&gt;0</f>
        <v>0</v>
      </c>
      <c r="I1426" s="41">
        <f>COUNTIF(tblCost[TargetID],tblCost[[#This Row],[TargetID]])</f>
        <v>3</v>
      </c>
      <c r="J1426" s="41">
        <f>COUNTIFS(tblCost[TargetID],tblCost[[#This Row],[TargetID]],tblCost[PlayerPaid],TRUE)</f>
        <v>0</v>
      </c>
      <c r="K1426" s="41">
        <f>tblCost[[#This Row],[TargetRequirements]]-tblCost[[#This Row],[CompletedRequirements]]</f>
        <v>3</v>
      </c>
      <c r="L1426" s="41" t="b">
        <f>tblCost[[#This Row],[RemainingRequirements]]=0</f>
        <v>0</v>
      </c>
      <c r="M1426" s="43">
        <f>IF(tblCost[[#This Row],[TargetRequirements]]=0,0,tblCost[[#This Row],[CompletedRequirements]]/tblCost[[#This Row],[TargetRequirements]])</f>
        <v>0</v>
      </c>
    </row>
    <row r="1427" spans="1:13">
      <c r="A1427" s="41" t="s">
        <v>5064</v>
      </c>
      <c r="B1427" s="41" t="str">
        <f>_xlfn.TEXTAFTER(_xlfn.TEXTBEFORE(tblCost[[#This Row],[RequirementID]],".",-2),"cost.")</f>
        <v>collection.gallery_2@3</v>
      </c>
      <c r="C1427" s="41" t="str">
        <f>_xlfn.XLOOKUP(tblCost[[#This Row],[TargetID]],tblTargets[TargetID],tblTargets[DisplayName],"")</f>
        <v>Gallery 2 Lv 3</v>
      </c>
      <c r="D1427" s="41" t="str">
        <f>_xlfn.XLOOKUP(tblCost[[#This Row],[TargetID]],tblTargets[TargetID],tblTargets[TargetType],"")</f>
        <v>COLLECTION</v>
      </c>
      <c r="E1427" s="41" t="s">
        <v>939</v>
      </c>
      <c r="F1427" s="62" t="str">
        <f>RIGHT(tblCost[[#This Row],[RequirementID]],1)</f>
        <v>1</v>
      </c>
      <c r="G1427" s="41">
        <v>3</v>
      </c>
      <c r="H1427" t="b">
        <f>COUNTIFS(tblCostChecklist[RequirementID],tblCost[[#This Row],[RequirementID]],tblCostChecklist[PlayerPaid],TRUE)&gt;0</f>
        <v>0</v>
      </c>
      <c r="I1427" s="41">
        <f>COUNTIF(tblCost[TargetID],tblCost[[#This Row],[TargetID]])</f>
        <v>3</v>
      </c>
      <c r="J1427" s="41">
        <f>COUNTIFS(tblCost[TargetID],tblCost[[#This Row],[TargetID]],tblCost[PlayerPaid],TRUE)</f>
        <v>0</v>
      </c>
      <c r="K1427" s="41">
        <f>tblCost[[#This Row],[TargetRequirements]]-tblCost[[#This Row],[CompletedRequirements]]</f>
        <v>3</v>
      </c>
      <c r="L1427" s="41" t="b">
        <f>tblCost[[#This Row],[RemainingRequirements]]=0</f>
        <v>0</v>
      </c>
      <c r="M1427" s="43">
        <f>IF(tblCost[[#This Row],[TargetRequirements]]=0,0,tblCost[[#This Row],[CompletedRequirements]]/tblCost[[#This Row],[TargetRequirements]])</f>
        <v>0</v>
      </c>
    </row>
    <row r="1428" spans="1:13">
      <c r="A1428" s="41" t="s">
        <v>5065</v>
      </c>
      <c r="B1428" s="41" t="str">
        <f>_xlfn.TEXTAFTER(_xlfn.TEXTBEFORE(tblCost[[#This Row],[RequirementID]],".",-2),"cost.")</f>
        <v>collection.gallery_2@3</v>
      </c>
      <c r="C1428" s="41" t="str">
        <f>_xlfn.XLOOKUP(tblCost[[#This Row],[TargetID]],tblTargets[TargetID],tblTargets[DisplayName],"")</f>
        <v>Gallery 2 Lv 3</v>
      </c>
      <c r="D1428" s="41" t="str">
        <f>_xlfn.XLOOKUP(tblCost[[#This Row],[TargetID]],tblTargets[TargetID],tblTargets[TargetType],"")</f>
        <v>COLLECTION</v>
      </c>
      <c r="E1428" s="41" t="s">
        <v>1847</v>
      </c>
      <c r="F1428" s="62" t="str">
        <f>RIGHT(tblCost[[#This Row],[RequirementID]],1)</f>
        <v>1</v>
      </c>
      <c r="G1428" s="41">
        <v>9</v>
      </c>
      <c r="H1428" t="b">
        <f>COUNTIFS(tblCostChecklist[RequirementID],tblCost[[#This Row],[RequirementID]],tblCostChecklist[PlayerPaid],TRUE)&gt;0</f>
        <v>0</v>
      </c>
      <c r="I1428" s="41">
        <f>COUNTIF(tblCost[TargetID],tblCost[[#This Row],[TargetID]])</f>
        <v>3</v>
      </c>
      <c r="J1428" s="41">
        <f>COUNTIFS(tblCost[TargetID],tblCost[[#This Row],[TargetID]],tblCost[PlayerPaid],TRUE)</f>
        <v>0</v>
      </c>
      <c r="K1428" s="41">
        <f>tblCost[[#This Row],[TargetRequirements]]-tblCost[[#This Row],[CompletedRequirements]]</f>
        <v>3</v>
      </c>
      <c r="L1428" s="41" t="b">
        <f>tblCost[[#This Row],[RemainingRequirements]]=0</f>
        <v>0</v>
      </c>
      <c r="M1428" s="43">
        <f>IF(tblCost[[#This Row],[TargetRequirements]]=0,0,tblCost[[#This Row],[CompletedRequirements]]/tblCost[[#This Row],[TargetRequirements]])</f>
        <v>0</v>
      </c>
    </row>
    <row r="1429" spans="1:13">
      <c r="A1429" s="41" t="s">
        <v>5066</v>
      </c>
      <c r="B1429" s="41" t="str">
        <f>_xlfn.TEXTAFTER(_xlfn.TEXTBEFORE(tblCost[[#This Row],[RequirementID]],".",-2),"cost.")</f>
        <v>collection.gallery_2@4</v>
      </c>
      <c r="C1429" s="41" t="str">
        <f>_xlfn.XLOOKUP(tblCost[[#This Row],[TargetID]],tblTargets[TargetID],tblTargets[DisplayName],"")</f>
        <v>Gallery 2 Lv 4</v>
      </c>
      <c r="D1429" s="41" t="str">
        <f>_xlfn.XLOOKUP(tblCost[[#This Row],[TargetID]],tblTargets[TargetID],tblTargets[TargetType],"")</f>
        <v>COLLECTION</v>
      </c>
      <c r="E1429" s="41" t="s">
        <v>937</v>
      </c>
      <c r="F1429" s="62" t="str">
        <f>RIGHT(tblCost[[#This Row],[RequirementID]],1)</f>
        <v>1</v>
      </c>
      <c r="G1429" s="41">
        <v>12</v>
      </c>
      <c r="H1429" t="b">
        <f>COUNTIFS(tblCostChecklist[RequirementID],tblCost[[#This Row],[RequirementID]],tblCostChecklist[PlayerPaid],TRUE)&gt;0</f>
        <v>0</v>
      </c>
      <c r="I1429" s="41">
        <f>COUNTIF(tblCost[TargetID],tblCost[[#This Row],[TargetID]])</f>
        <v>3</v>
      </c>
      <c r="J1429" s="41">
        <f>COUNTIFS(tblCost[TargetID],tblCost[[#This Row],[TargetID]],tblCost[PlayerPaid],TRUE)</f>
        <v>0</v>
      </c>
      <c r="K1429" s="41">
        <f>tblCost[[#This Row],[TargetRequirements]]-tblCost[[#This Row],[CompletedRequirements]]</f>
        <v>3</v>
      </c>
      <c r="L1429" s="41" t="b">
        <f>tblCost[[#This Row],[RemainingRequirements]]=0</f>
        <v>0</v>
      </c>
      <c r="M1429" s="43">
        <f>IF(tblCost[[#This Row],[TargetRequirements]]=0,0,tblCost[[#This Row],[CompletedRequirements]]/tblCost[[#This Row],[TargetRequirements]])</f>
        <v>0</v>
      </c>
    </row>
    <row r="1430" spans="1:13">
      <c r="A1430" s="41" t="s">
        <v>5067</v>
      </c>
      <c r="B1430" s="41" t="str">
        <f>_xlfn.TEXTAFTER(_xlfn.TEXTBEFORE(tblCost[[#This Row],[RequirementID]],".",-2),"cost.")</f>
        <v>collection.gallery_2@4</v>
      </c>
      <c r="C1430" s="41" t="str">
        <f>_xlfn.XLOOKUP(tblCost[[#This Row],[TargetID]],tblTargets[TargetID],tblTargets[DisplayName],"")</f>
        <v>Gallery 2 Lv 4</v>
      </c>
      <c r="D1430" s="41" t="str">
        <f>_xlfn.XLOOKUP(tblCost[[#This Row],[TargetID]],tblTargets[TargetID],tblTargets[TargetType],"")</f>
        <v>COLLECTION</v>
      </c>
      <c r="E1430" s="41" t="s">
        <v>939</v>
      </c>
      <c r="F1430" s="62" t="str">
        <f>RIGHT(tblCost[[#This Row],[RequirementID]],1)</f>
        <v>1</v>
      </c>
      <c r="G1430" s="41">
        <v>4</v>
      </c>
      <c r="H1430" t="b">
        <f>COUNTIFS(tblCostChecklist[RequirementID],tblCost[[#This Row],[RequirementID]],tblCostChecklist[PlayerPaid],TRUE)&gt;0</f>
        <v>0</v>
      </c>
      <c r="I1430" s="41">
        <f>COUNTIF(tblCost[TargetID],tblCost[[#This Row],[TargetID]])</f>
        <v>3</v>
      </c>
      <c r="J1430" s="41">
        <f>COUNTIFS(tblCost[TargetID],tblCost[[#This Row],[TargetID]],tblCost[PlayerPaid],TRUE)</f>
        <v>0</v>
      </c>
      <c r="K1430" s="41">
        <f>tblCost[[#This Row],[TargetRequirements]]-tblCost[[#This Row],[CompletedRequirements]]</f>
        <v>3</v>
      </c>
      <c r="L1430" s="41" t="b">
        <f>tblCost[[#This Row],[RemainingRequirements]]=0</f>
        <v>0</v>
      </c>
      <c r="M1430" s="43">
        <f>IF(tblCost[[#This Row],[TargetRequirements]]=0,0,tblCost[[#This Row],[CompletedRequirements]]/tblCost[[#This Row],[TargetRequirements]])</f>
        <v>0</v>
      </c>
    </row>
    <row r="1431" spans="1:13">
      <c r="A1431" s="41" t="s">
        <v>5068</v>
      </c>
      <c r="B1431" s="41" t="str">
        <f>_xlfn.TEXTAFTER(_xlfn.TEXTBEFORE(tblCost[[#This Row],[RequirementID]],".",-2),"cost.")</f>
        <v>collection.gallery_2@4</v>
      </c>
      <c r="C1431" s="41" t="str">
        <f>_xlfn.XLOOKUP(tblCost[[#This Row],[TargetID]],tblTargets[TargetID],tblTargets[DisplayName],"")</f>
        <v>Gallery 2 Lv 4</v>
      </c>
      <c r="D1431" s="41" t="str">
        <f>_xlfn.XLOOKUP(tblCost[[#This Row],[TargetID]],tblTargets[TargetID],tblTargets[TargetType],"")</f>
        <v>COLLECTION</v>
      </c>
      <c r="E1431" s="41" t="s">
        <v>1847</v>
      </c>
      <c r="F1431" s="62" t="str">
        <f>RIGHT(tblCost[[#This Row],[RequirementID]],1)</f>
        <v>1</v>
      </c>
      <c r="G1431" s="41">
        <v>12</v>
      </c>
      <c r="H1431" t="b">
        <f>COUNTIFS(tblCostChecklist[RequirementID],tblCost[[#This Row],[RequirementID]],tblCostChecklist[PlayerPaid],TRUE)&gt;0</f>
        <v>0</v>
      </c>
      <c r="I1431" s="41">
        <f>COUNTIF(tblCost[TargetID],tblCost[[#This Row],[TargetID]])</f>
        <v>3</v>
      </c>
      <c r="J1431" s="41">
        <f>COUNTIFS(tblCost[TargetID],tblCost[[#This Row],[TargetID]],tblCost[PlayerPaid],TRUE)</f>
        <v>0</v>
      </c>
      <c r="K1431" s="41">
        <f>tblCost[[#This Row],[TargetRequirements]]-tblCost[[#This Row],[CompletedRequirements]]</f>
        <v>3</v>
      </c>
      <c r="L1431" s="41" t="b">
        <f>tblCost[[#This Row],[RemainingRequirements]]=0</f>
        <v>0</v>
      </c>
      <c r="M1431" s="43">
        <f>IF(tblCost[[#This Row],[TargetRequirements]]=0,0,tblCost[[#This Row],[CompletedRequirements]]/tblCost[[#This Row],[TargetRequirements]])</f>
        <v>0</v>
      </c>
    </row>
    <row r="1432" spans="1:13">
      <c r="A1432" s="41" t="s">
        <v>5069</v>
      </c>
      <c r="B1432" s="41" t="str">
        <f>_xlfn.TEXTAFTER(_xlfn.TEXTBEFORE(tblCost[[#This Row],[RequirementID]],".",-2),"cost.")</f>
        <v>collection.gallery_2@5</v>
      </c>
      <c r="C1432" s="41" t="str">
        <f>_xlfn.XLOOKUP(tblCost[[#This Row],[TargetID]],tblTargets[TargetID],tblTargets[DisplayName],"")</f>
        <v>Gallery 2 Lv 5</v>
      </c>
      <c r="D1432" s="41" t="str">
        <f>_xlfn.XLOOKUP(tblCost[[#This Row],[TargetID]],tblTargets[TargetID],tblTargets[TargetType],"")</f>
        <v>COLLECTION</v>
      </c>
      <c r="E1432" s="41" t="s">
        <v>937</v>
      </c>
      <c r="F1432" s="62" t="str">
        <f>RIGHT(tblCost[[#This Row],[RequirementID]],1)</f>
        <v>1</v>
      </c>
      <c r="G1432" s="41">
        <v>15</v>
      </c>
      <c r="H1432" t="b">
        <f>COUNTIFS(tblCostChecklist[RequirementID],tblCost[[#This Row],[RequirementID]],tblCostChecklist[PlayerPaid],TRUE)&gt;0</f>
        <v>0</v>
      </c>
      <c r="I1432" s="41">
        <f>COUNTIF(tblCost[TargetID],tblCost[[#This Row],[TargetID]])</f>
        <v>3</v>
      </c>
      <c r="J1432" s="41">
        <f>COUNTIFS(tblCost[TargetID],tblCost[[#This Row],[TargetID]],tblCost[PlayerPaid],TRUE)</f>
        <v>0</v>
      </c>
      <c r="K1432" s="41">
        <f>tblCost[[#This Row],[TargetRequirements]]-tblCost[[#This Row],[CompletedRequirements]]</f>
        <v>3</v>
      </c>
      <c r="L1432" s="41" t="b">
        <f>tblCost[[#This Row],[RemainingRequirements]]=0</f>
        <v>0</v>
      </c>
      <c r="M1432" s="43">
        <f>IF(tblCost[[#This Row],[TargetRequirements]]=0,0,tblCost[[#This Row],[CompletedRequirements]]/tblCost[[#This Row],[TargetRequirements]])</f>
        <v>0</v>
      </c>
    </row>
    <row r="1433" spans="1:13">
      <c r="A1433" s="41" t="s">
        <v>5070</v>
      </c>
      <c r="B1433" s="41" t="str">
        <f>_xlfn.TEXTAFTER(_xlfn.TEXTBEFORE(tblCost[[#This Row],[RequirementID]],".",-2),"cost.")</f>
        <v>collection.gallery_2@5</v>
      </c>
      <c r="C1433" s="41" t="str">
        <f>_xlfn.XLOOKUP(tblCost[[#This Row],[TargetID]],tblTargets[TargetID],tblTargets[DisplayName],"")</f>
        <v>Gallery 2 Lv 5</v>
      </c>
      <c r="D1433" s="41" t="str">
        <f>_xlfn.XLOOKUP(tblCost[[#This Row],[TargetID]],tblTargets[TargetID],tblTargets[TargetType],"")</f>
        <v>COLLECTION</v>
      </c>
      <c r="E1433" s="41" t="s">
        <v>939</v>
      </c>
      <c r="F1433" s="62" t="str">
        <f>RIGHT(tblCost[[#This Row],[RequirementID]],1)</f>
        <v>1</v>
      </c>
      <c r="G1433" s="41">
        <v>5</v>
      </c>
      <c r="H1433" t="b">
        <f>COUNTIFS(tblCostChecklist[RequirementID],tblCost[[#This Row],[RequirementID]],tblCostChecklist[PlayerPaid],TRUE)&gt;0</f>
        <v>0</v>
      </c>
      <c r="I1433" s="41">
        <f>COUNTIF(tblCost[TargetID],tblCost[[#This Row],[TargetID]])</f>
        <v>3</v>
      </c>
      <c r="J1433" s="41">
        <f>COUNTIFS(tblCost[TargetID],tblCost[[#This Row],[TargetID]],tblCost[PlayerPaid],TRUE)</f>
        <v>0</v>
      </c>
      <c r="K1433" s="41">
        <f>tblCost[[#This Row],[TargetRequirements]]-tblCost[[#This Row],[CompletedRequirements]]</f>
        <v>3</v>
      </c>
      <c r="L1433" s="41" t="b">
        <f>tblCost[[#This Row],[RemainingRequirements]]=0</f>
        <v>0</v>
      </c>
      <c r="M1433" s="43">
        <f>IF(tblCost[[#This Row],[TargetRequirements]]=0,0,tblCost[[#This Row],[CompletedRequirements]]/tblCost[[#This Row],[TargetRequirements]])</f>
        <v>0</v>
      </c>
    </row>
    <row r="1434" spans="1:13">
      <c r="A1434" s="41" t="s">
        <v>5071</v>
      </c>
      <c r="B1434" s="41" t="str">
        <f>_xlfn.TEXTAFTER(_xlfn.TEXTBEFORE(tblCost[[#This Row],[RequirementID]],".",-2),"cost.")</f>
        <v>collection.gallery_2@5</v>
      </c>
      <c r="C1434" s="41" t="str">
        <f>_xlfn.XLOOKUP(tblCost[[#This Row],[TargetID]],tblTargets[TargetID],tblTargets[DisplayName],"")</f>
        <v>Gallery 2 Lv 5</v>
      </c>
      <c r="D1434" s="41" t="str">
        <f>_xlfn.XLOOKUP(tblCost[[#This Row],[TargetID]],tblTargets[TargetID],tblTargets[TargetType],"")</f>
        <v>COLLECTION</v>
      </c>
      <c r="E1434" s="41" t="s">
        <v>1847</v>
      </c>
      <c r="F1434" s="62" t="str">
        <f>RIGHT(tblCost[[#This Row],[RequirementID]],1)</f>
        <v>1</v>
      </c>
      <c r="G1434" s="41">
        <v>15</v>
      </c>
      <c r="H1434" t="b">
        <f>COUNTIFS(tblCostChecklist[RequirementID],tblCost[[#This Row],[RequirementID]],tblCostChecklist[PlayerPaid],TRUE)&gt;0</f>
        <v>0</v>
      </c>
      <c r="I1434" s="41">
        <f>COUNTIF(tblCost[TargetID],tblCost[[#This Row],[TargetID]])</f>
        <v>3</v>
      </c>
      <c r="J1434" s="41">
        <f>COUNTIFS(tblCost[TargetID],tblCost[[#This Row],[TargetID]],tblCost[PlayerPaid],TRUE)</f>
        <v>0</v>
      </c>
      <c r="K1434" s="41">
        <f>tblCost[[#This Row],[TargetRequirements]]-tblCost[[#This Row],[CompletedRequirements]]</f>
        <v>3</v>
      </c>
      <c r="L1434" s="41" t="b">
        <f>tblCost[[#This Row],[RemainingRequirements]]=0</f>
        <v>0</v>
      </c>
      <c r="M1434" s="43">
        <f>IF(tblCost[[#This Row],[TargetRequirements]]=0,0,tblCost[[#This Row],[CompletedRequirements]]/tblCost[[#This Row],[TargetRequirements]])</f>
        <v>0</v>
      </c>
    </row>
    <row r="1435" spans="1:13">
      <c r="A1435" s="41" t="s">
        <v>5072</v>
      </c>
      <c r="B1435" s="41" t="str">
        <f>_xlfn.TEXTAFTER(_xlfn.TEXTBEFORE(tblCost[[#This Row],[RequirementID]],".",-2),"cost.")</f>
        <v>collection.gallery_3@1</v>
      </c>
      <c r="C1435" s="41" t="str">
        <f>_xlfn.XLOOKUP(tblCost[[#This Row],[TargetID]],tblTargets[TargetID],tblTargets[DisplayName],"")</f>
        <v>Gallery 3 Lv 1</v>
      </c>
      <c r="D1435" s="41" t="str">
        <f>_xlfn.XLOOKUP(tblCost[[#This Row],[TargetID]],tblTargets[TargetID],tblTargets[TargetType],"")</f>
        <v>COLLECTION</v>
      </c>
      <c r="E1435" s="41" t="s">
        <v>661</v>
      </c>
      <c r="F1435" s="62" t="str">
        <f>RIGHT(tblCost[[#This Row],[RequirementID]],1)</f>
        <v>1</v>
      </c>
      <c r="G1435" s="41">
        <v>5</v>
      </c>
      <c r="H1435" t="b">
        <f>COUNTIFS(tblCostChecklist[RequirementID],tblCost[[#This Row],[RequirementID]],tblCostChecklist[PlayerPaid],TRUE)&gt;0</f>
        <v>0</v>
      </c>
      <c r="I1435" s="41">
        <f>COUNTIF(tblCost[TargetID],tblCost[[#This Row],[TargetID]])</f>
        <v>5</v>
      </c>
      <c r="J1435" s="41">
        <f>COUNTIFS(tblCost[TargetID],tblCost[[#This Row],[TargetID]],tblCost[PlayerPaid],TRUE)</f>
        <v>0</v>
      </c>
      <c r="K1435" s="41">
        <f>tblCost[[#This Row],[TargetRequirements]]-tblCost[[#This Row],[CompletedRequirements]]</f>
        <v>5</v>
      </c>
      <c r="L1435" s="41" t="b">
        <f>tblCost[[#This Row],[RemainingRequirements]]=0</f>
        <v>0</v>
      </c>
      <c r="M1435" s="43">
        <f>IF(tblCost[[#This Row],[TargetRequirements]]=0,0,tblCost[[#This Row],[CompletedRequirements]]/tblCost[[#This Row],[TargetRequirements]])</f>
        <v>0</v>
      </c>
    </row>
    <row r="1436" spans="1:13">
      <c r="A1436" s="41" t="s">
        <v>5073</v>
      </c>
      <c r="B1436" s="41" t="str">
        <f>_xlfn.TEXTAFTER(_xlfn.TEXTBEFORE(tblCost[[#This Row],[RequirementID]],".",-2),"cost.")</f>
        <v>collection.gallery_3@1</v>
      </c>
      <c r="C1436" s="41" t="str">
        <f>_xlfn.XLOOKUP(tblCost[[#This Row],[TargetID]],tblTargets[TargetID],tblTargets[DisplayName],"")</f>
        <v>Gallery 3 Lv 1</v>
      </c>
      <c r="D1436" s="41" t="str">
        <f>_xlfn.XLOOKUP(tblCost[[#This Row],[TargetID]],tblTargets[TargetID],tblTargets[TargetType],"")</f>
        <v>COLLECTION</v>
      </c>
      <c r="E1436" s="41" t="s">
        <v>676</v>
      </c>
      <c r="F1436" s="62" t="str">
        <f>RIGHT(tblCost[[#This Row],[RequirementID]],1)</f>
        <v>1</v>
      </c>
      <c r="G1436" s="41">
        <v>5</v>
      </c>
      <c r="H1436" t="b">
        <f>COUNTIFS(tblCostChecklist[RequirementID],tblCost[[#This Row],[RequirementID]],tblCostChecklist[PlayerPaid],TRUE)&gt;0</f>
        <v>0</v>
      </c>
      <c r="I1436" s="41">
        <f>COUNTIF(tblCost[TargetID],tblCost[[#This Row],[TargetID]])</f>
        <v>5</v>
      </c>
      <c r="J1436" s="41">
        <f>COUNTIFS(tblCost[TargetID],tblCost[[#This Row],[TargetID]],tblCost[PlayerPaid],TRUE)</f>
        <v>0</v>
      </c>
      <c r="K1436" s="41">
        <f>tblCost[[#This Row],[TargetRequirements]]-tblCost[[#This Row],[CompletedRequirements]]</f>
        <v>5</v>
      </c>
      <c r="L1436" s="41" t="b">
        <f>tblCost[[#This Row],[RemainingRequirements]]=0</f>
        <v>0</v>
      </c>
      <c r="M1436" s="43">
        <f>IF(tblCost[[#This Row],[TargetRequirements]]=0,0,tblCost[[#This Row],[CompletedRequirements]]/tblCost[[#This Row],[TargetRequirements]])</f>
        <v>0</v>
      </c>
    </row>
    <row r="1437" spans="1:13">
      <c r="A1437" s="41" t="s">
        <v>5074</v>
      </c>
      <c r="B1437" s="41" t="str">
        <f>_xlfn.TEXTAFTER(_xlfn.TEXTBEFORE(tblCost[[#This Row],[RequirementID]],".",-2),"cost.")</f>
        <v>collection.gallery_3@1</v>
      </c>
      <c r="C1437" s="41" t="str">
        <f>_xlfn.XLOOKUP(tblCost[[#This Row],[TargetID]],tblTargets[TargetID],tblTargets[DisplayName],"")</f>
        <v>Gallery 3 Lv 1</v>
      </c>
      <c r="D1437" s="41" t="str">
        <f>_xlfn.XLOOKUP(tblCost[[#This Row],[TargetID]],tblTargets[TargetID],tblTargets[TargetType],"")</f>
        <v>COLLECTION</v>
      </c>
      <c r="E1437" s="41" t="s">
        <v>703</v>
      </c>
      <c r="F1437" s="62" t="str">
        <f>RIGHT(tblCost[[#This Row],[RequirementID]],1)</f>
        <v>1</v>
      </c>
      <c r="G1437" s="41">
        <v>5</v>
      </c>
      <c r="H1437" t="b">
        <f>COUNTIFS(tblCostChecklist[RequirementID],tblCost[[#This Row],[RequirementID]],tblCostChecklist[PlayerPaid],TRUE)&gt;0</f>
        <v>0</v>
      </c>
      <c r="I1437" s="41">
        <f>COUNTIF(tblCost[TargetID],tblCost[[#This Row],[TargetID]])</f>
        <v>5</v>
      </c>
      <c r="J1437" s="41">
        <f>COUNTIFS(tblCost[TargetID],tblCost[[#This Row],[TargetID]],tblCost[PlayerPaid],TRUE)</f>
        <v>0</v>
      </c>
      <c r="K1437" s="41">
        <f>tblCost[[#This Row],[TargetRequirements]]-tblCost[[#This Row],[CompletedRequirements]]</f>
        <v>5</v>
      </c>
      <c r="L1437" s="41" t="b">
        <f>tblCost[[#This Row],[RemainingRequirements]]=0</f>
        <v>0</v>
      </c>
      <c r="M1437" s="43">
        <f>IF(tblCost[[#This Row],[TargetRequirements]]=0,0,tblCost[[#This Row],[CompletedRequirements]]/tblCost[[#This Row],[TargetRequirements]])</f>
        <v>0</v>
      </c>
    </row>
    <row r="1438" spans="1:13">
      <c r="A1438" s="41" t="s">
        <v>5075</v>
      </c>
      <c r="B1438" s="41" t="str">
        <f>_xlfn.TEXTAFTER(_xlfn.TEXTBEFORE(tblCost[[#This Row],[RequirementID]],".",-2),"cost.")</f>
        <v>collection.gallery_3@1</v>
      </c>
      <c r="C1438" s="41" t="str">
        <f>_xlfn.XLOOKUP(tblCost[[#This Row],[TargetID]],tblTargets[TargetID],tblTargets[DisplayName],"")</f>
        <v>Gallery 3 Lv 1</v>
      </c>
      <c r="D1438" s="41" t="str">
        <f>_xlfn.XLOOKUP(tblCost[[#This Row],[TargetID]],tblTargets[TargetID],tblTargets[TargetType],"")</f>
        <v>COLLECTION</v>
      </c>
      <c r="E1438" s="41" t="s">
        <v>706</v>
      </c>
      <c r="F1438" s="62" t="str">
        <f>RIGHT(tblCost[[#This Row],[RequirementID]],1)</f>
        <v>1</v>
      </c>
      <c r="G1438" s="41">
        <v>5</v>
      </c>
      <c r="H1438" t="b">
        <f>COUNTIFS(tblCostChecklist[RequirementID],tblCost[[#This Row],[RequirementID]],tblCostChecklist[PlayerPaid],TRUE)&gt;0</f>
        <v>0</v>
      </c>
      <c r="I1438" s="41">
        <f>COUNTIF(tblCost[TargetID],tblCost[[#This Row],[TargetID]])</f>
        <v>5</v>
      </c>
      <c r="J1438" s="41">
        <f>COUNTIFS(tblCost[TargetID],tblCost[[#This Row],[TargetID]],tblCost[PlayerPaid],TRUE)</f>
        <v>0</v>
      </c>
      <c r="K1438" s="41">
        <f>tblCost[[#This Row],[TargetRequirements]]-tblCost[[#This Row],[CompletedRequirements]]</f>
        <v>5</v>
      </c>
      <c r="L1438" s="41" t="b">
        <f>tblCost[[#This Row],[RemainingRequirements]]=0</f>
        <v>0</v>
      </c>
      <c r="M1438" s="43">
        <f>IF(tblCost[[#This Row],[TargetRequirements]]=0,0,tblCost[[#This Row],[CompletedRequirements]]/tblCost[[#This Row],[TargetRequirements]])</f>
        <v>0</v>
      </c>
    </row>
    <row r="1439" spans="1:13">
      <c r="A1439" s="41" t="s">
        <v>5076</v>
      </c>
      <c r="B1439" s="41" t="str">
        <f>_xlfn.TEXTAFTER(_xlfn.TEXTBEFORE(tblCost[[#This Row],[RequirementID]],".",-2),"cost.")</f>
        <v>collection.gallery_3@1</v>
      </c>
      <c r="C1439" s="41" t="str">
        <f>_xlfn.XLOOKUP(tblCost[[#This Row],[TargetID]],tblTargets[TargetID],tblTargets[DisplayName],"")</f>
        <v>Gallery 3 Lv 1</v>
      </c>
      <c r="D1439" s="41" t="str">
        <f>_xlfn.XLOOKUP(tblCost[[#This Row],[TargetID]],tblTargets[TargetID],tblTargets[TargetType],"")</f>
        <v>COLLECTION</v>
      </c>
      <c r="E1439" s="41" t="s">
        <v>958</v>
      </c>
      <c r="F1439" s="62" t="str">
        <f>RIGHT(tblCost[[#This Row],[RequirementID]],1)</f>
        <v>1</v>
      </c>
      <c r="G1439" s="41">
        <v>5</v>
      </c>
      <c r="H1439" t="b">
        <f>COUNTIFS(tblCostChecklist[RequirementID],tblCost[[#This Row],[RequirementID]],tblCostChecklist[PlayerPaid],TRUE)&gt;0</f>
        <v>0</v>
      </c>
      <c r="I1439" s="41">
        <f>COUNTIF(tblCost[TargetID],tblCost[[#This Row],[TargetID]])</f>
        <v>5</v>
      </c>
      <c r="J1439" s="41">
        <f>COUNTIFS(tblCost[TargetID],tblCost[[#This Row],[TargetID]],tblCost[PlayerPaid],TRUE)</f>
        <v>0</v>
      </c>
      <c r="K1439" s="41">
        <f>tblCost[[#This Row],[TargetRequirements]]-tblCost[[#This Row],[CompletedRequirements]]</f>
        <v>5</v>
      </c>
      <c r="L1439" s="41" t="b">
        <f>tblCost[[#This Row],[RemainingRequirements]]=0</f>
        <v>0</v>
      </c>
      <c r="M1439" s="43">
        <f>IF(tblCost[[#This Row],[TargetRequirements]]=0,0,tblCost[[#This Row],[CompletedRequirements]]/tblCost[[#This Row],[TargetRequirements]])</f>
        <v>0</v>
      </c>
    </row>
    <row r="1440" spans="1:13">
      <c r="A1440" s="41" t="s">
        <v>5077</v>
      </c>
      <c r="B1440" s="41" t="str">
        <f>_xlfn.TEXTAFTER(_xlfn.TEXTBEFORE(tblCost[[#This Row],[RequirementID]],".",-2),"cost.")</f>
        <v>collection.gallery_3@2</v>
      </c>
      <c r="C1440" s="41" t="str">
        <f>_xlfn.XLOOKUP(tblCost[[#This Row],[TargetID]],tblTargets[TargetID],tblTargets[DisplayName],"")</f>
        <v>Gallery 3 Lv 2</v>
      </c>
      <c r="D1440" s="41" t="str">
        <f>_xlfn.XLOOKUP(tblCost[[#This Row],[TargetID]],tblTargets[TargetID],tblTargets[TargetType],"")</f>
        <v>COLLECTION</v>
      </c>
      <c r="E1440" s="41" t="s">
        <v>661</v>
      </c>
      <c r="F1440" s="62" t="str">
        <f>RIGHT(tblCost[[#This Row],[RequirementID]],1)</f>
        <v>1</v>
      </c>
      <c r="G1440" s="41">
        <v>10</v>
      </c>
      <c r="H1440" t="b">
        <f>COUNTIFS(tblCostChecklist[RequirementID],tblCost[[#This Row],[RequirementID]],tblCostChecklist[PlayerPaid],TRUE)&gt;0</f>
        <v>0</v>
      </c>
      <c r="I1440" s="41">
        <f>COUNTIF(tblCost[TargetID],tblCost[[#This Row],[TargetID]])</f>
        <v>5</v>
      </c>
      <c r="J1440" s="41">
        <f>COUNTIFS(tblCost[TargetID],tblCost[[#This Row],[TargetID]],tblCost[PlayerPaid],TRUE)</f>
        <v>0</v>
      </c>
      <c r="K1440" s="41">
        <f>tblCost[[#This Row],[TargetRequirements]]-tblCost[[#This Row],[CompletedRequirements]]</f>
        <v>5</v>
      </c>
      <c r="L1440" s="41" t="b">
        <f>tblCost[[#This Row],[RemainingRequirements]]=0</f>
        <v>0</v>
      </c>
      <c r="M1440" s="43">
        <f>IF(tblCost[[#This Row],[TargetRequirements]]=0,0,tblCost[[#This Row],[CompletedRequirements]]/tblCost[[#This Row],[TargetRequirements]])</f>
        <v>0</v>
      </c>
    </row>
    <row r="1441" spans="1:13">
      <c r="A1441" s="41" t="s">
        <v>5078</v>
      </c>
      <c r="B1441" s="41" t="str">
        <f>_xlfn.TEXTAFTER(_xlfn.TEXTBEFORE(tblCost[[#This Row],[RequirementID]],".",-2),"cost.")</f>
        <v>collection.gallery_3@2</v>
      </c>
      <c r="C1441" s="41" t="str">
        <f>_xlfn.XLOOKUP(tblCost[[#This Row],[TargetID]],tblTargets[TargetID],tblTargets[DisplayName],"")</f>
        <v>Gallery 3 Lv 2</v>
      </c>
      <c r="D1441" s="41" t="str">
        <f>_xlfn.XLOOKUP(tblCost[[#This Row],[TargetID]],tblTargets[TargetID],tblTargets[TargetType],"")</f>
        <v>COLLECTION</v>
      </c>
      <c r="E1441" s="41" t="s">
        <v>676</v>
      </c>
      <c r="F1441" s="62" t="str">
        <f>RIGHT(tblCost[[#This Row],[RequirementID]],1)</f>
        <v>1</v>
      </c>
      <c r="G1441" s="41">
        <v>10</v>
      </c>
      <c r="H1441" t="b">
        <f>COUNTIFS(tblCostChecklist[RequirementID],tblCost[[#This Row],[RequirementID]],tblCostChecklist[PlayerPaid],TRUE)&gt;0</f>
        <v>0</v>
      </c>
      <c r="I1441" s="41">
        <f>COUNTIF(tblCost[TargetID],tblCost[[#This Row],[TargetID]])</f>
        <v>5</v>
      </c>
      <c r="J1441" s="41">
        <f>COUNTIFS(tblCost[TargetID],tblCost[[#This Row],[TargetID]],tblCost[PlayerPaid],TRUE)</f>
        <v>0</v>
      </c>
      <c r="K1441" s="41">
        <f>tblCost[[#This Row],[TargetRequirements]]-tblCost[[#This Row],[CompletedRequirements]]</f>
        <v>5</v>
      </c>
      <c r="L1441" s="41" t="b">
        <f>tblCost[[#This Row],[RemainingRequirements]]=0</f>
        <v>0</v>
      </c>
      <c r="M1441" s="43">
        <f>IF(tblCost[[#This Row],[TargetRequirements]]=0,0,tblCost[[#This Row],[CompletedRequirements]]/tblCost[[#This Row],[TargetRequirements]])</f>
        <v>0</v>
      </c>
    </row>
    <row r="1442" spans="1:13">
      <c r="A1442" s="41" t="s">
        <v>5079</v>
      </c>
      <c r="B1442" s="41" t="str">
        <f>_xlfn.TEXTAFTER(_xlfn.TEXTBEFORE(tblCost[[#This Row],[RequirementID]],".",-2),"cost.")</f>
        <v>collection.gallery_3@2</v>
      </c>
      <c r="C1442" s="41" t="str">
        <f>_xlfn.XLOOKUP(tblCost[[#This Row],[TargetID]],tblTargets[TargetID],tblTargets[DisplayName],"")</f>
        <v>Gallery 3 Lv 2</v>
      </c>
      <c r="D1442" s="41" t="str">
        <f>_xlfn.XLOOKUP(tblCost[[#This Row],[TargetID]],tblTargets[TargetID],tblTargets[TargetType],"")</f>
        <v>COLLECTION</v>
      </c>
      <c r="E1442" s="41" t="s">
        <v>703</v>
      </c>
      <c r="F1442" s="62" t="str">
        <f>RIGHT(tblCost[[#This Row],[RequirementID]],1)</f>
        <v>1</v>
      </c>
      <c r="G1442" s="41">
        <v>10</v>
      </c>
      <c r="H1442" t="b">
        <f>COUNTIFS(tblCostChecklist[RequirementID],tblCost[[#This Row],[RequirementID]],tblCostChecklist[PlayerPaid],TRUE)&gt;0</f>
        <v>0</v>
      </c>
      <c r="I1442" s="41">
        <f>COUNTIF(tblCost[TargetID],tblCost[[#This Row],[TargetID]])</f>
        <v>5</v>
      </c>
      <c r="J1442" s="41">
        <f>COUNTIFS(tblCost[TargetID],tblCost[[#This Row],[TargetID]],tblCost[PlayerPaid],TRUE)</f>
        <v>0</v>
      </c>
      <c r="K1442" s="41">
        <f>tblCost[[#This Row],[TargetRequirements]]-tblCost[[#This Row],[CompletedRequirements]]</f>
        <v>5</v>
      </c>
      <c r="L1442" s="41" t="b">
        <f>tblCost[[#This Row],[RemainingRequirements]]=0</f>
        <v>0</v>
      </c>
      <c r="M1442" s="43">
        <f>IF(tblCost[[#This Row],[TargetRequirements]]=0,0,tblCost[[#This Row],[CompletedRequirements]]/tblCost[[#This Row],[TargetRequirements]])</f>
        <v>0</v>
      </c>
    </row>
    <row r="1443" spans="1:13">
      <c r="A1443" s="41" t="s">
        <v>5080</v>
      </c>
      <c r="B1443" s="41" t="str">
        <f>_xlfn.TEXTAFTER(_xlfn.TEXTBEFORE(tblCost[[#This Row],[RequirementID]],".",-2),"cost.")</f>
        <v>collection.gallery_3@2</v>
      </c>
      <c r="C1443" s="41" t="str">
        <f>_xlfn.XLOOKUP(tblCost[[#This Row],[TargetID]],tblTargets[TargetID],tblTargets[DisplayName],"")</f>
        <v>Gallery 3 Lv 2</v>
      </c>
      <c r="D1443" s="41" t="str">
        <f>_xlfn.XLOOKUP(tblCost[[#This Row],[TargetID]],tblTargets[TargetID],tblTargets[TargetType],"")</f>
        <v>COLLECTION</v>
      </c>
      <c r="E1443" s="41" t="s">
        <v>706</v>
      </c>
      <c r="F1443" s="62" t="str">
        <f>RIGHT(tblCost[[#This Row],[RequirementID]],1)</f>
        <v>1</v>
      </c>
      <c r="G1443" s="41">
        <v>10</v>
      </c>
      <c r="H1443" t="b">
        <f>COUNTIFS(tblCostChecklist[RequirementID],tblCost[[#This Row],[RequirementID]],tblCostChecklist[PlayerPaid],TRUE)&gt;0</f>
        <v>0</v>
      </c>
      <c r="I1443" s="41">
        <f>COUNTIF(tblCost[TargetID],tblCost[[#This Row],[TargetID]])</f>
        <v>5</v>
      </c>
      <c r="J1443" s="41">
        <f>COUNTIFS(tblCost[TargetID],tblCost[[#This Row],[TargetID]],tblCost[PlayerPaid],TRUE)</f>
        <v>0</v>
      </c>
      <c r="K1443" s="41">
        <f>tblCost[[#This Row],[TargetRequirements]]-tblCost[[#This Row],[CompletedRequirements]]</f>
        <v>5</v>
      </c>
      <c r="L1443" s="41" t="b">
        <f>tblCost[[#This Row],[RemainingRequirements]]=0</f>
        <v>0</v>
      </c>
      <c r="M1443" s="43">
        <f>IF(tblCost[[#This Row],[TargetRequirements]]=0,0,tblCost[[#This Row],[CompletedRequirements]]/tblCost[[#This Row],[TargetRequirements]])</f>
        <v>0</v>
      </c>
    </row>
    <row r="1444" spans="1:13">
      <c r="A1444" s="41" t="s">
        <v>5081</v>
      </c>
      <c r="B1444" s="41" t="str">
        <f>_xlfn.TEXTAFTER(_xlfn.TEXTBEFORE(tblCost[[#This Row],[RequirementID]],".",-2),"cost.")</f>
        <v>collection.gallery_3@2</v>
      </c>
      <c r="C1444" s="41" t="str">
        <f>_xlfn.XLOOKUP(tblCost[[#This Row],[TargetID]],tblTargets[TargetID],tblTargets[DisplayName],"")</f>
        <v>Gallery 3 Lv 2</v>
      </c>
      <c r="D1444" s="41" t="str">
        <f>_xlfn.XLOOKUP(tblCost[[#This Row],[TargetID]],tblTargets[TargetID],tblTargets[TargetType],"")</f>
        <v>COLLECTION</v>
      </c>
      <c r="E1444" s="41" t="s">
        <v>958</v>
      </c>
      <c r="F1444" s="62" t="str">
        <f>RIGHT(tblCost[[#This Row],[RequirementID]],1)</f>
        <v>1</v>
      </c>
      <c r="G1444" s="41">
        <v>10</v>
      </c>
      <c r="H1444" t="b">
        <f>COUNTIFS(tblCostChecklist[RequirementID],tblCost[[#This Row],[RequirementID]],tblCostChecklist[PlayerPaid],TRUE)&gt;0</f>
        <v>0</v>
      </c>
      <c r="I1444" s="41">
        <f>COUNTIF(tblCost[TargetID],tblCost[[#This Row],[TargetID]])</f>
        <v>5</v>
      </c>
      <c r="J1444" s="41">
        <f>COUNTIFS(tblCost[TargetID],tblCost[[#This Row],[TargetID]],tblCost[PlayerPaid],TRUE)</f>
        <v>0</v>
      </c>
      <c r="K1444" s="41">
        <f>tblCost[[#This Row],[TargetRequirements]]-tblCost[[#This Row],[CompletedRequirements]]</f>
        <v>5</v>
      </c>
      <c r="L1444" s="41" t="b">
        <f>tblCost[[#This Row],[RemainingRequirements]]=0</f>
        <v>0</v>
      </c>
      <c r="M1444" s="43">
        <f>IF(tblCost[[#This Row],[TargetRequirements]]=0,0,tblCost[[#This Row],[CompletedRequirements]]/tblCost[[#This Row],[TargetRequirements]])</f>
        <v>0</v>
      </c>
    </row>
    <row r="1445" spans="1:13">
      <c r="A1445" s="41" t="s">
        <v>5082</v>
      </c>
      <c r="B1445" s="41" t="str">
        <f>_xlfn.TEXTAFTER(_xlfn.TEXTBEFORE(tblCost[[#This Row],[RequirementID]],".",-2),"cost.")</f>
        <v>collection.gallery_3@3</v>
      </c>
      <c r="C1445" s="41" t="str">
        <f>_xlfn.XLOOKUP(tblCost[[#This Row],[TargetID]],tblTargets[TargetID],tblTargets[DisplayName],"")</f>
        <v>Gallery 3 Lv 3</v>
      </c>
      <c r="D1445" s="41" t="str">
        <f>_xlfn.XLOOKUP(tblCost[[#This Row],[TargetID]],tblTargets[TargetID],tblTargets[TargetType],"")</f>
        <v>COLLECTION</v>
      </c>
      <c r="E1445" s="41" t="s">
        <v>661</v>
      </c>
      <c r="F1445" s="62" t="str">
        <f>RIGHT(tblCost[[#This Row],[RequirementID]],1)</f>
        <v>1</v>
      </c>
      <c r="G1445" s="41">
        <v>15</v>
      </c>
      <c r="H1445" t="b">
        <f>COUNTIFS(tblCostChecklist[RequirementID],tblCost[[#This Row],[RequirementID]],tblCostChecklist[PlayerPaid],TRUE)&gt;0</f>
        <v>0</v>
      </c>
      <c r="I1445" s="41">
        <f>COUNTIF(tblCost[TargetID],tblCost[[#This Row],[TargetID]])</f>
        <v>5</v>
      </c>
      <c r="J1445" s="41">
        <f>COUNTIFS(tblCost[TargetID],tblCost[[#This Row],[TargetID]],tblCost[PlayerPaid],TRUE)</f>
        <v>0</v>
      </c>
      <c r="K1445" s="41">
        <f>tblCost[[#This Row],[TargetRequirements]]-tblCost[[#This Row],[CompletedRequirements]]</f>
        <v>5</v>
      </c>
      <c r="L1445" s="41" t="b">
        <f>tblCost[[#This Row],[RemainingRequirements]]=0</f>
        <v>0</v>
      </c>
      <c r="M1445" s="43">
        <f>IF(tblCost[[#This Row],[TargetRequirements]]=0,0,tblCost[[#This Row],[CompletedRequirements]]/tblCost[[#This Row],[TargetRequirements]])</f>
        <v>0</v>
      </c>
    </row>
    <row r="1446" spans="1:13">
      <c r="A1446" s="41" t="s">
        <v>5083</v>
      </c>
      <c r="B1446" s="41" t="str">
        <f>_xlfn.TEXTAFTER(_xlfn.TEXTBEFORE(tblCost[[#This Row],[RequirementID]],".",-2),"cost.")</f>
        <v>collection.gallery_3@3</v>
      </c>
      <c r="C1446" s="41" t="str">
        <f>_xlfn.XLOOKUP(tblCost[[#This Row],[TargetID]],tblTargets[TargetID],tblTargets[DisplayName],"")</f>
        <v>Gallery 3 Lv 3</v>
      </c>
      <c r="D1446" s="41" t="str">
        <f>_xlfn.XLOOKUP(tblCost[[#This Row],[TargetID]],tblTargets[TargetID],tblTargets[TargetType],"")</f>
        <v>COLLECTION</v>
      </c>
      <c r="E1446" s="41" t="s">
        <v>676</v>
      </c>
      <c r="F1446" s="62" t="str">
        <f>RIGHT(tblCost[[#This Row],[RequirementID]],1)</f>
        <v>1</v>
      </c>
      <c r="G1446" s="41">
        <v>15</v>
      </c>
      <c r="H1446" t="b">
        <f>COUNTIFS(tblCostChecklist[RequirementID],tblCost[[#This Row],[RequirementID]],tblCostChecklist[PlayerPaid],TRUE)&gt;0</f>
        <v>0</v>
      </c>
      <c r="I1446" s="41">
        <f>COUNTIF(tblCost[TargetID],tblCost[[#This Row],[TargetID]])</f>
        <v>5</v>
      </c>
      <c r="J1446" s="41">
        <f>COUNTIFS(tblCost[TargetID],tblCost[[#This Row],[TargetID]],tblCost[PlayerPaid],TRUE)</f>
        <v>0</v>
      </c>
      <c r="K1446" s="41">
        <f>tblCost[[#This Row],[TargetRequirements]]-tblCost[[#This Row],[CompletedRequirements]]</f>
        <v>5</v>
      </c>
      <c r="L1446" s="41" t="b">
        <f>tblCost[[#This Row],[RemainingRequirements]]=0</f>
        <v>0</v>
      </c>
      <c r="M1446" s="43">
        <f>IF(tblCost[[#This Row],[TargetRequirements]]=0,0,tblCost[[#This Row],[CompletedRequirements]]/tblCost[[#This Row],[TargetRequirements]])</f>
        <v>0</v>
      </c>
    </row>
    <row r="1447" spans="1:13">
      <c r="A1447" s="41" t="s">
        <v>5084</v>
      </c>
      <c r="B1447" s="41" t="str">
        <f>_xlfn.TEXTAFTER(_xlfn.TEXTBEFORE(tblCost[[#This Row],[RequirementID]],".",-2),"cost.")</f>
        <v>collection.gallery_3@3</v>
      </c>
      <c r="C1447" s="41" t="str">
        <f>_xlfn.XLOOKUP(tblCost[[#This Row],[TargetID]],tblTargets[TargetID],tblTargets[DisplayName],"")</f>
        <v>Gallery 3 Lv 3</v>
      </c>
      <c r="D1447" s="41" t="str">
        <f>_xlfn.XLOOKUP(tblCost[[#This Row],[TargetID]],tblTargets[TargetID],tblTargets[TargetType],"")</f>
        <v>COLLECTION</v>
      </c>
      <c r="E1447" s="41" t="s">
        <v>703</v>
      </c>
      <c r="F1447" s="62" t="str">
        <f>RIGHT(tblCost[[#This Row],[RequirementID]],1)</f>
        <v>1</v>
      </c>
      <c r="G1447" s="41">
        <v>15</v>
      </c>
      <c r="H1447" t="b">
        <f>COUNTIFS(tblCostChecklist[RequirementID],tblCost[[#This Row],[RequirementID]],tblCostChecklist[PlayerPaid],TRUE)&gt;0</f>
        <v>0</v>
      </c>
      <c r="I1447" s="41">
        <f>COUNTIF(tblCost[TargetID],tblCost[[#This Row],[TargetID]])</f>
        <v>5</v>
      </c>
      <c r="J1447" s="41">
        <f>COUNTIFS(tblCost[TargetID],tblCost[[#This Row],[TargetID]],tblCost[PlayerPaid],TRUE)</f>
        <v>0</v>
      </c>
      <c r="K1447" s="41">
        <f>tblCost[[#This Row],[TargetRequirements]]-tblCost[[#This Row],[CompletedRequirements]]</f>
        <v>5</v>
      </c>
      <c r="L1447" s="41" t="b">
        <f>tblCost[[#This Row],[RemainingRequirements]]=0</f>
        <v>0</v>
      </c>
      <c r="M1447" s="43">
        <f>IF(tblCost[[#This Row],[TargetRequirements]]=0,0,tblCost[[#This Row],[CompletedRequirements]]/tblCost[[#This Row],[TargetRequirements]])</f>
        <v>0</v>
      </c>
    </row>
    <row r="1448" spans="1:13">
      <c r="A1448" s="41" t="s">
        <v>5085</v>
      </c>
      <c r="B1448" s="41" t="str">
        <f>_xlfn.TEXTAFTER(_xlfn.TEXTBEFORE(tblCost[[#This Row],[RequirementID]],".",-2),"cost.")</f>
        <v>collection.gallery_3@3</v>
      </c>
      <c r="C1448" s="41" t="str">
        <f>_xlfn.XLOOKUP(tblCost[[#This Row],[TargetID]],tblTargets[TargetID],tblTargets[DisplayName],"")</f>
        <v>Gallery 3 Lv 3</v>
      </c>
      <c r="D1448" s="41" t="str">
        <f>_xlfn.XLOOKUP(tblCost[[#This Row],[TargetID]],tblTargets[TargetID],tblTargets[TargetType],"")</f>
        <v>COLLECTION</v>
      </c>
      <c r="E1448" s="41" t="s">
        <v>706</v>
      </c>
      <c r="F1448" s="62" t="str">
        <f>RIGHT(tblCost[[#This Row],[RequirementID]],1)</f>
        <v>1</v>
      </c>
      <c r="G1448" s="41">
        <v>15</v>
      </c>
      <c r="H1448" t="b">
        <f>COUNTIFS(tblCostChecklist[RequirementID],tblCost[[#This Row],[RequirementID]],tblCostChecklist[PlayerPaid],TRUE)&gt;0</f>
        <v>0</v>
      </c>
      <c r="I1448" s="41">
        <f>COUNTIF(tblCost[TargetID],tblCost[[#This Row],[TargetID]])</f>
        <v>5</v>
      </c>
      <c r="J1448" s="41">
        <f>COUNTIFS(tblCost[TargetID],tblCost[[#This Row],[TargetID]],tblCost[PlayerPaid],TRUE)</f>
        <v>0</v>
      </c>
      <c r="K1448" s="41">
        <f>tblCost[[#This Row],[TargetRequirements]]-tblCost[[#This Row],[CompletedRequirements]]</f>
        <v>5</v>
      </c>
      <c r="L1448" s="41" t="b">
        <f>tblCost[[#This Row],[RemainingRequirements]]=0</f>
        <v>0</v>
      </c>
      <c r="M1448" s="43">
        <f>IF(tblCost[[#This Row],[TargetRequirements]]=0,0,tblCost[[#This Row],[CompletedRequirements]]/tblCost[[#This Row],[TargetRequirements]])</f>
        <v>0</v>
      </c>
    </row>
    <row r="1449" spans="1:13">
      <c r="A1449" s="41" t="s">
        <v>5086</v>
      </c>
      <c r="B1449" s="41" t="str">
        <f>_xlfn.TEXTAFTER(_xlfn.TEXTBEFORE(tblCost[[#This Row],[RequirementID]],".",-2),"cost.")</f>
        <v>collection.gallery_3@3</v>
      </c>
      <c r="C1449" s="41" t="str">
        <f>_xlfn.XLOOKUP(tblCost[[#This Row],[TargetID]],tblTargets[TargetID],tblTargets[DisplayName],"")</f>
        <v>Gallery 3 Lv 3</v>
      </c>
      <c r="D1449" s="41" t="str">
        <f>_xlfn.XLOOKUP(tblCost[[#This Row],[TargetID]],tblTargets[TargetID],tblTargets[TargetType],"")</f>
        <v>COLLECTION</v>
      </c>
      <c r="E1449" s="41" t="s">
        <v>958</v>
      </c>
      <c r="F1449" s="62" t="str">
        <f>RIGHT(tblCost[[#This Row],[RequirementID]],1)</f>
        <v>1</v>
      </c>
      <c r="G1449" s="41">
        <v>15</v>
      </c>
      <c r="H1449" t="b">
        <f>COUNTIFS(tblCostChecklist[RequirementID],tblCost[[#This Row],[RequirementID]],tblCostChecklist[PlayerPaid],TRUE)&gt;0</f>
        <v>0</v>
      </c>
      <c r="I1449" s="41">
        <f>COUNTIF(tblCost[TargetID],tblCost[[#This Row],[TargetID]])</f>
        <v>5</v>
      </c>
      <c r="J1449" s="41">
        <f>COUNTIFS(tblCost[TargetID],tblCost[[#This Row],[TargetID]],tblCost[PlayerPaid],TRUE)</f>
        <v>0</v>
      </c>
      <c r="K1449" s="41">
        <f>tblCost[[#This Row],[TargetRequirements]]-tblCost[[#This Row],[CompletedRequirements]]</f>
        <v>5</v>
      </c>
      <c r="L1449" s="41" t="b">
        <f>tblCost[[#This Row],[RemainingRequirements]]=0</f>
        <v>0</v>
      </c>
      <c r="M1449" s="43">
        <f>IF(tblCost[[#This Row],[TargetRequirements]]=0,0,tblCost[[#This Row],[CompletedRequirements]]/tblCost[[#This Row],[TargetRequirements]])</f>
        <v>0</v>
      </c>
    </row>
    <row r="1450" spans="1:13">
      <c r="A1450" s="41" t="s">
        <v>5087</v>
      </c>
      <c r="B1450" s="41" t="str">
        <f>_xlfn.TEXTAFTER(_xlfn.TEXTBEFORE(tblCost[[#This Row],[RequirementID]],".",-2),"cost.")</f>
        <v>collection.gallery_3@4</v>
      </c>
      <c r="C1450" s="41" t="str">
        <f>_xlfn.XLOOKUP(tblCost[[#This Row],[TargetID]],tblTargets[TargetID],tblTargets[DisplayName],"")</f>
        <v>Gallery 3 Lv 4</v>
      </c>
      <c r="D1450" s="41" t="str">
        <f>_xlfn.XLOOKUP(tblCost[[#This Row],[TargetID]],tblTargets[TargetID],tblTargets[TargetType],"")</f>
        <v>COLLECTION</v>
      </c>
      <c r="E1450" s="41" t="s">
        <v>661</v>
      </c>
      <c r="F1450" s="62" t="str">
        <f>RIGHT(tblCost[[#This Row],[RequirementID]],1)</f>
        <v>1</v>
      </c>
      <c r="G1450" s="41">
        <v>20</v>
      </c>
      <c r="H1450" t="b">
        <f>COUNTIFS(tblCostChecklist[RequirementID],tblCost[[#This Row],[RequirementID]],tblCostChecklist[PlayerPaid],TRUE)&gt;0</f>
        <v>0</v>
      </c>
      <c r="I1450" s="41">
        <f>COUNTIF(tblCost[TargetID],tblCost[[#This Row],[TargetID]])</f>
        <v>5</v>
      </c>
      <c r="J1450" s="41">
        <f>COUNTIFS(tblCost[TargetID],tblCost[[#This Row],[TargetID]],tblCost[PlayerPaid],TRUE)</f>
        <v>0</v>
      </c>
      <c r="K1450" s="41">
        <f>tblCost[[#This Row],[TargetRequirements]]-tblCost[[#This Row],[CompletedRequirements]]</f>
        <v>5</v>
      </c>
      <c r="L1450" s="41" t="b">
        <f>tblCost[[#This Row],[RemainingRequirements]]=0</f>
        <v>0</v>
      </c>
      <c r="M1450" s="43">
        <f>IF(tblCost[[#This Row],[TargetRequirements]]=0,0,tblCost[[#This Row],[CompletedRequirements]]/tblCost[[#This Row],[TargetRequirements]])</f>
        <v>0</v>
      </c>
    </row>
    <row r="1451" spans="1:13">
      <c r="A1451" s="41" t="s">
        <v>5088</v>
      </c>
      <c r="B1451" s="41" t="str">
        <f>_xlfn.TEXTAFTER(_xlfn.TEXTBEFORE(tblCost[[#This Row],[RequirementID]],".",-2),"cost.")</f>
        <v>collection.gallery_3@4</v>
      </c>
      <c r="C1451" s="41" t="str">
        <f>_xlfn.XLOOKUP(tblCost[[#This Row],[TargetID]],tblTargets[TargetID],tblTargets[DisplayName],"")</f>
        <v>Gallery 3 Lv 4</v>
      </c>
      <c r="D1451" s="41" t="str">
        <f>_xlfn.XLOOKUP(tblCost[[#This Row],[TargetID]],tblTargets[TargetID],tblTargets[TargetType],"")</f>
        <v>COLLECTION</v>
      </c>
      <c r="E1451" s="41" t="s">
        <v>676</v>
      </c>
      <c r="F1451" s="62" t="str">
        <f>RIGHT(tblCost[[#This Row],[RequirementID]],1)</f>
        <v>1</v>
      </c>
      <c r="G1451" s="41">
        <v>20</v>
      </c>
      <c r="H1451" t="b">
        <f>COUNTIFS(tblCostChecklist[RequirementID],tblCost[[#This Row],[RequirementID]],tblCostChecklist[PlayerPaid],TRUE)&gt;0</f>
        <v>0</v>
      </c>
      <c r="I1451" s="41">
        <f>COUNTIF(tblCost[TargetID],tblCost[[#This Row],[TargetID]])</f>
        <v>5</v>
      </c>
      <c r="J1451" s="41">
        <f>COUNTIFS(tblCost[TargetID],tblCost[[#This Row],[TargetID]],tblCost[PlayerPaid],TRUE)</f>
        <v>0</v>
      </c>
      <c r="K1451" s="41">
        <f>tblCost[[#This Row],[TargetRequirements]]-tblCost[[#This Row],[CompletedRequirements]]</f>
        <v>5</v>
      </c>
      <c r="L1451" s="41" t="b">
        <f>tblCost[[#This Row],[RemainingRequirements]]=0</f>
        <v>0</v>
      </c>
      <c r="M1451" s="43">
        <f>IF(tblCost[[#This Row],[TargetRequirements]]=0,0,tblCost[[#This Row],[CompletedRequirements]]/tblCost[[#This Row],[TargetRequirements]])</f>
        <v>0</v>
      </c>
    </row>
    <row r="1452" spans="1:13">
      <c r="A1452" s="41" t="s">
        <v>5089</v>
      </c>
      <c r="B1452" s="41" t="str">
        <f>_xlfn.TEXTAFTER(_xlfn.TEXTBEFORE(tblCost[[#This Row],[RequirementID]],".",-2),"cost.")</f>
        <v>collection.gallery_3@4</v>
      </c>
      <c r="C1452" s="41" t="str">
        <f>_xlfn.XLOOKUP(tblCost[[#This Row],[TargetID]],tblTargets[TargetID],tblTargets[DisplayName],"")</f>
        <v>Gallery 3 Lv 4</v>
      </c>
      <c r="D1452" s="41" t="str">
        <f>_xlfn.XLOOKUP(tblCost[[#This Row],[TargetID]],tblTargets[TargetID],tblTargets[TargetType],"")</f>
        <v>COLLECTION</v>
      </c>
      <c r="E1452" s="41" t="s">
        <v>703</v>
      </c>
      <c r="F1452" s="62" t="str">
        <f>RIGHT(tblCost[[#This Row],[RequirementID]],1)</f>
        <v>1</v>
      </c>
      <c r="G1452" s="41">
        <v>20</v>
      </c>
      <c r="H1452" t="b">
        <f>COUNTIFS(tblCostChecklist[RequirementID],tblCost[[#This Row],[RequirementID]],tblCostChecklist[PlayerPaid],TRUE)&gt;0</f>
        <v>0</v>
      </c>
      <c r="I1452" s="41">
        <f>COUNTIF(tblCost[TargetID],tblCost[[#This Row],[TargetID]])</f>
        <v>5</v>
      </c>
      <c r="J1452" s="41">
        <f>COUNTIFS(tblCost[TargetID],tblCost[[#This Row],[TargetID]],tblCost[PlayerPaid],TRUE)</f>
        <v>0</v>
      </c>
      <c r="K1452" s="41">
        <f>tblCost[[#This Row],[TargetRequirements]]-tblCost[[#This Row],[CompletedRequirements]]</f>
        <v>5</v>
      </c>
      <c r="L1452" s="41" t="b">
        <f>tblCost[[#This Row],[RemainingRequirements]]=0</f>
        <v>0</v>
      </c>
      <c r="M1452" s="43">
        <f>IF(tblCost[[#This Row],[TargetRequirements]]=0,0,tblCost[[#This Row],[CompletedRequirements]]/tblCost[[#This Row],[TargetRequirements]])</f>
        <v>0</v>
      </c>
    </row>
    <row r="1453" spans="1:13">
      <c r="A1453" s="41" t="s">
        <v>5090</v>
      </c>
      <c r="B1453" s="41" t="str">
        <f>_xlfn.TEXTAFTER(_xlfn.TEXTBEFORE(tblCost[[#This Row],[RequirementID]],".",-2),"cost.")</f>
        <v>collection.gallery_3@4</v>
      </c>
      <c r="C1453" s="41" t="str">
        <f>_xlfn.XLOOKUP(tblCost[[#This Row],[TargetID]],tblTargets[TargetID],tblTargets[DisplayName],"")</f>
        <v>Gallery 3 Lv 4</v>
      </c>
      <c r="D1453" s="41" t="str">
        <f>_xlfn.XLOOKUP(tblCost[[#This Row],[TargetID]],tblTargets[TargetID],tblTargets[TargetType],"")</f>
        <v>COLLECTION</v>
      </c>
      <c r="E1453" s="41" t="s">
        <v>706</v>
      </c>
      <c r="F1453" s="62" t="str">
        <f>RIGHT(tblCost[[#This Row],[RequirementID]],1)</f>
        <v>1</v>
      </c>
      <c r="G1453" s="41">
        <v>20</v>
      </c>
      <c r="H1453" t="b">
        <f>COUNTIFS(tblCostChecklist[RequirementID],tblCost[[#This Row],[RequirementID]],tblCostChecklist[PlayerPaid],TRUE)&gt;0</f>
        <v>0</v>
      </c>
      <c r="I1453" s="41">
        <f>COUNTIF(tblCost[TargetID],tblCost[[#This Row],[TargetID]])</f>
        <v>5</v>
      </c>
      <c r="J1453" s="41">
        <f>COUNTIFS(tblCost[TargetID],tblCost[[#This Row],[TargetID]],tblCost[PlayerPaid],TRUE)</f>
        <v>0</v>
      </c>
      <c r="K1453" s="41">
        <f>tblCost[[#This Row],[TargetRequirements]]-tblCost[[#This Row],[CompletedRequirements]]</f>
        <v>5</v>
      </c>
      <c r="L1453" s="41" t="b">
        <f>tblCost[[#This Row],[RemainingRequirements]]=0</f>
        <v>0</v>
      </c>
      <c r="M1453" s="43">
        <f>IF(tblCost[[#This Row],[TargetRequirements]]=0,0,tblCost[[#This Row],[CompletedRequirements]]/tblCost[[#This Row],[TargetRequirements]])</f>
        <v>0</v>
      </c>
    </row>
    <row r="1454" spans="1:13">
      <c r="A1454" s="41" t="s">
        <v>5091</v>
      </c>
      <c r="B1454" s="41" t="str">
        <f>_xlfn.TEXTAFTER(_xlfn.TEXTBEFORE(tblCost[[#This Row],[RequirementID]],".",-2),"cost.")</f>
        <v>collection.gallery_3@4</v>
      </c>
      <c r="C1454" s="41" t="str">
        <f>_xlfn.XLOOKUP(tblCost[[#This Row],[TargetID]],tblTargets[TargetID],tblTargets[DisplayName],"")</f>
        <v>Gallery 3 Lv 4</v>
      </c>
      <c r="D1454" s="41" t="str">
        <f>_xlfn.XLOOKUP(tblCost[[#This Row],[TargetID]],tblTargets[TargetID],tblTargets[TargetType],"")</f>
        <v>COLLECTION</v>
      </c>
      <c r="E1454" s="41" t="s">
        <v>958</v>
      </c>
      <c r="F1454" s="62" t="str">
        <f>RIGHT(tblCost[[#This Row],[RequirementID]],1)</f>
        <v>1</v>
      </c>
      <c r="G1454" s="41">
        <v>20</v>
      </c>
      <c r="H1454" t="b">
        <f>COUNTIFS(tblCostChecklist[RequirementID],tblCost[[#This Row],[RequirementID]],tblCostChecklist[PlayerPaid],TRUE)&gt;0</f>
        <v>0</v>
      </c>
      <c r="I1454" s="41">
        <f>COUNTIF(tblCost[TargetID],tblCost[[#This Row],[TargetID]])</f>
        <v>5</v>
      </c>
      <c r="J1454" s="41">
        <f>COUNTIFS(tblCost[TargetID],tblCost[[#This Row],[TargetID]],tblCost[PlayerPaid],TRUE)</f>
        <v>0</v>
      </c>
      <c r="K1454" s="41">
        <f>tblCost[[#This Row],[TargetRequirements]]-tblCost[[#This Row],[CompletedRequirements]]</f>
        <v>5</v>
      </c>
      <c r="L1454" s="41" t="b">
        <f>tblCost[[#This Row],[RemainingRequirements]]=0</f>
        <v>0</v>
      </c>
      <c r="M1454" s="43">
        <f>IF(tblCost[[#This Row],[TargetRequirements]]=0,0,tblCost[[#This Row],[CompletedRequirements]]/tblCost[[#This Row],[TargetRequirements]])</f>
        <v>0</v>
      </c>
    </row>
    <row r="1455" spans="1:13">
      <c r="A1455" s="41" t="s">
        <v>5092</v>
      </c>
      <c r="B1455" s="41" t="str">
        <f>_xlfn.TEXTAFTER(_xlfn.TEXTBEFORE(tblCost[[#This Row],[RequirementID]],".",-2),"cost.")</f>
        <v>collection.gallery_3@5</v>
      </c>
      <c r="C1455" s="41" t="str">
        <f>_xlfn.XLOOKUP(tblCost[[#This Row],[TargetID]],tblTargets[TargetID],tblTargets[DisplayName],"")</f>
        <v>Gallery 3 Lv 5</v>
      </c>
      <c r="D1455" s="41" t="str">
        <f>_xlfn.XLOOKUP(tblCost[[#This Row],[TargetID]],tblTargets[TargetID],tblTargets[TargetType],"")</f>
        <v>COLLECTION</v>
      </c>
      <c r="E1455" s="41" t="s">
        <v>661</v>
      </c>
      <c r="F1455" s="62" t="str">
        <f>RIGHT(tblCost[[#This Row],[RequirementID]],1)</f>
        <v>1</v>
      </c>
      <c r="G1455" s="41">
        <v>25</v>
      </c>
      <c r="H1455" t="b">
        <f>COUNTIFS(tblCostChecklist[RequirementID],tblCost[[#This Row],[RequirementID]],tblCostChecklist[PlayerPaid],TRUE)&gt;0</f>
        <v>0</v>
      </c>
      <c r="I1455" s="41">
        <f>COUNTIF(tblCost[TargetID],tblCost[[#This Row],[TargetID]])</f>
        <v>5</v>
      </c>
      <c r="J1455" s="41">
        <f>COUNTIFS(tblCost[TargetID],tblCost[[#This Row],[TargetID]],tblCost[PlayerPaid],TRUE)</f>
        <v>0</v>
      </c>
      <c r="K1455" s="41">
        <f>tblCost[[#This Row],[TargetRequirements]]-tblCost[[#This Row],[CompletedRequirements]]</f>
        <v>5</v>
      </c>
      <c r="L1455" s="41" t="b">
        <f>tblCost[[#This Row],[RemainingRequirements]]=0</f>
        <v>0</v>
      </c>
      <c r="M1455" s="43">
        <f>IF(tblCost[[#This Row],[TargetRequirements]]=0,0,tblCost[[#This Row],[CompletedRequirements]]/tblCost[[#This Row],[TargetRequirements]])</f>
        <v>0</v>
      </c>
    </row>
    <row r="1456" spans="1:13">
      <c r="A1456" s="41" t="s">
        <v>5093</v>
      </c>
      <c r="B1456" s="41" t="str">
        <f>_xlfn.TEXTAFTER(_xlfn.TEXTBEFORE(tblCost[[#This Row],[RequirementID]],".",-2),"cost.")</f>
        <v>collection.gallery_3@5</v>
      </c>
      <c r="C1456" s="41" t="str">
        <f>_xlfn.XLOOKUP(tblCost[[#This Row],[TargetID]],tblTargets[TargetID],tblTargets[DisplayName],"")</f>
        <v>Gallery 3 Lv 5</v>
      </c>
      <c r="D1456" s="41" t="str">
        <f>_xlfn.XLOOKUP(tblCost[[#This Row],[TargetID]],tblTargets[TargetID],tblTargets[TargetType],"")</f>
        <v>COLLECTION</v>
      </c>
      <c r="E1456" s="41" t="s">
        <v>676</v>
      </c>
      <c r="F1456" s="62" t="str">
        <f>RIGHT(tblCost[[#This Row],[RequirementID]],1)</f>
        <v>1</v>
      </c>
      <c r="G1456" s="41">
        <v>25</v>
      </c>
      <c r="H1456" t="b">
        <f>COUNTIFS(tblCostChecklist[RequirementID],tblCost[[#This Row],[RequirementID]],tblCostChecklist[PlayerPaid],TRUE)&gt;0</f>
        <v>0</v>
      </c>
      <c r="I1456" s="41">
        <f>COUNTIF(tblCost[TargetID],tblCost[[#This Row],[TargetID]])</f>
        <v>5</v>
      </c>
      <c r="J1456" s="41">
        <f>COUNTIFS(tblCost[TargetID],tblCost[[#This Row],[TargetID]],tblCost[PlayerPaid],TRUE)</f>
        <v>0</v>
      </c>
      <c r="K1456" s="41">
        <f>tblCost[[#This Row],[TargetRequirements]]-tblCost[[#This Row],[CompletedRequirements]]</f>
        <v>5</v>
      </c>
      <c r="L1456" s="41" t="b">
        <f>tblCost[[#This Row],[RemainingRequirements]]=0</f>
        <v>0</v>
      </c>
      <c r="M1456" s="43">
        <f>IF(tblCost[[#This Row],[TargetRequirements]]=0,0,tblCost[[#This Row],[CompletedRequirements]]/tblCost[[#This Row],[TargetRequirements]])</f>
        <v>0</v>
      </c>
    </row>
    <row r="1457" spans="1:13">
      <c r="A1457" s="41" t="s">
        <v>5094</v>
      </c>
      <c r="B1457" s="41" t="str">
        <f>_xlfn.TEXTAFTER(_xlfn.TEXTBEFORE(tblCost[[#This Row],[RequirementID]],".",-2),"cost.")</f>
        <v>collection.gallery_3@5</v>
      </c>
      <c r="C1457" s="41" t="str">
        <f>_xlfn.XLOOKUP(tblCost[[#This Row],[TargetID]],tblTargets[TargetID],tblTargets[DisplayName],"")</f>
        <v>Gallery 3 Lv 5</v>
      </c>
      <c r="D1457" s="41" t="str">
        <f>_xlfn.XLOOKUP(tblCost[[#This Row],[TargetID]],tblTargets[TargetID],tblTargets[TargetType],"")</f>
        <v>COLLECTION</v>
      </c>
      <c r="E1457" s="41" t="s">
        <v>703</v>
      </c>
      <c r="F1457" s="62" t="str">
        <f>RIGHT(tblCost[[#This Row],[RequirementID]],1)</f>
        <v>1</v>
      </c>
      <c r="G1457" s="41">
        <v>25</v>
      </c>
      <c r="H1457" t="b">
        <f>COUNTIFS(tblCostChecklist[RequirementID],tblCost[[#This Row],[RequirementID]],tblCostChecklist[PlayerPaid],TRUE)&gt;0</f>
        <v>0</v>
      </c>
      <c r="I1457" s="41">
        <f>COUNTIF(tblCost[TargetID],tblCost[[#This Row],[TargetID]])</f>
        <v>5</v>
      </c>
      <c r="J1457" s="41">
        <f>COUNTIFS(tblCost[TargetID],tblCost[[#This Row],[TargetID]],tblCost[PlayerPaid],TRUE)</f>
        <v>0</v>
      </c>
      <c r="K1457" s="41">
        <f>tblCost[[#This Row],[TargetRequirements]]-tblCost[[#This Row],[CompletedRequirements]]</f>
        <v>5</v>
      </c>
      <c r="L1457" s="41" t="b">
        <f>tblCost[[#This Row],[RemainingRequirements]]=0</f>
        <v>0</v>
      </c>
      <c r="M1457" s="43">
        <f>IF(tblCost[[#This Row],[TargetRequirements]]=0,0,tblCost[[#This Row],[CompletedRequirements]]/tblCost[[#This Row],[TargetRequirements]])</f>
        <v>0</v>
      </c>
    </row>
    <row r="1458" spans="1:13">
      <c r="A1458" s="41" t="s">
        <v>5095</v>
      </c>
      <c r="B1458" s="41" t="str">
        <f>_xlfn.TEXTAFTER(_xlfn.TEXTBEFORE(tblCost[[#This Row],[RequirementID]],".",-2),"cost.")</f>
        <v>collection.gallery_3@5</v>
      </c>
      <c r="C1458" s="41" t="str">
        <f>_xlfn.XLOOKUP(tblCost[[#This Row],[TargetID]],tblTargets[TargetID],tblTargets[DisplayName],"")</f>
        <v>Gallery 3 Lv 5</v>
      </c>
      <c r="D1458" s="41" t="str">
        <f>_xlfn.XLOOKUP(tblCost[[#This Row],[TargetID]],tblTargets[TargetID],tblTargets[TargetType],"")</f>
        <v>COLLECTION</v>
      </c>
      <c r="E1458" s="41" t="s">
        <v>706</v>
      </c>
      <c r="F1458" s="62" t="str">
        <f>RIGHT(tblCost[[#This Row],[RequirementID]],1)</f>
        <v>1</v>
      </c>
      <c r="G1458" s="41">
        <v>25</v>
      </c>
      <c r="H1458" t="b">
        <f>COUNTIFS(tblCostChecklist[RequirementID],tblCost[[#This Row],[RequirementID]],tblCostChecklist[PlayerPaid],TRUE)&gt;0</f>
        <v>0</v>
      </c>
      <c r="I1458" s="41">
        <f>COUNTIF(tblCost[TargetID],tblCost[[#This Row],[TargetID]])</f>
        <v>5</v>
      </c>
      <c r="J1458" s="41">
        <f>COUNTIFS(tblCost[TargetID],tblCost[[#This Row],[TargetID]],tblCost[PlayerPaid],TRUE)</f>
        <v>0</v>
      </c>
      <c r="K1458" s="41">
        <f>tblCost[[#This Row],[TargetRequirements]]-tblCost[[#This Row],[CompletedRequirements]]</f>
        <v>5</v>
      </c>
      <c r="L1458" s="41" t="b">
        <f>tblCost[[#This Row],[RemainingRequirements]]=0</f>
        <v>0</v>
      </c>
      <c r="M1458" s="43">
        <f>IF(tblCost[[#This Row],[TargetRequirements]]=0,0,tblCost[[#This Row],[CompletedRequirements]]/tblCost[[#This Row],[TargetRequirements]])</f>
        <v>0</v>
      </c>
    </row>
    <row r="1459" spans="1:13">
      <c r="A1459" s="41" t="s">
        <v>5096</v>
      </c>
      <c r="B1459" s="41" t="str">
        <f>_xlfn.TEXTAFTER(_xlfn.TEXTBEFORE(tblCost[[#This Row],[RequirementID]],".",-2),"cost.")</f>
        <v>collection.gallery_3@5</v>
      </c>
      <c r="C1459" s="41" t="str">
        <f>_xlfn.XLOOKUP(tblCost[[#This Row],[TargetID]],tblTargets[TargetID],tblTargets[DisplayName],"")</f>
        <v>Gallery 3 Lv 5</v>
      </c>
      <c r="D1459" s="41" t="str">
        <f>_xlfn.XLOOKUP(tblCost[[#This Row],[TargetID]],tblTargets[TargetID],tblTargets[TargetType],"")</f>
        <v>COLLECTION</v>
      </c>
      <c r="E1459" s="41" t="s">
        <v>958</v>
      </c>
      <c r="F1459" s="62" t="str">
        <f>RIGHT(tblCost[[#This Row],[RequirementID]],1)</f>
        <v>1</v>
      </c>
      <c r="G1459" s="41">
        <v>25</v>
      </c>
      <c r="H1459" t="b">
        <f>COUNTIFS(tblCostChecklist[RequirementID],tblCost[[#This Row],[RequirementID]],tblCostChecklist[PlayerPaid],TRUE)&gt;0</f>
        <v>0</v>
      </c>
      <c r="I1459" s="41">
        <f>COUNTIF(tblCost[TargetID],tblCost[[#This Row],[TargetID]])</f>
        <v>5</v>
      </c>
      <c r="J1459" s="41">
        <f>COUNTIFS(tblCost[TargetID],tblCost[[#This Row],[TargetID]],tblCost[PlayerPaid],TRUE)</f>
        <v>0</v>
      </c>
      <c r="K1459" s="41">
        <f>tblCost[[#This Row],[TargetRequirements]]-tblCost[[#This Row],[CompletedRequirements]]</f>
        <v>5</v>
      </c>
      <c r="L1459" s="41" t="b">
        <f>tblCost[[#This Row],[RemainingRequirements]]=0</f>
        <v>0</v>
      </c>
      <c r="M1459" s="43">
        <f>IF(tblCost[[#This Row],[TargetRequirements]]=0,0,tblCost[[#This Row],[CompletedRequirements]]/tblCost[[#This Row],[TargetRequirements]])</f>
        <v>0</v>
      </c>
    </row>
    <row r="1460" spans="1:13">
      <c r="A1460" s="41" t="s">
        <v>5097</v>
      </c>
      <c r="B1460" s="41" t="str">
        <f>_xlfn.TEXTAFTER(_xlfn.TEXTBEFORE(tblCost[[#This Row],[RequirementID]],".",-2),"cost.")</f>
        <v>collection.historical_library_1@1</v>
      </c>
      <c r="C1460" s="41" t="str">
        <f>_xlfn.XLOOKUP(tblCost[[#This Row],[TargetID]],tblTargets[TargetID],tblTargets[DisplayName],"")</f>
        <v>Historical Library 1 Lv 1</v>
      </c>
      <c r="D1460" s="41" t="str">
        <f>_xlfn.XLOOKUP(tblCost[[#This Row],[TargetID]],tblTargets[TargetID],tblTargets[TargetType],"")</f>
        <v>COLLECTION</v>
      </c>
      <c r="E1460" s="41" t="s">
        <v>662</v>
      </c>
      <c r="F1460" s="62" t="str">
        <f>RIGHT(tblCost[[#This Row],[RequirementID]],1)</f>
        <v>1</v>
      </c>
      <c r="G1460" s="41">
        <v>20</v>
      </c>
      <c r="H1460" t="b">
        <f>COUNTIFS(tblCostChecklist[RequirementID],tblCost[[#This Row],[RequirementID]],tblCostChecklist[PlayerPaid],TRUE)&gt;0</f>
        <v>0</v>
      </c>
      <c r="I1460" s="41">
        <f>COUNTIF(tblCost[TargetID],tblCost[[#This Row],[TargetID]])</f>
        <v>4</v>
      </c>
      <c r="J1460" s="41">
        <f>COUNTIFS(tblCost[TargetID],tblCost[[#This Row],[TargetID]],tblCost[PlayerPaid],TRUE)</f>
        <v>0</v>
      </c>
      <c r="K1460" s="41">
        <f>tblCost[[#This Row],[TargetRequirements]]-tblCost[[#This Row],[CompletedRequirements]]</f>
        <v>4</v>
      </c>
      <c r="L1460" s="41" t="b">
        <f>tblCost[[#This Row],[RemainingRequirements]]=0</f>
        <v>0</v>
      </c>
      <c r="M1460" s="43">
        <f>IF(tblCost[[#This Row],[TargetRequirements]]=0,0,tblCost[[#This Row],[CompletedRequirements]]/tblCost[[#This Row],[TargetRequirements]])</f>
        <v>0</v>
      </c>
    </row>
    <row r="1461" spans="1:13">
      <c r="A1461" s="41" t="s">
        <v>5098</v>
      </c>
      <c r="B1461" s="41" t="str">
        <f>_xlfn.TEXTAFTER(_xlfn.TEXTBEFORE(tblCost[[#This Row],[RequirementID]],".",-2),"cost.")</f>
        <v>collection.historical_library_1@1</v>
      </c>
      <c r="C1461" s="41" t="str">
        <f>_xlfn.XLOOKUP(tblCost[[#This Row],[TargetID]],tblTargets[TargetID],tblTargets[DisplayName],"")</f>
        <v>Historical Library 1 Lv 1</v>
      </c>
      <c r="D1461" s="41" t="str">
        <f>_xlfn.XLOOKUP(tblCost[[#This Row],[TargetID]],tblTargets[TargetID],tblTargets[TargetType],"")</f>
        <v>COLLECTION</v>
      </c>
      <c r="E1461" s="41" t="s">
        <v>677</v>
      </c>
      <c r="F1461" s="62" t="str">
        <f>RIGHT(tblCost[[#This Row],[RequirementID]],1)</f>
        <v>1</v>
      </c>
      <c r="G1461" s="41">
        <v>10</v>
      </c>
      <c r="H1461" t="b">
        <f>COUNTIFS(tblCostChecklist[RequirementID],tblCost[[#This Row],[RequirementID]],tblCostChecklist[PlayerPaid],TRUE)&gt;0</f>
        <v>0</v>
      </c>
      <c r="I1461" s="41">
        <f>COUNTIF(tblCost[TargetID],tblCost[[#This Row],[TargetID]])</f>
        <v>4</v>
      </c>
      <c r="J1461" s="41">
        <f>COUNTIFS(tblCost[TargetID],tblCost[[#This Row],[TargetID]],tblCost[PlayerPaid],TRUE)</f>
        <v>0</v>
      </c>
      <c r="K1461" s="41">
        <f>tblCost[[#This Row],[TargetRequirements]]-tblCost[[#This Row],[CompletedRequirements]]</f>
        <v>4</v>
      </c>
      <c r="L1461" s="41" t="b">
        <f>tblCost[[#This Row],[RemainingRequirements]]=0</f>
        <v>0</v>
      </c>
      <c r="M1461" s="43">
        <f>IF(tblCost[[#This Row],[TargetRequirements]]=0,0,tblCost[[#This Row],[CompletedRequirements]]/tblCost[[#This Row],[TargetRequirements]])</f>
        <v>0</v>
      </c>
    </row>
    <row r="1462" spans="1:13">
      <c r="A1462" s="41" t="s">
        <v>5099</v>
      </c>
      <c r="B1462" s="41" t="str">
        <f>_xlfn.TEXTAFTER(_xlfn.TEXTBEFORE(tblCost[[#This Row],[RequirementID]],".",-2),"cost.")</f>
        <v>collection.historical_library_1@1</v>
      </c>
      <c r="C1462" s="41" t="str">
        <f>_xlfn.XLOOKUP(tblCost[[#This Row],[TargetID]],tblTargets[TargetID],tblTargets[DisplayName],"")</f>
        <v>Historical Library 1 Lv 1</v>
      </c>
      <c r="D1462" s="41" t="str">
        <f>_xlfn.XLOOKUP(tblCost[[#This Row],[TargetID]],tblTargets[TargetID],tblTargets[TargetType],"")</f>
        <v>COLLECTION</v>
      </c>
      <c r="E1462" s="41" t="s">
        <v>696</v>
      </c>
      <c r="F1462" s="62" t="str">
        <f>RIGHT(tblCost[[#This Row],[RequirementID]],1)</f>
        <v>1</v>
      </c>
      <c r="G1462" s="41">
        <v>30</v>
      </c>
      <c r="H1462" t="b">
        <f>COUNTIFS(tblCostChecklist[RequirementID],tblCost[[#This Row],[RequirementID]],tblCostChecklist[PlayerPaid],TRUE)&gt;0</f>
        <v>0</v>
      </c>
      <c r="I1462" s="41">
        <f>COUNTIF(tblCost[TargetID],tblCost[[#This Row],[TargetID]])</f>
        <v>4</v>
      </c>
      <c r="J1462" s="41">
        <f>COUNTIFS(tblCost[TargetID],tblCost[[#This Row],[TargetID]],tblCost[PlayerPaid],TRUE)</f>
        <v>0</v>
      </c>
      <c r="K1462" s="41">
        <f>tblCost[[#This Row],[TargetRequirements]]-tblCost[[#This Row],[CompletedRequirements]]</f>
        <v>4</v>
      </c>
      <c r="L1462" s="41" t="b">
        <f>tblCost[[#This Row],[RemainingRequirements]]=0</f>
        <v>0</v>
      </c>
      <c r="M1462" s="43">
        <f>IF(tblCost[[#This Row],[TargetRequirements]]=0,0,tblCost[[#This Row],[CompletedRequirements]]/tblCost[[#This Row],[TargetRequirements]])</f>
        <v>0</v>
      </c>
    </row>
    <row r="1463" spans="1:13">
      <c r="A1463" s="41" t="s">
        <v>5100</v>
      </c>
      <c r="B1463" s="41" t="str">
        <f>_xlfn.TEXTAFTER(_xlfn.TEXTBEFORE(tblCost[[#This Row],[RequirementID]],".",-2),"cost.")</f>
        <v>collection.historical_library_1@1</v>
      </c>
      <c r="C1463" s="41" t="str">
        <f>_xlfn.XLOOKUP(tblCost[[#This Row],[TargetID]],tblTargets[TargetID],tblTargets[DisplayName],"")</f>
        <v>Historical Library 1 Lv 1</v>
      </c>
      <c r="D1463" s="41" t="str">
        <f>_xlfn.XLOOKUP(tblCost[[#This Row],[TargetID]],tblTargets[TargetID],tblTargets[TargetType],"")</f>
        <v>COLLECTION</v>
      </c>
      <c r="E1463" s="41" t="s">
        <v>710</v>
      </c>
      <c r="F1463" s="62" t="str">
        <f>RIGHT(tblCost[[#This Row],[RequirementID]],1)</f>
        <v>1</v>
      </c>
      <c r="G1463" s="41">
        <v>1</v>
      </c>
      <c r="H1463" t="b">
        <f>COUNTIFS(tblCostChecklist[RequirementID],tblCost[[#This Row],[RequirementID]],tblCostChecklist[PlayerPaid],TRUE)&gt;0</f>
        <v>0</v>
      </c>
      <c r="I1463" s="41">
        <f>COUNTIF(tblCost[TargetID],tblCost[[#This Row],[TargetID]])</f>
        <v>4</v>
      </c>
      <c r="J1463" s="41">
        <f>COUNTIFS(tblCost[TargetID],tblCost[[#This Row],[TargetID]],tblCost[PlayerPaid],TRUE)</f>
        <v>0</v>
      </c>
      <c r="K1463" s="41">
        <f>tblCost[[#This Row],[TargetRequirements]]-tblCost[[#This Row],[CompletedRequirements]]</f>
        <v>4</v>
      </c>
      <c r="L1463" s="41" t="b">
        <f>tblCost[[#This Row],[RemainingRequirements]]=0</f>
        <v>0</v>
      </c>
      <c r="M1463" s="43">
        <f>IF(tblCost[[#This Row],[TargetRequirements]]=0,0,tblCost[[#This Row],[CompletedRequirements]]/tblCost[[#This Row],[TargetRequirements]])</f>
        <v>0</v>
      </c>
    </row>
    <row r="1464" spans="1:13">
      <c r="A1464" s="41" t="s">
        <v>5101</v>
      </c>
      <c r="B1464" s="41" t="str">
        <f>_xlfn.TEXTAFTER(_xlfn.TEXTBEFORE(tblCost[[#This Row],[RequirementID]],".",-2),"cost.")</f>
        <v>collection.historical_library_1@2</v>
      </c>
      <c r="C1464" s="41" t="str">
        <f>_xlfn.XLOOKUP(tblCost[[#This Row],[TargetID]],tblTargets[TargetID],tblTargets[DisplayName],"")</f>
        <v>Historical Library 1 Lv 2</v>
      </c>
      <c r="D1464" s="41" t="str">
        <f>_xlfn.XLOOKUP(tblCost[[#This Row],[TargetID]],tblTargets[TargetID],tblTargets[TargetType],"")</f>
        <v>COLLECTION</v>
      </c>
      <c r="E1464" s="41" t="s">
        <v>662</v>
      </c>
      <c r="F1464" s="62" t="str">
        <f>RIGHT(tblCost[[#This Row],[RequirementID]],1)</f>
        <v>1</v>
      </c>
      <c r="G1464" s="41">
        <v>40</v>
      </c>
      <c r="H1464" t="b">
        <f>COUNTIFS(tblCostChecklist[RequirementID],tblCost[[#This Row],[RequirementID]],tblCostChecklist[PlayerPaid],TRUE)&gt;0</f>
        <v>0</v>
      </c>
      <c r="I1464" s="41">
        <f>COUNTIF(tblCost[TargetID],tblCost[[#This Row],[TargetID]])</f>
        <v>4</v>
      </c>
      <c r="J1464" s="41">
        <f>COUNTIFS(tblCost[TargetID],tblCost[[#This Row],[TargetID]],tblCost[PlayerPaid],TRUE)</f>
        <v>0</v>
      </c>
      <c r="K1464" s="41">
        <f>tblCost[[#This Row],[TargetRequirements]]-tblCost[[#This Row],[CompletedRequirements]]</f>
        <v>4</v>
      </c>
      <c r="L1464" s="41" t="b">
        <f>tblCost[[#This Row],[RemainingRequirements]]=0</f>
        <v>0</v>
      </c>
      <c r="M1464" s="43">
        <f>IF(tblCost[[#This Row],[TargetRequirements]]=0,0,tblCost[[#This Row],[CompletedRequirements]]/tblCost[[#This Row],[TargetRequirements]])</f>
        <v>0</v>
      </c>
    </row>
    <row r="1465" spans="1:13">
      <c r="A1465" s="41" t="s">
        <v>5102</v>
      </c>
      <c r="B1465" s="41" t="str">
        <f>_xlfn.TEXTAFTER(_xlfn.TEXTBEFORE(tblCost[[#This Row],[RequirementID]],".",-2),"cost.")</f>
        <v>collection.historical_library_1@2</v>
      </c>
      <c r="C1465" s="41" t="str">
        <f>_xlfn.XLOOKUP(tblCost[[#This Row],[TargetID]],tblTargets[TargetID],tblTargets[DisplayName],"")</f>
        <v>Historical Library 1 Lv 2</v>
      </c>
      <c r="D1465" s="41" t="str">
        <f>_xlfn.XLOOKUP(tblCost[[#This Row],[TargetID]],tblTargets[TargetID],tblTargets[TargetType],"")</f>
        <v>COLLECTION</v>
      </c>
      <c r="E1465" s="41" t="s">
        <v>677</v>
      </c>
      <c r="F1465" s="62" t="str">
        <f>RIGHT(tblCost[[#This Row],[RequirementID]],1)</f>
        <v>1</v>
      </c>
      <c r="G1465" s="41">
        <v>20</v>
      </c>
      <c r="H1465" t="b">
        <f>COUNTIFS(tblCostChecklist[RequirementID],tblCost[[#This Row],[RequirementID]],tblCostChecklist[PlayerPaid],TRUE)&gt;0</f>
        <v>0</v>
      </c>
      <c r="I1465" s="41">
        <f>COUNTIF(tblCost[TargetID],tblCost[[#This Row],[TargetID]])</f>
        <v>4</v>
      </c>
      <c r="J1465" s="41">
        <f>COUNTIFS(tblCost[TargetID],tblCost[[#This Row],[TargetID]],tblCost[PlayerPaid],TRUE)</f>
        <v>0</v>
      </c>
      <c r="K1465" s="41">
        <f>tblCost[[#This Row],[TargetRequirements]]-tblCost[[#This Row],[CompletedRequirements]]</f>
        <v>4</v>
      </c>
      <c r="L1465" s="41" t="b">
        <f>tblCost[[#This Row],[RemainingRequirements]]=0</f>
        <v>0</v>
      </c>
      <c r="M1465" s="43">
        <f>IF(tblCost[[#This Row],[TargetRequirements]]=0,0,tblCost[[#This Row],[CompletedRequirements]]/tblCost[[#This Row],[TargetRequirements]])</f>
        <v>0</v>
      </c>
    </row>
    <row r="1466" spans="1:13">
      <c r="A1466" s="41" t="s">
        <v>5103</v>
      </c>
      <c r="B1466" s="41" t="str">
        <f>_xlfn.TEXTAFTER(_xlfn.TEXTBEFORE(tblCost[[#This Row],[RequirementID]],".",-2),"cost.")</f>
        <v>collection.historical_library_1@2</v>
      </c>
      <c r="C1466" s="41" t="str">
        <f>_xlfn.XLOOKUP(tblCost[[#This Row],[TargetID]],tblTargets[TargetID],tblTargets[DisplayName],"")</f>
        <v>Historical Library 1 Lv 2</v>
      </c>
      <c r="D1466" s="41" t="str">
        <f>_xlfn.XLOOKUP(tblCost[[#This Row],[TargetID]],tblTargets[TargetID],tblTargets[TargetType],"")</f>
        <v>COLLECTION</v>
      </c>
      <c r="E1466" s="41" t="s">
        <v>696</v>
      </c>
      <c r="F1466" s="62" t="str">
        <f>RIGHT(tblCost[[#This Row],[RequirementID]],1)</f>
        <v>1</v>
      </c>
      <c r="G1466" s="41">
        <v>60</v>
      </c>
      <c r="H1466" t="b">
        <f>COUNTIFS(tblCostChecklist[RequirementID],tblCost[[#This Row],[RequirementID]],tblCostChecklist[PlayerPaid],TRUE)&gt;0</f>
        <v>0</v>
      </c>
      <c r="I1466" s="41">
        <f>COUNTIF(tblCost[TargetID],tblCost[[#This Row],[TargetID]])</f>
        <v>4</v>
      </c>
      <c r="J1466" s="41">
        <f>COUNTIFS(tblCost[TargetID],tblCost[[#This Row],[TargetID]],tblCost[PlayerPaid],TRUE)</f>
        <v>0</v>
      </c>
      <c r="K1466" s="41">
        <f>tblCost[[#This Row],[TargetRequirements]]-tblCost[[#This Row],[CompletedRequirements]]</f>
        <v>4</v>
      </c>
      <c r="L1466" s="41" t="b">
        <f>tblCost[[#This Row],[RemainingRequirements]]=0</f>
        <v>0</v>
      </c>
      <c r="M1466" s="43">
        <f>IF(tblCost[[#This Row],[TargetRequirements]]=0,0,tblCost[[#This Row],[CompletedRequirements]]/tblCost[[#This Row],[TargetRequirements]])</f>
        <v>0</v>
      </c>
    </row>
    <row r="1467" spans="1:13">
      <c r="A1467" s="41" t="s">
        <v>5104</v>
      </c>
      <c r="B1467" s="41" t="str">
        <f>_xlfn.TEXTAFTER(_xlfn.TEXTBEFORE(tblCost[[#This Row],[RequirementID]],".",-2),"cost.")</f>
        <v>collection.historical_library_1@2</v>
      </c>
      <c r="C1467" s="41" t="str">
        <f>_xlfn.XLOOKUP(tblCost[[#This Row],[TargetID]],tblTargets[TargetID],tblTargets[DisplayName],"")</f>
        <v>Historical Library 1 Lv 2</v>
      </c>
      <c r="D1467" s="41" t="str">
        <f>_xlfn.XLOOKUP(tblCost[[#This Row],[TargetID]],tblTargets[TargetID],tblTargets[TargetType],"")</f>
        <v>COLLECTION</v>
      </c>
      <c r="E1467" s="41" t="s">
        <v>710</v>
      </c>
      <c r="F1467" s="62" t="str">
        <f>RIGHT(tblCost[[#This Row],[RequirementID]],1)</f>
        <v>1</v>
      </c>
      <c r="G1467" s="41">
        <v>2</v>
      </c>
      <c r="H1467" t="b">
        <f>COUNTIFS(tblCostChecklist[RequirementID],tblCost[[#This Row],[RequirementID]],tblCostChecklist[PlayerPaid],TRUE)&gt;0</f>
        <v>0</v>
      </c>
      <c r="I1467" s="41">
        <f>COUNTIF(tblCost[TargetID],tblCost[[#This Row],[TargetID]])</f>
        <v>4</v>
      </c>
      <c r="J1467" s="41">
        <f>COUNTIFS(tblCost[TargetID],tblCost[[#This Row],[TargetID]],tblCost[PlayerPaid],TRUE)</f>
        <v>0</v>
      </c>
      <c r="K1467" s="41">
        <f>tblCost[[#This Row],[TargetRequirements]]-tblCost[[#This Row],[CompletedRequirements]]</f>
        <v>4</v>
      </c>
      <c r="L1467" s="41" t="b">
        <f>tblCost[[#This Row],[RemainingRequirements]]=0</f>
        <v>0</v>
      </c>
      <c r="M1467" s="43">
        <f>IF(tblCost[[#This Row],[TargetRequirements]]=0,0,tblCost[[#This Row],[CompletedRequirements]]/tblCost[[#This Row],[TargetRequirements]])</f>
        <v>0</v>
      </c>
    </row>
    <row r="1468" spans="1:13">
      <c r="A1468" s="41" t="s">
        <v>5105</v>
      </c>
      <c r="B1468" s="41" t="str">
        <f>_xlfn.TEXTAFTER(_xlfn.TEXTBEFORE(tblCost[[#This Row],[RequirementID]],".",-2),"cost.")</f>
        <v>collection.historical_library_1@3</v>
      </c>
      <c r="C1468" s="41" t="str">
        <f>_xlfn.XLOOKUP(tblCost[[#This Row],[TargetID]],tblTargets[TargetID],tblTargets[DisplayName],"")</f>
        <v>Historical Library 1 Lv 3</v>
      </c>
      <c r="D1468" s="41" t="str">
        <f>_xlfn.XLOOKUP(tblCost[[#This Row],[TargetID]],tblTargets[TargetID],tblTargets[TargetType],"")</f>
        <v>COLLECTION</v>
      </c>
      <c r="E1468" s="41" t="s">
        <v>662</v>
      </c>
      <c r="F1468" s="62" t="str">
        <f>RIGHT(tblCost[[#This Row],[RequirementID]],1)</f>
        <v>1</v>
      </c>
      <c r="G1468" s="41">
        <v>60</v>
      </c>
      <c r="H1468" t="b">
        <f>COUNTIFS(tblCostChecklist[RequirementID],tblCost[[#This Row],[RequirementID]],tblCostChecklist[PlayerPaid],TRUE)&gt;0</f>
        <v>0</v>
      </c>
      <c r="I1468" s="41">
        <f>COUNTIF(tblCost[TargetID],tblCost[[#This Row],[TargetID]])</f>
        <v>4</v>
      </c>
      <c r="J1468" s="41">
        <f>COUNTIFS(tblCost[TargetID],tblCost[[#This Row],[TargetID]],tblCost[PlayerPaid],TRUE)</f>
        <v>0</v>
      </c>
      <c r="K1468" s="41">
        <f>tblCost[[#This Row],[TargetRequirements]]-tblCost[[#This Row],[CompletedRequirements]]</f>
        <v>4</v>
      </c>
      <c r="L1468" s="41" t="b">
        <f>tblCost[[#This Row],[RemainingRequirements]]=0</f>
        <v>0</v>
      </c>
      <c r="M1468" s="43">
        <f>IF(tblCost[[#This Row],[TargetRequirements]]=0,0,tblCost[[#This Row],[CompletedRequirements]]/tblCost[[#This Row],[TargetRequirements]])</f>
        <v>0</v>
      </c>
    </row>
    <row r="1469" spans="1:13">
      <c r="A1469" s="41" t="s">
        <v>5106</v>
      </c>
      <c r="B1469" s="41" t="str">
        <f>_xlfn.TEXTAFTER(_xlfn.TEXTBEFORE(tblCost[[#This Row],[RequirementID]],".",-2),"cost.")</f>
        <v>collection.historical_library_1@3</v>
      </c>
      <c r="C1469" s="41" t="str">
        <f>_xlfn.XLOOKUP(tblCost[[#This Row],[TargetID]],tblTargets[TargetID],tblTargets[DisplayName],"")</f>
        <v>Historical Library 1 Lv 3</v>
      </c>
      <c r="D1469" s="41" t="str">
        <f>_xlfn.XLOOKUP(tblCost[[#This Row],[TargetID]],tblTargets[TargetID],tblTargets[TargetType],"")</f>
        <v>COLLECTION</v>
      </c>
      <c r="E1469" s="41" t="s">
        <v>677</v>
      </c>
      <c r="F1469" s="62" t="str">
        <f>RIGHT(tblCost[[#This Row],[RequirementID]],1)</f>
        <v>1</v>
      </c>
      <c r="G1469" s="41">
        <v>30</v>
      </c>
      <c r="H1469" t="b">
        <f>COUNTIFS(tblCostChecklist[RequirementID],tblCost[[#This Row],[RequirementID]],tblCostChecklist[PlayerPaid],TRUE)&gt;0</f>
        <v>0</v>
      </c>
      <c r="I1469" s="41">
        <f>COUNTIF(tblCost[TargetID],tblCost[[#This Row],[TargetID]])</f>
        <v>4</v>
      </c>
      <c r="J1469" s="41">
        <f>COUNTIFS(tblCost[TargetID],tblCost[[#This Row],[TargetID]],tblCost[PlayerPaid],TRUE)</f>
        <v>0</v>
      </c>
      <c r="K1469" s="41">
        <f>tblCost[[#This Row],[TargetRequirements]]-tblCost[[#This Row],[CompletedRequirements]]</f>
        <v>4</v>
      </c>
      <c r="L1469" s="41" t="b">
        <f>tblCost[[#This Row],[RemainingRequirements]]=0</f>
        <v>0</v>
      </c>
      <c r="M1469" s="43">
        <f>IF(tblCost[[#This Row],[TargetRequirements]]=0,0,tblCost[[#This Row],[CompletedRequirements]]/tblCost[[#This Row],[TargetRequirements]])</f>
        <v>0</v>
      </c>
    </row>
    <row r="1470" spans="1:13">
      <c r="A1470" s="41" t="s">
        <v>5107</v>
      </c>
      <c r="B1470" s="41" t="str">
        <f>_xlfn.TEXTAFTER(_xlfn.TEXTBEFORE(tblCost[[#This Row],[RequirementID]],".",-2),"cost.")</f>
        <v>collection.historical_library_1@3</v>
      </c>
      <c r="C1470" s="41" t="str">
        <f>_xlfn.XLOOKUP(tblCost[[#This Row],[TargetID]],tblTargets[TargetID],tblTargets[DisplayName],"")</f>
        <v>Historical Library 1 Lv 3</v>
      </c>
      <c r="D1470" s="41" t="str">
        <f>_xlfn.XLOOKUP(tblCost[[#This Row],[TargetID]],tblTargets[TargetID],tblTargets[TargetType],"")</f>
        <v>COLLECTION</v>
      </c>
      <c r="E1470" s="41" t="s">
        <v>696</v>
      </c>
      <c r="F1470" s="62" t="str">
        <f>RIGHT(tblCost[[#This Row],[RequirementID]],1)</f>
        <v>1</v>
      </c>
      <c r="G1470" s="41">
        <v>90</v>
      </c>
      <c r="H1470" t="b">
        <f>COUNTIFS(tblCostChecklist[RequirementID],tblCost[[#This Row],[RequirementID]],tblCostChecklist[PlayerPaid],TRUE)&gt;0</f>
        <v>0</v>
      </c>
      <c r="I1470" s="41">
        <f>COUNTIF(tblCost[TargetID],tblCost[[#This Row],[TargetID]])</f>
        <v>4</v>
      </c>
      <c r="J1470" s="41">
        <f>COUNTIFS(tblCost[TargetID],tblCost[[#This Row],[TargetID]],tblCost[PlayerPaid],TRUE)</f>
        <v>0</v>
      </c>
      <c r="K1470" s="41">
        <f>tblCost[[#This Row],[TargetRequirements]]-tblCost[[#This Row],[CompletedRequirements]]</f>
        <v>4</v>
      </c>
      <c r="L1470" s="41" t="b">
        <f>tblCost[[#This Row],[RemainingRequirements]]=0</f>
        <v>0</v>
      </c>
      <c r="M1470" s="43">
        <f>IF(tblCost[[#This Row],[TargetRequirements]]=0,0,tblCost[[#This Row],[CompletedRequirements]]/tblCost[[#This Row],[TargetRequirements]])</f>
        <v>0</v>
      </c>
    </row>
    <row r="1471" spans="1:13">
      <c r="A1471" s="41" t="s">
        <v>5108</v>
      </c>
      <c r="B1471" s="41" t="str">
        <f>_xlfn.TEXTAFTER(_xlfn.TEXTBEFORE(tblCost[[#This Row],[RequirementID]],".",-2),"cost.")</f>
        <v>collection.historical_library_1@3</v>
      </c>
      <c r="C1471" s="41" t="str">
        <f>_xlfn.XLOOKUP(tblCost[[#This Row],[TargetID]],tblTargets[TargetID],tblTargets[DisplayName],"")</f>
        <v>Historical Library 1 Lv 3</v>
      </c>
      <c r="D1471" s="41" t="str">
        <f>_xlfn.XLOOKUP(tblCost[[#This Row],[TargetID]],tblTargets[TargetID],tblTargets[TargetType],"")</f>
        <v>COLLECTION</v>
      </c>
      <c r="E1471" s="41" t="s">
        <v>710</v>
      </c>
      <c r="F1471" s="62" t="str">
        <f>RIGHT(tblCost[[#This Row],[RequirementID]],1)</f>
        <v>1</v>
      </c>
      <c r="G1471" s="41">
        <v>3</v>
      </c>
      <c r="H1471" t="b">
        <f>COUNTIFS(tblCostChecklist[RequirementID],tblCost[[#This Row],[RequirementID]],tblCostChecklist[PlayerPaid],TRUE)&gt;0</f>
        <v>0</v>
      </c>
      <c r="I1471" s="41">
        <f>COUNTIF(tblCost[TargetID],tblCost[[#This Row],[TargetID]])</f>
        <v>4</v>
      </c>
      <c r="J1471" s="41">
        <f>COUNTIFS(tblCost[TargetID],tblCost[[#This Row],[TargetID]],tblCost[PlayerPaid],TRUE)</f>
        <v>0</v>
      </c>
      <c r="K1471" s="41">
        <f>tblCost[[#This Row],[TargetRequirements]]-tblCost[[#This Row],[CompletedRequirements]]</f>
        <v>4</v>
      </c>
      <c r="L1471" s="41" t="b">
        <f>tblCost[[#This Row],[RemainingRequirements]]=0</f>
        <v>0</v>
      </c>
      <c r="M1471" s="43">
        <f>IF(tblCost[[#This Row],[TargetRequirements]]=0,0,tblCost[[#This Row],[CompletedRequirements]]/tblCost[[#This Row],[TargetRequirements]])</f>
        <v>0</v>
      </c>
    </row>
    <row r="1472" spans="1:13">
      <c r="A1472" s="41" t="s">
        <v>5109</v>
      </c>
      <c r="B1472" s="41" t="str">
        <f>_xlfn.TEXTAFTER(_xlfn.TEXTBEFORE(tblCost[[#This Row],[RequirementID]],".",-2),"cost.")</f>
        <v>collection.historical_library_2@1</v>
      </c>
      <c r="C1472" s="41" t="str">
        <f>_xlfn.XLOOKUP(tblCost[[#This Row],[TargetID]],tblTargets[TargetID],tblTargets[DisplayName],"")</f>
        <v>Historical Library 2 Lv 1</v>
      </c>
      <c r="D1472" s="41" t="str">
        <f>_xlfn.XLOOKUP(tblCost[[#This Row],[TargetID]],tblTargets[TargetID],tblTargets[TargetType],"")</f>
        <v>COLLECTION</v>
      </c>
      <c r="E1472" s="41" t="s">
        <v>1811</v>
      </c>
      <c r="F1472" s="62" t="str">
        <f>RIGHT(tblCost[[#This Row],[RequirementID]],1)</f>
        <v>1</v>
      </c>
      <c r="G1472" s="41">
        <v>20</v>
      </c>
      <c r="H1472" t="b">
        <f>COUNTIFS(tblCostChecklist[RequirementID],tblCost[[#This Row],[RequirementID]],tblCostChecklist[PlayerPaid],TRUE)&gt;0</f>
        <v>0</v>
      </c>
      <c r="I1472" s="41">
        <f>COUNTIF(tblCost[TargetID],tblCost[[#This Row],[TargetID]])</f>
        <v>3</v>
      </c>
      <c r="J1472" s="41">
        <f>COUNTIFS(tblCost[TargetID],tblCost[[#This Row],[TargetID]],tblCost[PlayerPaid],TRUE)</f>
        <v>0</v>
      </c>
      <c r="K1472" s="41">
        <f>tblCost[[#This Row],[TargetRequirements]]-tblCost[[#This Row],[CompletedRequirements]]</f>
        <v>3</v>
      </c>
      <c r="L1472" s="41" t="b">
        <f>tblCost[[#This Row],[RemainingRequirements]]=0</f>
        <v>0</v>
      </c>
      <c r="M1472" s="43">
        <f>IF(tblCost[[#This Row],[TargetRequirements]]=0,0,tblCost[[#This Row],[CompletedRequirements]]/tblCost[[#This Row],[TargetRequirements]])</f>
        <v>0</v>
      </c>
    </row>
    <row r="1473" spans="1:13">
      <c r="A1473" s="41" t="s">
        <v>5110</v>
      </c>
      <c r="B1473" s="41" t="str">
        <f>_xlfn.TEXTAFTER(_xlfn.TEXTBEFORE(tblCost[[#This Row],[RequirementID]],".",-2),"cost.")</f>
        <v>collection.historical_library_2@1</v>
      </c>
      <c r="C1473" s="41" t="str">
        <f>_xlfn.XLOOKUP(tblCost[[#This Row],[TargetID]],tblTargets[TargetID],tblTargets[DisplayName],"")</f>
        <v>Historical Library 2 Lv 1</v>
      </c>
      <c r="D1473" s="41" t="str">
        <f>_xlfn.XLOOKUP(tblCost[[#This Row],[TargetID]],tblTargets[TargetID],tblTargets[TargetType],"")</f>
        <v>COLLECTION</v>
      </c>
      <c r="E1473" s="41" t="s">
        <v>1812</v>
      </c>
      <c r="F1473" s="62" t="str">
        <f>RIGHT(tblCost[[#This Row],[RequirementID]],1)</f>
        <v>1</v>
      </c>
      <c r="G1473" s="41">
        <v>10</v>
      </c>
      <c r="H1473" t="b">
        <f>COUNTIFS(tblCostChecklist[RequirementID],tblCost[[#This Row],[RequirementID]],tblCostChecklist[PlayerPaid],TRUE)&gt;0</f>
        <v>0</v>
      </c>
      <c r="I1473" s="41">
        <f>COUNTIF(tblCost[TargetID],tblCost[[#This Row],[TargetID]])</f>
        <v>3</v>
      </c>
      <c r="J1473" s="41">
        <f>COUNTIFS(tblCost[TargetID],tblCost[[#This Row],[TargetID]],tblCost[PlayerPaid],TRUE)</f>
        <v>0</v>
      </c>
      <c r="K1473" s="41">
        <f>tblCost[[#This Row],[TargetRequirements]]-tblCost[[#This Row],[CompletedRequirements]]</f>
        <v>3</v>
      </c>
      <c r="L1473" s="41" t="b">
        <f>tblCost[[#This Row],[RemainingRequirements]]=0</f>
        <v>0</v>
      </c>
      <c r="M1473" s="43">
        <f>IF(tblCost[[#This Row],[TargetRequirements]]=0,0,tblCost[[#This Row],[CompletedRequirements]]/tblCost[[#This Row],[TargetRequirements]])</f>
        <v>0</v>
      </c>
    </row>
    <row r="1474" spans="1:13">
      <c r="A1474" s="41" t="s">
        <v>5111</v>
      </c>
      <c r="B1474" s="41" t="str">
        <f>_xlfn.TEXTAFTER(_xlfn.TEXTBEFORE(tblCost[[#This Row],[RequirementID]],".",-2),"cost.")</f>
        <v>collection.historical_library_2@1</v>
      </c>
      <c r="C1474" s="41" t="str">
        <f>_xlfn.XLOOKUP(tblCost[[#This Row],[TargetID]],tblTargets[TargetID],tblTargets[DisplayName],"")</f>
        <v>Historical Library 2 Lv 1</v>
      </c>
      <c r="D1474" s="41" t="str">
        <f>_xlfn.XLOOKUP(tblCost[[#This Row],[TargetID]],tblTargets[TargetID],tblTargets[TargetType],"")</f>
        <v>COLLECTION</v>
      </c>
      <c r="E1474" s="41" t="s">
        <v>1813</v>
      </c>
      <c r="F1474" s="62" t="str">
        <f>RIGHT(tblCost[[#This Row],[RequirementID]],1)</f>
        <v>1</v>
      </c>
      <c r="G1474" s="41">
        <v>5</v>
      </c>
      <c r="H1474" t="b">
        <f>COUNTIFS(tblCostChecklist[RequirementID],tblCost[[#This Row],[RequirementID]],tblCostChecklist[PlayerPaid],TRUE)&gt;0</f>
        <v>0</v>
      </c>
      <c r="I1474" s="41">
        <f>COUNTIF(tblCost[TargetID],tblCost[[#This Row],[TargetID]])</f>
        <v>3</v>
      </c>
      <c r="J1474" s="41">
        <f>COUNTIFS(tblCost[TargetID],tblCost[[#This Row],[TargetID]],tblCost[PlayerPaid],TRUE)</f>
        <v>0</v>
      </c>
      <c r="K1474" s="41">
        <f>tblCost[[#This Row],[TargetRequirements]]-tblCost[[#This Row],[CompletedRequirements]]</f>
        <v>3</v>
      </c>
      <c r="L1474" s="41" t="b">
        <f>tblCost[[#This Row],[RemainingRequirements]]=0</f>
        <v>0</v>
      </c>
      <c r="M1474" s="43">
        <f>IF(tblCost[[#This Row],[TargetRequirements]]=0,0,tblCost[[#This Row],[CompletedRequirements]]/tblCost[[#This Row],[TargetRequirements]])</f>
        <v>0</v>
      </c>
    </row>
    <row r="1475" spans="1:13">
      <c r="A1475" s="41" t="s">
        <v>5112</v>
      </c>
      <c r="B1475" s="41" t="str">
        <f>_xlfn.TEXTAFTER(_xlfn.TEXTBEFORE(tblCost[[#This Row],[RequirementID]],".",-2),"cost.")</f>
        <v>collection.historical_library_2@2</v>
      </c>
      <c r="C1475" s="41" t="str">
        <f>_xlfn.XLOOKUP(tblCost[[#This Row],[TargetID]],tblTargets[TargetID],tblTargets[DisplayName],"")</f>
        <v>Historical Library 2 Lv 2</v>
      </c>
      <c r="D1475" s="41" t="str">
        <f>_xlfn.XLOOKUP(tblCost[[#This Row],[TargetID]],tblTargets[TargetID],tblTargets[TargetType],"")</f>
        <v>COLLECTION</v>
      </c>
      <c r="E1475" s="41" t="s">
        <v>1811</v>
      </c>
      <c r="F1475" s="62" t="str">
        <f>RIGHT(tblCost[[#This Row],[RequirementID]],1)</f>
        <v>1</v>
      </c>
      <c r="G1475" s="41">
        <v>40</v>
      </c>
      <c r="H1475" t="b">
        <f>COUNTIFS(tblCostChecklist[RequirementID],tblCost[[#This Row],[RequirementID]],tblCostChecklist[PlayerPaid],TRUE)&gt;0</f>
        <v>0</v>
      </c>
      <c r="I1475" s="41">
        <f>COUNTIF(tblCost[TargetID],tblCost[[#This Row],[TargetID]])</f>
        <v>3</v>
      </c>
      <c r="J1475" s="41">
        <f>COUNTIFS(tblCost[TargetID],tblCost[[#This Row],[TargetID]],tblCost[PlayerPaid],TRUE)</f>
        <v>0</v>
      </c>
      <c r="K1475" s="41">
        <f>tblCost[[#This Row],[TargetRequirements]]-tblCost[[#This Row],[CompletedRequirements]]</f>
        <v>3</v>
      </c>
      <c r="L1475" s="41" t="b">
        <f>tblCost[[#This Row],[RemainingRequirements]]=0</f>
        <v>0</v>
      </c>
      <c r="M1475" s="43">
        <f>IF(tblCost[[#This Row],[TargetRequirements]]=0,0,tblCost[[#This Row],[CompletedRequirements]]/tblCost[[#This Row],[TargetRequirements]])</f>
        <v>0</v>
      </c>
    </row>
    <row r="1476" spans="1:13">
      <c r="A1476" s="41" t="s">
        <v>5113</v>
      </c>
      <c r="B1476" s="41" t="str">
        <f>_xlfn.TEXTAFTER(_xlfn.TEXTBEFORE(tblCost[[#This Row],[RequirementID]],".",-2),"cost.")</f>
        <v>collection.historical_library_2@2</v>
      </c>
      <c r="C1476" s="41" t="str">
        <f>_xlfn.XLOOKUP(tblCost[[#This Row],[TargetID]],tblTargets[TargetID],tblTargets[DisplayName],"")</f>
        <v>Historical Library 2 Lv 2</v>
      </c>
      <c r="D1476" s="41" t="str">
        <f>_xlfn.XLOOKUP(tblCost[[#This Row],[TargetID]],tblTargets[TargetID],tblTargets[TargetType],"")</f>
        <v>COLLECTION</v>
      </c>
      <c r="E1476" s="41" t="s">
        <v>1812</v>
      </c>
      <c r="F1476" s="62" t="str">
        <f>RIGHT(tblCost[[#This Row],[RequirementID]],1)</f>
        <v>1</v>
      </c>
      <c r="G1476" s="41">
        <v>20</v>
      </c>
      <c r="H1476" t="b">
        <f>COUNTIFS(tblCostChecklist[RequirementID],tblCost[[#This Row],[RequirementID]],tblCostChecklist[PlayerPaid],TRUE)&gt;0</f>
        <v>0</v>
      </c>
      <c r="I1476" s="41">
        <f>COUNTIF(tblCost[TargetID],tblCost[[#This Row],[TargetID]])</f>
        <v>3</v>
      </c>
      <c r="J1476" s="41">
        <f>COUNTIFS(tblCost[TargetID],tblCost[[#This Row],[TargetID]],tblCost[PlayerPaid],TRUE)</f>
        <v>0</v>
      </c>
      <c r="K1476" s="41">
        <f>tblCost[[#This Row],[TargetRequirements]]-tblCost[[#This Row],[CompletedRequirements]]</f>
        <v>3</v>
      </c>
      <c r="L1476" s="41" t="b">
        <f>tblCost[[#This Row],[RemainingRequirements]]=0</f>
        <v>0</v>
      </c>
      <c r="M1476" s="43">
        <f>IF(tblCost[[#This Row],[TargetRequirements]]=0,0,tblCost[[#This Row],[CompletedRequirements]]/tblCost[[#This Row],[TargetRequirements]])</f>
        <v>0</v>
      </c>
    </row>
    <row r="1477" spans="1:13">
      <c r="A1477" s="41" t="s">
        <v>5114</v>
      </c>
      <c r="B1477" s="41" t="str">
        <f>_xlfn.TEXTAFTER(_xlfn.TEXTBEFORE(tblCost[[#This Row],[RequirementID]],".",-2),"cost.")</f>
        <v>collection.historical_library_2@2</v>
      </c>
      <c r="C1477" s="41" t="str">
        <f>_xlfn.XLOOKUP(tblCost[[#This Row],[TargetID]],tblTargets[TargetID],tblTargets[DisplayName],"")</f>
        <v>Historical Library 2 Lv 2</v>
      </c>
      <c r="D1477" s="41" t="str">
        <f>_xlfn.XLOOKUP(tblCost[[#This Row],[TargetID]],tblTargets[TargetID],tblTargets[TargetType],"")</f>
        <v>COLLECTION</v>
      </c>
      <c r="E1477" s="41" t="s">
        <v>1813</v>
      </c>
      <c r="F1477" s="62" t="str">
        <f>RIGHT(tblCost[[#This Row],[RequirementID]],1)</f>
        <v>1</v>
      </c>
      <c r="G1477" s="41">
        <v>10</v>
      </c>
      <c r="H1477" t="b">
        <f>COUNTIFS(tblCostChecklist[RequirementID],tblCost[[#This Row],[RequirementID]],tblCostChecklist[PlayerPaid],TRUE)&gt;0</f>
        <v>0</v>
      </c>
      <c r="I1477" s="41">
        <f>COUNTIF(tblCost[TargetID],tblCost[[#This Row],[TargetID]])</f>
        <v>3</v>
      </c>
      <c r="J1477" s="41">
        <f>COUNTIFS(tblCost[TargetID],tblCost[[#This Row],[TargetID]],tblCost[PlayerPaid],TRUE)</f>
        <v>0</v>
      </c>
      <c r="K1477" s="41">
        <f>tblCost[[#This Row],[TargetRequirements]]-tblCost[[#This Row],[CompletedRequirements]]</f>
        <v>3</v>
      </c>
      <c r="L1477" s="41" t="b">
        <f>tblCost[[#This Row],[RemainingRequirements]]=0</f>
        <v>0</v>
      </c>
      <c r="M1477" s="43">
        <f>IF(tblCost[[#This Row],[TargetRequirements]]=0,0,tblCost[[#This Row],[CompletedRequirements]]/tblCost[[#This Row],[TargetRequirements]])</f>
        <v>0</v>
      </c>
    </row>
    <row r="1478" spans="1:13">
      <c r="A1478" s="41" t="s">
        <v>5115</v>
      </c>
      <c r="B1478" s="41" t="str">
        <f>_xlfn.TEXTAFTER(_xlfn.TEXTBEFORE(tblCost[[#This Row],[RequirementID]],".",-2),"cost.")</f>
        <v>collection.historical_library_2@3</v>
      </c>
      <c r="C1478" s="41" t="str">
        <f>_xlfn.XLOOKUP(tblCost[[#This Row],[TargetID]],tblTargets[TargetID],tblTargets[DisplayName],"")</f>
        <v>Historical Library 2 Lv 3</v>
      </c>
      <c r="D1478" s="41" t="str">
        <f>_xlfn.XLOOKUP(tblCost[[#This Row],[TargetID]],tblTargets[TargetID],tblTargets[TargetType],"")</f>
        <v>COLLECTION</v>
      </c>
      <c r="E1478" s="41" t="s">
        <v>1811</v>
      </c>
      <c r="F1478" s="62" t="str">
        <f>RIGHT(tblCost[[#This Row],[RequirementID]],1)</f>
        <v>1</v>
      </c>
      <c r="G1478" s="41">
        <v>60</v>
      </c>
      <c r="H1478" t="b">
        <f>COUNTIFS(tblCostChecklist[RequirementID],tblCost[[#This Row],[RequirementID]],tblCostChecklist[PlayerPaid],TRUE)&gt;0</f>
        <v>0</v>
      </c>
      <c r="I1478" s="41">
        <f>COUNTIF(tblCost[TargetID],tblCost[[#This Row],[TargetID]])</f>
        <v>3</v>
      </c>
      <c r="J1478" s="41">
        <f>COUNTIFS(tblCost[TargetID],tblCost[[#This Row],[TargetID]],tblCost[PlayerPaid],TRUE)</f>
        <v>0</v>
      </c>
      <c r="K1478" s="41">
        <f>tblCost[[#This Row],[TargetRequirements]]-tblCost[[#This Row],[CompletedRequirements]]</f>
        <v>3</v>
      </c>
      <c r="L1478" s="41" t="b">
        <f>tblCost[[#This Row],[RemainingRequirements]]=0</f>
        <v>0</v>
      </c>
      <c r="M1478" s="43">
        <f>IF(tblCost[[#This Row],[TargetRequirements]]=0,0,tblCost[[#This Row],[CompletedRequirements]]/tblCost[[#This Row],[TargetRequirements]])</f>
        <v>0</v>
      </c>
    </row>
    <row r="1479" spans="1:13">
      <c r="A1479" s="41" t="s">
        <v>5116</v>
      </c>
      <c r="B1479" s="41" t="str">
        <f>_xlfn.TEXTAFTER(_xlfn.TEXTBEFORE(tblCost[[#This Row],[RequirementID]],".",-2),"cost.")</f>
        <v>collection.historical_library_2@3</v>
      </c>
      <c r="C1479" s="41" t="str">
        <f>_xlfn.XLOOKUP(tblCost[[#This Row],[TargetID]],tblTargets[TargetID],tblTargets[DisplayName],"")</f>
        <v>Historical Library 2 Lv 3</v>
      </c>
      <c r="D1479" s="41" t="str">
        <f>_xlfn.XLOOKUP(tblCost[[#This Row],[TargetID]],tblTargets[TargetID],tblTargets[TargetType],"")</f>
        <v>COLLECTION</v>
      </c>
      <c r="E1479" s="41" t="s">
        <v>1812</v>
      </c>
      <c r="F1479" s="62" t="str">
        <f>RIGHT(tblCost[[#This Row],[RequirementID]],1)</f>
        <v>1</v>
      </c>
      <c r="G1479" s="41">
        <v>30</v>
      </c>
      <c r="H1479" t="b">
        <f>COUNTIFS(tblCostChecklist[RequirementID],tblCost[[#This Row],[RequirementID]],tblCostChecklist[PlayerPaid],TRUE)&gt;0</f>
        <v>0</v>
      </c>
      <c r="I1479" s="41">
        <f>COUNTIF(tblCost[TargetID],tblCost[[#This Row],[TargetID]])</f>
        <v>3</v>
      </c>
      <c r="J1479" s="41">
        <f>COUNTIFS(tblCost[TargetID],tblCost[[#This Row],[TargetID]],tblCost[PlayerPaid],TRUE)</f>
        <v>0</v>
      </c>
      <c r="K1479" s="41">
        <f>tblCost[[#This Row],[TargetRequirements]]-tblCost[[#This Row],[CompletedRequirements]]</f>
        <v>3</v>
      </c>
      <c r="L1479" s="41" t="b">
        <f>tblCost[[#This Row],[RemainingRequirements]]=0</f>
        <v>0</v>
      </c>
      <c r="M1479" s="43">
        <f>IF(tblCost[[#This Row],[TargetRequirements]]=0,0,tblCost[[#This Row],[CompletedRequirements]]/tblCost[[#This Row],[TargetRequirements]])</f>
        <v>0</v>
      </c>
    </row>
    <row r="1480" spans="1:13">
      <c r="A1480" s="41" t="s">
        <v>5117</v>
      </c>
      <c r="B1480" s="41" t="str">
        <f>_xlfn.TEXTAFTER(_xlfn.TEXTBEFORE(tblCost[[#This Row],[RequirementID]],".",-2),"cost.")</f>
        <v>collection.historical_library_2@3</v>
      </c>
      <c r="C1480" s="41" t="str">
        <f>_xlfn.XLOOKUP(tblCost[[#This Row],[TargetID]],tblTargets[TargetID],tblTargets[DisplayName],"")</f>
        <v>Historical Library 2 Lv 3</v>
      </c>
      <c r="D1480" s="41" t="str">
        <f>_xlfn.XLOOKUP(tblCost[[#This Row],[TargetID]],tblTargets[TargetID],tblTargets[TargetType],"")</f>
        <v>COLLECTION</v>
      </c>
      <c r="E1480" s="41" t="s">
        <v>1813</v>
      </c>
      <c r="F1480" s="62" t="str">
        <f>RIGHT(tblCost[[#This Row],[RequirementID]],1)</f>
        <v>1</v>
      </c>
      <c r="G1480" s="41">
        <v>15</v>
      </c>
      <c r="H1480" t="b">
        <f>COUNTIFS(tblCostChecklist[RequirementID],tblCost[[#This Row],[RequirementID]],tblCostChecklist[PlayerPaid],TRUE)&gt;0</f>
        <v>0</v>
      </c>
      <c r="I1480" s="41">
        <f>COUNTIF(tblCost[TargetID],tblCost[[#This Row],[TargetID]])</f>
        <v>3</v>
      </c>
      <c r="J1480" s="41">
        <f>COUNTIFS(tblCost[TargetID],tblCost[[#This Row],[TargetID]],tblCost[PlayerPaid],TRUE)</f>
        <v>0</v>
      </c>
      <c r="K1480" s="41">
        <f>tblCost[[#This Row],[TargetRequirements]]-tblCost[[#This Row],[CompletedRequirements]]</f>
        <v>3</v>
      </c>
      <c r="L1480" s="41" t="b">
        <f>tblCost[[#This Row],[RemainingRequirements]]=0</f>
        <v>0</v>
      </c>
      <c r="M1480" s="43">
        <f>IF(tblCost[[#This Row],[TargetRequirements]]=0,0,tblCost[[#This Row],[CompletedRequirements]]/tblCost[[#This Row],[TargetRequirements]])</f>
        <v>0</v>
      </c>
    </row>
    <row r="1481" spans="1:13">
      <c r="A1481" s="41" t="s">
        <v>5118</v>
      </c>
      <c r="B1481" s="41" t="str">
        <f>_xlfn.TEXTAFTER(_xlfn.TEXTBEFORE(tblCost[[#This Row],[RequirementID]],".",-2),"cost.")</f>
        <v>collection.horse@1</v>
      </c>
      <c r="C1481" s="41" t="str">
        <f>_xlfn.XLOOKUP(tblCost[[#This Row],[TargetID]],tblTargets[TargetID],tblTargets[DisplayName],"")</f>
        <v>Horse Lv 1</v>
      </c>
      <c r="D1481" s="41" t="str">
        <f>_xlfn.XLOOKUP(tblCost[[#This Row],[TargetID]],tblTargets[TargetID],tblTargets[TargetType],"")</f>
        <v>COLLECTION</v>
      </c>
      <c r="E1481" s="41" t="s">
        <v>666</v>
      </c>
      <c r="F1481" s="62" t="str">
        <f>RIGHT(tblCost[[#This Row],[RequirementID]],1)</f>
        <v>1</v>
      </c>
      <c r="G1481" s="41">
        <v>3000</v>
      </c>
      <c r="H1481" t="b">
        <f>COUNTIFS(tblCostChecklist[RequirementID],tblCost[[#This Row],[RequirementID]],tblCostChecklist[PlayerPaid],TRUE)&gt;0</f>
        <v>0</v>
      </c>
      <c r="I1481" s="41">
        <f>COUNTIF(tblCost[TargetID],tblCost[[#This Row],[TargetID]])</f>
        <v>1</v>
      </c>
      <c r="J1481" s="41">
        <f>COUNTIFS(tblCost[TargetID],tblCost[[#This Row],[TargetID]],tblCost[PlayerPaid],TRUE)</f>
        <v>0</v>
      </c>
      <c r="K1481" s="41">
        <f>tblCost[[#This Row],[TargetRequirements]]-tblCost[[#This Row],[CompletedRequirements]]</f>
        <v>1</v>
      </c>
      <c r="L1481" s="41" t="b">
        <f>tblCost[[#This Row],[RemainingRequirements]]=0</f>
        <v>0</v>
      </c>
      <c r="M1481" s="43">
        <f>IF(tblCost[[#This Row],[TargetRequirements]]=0,0,tblCost[[#This Row],[CompletedRequirements]]/tblCost[[#This Row],[TargetRequirements]])</f>
        <v>0</v>
      </c>
    </row>
    <row r="1482" spans="1:13">
      <c r="A1482" s="41" t="s">
        <v>5119</v>
      </c>
      <c r="B1482" s="41" t="str">
        <f>_xlfn.TEXTAFTER(_xlfn.TEXTBEFORE(tblCost[[#This Row],[RequirementID]],".",-2),"cost.")</f>
        <v>collection.kitchen_and_buttery_1@1</v>
      </c>
      <c r="C1482" s="41" t="str">
        <f>_xlfn.XLOOKUP(tblCost[[#This Row],[TargetID]],tblTargets[TargetID],tblTargets[DisplayName],"")</f>
        <v>Kitchen And Buttery 1 Lv 1</v>
      </c>
      <c r="D1482" s="41" t="str">
        <f>_xlfn.XLOOKUP(tblCost[[#This Row],[TargetID]],tblTargets[TargetID],tblTargets[TargetType],"")</f>
        <v>COLLECTION</v>
      </c>
      <c r="E1482" s="41" t="s">
        <v>938</v>
      </c>
      <c r="F1482" s="62" t="str">
        <f>RIGHT(tblCost[[#This Row],[RequirementID]],1)</f>
        <v>1</v>
      </c>
      <c r="G1482" s="41">
        <v>10</v>
      </c>
      <c r="H1482" t="b">
        <f>COUNTIFS(tblCostChecklist[RequirementID],tblCost[[#This Row],[RequirementID]],tblCostChecklist[PlayerPaid],TRUE)&gt;0</f>
        <v>0</v>
      </c>
      <c r="I1482" s="41">
        <f>COUNTIF(tblCost[TargetID],tblCost[[#This Row],[TargetID]])</f>
        <v>12</v>
      </c>
      <c r="J1482" s="41">
        <f>COUNTIFS(tblCost[TargetID],tblCost[[#This Row],[TargetID]],tblCost[PlayerPaid],TRUE)</f>
        <v>0</v>
      </c>
      <c r="K1482" s="41">
        <f>tblCost[[#This Row],[TargetRequirements]]-tblCost[[#This Row],[CompletedRequirements]]</f>
        <v>12</v>
      </c>
      <c r="L1482" s="41" t="b">
        <f>tblCost[[#This Row],[RemainingRequirements]]=0</f>
        <v>0</v>
      </c>
      <c r="M1482" s="43">
        <f>IF(tblCost[[#This Row],[TargetRequirements]]=0,0,tblCost[[#This Row],[CompletedRequirements]]/tblCost[[#This Row],[TargetRequirements]])</f>
        <v>0</v>
      </c>
    </row>
    <row r="1483" spans="1:13">
      <c r="A1483" s="41" t="s">
        <v>5120</v>
      </c>
      <c r="B1483" s="41" t="str">
        <f>_xlfn.TEXTAFTER(_xlfn.TEXTBEFORE(tblCost[[#This Row],[RequirementID]],".",-2),"cost.")</f>
        <v>collection.kitchen_and_buttery_1@1</v>
      </c>
      <c r="C1483" s="41" t="str">
        <f>_xlfn.XLOOKUP(tblCost[[#This Row],[TargetID]],tblTargets[TargetID],tblTargets[DisplayName],"")</f>
        <v>Kitchen And Buttery 1 Lv 1</v>
      </c>
      <c r="D1483" s="41" t="str">
        <f>_xlfn.XLOOKUP(tblCost[[#This Row],[TargetID]],tblTargets[TargetID],tblTargets[TargetType],"")</f>
        <v>COLLECTION</v>
      </c>
      <c r="E1483" s="41" t="s">
        <v>855</v>
      </c>
      <c r="F1483" s="62" t="str">
        <f>RIGHT(tblCost[[#This Row],[RequirementID]],1)</f>
        <v>1</v>
      </c>
      <c r="G1483" s="41">
        <v>10</v>
      </c>
      <c r="H1483" t="b">
        <f>COUNTIFS(tblCostChecklist[RequirementID],tblCost[[#This Row],[RequirementID]],tblCostChecklist[PlayerPaid],TRUE)&gt;0</f>
        <v>0</v>
      </c>
      <c r="I1483" s="41">
        <f>COUNTIF(tblCost[TargetID],tblCost[[#This Row],[TargetID]])</f>
        <v>12</v>
      </c>
      <c r="J1483" s="41">
        <f>COUNTIFS(tblCost[TargetID],tblCost[[#This Row],[TargetID]],tblCost[PlayerPaid],TRUE)</f>
        <v>0</v>
      </c>
      <c r="K1483" s="41">
        <f>tblCost[[#This Row],[TargetRequirements]]-tblCost[[#This Row],[CompletedRequirements]]</f>
        <v>12</v>
      </c>
      <c r="L1483" s="41" t="b">
        <f>tblCost[[#This Row],[RemainingRequirements]]=0</f>
        <v>0</v>
      </c>
      <c r="M1483" s="43">
        <f>IF(tblCost[[#This Row],[TargetRequirements]]=0,0,tblCost[[#This Row],[CompletedRequirements]]/tblCost[[#This Row],[TargetRequirements]])</f>
        <v>0</v>
      </c>
    </row>
    <row r="1484" spans="1:13">
      <c r="A1484" s="41" t="s">
        <v>5121</v>
      </c>
      <c r="B1484" s="41" t="str">
        <f>_xlfn.TEXTAFTER(_xlfn.TEXTBEFORE(tblCost[[#This Row],[RequirementID]],".",-2),"cost.")</f>
        <v>collection.kitchen_and_buttery_1@1</v>
      </c>
      <c r="C1484" s="41" t="str">
        <f>_xlfn.XLOOKUP(tblCost[[#This Row],[TargetID]],tblTargets[TargetID],tblTargets[DisplayName],"")</f>
        <v>Kitchen And Buttery 1 Lv 1</v>
      </c>
      <c r="D1484" s="41" t="str">
        <f>_xlfn.XLOOKUP(tblCost[[#This Row],[TargetID]],tblTargets[TargetID],tblTargets[TargetType],"")</f>
        <v>COLLECTION</v>
      </c>
      <c r="E1484" s="41" t="s">
        <v>695</v>
      </c>
      <c r="F1484" s="62" t="str">
        <f>RIGHT(tblCost[[#This Row],[RequirementID]],1)</f>
        <v>1</v>
      </c>
      <c r="G1484" s="41">
        <v>15</v>
      </c>
      <c r="H1484" t="b">
        <f>COUNTIFS(tblCostChecklist[RequirementID],tblCost[[#This Row],[RequirementID]],tblCostChecklist[PlayerPaid],TRUE)&gt;0</f>
        <v>0</v>
      </c>
      <c r="I1484" s="41">
        <f>COUNTIF(tblCost[TargetID],tblCost[[#This Row],[TargetID]])</f>
        <v>12</v>
      </c>
      <c r="J1484" s="41">
        <f>COUNTIFS(tblCost[TargetID],tblCost[[#This Row],[TargetID]],tblCost[PlayerPaid],TRUE)</f>
        <v>0</v>
      </c>
      <c r="K1484" s="41">
        <f>tblCost[[#This Row],[TargetRequirements]]-tblCost[[#This Row],[CompletedRequirements]]</f>
        <v>12</v>
      </c>
      <c r="L1484" s="41" t="b">
        <f>tblCost[[#This Row],[RemainingRequirements]]=0</f>
        <v>0</v>
      </c>
      <c r="M1484" s="43">
        <f>IF(tblCost[[#This Row],[TargetRequirements]]=0,0,tblCost[[#This Row],[CompletedRequirements]]/tblCost[[#This Row],[TargetRequirements]])</f>
        <v>0</v>
      </c>
    </row>
    <row r="1485" spans="1:13">
      <c r="A1485" s="41" t="s">
        <v>5122</v>
      </c>
      <c r="B1485" s="41" t="str">
        <f>_xlfn.TEXTAFTER(_xlfn.TEXTBEFORE(tblCost[[#This Row],[RequirementID]],".",-2),"cost.")</f>
        <v>collection.kitchen_and_buttery_1@1</v>
      </c>
      <c r="C1485" s="41" t="str">
        <f>_xlfn.XLOOKUP(tblCost[[#This Row],[TargetID]],tblTargets[TargetID],tblTargets[DisplayName],"")</f>
        <v>Kitchen And Buttery 1 Lv 1</v>
      </c>
      <c r="D1485" s="41" t="str">
        <f>_xlfn.XLOOKUP(tblCost[[#This Row],[TargetID]],tblTargets[TargetID],tblTargets[TargetType],"")</f>
        <v>COLLECTION</v>
      </c>
      <c r="E1485" s="41" t="s">
        <v>701</v>
      </c>
      <c r="F1485" s="62" t="str">
        <f>RIGHT(tblCost[[#This Row],[RequirementID]],1)</f>
        <v>1</v>
      </c>
      <c r="G1485" s="41">
        <v>50</v>
      </c>
      <c r="H1485" t="b">
        <f>COUNTIFS(tblCostChecklist[RequirementID],tblCost[[#This Row],[RequirementID]],tblCostChecklist[PlayerPaid],TRUE)&gt;0</f>
        <v>0</v>
      </c>
      <c r="I1485" s="41">
        <f>COUNTIF(tblCost[TargetID],tblCost[[#This Row],[TargetID]])</f>
        <v>12</v>
      </c>
      <c r="J1485" s="41">
        <f>COUNTIFS(tblCost[TargetID],tblCost[[#This Row],[TargetID]],tblCost[PlayerPaid],TRUE)</f>
        <v>0</v>
      </c>
      <c r="K1485" s="41">
        <f>tblCost[[#This Row],[TargetRequirements]]-tblCost[[#This Row],[CompletedRequirements]]</f>
        <v>12</v>
      </c>
      <c r="L1485" s="41" t="b">
        <f>tblCost[[#This Row],[RemainingRequirements]]=0</f>
        <v>0</v>
      </c>
      <c r="M1485" s="43">
        <f>IF(tblCost[[#This Row],[TargetRequirements]]=0,0,tblCost[[#This Row],[CompletedRequirements]]/tblCost[[#This Row],[TargetRequirements]])</f>
        <v>0</v>
      </c>
    </row>
    <row r="1486" spans="1:13">
      <c r="A1486" s="41" t="s">
        <v>5123</v>
      </c>
      <c r="B1486" s="41" t="str">
        <f>_xlfn.TEXTAFTER(_xlfn.TEXTBEFORE(tblCost[[#This Row],[RequirementID]],".",-2),"cost.")</f>
        <v>collection.kitchen_and_buttery_1@1</v>
      </c>
      <c r="C1486" s="41" t="str">
        <f>_xlfn.XLOOKUP(tblCost[[#This Row],[TargetID]],tblTargets[TargetID],tblTargets[DisplayName],"")</f>
        <v>Kitchen And Buttery 1 Lv 1</v>
      </c>
      <c r="D1486" s="41" t="str">
        <f>_xlfn.XLOOKUP(tblCost[[#This Row],[TargetID]],tblTargets[TargetID],tblTargets[TargetType],"")</f>
        <v>COLLECTION</v>
      </c>
      <c r="E1486" s="41" t="s">
        <v>701</v>
      </c>
      <c r="F1486" s="62" t="str">
        <f>RIGHT(tblCost[[#This Row],[RequirementID]],1)</f>
        <v>2</v>
      </c>
      <c r="G1486" s="41">
        <v>50</v>
      </c>
      <c r="H1486" t="b">
        <f>COUNTIFS(tblCostChecklist[RequirementID],tblCost[[#This Row],[RequirementID]],tblCostChecklist[PlayerPaid],TRUE)&gt;0</f>
        <v>0</v>
      </c>
      <c r="I1486" s="41">
        <f>COUNTIF(tblCost[TargetID],tblCost[[#This Row],[TargetID]])</f>
        <v>12</v>
      </c>
      <c r="J1486" s="41">
        <f>COUNTIFS(tblCost[TargetID],tblCost[[#This Row],[TargetID]],tblCost[PlayerPaid],TRUE)</f>
        <v>0</v>
      </c>
      <c r="K1486" s="41">
        <f>tblCost[[#This Row],[TargetRequirements]]-tblCost[[#This Row],[CompletedRequirements]]</f>
        <v>12</v>
      </c>
      <c r="L1486" s="41" t="b">
        <f>tblCost[[#This Row],[RemainingRequirements]]=0</f>
        <v>0</v>
      </c>
      <c r="M1486" s="43">
        <f>IF(tblCost[[#This Row],[TargetRequirements]]=0,0,tblCost[[#This Row],[CompletedRequirements]]/tblCost[[#This Row],[TargetRequirements]])</f>
        <v>0</v>
      </c>
    </row>
    <row r="1487" spans="1:13">
      <c r="A1487" s="41" t="s">
        <v>5124</v>
      </c>
      <c r="B1487" s="41" t="str">
        <f>_xlfn.TEXTAFTER(_xlfn.TEXTBEFORE(tblCost[[#This Row],[RequirementID]],".",-2),"cost.")</f>
        <v>collection.kitchen_and_buttery_1@1</v>
      </c>
      <c r="C1487" s="41" t="str">
        <f>_xlfn.XLOOKUP(tblCost[[#This Row],[TargetID]],tblTargets[TargetID],tblTargets[DisplayName],"")</f>
        <v>Kitchen And Buttery 1 Lv 1</v>
      </c>
      <c r="D1487" s="41" t="str">
        <f>_xlfn.XLOOKUP(tblCost[[#This Row],[TargetID]],tblTargets[TargetID],tblTargets[TargetType],"")</f>
        <v>COLLECTION</v>
      </c>
      <c r="E1487" s="41" t="s">
        <v>701</v>
      </c>
      <c r="F1487" s="62" t="str">
        <f>RIGHT(tblCost[[#This Row],[RequirementID]],1)</f>
        <v>3</v>
      </c>
      <c r="G1487" s="41">
        <v>50</v>
      </c>
      <c r="H1487" t="b">
        <f>COUNTIFS(tblCostChecklist[RequirementID],tblCost[[#This Row],[RequirementID]],tblCostChecklist[PlayerPaid],TRUE)&gt;0</f>
        <v>0</v>
      </c>
      <c r="I1487" s="41">
        <f>COUNTIF(tblCost[TargetID],tblCost[[#This Row],[TargetID]])</f>
        <v>12</v>
      </c>
      <c r="J1487" s="41">
        <f>COUNTIFS(tblCost[TargetID],tblCost[[#This Row],[TargetID]],tblCost[PlayerPaid],TRUE)</f>
        <v>0</v>
      </c>
      <c r="K1487" s="41">
        <f>tblCost[[#This Row],[TargetRequirements]]-tblCost[[#This Row],[CompletedRequirements]]</f>
        <v>12</v>
      </c>
      <c r="L1487" s="41" t="b">
        <f>tblCost[[#This Row],[RemainingRequirements]]=0</f>
        <v>0</v>
      </c>
      <c r="M1487" s="43">
        <f>IF(tblCost[[#This Row],[TargetRequirements]]=0,0,tblCost[[#This Row],[CompletedRequirements]]/tblCost[[#This Row],[TargetRequirements]])</f>
        <v>0</v>
      </c>
    </row>
    <row r="1488" spans="1:13">
      <c r="A1488" s="41" t="s">
        <v>5125</v>
      </c>
      <c r="B1488" s="41" t="str">
        <f>_xlfn.TEXTAFTER(_xlfn.TEXTBEFORE(tblCost[[#This Row],[RequirementID]],".",-2),"cost.")</f>
        <v>collection.kitchen_and_buttery_1@1</v>
      </c>
      <c r="C1488" s="41" t="str">
        <f>_xlfn.XLOOKUP(tblCost[[#This Row],[TargetID]],tblTargets[TargetID],tblTargets[DisplayName],"")</f>
        <v>Kitchen And Buttery 1 Lv 1</v>
      </c>
      <c r="D1488" s="41" t="str">
        <f>_xlfn.XLOOKUP(tblCost[[#This Row],[TargetID]],tblTargets[TargetID],tblTargets[TargetType],"")</f>
        <v>COLLECTION</v>
      </c>
      <c r="E1488" s="41" t="s">
        <v>701</v>
      </c>
      <c r="F1488" s="62" t="str">
        <f>RIGHT(tblCost[[#This Row],[RequirementID]],1)</f>
        <v>4</v>
      </c>
      <c r="G1488" s="41">
        <v>50</v>
      </c>
      <c r="H1488" t="b">
        <f>COUNTIFS(tblCostChecklist[RequirementID],tblCost[[#This Row],[RequirementID]],tblCostChecklist[PlayerPaid],TRUE)&gt;0</f>
        <v>0</v>
      </c>
      <c r="I1488" s="41">
        <f>COUNTIF(tblCost[TargetID],tblCost[[#This Row],[TargetID]])</f>
        <v>12</v>
      </c>
      <c r="J1488" s="41">
        <f>COUNTIFS(tblCost[TargetID],tblCost[[#This Row],[TargetID]],tblCost[PlayerPaid],TRUE)</f>
        <v>0</v>
      </c>
      <c r="K1488" s="41">
        <f>tblCost[[#This Row],[TargetRequirements]]-tblCost[[#This Row],[CompletedRequirements]]</f>
        <v>12</v>
      </c>
      <c r="L1488" s="41" t="b">
        <f>tblCost[[#This Row],[RemainingRequirements]]=0</f>
        <v>0</v>
      </c>
      <c r="M1488" s="43">
        <f>IF(tblCost[[#This Row],[TargetRequirements]]=0,0,tblCost[[#This Row],[CompletedRequirements]]/tblCost[[#This Row],[TargetRequirements]])</f>
        <v>0</v>
      </c>
    </row>
    <row r="1489" spans="1:13">
      <c r="A1489" s="41" t="s">
        <v>5126</v>
      </c>
      <c r="B1489" s="41" t="str">
        <f>_xlfn.TEXTAFTER(_xlfn.TEXTBEFORE(tblCost[[#This Row],[RequirementID]],".",-2),"cost.")</f>
        <v>collection.kitchen_and_buttery_1@1</v>
      </c>
      <c r="C1489" s="41" t="str">
        <f>_xlfn.XLOOKUP(tblCost[[#This Row],[TargetID]],tblTargets[TargetID],tblTargets[DisplayName],"")</f>
        <v>Kitchen And Buttery 1 Lv 1</v>
      </c>
      <c r="D1489" s="41" t="str">
        <f>_xlfn.XLOOKUP(tblCost[[#This Row],[TargetID]],tblTargets[TargetID],tblTargets[TargetType],"")</f>
        <v>COLLECTION</v>
      </c>
      <c r="E1489" s="41" t="s">
        <v>701</v>
      </c>
      <c r="F1489" s="62" t="str">
        <f>RIGHT(tblCost[[#This Row],[RequirementID]],1)</f>
        <v>5</v>
      </c>
      <c r="G1489" s="41">
        <v>50</v>
      </c>
      <c r="H1489" t="b">
        <f>COUNTIFS(tblCostChecklist[RequirementID],tblCost[[#This Row],[RequirementID]],tblCostChecklist[PlayerPaid],TRUE)&gt;0</f>
        <v>0</v>
      </c>
      <c r="I1489" s="41">
        <f>COUNTIF(tblCost[TargetID],tblCost[[#This Row],[TargetID]])</f>
        <v>12</v>
      </c>
      <c r="J1489" s="41">
        <f>COUNTIFS(tblCost[TargetID],tblCost[[#This Row],[TargetID]],tblCost[PlayerPaid],TRUE)</f>
        <v>0</v>
      </c>
      <c r="K1489" s="41">
        <f>tblCost[[#This Row],[TargetRequirements]]-tblCost[[#This Row],[CompletedRequirements]]</f>
        <v>12</v>
      </c>
      <c r="L1489" s="41" t="b">
        <f>tblCost[[#This Row],[RemainingRequirements]]=0</f>
        <v>0</v>
      </c>
      <c r="M1489" s="43">
        <f>IF(tblCost[[#This Row],[TargetRequirements]]=0,0,tblCost[[#This Row],[CompletedRequirements]]/tblCost[[#This Row],[TargetRequirements]])</f>
        <v>0</v>
      </c>
    </row>
    <row r="1490" spans="1:13">
      <c r="A1490" s="41" t="s">
        <v>5127</v>
      </c>
      <c r="B1490" s="41" t="str">
        <f>_xlfn.TEXTAFTER(_xlfn.TEXTBEFORE(tblCost[[#This Row],[RequirementID]],".",-2),"cost.")</f>
        <v>collection.kitchen_and_buttery_1@1</v>
      </c>
      <c r="C1490" s="41" t="str">
        <f>_xlfn.XLOOKUP(tblCost[[#This Row],[TargetID]],tblTargets[TargetID],tblTargets[DisplayName],"")</f>
        <v>Kitchen And Buttery 1 Lv 1</v>
      </c>
      <c r="D1490" s="41" t="str">
        <f>_xlfn.XLOOKUP(tblCost[[#This Row],[TargetID]],tblTargets[TargetID],tblTargets[TargetType],"")</f>
        <v>COLLECTION</v>
      </c>
      <c r="E1490" s="41" t="s">
        <v>701</v>
      </c>
      <c r="F1490" s="62" t="str">
        <f>RIGHT(tblCost[[#This Row],[RequirementID]],1)</f>
        <v>6</v>
      </c>
      <c r="G1490" s="41">
        <v>50</v>
      </c>
      <c r="H1490" t="b">
        <f>COUNTIFS(tblCostChecklist[RequirementID],tblCost[[#This Row],[RequirementID]],tblCostChecklist[PlayerPaid],TRUE)&gt;0</f>
        <v>0</v>
      </c>
      <c r="I1490" s="41">
        <f>COUNTIF(tblCost[TargetID],tblCost[[#This Row],[TargetID]])</f>
        <v>12</v>
      </c>
      <c r="J1490" s="41">
        <f>COUNTIFS(tblCost[TargetID],tblCost[[#This Row],[TargetID]],tblCost[PlayerPaid],TRUE)</f>
        <v>0</v>
      </c>
      <c r="K1490" s="41">
        <f>tblCost[[#This Row],[TargetRequirements]]-tblCost[[#This Row],[CompletedRequirements]]</f>
        <v>12</v>
      </c>
      <c r="L1490" s="41" t="b">
        <f>tblCost[[#This Row],[RemainingRequirements]]=0</f>
        <v>0</v>
      </c>
      <c r="M1490" s="43">
        <f>IF(tblCost[[#This Row],[TargetRequirements]]=0,0,tblCost[[#This Row],[CompletedRequirements]]/tblCost[[#This Row],[TargetRequirements]])</f>
        <v>0</v>
      </c>
    </row>
    <row r="1491" spans="1:13">
      <c r="A1491" s="41" t="s">
        <v>5128</v>
      </c>
      <c r="B1491" s="41" t="str">
        <f>_xlfn.TEXTAFTER(_xlfn.TEXTBEFORE(tblCost[[#This Row],[RequirementID]],".",-2),"cost.")</f>
        <v>collection.kitchen_and_buttery_1@1</v>
      </c>
      <c r="C1491" s="41" t="str">
        <f>_xlfn.XLOOKUP(tblCost[[#This Row],[TargetID]],tblTargets[TargetID],tblTargets[DisplayName],"")</f>
        <v>Kitchen And Buttery 1 Lv 1</v>
      </c>
      <c r="D1491" s="41" t="str">
        <f>_xlfn.XLOOKUP(tblCost[[#This Row],[TargetID]],tblTargets[TargetID],tblTargets[TargetType],"")</f>
        <v>COLLECTION</v>
      </c>
      <c r="E1491" s="41" t="s">
        <v>701</v>
      </c>
      <c r="F1491" s="62" t="str">
        <f>RIGHT(tblCost[[#This Row],[RequirementID]],1)</f>
        <v>7</v>
      </c>
      <c r="G1491" s="41">
        <v>50</v>
      </c>
      <c r="H1491" t="b">
        <f>COUNTIFS(tblCostChecklist[RequirementID],tblCost[[#This Row],[RequirementID]],tblCostChecklist[PlayerPaid],TRUE)&gt;0</f>
        <v>0</v>
      </c>
      <c r="I1491" s="41">
        <f>COUNTIF(tblCost[TargetID],tblCost[[#This Row],[TargetID]])</f>
        <v>12</v>
      </c>
      <c r="J1491" s="41">
        <f>COUNTIFS(tblCost[TargetID],tblCost[[#This Row],[TargetID]],tblCost[PlayerPaid],TRUE)</f>
        <v>0</v>
      </c>
      <c r="K1491" s="41">
        <f>tblCost[[#This Row],[TargetRequirements]]-tblCost[[#This Row],[CompletedRequirements]]</f>
        <v>12</v>
      </c>
      <c r="L1491" s="41" t="b">
        <f>tblCost[[#This Row],[RemainingRequirements]]=0</f>
        <v>0</v>
      </c>
      <c r="M1491" s="43">
        <f>IF(tblCost[[#This Row],[TargetRequirements]]=0,0,tblCost[[#This Row],[CompletedRequirements]]/tblCost[[#This Row],[TargetRequirements]])</f>
        <v>0</v>
      </c>
    </row>
    <row r="1492" spans="1:13">
      <c r="A1492" s="41" t="s">
        <v>5129</v>
      </c>
      <c r="B1492" s="41" t="str">
        <f>_xlfn.TEXTAFTER(_xlfn.TEXTBEFORE(tblCost[[#This Row],[RequirementID]],".",-2),"cost.")</f>
        <v>collection.kitchen_and_buttery_1@1</v>
      </c>
      <c r="C1492" s="41" t="str">
        <f>_xlfn.XLOOKUP(tblCost[[#This Row],[TargetID]],tblTargets[TargetID],tblTargets[DisplayName],"")</f>
        <v>Kitchen And Buttery 1 Lv 1</v>
      </c>
      <c r="D1492" s="41" t="str">
        <f>_xlfn.XLOOKUP(tblCost[[#This Row],[TargetID]],tblTargets[TargetID],tblTargets[TargetType],"")</f>
        <v>COLLECTION</v>
      </c>
      <c r="E1492" s="41" t="s">
        <v>701</v>
      </c>
      <c r="F1492" s="62" t="str">
        <f>RIGHT(tblCost[[#This Row],[RequirementID]],1)</f>
        <v>8</v>
      </c>
      <c r="G1492" s="41">
        <v>50</v>
      </c>
      <c r="H1492" t="b">
        <f>COUNTIFS(tblCostChecklist[RequirementID],tblCost[[#This Row],[RequirementID]],tblCostChecklist[PlayerPaid],TRUE)&gt;0</f>
        <v>0</v>
      </c>
      <c r="I1492" s="41">
        <f>COUNTIF(tblCost[TargetID],tblCost[[#This Row],[TargetID]])</f>
        <v>12</v>
      </c>
      <c r="J1492" s="41">
        <f>COUNTIFS(tblCost[TargetID],tblCost[[#This Row],[TargetID]],tblCost[PlayerPaid],TRUE)</f>
        <v>0</v>
      </c>
      <c r="K1492" s="41">
        <f>tblCost[[#This Row],[TargetRequirements]]-tblCost[[#This Row],[CompletedRequirements]]</f>
        <v>12</v>
      </c>
      <c r="L1492" s="41" t="b">
        <f>tblCost[[#This Row],[RemainingRequirements]]=0</f>
        <v>0</v>
      </c>
      <c r="M1492" s="43">
        <f>IF(tblCost[[#This Row],[TargetRequirements]]=0,0,tblCost[[#This Row],[CompletedRequirements]]/tblCost[[#This Row],[TargetRequirements]])</f>
        <v>0</v>
      </c>
    </row>
    <row r="1493" spans="1:13">
      <c r="A1493" s="41" t="s">
        <v>5130</v>
      </c>
      <c r="B1493" s="41" t="str">
        <f>_xlfn.TEXTAFTER(_xlfn.TEXTBEFORE(tblCost[[#This Row],[RequirementID]],".",-2),"cost.")</f>
        <v>collection.kitchen_and_buttery_1@1</v>
      </c>
      <c r="C1493" s="41" t="str">
        <f>_xlfn.XLOOKUP(tblCost[[#This Row],[TargetID]],tblTargets[TargetID],tblTargets[DisplayName],"")</f>
        <v>Kitchen And Buttery 1 Lv 1</v>
      </c>
      <c r="D1493" s="41" t="str">
        <f>_xlfn.XLOOKUP(tblCost[[#This Row],[TargetID]],tblTargets[TargetID],tblTargets[TargetType],"")</f>
        <v>COLLECTION</v>
      </c>
      <c r="E1493" s="41" t="s">
        <v>713</v>
      </c>
      <c r="F1493" s="62" t="str">
        <f>RIGHT(tblCost[[#This Row],[RequirementID]],1)</f>
        <v>1</v>
      </c>
      <c r="G1493" s="41">
        <v>15</v>
      </c>
      <c r="H1493" t="b">
        <f>COUNTIFS(tblCostChecklist[RequirementID],tblCost[[#This Row],[RequirementID]],tblCostChecklist[PlayerPaid],TRUE)&gt;0</f>
        <v>0</v>
      </c>
      <c r="I1493" s="41">
        <f>COUNTIF(tblCost[TargetID],tblCost[[#This Row],[TargetID]])</f>
        <v>12</v>
      </c>
      <c r="J1493" s="41">
        <f>COUNTIFS(tblCost[TargetID],tblCost[[#This Row],[TargetID]],tblCost[PlayerPaid],TRUE)</f>
        <v>0</v>
      </c>
      <c r="K1493" s="41">
        <f>tblCost[[#This Row],[TargetRequirements]]-tblCost[[#This Row],[CompletedRequirements]]</f>
        <v>12</v>
      </c>
      <c r="L1493" s="41" t="b">
        <f>tblCost[[#This Row],[RemainingRequirements]]=0</f>
        <v>0</v>
      </c>
      <c r="M1493" s="43">
        <f>IF(tblCost[[#This Row],[TargetRequirements]]=0,0,tblCost[[#This Row],[CompletedRequirements]]/tblCost[[#This Row],[TargetRequirements]])</f>
        <v>0</v>
      </c>
    </row>
    <row r="1494" spans="1:13">
      <c r="A1494" s="41" t="s">
        <v>5131</v>
      </c>
      <c r="B1494" s="41" t="str">
        <f>_xlfn.TEXTAFTER(_xlfn.TEXTBEFORE(tblCost[[#This Row],[RequirementID]],".",-2),"cost.")</f>
        <v>collection.kitchen_and_buttery_1@2</v>
      </c>
      <c r="C1494" s="41" t="str">
        <f>_xlfn.XLOOKUP(tblCost[[#This Row],[TargetID]],tblTargets[TargetID],tblTargets[DisplayName],"")</f>
        <v>Kitchen And Buttery 1 Lv 2</v>
      </c>
      <c r="D1494" s="41" t="str">
        <f>_xlfn.XLOOKUP(tblCost[[#This Row],[TargetID]],tblTargets[TargetID],tblTargets[TargetType],"")</f>
        <v>COLLECTION</v>
      </c>
      <c r="E1494" s="41" t="s">
        <v>938</v>
      </c>
      <c r="F1494" s="62" t="str">
        <f>RIGHT(tblCost[[#This Row],[RequirementID]],1)</f>
        <v>1</v>
      </c>
      <c r="G1494" s="41">
        <v>20</v>
      </c>
      <c r="H1494" t="b">
        <f>COUNTIFS(tblCostChecklist[RequirementID],tblCost[[#This Row],[RequirementID]],tblCostChecklist[PlayerPaid],TRUE)&gt;0</f>
        <v>0</v>
      </c>
      <c r="I1494" s="41">
        <f>COUNTIF(tblCost[TargetID],tblCost[[#This Row],[TargetID]])</f>
        <v>12</v>
      </c>
      <c r="J1494" s="41">
        <f>COUNTIFS(tblCost[TargetID],tblCost[[#This Row],[TargetID]],tblCost[PlayerPaid],TRUE)</f>
        <v>0</v>
      </c>
      <c r="K1494" s="41">
        <f>tblCost[[#This Row],[TargetRequirements]]-tblCost[[#This Row],[CompletedRequirements]]</f>
        <v>12</v>
      </c>
      <c r="L1494" s="41" t="b">
        <f>tblCost[[#This Row],[RemainingRequirements]]=0</f>
        <v>0</v>
      </c>
      <c r="M1494" s="43">
        <f>IF(tblCost[[#This Row],[TargetRequirements]]=0,0,tblCost[[#This Row],[CompletedRequirements]]/tblCost[[#This Row],[TargetRequirements]])</f>
        <v>0</v>
      </c>
    </row>
    <row r="1495" spans="1:13">
      <c r="A1495" s="41" t="s">
        <v>5132</v>
      </c>
      <c r="B1495" s="41" t="str">
        <f>_xlfn.TEXTAFTER(_xlfn.TEXTBEFORE(tblCost[[#This Row],[RequirementID]],".",-2),"cost.")</f>
        <v>collection.kitchen_and_buttery_1@2</v>
      </c>
      <c r="C1495" s="41" t="str">
        <f>_xlfn.XLOOKUP(tblCost[[#This Row],[TargetID]],tblTargets[TargetID],tblTargets[DisplayName],"")</f>
        <v>Kitchen And Buttery 1 Lv 2</v>
      </c>
      <c r="D1495" s="41" t="str">
        <f>_xlfn.XLOOKUP(tblCost[[#This Row],[TargetID]],tblTargets[TargetID],tblTargets[TargetType],"")</f>
        <v>COLLECTION</v>
      </c>
      <c r="E1495" s="41" t="s">
        <v>855</v>
      </c>
      <c r="F1495" s="62" t="str">
        <f>RIGHT(tblCost[[#This Row],[RequirementID]],1)</f>
        <v>1</v>
      </c>
      <c r="G1495" s="41">
        <v>20</v>
      </c>
      <c r="H1495" t="b">
        <f>COUNTIFS(tblCostChecklist[RequirementID],tblCost[[#This Row],[RequirementID]],tblCostChecklist[PlayerPaid],TRUE)&gt;0</f>
        <v>0</v>
      </c>
      <c r="I1495" s="41">
        <f>COUNTIF(tblCost[TargetID],tblCost[[#This Row],[TargetID]])</f>
        <v>12</v>
      </c>
      <c r="J1495" s="41">
        <f>COUNTIFS(tblCost[TargetID],tblCost[[#This Row],[TargetID]],tblCost[PlayerPaid],TRUE)</f>
        <v>0</v>
      </c>
      <c r="K1495" s="41">
        <f>tblCost[[#This Row],[TargetRequirements]]-tblCost[[#This Row],[CompletedRequirements]]</f>
        <v>12</v>
      </c>
      <c r="L1495" s="41" t="b">
        <f>tblCost[[#This Row],[RemainingRequirements]]=0</f>
        <v>0</v>
      </c>
      <c r="M1495" s="43">
        <f>IF(tblCost[[#This Row],[TargetRequirements]]=0,0,tblCost[[#This Row],[CompletedRequirements]]/tblCost[[#This Row],[TargetRequirements]])</f>
        <v>0</v>
      </c>
    </row>
    <row r="1496" spans="1:13">
      <c r="A1496" s="41" t="s">
        <v>5133</v>
      </c>
      <c r="B1496" s="41" t="str">
        <f>_xlfn.TEXTAFTER(_xlfn.TEXTBEFORE(tblCost[[#This Row],[RequirementID]],".",-2),"cost.")</f>
        <v>collection.kitchen_and_buttery_1@2</v>
      </c>
      <c r="C1496" s="41" t="str">
        <f>_xlfn.XLOOKUP(tblCost[[#This Row],[TargetID]],tblTargets[TargetID],tblTargets[DisplayName],"")</f>
        <v>Kitchen And Buttery 1 Lv 2</v>
      </c>
      <c r="D1496" s="41" t="str">
        <f>_xlfn.XLOOKUP(tblCost[[#This Row],[TargetID]],tblTargets[TargetID],tblTargets[TargetType],"")</f>
        <v>COLLECTION</v>
      </c>
      <c r="E1496" s="41" t="s">
        <v>695</v>
      </c>
      <c r="F1496" s="62" t="str">
        <f>RIGHT(tblCost[[#This Row],[RequirementID]],1)</f>
        <v>1</v>
      </c>
      <c r="G1496" s="41">
        <v>30</v>
      </c>
      <c r="H1496" t="b">
        <f>COUNTIFS(tblCostChecklist[RequirementID],tblCost[[#This Row],[RequirementID]],tblCostChecklist[PlayerPaid],TRUE)&gt;0</f>
        <v>0</v>
      </c>
      <c r="I1496" s="41">
        <f>COUNTIF(tblCost[TargetID],tblCost[[#This Row],[TargetID]])</f>
        <v>12</v>
      </c>
      <c r="J1496" s="41">
        <f>COUNTIFS(tblCost[TargetID],tblCost[[#This Row],[TargetID]],tblCost[PlayerPaid],TRUE)</f>
        <v>0</v>
      </c>
      <c r="K1496" s="41">
        <f>tblCost[[#This Row],[TargetRequirements]]-tblCost[[#This Row],[CompletedRequirements]]</f>
        <v>12</v>
      </c>
      <c r="L1496" s="41" t="b">
        <f>tblCost[[#This Row],[RemainingRequirements]]=0</f>
        <v>0</v>
      </c>
      <c r="M1496" s="43">
        <f>IF(tblCost[[#This Row],[TargetRequirements]]=0,0,tblCost[[#This Row],[CompletedRequirements]]/tblCost[[#This Row],[TargetRequirements]])</f>
        <v>0</v>
      </c>
    </row>
    <row r="1497" spans="1:13">
      <c r="A1497" s="41" t="s">
        <v>5134</v>
      </c>
      <c r="B1497" s="41" t="str">
        <f>_xlfn.TEXTAFTER(_xlfn.TEXTBEFORE(tblCost[[#This Row],[RequirementID]],".",-2),"cost.")</f>
        <v>collection.kitchen_and_buttery_1@2</v>
      </c>
      <c r="C1497" s="41" t="str">
        <f>_xlfn.XLOOKUP(tblCost[[#This Row],[TargetID]],tblTargets[TargetID],tblTargets[DisplayName],"")</f>
        <v>Kitchen And Buttery 1 Lv 2</v>
      </c>
      <c r="D1497" s="41" t="str">
        <f>_xlfn.XLOOKUP(tblCost[[#This Row],[TargetID]],tblTargets[TargetID],tblTargets[TargetType],"")</f>
        <v>COLLECTION</v>
      </c>
      <c r="E1497" s="41" t="s">
        <v>701</v>
      </c>
      <c r="F1497" s="62" t="str">
        <f>RIGHT(tblCost[[#This Row],[RequirementID]],1)</f>
        <v>1</v>
      </c>
      <c r="G1497" s="41">
        <v>100</v>
      </c>
      <c r="H1497" t="b">
        <f>COUNTIFS(tblCostChecklist[RequirementID],tblCost[[#This Row],[RequirementID]],tblCostChecklist[PlayerPaid],TRUE)&gt;0</f>
        <v>0</v>
      </c>
      <c r="I1497" s="41">
        <f>COUNTIF(tblCost[TargetID],tblCost[[#This Row],[TargetID]])</f>
        <v>12</v>
      </c>
      <c r="J1497" s="41">
        <f>COUNTIFS(tblCost[TargetID],tblCost[[#This Row],[TargetID]],tblCost[PlayerPaid],TRUE)</f>
        <v>0</v>
      </c>
      <c r="K1497" s="41">
        <f>tblCost[[#This Row],[TargetRequirements]]-tblCost[[#This Row],[CompletedRequirements]]</f>
        <v>12</v>
      </c>
      <c r="L1497" s="41" t="b">
        <f>tblCost[[#This Row],[RemainingRequirements]]=0</f>
        <v>0</v>
      </c>
      <c r="M1497" s="43">
        <f>IF(tblCost[[#This Row],[TargetRequirements]]=0,0,tblCost[[#This Row],[CompletedRequirements]]/tblCost[[#This Row],[TargetRequirements]])</f>
        <v>0</v>
      </c>
    </row>
    <row r="1498" spans="1:13">
      <c r="A1498" s="41" t="s">
        <v>5135</v>
      </c>
      <c r="B1498" s="41" t="str">
        <f>_xlfn.TEXTAFTER(_xlfn.TEXTBEFORE(tblCost[[#This Row],[RequirementID]],".",-2),"cost.")</f>
        <v>collection.kitchen_and_buttery_1@2</v>
      </c>
      <c r="C1498" s="41" t="str">
        <f>_xlfn.XLOOKUP(tblCost[[#This Row],[TargetID]],tblTargets[TargetID],tblTargets[DisplayName],"")</f>
        <v>Kitchen And Buttery 1 Lv 2</v>
      </c>
      <c r="D1498" s="41" t="str">
        <f>_xlfn.XLOOKUP(tblCost[[#This Row],[TargetID]],tblTargets[TargetID],tblTargets[TargetType],"")</f>
        <v>COLLECTION</v>
      </c>
      <c r="E1498" s="41" t="s">
        <v>701</v>
      </c>
      <c r="F1498" s="62" t="str">
        <f>RIGHT(tblCost[[#This Row],[RequirementID]],1)</f>
        <v>2</v>
      </c>
      <c r="G1498" s="41">
        <v>100</v>
      </c>
      <c r="H1498" t="b">
        <f>COUNTIFS(tblCostChecklist[RequirementID],tblCost[[#This Row],[RequirementID]],tblCostChecklist[PlayerPaid],TRUE)&gt;0</f>
        <v>0</v>
      </c>
      <c r="I1498" s="41">
        <f>COUNTIF(tblCost[TargetID],tblCost[[#This Row],[TargetID]])</f>
        <v>12</v>
      </c>
      <c r="J1498" s="41">
        <f>COUNTIFS(tblCost[TargetID],tblCost[[#This Row],[TargetID]],tblCost[PlayerPaid],TRUE)</f>
        <v>0</v>
      </c>
      <c r="K1498" s="41">
        <f>tblCost[[#This Row],[TargetRequirements]]-tblCost[[#This Row],[CompletedRequirements]]</f>
        <v>12</v>
      </c>
      <c r="L1498" s="41" t="b">
        <f>tblCost[[#This Row],[RemainingRequirements]]=0</f>
        <v>0</v>
      </c>
      <c r="M1498" s="43">
        <f>IF(tblCost[[#This Row],[TargetRequirements]]=0,0,tblCost[[#This Row],[CompletedRequirements]]/tblCost[[#This Row],[TargetRequirements]])</f>
        <v>0</v>
      </c>
    </row>
    <row r="1499" spans="1:13">
      <c r="A1499" s="41" t="s">
        <v>5136</v>
      </c>
      <c r="B1499" s="41" t="str">
        <f>_xlfn.TEXTAFTER(_xlfn.TEXTBEFORE(tblCost[[#This Row],[RequirementID]],".",-2),"cost.")</f>
        <v>collection.kitchen_and_buttery_1@2</v>
      </c>
      <c r="C1499" s="41" t="str">
        <f>_xlfn.XLOOKUP(tblCost[[#This Row],[TargetID]],tblTargets[TargetID],tblTargets[DisplayName],"")</f>
        <v>Kitchen And Buttery 1 Lv 2</v>
      </c>
      <c r="D1499" s="41" t="str">
        <f>_xlfn.XLOOKUP(tblCost[[#This Row],[TargetID]],tblTargets[TargetID],tblTargets[TargetType],"")</f>
        <v>COLLECTION</v>
      </c>
      <c r="E1499" s="41" t="s">
        <v>701</v>
      </c>
      <c r="F1499" s="62" t="str">
        <f>RIGHT(tblCost[[#This Row],[RequirementID]],1)</f>
        <v>3</v>
      </c>
      <c r="G1499" s="41">
        <v>100</v>
      </c>
      <c r="H1499" t="b">
        <f>COUNTIFS(tblCostChecklist[RequirementID],tblCost[[#This Row],[RequirementID]],tblCostChecklist[PlayerPaid],TRUE)&gt;0</f>
        <v>0</v>
      </c>
      <c r="I1499" s="41">
        <f>COUNTIF(tblCost[TargetID],tblCost[[#This Row],[TargetID]])</f>
        <v>12</v>
      </c>
      <c r="J1499" s="41">
        <f>COUNTIFS(tblCost[TargetID],tblCost[[#This Row],[TargetID]],tblCost[PlayerPaid],TRUE)</f>
        <v>0</v>
      </c>
      <c r="K1499" s="41">
        <f>tblCost[[#This Row],[TargetRequirements]]-tblCost[[#This Row],[CompletedRequirements]]</f>
        <v>12</v>
      </c>
      <c r="L1499" s="41" t="b">
        <f>tblCost[[#This Row],[RemainingRequirements]]=0</f>
        <v>0</v>
      </c>
      <c r="M1499" s="43">
        <f>IF(tblCost[[#This Row],[TargetRequirements]]=0,0,tblCost[[#This Row],[CompletedRequirements]]/tblCost[[#This Row],[TargetRequirements]])</f>
        <v>0</v>
      </c>
    </row>
    <row r="1500" spans="1:13">
      <c r="A1500" s="41" t="s">
        <v>5137</v>
      </c>
      <c r="B1500" s="41" t="str">
        <f>_xlfn.TEXTAFTER(_xlfn.TEXTBEFORE(tblCost[[#This Row],[RequirementID]],".",-2),"cost.")</f>
        <v>collection.kitchen_and_buttery_1@2</v>
      </c>
      <c r="C1500" s="41" t="str">
        <f>_xlfn.XLOOKUP(tblCost[[#This Row],[TargetID]],tblTargets[TargetID],tblTargets[DisplayName],"")</f>
        <v>Kitchen And Buttery 1 Lv 2</v>
      </c>
      <c r="D1500" s="41" t="str">
        <f>_xlfn.XLOOKUP(tblCost[[#This Row],[TargetID]],tblTargets[TargetID],tblTargets[TargetType],"")</f>
        <v>COLLECTION</v>
      </c>
      <c r="E1500" s="41" t="s">
        <v>701</v>
      </c>
      <c r="F1500" s="62" t="str">
        <f>RIGHT(tblCost[[#This Row],[RequirementID]],1)</f>
        <v>4</v>
      </c>
      <c r="G1500" s="41">
        <v>100</v>
      </c>
      <c r="H1500" t="b">
        <f>COUNTIFS(tblCostChecklist[RequirementID],tblCost[[#This Row],[RequirementID]],tblCostChecklist[PlayerPaid],TRUE)&gt;0</f>
        <v>0</v>
      </c>
      <c r="I1500" s="41">
        <f>COUNTIF(tblCost[TargetID],tblCost[[#This Row],[TargetID]])</f>
        <v>12</v>
      </c>
      <c r="J1500" s="41">
        <f>COUNTIFS(tblCost[TargetID],tblCost[[#This Row],[TargetID]],tblCost[PlayerPaid],TRUE)</f>
        <v>0</v>
      </c>
      <c r="K1500" s="41">
        <f>tblCost[[#This Row],[TargetRequirements]]-tblCost[[#This Row],[CompletedRequirements]]</f>
        <v>12</v>
      </c>
      <c r="L1500" s="41" t="b">
        <f>tblCost[[#This Row],[RemainingRequirements]]=0</f>
        <v>0</v>
      </c>
      <c r="M1500" s="43">
        <f>IF(tblCost[[#This Row],[TargetRequirements]]=0,0,tblCost[[#This Row],[CompletedRequirements]]/tblCost[[#This Row],[TargetRequirements]])</f>
        <v>0</v>
      </c>
    </row>
    <row r="1501" spans="1:13">
      <c r="A1501" s="41" t="s">
        <v>5138</v>
      </c>
      <c r="B1501" s="41" t="str">
        <f>_xlfn.TEXTAFTER(_xlfn.TEXTBEFORE(tblCost[[#This Row],[RequirementID]],".",-2),"cost.")</f>
        <v>collection.kitchen_and_buttery_1@2</v>
      </c>
      <c r="C1501" s="41" t="str">
        <f>_xlfn.XLOOKUP(tblCost[[#This Row],[TargetID]],tblTargets[TargetID],tblTargets[DisplayName],"")</f>
        <v>Kitchen And Buttery 1 Lv 2</v>
      </c>
      <c r="D1501" s="41" t="str">
        <f>_xlfn.XLOOKUP(tblCost[[#This Row],[TargetID]],tblTargets[TargetID],tblTargets[TargetType],"")</f>
        <v>COLLECTION</v>
      </c>
      <c r="E1501" s="41" t="s">
        <v>701</v>
      </c>
      <c r="F1501" s="62" t="str">
        <f>RIGHT(tblCost[[#This Row],[RequirementID]],1)</f>
        <v>5</v>
      </c>
      <c r="G1501" s="41">
        <v>100</v>
      </c>
      <c r="H1501" t="b">
        <f>COUNTIFS(tblCostChecklist[RequirementID],tblCost[[#This Row],[RequirementID]],tblCostChecklist[PlayerPaid],TRUE)&gt;0</f>
        <v>0</v>
      </c>
      <c r="I1501" s="41">
        <f>COUNTIF(tblCost[TargetID],tblCost[[#This Row],[TargetID]])</f>
        <v>12</v>
      </c>
      <c r="J1501" s="41">
        <f>COUNTIFS(tblCost[TargetID],tblCost[[#This Row],[TargetID]],tblCost[PlayerPaid],TRUE)</f>
        <v>0</v>
      </c>
      <c r="K1501" s="41">
        <f>tblCost[[#This Row],[TargetRequirements]]-tblCost[[#This Row],[CompletedRequirements]]</f>
        <v>12</v>
      </c>
      <c r="L1501" s="41" t="b">
        <f>tblCost[[#This Row],[RemainingRequirements]]=0</f>
        <v>0</v>
      </c>
      <c r="M1501" s="43">
        <f>IF(tblCost[[#This Row],[TargetRequirements]]=0,0,tblCost[[#This Row],[CompletedRequirements]]/tblCost[[#This Row],[TargetRequirements]])</f>
        <v>0</v>
      </c>
    </row>
    <row r="1502" spans="1:13">
      <c r="A1502" s="41" t="s">
        <v>5139</v>
      </c>
      <c r="B1502" s="41" t="str">
        <f>_xlfn.TEXTAFTER(_xlfn.TEXTBEFORE(tblCost[[#This Row],[RequirementID]],".",-2),"cost.")</f>
        <v>collection.kitchen_and_buttery_1@2</v>
      </c>
      <c r="C1502" s="41" t="str">
        <f>_xlfn.XLOOKUP(tblCost[[#This Row],[TargetID]],tblTargets[TargetID],tblTargets[DisplayName],"")</f>
        <v>Kitchen And Buttery 1 Lv 2</v>
      </c>
      <c r="D1502" s="41" t="str">
        <f>_xlfn.XLOOKUP(tblCost[[#This Row],[TargetID]],tblTargets[TargetID],tblTargets[TargetType],"")</f>
        <v>COLLECTION</v>
      </c>
      <c r="E1502" s="41" t="s">
        <v>701</v>
      </c>
      <c r="F1502" s="62" t="str">
        <f>RIGHT(tblCost[[#This Row],[RequirementID]],1)</f>
        <v>6</v>
      </c>
      <c r="G1502" s="41">
        <v>100</v>
      </c>
      <c r="H1502" t="b">
        <f>COUNTIFS(tblCostChecklist[RequirementID],tblCost[[#This Row],[RequirementID]],tblCostChecklist[PlayerPaid],TRUE)&gt;0</f>
        <v>0</v>
      </c>
      <c r="I1502" s="41">
        <f>COUNTIF(tblCost[TargetID],tblCost[[#This Row],[TargetID]])</f>
        <v>12</v>
      </c>
      <c r="J1502" s="41">
        <f>COUNTIFS(tblCost[TargetID],tblCost[[#This Row],[TargetID]],tblCost[PlayerPaid],TRUE)</f>
        <v>0</v>
      </c>
      <c r="K1502" s="41">
        <f>tblCost[[#This Row],[TargetRequirements]]-tblCost[[#This Row],[CompletedRequirements]]</f>
        <v>12</v>
      </c>
      <c r="L1502" s="41" t="b">
        <f>tblCost[[#This Row],[RemainingRequirements]]=0</f>
        <v>0</v>
      </c>
      <c r="M1502" s="43">
        <f>IF(tblCost[[#This Row],[TargetRequirements]]=0,0,tblCost[[#This Row],[CompletedRequirements]]/tblCost[[#This Row],[TargetRequirements]])</f>
        <v>0</v>
      </c>
    </row>
    <row r="1503" spans="1:13">
      <c r="A1503" s="41" t="s">
        <v>5140</v>
      </c>
      <c r="B1503" s="41" t="str">
        <f>_xlfn.TEXTAFTER(_xlfn.TEXTBEFORE(tblCost[[#This Row],[RequirementID]],".",-2),"cost.")</f>
        <v>collection.kitchen_and_buttery_1@2</v>
      </c>
      <c r="C1503" s="41" t="str">
        <f>_xlfn.XLOOKUP(tblCost[[#This Row],[TargetID]],tblTargets[TargetID],tblTargets[DisplayName],"")</f>
        <v>Kitchen And Buttery 1 Lv 2</v>
      </c>
      <c r="D1503" s="41" t="str">
        <f>_xlfn.XLOOKUP(tblCost[[#This Row],[TargetID]],tblTargets[TargetID],tblTargets[TargetType],"")</f>
        <v>COLLECTION</v>
      </c>
      <c r="E1503" s="41" t="s">
        <v>701</v>
      </c>
      <c r="F1503" s="62" t="str">
        <f>RIGHT(tblCost[[#This Row],[RequirementID]],1)</f>
        <v>7</v>
      </c>
      <c r="G1503" s="41">
        <v>100</v>
      </c>
      <c r="H1503" t="b">
        <f>COUNTIFS(tblCostChecklist[RequirementID],tblCost[[#This Row],[RequirementID]],tblCostChecklist[PlayerPaid],TRUE)&gt;0</f>
        <v>0</v>
      </c>
      <c r="I1503" s="41">
        <f>COUNTIF(tblCost[TargetID],tblCost[[#This Row],[TargetID]])</f>
        <v>12</v>
      </c>
      <c r="J1503" s="41">
        <f>COUNTIFS(tblCost[TargetID],tblCost[[#This Row],[TargetID]],tblCost[PlayerPaid],TRUE)</f>
        <v>0</v>
      </c>
      <c r="K1503" s="41">
        <f>tblCost[[#This Row],[TargetRequirements]]-tblCost[[#This Row],[CompletedRequirements]]</f>
        <v>12</v>
      </c>
      <c r="L1503" s="41" t="b">
        <f>tblCost[[#This Row],[RemainingRequirements]]=0</f>
        <v>0</v>
      </c>
      <c r="M1503" s="43">
        <f>IF(tblCost[[#This Row],[TargetRequirements]]=0,0,tblCost[[#This Row],[CompletedRequirements]]/tblCost[[#This Row],[TargetRequirements]])</f>
        <v>0</v>
      </c>
    </row>
    <row r="1504" spans="1:13">
      <c r="A1504" s="41" t="s">
        <v>5141</v>
      </c>
      <c r="B1504" s="41" t="str">
        <f>_xlfn.TEXTAFTER(_xlfn.TEXTBEFORE(tblCost[[#This Row],[RequirementID]],".",-2),"cost.")</f>
        <v>collection.kitchen_and_buttery_1@2</v>
      </c>
      <c r="C1504" s="41" t="str">
        <f>_xlfn.XLOOKUP(tblCost[[#This Row],[TargetID]],tblTargets[TargetID],tblTargets[DisplayName],"")</f>
        <v>Kitchen And Buttery 1 Lv 2</v>
      </c>
      <c r="D1504" s="41" t="str">
        <f>_xlfn.XLOOKUP(tblCost[[#This Row],[TargetID]],tblTargets[TargetID],tblTargets[TargetType],"")</f>
        <v>COLLECTION</v>
      </c>
      <c r="E1504" s="41" t="s">
        <v>701</v>
      </c>
      <c r="F1504" s="62" t="str">
        <f>RIGHT(tblCost[[#This Row],[RequirementID]],1)</f>
        <v>8</v>
      </c>
      <c r="G1504" s="41">
        <v>100</v>
      </c>
      <c r="H1504" t="b">
        <f>COUNTIFS(tblCostChecklist[RequirementID],tblCost[[#This Row],[RequirementID]],tblCostChecklist[PlayerPaid],TRUE)&gt;0</f>
        <v>0</v>
      </c>
      <c r="I1504" s="41">
        <f>COUNTIF(tblCost[TargetID],tblCost[[#This Row],[TargetID]])</f>
        <v>12</v>
      </c>
      <c r="J1504" s="41">
        <f>COUNTIFS(tblCost[TargetID],tblCost[[#This Row],[TargetID]],tblCost[PlayerPaid],TRUE)</f>
        <v>0</v>
      </c>
      <c r="K1504" s="41">
        <f>tblCost[[#This Row],[TargetRequirements]]-tblCost[[#This Row],[CompletedRequirements]]</f>
        <v>12</v>
      </c>
      <c r="L1504" s="41" t="b">
        <f>tblCost[[#This Row],[RemainingRequirements]]=0</f>
        <v>0</v>
      </c>
      <c r="M1504" s="43">
        <f>IF(tblCost[[#This Row],[TargetRequirements]]=0,0,tblCost[[#This Row],[CompletedRequirements]]/tblCost[[#This Row],[TargetRequirements]])</f>
        <v>0</v>
      </c>
    </row>
    <row r="1505" spans="1:13">
      <c r="A1505" s="41" t="s">
        <v>5142</v>
      </c>
      <c r="B1505" s="41" t="str">
        <f>_xlfn.TEXTAFTER(_xlfn.TEXTBEFORE(tblCost[[#This Row],[RequirementID]],".",-2),"cost.")</f>
        <v>collection.kitchen_and_buttery_1@2</v>
      </c>
      <c r="C1505" s="41" t="str">
        <f>_xlfn.XLOOKUP(tblCost[[#This Row],[TargetID]],tblTargets[TargetID],tblTargets[DisplayName],"")</f>
        <v>Kitchen And Buttery 1 Lv 2</v>
      </c>
      <c r="D1505" s="41" t="str">
        <f>_xlfn.XLOOKUP(tblCost[[#This Row],[TargetID]],tblTargets[TargetID],tblTargets[TargetType],"")</f>
        <v>COLLECTION</v>
      </c>
      <c r="E1505" s="41" t="s">
        <v>713</v>
      </c>
      <c r="F1505" s="62" t="str">
        <f>RIGHT(tblCost[[#This Row],[RequirementID]],1)</f>
        <v>1</v>
      </c>
      <c r="G1505" s="41">
        <v>30</v>
      </c>
      <c r="H1505" t="b">
        <f>COUNTIFS(tblCostChecklist[RequirementID],tblCost[[#This Row],[RequirementID]],tblCostChecklist[PlayerPaid],TRUE)&gt;0</f>
        <v>0</v>
      </c>
      <c r="I1505" s="41">
        <f>COUNTIF(tblCost[TargetID],tblCost[[#This Row],[TargetID]])</f>
        <v>12</v>
      </c>
      <c r="J1505" s="41">
        <f>COUNTIFS(tblCost[TargetID],tblCost[[#This Row],[TargetID]],tblCost[PlayerPaid],TRUE)</f>
        <v>0</v>
      </c>
      <c r="K1505" s="41">
        <f>tblCost[[#This Row],[TargetRequirements]]-tblCost[[#This Row],[CompletedRequirements]]</f>
        <v>12</v>
      </c>
      <c r="L1505" s="41" t="b">
        <f>tblCost[[#This Row],[RemainingRequirements]]=0</f>
        <v>0</v>
      </c>
      <c r="M1505" s="43">
        <f>IF(tblCost[[#This Row],[TargetRequirements]]=0,0,tblCost[[#This Row],[CompletedRequirements]]/tblCost[[#This Row],[TargetRequirements]])</f>
        <v>0</v>
      </c>
    </row>
    <row r="1506" spans="1:13">
      <c r="A1506" s="41" t="s">
        <v>5143</v>
      </c>
      <c r="B1506" s="41" t="str">
        <f>_xlfn.TEXTAFTER(_xlfn.TEXTBEFORE(tblCost[[#This Row],[RequirementID]],".",-2),"cost.")</f>
        <v>collection.kitchen_and_buttery_1@3</v>
      </c>
      <c r="C1506" s="41" t="str">
        <f>_xlfn.XLOOKUP(tblCost[[#This Row],[TargetID]],tblTargets[TargetID],tblTargets[DisplayName],"")</f>
        <v>Kitchen And Buttery 1 Lv 3</v>
      </c>
      <c r="D1506" s="41" t="str">
        <f>_xlfn.XLOOKUP(tblCost[[#This Row],[TargetID]],tblTargets[TargetID],tblTargets[TargetType],"")</f>
        <v>COLLECTION</v>
      </c>
      <c r="E1506" s="41" t="s">
        <v>938</v>
      </c>
      <c r="F1506" s="62" t="str">
        <f>RIGHT(tblCost[[#This Row],[RequirementID]],1)</f>
        <v>1</v>
      </c>
      <c r="G1506" s="41">
        <v>30</v>
      </c>
      <c r="H1506" t="b">
        <f>COUNTIFS(tblCostChecklist[RequirementID],tblCost[[#This Row],[RequirementID]],tblCostChecklist[PlayerPaid],TRUE)&gt;0</f>
        <v>0</v>
      </c>
      <c r="I1506" s="41">
        <f>COUNTIF(tblCost[TargetID],tblCost[[#This Row],[TargetID]])</f>
        <v>12</v>
      </c>
      <c r="J1506" s="41">
        <f>COUNTIFS(tblCost[TargetID],tblCost[[#This Row],[TargetID]],tblCost[PlayerPaid],TRUE)</f>
        <v>0</v>
      </c>
      <c r="K1506" s="41">
        <f>tblCost[[#This Row],[TargetRequirements]]-tblCost[[#This Row],[CompletedRequirements]]</f>
        <v>12</v>
      </c>
      <c r="L1506" s="41" t="b">
        <f>tblCost[[#This Row],[RemainingRequirements]]=0</f>
        <v>0</v>
      </c>
      <c r="M1506" s="43">
        <f>IF(tblCost[[#This Row],[TargetRequirements]]=0,0,tblCost[[#This Row],[CompletedRequirements]]/tblCost[[#This Row],[TargetRequirements]])</f>
        <v>0</v>
      </c>
    </row>
    <row r="1507" spans="1:13">
      <c r="A1507" s="41" t="s">
        <v>5144</v>
      </c>
      <c r="B1507" s="41" t="str">
        <f>_xlfn.TEXTAFTER(_xlfn.TEXTBEFORE(tblCost[[#This Row],[RequirementID]],".",-2),"cost.")</f>
        <v>collection.kitchen_and_buttery_1@3</v>
      </c>
      <c r="C1507" s="41" t="str">
        <f>_xlfn.XLOOKUP(tblCost[[#This Row],[TargetID]],tblTargets[TargetID],tblTargets[DisplayName],"")</f>
        <v>Kitchen And Buttery 1 Lv 3</v>
      </c>
      <c r="D1507" s="41" t="str">
        <f>_xlfn.XLOOKUP(tblCost[[#This Row],[TargetID]],tblTargets[TargetID],tblTargets[TargetType],"")</f>
        <v>COLLECTION</v>
      </c>
      <c r="E1507" s="41" t="s">
        <v>855</v>
      </c>
      <c r="F1507" s="62" t="str">
        <f>RIGHT(tblCost[[#This Row],[RequirementID]],1)</f>
        <v>1</v>
      </c>
      <c r="G1507" s="41">
        <v>30</v>
      </c>
      <c r="H1507" t="b">
        <f>COUNTIFS(tblCostChecklist[RequirementID],tblCost[[#This Row],[RequirementID]],tblCostChecklist[PlayerPaid],TRUE)&gt;0</f>
        <v>0</v>
      </c>
      <c r="I1507" s="41">
        <f>COUNTIF(tblCost[TargetID],tblCost[[#This Row],[TargetID]])</f>
        <v>12</v>
      </c>
      <c r="J1507" s="41">
        <f>COUNTIFS(tblCost[TargetID],tblCost[[#This Row],[TargetID]],tblCost[PlayerPaid],TRUE)</f>
        <v>0</v>
      </c>
      <c r="K1507" s="41">
        <f>tblCost[[#This Row],[TargetRequirements]]-tblCost[[#This Row],[CompletedRequirements]]</f>
        <v>12</v>
      </c>
      <c r="L1507" s="41" t="b">
        <f>tblCost[[#This Row],[RemainingRequirements]]=0</f>
        <v>0</v>
      </c>
      <c r="M1507" s="43">
        <f>IF(tblCost[[#This Row],[TargetRequirements]]=0,0,tblCost[[#This Row],[CompletedRequirements]]/tblCost[[#This Row],[TargetRequirements]])</f>
        <v>0</v>
      </c>
    </row>
    <row r="1508" spans="1:13">
      <c r="A1508" s="41" t="s">
        <v>5145</v>
      </c>
      <c r="B1508" s="41" t="str">
        <f>_xlfn.TEXTAFTER(_xlfn.TEXTBEFORE(tblCost[[#This Row],[RequirementID]],".",-2),"cost.")</f>
        <v>collection.kitchen_and_buttery_1@3</v>
      </c>
      <c r="C1508" s="41" t="str">
        <f>_xlfn.XLOOKUP(tblCost[[#This Row],[TargetID]],tblTargets[TargetID],tblTargets[DisplayName],"")</f>
        <v>Kitchen And Buttery 1 Lv 3</v>
      </c>
      <c r="D1508" s="41" t="str">
        <f>_xlfn.XLOOKUP(tblCost[[#This Row],[TargetID]],tblTargets[TargetID],tblTargets[TargetType],"")</f>
        <v>COLLECTION</v>
      </c>
      <c r="E1508" s="41" t="s">
        <v>695</v>
      </c>
      <c r="F1508" s="62" t="str">
        <f>RIGHT(tblCost[[#This Row],[RequirementID]],1)</f>
        <v>1</v>
      </c>
      <c r="G1508" s="41">
        <v>45</v>
      </c>
      <c r="H1508" t="b">
        <f>COUNTIFS(tblCostChecklist[RequirementID],tblCost[[#This Row],[RequirementID]],tblCostChecklist[PlayerPaid],TRUE)&gt;0</f>
        <v>0</v>
      </c>
      <c r="I1508" s="41">
        <f>COUNTIF(tblCost[TargetID],tblCost[[#This Row],[TargetID]])</f>
        <v>12</v>
      </c>
      <c r="J1508" s="41">
        <f>COUNTIFS(tblCost[TargetID],tblCost[[#This Row],[TargetID]],tblCost[PlayerPaid],TRUE)</f>
        <v>0</v>
      </c>
      <c r="K1508" s="41">
        <f>tblCost[[#This Row],[TargetRequirements]]-tblCost[[#This Row],[CompletedRequirements]]</f>
        <v>12</v>
      </c>
      <c r="L1508" s="41" t="b">
        <f>tblCost[[#This Row],[RemainingRequirements]]=0</f>
        <v>0</v>
      </c>
      <c r="M1508" s="43">
        <f>IF(tblCost[[#This Row],[TargetRequirements]]=0,0,tblCost[[#This Row],[CompletedRequirements]]/tblCost[[#This Row],[TargetRequirements]])</f>
        <v>0</v>
      </c>
    </row>
    <row r="1509" spans="1:13">
      <c r="A1509" s="41" t="s">
        <v>5146</v>
      </c>
      <c r="B1509" s="41" t="str">
        <f>_xlfn.TEXTAFTER(_xlfn.TEXTBEFORE(tblCost[[#This Row],[RequirementID]],".",-2),"cost.")</f>
        <v>collection.kitchen_and_buttery_1@3</v>
      </c>
      <c r="C1509" s="41" t="str">
        <f>_xlfn.XLOOKUP(tblCost[[#This Row],[TargetID]],tblTargets[TargetID],tblTargets[DisplayName],"")</f>
        <v>Kitchen And Buttery 1 Lv 3</v>
      </c>
      <c r="D1509" s="41" t="str">
        <f>_xlfn.XLOOKUP(tblCost[[#This Row],[TargetID]],tblTargets[TargetID],tblTargets[TargetType],"")</f>
        <v>COLLECTION</v>
      </c>
      <c r="E1509" s="41" t="s">
        <v>701</v>
      </c>
      <c r="F1509" s="62" t="str">
        <f>RIGHT(tblCost[[#This Row],[RequirementID]],1)</f>
        <v>1</v>
      </c>
      <c r="G1509" s="41">
        <v>150</v>
      </c>
      <c r="H1509" t="b">
        <f>COUNTIFS(tblCostChecklist[RequirementID],tblCost[[#This Row],[RequirementID]],tblCostChecklist[PlayerPaid],TRUE)&gt;0</f>
        <v>0</v>
      </c>
      <c r="I1509" s="41">
        <f>COUNTIF(tblCost[TargetID],tblCost[[#This Row],[TargetID]])</f>
        <v>12</v>
      </c>
      <c r="J1509" s="41">
        <f>COUNTIFS(tblCost[TargetID],tblCost[[#This Row],[TargetID]],tblCost[PlayerPaid],TRUE)</f>
        <v>0</v>
      </c>
      <c r="K1509" s="41">
        <f>tblCost[[#This Row],[TargetRequirements]]-tblCost[[#This Row],[CompletedRequirements]]</f>
        <v>12</v>
      </c>
      <c r="L1509" s="41" t="b">
        <f>tblCost[[#This Row],[RemainingRequirements]]=0</f>
        <v>0</v>
      </c>
      <c r="M1509" s="43">
        <f>IF(tblCost[[#This Row],[TargetRequirements]]=0,0,tblCost[[#This Row],[CompletedRequirements]]/tblCost[[#This Row],[TargetRequirements]])</f>
        <v>0</v>
      </c>
    </row>
    <row r="1510" spans="1:13">
      <c r="A1510" s="41" t="s">
        <v>5147</v>
      </c>
      <c r="B1510" s="41" t="str">
        <f>_xlfn.TEXTAFTER(_xlfn.TEXTBEFORE(tblCost[[#This Row],[RequirementID]],".",-2),"cost.")</f>
        <v>collection.kitchen_and_buttery_1@3</v>
      </c>
      <c r="C1510" s="41" t="str">
        <f>_xlfn.XLOOKUP(tblCost[[#This Row],[TargetID]],tblTargets[TargetID],tblTargets[DisplayName],"")</f>
        <v>Kitchen And Buttery 1 Lv 3</v>
      </c>
      <c r="D1510" s="41" t="str">
        <f>_xlfn.XLOOKUP(tblCost[[#This Row],[TargetID]],tblTargets[TargetID],tblTargets[TargetType],"")</f>
        <v>COLLECTION</v>
      </c>
      <c r="E1510" s="41" t="s">
        <v>701</v>
      </c>
      <c r="F1510" s="62" t="str">
        <f>RIGHT(tblCost[[#This Row],[RequirementID]],1)</f>
        <v>2</v>
      </c>
      <c r="G1510" s="41">
        <v>150</v>
      </c>
      <c r="H1510" t="b">
        <f>COUNTIFS(tblCostChecklist[RequirementID],tblCost[[#This Row],[RequirementID]],tblCostChecklist[PlayerPaid],TRUE)&gt;0</f>
        <v>0</v>
      </c>
      <c r="I1510" s="41">
        <f>COUNTIF(tblCost[TargetID],tblCost[[#This Row],[TargetID]])</f>
        <v>12</v>
      </c>
      <c r="J1510" s="41">
        <f>COUNTIFS(tblCost[TargetID],tblCost[[#This Row],[TargetID]],tblCost[PlayerPaid],TRUE)</f>
        <v>0</v>
      </c>
      <c r="K1510" s="41">
        <f>tblCost[[#This Row],[TargetRequirements]]-tblCost[[#This Row],[CompletedRequirements]]</f>
        <v>12</v>
      </c>
      <c r="L1510" s="41" t="b">
        <f>tblCost[[#This Row],[RemainingRequirements]]=0</f>
        <v>0</v>
      </c>
      <c r="M1510" s="43">
        <f>IF(tblCost[[#This Row],[TargetRequirements]]=0,0,tblCost[[#This Row],[CompletedRequirements]]/tblCost[[#This Row],[TargetRequirements]])</f>
        <v>0</v>
      </c>
    </row>
    <row r="1511" spans="1:13">
      <c r="A1511" s="41" t="s">
        <v>5148</v>
      </c>
      <c r="B1511" s="41" t="str">
        <f>_xlfn.TEXTAFTER(_xlfn.TEXTBEFORE(tblCost[[#This Row],[RequirementID]],".",-2),"cost.")</f>
        <v>collection.kitchen_and_buttery_1@3</v>
      </c>
      <c r="C1511" s="41" t="str">
        <f>_xlfn.XLOOKUP(tblCost[[#This Row],[TargetID]],tblTargets[TargetID],tblTargets[DisplayName],"")</f>
        <v>Kitchen And Buttery 1 Lv 3</v>
      </c>
      <c r="D1511" s="41" t="str">
        <f>_xlfn.XLOOKUP(tblCost[[#This Row],[TargetID]],tblTargets[TargetID],tblTargets[TargetType],"")</f>
        <v>COLLECTION</v>
      </c>
      <c r="E1511" s="41" t="s">
        <v>701</v>
      </c>
      <c r="F1511" s="62" t="str">
        <f>RIGHT(tblCost[[#This Row],[RequirementID]],1)</f>
        <v>3</v>
      </c>
      <c r="G1511" s="41">
        <v>150</v>
      </c>
      <c r="H1511" t="b">
        <f>COUNTIFS(tblCostChecklist[RequirementID],tblCost[[#This Row],[RequirementID]],tblCostChecklist[PlayerPaid],TRUE)&gt;0</f>
        <v>0</v>
      </c>
      <c r="I1511" s="41">
        <f>COUNTIF(tblCost[TargetID],tblCost[[#This Row],[TargetID]])</f>
        <v>12</v>
      </c>
      <c r="J1511" s="41">
        <f>COUNTIFS(tblCost[TargetID],tblCost[[#This Row],[TargetID]],tblCost[PlayerPaid],TRUE)</f>
        <v>0</v>
      </c>
      <c r="K1511" s="41">
        <f>tblCost[[#This Row],[TargetRequirements]]-tblCost[[#This Row],[CompletedRequirements]]</f>
        <v>12</v>
      </c>
      <c r="L1511" s="41" t="b">
        <f>tblCost[[#This Row],[RemainingRequirements]]=0</f>
        <v>0</v>
      </c>
      <c r="M1511" s="43">
        <f>IF(tblCost[[#This Row],[TargetRequirements]]=0,0,tblCost[[#This Row],[CompletedRequirements]]/tblCost[[#This Row],[TargetRequirements]])</f>
        <v>0</v>
      </c>
    </row>
    <row r="1512" spans="1:13">
      <c r="A1512" s="41" t="s">
        <v>5149</v>
      </c>
      <c r="B1512" s="41" t="str">
        <f>_xlfn.TEXTAFTER(_xlfn.TEXTBEFORE(tblCost[[#This Row],[RequirementID]],".",-2),"cost.")</f>
        <v>collection.kitchen_and_buttery_1@3</v>
      </c>
      <c r="C1512" s="41" t="str">
        <f>_xlfn.XLOOKUP(tblCost[[#This Row],[TargetID]],tblTargets[TargetID],tblTargets[DisplayName],"")</f>
        <v>Kitchen And Buttery 1 Lv 3</v>
      </c>
      <c r="D1512" s="41" t="str">
        <f>_xlfn.XLOOKUP(tblCost[[#This Row],[TargetID]],tblTargets[TargetID],tblTargets[TargetType],"")</f>
        <v>COLLECTION</v>
      </c>
      <c r="E1512" s="41" t="s">
        <v>701</v>
      </c>
      <c r="F1512" s="62" t="str">
        <f>RIGHT(tblCost[[#This Row],[RequirementID]],1)</f>
        <v>4</v>
      </c>
      <c r="G1512" s="41">
        <v>150</v>
      </c>
      <c r="H1512" t="b">
        <f>COUNTIFS(tblCostChecklist[RequirementID],tblCost[[#This Row],[RequirementID]],tblCostChecklist[PlayerPaid],TRUE)&gt;0</f>
        <v>0</v>
      </c>
      <c r="I1512" s="41">
        <f>COUNTIF(tblCost[TargetID],tblCost[[#This Row],[TargetID]])</f>
        <v>12</v>
      </c>
      <c r="J1512" s="41">
        <f>COUNTIFS(tblCost[TargetID],tblCost[[#This Row],[TargetID]],tblCost[PlayerPaid],TRUE)</f>
        <v>0</v>
      </c>
      <c r="K1512" s="41">
        <f>tblCost[[#This Row],[TargetRequirements]]-tblCost[[#This Row],[CompletedRequirements]]</f>
        <v>12</v>
      </c>
      <c r="L1512" s="41" t="b">
        <f>tblCost[[#This Row],[RemainingRequirements]]=0</f>
        <v>0</v>
      </c>
      <c r="M1512" s="43">
        <f>IF(tblCost[[#This Row],[TargetRequirements]]=0,0,tblCost[[#This Row],[CompletedRequirements]]/tblCost[[#This Row],[TargetRequirements]])</f>
        <v>0</v>
      </c>
    </row>
    <row r="1513" spans="1:13">
      <c r="A1513" s="41" t="s">
        <v>5150</v>
      </c>
      <c r="B1513" s="41" t="str">
        <f>_xlfn.TEXTAFTER(_xlfn.TEXTBEFORE(tblCost[[#This Row],[RequirementID]],".",-2),"cost.")</f>
        <v>collection.kitchen_and_buttery_1@3</v>
      </c>
      <c r="C1513" s="41" t="str">
        <f>_xlfn.XLOOKUP(tblCost[[#This Row],[TargetID]],tblTargets[TargetID],tblTargets[DisplayName],"")</f>
        <v>Kitchen And Buttery 1 Lv 3</v>
      </c>
      <c r="D1513" s="41" t="str">
        <f>_xlfn.XLOOKUP(tblCost[[#This Row],[TargetID]],tblTargets[TargetID],tblTargets[TargetType],"")</f>
        <v>COLLECTION</v>
      </c>
      <c r="E1513" s="41" t="s">
        <v>701</v>
      </c>
      <c r="F1513" s="62" t="str">
        <f>RIGHT(tblCost[[#This Row],[RequirementID]],1)</f>
        <v>5</v>
      </c>
      <c r="G1513" s="41">
        <v>150</v>
      </c>
      <c r="H1513" t="b">
        <f>COUNTIFS(tblCostChecklist[RequirementID],tblCost[[#This Row],[RequirementID]],tblCostChecklist[PlayerPaid],TRUE)&gt;0</f>
        <v>0</v>
      </c>
      <c r="I1513" s="41">
        <f>COUNTIF(tblCost[TargetID],tblCost[[#This Row],[TargetID]])</f>
        <v>12</v>
      </c>
      <c r="J1513" s="41">
        <f>COUNTIFS(tblCost[TargetID],tblCost[[#This Row],[TargetID]],tblCost[PlayerPaid],TRUE)</f>
        <v>0</v>
      </c>
      <c r="K1513" s="41">
        <f>tblCost[[#This Row],[TargetRequirements]]-tblCost[[#This Row],[CompletedRequirements]]</f>
        <v>12</v>
      </c>
      <c r="L1513" s="41" t="b">
        <f>tblCost[[#This Row],[RemainingRequirements]]=0</f>
        <v>0</v>
      </c>
      <c r="M1513" s="43">
        <f>IF(tblCost[[#This Row],[TargetRequirements]]=0,0,tblCost[[#This Row],[CompletedRequirements]]/tblCost[[#This Row],[TargetRequirements]])</f>
        <v>0</v>
      </c>
    </row>
    <row r="1514" spans="1:13">
      <c r="A1514" s="41" t="s">
        <v>5151</v>
      </c>
      <c r="B1514" s="41" t="str">
        <f>_xlfn.TEXTAFTER(_xlfn.TEXTBEFORE(tblCost[[#This Row],[RequirementID]],".",-2),"cost.")</f>
        <v>collection.kitchen_and_buttery_1@3</v>
      </c>
      <c r="C1514" s="41" t="str">
        <f>_xlfn.XLOOKUP(tblCost[[#This Row],[TargetID]],tblTargets[TargetID],tblTargets[DisplayName],"")</f>
        <v>Kitchen And Buttery 1 Lv 3</v>
      </c>
      <c r="D1514" s="41" t="str">
        <f>_xlfn.XLOOKUP(tblCost[[#This Row],[TargetID]],tblTargets[TargetID],tblTargets[TargetType],"")</f>
        <v>COLLECTION</v>
      </c>
      <c r="E1514" s="41" t="s">
        <v>701</v>
      </c>
      <c r="F1514" s="62" t="str">
        <f>RIGHT(tblCost[[#This Row],[RequirementID]],1)</f>
        <v>6</v>
      </c>
      <c r="G1514" s="41">
        <v>150</v>
      </c>
      <c r="H1514" t="b">
        <f>COUNTIFS(tblCostChecklist[RequirementID],tblCost[[#This Row],[RequirementID]],tblCostChecklist[PlayerPaid],TRUE)&gt;0</f>
        <v>0</v>
      </c>
      <c r="I1514" s="41">
        <f>COUNTIF(tblCost[TargetID],tblCost[[#This Row],[TargetID]])</f>
        <v>12</v>
      </c>
      <c r="J1514" s="41">
        <f>COUNTIFS(tblCost[TargetID],tblCost[[#This Row],[TargetID]],tblCost[PlayerPaid],TRUE)</f>
        <v>0</v>
      </c>
      <c r="K1514" s="41">
        <f>tblCost[[#This Row],[TargetRequirements]]-tblCost[[#This Row],[CompletedRequirements]]</f>
        <v>12</v>
      </c>
      <c r="L1514" s="41" t="b">
        <f>tblCost[[#This Row],[RemainingRequirements]]=0</f>
        <v>0</v>
      </c>
      <c r="M1514" s="43">
        <f>IF(tblCost[[#This Row],[TargetRequirements]]=0,0,tblCost[[#This Row],[CompletedRequirements]]/tblCost[[#This Row],[TargetRequirements]])</f>
        <v>0</v>
      </c>
    </row>
    <row r="1515" spans="1:13">
      <c r="A1515" s="41" t="s">
        <v>5152</v>
      </c>
      <c r="B1515" s="41" t="str">
        <f>_xlfn.TEXTAFTER(_xlfn.TEXTBEFORE(tblCost[[#This Row],[RequirementID]],".",-2),"cost.")</f>
        <v>collection.kitchen_and_buttery_1@3</v>
      </c>
      <c r="C1515" s="41" t="str">
        <f>_xlfn.XLOOKUP(tblCost[[#This Row],[TargetID]],tblTargets[TargetID],tblTargets[DisplayName],"")</f>
        <v>Kitchen And Buttery 1 Lv 3</v>
      </c>
      <c r="D1515" s="41" t="str">
        <f>_xlfn.XLOOKUP(tblCost[[#This Row],[TargetID]],tblTargets[TargetID],tblTargets[TargetType],"")</f>
        <v>COLLECTION</v>
      </c>
      <c r="E1515" s="41" t="s">
        <v>701</v>
      </c>
      <c r="F1515" s="62" t="str">
        <f>RIGHT(tblCost[[#This Row],[RequirementID]],1)</f>
        <v>7</v>
      </c>
      <c r="G1515" s="41">
        <v>150</v>
      </c>
      <c r="H1515" t="b">
        <f>COUNTIFS(tblCostChecklist[RequirementID],tblCost[[#This Row],[RequirementID]],tblCostChecklist[PlayerPaid],TRUE)&gt;0</f>
        <v>0</v>
      </c>
      <c r="I1515" s="41">
        <f>COUNTIF(tblCost[TargetID],tblCost[[#This Row],[TargetID]])</f>
        <v>12</v>
      </c>
      <c r="J1515" s="41">
        <f>COUNTIFS(tblCost[TargetID],tblCost[[#This Row],[TargetID]],tblCost[PlayerPaid],TRUE)</f>
        <v>0</v>
      </c>
      <c r="K1515" s="41">
        <f>tblCost[[#This Row],[TargetRequirements]]-tblCost[[#This Row],[CompletedRequirements]]</f>
        <v>12</v>
      </c>
      <c r="L1515" s="41" t="b">
        <f>tblCost[[#This Row],[RemainingRequirements]]=0</f>
        <v>0</v>
      </c>
      <c r="M1515" s="43">
        <f>IF(tblCost[[#This Row],[TargetRequirements]]=0,0,tblCost[[#This Row],[CompletedRequirements]]/tblCost[[#This Row],[TargetRequirements]])</f>
        <v>0</v>
      </c>
    </row>
    <row r="1516" spans="1:13">
      <c r="A1516" s="41" t="s">
        <v>5153</v>
      </c>
      <c r="B1516" s="41" t="str">
        <f>_xlfn.TEXTAFTER(_xlfn.TEXTBEFORE(tblCost[[#This Row],[RequirementID]],".",-2),"cost.")</f>
        <v>collection.kitchen_and_buttery_1@3</v>
      </c>
      <c r="C1516" s="41" t="str">
        <f>_xlfn.XLOOKUP(tblCost[[#This Row],[TargetID]],tblTargets[TargetID],tblTargets[DisplayName],"")</f>
        <v>Kitchen And Buttery 1 Lv 3</v>
      </c>
      <c r="D1516" s="41" t="str">
        <f>_xlfn.XLOOKUP(tblCost[[#This Row],[TargetID]],tblTargets[TargetID],tblTargets[TargetType],"")</f>
        <v>COLLECTION</v>
      </c>
      <c r="E1516" s="41" t="s">
        <v>701</v>
      </c>
      <c r="F1516" s="62" t="str">
        <f>RIGHT(tblCost[[#This Row],[RequirementID]],1)</f>
        <v>8</v>
      </c>
      <c r="G1516" s="41">
        <v>150</v>
      </c>
      <c r="H1516" t="b">
        <f>COUNTIFS(tblCostChecklist[RequirementID],tblCost[[#This Row],[RequirementID]],tblCostChecklist[PlayerPaid],TRUE)&gt;0</f>
        <v>0</v>
      </c>
      <c r="I1516" s="41">
        <f>COUNTIF(tblCost[TargetID],tblCost[[#This Row],[TargetID]])</f>
        <v>12</v>
      </c>
      <c r="J1516" s="41">
        <f>COUNTIFS(tblCost[TargetID],tblCost[[#This Row],[TargetID]],tblCost[PlayerPaid],TRUE)</f>
        <v>0</v>
      </c>
      <c r="K1516" s="41">
        <f>tblCost[[#This Row],[TargetRequirements]]-tblCost[[#This Row],[CompletedRequirements]]</f>
        <v>12</v>
      </c>
      <c r="L1516" s="41" t="b">
        <f>tblCost[[#This Row],[RemainingRequirements]]=0</f>
        <v>0</v>
      </c>
      <c r="M1516" s="43">
        <f>IF(tblCost[[#This Row],[TargetRequirements]]=0,0,tblCost[[#This Row],[CompletedRequirements]]/tblCost[[#This Row],[TargetRequirements]])</f>
        <v>0</v>
      </c>
    </row>
    <row r="1517" spans="1:13">
      <c r="A1517" s="41" t="s">
        <v>5154</v>
      </c>
      <c r="B1517" s="41" t="str">
        <f>_xlfn.TEXTAFTER(_xlfn.TEXTBEFORE(tblCost[[#This Row],[RequirementID]],".",-2),"cost.")</f>
        <v>collection.kitchen_and_buttery_1@3</v>
      </c>
      <c r="C1517" s="41" t="str">
        <f>_xlfn.XLOOKUP(tblCost[[#This Row],[TargetID]],tblTargets[TargetID],tblTargets[DisplayName],"")</f>
        <v>Kitchen And Buttery 1 Lv 3</v>
      </c>
      <c r="D1517" s="41" t="str">
        <f>_xlfn.XLOOKUP(tblCost[[#This Row],[TargetID]],tblTargets[TargetID],tblTargets[TargetType],"")</f>
        <v>COLLECTION</v>
      </c>
      <c r="E1517" s="41" t="s">
        <v>713</v>
      </c>
      <c r="F1517" s="62" t="str">
        <f>RIGHT(tblCost[[#This Row],[RequirementID]],1)</f>
        <v>1</v>
      </c>
      <c r="G1517" s="41">
        <v>45</v>
      </c>
      <c r="H1517" t="b">
        <f>COUNTIFS(tblCostChecklist[RequirementID],tblCost[[#This Row],[RequirementID]],tblCostChecklist[PlayerPaid],TRUE)&gt;0</f>
        <v>0</v>
      </c>
      <c r="I1517" s="41">
        <f>COUNTIF(tblCost[TargetID],tblCost[[#This Row],[TargetID]])</f>
        <v>12</v>
      </c>
      <c r="J1517" s="41">
        <f>COUNTIFS(tblCost[TargetID],tblCost[[#This Row],[TargetID]],tblCost[PlayerPaid],TRUE)</f>
        <v>0</v>
      </c>
      <c r="K1517" s="41">
        <f>tblCost[[#This Row],[TargetRequirements]]-tblCost[[#This Row],[CompletedRequirements]]</f>
        <v>12</v>
      </c>
      <c r="L1517" s="41" t="b">
        <f>tblCost[[#This Row],[RemainingRequirements]]=0</f>
        <v>0</v>
      </c>
      <c r="M1517" s="43">
        <f>IF(tblCost[[#This Row],[TargetRequirements]]=0,0,tblCost[[#This Row],[CompletedRequirements]]/tblCost[[#This Row],[TargetRequirements]])</f>
        <v>0</v>
      </c>
    </row>
    <row r="1518" spans="1:13">
      <c r="A1518" s="41" t="s">
        <v>5155</v>
      </c>
      <c r="B1518" s="41" t="str">
        <f>_xlfn.TEXTAFTER(_xlfn.TEXTBEFORE(tblCost[[#This Row],[RequirementID]],".",-2),"cost.")</f>
        <v>collection.kitchen_and_buttery_1@4</v>
      </c>
      <c r="C1518" s="41" t="str">
        <f>_xlfn.XLOOKUP(tblCost[[#This Row],[TargetID]],tblTargets[TargetID],tblTargets[DisplayName],"")</f>
        <v>Kitchen And Buttery 1 Lv 4</v>
      </c>
      <c r="D1518" s="41" t="str">
        <f>_xlfn.XLOOKUP(tblCost[[#This Row],[TargetID]],tblTargets[TargetID],tblTargets[TargetType],"")</f>
        <v>COLLECTION</v>
      </c>
      <c r="E1518" s="41" t="s">
        <v>938</v>
      </c>
      <c r="F1518" s="62" t="str">
        <f>RIGHT(tblCost[[#This Row],[RequirementID]],1)</f>
        <v>1</v>
      </c>
      <c r="G1518" s="41">
        <v>40</v>
      </c>
      <c r="H1518" t="b">
        <f>COUNTIFS(tblCostChecklist[RequirementID],tblCost[[#This Row],[RequirementID]],tblCostChecklist[PlayerPaid],TRUE)&gt;0</f>
        <v>0</v>
      </c>
      <c r="I1518" s="41">
        <f>COUNTIF(tblCost[TargetID],tblCost[[#This Row],[TargetID]])</f>
        <v>12</v>
      </c>
      <c r="J1518" s="41">
        <f>COUNTIFS(tblCost[TargetID],tblCost[[#This Row],[TargetID]],tblCost[PlayerPaid],TRUE)</f>
        <v>0</v>
      </c>
      <c r="K1518" s="41">
        <f>tblCost[[#This Row],[TargetRequirements]]-tblCost[[#This Row],[CompletedRequirements]]</f>
        <v>12</v>
      </c>
      <c r="L1518" s="41" t="b">
        <f>tblCost[[#This Row],[RemainingRequirements]]=0</f>
        <v>0</v>
      </c>
      <c r="M1518" s="43">
        <f>IF(tblCost[[#This Row],[TargetRequirements]]=0,0,tblCost[[#This Row],[CompletedRequirements]]/tblCost[[#This Row],[TargetRequirements]])</f>
        <v>0</v>
      </c>
    </row>
    <row r="1519" spans="1:13">
      <c r="A1519" s="41" t="s">
        <v>5156</v>
      </c>
      <c r="B1519" s="41" t="str">
        <f>_xlfn.TEXTAFTER(_xlfn.TEXTBEFORE(tblCost[[#This Row],[RequirementID]],".",-2),"cost.")</f>
        <v>collection.kitchen_and_buttery_1@4</v>
      </c>
      <c r="C1519" s="41" t="str">
        <f>_xlfn.XLOOKUP(tblCost[[#This Row],[TargetID]],tblTargets[TargetID],tblTargets[DisplayName],"")</f>
        <v>Kitchen And Buttery 1 Lv 4</v>
      </c>
      <c r="D1519" s="41" t="str">
        <f>_xlfn.XLOOKUP(tblCost[[#This Row],[TargetID]],tblTargets[TargetID],tblTargets[TargetType],"")</f>
        <v>COLLECTION</v>
      </c>
      <c r="E1519" s="41" t="s">
        <v>855</v>
      </c>
      <c r="F1519" s="62" t="str">
        <f>RIGHT(tblCost[[#This Row],[RequirementID]],1)</f>
        <v>1</v>
      </c>
      <c r="G1519" s="41">
        <v>40</v>
      </c>
      <c r="H1519" t="b">
        <f>COUNTIFS(tblCostChecklist[RequirementID],tblCost[[#This Row],[RequirementID]],tblCostChecklist[PlayerPaid],TRUE)&gt;0</f>
        <v>0</v>
      </c>
      <c r="I1519" s="41">
        <f>COUNTIF(tblCost[TargetID],tblCost[[#This Row],[TargetID]])</f>
        <v>12</v>
      </c>
      <c r="J1519" s="41">
        <f>COUNTIFS(tblCost[TargetID],tblCost[[#This Row],[TargetID]],tblCost[PlayerPaid],TRUE)</f>
        <v>0</v>
      </c>
      <c r="K1519" s="41">
        <f>tblCost[[#This Row],[TargetRequirements]]-tblCost[[#This Row],[CompletedRequirements]]</f>
        <v>12</v>
      </c>
      <c r="L1519" s="41" t="b">
        <f>tblCost[[#This Row],[RemainingRequirements]]=0</f>
        <v>0</v>
      </c>
      <c r="M1519" s="43">
        <f>IF(tblCost[[#This Row],[TargetRequirements]]=0,0,tblCost[[#This Row],[CompletedRequirements]]/tblCost[[#This Row],[TargetRequirements]])</f>
        <v>0</v>
      </c>
    </row>
    <row r="1520" spans="1:13">
      <c r="A1520" s="41" t="s">
        <v>5157</v>
      </c>
      <c r="B1520" s="41" t="str">
        <f>_xlfn.TEXTAFTER(_xlfn.TEXTBEFORE(tblCost[[#This Row],[RequirementID]],".",-2),"cost.")</f>
        <v>collection.kitchen_and_buttery_1@4</v>
      </c>
      <c r="C1520" s="41" t="str">
        <f>_xlfn.XLOOKUP(tblCost[[#This Row],[TargetID]],tblTargets[TargetID],tblTargets[DisplayName],"")</f>
        <v>Kitchen And Buttery 1 Lv 4</v>
      </c>
      <c r="D1520" s="41" t="str">
        <f>_xlfn.XLOOKUP(tblCost[[#This Row],[TargetID]],tblTargets[TargetID],tblTargets[TargetType],"")</f>
        <v>COLLECTION</v>
      </c>
      <c r="E1520" s="41" t="s">
        <v>695</v>
      </c>
      <c r="F1520" s="62" t="str">
        <f>RIGHT(tblCost[[#This Row],[RequirementID]],1)</f>
        <v>1</v>
      </c>
      <c r="G1520" s="41">
        <v>60</v>
      </c>
      <c r="H1520" t="b">
        <f>COUNTIFS(tblCostChecklist[RequirementID],tblCost[[#This Row],[RequirementID]],tblCostChecklist[PlayerPaid],TRUE)&gt;0</f>
        <v>0</v>
      </c>
      <c r="I1520" s="41">
        <f>COUNTIF(tblCost[TargetID],tblCost[[#This Row],[TargetID]])</f>
        <v>12</v>
      </c>
      <c r="J1520" s="41">
        <f>COUNTIFS(tblCost[TargetID],tblCost[[#This Row],[TargetID]],tblCost[PlayerPaid],TRUE)</f>
        <v>0</v>
      </c>
      <c r="K1520" s="41">
        <f>tblCost[[#This Row],[TargetRequirements]]-tblCost[[#This Row],[CompletedRequirements]]</f>
        <v>12</v>
      </c>
      <c r="L1520" s="41" t="b">
        <f>tblCost[[#This Row],[RemainingRequirements]]=0</f>
        <v>0</v>
      </c>
      <c r="M1520" s="43">
        <f>IF(tblCost[[#This Row],[TargetRequirements]]=0,0,tblCost[[#This Row],[CompletedRequirements]]/tblCost[[#This Row],[TargetRequirements]])</f>
        <v>0</v>
      </c>
    </row>
    <row r="1521" spans="1:13">
      <c r="A1521" s="41" t="s">
        <v>5158</v>
      </c>
      <c r="B1521" s="41" t="str">
        <f>_xlfn.TEXTAFTER(_xlfn.TEXTBEFORE(tblCost[[#This Row],[RequirementID]],".",-2),"cost.")</f>
        <v>collection.kitchen_and_buttery_1@4</v>
      </c>
      <c r="C1521" s="41" t="str">
        <f>_xlfn.XLOOKUP(tblCost[[#This Row],[TargetID]],tblTargets[TargetID],tblTargets[DisplayName],"")</f>
        <v>Kitchen And Buttery 1 Lv 4</v>
      </c>
      <c r="D1521" s="41" t="str">
        <f>_xlfn.XLOOKUP(tblCost[[#This Row],[TargetID]],tblTargets[TargetID],tblTargets[TargetType],"")</f>
        <v>COLLECTION</v>
      </c>
      <c r="E1521" s="41" t="s">
        <v>701</v>
      </c>
      <c r="F1521" s="62" t="str">
        <f>RIGHT(tblCost[[#This Row],[RequirementID]],1)</f>
        <v>1</v>
      </c>
      <c r="G1521" s="41">
        <v>200</v>
      </c>
      <c r="H1521" t="b">
        <f>COUNTIFS(tblCostChecklist[RequirementID],tblCost[[#This Row],[RequirementID]],tblCostChecklist[PlayerPaid],TRUE)&gt;0</f>
        <v>0</v>
      </c>
      <c r="I1521" s="41">
        <f>COUNTIF(tblCost[TargetID],tblCost[[#This Row],[TargetID]])</f>
        <v>12</v>
      </c>
      <c r="J1521" s="41">
        <f>COUNTIFS(tblCost[TargetID],tblCost[[#This Row],[TargetID]],tblCost[PlayerPaid],TRUE)</f>
        <v>0</v>
      </c>
      <c r="K1521" s="41">
        <f>tblCost[[#This Row],[TargetRequirements]]-tblCost[[#This Row],[CompletedRequirements]]</f>
        <v>12</v>
      </c>
      <c r="L1521" s="41" t="b">
        <f>tblCost[[#This Row],[RemainingRequirements]]=0</f>
        <v>0</v>
      </c>
      <c r="M1521" s="43">
        <f>IF(tblCost[[#This Row],[TargetRequirements]]=0,0,tblCost[[#This Row],[CompletedRequirements]]/tblCost[[#This Row],[TargetRequirements]])</f>
        <v>0</v>
      </c>
    </row>
    <row r="1522" spans="1:13">
      <c r="A1522" s="41" t="s">
        <v>5159</v>
      </c>
      <c r="B1522" s="41" t="str">
        <f>_xlfn.TEXTAFTER(_xlfn.TEXTBEFORE(tblCost[[#This Row],[RequirementID]],".",-2),"cost.")</f>
        <v>collection.kitchen_and_buttery_1@4</v>
      </c>
      <c r="C1522" s="41" t="str">
        <f>_xlfn.XLOOKUP(tblCost[[#This Row],[TargetID]],tblTargets[TargetID],tblTargets[DisplayName],"")</f>
        <v>Kitchen And Buttery 1 Lv 4</v>
      </c>
      <c r="D1522" s="41" t="str">
        <f>_xlfn.XLOOKUP(tblCost[[#This Row],[TargetID]],tblTargets[TargetID],tblTargets[TargetType],"")</f>
        <v>COLLECTION</v>
      </c>
      <c r="E1522" s="41" t="s">
        <v>701</v>
      </c>
      <c r="F1522" s="62" t="str">
        <f>RIGHT(tblCost[[#This Row],[RequirementID]],1)</f>
        <v>2</v>
      </c>
      <c r="G1522" s="41">
        <v>200</v>
      </c>
      <c r="H1522" t="b">
        <f>COUNTIFS(tblCostChecklist[RequirementID],tblCost[[#This Row],[RequirementID]],tblCostChecklist[PlayerPaid],TRUE)&gt;0</f>
        <v>0</v>
      </c>
      <c r="I1522" s="41">
        <f>COUNTIF(tblCost[TargetID],tblCost[[#This Row],[TargetID]])</f>
        <v>12</v>
      </c>
      <c r="J1522" s="41">
        <f>COUNTIFS(tblCost[TargetID],tblCost[[#This Row],[TargetID]],tblCost[PlayerPaid],TRUE)</f>
        <v>0</v>
      </c>
      <c r="K1522" s="41">
        <f>tblCost[[#This Row],[TargetRequirements]]-tblCost[[#This Row],[CompletedRequirements]]</f>
        <v>12</v>
      </c>
      <c r="L1522" s="41" t="b">
        <f>tblCost[[#This Row],[RemainingRequirements]]=0</f>
        <v>0</v>
      </c>
      <c r="M1522" s="43">
        <f>IF(tblCost[[#This Row],[TargetRequirements]]=0,0,tblCost[[#This Row],[CompletedRequirements]]/tblCost[[#This Row],[TargetRequirements]])</f>
        <v>0</v>
      </c>
    </row>
    <row r="1523" spans="1:13">
      <c r="A1523" s="41" t="s">
        <v>5160</v>
      </c>
      <c r="B1523" s="41" t="str">
        <f>_xlfn.TEXTAFTER(_xlfn.TEXTBEFORE(tblCost[[#This Row],[RequirementID]],".",-2),"cost.")</f>
        <v>collection.kitchen_and_buttery_1@4</v>
      </c>
      <c r="C1523" s="41" t="str">
        <f>_xlfn.XLOOKUP(tblCost[[#This Row],[TargetID]],tblTargets[TargetID],tblTargets[DisplayName],"")</f>
        <v>Kitchen And Buttery 1 Lv 4</v>
      </c>
      <c r="D1523" s="41" t="str">
        <f>_xlfn.XLOOKUP(tblCost[[#This Row],[TargetID]],tblTargets[TargetID],tblTargets[TargetType],"")</f>
        <v>COLLECTION</v>
      </c>
      <c r="E1523" s="41" t="s">
        <v>701</v>
      </c>
      <c r="F1523" s="62" t="str">
        <f>RIGHT(tblCost[[#This Row],[RequirementID]],1)</f>
        <v>3</v>
      </c>
      <c r="G1523" s="41">
        <v>200</v>
      </c>
      <c r="H1523" t="b">
        <f>COUNTIFS(tblCostChecklist[RequirementID],tblCost[[#This Row],[RequirementID]],tblCostChecklist[PlayerPaid],TRUE)&gt;0</f>
        <v>0</v>
      </c>
      <c r="I1523" s="41">
        <f>COUNTIF(tblCost[TargetID],tblCost[[#This Row],[TargetID]])</f>
        <v>12</v>
      </c>
      <c r="J1523" s="41">
        <f>COUNTIFS(tblCost[TargetID],tblCost[[#This Row],[TargetID]],tblCost[PlayerPaid],TRUE)</f>
        <v>0</v>
      </c>
      <c r="K1523" s="41">
        <f>tblCost[[#This Row],[TargetRequirements]]-tblCost[[#This Row],[CompletedRequirements]]</f>
        <v>12</v>
      </c>
      <c r="L1523" s="41" t="b">
        <f>tblCost[[#This Row],[RemainingRequirements]]=0</f>
        <v>0</v>
      </c>
      <c r="M1523" s="43">
        <f>IF(tblCost[[#This Row],[TargetRequirements]]=0,0,tblCost[[#This Row],[CompletedRequirements]]/tblCost[[#This Row],[TargetRequirements]])</f>
        <v>0</v>
      </c>
    </row>
    <row r="1524" spans="1:13">
      <c r="A1524" s="41" t="s">
        <v>5161</v>
      </c>
      <c r="B1524" s="41" t="str">
        <f>_xlfn.TEXTAFTER(_xlfn.TEXTBEFORE(tblCost[[#This Row],[RequirementID]],".",-2),"cost.")</f>
        <v>collection.kitchen_and_buttery_1@4</v>
      </c>
      <c r="C1524" s="41" t="str">
        <f>_xlfn.XLOOKUP(tblCost[[#This Row],[TargetID]],tblTargets[TargetID],tblTargets[DisplayName],"")</f>
        <v>Kitchen And Buttery 1 Lv 4</v>
      </c>
      <c r="D1524" s="41" t="str">
        <f>_xlfn.XLOOKUP(tblCost[[#This Row],[TargetID]],tblTargets[TargetID],tblTargets[TargetType],"")</f>
        <v>COLLECTION</v>
      </c>
      <c r="E1524" s="41" t="s">
        <v>701</v>
      </c>
      <c r="F1524" s="62" t="str">
        <f>RIGHT(tblCost[[#This Row],[RequirementID]],1)</f>
        <v>4</v>
      </c>
      <c r="G1524" s="41">
        <v>200</v>
      </c>
      <c r="H1524" t="b">
        <f>COUNTIFS(tblCostChecklist[RequirementID],tblCost[[#This Row],[RequirementID]],tblCostChecklist[PlayerPaid],TRUE)&gt;0</f>
        <v>0</v>
      </c>
      <c r="I1524" s="41">
        <f>COUNTIF(tblCost[TargetID],tblCost[[#This Row],[TargetID]])</f>
        <v>12</v>
      </c>
      <c r="J1524" s="41">
        <f>COUNTIFS(tblCost[TargetID],tblCost[[#This Row],[TargetID]],tblCost[PlayerPaid],TRUE)</f>
        <v>0</v>
      </c>
      <c r="K1524" s="41">
        <f>tblCost[[#This Row],[TargetRequirements]]-tblCost[[#This Row],[CompletedRequirements]]</f>
        <v>12</v>
      </c>
      <c r="L1524" s="41" t="b">
        <f>tblCost[[#This Row],[RemainingRequirements]]=0</f>
        <v>0</v>
      </c>
      <c r="M1524" s="43">
        <f>IF(tblCost[[#This Row],[TargetRequirements]]=0,0,tblCost[[#This Row],[CompletedRequirements]]/tblCost[[#This Row],[TargetRequirements]])</f>
        <v>0</v>
      </c>
    </row>
    <row r="1525" spans="1:13">
      <c r="A1525" s="41" t="s">
        <v>5162</v>
      </c>
      <c r="B1525" s="41" t="str">
        <f>_xlfn.TEXTAFTER(_xlfn.TEXTBEFORE(tblCost[[#This Row],[RequirementID]],".",-2),"cost.")</f>
        <v>collection.kitchen_and_buttery_1@4</v>
      </c>
      <c r="C1525" s="41" t="str">
        <f>_xlfn.XLOOKUP(tblCost[[#This Row],[TargetID]],tblTargets[TargetID],tblTargets[DisplayName],"")</f>
        <v>Kitchen And Buttery 1 Lv 4</v>
      </c>
      <c r="D1525" s="41" t="str">
        <f>_xlfn.XLOOKUP(tblCost[[#This Row],[TargetID]],tblTargets[TargetID],tblTargets[TargetType],"")</f>
        <v>COLLECTION</v>
      </c>
      <c r="E1525" s="41" t="s">
        <v>701</v>
      </c>
      <c r="F1525" s="62" t="str">
        <f>RIGHT(tblCost[[#This Row],[RequirementID]],1)</f>
        <v>5</v>
      </c>
      <c r="G1525" s="41">
        <v>200</v>
      </c>
      <c r="H1525" t="b">
        <f>COUNTIFS(tblCostChecklist[RequirementID],tblCost[[#This Row],[RequirementID]],tblCostChecklist[PlayerPaid],TRUE)&gt;0</f>
        <v>0</v>
      </c>
      <c r="I1525" s="41">
        <f>COUNTIF(tblCost[TargetID],tblCost[[#This Row],[TargetID]])</f>
        <v>12</v>
      </c>
      <c r="J1525" s="41">
        <f>COUNTIFS(tblCost[TargetID],tblCost[[#This Row],[TargetID]],tblCost[PlayerPaid],TRUE)</f>
        <v>0</v>
      </c>
      <c r="K1525" s="41">
        <f>tblCost[[#This Row],[TargetRequirements]]-tblCost[[#This Row],[CompletedRequirements]]</f>
        <v>12</v>
      </c>
      <c r="L1525" s="41" t="b">
        <f>tblCost[[#This Row],[RemainingRequirements]]=0</f>
        <v>0</v>
      </c>
      <c r="M1525" s="43">
        <f>IF(tblCost[[#This Row],[TargetRequirements]]=0,0,tblCost[[#This Row],[CompletedRequirements]]/tblCost[[#This Row],[TargetRequirements]])</f>
        <v>0</v>
      </c>
    </row>
    <row r="1526" spans="1:13">
      <c r="A1526" s="41" t="s">
        <v>5163</v>
      </c>
      <c r="B1526" s="41" t="str">
        <f>_xlfn.TEXTAFTER(_xlfn.TEXTBEFORE(tblCost[[#This Row],[RequirementID]],".",-2),"cost.")</f>
        <v>collection.kitchen_and_buttery_1@4</v>
      </c>
      <c r="C1526" s="41" t="str">
        <f>_xlfn.XLOOKUP(tblCost[[#This Row],[TargetID]],tblTargets[TargetID],tblTargets[DisplayName],"")</f>
        <v>Kitchen And Buttery 1 Lv 4</v>
      </c>
      <c r="D1526" s="41" t="str">
        <f>_xlfn.XLOOKUP(tblCost[[#This Row],[TargetID]],tblTargets[TargetID],tblTargets[TargetType],"")</f>
        <v>COLLECTION</v>
      </c>
      <c r="E1526" s="41" t="s">
        <v>701</v>
      </c>
      <c r="F1526" s="62" t="str">
        <f>RIGHT(tblCost[[#This Row],[RequirementID]],1)</f>
        <v>6</v>
      </c>
      <c r="G1526" s="41">
        <v>200</v>
      </c>
      <c r="H1526" t="b">
        <f>COUNTIFS(tblCostChecklist[RequirementID],tblCost[[#This Row],[RequirementID]],tblCostChecklist[PlayerPaid],TRUE)&gt;0</f>
        <v>0</v>
      </c>
      <c r="I1526" s="41">
        <f>COUNTIF(tblCost[TargetID],tblCost[[#This Row],[TargetID]])</f>
        <v>12</v>
      </c>
      <c r="J1526" s="41">
        <f>COUNTIFS(tblCost[TargetID],tblCost[[#This Row],[TargetID]],tblCost[PlayerPaid],TRUE)</f>
        <v>0</v>
      </c>
      <c r="K1526" s="41">
        <f>tblCost[[#This Row],[TargetRequirements]]-tblCost[[#This Row],[CompletedRequirements]]</f>
        <v>12</v>
      </c>
      <c r="L1526" s="41" t="b">
        <f>tblCost[[#This Row],[RemainingRequirements]]=0</f>
        <v>0</v>
      </c>
      <c r="M1526" s="43">
        <f>IF(tblCost[[#This Row],[TargetRequirements]]=0,0,tblCost[[#This Row],[CompletedRequirements]]/tblCost[[#This Row],[TargetRequirements]])</f>
        <v>0</v>
      </c>
    </row>
    <row r="1527" spans="1:13">
      <c r="A1527" s="41" t="s">
        <v>5164</v>
      </c>
      <c r="B1527" s="41" t="str">
        <f>_xlfn.TEXTAFTER(_xlfn.TEXTBEFORE(tblCost[[#This Row],[RequirementID]],".",-2),"cost.")</f>
        <v>collection.kitchen_and_buttery_1@4</v>
      </c>
      <c r="C1527" s="41" t="str">
        <f>_xlfn.XLOOKUP(tblCost[[#This Row],[TargetID]],tblTargets[TargetID],tblTargets[DisplayName],"")</f>
        <v>Kitchen And Buttery 1 Lv 4</v>
      </c>
      <c r="D1527" s="41" t="str">
        <f>_xlfn.XLOOKUP(tblCost[[#This Row],[TargetID]],tblTargets[TargetID],tblTargets[TargetType],"")</f>
        <v>COLLECTION</v>
      </c>
      <c r="E1527" s="41" t="s">
        <v>701</v>
      </c>
      <c r="F1527" s="62" t="str">
        <f>RIGHT(tblCost[[#This Row],[RequirementID]],1)</f>
        <v>7</v>
      </c>
      <c r="G1527" s="41">
        <v>200</v>
      </c>
      <c r="H1527" t="b">
        <f>COUNTIFS(tblCostChecklist[RequirementID],tblCost[[#This Row],[RequirementID]],tblCostChecklist[PlayerPaid],TRUE)&gt;0</f>
        <v>0</v>
      </c>
      <c r="I1527" s="41">
        <f>COUNTIF(tblCost[TargetID],tblCost[[#This Row],[TargetID]])</f>
        <v>12</v>
      </c>
      <c r="J1527" s="41">
        <f>COUNTIFS(tblCost[TargetID],tblCost[[#This Row],[TargetID]],tblCost[PlayerPaid],TRUE)</f>
        <v>0</v>
      </c>
      <c r="K1527" s="41">
        <f>tblCost[[#This Row],[TargetRequirements]]-tblCost[[#This Row],[CompletedRequirements]]</f>
        <v>12</v>
      </c>
      <c r="L1527" s="41" t="b">
        <f>tblCost[[#This Row],[RemainingRequirements]]=0</f>
        <v>0</v>
      </c>
      <c r="M1527" s="43">
        <f>IF(tblCost[[#This Row],[TargetRequirements]]=0,0,tblCost[[#This Row],[CompletedRequirements]]/tblCost[[#This Row],[TargetRequirements]])</f>
        <v>0</v>
      </c>
    </row>
    <row r="1528" spans="1:13">
      <c r="A1528" s="41" t="s">
        <v>5165</v>
      </c>
      <c r="B1528" s="41" t="str">
        <f>_xlfn.TEXTAFTER(_xlfn.TEXTBEFORE(tblCost[[#This Row],[RequirementID]],".",-2),"cost.")</f>
        <v>collection.kitchen_and_buttery_1@4</v>
      </c>
      <c r="C1528" s="41" t="str">
        <f>_xlfn.XLOOKUP(tblCost[[#This Row],[TargetID]],tblTargets[TargetID],tblTargets[DisplayName],"")</f>
        <v>Kitchen And Buttery 1 Lv 4</v>
      </c>
      <c r="D1528" s="41" t="str">
        <f>_xlfn.XLOOKUP(tblCost[[#This Row],[TargetID]],tblTargets[TargetID],tblTargets[TargetType],"")</f>
        <v>COLLECTION</v>
      </c>
      <c r="E1528" s="41" t="s">
        <v>701</v>
      </c>
      <c r="F1528" s="62" t="str">
        <f>RIGHT(tblCost[[#This Row],[RequirementID]],1)</f>
        <v>8</v>
      </c>
      <c r="G1528" s="41">
        <v>200</v>
      </c>
      <c r="H1528" t="b">
        <f>COUNTIFS(tblCostChecklist[RequirementID],tblCost[[#This Row],[RequirementID]],tblCostChecklist[PlayerPaid],TRUE)&gt;0</f>
        <v>0</v>
      </c>
      <c r="I1528" s="41">
        <f>COUNTIF(tblCost[TargetID],tblCost[[#This Row],[TargetID]])</f>
        <v>12</v>
      </c>
      <c r="J1528" s="41">
        <f>COUNTIFS(tblCost[TargetID],tblCost[[#This Row],[TargetID]],tblCost[PlayerPaid],TRUE)</f>
        <v>0</v>
      </c>
      <c r="K1528" s="41">
        <f>tblCost[[#This Row],[TargetRequirements]]-tblCost[[#This Row],[CompletedRequirements]]</f>
        <v>12</v>
      </c>
      <c r="L1528" s="41" t="b">
        <f>tblCost[[#This Row],[RemainingRequirements]]=0</f>
        <v>0</v>
      </c>
      <c r="M1528" s="43">
        <f>IF(tblCost[[#This Row],[TargetRequirements]]=0,0,tblCost[[#This Row],[CompletedRequirements]]/tblCost[[#This Row],[TargetRequirements]])</f>
        <v>0</v>
      </c>
    </row>
    <row r="1529" spans="1:13">
      <c r="A1529" s="41" t="s">
        <v>5166</v>
      </c>
      <c r="B1529" s="41" t="str">
        <f>_xlfn.TEXTAFTER(_xlfn.TEXTBEFORE(tblCost[[#This Row],[RequirementID]],".",-2),"cost.")</f>
        <v>collection.kitchen_and_buttery_1@4</v>
      </c>
      <c r="C1529" s="41" t="str">
        <f>_xlfn.XLOOKUP(tblCost[[#This Row],[TargetID]],tblTargets[TargetID],tblTargets[DisplayName],"")</f>
        <v>Kitchen And Buttery 1 Lv 4</v>
      </c>
      <c r="D1529" s="41" t="str">
        <f>_xlfn.XLOOKUP(tblCost[[#This Row],[TargetID]],tblTargets[TargetID],tblTargets[TargetType],"")</f>
        <v>COLLECTION</v>
      </c>
      <c r="E1529" s="41" t="s">
        <v>713</v>
      </c>
      <c r="F1529" s="62" t="str">
        <f>RIGHT(tblCost[[#This Row],[RequirementID]],1)</f>
        <v>1</v>
      </c>
      <c r="G1529" s="41">
        <v>60</v>
      </c>
      <c r="H1529" t="b">
        <f>COUNTIFS(tblCostChecklist[RequirementID],tblCost[[#This Row],[RequirementID]],tblCostChecklist[PlayerPaid],TRUE)&gt;0</f>
        <v>0</v>
      </c>
      <c r="I1529" s="41">
        <f>COUNTIF(tblCost[TargetID],tblCost[[#This Row],[TargetID]])</f>
        <v>12</v>
      </c>
      <c r="J1529" s="41">
        <f>COUNTIFS(tblCost[TargetID],tblCost[[#This Row],[TargetID]],tblCost[PlayerPaid],TRUE)</f>
        <v>0</v>
      </c>
      <c r="K1529" s="41">
        <f>tblCost[[#This Row],[TargetRequirements]]-tblCost[[#This Row],[CompletedRequirements]]</f>
        <v>12</v>
      </c>
      <c r="L1529" s="41" t="b">
        <f>tblCost[[#This Row],[RemainingRequirements]]=0</f>
        <v>0</v>
      </c>
      <c r="M1529" s="43">
        <f>IF(tblCost[[#This Row],[TargetRequirements]]=0,0,tblCost[[#This Row],[CompletedRequirements]]/tblCost[[#This Row],[TargetRequirements]])</f>
        <v>0</v>
      </c>
    </row>
    <row r="1530" spans="1:13">
      <c r="A1530" s="41" t="s">
        <v>5167</v>
      </c>
      <c r="B1530" s="41" t="str">
        <f>_xlfn.TEXTAFTER(_xlfn.TEXTBEFORE(tblCost[[#This Row],[RequirementID]],".",-2),"cost.")</f>
        <v>collection.kitchen_and_buttery_1@5</v>
      </c>
      <c r="C1530" s="41" t="str">
        <f>_xlfn.XLOOKUP(tblCost[[#This Row],[TargetID]],tblTargets[TargetID],tblTargets[DisplayName],"")</f>
        <v>Kitchen And Buttery 1 Lv 5</v>
      </c>
      <c r="D1530" s="41" t="str">
        <f>_xlfn.XLOOKUP(tblCost[[#This Row],[TargetID]],tblTargets[TargetID],tblTargets[TargetType],"")</f>
        <v>COLLECTION</v>
      </c>
      <c r="E1530" s="41" t="s">
        <v>938</v>
      </c>
      <c r="F1530" s="62" t="str">
        <f>RIGHT(tblCost[[#This Row],[RequirementID]],1)</f>
        <v>1</v>
      </c>
      <c r="G1530" s="41">
        <v>50</v>
      </c>
      <c r="H1530" t="b">
        <f>COUNTIFS(tblCostChecklist[RequirementID],tblCost[[#This Row],[RequirementID]],tblCostChecklist[PlayerPaid],TRUE)&gt;0</f>
        <v>0</v>
      </c>
      <c r="I1530" s="41">
        <f>COUNTIF(tblCost[TargetID],tblCost[[#This Row],[TargetID]])</f>
        <v>12</v>
      </c>
      <c r="J1530" s="41">
        <f>COUNTIFS(tblCost[TargetID],tblCost[[#This Row],[TargetID]],tblCost[PlayerPaid],TRUE)</f>
        <v>0</v>
      </c>
      <c r="K1530" s="41">
        <f>tblCost[[#This Row],[TargetRequirements]]-tblCost[[#This Row],[CompletedRequirements]]</f>
        <v>12</v>
      </c>
      <c r="L1530" s="41" t="b">
        <f>tblCost[[#This Row],[RemainingRequirements]]=0</f>
        <v>0</v>
      </c>
      <c r="M1530" s="43">
        <f>IF(tblCost[[#This Row],[TargetRequirements]]=0,0,tblCost[[#This Row],[CompletedRequirements]]/tblCost[[#This Row],[TargetRequirements]])</f>
        <v>0</v>
      </c>
    </row>
    <row r="1531" spans="1:13">
      <c r="A1531" s="41" t="s">
        <v>5168</v>
      </c>
      <c r="B1531" s="41" t="str">
        <f>_xlfn.TEXTAFTER(_xlfn.TEXTBEFORE(tblCost[[#This Row],[RequirementID]],".",-2),"cost.")</f>
        <v>collection.kitchen_and_buttery_1@5</v>
      </c>
      <c r="C1531" s="41" t="str">
        <f>_xlfn.XLOOKUP(tblCost[[#This Row],[TargetID]],tblTargets[TargetID],tblTargets[DisplayName],"")</f>
        <v>Kitchen And Buttery 1 Lv 5</v>
      </c>
      <c r="D1531" s="41" t="str">
        <f>_xlfn.XLOOKUP(tblCost[[#This Row],[TargetID]],tblTargets[TargetID],tblTargets[TargetType],"")</f>
        <v>COLLECTION</v>
      </c>
      <c r="E1531" s="41" t="s">
        <v>855</v>
      </c>
      <c r="F1531" s="62" t="str">
        <f>RIGHT(tblCost[[#This Row],[RequirementID]],1)</f>
        <v>1</v>
      </c>
      <c r="G1531" s="41">
        <v>50</v>
      </c>
      <c r="H1531" t="b">
        <f>COUNTIFS(tblCostChecklist[RequirementID],tblCost[[#This Row],[RequirementID]],tblCostChecklist[PlayerPaid],TRUE)&gt;0</f>
        <v>0</v>
      </c>
      <c r="I1531" s="41">
        <f>COUNTIF(tblCost[TargetID],tblCost[[#This Row],[TargetID]])</f>
        <v>12</v>
      </c>
      <c r="J1531" s="41">
        <f>COUNTIFS(tblCost[TargetID],tblCost[[#This Row],[TargetID]],tblCost[PlayerPaid],TRUE)</f>
        <v>0</v>
      </c>
      <c r="K1531" s="41">
        <f>tblCost[[#This Row],[TargetRequirements]]-tblCost[[#This Row],[CompletedRequirements]]</f>
        <v>12</v>
      </c>
      <c r="L1531" s="41" t="b">
        <f>tblCost[[#This Row],[RemainingRequirements]]=0</f>
        <v>0</v>
      </c>
      <c r="M1531" s="43">
        <f>IF(tblCost[[#This Row],[TargetRequirements]]=0,0,tblCost[[#This Row],[CompletedRequirements]]/tblCost[[#This Row],[TargetRequirements]])</f>
        <v>0</v>
      </c>
    </row>
    <row r="1532" spans="1:13">
      <c r="A1532" s="41" t="s">
        <v>5169</v>
      </c>
      <c r="B1532" s="41" t="str">
        <f>_xlfn.TEXTAFTER(_xlfn.TEXTBEFORE(tblCost[[#This Row],[RequirementID]],".",-2),"cost.")</f>
        <v>collection.kitchen_and_buttery_1@5</v>
      </c>
      <c r="C1532" s="41" t="str">
        <f>_xlfn.XLOOKUP(tblCost[[#This Row],[TargetID]],tblTargets[TargetID],tblTargets[DisplayName],"")</f>
        <v>Kitchen And Buttery 1 Lv 5</v>
      </c>
      <c r="D1532" s="41" t="str">
        <f>_xlfn.XLOOKUP(tblCost[[#This Row],[TargetID]],tblTargets[TargetID],tblTargets[TargetType],"")</f>
        <v>COLLECTION</v>
      </c>
      <c r="E1532" s="41" t="s">
        <v>695</v>
      </c>
      <c r="F1532" s="62" t="str">
        <f>RIGHT(tblCost[[#This Row],[RequirementID]],1)</f>
        <v>1</v>
      </c>
      <c r="G1532" s="41">
        <v>75</v>
      </c>
      <c r="H1532" t="b">
        <f>COUNTIFS(tblCostChecklist[RequirementID],tblCost[[#This Row],[RequirementID]],tblCostChecklist[PlayerPaid],TRUE)&gt;0</f>
        <v>0</v>
      </c>
      <c r="I1532" s="41">
        <f>COUNTIF(tblCost[TargetID],tblCost[[#This Row],[TargetID]])</f>
        <v>12</v>
      </c>
      <c r="J1532" s="41">
        <f>COUNTIFS(tblCost[TargetID],tblCost[[#This Row],[TargetID]],tblCost[PlayerPaid],TRUE)</f>
        <v>0</v>
      </c>
      <c r="K1532" s="41">
        <f>tblCost[[#This Row],[TargetRequirements]]-tblCost[[#This Row],[CompletedRequirements]]</f>
        <v>12</v>
      </c>
      <c r="L1532" s="41" t="b">
        <f>tblCost[[#This Row],[RemainingRequirements]]=0</f>
        <v>0</v>
      </c>
      <c r="M1532" s="43">
        <f>IF(tblCost[[#This Row],[TargetRequirements]]=0,0,tblCost[[#This Row],[CompletedRequirements]]/tblCost[[#This Row],[TargetRequirements]])</f>
        <v>0</v>
      </c>
    </row>
    <row r="1533" spans="1:13">
      <c r="A1533" s="41" t="s">
        <v>5170</v>
      </c>
      <c r="B1533" s="41" t="str">
        <f>_xlfn.TEXTAFTER(_xlfn.TEXTBEFORE(tblCost[[#This Row],[RequirementID]],".",-2),"cost.")</f>
        <v>collection.kitchen_and_buttery_1@5</v>
      </c>
      <c r="C1533" s="41" t="str">
        <f>_xlfn.XLOOKUP(tblCost[[#This Row],[TargetID]],tblTargets[TargetID],tblTargets[DisplayName],"")</f>
        <v>Kitchen And Buttery 1 Lv 5</v>
      </c>
      <c r="D1533" s="41" t="str">
        <f>_xlfn.XLOOKUP(tblCost[[#This Row],[TargetID]],tblTargets[TargetID],tblTargets[TargetType],"")</f>
        <v>COLLECTION</v>
      </c>
      <c r="E1533" s="41" t="s">
        <v>701</v>
      </c>
      <c r="F1533" s="62" t="str">
        <f>RIGHT(tblCost[[#This Row],[RequirementID]],1)</f>
        <v>1</v>
      </c>
      <c r="G1533" s="41">
        <v>250</v>
      </c>
      <c r="H1533" t="b">
        <f>COUNTIFS(tblCostChecklist[RequirementID],tblCost[[#This Row],[RequirementID]],tblCostChecklist[PlayerPaid],TRUE)&gt;0</f>
        <v>0</v>
      </c>
      <c r="I1533" s="41">
        <f>COUNTIF(tblCost[TargetID],tblCost[[#This Row],[TargetID]])</f>
        <v>12</v>
      </c>
      <c r="J1533" s="41">
        <f>COUNTIFS(tblCost[TargetID],tblCost[[#This Row],[TargetID]],tblCost[PlayerPaid],TRUE)</f>
        <v>0</v>
      </c>
      <c r="K1533" s="41">
        <f>tblCost[[#This Row],[TargetRequirements]]-tblCost[[#This Row],[CompletedRequirements]]</f>
        <v>12</v>
      </c>
      <c r="L1533" s="41" t="b">
        <f>tblCost[[#This Row],[RemainingRequirements]]=0</f>
        <v>0</v>
      </c>
      <c r="M1533" s="43">
        <f>IF(tblCost[[#This Row],[TargetRequirements]]=0,0,tblCost[[#This Row],[CompletedRequirements]]/tblCost[[#This Row],[TargetRequirements]])</f>
        <v>0</v>
      </c>
    </row>
    <row r="1534" spans="1:13">
      <c r="A1534" s="41" t="s">
        <v>5171</v>
      </c>
      <c r="B1534" s="41" t="str">
        <f>_xlfn.TEXTAFTER(_xlfn.TEXTBEFORE(tblCost[[#This Row],[RequirementID]],".",-2),"cost.")</f>
        <v>collection.kitchen_and_buttery_1@5</v>
      </c>
      <c r="C1534" s="41" t="str">
        <f>_xlfn.XLOOKUP(tblCost[[#This Row],[TargetID]],tblTargets[TargetID],tblTargets[DisplayName],"")</f>
        <v>Kitchen And Buttery 1 Lv 5</v>
      </c>
      <c r="D1534" s="41" t="str">
        <f>_xlfn.XLOOKUP(tblCost[[#This Row],[TargetID]],tblTargets[TargetID],tblTargets[TargetType],"")</f>
        <v>COLLECTION</v>
      </c>
      <c r="E1534" s="41" t="s">
        <v>701</v>
      </c>
      <c r="F1534" s="62" t="str">
        <f>RIGHT(tblCost[[#This Row],[RequirementID]],1)</f>
        <v>2</v>
      </c>
      <c r="G1534" s="41">
        <v>250</v>
      </c>
      <c r="H1534" t="b">
        <f>COUNTIFS(tblCostChecklist[RequirementID],tblCost[[#This Row],[RequirementID]],tblCostChecklist[PlayerPaid],TRUE)&gt;0</f>
        <v>0</v>
      </c>
      <c r="I1534" s="41">
        <f>COUNTIF(tblCost[TargetID],tblCost[[#This Row],[TargetID]])</f>
        <v>12</v>
      </c>
      <c r="J1534" s="41">
        <f>COUNTIFS(tblCost[TargetID],tblCost[[#This Row],[TargetID]],tblCost[PlayerPaid],TRUE)</f>
        <v>0</v>
      </c>
      <c r="K1534" s="41">
        <f>tblCost[[#This Row],[TargetRequirements]]-tblCost[[#This Row],[CompletedRequirements]]</f>
        <v>12</v>
      </c>
      <c r="L1534" s="41" t="b">
        <f>tblCost[[#This Row],[RemainingRequirements]]=0</f>
        <v>0</v>
      </c>
      <c r="M1534" s="43">
        <f>IF(tblCost[[#This Row],[TargetRequirements]]=0,0,tblCost[[#This Row],[CompletedRequirements]]/tblCost[[#This Row],[TargetRequirements]])</f>
        <v>0</v>
      </c>
    </row>
    <row r="1535" spans="1:13">
      <c r="A1535" s="41" t="s">
        <v>5172</v>
      </c>
      <c r="B1535" s="41" t="str">
        <f>_xlfn.TEXTAFTER(_xlfn.TEXTBEFORE(tblCost[[#This Row],[RequirementID]],".",-2),"cost.")</f>
        <v>collection.kitchen_and_buttery_1@5</v>
      </c>
      <c r="C1535" s="41" t="str">
        <f>_xlfn.XLOOKUP(tblCost[[#This Row],[TargetID]],tblTargets[TargetID],tblTargets[DisplayName],"")</f>
        <v>Kitchen And Buttery 1 Lv 5</v>
      </c>
      <c r="D1535" s="41" t="str">
        <f>_xlfn.XLOOKUP(tblCost[[#This Row],[TargetID]],tblTargets[TargetID],tblTargets[TargetType],"")</f>
        <v>COLLECTION</v>
      </c>
      <c r="E1535" s="41" t="s">
        <v>701</v>
      </c>
      <c r="F1535" s="62" t="str">
        <f>RIGHT(tblCost[[#This Row],[RequirementID]],1)</f>
        <v>3</v>
      </c>
      <c r="G1535" s="41">
        <v>250</v>
      </c>
      <c r="H1535" t="b">
        <f>COUNTIFS(tblCostChecklist[RequirementID],tblCost[[#This Row],[RequirementID]],tblCostChecklist[PlayerPaid],TRUE)&gt;0</f>
        <v>0</v>
      </c>
      <c r="I1535" s="41">
        <f>COUNTIF(tblCost[TargetID],tblCost[[#This Row],[TargetID]])</f>
        <v>12</v>
      </c>
      <c r="J1535" s="41">
        <f>COUNTIFS(tblCost[TargetID],tblCost[[#This Row],[TargetID]],tblCost[PlayerPaid],TRUE)</f>
        <v>0</v>
      </c>
      <c r="K1535" s="41">
        <f>tblCost[[#This Row],[TargetRequirements]]-tblCost[[#This Row],[CompletedRequirements]]</f>
        <v>12</v>
      </c>
      <c r="L1535" s="41" t="b">
        <f>tblCost[[#This Row],[RemainingRequirements]]=0</f>
        <v>0</v>
      </c>
      <c r="M1535" s="43">
        <f>IF(tblCost[[#This Row],[TargetRequirements]]=0,0,tblCost[[#This Row],[CompletedRequirements]]/tblCost[[#This Row],[TargetRequirements]])</f>
        <v>0</v>
      </c>
    </row>
    <row r="1536" spans="1:13">
      <c r="A1536" s="41" t="s">
        <v>5173</v>
      </c>
      <c r="B1536" s="41" t="str">
        <f>_xlfn.TEXTAFTER(_xlfn.TEXTBEFORE(tblCost[[#This Row],[RequirementID]],".",-2),"cost.")</f>
        <v>collection.kitchen_and_buttery_1@5</v>
      </c>
      <c r="C1536" s="41" t="str">
        <f>_xlfn.XLOOKUP(tblCost[[#This Row],[TargetID]],tblTargets[TargetID],tblTargets[DisplayName],"")</f>
        <v>Kitchen And Buttery 1 Lv 5</v>
      </c>
      <c r="D1536" s="41" t="str">
        <f>_xlfn.XLOOKUP(tblCost[[#This Row],[TargetID]],tblTargets[TargetID],tblTargets[TargetType],"")</f>
        <v>COLLECTION</v>
      </c>
      <c r="E1536" s="41" t="s">
        <v>701</v>
      </c>
      <c r="F1536" s="62" t="str">
        <f>RIGHT(tblCost[[#This Row],[RequirementID]],1)</f>
        <v>4</v>
      </c>
      <c r="G1536" s="41">
        <v>250</v>
      </c>
      <c r="H1536" t="b">
        <f>COUNTIFS(tblCostChecklist[RequirementID],tblCost[[#This Row],[RequirementID]],tblCostChecklist[PlayerPaid],TRUE)&gt;0</f>
        <v>0</v>
      </c>
      <c r="I1536" s="41">
        <f>COUNTIF(tblCost[TargetID],tblCost[[#This Row],[TargetID]])</f>
        <v>12</v>
      </c>
      <c r="J1536" s="41">
        <f>COUNTIFS(tblCost[TargetID],tblCost[[#This Row],[TargetID]],tblCost[PlayerPaid],TRUE)</f>
        <v>0</v>
      </c>
      <c r="K1536" s="41">
        <f>tblCost[[#This Row],[TargetRequirements]]-tblCost[[#This Row],[CompletedRequirements]]</f>
        <v>12</v>
      </c>
      <c r="L1536" s="41" t="b">
        <f>tblCost[[#This Row],[RemainingRequirements]]=0</f>
        <v>0</v>
      </c>
      <c r="M1536" s="43">
        <f>IF(tblCost[[#This Row],[TargetRequirements]]=0,0,tblCost[[#This Row],[CompletedRequirements]]/tblCost[[#This Row],[TargetRequirements]])</f>
        <v>0</v>
      </c>
    </row>
    <row r="1537" spans="1:13">
      <c r="A1537" s="41" t="s">
        <v>5174</v>
      </c>
      <c r="B1537" s="41" t="str">
        <f>_xlfn.TEXTAFTER(_xlfn.TEXTBEFORE(tblCost[[#This Row],[RequirementID]],".",-2),"cost.")</f>
        <v>collection.kitchen_and_buttery_1@5</v>
      </c>
      <c r="C1537" s="41" t="str">
        <f>_xlfn.XLOOKUP(tblCost[[#This Row],[TargetID]],tblTargets[TargetID],tblTargets[DisplayName],"")</f>
        <v>Kitchen And Buttery 1 Lv 5</v>
      </c>
      <c r="D1537" s="41" t="str">
        <f>_xlfn.XLOOKUP(tblCost[[#This Row],[TargetID]],tblTargets[TargetID],tblTargets[TargetType],"")</f>
        <v>COLLECTION</v>
      </c>
      <c r="E1537" s="41" t="s">
        <v>701</v>
      </c>
      <c r="F1537" s="62" t="str">
        <f>RIGHT(tblCost[[#This Row],[RequirementID]],1)</f>
        <v>5</v>
      </c>
      <c r="G1537" s="41">
        <v>250</v>
      </c>
      <c r="H1537" t="b">
        <f>COUNTIFS(tblCostChecklist[RequirementID],tblCost[[#This Row],[RequirementID]],tblCostChecklist[PlayerPaid],TRUE)&gt;0</f>
        <v>0</v>
      </c>
      <c r="I1537" s="41">
        <f>COUNTIF(tblCost[TargetID],tblCost[[#This Row],[TargetID]])</f>
        <v>12</v>
      </c>
      <c r="J1537" s="41">
        <f>COUNTIFS(tblCost[TargetID],tblCost[[#This Row],[TargetID]],tblCost[PlayerPaid],TRUE)</f>
        <v>0</v>
      </c>
      <c r="K1537" s="41">
        <f>tblCost[[#This Row],[TargetRequirements]]-tblCost[[#This Row],[CompletedRequirements]]</f>
        <v>12</v>
      </c>
      <c r="L1537" s="41" t="b">
        <f>tblCost[[#This Row],[RemainingRequirements]]=0</f>
        <v>0</v>
      </c>
      <c r="M1537" s="43">
        <f>IF(tblCost[[#This Row],[TargetRequirements]]=0,0,tblCost[[#This Row],[CompletedRequirements]]/tblCost[[#This Row],[TargetRequirements]])</f>
        <v>0</v>
      </c>
    </row>
    <row r="1538" spans="1:13">
      <c r="A1538" s="41" t="s">
        <v>5175</v>
      </c>
      <c r="B1538" s="41" t="str">
        <f>_xlfn.TEXTAFTER(_xlfn.TEXTBEFORE(tblCost[[#This Row],[RequirementID]],".",-2),"cost.")</f>
        <v>collection.kitchen_and_buttery_1@5</v>
      </c>
      <c r="C1538" s="41" t="str">
        <f>_xlfn.XLOOKUP(tblCost[[#This Row],[TargetID]],tblTargets[TargetID],tblTargets[DisplayName],"")</f>
        <v>Kitchen And Buttery 1 Lv 5</v>
      </c>
      <c r="D1538" s="41" t="str">
        <f>_xlfn.XLOOKUP(tblCost[[#This Row],[TargetID]],tblTargets[TargetID],tblTargets[TargetType],"")</f>
        <v>COLLECTION</v>
      </c>
      <c r="E1538" s="41" t="s">
        <v>701</v>
      </c>
      <c r="F1538" s="62" t="str">
        <f>RIGHT(tblCost[[#This Row],[RequirementID]],1)</f>
        <v>6</v>
      </c>
      <c r="G1538" s="41">
        <v>250</v>
      </c>
      <c r="H1538" t="b">
        <f>COUNTIFS(tblCostChecklist[RequirementID],tblCost[[#This Row],[RequirementID]],tblCostChecklist[PlayerPaid],TRUE)&gt;0</f>
        <v>0</v>
      </c>
      <c r="I1538" s="41">
        <f>COUNTIF(tblCost[TargetID],tblCost[[#This Row],[TargetID]])</f>
        <v>12</v>
      </c>
      <c r="J1538" s="41">
        <f>COUNTIFS(tblCost[TargetID],tblCost[[#This Row],[TargetID]],tblCost[PlayerPaid],TRUE)</f>
        <v>0</v>
      </c>
      <c r="K1538" s="41">
        <f>tblCost[[#This Row],[TargetRequirements]]-tblCost[[#This Row],[CompletedRequirements]]</f>
        <v>12</v>
      </c>
      <c r="L1538" s="41" t="b">
        <f>tblCost[[#This Row],[RemainingRequirements]]=0</f>
        <v>0</v>
      </c>
      <c r="M1538" s="43">
        <f>IF(tblCost[[#This Row],[TargetRequirements]]=0,0,tblCost[[#This Row],[CompletedRequirements]]/tblCost[[#This Row],[TargetRequirements]])</f>
        <v>0</v>
      </c>
    </row>
    <row r="1539" spans="1:13">
      <c r="A1539" s="41" t="s">
        <v>5176</v>
      </c>
      <c r="B1539" s="41" t="str">
        <f>_xlfn.TEXTAFTER(_xlfn.TEXTBEFORE(tblCost[[#This Row],[RequirementID]],".",-2),"cost.")</f>
        <v>collection.kitchen_and_buttery_1@5</v>
      </c>
      <c r="C1539" s="41" t="str">
        <f>_xlfn.XLOOKUP(tblCost[[#This Row],[TargetID]],tblTargets[TargetID],tblTargets[DisplayName],"")</f>
        <v>Kitchen And Buttery 1 Lv 5</v>
      </c>
      <c r="D1539" s="41" t="str">
        <f>_xlfn.XLOOKUP(tblCost[[#This Row],[TargetID]],tblTargets[TargetID],tblTargets[TargetType],"")</f>
        <v>COLLECTION</v>
      </c>
      <c r="E1539" s="41" t="s">
        <v>701</v>
      </c>
      <c r="F1539" s="62" t="str">
        <f>RIGHT(tblCost[[#This Row],[RequirementID]],1)</f>
        <v>7</v>
      </c>
      <c r="G1539" s="41">
        <v>250</v>
      </c>
      <c r="H1539" t="b">
        <f>COUNTIFS(tblCostChecklist[RequirementID],tblCost[[#This Row],[RequirementID]],tblCostChecklist[PlayerPaid],TRUE)&gt;0</f>
        <v>0</v>
      </c>
      <c r="I1539" s="41">
        <f>COUNTIF(tblCost[TargetID],tblCost[[#This Row],[TargetID]])</f>
        <v>12</v>
      </c>
      <c r="J1539" s="41">
        <f>COUNTIFS(tblCost[TargetID],tblCost[[#This Row],[TargetID]],tblCost[PlayerPaid],TRUE)</f>
        <v>0</v>
      </c>
      <c r="K1539" s="41">
        <f>tblCost[[#This Row],[TargetRequirements]]-tblCost[[#This Row],[CompletedRequirements]]</f>
        <v>12</v>
      </c>
      <c r="L1539" s="41" t="b">
        <f>tblCost[[#This Row],[RemainingRequirements]]=0</f>
        <v>0</v>
      </c>
      <c r="M1539" s="43">
        <f>IF(tblCost[[#This Row],[TargetRequirements]]=0,0,tblCost[[#This Row],[CompletedRequirements]]/tblCost[[#This Row],[TargetRequirements]])</f>
        <v>0</v>
      </c>
    </row>
    <row r="1540" spans="1:13">
      <c r="A1540" s="41" t="s">
        <v>5177</v>
      </c>
      <c r="B1540" s="41" t="str">
        <f>_xlfn.TEXTAFTER(_xlfn.TEXTBEFORE(tblCost[[#This Row],[RequirementID]],".",-2),"cost.")</f>
        <v>collection.kitchen_and_buttery_1@5</v>
      </c>
      <c r="C1540" s="41" t="str">
        <f>_xlfn.XLOOKUP(tblCost[[#This Row],[TargetID]],tblTargets[TargetID],tblTargets[DisplayName],"")</f>
        <v>Kitchen And Buttery 1 Lv 5</v>
      </c>
      <c r="D1540" s="41" t="str">
        <f>_xlfn.XLOOKUP(tblCost[[#This Row],[TargetID]],tblTargets[TargetID],tblTargets[TargetType],"")</f>
        <v>COLLECTION</v>
      </c>
      <c r="E1540" s="41" t="s">
        <v>701</v>
      </c>
      <c r="F1540" s="62" t="str">
        <f>RIGHT(tblCost[[#This Row],[RequirementID]],1)</f>
        <v>8</v>
      </c>
      <c r="G1540" s="41">
        <v>250</v>
      </c>
      <c r="H1540" t="b">
        <f>COUNTIFS(tblCostChecklist[RequirementID],tblCost[[#This Row],[RequirementID]],tblCostChecklist[PlayerPaid],TRUE)&gt;0</f>
        <v>0</v>
      </c>
      <c r="I1540" s="41">
        <f>COUNTIF(tblCost[TargetID],tblCost[[#This Row],[TargetID]])</f>
        <v>12</v>
      </c>
      <c r="J1540" s="41">
        <f>COUNTIFS(tblCost[TargetID],tblCost[[#This Row],[TargetID]],tblCost[PlayerPaid],TRUE)</f>
        <v>0</v>
      </c>
      <c r="K1540" s="41">
        <f>tblCost[[#This Row],[TargetRequirements]]-tblCost[[#This Row],[CompletedRequirements]]</f>
        <v>12</v>
      </c>
      <c r="L1540" s="41" t="b">
        <f>tblCost[[#This Row],[RemainingRequirements]]=0</f>
        <v>0</v>
      </c>
      <c r="M1540" s="43">
        <f>IF(tblCost[[#This Row],[TargetRequirements]]=0,0,tblCost[[#This Row],[CompletedRequirements]]/tblCost[[#This Row],[TargetRequirements]])</f>
        <v>0</v>
      </c>
    </row>
    <row r="1541" spans="1:13">
      <c r="A1541" s="41" t="s">
        <v>5178</v>
      </c>
      <c r="B1541" s="41" t="str">
        <f>_xlfn.TEXTAFTER(_xlfn.TEXTBEFORE(tblCost[[#This Row],[RequirementID]],".",-2),"cost.")</f>
        <v>collection.kitchen_and_buttery_1@5</v>
      </c>
      <c r="C1541" s="41" t="str">
        <f>_xlfn.XLOOKUP(tblCost[[#This Row],[TargetID]],tblTargets[TargetID],tblTargets[DisplayName],"")</f>
        <v>Kitchen And Buttery 1 Lv 5</v>
      </c>
      <c r="D1541" s="41" t="str">
        <f>_xlfn.XLOOKUP(tblCost[[#This Row],[TargetID]],tblTargets[TargetID],tblTargets[TargetType],"")</f>
        <v>COLLECTION</v>
      </c>
      <c r="E1541" s="41" t="s">
        <v>713</v>
      </c>
      <c r="F1541" s="62" t="str">
        <f>RIGHT(tblCost[[#This Row],[RequirementID]],1)</f>
        <v>1</v>
      </c>
      <c r="G1541" s="41">
        <v>75</v>
      </c>
      <c r="H1541" t="b">
        <f>COUNTIFS(tblCostChecklist[RequirementID],tblCost[[#This Row],[RequirementID]],tblCostChecklist[PlayerPaid],TRUE)&gt;0</f>
        <v>0</v>
      </c>
      <c r="I1541" s="41">
        <f>COUNTIF(tblCost[TargetID],tblCost[[#This Row],[TargetID]])</f>
        <v>12</v>
      </c>
      <c r="J1541" s="41">
        <f>COUNTIFS(tblCost[TargetID],tblCost[[#This Row],[TargetID]],tblCost[PlayerPaid],TRUE)</f>
        <v>0</v>
      </c>
      <c r="K1541" s="41">
        <f>tblCost[[#This Row],[TargetRequirements]]-tblCost[[#This Row],[CompletedRequirements]]</f>
        <v>12</v>
      </c>
      <c r="L1541" s="41" t="b">
        <f>tblCost[[#This Row],[RemainingRequirements]]=0</f>
        <v>0</v>
      </c>
      <c r="M1541" s="43">
        <f>IF(tblCost[[#This Row],[TargetRequirements]]=0,0,tblCost[[#This Row],[CompletedRequirements]]/tblCost[[#This Row],[TargetRequirements]])</f>
        <v>0</v>
      </c>
    </row>
    <row r="1542" spans="1:13">
      <c r="A1542" s="41" t="s">
        <v>5179</v>
      </c>
      <c r="B1542" s="41" t="str">
        <f>_xlfn.TEXTAFTER(_xlfn.TEXTBEFORE(tblCost[[#This Row],[RequirementID]],".",-2),"cost.")</f>
        <v>collection.kitchen_and_buttery_2@1</v>
      </c>
      <c r="C1542" s="41" t="str">
        <f>_xlfn.XLOOKUP(tblCost[[#This Row],[TargetID]],tblTargets[TargetID],tblTargets[DisplayName],"")</f>
        <v>Kitchen And Buttery 2 Lv 1</v>
      </c>
      <c r="D1542" s="41" t="str">
        <f>_xlfn.XLOOKUP(tblCost[[#This Row],[TargetID]],tblTargets[TargetID],tblTargets[TargetType],"")</f>
        <v>COLLECTION</v>
      </c>
      <c r="E1542" s="41" t="s">
        <v>663</v>
      </c>
      <c r="F1542" s="62" t="str">
        <f>RIGHT(tblCost[[#This Row],[RequirementID]],1)</f>
        <v>1</v>
      </c>
      <c r="G1542" s="41">
        <v>100</v>
      </c>
      <c r="H1542" t="b">
        <f>COUNTIFS(tblCostChecklist[RequirementID],tblCost[[#This Row],[RequirementID]],tblCostChecklist[PlayerPaid],TRUE)&gt;0</f>
        <v>0</v>
      </c>
      <c r="I1542" s="41">
        <f>COUNTIF(tblCost[TargetID],tblCost[[#This Row],[TargetID]])</f>
        <v>5</v>
      </c>
      <c r="J1542" s="41">
        <f>COUNTIFS(tblCost[TargetID],tblCost[[#This Row],[TargetID]],tblCost[PlayerPaid],TRUE)</f>
        <v>0</v>
      </c>
      <c r="K1542" s="41">
        <f>tblCost[[#This Row],[TargetRequirements]]-tblCost[[#This Row],[CompletedRequirements]]</f>
        <v>5</v>
      </c>
      <c r="L1542" s="41" t="b">
        <f>tblCost[[#This Row],[RemainingRequirements]]=0</f>
        <v>0</v>
      </c>
      <c r="M1542" s="43">
        <f>IF(tblCost[[#This Row],[TargetRequirements]]=0,0,tblCost[[#This Row],[CompletedRequirements]]/tblCost[[#This Row],[TargetRequirements]])</f>
        <v>0</v>
      </c>
    </row>
    <row r="1543" spans="1:13">
      <c r="A1543" s="41" t="s">
        <v>5180</v>
      </c>
      <c r="B1543" s="41" t="str">
        <f>_xlfn.TEXTAFTER(_xlfn.TEXTBEFORE(tblCost[[#This Row],[RequirementID]],".",-2),"cost.")</f>
        <v>collection.kitchen_and_buttery_2@1</v>
      </c>
      <c r="C1543" s="41" t="str">
        <f>_xlfn.XLOOKUP(tblCost[[#This Row],[TargetID]],tblTargets[TargetID],tblTargets[DisplayName],"")</f>
        <v>Kitchen And Buttery 2 Lv 1</v>
      </c>
      <c r="D1543" s="41" t="str">
        <f>_xlfn.XLOOKUP(tblCost[[#This Row],[TargetID]],tblTargets[TargetID],tblTargets[TargetType],"")</f>
        <v>COLLECTION</v>
      </c>
      <c r="E1543" s="41" t="s">
        <v>695</v>
      </c>
      <c r="F1543" s="62" t="str">
        <f>RIGHT(tblCost[[#This Row],[RequirementID]],1)</f>
        <v>1</v>
      </c>
      <c r="G1543" s="41">
        <v>20</v>
      </c>
      <c r="H1543" t="b">
        <f>COUNTIFS(tblCostChecklist[RequirementID],tblCost[[#This Row],[RequirementID]],tblCostChecklist[PlayerPaid],TRUE)&gt;0</f>
        <v>0</v>
      </c>
      <c r="I1543" s="41">
        <f>COUNTIF(tblCost[TargetID],tblCost[[#This Row],[TargetID]])</f>
        <v>5</v>
      </c>
      <c r="J1543" s="41">
        <f>COUNTIFS(tblCost[TargetID],tblCost[[#This Row],[TargetID]],tblCost[PlayerPaid],TRUE)</f>
        <v>0</v>
      </c>
      <c r="K1543" s="41">
        <f>tblCost[[#This Row],[TargetRequirements]]-tblCost[[#This Row],[CompletedRequirements]]</f>
        <v>5</v>
      </c>
      <c r="L1543" s="41" t="b">
        <f>tblCost[[#This Row],[RemainingRequirements]]=0</f>
        <v>0</v>
      </c>
      <c r="M1543" s="43">
        <f>IF(tblCost[[#This Row],[TargetRequirements]]=0,0,tblCost[[#This Row],[CompletedRequirements]]/tblCost[[#This Row],[TargetRequirements]])</f>
        <v>0</v>
      </c>
    </row>
    <row r="1544" spans="1:13">
      <c r="A1544" s="41" t="s">
        <v>5181</v>
      </c>
      <c r="B1544" s="41" t="str">
        <f>_xlfn.TEXTAFTER(_xlfn.TEXTBEFORE(tblCost[[#This Row],[RequirementID]],".",-2),"cost.")</f>
        <v>collection.kitchen_and_buttery_2@1</v>
      </c>
      <c r="C1544" s="41" t="str">
        <f>_xlfn.XLOOKUP(tblCost[[#This Row],[TargetID]],tblTargets[TargetID],tblTargets[DisplayName],"")</f>
        <v>Kitchen And Buttery 2 Lv 1</v>
      </c>
      <c r="D1544" s="41" t="str">
        <f>_xlfn.XLOOKUP(tblCost[[#This Row],[TargetID]],tblTargets[TargetID],tblTargets[TargetType],"")</f>
        <v>COLLECTION</v>
      </c>
      <c r="E1544" s="41" t="s">
        <v>701</v>
      </c>
      <c r="F1544" s="62" t="str">
        <f>RIGHT(tblCost[[#This Row],[RequirementID]],1)</f>
        <v>1</v>
      </c>
      <c r="G1544" s="41">
        <v>100</v>
      </c>
      <c r="H1544" t="b">
        <f>COUNTIFS(tblCostChecklist[RequirementID],tblCost[[#This Row],[RequirementID]],tblCostChecklist[PlayerPaid],TRUE)&gt;0</f>
        <v>0</v>
      </c>
      <c r="I1544" s="41">
        <f>COUNTIF(tblCost[TargetID],tblCost[[#This Row],[TargetID]])</f>
        <v>5</v>
      </c>
      <c r="J1544" s="41">
        <f>COUNTIFS(tblCost[TargetID],tblCost[[#This Row],[TargetID]],tblCost[PlayerPaid],TRUE)</f>
        <v>0</v>
      </c>
      <c r="K1544" s="41">
        <f>tblCost[[#This Row],[TargetRequirements]]-tblCost[[#This Row],[CompletedRequirements]]</f>
        <v>5</v>
      </c>
      <c r="L1544" s="41" t="b">
        <f>tblCost[[#This Row],[RemainingRequirements]]=0</f>
        <v>0</v>
      </c>
      <c r="M1544" s="43">
        <f>IF(tblCost[[#This Row],[TargetRequirements]]=0,0,tblCost[[#This Row],[CompletedRequirements]]/tblCost[[#This Row],[TargetRequirements]])</f>
        <v>0</v>
      </c>
    </row>
    <row r="1545" spans="1:13">
      <c r="A1545" s="41" t="s">
        <v>5182</v>
      </c>
      <c r="B1545" s="41" t="str">
        <f>_xlfn.TEXTAFTER(_xlfn.TEXTBEFORE(tblCost[[#This Row],[RequirementID]],".",-2),"cost.")</f>
        <v>collection.kitchen_and_buttery_2@1</v>
      </c>
      <c r="C1545" s="41" t="str">
        <f>_xlfn.XLOOKUP(tblCost[[#This Row],[TargetID]],tblTargets[TargetID],tblTargets[DisplayName],"")</f>
        <v>Kitchen And Buttery 2 Lv 1</v>
      </c>
      <c r="D1545" s="41" t="str">
        <f>_xlfn.XLOOKUP(tblCost[[#This Row],[TargetID]],tblTargets[TargetID],tblTargets[TargetType],"")</f>
        <v>COLLECTION</v>
      </c>
      <c r="E1545" s="41" t="s">
        <v>701</v>
      </c>
      <c r="F1545" s="62" t="str">
        <f>RIGHT(tblCost[[#This Row],[RequirementID]],1)</f>
        <v>2</v>
      </c>
      <c r="G1545" s="41">
        <v>100</v>
      </c>
      <c r="H1545" t="b">
        <f>COUNTIFS(tblCostChecklist[RequirementID],tblCost[[#This Row],[RequirementID]],tblCostChecklist[PlayerPaid],TRUE)&gt;0</f>
        <v>0</v>
      </c>
      <c r="I1545" s="41">
        <f>COUNTIF(tblCost[TargetID],tblCost[[#This Row],[TargetID]])</f>
        <v>5</v>
      </c>
      <c r="J1545" s="41">
        <f>COUNTIFS(tblCost[TargetID],tblCost[[#This Row],[TargetID]],tblCost[PlayerPaid],TRUE)</f>
        <v>0</v>
      </c>
      <c r="K1545" s="41">
        <f>tblCost[[#This Row],[TargetRequirements]]-tblCost[[#This Row],[CompletedRequirements]]</f>
        <v>5</v>
      </c>
      <c r="L1545" s="41" t="b">
        <f>tblCost[[#This Row],[RemainingRequirements]]=0</f>
        <v>0</v>
      </c>
      <c r="M1545" s="43">
        <f>IF(tblCost[[#This Row],[TargetRequirements]]=0,0,tblCost[[#This Row],[CompletedRequirements]]/tblCost[[#This Row],[TargetRequirements]])</f>
        <v>0</v>
      </c>
    </row>
    <row r="1546" spans="1:13">
      <c r="A1546" s="41" t="s">
        <v>5183</v>
      </c>
      <c r="B1546" s="41" t="str">
        <f>_xlfn.TEXTAFTER(_xlfn.TEXTBEFORE(tblCost[[#This Row],[RequirementID]],".",-2),"cost.")</f>
        <v>collection.kitchen_and_buttery_2@1</v>
      </c>
      <c r="C1546" s="41" t="str">
        <f>_xlfn.XLOOKUP(tblCost[[#This Row],[TargetID]],tblTargets[TargetID],tblTargets[DisplayName],"")</f>
        <v>Kitchen And Buttery 2 Lv 1</v>
      </c>
      <c r="D1546" s="41" t="str">
        <f>_xlfn.XLOOKUP(tblCost[[#This Row],[TargetID]],tblTargets[TargetID],tblTargets[TargetType],"")</f>
        <v>COLLECTION</v>
      </c>
      <c r="E1546" s="41" t="s">
        <v>701</v>
      </c>
      <c r="F1546" s="62" t="str">
        <f>RIGHT(tblCost[[#This Row],[RequirementID]],1)</f>
        <v>3</v>
      </c>
      <c r="G1546" s="41">
        <v>200</v>
      </c>
      <c r="H1546" t="b">
        <f>COUNTIFS(tblCostChecklist[RequirementID],tblCost[[#This Row],[RequirementID]],tblCostChecklist[PlayerPaid],TRUE)&gt;0</f>
        <v>0</v>
      </c>
      <c r="I1546" s="41">
        <f>COUNTIF(tblCost[TargetID],tblCost[[#This Row],[TargetID]])</f>
        <v>5</v>
      </c>
      <c r="J1546" s="41">
        <f>COUNTIFS(tblCost[TargetID],tblCost[[#This Row],[TargetID]],tblCost[PlayerPaid],TRUE)</f>
        <v>0</v>
      </c>
      <c r="K1546" s="41">
        <f>tblCost[[#This Row],[TargetRequirements]]-tblCost[[#This Row],[CompletedRequirements]]</f>
        <v>5</v>
      </c>
      <c r="L1546" s="41" t="b">
        <f>tblCost[[#This Row],[RemainingRequirements]]=0</f>
        <v>0</v>
      </c>
      <c r="M1546" s="43">
        <f>IF(tblCost[[#This Row],[TargetRequirements]]=0,0,tblCost[[#This Row],[CompletedRequirements]]/tblCost[[#This Row],[TargetRequirements]])</f>
        <v>0</v>
      </c>
    </row>
    <row r="1547" spans="1:13">
      <c r="A1547" s="41" t="s">
        <v>5184</v>
      </c>
      <c r="B1547" s="41" t="str">
        <f>_xlfn.TEXTAFTER(_xlfn.TEXTBEFORE(tblCost[[#This Row],[RequirementID]],".",-2),"cost.")</f>
        <v>collection.mushroom_farm@1</v>
      </c>
      <c r="C1547" s="41" t="str">
        <f>_xlfn.XLOOKUP(tblCost[[#This Row],[TargetID]],tblTargets[TargetID],tblTargets[DisplayName],"")</f>
        <v>Mushroom Farm Lv 1</v>
      </c>
      <c r="D1547" s="41" t="str">
        <f>_xlfn.XLOOKUP(tblCost[[#This Row],[TargetID]],tblTargets[TargetID],tblTargets[TargetType],"")</f>
        <v>COLLECTION</v>
      </c>
      <c r="E1547" s="41" t="s">
        <v>1815</v>
      </c>
      <c r="F1547" s="62" t="str">
        <f>RIGHT(tblCost[[#This Row],[RequirementID]],1)</f>
        <v>1</v>
      </c>
      <c r="G1547" s="41">
        <v>10</v>
      </c>
      <c r="H1547" t="b">
        <f>COUNTIFS(tblCostChecklist[RequirementID],tblCost[[#This Row],[RequirementID]],tblCostChecklist[PlayerPaid],TRUE)&gt;0</f>
        <v>0</v>
      </c>
      <c r="I1547" s="41">
        <f>COUNTIF(tblCost[TargetID],tblCost[[#This Row],[TargetID]])</f>
        <v>6</v>
      </c>
      <c r="J1547" s="41">
        <f>COUNTIFS(tblCost[TargetID],tblCost[[#This Row],[TargetID]],tblCost[PlayerPaid],TRUE)</f>
        <v>0</v>
      </c>
      <c r="K1547" s="41">
        <f>tblCost[[#This Row],[TargetRequirements]]-tblCost[[#This Row],[CompletedRequirements]]</f>
        <v>6</v>
      </c>
      <c r="L1547" s="41" t="b">
        <f>tblCost[[#This Row],[RemainingRequirements]]=0</f>
        <v>0</v>
      </c>
      <c r="M1547" s="43">
        <f>IF(tblCost[[#This Row],[TargetRequirements]]=0,0,tblCost[[#This Row],[CompletedRequirements]]/tblCost[[#This Row],[TargetRequirements]])</f>
        <v>0</v>
      </c>
    </row>
    <row r="1548" spans="1:13">
      <c r="A1548" s="41" t="s">
        <v>5185</v>
      </c>
      <c r="B1548" s="41" t="str">
        <f>_xlfn.TEXTAFTER(_xlfn.TEXTBEFORE(tblCost[[#This Row],[RequirementID]],".",-2),"cost.")</f>
        <v>collection.mushroom_farm@1</v>
      </c>
      <c r="C1548" s="41" t="str">
        <f>_xlfn.XLOOKUP(tblCost[[#This Row],[TargetID]],tblTargets[TargetID],tblTargets[DisplayName],"")</f>
        <v>Mushroom Farm Lv 1</v>
      </c>
      <c r="D1548" s="41" t="str">
        <f>_xlfn.XLOOKUP(tblCost[[#This Row],[TargetID]],tblTargets[TargetID],tblTargets[TargetType],"")</f>
        <v>COLLECTION</v>
      </c>
      <c r="E1548" s="41" t="s">
        <v>1815</v>
      </c>
      <c r="F1548" s="62" t="str">
        <f>RIGHT(tblCost[[#This Row],[RequirementID]],1)</f>
        <v>2</v>
      </c>
      <c r="G1548" s="41">
        <v>10</v>
      </c>
      <c r="H1548" t="b">
        <f>COUNTIFS(tblCostChecklist[RequirementID],tblCost[[#This Row],[RequirementID]],tblCostChecklist[PlayerPaid],TRUE)&gt;0</f>
        <v>0</v>
      </c>
      <c r="I1548" s="41">
        <f>COUNTIF(tblCost[TargetID],tblCost[[#This Row],[TargetID]])</f>
        <v>6</v>
      </c>
      <c r="J1548" s="41">
        <f>COUNTIFS(tblCost[TargetID],tblCost[[#This Row],[TargetID]],tblCost[PlayerPaid],TRUE)</f>
        <v>0</v>
      </c>
      <c r="K1548" s="41">
        <f>tblCost[[#This Row],[TargetRequirements]]-tblCost[[#This Row],[CompletedRequirements]]</f>
        <v>6</v>
      </c>
      <c r="L1548" s="41" t="b">
        <f>tblCost[[#This Row],[RemainingRequirements]]=0</f>
        <v>0</v>
      </c>
      <c r="M1548" s="43">
        <f>IF(tblCost[[#This Row],[TargetRequirements]]=0,0,tblCost[[#This Row],[CompletedRequirements]]/tblCost[[#This Row],[TargetRequirements]])</f>
        <v>0</v>
      </c>
    </row>
    <row r="1549" spans="1:13">
      <c r="A1549" s="41" t="s">
        <v>5186</v>
      </c>
      <c r="B1549" s="41" t="str">
        <f>_xlfn.TEXTAFTER(_xlfn.TEXTBEFORE(tblCost[[#This Row],[RequirementID]],".",-2),"cost.")</f>
        <v>collection.mushroom_farm@1</v>
      </c>
      <c r="C1549" s="41" t="str">
        <f>_xlfn.XLOOKUP(tblCost[[#This Row],[TargetID]],tblTargets[TargetID],tblTargets[DisplayName],"")</f>
        <v>Mushroom Farm Lv 1</v>
      </c>
      <c r="D1549" s="41" t="str">
        <f>_xlfn.XLOOKUP(tblCost[[#This Row],[TargetID]],tblTargets[TargetID],tblTargets[TargetType],"")</f>
        <v>COLLECTION</v>
      </c>
      <c r="E1549" s="41" t="s">
        <v>1815</v>
      </c>
      <c r="F1549" s="62" t="str">
        <f>RIGHT(tblCost[[#This Row],[RequirementID]],1)</f>
        <v>3</v>
      </c>
      <c r="G1549" s="41">
        <v>10</v>
      </c>
      <c r="H1549" t="b">
        <f>COUNTIFS(tblCostChecklist[RequirementID],tblCost[[#This Row],[RequirementID]],tblCostChecklist[PlayerPaid],TRUE)&gt;0</f>
        <v>0</v>
      </c>
      <c r="I1549" s="41">
        <f>COUNTIF(tblCost[TargetID],tblCost[[#This Row],[TargetID]])</f>
        <v>6</v>
      </c>
      <c r="J1549" s="41">
        <f>COUNTIFS(tblCost[TargetID],tblCost[[#This Row],[TargetID]],tblCost[PlayerPaid],TRUE)</f>
        <v>0</v>
      </c>
      <c r="K1549" s="41">
        <f>tblCost[[#This Row],[TargetRequirements]]-tblCost[[#This Row],[CompletedRequirements]]</f>
        <v>6</v>
      </c>
      <c r="L1549" s="41" t="b">
        <f>tblCost[[#This Row],[RemainingRequirements]]=0</f>
        <v>0</v>
      </c>
      <c r="M1549" s="43">
        <f>IF(tblCost[[#This Row],[TargetRequirements]]=0,0,tblCost[[#This Row],[CompletedRequirements]]/tblCost[[#This Row],[TargetRequirements]])</f>
        <v>0</v>
      </c>
    </row>
    <row r="1550" spans="1:13">
      <c r="A1550" s="41" t="s">
        <v>5187</v>
      </c>
      <c r="B1550" s="41" t="str">
        <f>_xlfn.TEXTAFTER(_xlfn.TEXTBEFORE(tblCost[[#This Row],[RequirementID]],".",-2),"cost.")</f>
        <v>collection.mushroom_farm@1</v>
      </c>
      <c r="C1550" s="41" t="str">
        <f>_xlfn.XLOOKUP(tblCost[[#This Row],[TargetID]],tblTargets[TargetID],tblTargets[DisplayName],"")</f>
        <v>Mushroom Farm Lv 1</v>
      </c>
      <c r="D1550" s="41" t="str">
        <f>_xlfn.XLOOKUP(tblCost[[#This Row],[TargetID]],tblTargets[TargetID],tblTargets[TargetType],"")</f>
        <v>COLLECTION</v>
      </c>
      <c r="E1550" s="41" t="s">
        <v>1815</v>
      </c>
      <c r="F1550" s="62" t="str">
        <f>RIGHT(tblCost[[#This Row],[RequirementID]],1)</f>
        <v>4</v>
      </c>
      <c r="G1550" s="41">
        <v>10</v>
      </c>
      <c r="H1550" t="b">
        <f>COUNTIFS(tblCostChecklist[RequirementID],tblCost[[#This Row],[RequirementID]],tblCostChecklist[PlayerPaid],TRUE)&gt;0</f>
        <v>0</v>
      </c>
      <c r="I1550" s="41">
        <f>COUNTIF(tblCost[TargetID],tblCost[[#This Row],[TargetID]])</f>
        <v>6</v>
      </c>
      <c r="J1550" s="41">
        <f>COUNTIFS(tblCost[TargetID],tblCost[[#This Row],[TargetID]],tblCost[PlayerPaid],TRUE)</f>
        <v>0</v>
      </c>
      <c r="K1550" s="41">
        <f>tblCost[[#This Row],[TargetRequirements]]-tblCost[[#This Row],[CompletedRequirements]]</f>
        <v>6</v>
      </c>
      <c r="L1550" s="41" t="b">
        <f>tblCost[[#This Row],[RemainingRequirements]]=0</f>
        <v>0</v>
      </c>
      <c r="M1550" s="43">
        <f>IF(tblCost[[#This Row],[TargetRequirements]]=0,0,tblCost[[#This Row],[CompletedRequirements]]/tblCost[[#This Row],[TargetRequirements]])</f>
        <v>0</v>
      </c>
    </row>
    <row r="1551" spans="1:13">
      <c r="A1551" s="41" t="s">
        <v>5188</v>
      </c>
      <c r="B1551" s="41" t="str">
        <f>_xlfn.TEXTAFTER(_xlfn.TEXTBEFORE(tblCost[[#This Row],[RequirementID]],".",-2),"cost.")</f>
        <v>collection.mushroom_farm@1</v>
      </c>
      <c r="C1551" s="41" t="str">
        <f>_xlfn.XLOOKUP(tblCost[[#This Row],[TargetID]],tblTargets[TargetID],tblTargets[DisplayName],"")</f>
        <v>Mushroom Farm Lv 1</v>
      </c>
      <c r="D1551" s="41" t="str">
        <f>_xlfn.XLOOKUP(tblCost[[#This Row],[TargetID]],tblTargets[TargetID],tblTargets[TargetType],"")</f>
        <v>COLLECTION</v>
      </c>
      <c r="E1551" s="41" t="s">
        <v>1815</v>
      </c>
      <c r="F1551" s="62" t="str">
        <f>RIGHT(tblCost[[#This Row],[RequirementID]],1)</f>
        <v>5</v>
      </c>
      <c r="G1551" s="41">
        <v>10</v>
      </c>
      <c r="H1551" t="b">
        <f>COUNTIFS(tblCostChecklist[RequirementID],tblCost[[#This Row],[RequirementID]],tblCostChecklist[PlayerPaid],TRUE)&gt;0</f>
        <v>0</v>
      </c>
      <c r="I1551" s="41">
        <f>COUNTIF(tblCost[TargetID],tblCost[[#This Row],[TargetID]])</f>
        <v>6</v>
      </c>
      <c r="J1551" s="41">
        <f>COUNTIFS(tblCost[TargetID],tblCost[[#This Row],[TargetID]],tblCost[PlayerPaid],TRUE)</f>
        <v>0</v>
      </c>
      <c r="K1551" s="41">
        <f>tblCost[[#This Row],[TargetRequirements]]-tblCost[[#This Row],[CompletedRequirements]]</f>
        <v>6</v>
      </c>
      <c r="L1551" s="41" t="b">
        <f>tblCost[[#This Row],[RemainingRequirements]]=0</f>
        <v>0</v>
      </c>
      <c r="M1551" s="43">
        <f>IF(tblCost[[#This Row],[TargetRequirements]]=0,0,tblCost[[#This Row],[CompletedRequirements]]/tblCost[[#This Row],[TargetRequirements]])</f>
        <v>0</v>
      </c>
    </row>
    <row r="1552" spans="1:13">
      <c r="A1552" s="41" t="s">
        <v>5189</v>
      </c>
      <c r="B1552" s="41" t="str">
        <f>_xlfn.TEXTAFTER(_xlfn.TEXTBEFORE(tblCost[[#This Row],[RequirementID]],".",-2),"cost.")</f>
        <v>collection.mushroom_farm@1</v>
      </c>
      <c r="C1552" s="41" t="str">
        <f>_xlfn.XLOOKUP(tblCost[[#This Row],[TargetID]],tblTargets[TargetID],tblTargets[DisplayName],"")</f>
        <v>Mushroom Farm Lv 1</v>
      </c>
      <c r="D1552" s="41" t="str">
        <f>_xlfn.XLOOKUP(tblCost[[#This Row],[TargetID]],tblTargets[TargetID],tblTargets[TargetType],"")</f>
        <v>COLLECTION</v>
      </c>
      <c r="E1552" s="41" t="s">
        <v>1815</v>
      </c>
      <c r="F1552" s="62" t="str">
        <f>RIGHT(tblCost[[#This Row],[RequirementID]],1)</f>
        <v>6</v>
      </c>
      <c r="G1552" s="41">
        <v>10</v>
      </c>
      <c r="H1552" t="b">
        <f>COUNTIFS(tblCostChecklist[RequirementID],tblCost[[#This Row],[RequirementID]],tblCostChecklist[PlayerPaid],TRUE)&gt;0</f>
        <v>0</v>
      </c>
      <c r="I1552" s="41">
        <f>COUNTIF(tblCost[TargetID],tblCost[[#This Row],[TargetID]])</f>
        <v>6</v>
      </c>
      <c r="J1552" s="41">
        <f>COUNTIFS(tblCost[TargetID],tblCost[[#This Row],[TargetID]],tblCost[PlayerPaid],TRUE)</f>
        <v>0</v>
      </c>
      <c r="K1552" s="41">
        <f>tblCost[[#This Row],[TargetRequirements]]-tblCost[[#This Row],[CompletedRequirements]]</f>
        <v>6</v>
      </c>
      <c r="L1552" s="41" t="b">
        <f>tblCost[[#This Row],[RemainingRequirements]]=0</f>
        <v>0</v>
      </c>
      <c r="M1552" s="43">
        <f>IF(tblCost[[#This Row],[TargetRequirements]]=0,0,tblCost[[#This Row],[CompletedRequirements]]/tblCost[[#This Row],[TargetRequirements]])</f>
        <v>0</v>
      </c>
    </row>
    <row r="1553" spans="1:13">
      <c r="A1553" s="41" t="s">
        <v>5190</v>
      </c>
      <c r="B1553" s="41" t="str">
        <f>_xlfn.TEXTAFTER(_xlfn.TEXTBEFORE(tblCost[[#This Row],[RequirementID]],".",-2),"cost.")</f>
        <v>collection.mushroom_farm@2</v>
      </c>
      <c r="C1553" s="41" t="str">
        <f>_xlfn.XLOOKUP(tblCost[[#This Row],[TargetID]],tblTargets[TargetID],tblTargets[DisplayName],"")</f>
        <v>Mushroom Farm Lv 2</v>
      </c>
      <c r="D1553" s="41" t="str">
        <f>_xlfn.XLOOKUP(tblCost[[#This Row],[TargetID]],tblTargets[TargetID],tblTargets[TargetType],"")</f>
        <v>COLLECTION</v>
      </c>
      <c r="E1553" s="41" t="s">
        <v>1815</v>
      </c>
      <c r="F1553" s="62" t="str">
        <f>RIGHT(tblCost[[#This Row],[RequirementID]],1)</f>
        <v>1</v>
      </c>
      <c r="G1553" s="41">
        <v>20</v>
      </c>
      <c r="H1553" t="b">
        <f>COUNTIFS(tblCostChecklist[RequirementID],tblCost[[#This Row],[RequirementID]],tblCostChecklist[PlayerPaid],TRUE)&gt;0</f>
        <v>0</v>
      </c>
      <c r="I1553" s="41">
        <f>COUNTIF(tblCost[TargetID],tblCost[[#This Row],[TargetID]])</f>
        <v>6</v>
      </c>
      <c r="J1553" s="41">
        <f>COUNTIFS(tblCost[TargetID],tblCost[[#This Row],[TargetID]],tblCost[PlayerPaid],TRUE)</f>
        <v>0</v>
      </c>
      <c r="K1553" s="41">
        <f>tblCost[[#This Row],[TargetRequirements]]-tblCost[[#This Row],[CompletedRequirements]]</f>
        <v>6</v>
      </c>
      <c r="L1553" s="41" t="b">
        <f>tblCost[[#This Row],[RemainingRequirements]]=0</f>
        <v>0</v>
      </c>
      <c r="M1553" s="43">
        <f>IF(tblCost[[#This Row],[TargetRequirements]]=0,0,tblCost[[#This Row],[CompletedRequirements]]/tblCost[[#This Row],[TargetRequirements]])</f>
        <v>0</v>
      </c>
    </row>
    <row r="1554" spans="1:13">
      <c r="A1554" s="41" t="s">
        <v>5191</v>
      </c>
      <c r="B1554" s="41" t="str">
        <f>_xlfn.TEXTAFTER(_xlfn.TEXTBEFORE(tblCost[[#This Row],[RequirementID]],".",-2),"cost.")</f>
        <v>collection.mushroom_farm@2</v>
      </c>
      <c r="C1554" s="41" t="str">
        <f>_xlfn.XLOOKUP(tblCost[[#This Row],[TargetID]],tblTargets[TargetID],tblTargets[DisplayName],"")</f>
        <v>Mushroom Farm Lv 2</v>
      </c>
      <c r="D1554" s="41" t="str">
        <f>_xlfn.XLOOKUP(tblCost[[#This Row],[TargetID]],tblTargets[TargetID],tblTargets[TargetType],"")</f>
        <v>COLLECTION</v>
      </c>
      <c r="E1554" s="41" t="s">
        <v>1815</v>
      </c>
      <c r="F1554" s="62" t="str">
        <f>RIGHT(tblCost[[#This Row],[RequirementID]],1)</f>
        <v>2</v>
      </c>
      <c r="G1554" s="41">
        <v>20</v>
      </c>
      <c r="H1554" t="b">
        <f>COUNTIFS(tblCostChecklist[RequirementID],tblCost[[#This Row],[RequirementID]],tblCostChecklist[PlayerPaid],TRUE)&gt;0</f>
        <v>0</v>
      </c>
      <c r="I1554" s="41">
        <f>COUNTIF(tblCost[TargetID],tblCost[[#This Row],[TargetID]])</f>
        <v>6</v>
      </c>
      <c r="J1554" s="41">
        <f>COUNTIFS(tblCost[TargetID],tblCost[[#This Row],[TargetID]],tblCost[PlayerPaid],TRUE)</f>
        <v>0</v>
      </c>
      <c r="K1554" s="41">
        <f>tblCost[[#This Row],[TargetRequirements]]-tblCost[[#This Row],[CompletedRequirements]]</f>
        <v>6</v>
      </c>
      <c r="L1554" s="41" t="b">
        <f>tblCost[[#This Row],[RemainingRequirements]]=0</f>
        <v>0</v>
      </c>
      <c r="M1554" s="43">
        <f>IF(tblCost[[#This Row],[TargetRequirements]]=0,0,tblCost[[#This Row],[CompletedRequirements]]/tblCost[[#This Row],[TargetRequirements]])</f>
        <v>0</v>
      </c>
    </row>
    <row r="1555" spans="1:13">
      <c r="A1555" s="41" t="s">
        <v>5192</v>
      </c>
      <c r="B1555" s="41" t="str">
        <f>_xlfn.TEXTAFTER(_xlfn.TEXTBEFORE(tblCost[[#This Row],[RequirementID]],".",-2),"cost.")</f>
        <v>collection.mushroom_farm@2</v>
      </c>
      <c r="C1555" s="41" t="str">
        <f>_xlfn.XLOOKUP(tblCost[[#This Row],[TargetID]],tblTargets[TargetID],tblTargets[DisplayName],"")</f>
        <v>Mushroom Farm Lv 2</v>
      </c>
      <c r="D1555" s="41" t="str">
        <f>_xlfn.XLOOKUP(tblCost[[#This Row],[TargetID]],tblTargets[TargetID],tblTargets[TargetType],"")</f>
        <v>COLLECTION</v>
      </c>
      <c r="E1555" s="41" t="s">
        <v>1815</v>
      </c>
      <c r="F1555" s="62" t="str">
        <f>RIGHT(tblCost[[#This Row],[RequirementID]],1)</f>
        <v>3</v>
      </c>
      <c r="G1555" s="41">
        <v>20</v>
      </c>
      <c r="H1555" t="b">
        <f>COUNTIFS(tblCostChecklist[RequirementID],tblCost[[#This Row],[RequirementID]],tblCostChecklist[PlayerPaid],TRUE)&gt;0</f>
        <v>0</v>
      </c>
      <c r="I1555" s="41">
        <f>COUNTIF(tblCost[TargetID],tblCost[[#This Row],[TargetID]])</f>
        <v>6</v>
      </c>
      <c r="J1555" s="41">
        <f>COUNTIFS(tblCost[TargetID],tblCost[[#This Row],[TargetID]],tblCost[PlayerPaid],TRUE)</f>
        <v>0</v>
      </c>
      <c r="K1555" s="41">
        <f>tblCost[[#This Row],[TargetRequirements]]-tblCost[[#This Row],[CompletedRequirements]]</f>
        <v>6</v>
      </c>
      <c r="L1555" s="41" t="b">
        <f>tblCost[[#This Row],[RemainingRequirements]]=0</f>
        <v>0</v>
      </c>
      <c r="M1555" s="43">
        <f>IF(tblCost[[#This Row],[TargetRequirements]]=0,0,tblCost[[#This Row],[CompletedRequirements]]/tblCost[[#This Row],[TargetRequirements]])</f>
        <v>0</v>
      </c>
    </row>
    <row r="1556" spans="1:13">
      <c r="A1556" s="41" t="s">
        <v>5193</v>
      </c>
      <c r="B1556" s="41" t="str">
        <f>_xlfn.TEXTAFTER(_xlfn.TEXTBEFORE(tblCost[[#This Row],[RequirementID]],".",-2),"cost.")</f>
        <v>collection.mushroom_farm@2</v>
      </c>
      <c r="C1556" s="41" t="str">
        <f>_xlfn.XLOOKUP(tblCost[[#This Row],[TargetID]],tblTargets[TargetID],tblTargets[DisplayName],"")</f>
        <v>Mushroom Farm Lv 2</v>
      </c>
      <c r="D1556" s="41" t="str">
        <f>_xlfn.XLOOKUP(tblCost[[#This Row],[TargetID]],tblTargets[TargetID],tblTargets[TargetType],"")</f>
        <v>COLLECTION</v>
      </c>
      <c r="E1556" s="41" t="s">
        <v>1815</v>
      </c>
      <c r="F1556" s="62" t="str">
        <f>RIGHT(tblCost[[#This Row],[RequirementID]],1)</f>
        <v>4</v>
      </c>
      <c r="G1556" s="41">
        <v>20</v>
      </c>
      <c r="H1556" t="b">
        <f>COUNTIFS(tblCostChecklist[RequirementID],tblCost[[#This Row],[RequirementID]],tblCostChecklist[PlayerPaid],TRUE)&gt;0</f>
        <v>0</v>
      </c>
      <c r="I1556" s="41">
        <f>COUNTIF(tblCost[TargetID],tblCost[[#This Row],[TargetID]])</f>
        <v>6</v>
      </c>
      <c r="J1556" s="41">
        <f>COUNTIFS(tblCost[TargetID],tblCost[[#This Row],[TargetID]],tblCost[PlayerPaid],TRUE)</f>
        <v>0</v>
      </c>
      <c r="K1556" s="41">
        <f>tblCost[[#This Row],[TargetRequirements]]-tblCost[[#This Row],[CompletedRequirements]]</f>
        <v>6</v>
      </c>
      <c r="L1556" s="41" t="b">
        <f>tblCost[[#This Row],[RemainingRequirements]]=0</f>
        <v>0</v>
      </c>
      <c r="M1556" s="43">
        <f>IF(tblCost[[#This Row],[TargetRequirements]]=0,0,tblCost[[#This Row],[CompletedRequirements]]/tblCost[[#This Row],[TargetRequirements]])</f>
        <v>0</v>
      </c>
    </row>
    <row r="1557" spans="1:13">
      <c r="A1557" s="41" t="s">
        <v>5194</v>
      </c>
      <c r="B1557" s="41" t="str">
        <f>_xlfn.TEXTAFTER(_xlfn.TEXTBEFORE(tblCost[[#This Row],[RequirementID]],".",-2),"cost.")</f>
        <v>collection.mushroom_farm@2</v>
      </c>
      <c r="C1557" s="41" t="str">
        <f>_xlfn.XLOOKUP(tblCost[[#This Row],[TargetID]],tblTargets[TargetID],tblTargets[DisplayName],"")</f>
        <v>Mushroom Farm Lv 2</v>
      </c>
      <c r="D1557" s="41" t="str">
        <f>_xlfn.XLOOKUP(tblCost[[#This Row],[TargetID]],tblTargets[TargetID],tblTargets[TargetType],"")</f>
        <v>COLLECTION</v>
      </c>
      <c r="E1557" s="41" t="s">
        <v>1815</v>
      </c>
      <c r="F1557" s="62" t="str">
        <f>RIGHT(tblCost[[#This Row],[RequirementID]],1)</f>
        <v>5</v>
      </c>
      <c r="G1557" s="41">
        <v>20</v>
      </c>
      <c r="H1557" t="b">
        <f>COUNTIFS(tblCostChecklist[RequirementID],tblCost[[#This Row],[RequirementID]],tblCostChecklist[PlayerPaid],TRUE)&gt;0</f>
        <v>0</v>
      </c>
      <c r="I1557" s="41">
        <f>COUNTIF(tblCost[TargetID],tblCost[[#This Row],[TargetID]])</f>
        <v>6</v>
      </c>
      <c r="J1557" s="41">
        <f>COUNTIFS(tblCost[TargetID],tblCost[[#This Row],[TargetID]],tblCost[PlayerPaid],TRUE)</f>
        <v>0</v>
      </c>
      <c r="K1557" s="41">
        <f>tblCost[[#This Row],[TargetRequirements]]-tblCost[[#This Row],[CompletedRequirements]]</f>
        <v>6</v>
      </c>
      <c r="L1557" s="41" t="b">
        <f>tblCost[[#This Row],[RemainingRequirements]]=0</f>
        <v>0</v>
      </c>
      <c r="M1557" s="43">
        <f>IF(tblCost[[#This Row],[TargetRequirements]]=0,0,tblCost[[#This Row],[CompletedRequirements]]/tblCost[[#This Row],[TargetRequirements]])</f>
        <v>0</v>
      </c>
    </row>
    <row r="1558" spans="1:13">
      <c r="A1558" s="41" t="s">
        <v>5195</v>
      </c>
      <c r="B1558" s="41" t="str">
        <f>_xlfn.TEXTAFTER(_xlfn.TEXTBEFORE(tblCost[[#This Row],[RequirementID]],".",-2),"cost.")</f>
        <v>collection.mushroom_farm@2</v>
      </c>
      <c r="C1558" s="41" t="str">
        <f>_xlfn.XLOOKUP(tblCost[[#This Row],[TargetID]],tblTargets[TargetID],tblTargets[DisplayName],"")</f>
        <v>Mushroom Farm Lv 2</v>
      </c>
      <c r="D1558" s="41" t="str">
        <f>_xlfn.XLOOKUP(tblCost[[#This Row],[TargetID]],tblTargets[TargetID],tblTargets[TargetType],"")</f>
        <v>COLLECTION</v>
      </c>
      <c r="E1558" s="41" t="s">
        <v>1815</v>
      </c>
      <c r="F1558" s="62" t="str">
        <f>RIGHT(tblCost[[#This Row],[RequirementID]],1)</f>
        <v>6</v>
      </c>
      <c r="G1558" s="41">
        <v>20</v>
      </c>
      <c r="H1558" t="b">
        <f>COUNTIFS(tblCostChecklist[RequirementID],tblCost[[#This Row],[RequirementID]],tblCostChecklist[PlayerPaid],TRUE)&gt;0</f>
        <v>0</v>
      </c>
      <c r="I1558" s="41">
        <f>COUNTIF(tblCost[TargetID],tblCost[[#This Row],[TargetID]])</f>
        <v>6</v>
      </c>
      <c r="J1558" s="41">
        <f>COUNTIFS(tblCost[TargetID],tblCost[[#This Row],[TargetID]],tblCost[PlayerPaid],TRUE)</f>
        <v>0</v>
      </c>
      <c r="K1558" s="41">
        <f>tblCost[[#This Row],[TargetRequirements]]-tblCost[[#This Row],[CompletedRequirements]]</f>
        <v>6</v>
      </c>
      <c r="L1558" s="41" t="b">
        <f>tblCost[[#This Row],[RemainingRequirements]]=0</f>
        <v>0</v>
      </c>
      <c r="M1558" s="43">
        <f>IF(tblCost[[#This Row],[TargetRequirements]]=0,0,tblCost[[#This Row],[CompletedRequirements]]/tblCost[[#This Row],[TargetRequirements]])</f>
        <v>0</v>
      </c>
    </row>
    <row r="1559" spans="1:13">
      <c r="A1559" s="41" t="s">
        <v>5196</v>
      </c>
      <c r="B1559" s="41" t="str">
        <f>_xlfn.TEXTAFTER(_xlfn.TEXTBEFORE(tblCost[[#This Row],[RequirementID]],".",-2),"cost.")</f>
        <v>collection.orangery@1</v>
      </c>
      <c r="C1559" s="41" t="str">
        <f>_xlfn.XLOOKUP(tblCost[[#This Row],[TargetID]],tblTargets[TargetID],tblTargets[DisplayName],"")</f>
        <v>Orangery Lv 1</v>
      </c>
      <c r="D1559" s="41" t="str">
        <f>_xlfn.XLOOKUP(tblCost[[#This Row],[TargetID]],tblTargets[TargetID],tblTargets[TargetType],"")</f>
        <v>COLLECTION</v>
      </c>
      <c r="E1559" s="41" t="s">
        <v>1794</v>
      </c>
      <c r="F1559" s="62" t="str">
        <f>RIGHT(tblCost[[#This Row],[RequirementID]],1)</f>
        <v>1</v>
      </c>
      <c r="G1559" s="41">
        <v>10</v>
      </c>
      <c r="H1559" t="b">
        <f>COUNTIFS(tblCostChecklist[RequirementID],tblCost[[#This Row],[RequirementID]],tblCostChecklist[PlayerPaid],TRUE)&gt;0</f>
        <v>0</v>
      </c>
      <c r="I1559" s="41">
        <f>COUNTIF(tblCost[TargetID],tblCost[[#This Row],[TargetID]])</f>
        <v>8</v>
      </c>
      <c r="J1559" s="41">
        <f>COUNTIFS(tblCost[TargetID],tblCost[[#This Row],[TargetID]],tblCost[PlayerPaid],TRUE)</f>
        <v>0</v>
      </c>
      <c r="K1559" s="41">
        <f>tblCost[[#This Row],[TargetRequirements]]-tblCost[[#This Row],[CompletedRequirements]]</f>
        <v>8</v>
      </c>
      <c r="L1559" s="41" t="b">
        <f>tblCost[[#This Row],[RemainingRequirements]]=0</f>
        <v>0</v>
      </c>
      <c r="M1559" s="43">
        <f>IF(tblCost[[#This Row],[TargetRequirements]]=0,0,tblCost[[#This Row],[CompletedRequirements]]/tblCost[[#This Row],[TargetRequirements]])</f>
        <v>0</v>
      </c>
    </row>
    <row r="1560" spans="1:13">
      <c r="A1560" s="41" t="s">
        <v>5197</v>
      </c>
      <c r="B1560" s="41" t="str">
        <f>_xlfn.TEXTAFTER(_xlfn.TEXTBEFORE(tblCost[[#This Row],[RequirementID]],".",-2),"cost.")</f>
        <v>collection.orangery@1</v>
      </c>
      <c r="C1560" s="41" t="str">
        <f>_xlfn.XLOOKUP(tblCost[[#This Row],[TargetID]],tblTargets[TargetID],tblTargets[DisplayName],"")</f>
        <v>Orangery Lv 1</v>
      </c>
      <c r="D1560" s="41" t="str">
        <f>_xlfn.XLOOKUP(tblCost[[#This Row],[TargetID]],tblTargets[TargetID],tblTargets[TargetType],"")</f>
        <v>COLLECTION</v>
      </c>
      <c r="E1560" s="41" t="s">
        <v>1794</v>
      </c>
      <c r="F1560" s="62" t="str">
        <f>RIGHT(tblCost[[#This Row],[RequirementID]],1)</f>
        <v>2</v>
      </c>
      <c r="G1560" s="41">
        <v>10</v>
      </c>
      <c r="H1560" t="b">
        <f>COUNTIFS(tblCostChecklist[RequirementID],tblCost[[#This Row],[RequirementID]],tblCostChecklist[PlayerPaid],TRUE)&gt;0</f>
        <v>0</v>
      </c>
      <c r="I1560" s="41">
        <f>COUNTIF(tblCost[TargetID],tblCost[[#This Row],[TargetID]])</f>
        <v>8</v>
      </c>
      <c r="J1560" s="41">
        <f>COUNTIFS(tblCost[TargetID],tblCost[[#This Row],[TargetID]],tblCost[PlayerPaid],TRUE)</f>
        <v>0</v>
      </c>
      <c r="K1560" s="41">
        <f>tblCost[[#This Row],[TargetRequirements]]-tblCost[[#This Row],[CompletedRequirements]]</f>
        <v>8</v>
      </c>
      <c r="L1560" s="41" t="b">
        <f>tblCost[[#This Row],[RemainingRequirements]]=0</f>
        <v>0</v>
      </c>
      <c r="M1560" s="43">
        <f>IF(tblCost[[#This Row],[TargetRequirements]]=0,0,tblCost[[#This Row],[CompletedRequirements]]/tblCost[[#This Row],[TargetRequirements]])</f>
        <v>0</v>
      </c>
    </row>
    <row r="1561" spans="1:13">
      <c r="A1561" s="41" t="s">
        <v>5198</v>
      </c>
      <c r="B1561" s="41" t="str">
        <f>_xlfn.TEXTAFTER(_xlfn.TEXTBEFORE(tblCost[[#This Row],[RequirementID]],".",-2),"cost.")</f>
        <v>collection.orangery@1</v>
      </c>
      <c r="C1561" s="41" t="str">
        <f>_xlfn.XLOOKUP(tblCost[[#This Row],[TargetID]],tblTargets[TargetID],tblTargets[DisplayName],"")</f>
        <v>Orangery Lv 1</v>
      </c>
      <c r="D1561" s="41" t="str">
        <f>_xlfn.XLOOKUP(tblCost[[#This Row],[TargetID]],tblTargets[TargetID],tblTargets[TargetType],"")</f>
        <v>COLLECTION</v>
      </c>
      <c r="E1561" s="41" t="s">
        <v>1794</v>
      </c>
      <c r="F1561" s="62" t="str">
        <f>RIGHT(tblCost[[#This Row],[RequirementID]],1)</f>
        <v>3</v>
      </c>
      <c r="G1561" s="41">
        <v>10</v>
      </c>
      <c r="H1561" t="b">
        <f>COUNTIFS(tblCostChecklist[RequirementID],tblCost[[#This Row],[RequirementID]],tblCostChecklist[PlayerPaid],TRUE)&gt;0</f>
        <v>0</v>
      </c>
      <c r="I1561" s="41">
        <f>COUNTIF(tblCost[TargetID],tblCost[[#This Row],[TargetID]])</f>
        <v>8</v>
      </c>
      <c r="J1561" s="41">
        <f>COUNTIFS(tblCost[TargetID],tblCost[[#This Row],[TargetID]],tblCost[PlayerPaid],TRUE)</f>
        <v>0</v>
      </c>
      <c r="K1561" s="41">
        <f>tblCost[[#This Row],[TargetRequirements]]-tblCost[[#This Row],[CompletedRequirements]]</f>
        <v>8</v>
      </c>
      <c r="L1561" s="41" t="b">
        <f>tblCost[[#This Row],[RemainingRequirements]]=0</f>
        <v>0</v>
      </c>
      <c r="M1561" s="43">
        <f>IF(tblCost[[#This Row],[TargetRequirements]]=0,0,tblCost[[#This Row],[CompletedRequirements]]/tblCost[[#This Row],[TargetRequirements]])</f>
        <v>0</v>
      </c>
    </row>
    <row r="1562" spans="1:13">
      <c r="A1562" s="41" t="s">
        <v>5199</v>
      </c>
      <c r="B1562" s="41" t="str">
        <f>_xlfn.TEXTAFTER(_xlfn.TEXTBEFORE(tblCost[[#This Row],[RequirementID]],".",-2),"cost.")</f>
        <v>collection.orangery@1</v>
      </c>
      <c r="C1562" s="41" t="str">
        <f>_xlfn.XLOOKUP(tblCost[[#This Row],[TargetID]],tblTargets[TargetID],tblTargets[DisplayName],"")</f>
        <v>Orangery Lv 1</v>
      </c>
      <c r="D1562" s="41" t="str">
        <f>_xlfn.XLOOKUP(tblCost[[#This Row],[TargetID]],tblTargets[TargetID],tblTargets[TargetType],"")</f>
        <v>COLLECTION</v>
      </c>
      <c r="E1562" s="41" t="s">
        <v>1794</v>
      </c>
      <c r="F1562" s="62" t="str">
        <f>RIGHT(tblCost[[#This Row],[RequirementID]],1)</f>
        <v>4</v>
      </c>
      <c r="G1562" s="41">
        <v>10</v>
      </c>
      <c r="H1562" t="b">
        <f>COUNTIFS(tblCostChecklist[RequirementID],tblCost[[#This Row],[RequirementID]],tblCostChecklist[PlayerPaid],TRUE)&gt;0</f>
        <v>0</v>
      </c>
      <c r="I1562" s="41">
        <f>COUNTIF(tblCost[TargetID],tblCost[[#This Row],[TargetID]])</f>
        <v>8</v>
      </c>
      <c r="J1562" s="41">
        <f>COUNTIFS(tblCost[TargetID],tblCost[[#This Row],[TargetID]],tblCost[PlayerPaid],TRUE)</f>
        <v>0</v>
      </c>
      <c r="K1562" s="41">
        <f>tblCost[[#This Row],[TargetRequirements]]-tblCost[[#This Row],[CompletedRequirements]]</f>
        <v>8</v>
      </c>
      <c r="L1562" s="41" t="b">
        <f>tblCost[[#This Row],[RemainingRequirements]]=0</f>
        <v>0</v>
      </c>
      <c r="M1562" s="43">
        <f>IF(tblCost[[#This Row],[TargetRequirements]]=0,0,tblCost[[#This Row],[CompletedRequirements]]/tblCost[[#This Row],[TargetRequirements]])</f>
        <v>0</v>
      </c>
    </row>
    <row r="1563" spans="1:13">
      <c r="A1563" s="41" t="s">
        <v>5200</v>
      </c>
      <c r="B1563" s="41" t="str">
        <f>_xlfn.TEXTAFTER(_xlfn.TEXTBEFORE(tblCost[[#This Row],[RequirementID]],".",-2),"cost.")</f>
        <v>collection.orangery@1</v>
      </c>
      <c r="C1563" s="41" t="str">
        <f>_xlfn.XLOOKUP(tblCost[[#This Row],[TargetID]],tblTargets[TargetID],tblTargets[DisplayName],"")</f>
        <v>Orangery Lv 1</v>
      </c>
      <c r="D1563" s="41" t="str">
        <f>_xlfn.XLOOKUP(tblCost[[#This Row],[TargetID]],tblTargets[TargetID],tblTargets[TargetType],"")</f>
        <v>COLLECTION</v>
      </c>
      <c r="E1563" s="41" t="s">
        <v>1794</v>
      </c>
      <c r="F1563" s="62" t="str">
        <f>RIGHT(tblCost[[#This Row],[RequirementID]],1)</f>
        <v>5</v>
      </c>
      <c r="G1563" s="41">
        <v>10</v>
      </c>
      <c r="H1563" t="b">
        <f>COUNTIFS(tblCostChecklist[RequirementID],tblCost[[#This Row],[RequirementID]],tblCostChecklist[PlayerPaid],TRUE)&gt;0</f>
        <v>0</v>
      </c>
      <c r="I1563" s="41">
        <f>COUNTIF(tblCost[TargetID],tblCost[[#This Row],[TargetID]])</f>
        <v>8</v>
      </c>
      <c r="J1563" s="41">
        <f>COUNTIFS(tblCost[TargetID],tblCost[[#This Row],[TargetID]],tblCost[PlayerPaid],TRUE)</f>
        <v>0</v>
      </c>
      <c r="K1563" s="41">
        <f>tblCost[[#This Row],[TargetRequirements]]-tblCost[[#This Row],[CompletedRequirements]]</f>
        <v>8</v>
      </c>
      <c r="L1563" s="41" t="b">
        <f>tblCost[[#This Row],[RemainingRequirements]]=0</f>
        <v>0</v>
      </c>
      <c r="M1563" s="43">
        <f>IF(tblCost[[#This Row],[TargetRequirements]]=0,0,tblCost[[#This Row],[CompletedRequirements]]/tblCost[[#This Row],[TargetRequirements]])</f>
        <v>0</v>
      </c>
    </row>
    <row r="1564" spans="1:13">
      <c r="A1564" s="41" t="s">
        <v>5201</v>
      </c>
      <c r="B1564" s="41" t="str">
        <f>_xlfn.TEXTAFTER(_xlfn.TEXTBEFORE(tblCost[[#This Row],[RequirementID]],".",-2),"cost.")</f>
        <v>collection.orangery@1</v>
      </c>
      <c r="C1564" s="41" t="str">
        <f>_xlfn.XLOOKUP(tblCost[[#This Row],[TargetID]],tblTargets[TargetID],tblTargets[DisplayName],"")</f>
        <v>Orangery Lv 1</v>
      </c>
      <c r="D1564" s="41" t="str">
        <f>_xlfn.XLOOKUP(tblCost[[#This Row],[TargetID]],tblTargets[TargetID],tblTargets[TargetType],"")</f>
        <v>COLLECTION</v>
      </c>
      <c r="E1564" s="41" t="s">
        <v>1794</v>
      </c>
      <c r="F1564" s="62" t="str">
        <f>RIGHT(tblCost[[#This Row],[RequirementID]],1)</f>
        <v>6</v>
      </c>
      <c r="G1564" s="41">
        <v>10</v>
      </c>
      <c r="H1564" t="b">
        <f>COUNTIFS(tblCostChecklist[RequirementID],tblCost[[#This Row],[RequirementID]],tblCostChecklist[PlayerPaid],TRUE)&gt;0</f>
        <v>0</v>
      </c>
      <c r="I1564" s="41">
        <f>COUNTIF(tblCost[TargetID],tblCost[[#This Row],[TargetID]])</f>
        <v>8</v>
      </c>
      <c r="J1564" s="41">
        <f>COUNTIFS(tblCost[TargetID],tblCost[[#This Row],[TargetID]],tblCost[PlayerPaid],TRUE)</f>
        <v>0</v>
      </c>
      <c r="K1564" s="41">
        <f>tblCost[[#This Row],[TargetRequirements]]-tblCost[[#This Row],[CompletedRequirements]]</f>
        <v>8</v>
      </c>
      <c r="L1564" s="41" t="b">
        <f>tblCost[[#This Row],[RemainingRequirements]]=0</f>
        <v>0</v>
      </c>
      <c r="M1564" s="43">
        <f>IF(tblCost[[#This Row],[TargetRequirements]]=0,0,tblCost[[#This Row],[CompletedRequirements]]/tblCost[[#This Row],[TargetRequirements]])</f>
        <v>0</v>
      </c>
    </row>
    <row r="1565" spans="1:13">
      <c r="A1565" s="41" t="s">
        <v>5202</v>
      </c>
      <c r="B1565" s="41" t="str">
        <f>_xlfn.TEXTAFTER(_xlfn.TEXTBEFORE(tblCost[[#This Row],[RequirementID]],".",-2),"cost.")</f>
        <v>collection.orangery@1</v>
      </c>
      <c r="C1565" s="41" t="str">
        <f>_xlfn.XLOOKUP(tblCost[[#This Row],[TargetID]],tblTargets[TargetID],tblTargets[DisplayName],"")</f>
        <v>Orangery Lv 1</v>
      </c>
      <c r="D1565" s="41" t="str">
        <f>_xlfn.XLOOKUP(tblCost[[#This Row],[TargetID]],tblTargets[TargetID],tblTargets[TargetType],"")</f>
        <v>COLLECTION</v>
      </c>
      <c r="E1565" s="41" t="s">
        <v>717</v>
      </c>
      <c r="F1565" s="62" t="str">
        <f>RIGHT(tblCost[[#This Row],[RequirementID]],1)</f>
        <v>1</v>
      </c>
      <c r="G1565" s="41">
        <v>50</v>
      </c>
      <c r="H1565" t="b">
        <f>COUNTIFS(tblCostChecklist[RequirementID],tblCost[[#This Row],[RequirementID]],tblCostChecklist[PlayerPaid],TRUE)&gt;0</f>
        <v>0</v>
      </c>
      <c r="I1565" s="41">
        <f>COUNTIF(tblCost[TargetID],tblCost[[#This Row],[TargetID]])</f>
        <v>8</v>
      </c>
      <c r="J1565" s="41">
        <f>COUNTIFS(tblCost[TargetID],tblCost[[#This Row],[TargetID]],tblCost[PlayerPaid],TRUE)</f>
        <v>0</v>
      </c>
      <c r="K1565" s="41">
        <f>tblCost[[#This Row],[TargetRequirements]]-tblCost[[#This Row],[CompletedRequirements]]</f>
        <v>8</v>
      </c>
      <c r="L1565" s="41" t="b">
        <f>tblCost[[#This Row],[RemainingRequirements]]=0</f>
        <v>0</v>
      </c>
      <c r="M1565" s="43">
        <f>IF(tblCost[[#This Row],[TargetRequirements]]=0,0,tblCost[[#This Row],[CompletedRequirements]]/tblCost[[#This Row],[TargetRequirements]])</f>
        <v>0</v>
      </c>
    </row>
    <row r="1566" spans="1:13">
      <c r="A1566" s="41" t="s">
        <v>5203</v>
      </c>
      <c r="B1566" s="41" t="str">
        <f>_xlfn.TEXTAFTER(_xlfn.TEXTBEFORE(tblCost[[#This Row],[RequirementID]],".",-2),"cost.")</f>
        <v>collection.orangery@1</v>
      </c>
      <c r="C1566" s="41" t="str">
        <f>_xlfn.XLOOKUP(tblCost[[#This Row],[TargetID]],tblTargets[TargetID],tblTargets[DisplayName],"")</f>
        <v>Orangery Lv 1</v>
      </c>
      <c r="D1566" s="41" t="str">
        <f>_xlfn.XLOOKUP(tblCost[[#This Row],[TargetID]],tblTargets[TargetID],tblTargets[TargetType],"")</f>
        <v>COLLECTION</v>
      </c>
      <c r="E1566" s="41" t="s">
        <v>717</v>
      </c>
      <c r="F1566" s="62" t="str">
        <f>RIGHT(tblCost[[#This Row],[RequirementID]],1)</f>
        <v>2</v>
      </c>
      <c r="G1566" s="41">
        <v>50</v>
      </c>
      <c r="H1566" t="b">
        <f>COUNTIFS(tblCostChecklist[RequirementID],tblCost[[#This Row],[RequirementID]],tblCostChecklist[PlayerPaid],TRUE)&gt;0</f>
        <v>0</v>
      </c>
      <c r="I1566" s="41">
        <f>COUNTIF(tblCost[TargetID],tblCost[[#This Row],[TargetID]])</f>
        <v>8</v>
      </c>
      <c r="J1566" s="41">
        <f>COUNTIFS(tblCost[TargetID],tblCost[[#This Row],[TargetID]],tblCost[PlayerPaid],TRUE)</f>
        <v>0</v>
      </c>
      <c r="K1566" s="41">
        <f>tblCost[[#This Row],[TargetRequirements]]-tblCost[[#This Row],[CompletedRequirements]]</f>
        <v>8</v>
      </c>
      <c r="L1566" s="41" t="b">
        <f>tblCost[[#This Row],[RemainingRequirements]]=0</f>
        <v>0</v>
      </c>
      <c r="M1566" s="43">
        <f>IF(tblCost[[#This Row],[TargetRequirements]]=0,0,tblCost[[#This Row],[CompletedRequirements]]/tblCost[[#This Row],[TargetRequirements]])</f>
        <v>0</v>
      </c>
    </row>
    <row r="1567" spans="1:13">
      <c r="A1567" s="41" t="s">
        <v>5204</v>
      </c>
      <c r="B1567" s="41" t="str">
        <f>_xlfn.TEXTAFTER(_xlfn.TEXTBEFORE(tblCost[[#This Row],[RequirementID]],".",-2),"cost.")</f>
        <v>collection.orangery@2</v>
      </c>
      <c r="C1567" s="41" t="str">
        <f>_xlfn.XLOOKUP(tblCost[[#This Row],[TargetID]],tblTargets[TargetID],tblTargets[DisplayName],"")</f>
        <v>Orangery Lv 2</v>
      </c>
      <c r="D1567" s="41" t="str">
        <f>_xlfn.XLOOKUP(tblCost[[#This Row],[TargetID]],tblTargets[TargetID],tblTargets[TargetType],"")</f>
        <v>COLLECTION</v>
      </c>
      <c r="E1567" s="41" t="s">
        <v>1794</v>
      </c>
      <c r="F1567" s="62" t="str">
        <f>RIGHT(tblCost[[#This Row],[RequirementID]],1)</f>
        <v>1</v>
      </c>
      <c r="G1567" s="41">
        <v>20</v>
      </c>
      <c r="H1567" t="b">
        <f>COUNTIFS(tblCostChecklist[RequirementID],tblCost[[#This Row],[RequirementID]],tblCostChecklist[PlayerPaid],TRUE)&gt;0</f>
        <v>0</v>
      </c>
      <c r="I1567" s="41">
        <f>COUNTIF(tblCost[TargetID],tblCost[[#This Row],[TargetID]])</f>
        <v>8</v>
      </c>
      <c r="J1567" s="41">
        <f>COUNTIFS(tblCost[TargetID],tblCost[[#This Row],[TargetID]],tblCost[PlayerPaid],TRUE)</f>
        <v>0</v>
      </c>
      <c r="K1567" s="41">
        <f>tblCost[[#This Row],[TargetRequirements]]-tblCost[[#This Row],[CompletedRequirements]]</f>
        <v>8</v>
      </c>
      <c r="L1567" s="41" t="b">
        <f>tblCost[[#This Row],[RemainingRequirements]]=0</f>
        <v>0</v>
      </c>
      <c r="M1567" s="43">
        <f>IF(tblCost[[#This Row],[TargetRequirements]]=0,0,tblCost[[#This Row],[CompletedRequirements]]/tblCost[[#This Row],[TargetRequirements]])</f>
        <v>0</v>
      </c>
    </row>
    <row r="1568" spans="1:13">
      <c r="A1568" s="41" t="s">
        <v>5205</v>
      </c>
      <c r="B1568" s="41" t="str">
        <f>_xlfn.TEXTAFTER(_xlfn.TEXTBEFORE(tblCost[[#This Row],[RequirementID]],".",-2),"cost.")</f>
        <v>collection.orangery@2</v>
      </c>
      <c r="C1568" s="41" t="str">
        <f>_xlfn.XLOOKUP(tblCost[[#This Row],[TargetID]],tblTargets[TargetID],tblTargets[DisplayName],"")</f>
        <v>Orangery Lv 2</v>
      </c>
      <c r="D1568" s="41" t="str">
        <f>_xlfn.XLOOKUP(tblCost[[#This Row],[TargetID]],tblTargets[TargetID],tblTargets[TargetType],"")</f>
        <v>COLLECTION</v>
      </c>
      <c r="E1568" s="41" t="s">
        <v>1794</v>
      </c>
      <c r="F1568" s="62" t="str">
        <f>RIGHT(tblCost[[#This Row],[RequirementID]],1)</f>
        <v>2</v>
      </c>
      <c r="G1568" s="41">
        <v>20</v>
      </c>
      <c r="H1568" t="b">
        <f>COUNTIFS(tblCostChecklist[RequirementID],tblCost[[#This Row],[RequirementID]],tblCostChecklist[PlayerPaid],TRUE)&gt;0</f>
        <v>0</v>
      </c>
      <c r="I1568" s="41">
        <f>COUNTIF(tblCost[TargetID],tblCost[[#This Row],[TargetID]])</f>
        <v>8</v>
      </c>
      <c r="J1568" s="41">
        <f>COUNTIFS(tblCost[TargetID],tblCost[[#This Row],[TargetID]],tblCost[PlayerPaid],TRUE)</f>
        <v>0</v>
      </c>
      <c r="K1568" s="41">
        <f>tblCost[[#This Row],[TargetRequirements]]-tblCost[[#This Row],[CompletedRequirements]]</f>
        <v>8</v>
      </c>
      <c r="L1568" s="41" t="b">
        <f>tblCost[[#This Row],[RemainingRequirements]]=0</f>
        <v>0</v>
      </c>
      <c r="M1568" s="43">
        <f>IF(tblCost[[#This Row],[TargetRequirements]]=0,0,tblCost[[#This Row],[CompletedRequirements]]/tblCost[[#This Row],[TargetRequirements]])</f>
        <v>0</v>
      </c>
    </row>
    <row r="1569" spans="1:13">
      <c r="A1569" s="41" t="s">
        <v>5206</v>
      </c>
      <c r="B1569" s="41" t="str">
        <f>_xlfn.TEXTAFTER(_xlfn.TEXTBEFORE(tblCost[[#This Row],[RequirementID]],".",-2),"cost.")</f>
        <v>collection.orangery@2</v>
      </c>
      <c r="C1569" s="41" t="str">
        <f>_xlfn.XLOOKUP(tblCost[[#This Row],[TargetID]],tblTargets[TargetID],tblTargets[DisplayName],"")</f>
        <v>Orangery Lv 2</v>
      </c>
      <c r="D1569" s="41" t="str">
        <f>_xlfn.XLOOKUP(tblCost[[#This Row],[TargetID]],tblTargets[TargetID],tblTargets[TargetType],"")</f>
        <v>COLLECTION</v>
      </c>
      <c r="E1569" s="41" t="s">
        <v>1794</v>
      </c>
      <c r="F1569" s="62" t="str">
        <f>RIGHT(tblCost[[#This Row],[RequirementID]],1)</f>
        <v>3</v>
      </c>
      <c r="G1569" s="41">
        <v>20</v>
      </c>
      <c r="H1569" t="b">
        <f>COUNTIFS(tblCostChecklist[RequirementID],tblCost[[#This Row],[RequirementID]],tblCostChecklist[PlayerPaid],TRUE)&gt;0</f>
        <v>0</v>
      </c>
      <c r="I1569" s="41">
        <f>COUNTIF(tblCost[TargetID],tblCost[[#This Row],[TargetID]])</f>
        <v>8</v>
      </c>
      <c r="J1569" s="41">
        <f>COUNTIFS(tblCost[TargetID],tblCost[[#This Row],[TargetID]],tblCost[PlayerPaid],TRUE)</f>
        <v>0</v>
      </c>
      <c r="K1569" s="41">
        <f>tblCost[[#This Row],[TargetRequirements]]-tblCost[[#This Row],[CompletedRequirements]]</f>
        <v>8</v>
      </c>
      <c r="L1569" s="41" t="b">
        <f>tblCost[[#This Row],[RemainingRequirements]]=0</f>
        <v>0</v>
      </c>
      <c r="M1569" s="43">
        <f>IF(tblCost[[#This Row],[TargetRequirements]]=0,0,tblCost[[#This Row],[CompletedRequirements]]/tblCost[[#This Row],[TargetRequirements]])</f>
        <v>0</v>
      </c>
    </row>
    <row r="1570" spans="1:13">
      <c r="A1570" s="41" t="s">
        <v>5207</v>
      </c>
      <c r="B1570" s="41" t="str">
        <f>_xlfn.TEXTAFTER(_xlfn.TEXTBEFORE(tblCost[[#This Row],[RequirementID]],".",-2),"cost.")</f>
        <v>collection.orangery@2</v>
      </c>
      <c r="C1570" s="41" t="str">
        <f>_xlfn.XLOOKUP(tblCost[[#This Row],[TargetID]],tblTargets[TargetID],tblTargets[DisplayName],"")</f>
        <v>Orangery Lv 2</v>
      </c>
      <c r="D1570" s="41" t="str">
        <f>_xlfn.XLOOKUP(tblCost[[#This Row],[TargetID]],tblTargets[TargetID],tblTargets[TargetType],"")</f>
        <v>COLLECTION</v>
      </c>
      <c r="E1570" s="41" t="s">
        <v>1794</v>
      </c>
      <c r="F1570" s="62" t="str">
        <f>RIGHT(tblCost[[#This Row],[RequirementID]],1)</f>
        <v>4</v>
      </c>
      <c r="G1570" s="41">
        <v>20</v>
      </c>
      <c r="H1570" t="b">
        <f>COUNTIFS(tblCostChecklist[RequirementID],tblCost[[#This Row],[RequirementID]],tblCostChecklist[PlayerPaid],TRUE)&gt;0</f>
        <v>0</v>
      </c>
      <c r="I1570" s="41">
        <f>COUNTIF(tblCost[TargetID],tblCost[[#This Row],[TargetID]])</f>
        <v>8</v>
      </c>
      <c r="J1570" s="41">
        <f>COUNTIFS(tblCost[TargetID],tblCost[[#This Row],[TargetID]],tblCost[PlayerPaid],TRUE)</f>
        <v>0</v>
      </c>
      <c r="K1570" s="41">
        <f>tblCost[[#This Row],[TargetRequirements]]-tblCost[[#This Row],[CompletedRequirements]]</f>
        <v>8</v>
      </c>
      <c r="L1570" s="41" t="b">
        <f>tblCost[[#This Row],[RemainingRequirements]]=0</f>
        <v>0</v>
      </c>
      <c r="M1570" s="43">
        <f>IF(tblCost[[#This Row],[TargetRequirements]]=0,0,tblCost[[#This Row],[CompletedRequirements]]/tblCost[[#This Row],[TargetRequirements]])</f>
        <v>0</v>
      </c>
    </row>
    <row r="1571" spans="1:13">
      <c r="A1571" s="41" t="s">
        <v>5208</v>
      </c>
      <c r="B1571" s="41" t="str">
        <f>_xlfn.TEXTAFTER(_xlfn.TEXTBEFORE(tblCost[[#This Row],[RequirementID]],".",-2),"cost.")</f>
        <v>collection.orangery@2</v>
      </c>
      <c r="C1571" s="41" t="str">
        <f>_xlfn.XLOOKUP(tblCost[[#This Row],[TargetID]],tblTargets[TargetID],tblTargets[DisplayName],"")</f>
        <v>Orangery Lv 2</v>
      </c>
      <c r="D1571" s="41" t="str">
        <f>_xlfn.XLOOKUP(tblCost[[#This Row],[TargetID]],tblTargets[TargetID],tblTargets[TargetType],"")</f>
        <v>COLLECTION</v>
      </c>
      <c r="E1571" s="41" t="s">
        <v>1794</v>
      </c>
      <c r="F1571" s="62" t="str">
        <f>RIGHT(tblCost[[#This Row],[RequirementID]],1)</f>
        <v>5</v>
      </c>
      <c r="G1571" s="41">
        <v>20</v>
      </c>
      <c r="H1571" t="b">
        <f>COUNTIFS(tblCostChecklist[RequirementID],tblCost[[#This Row],[RequirementID]],tblCostChecklist[PlayerPaid],TRUE)&gt;0</f>
        <v>0</v>
      </c>
      <c r="I1571" s="41">
        <f>COUNTIF(tblCost[TargetID],tblCost[[#This Row],[TargetID]])</f>
        <v>8</v>
      </c>
      <c r="J1571" s="41">
        <f>COUNTIFS(tblCost[TargetID],tblCost[[#This Row],[TargetID]],tblCost[PlayerPaid],TRUE)</f>
        <v>0</v>
      </c>
      <c r="K1571" s="41">
        <f>tblCost[[#This Row],[TargetRequirements]]-tblCost[[#This Row],[CompletedRequirements]]</f>
        <v>8</v>
      </c>
      <c r="L1571" s="41" t="b">
        <f>tblCost[[#This Row],[RemainingRequirements]]=0</f>
        <v>0</v>
      </c>
      <c r="M1571" s="43">
        <f>IF(tblCost[[#This Row],[TargetRequirements]]=0,0,tblCost[[#This Row],[CompletedRequirements]]/tblCost[[#This Row],[TargetRequirements]])</f>
        <v>0</v>
      </c>
    </row>
    <row r="1572" spans="1:13">
      <c r="A1572" s="41" t="s">
        <v>5209</v>
      </c>
      <c r="B1572" s="41" t="str">
        <f>_xlfn.TEXTAFTER(_xlfn.TEXTBEFORE(tblCost[[#This Row],[RequirementID]],".",-2),"cost.")</f>
        <v>collection.orangery@2</v>
      </c>
      <c r="C1572" s="41" t="str">
        <f>_xlfn.XLOOKUP(tblCost[[#This Row],[TargetID]],tblTargets[TargetID],tblTargets[DisplayName],"")</f>
        <v>Orangery Lv 2</v>
      </c>
      <c r="D1572" s="41" t="str">
        <f>_xlfn.XLOOKUP(tblCost[[#This Row],[TargetID]],tblTargets[TargetID],tblTargets[TargetType],"")</f>
        <v>COLLECTION</v>
      </c>
      <c r="E1572" s="41" t="s">
        <v>1794</v>
      </c>
      <c r="F1572" s="62" t="str">
        <f>RIGHT(tblCost[[#This Row],[RequirementID]],1)</f>
        <v>6</v>
      </c>
      <c r="G1572" s="41">
        <v>20</v>
      </c>
      <c r="H1572" t="b">
        <f>COUNTIFS(tblCostChecklist[RequirementID],tblCost[[#This Row],[RequirementID]],tblCostChecklist[PlayerPaid],TRUE)&gt;0</f>
        <v>0</v>
      </c>
      <c r="I1572" s="41">
        <f>COUNTIF(tblCost[TargetID],tblCost[[#This Row],[TargetID]])</f>
        <v>8</v>
      </c>
      <c r="J1572" s="41">
        <f>COUNTIFS(tblCost[TargetID],tblCost[[#This Row],[TargetID]],tblCost[PlayerPaid],TRUE)</f>
        <v>0</v>
      </c>
      <c r="K1572" s="41">
        <f>tblCost[[#This Row],[TargetRequirements]]-tblCost[[#This Row],[CompletedRequirements]]</f>
        <v>8</v>
      </c>
      <c r="L1572" s="41" t="b">
        <f>tblCost[[#This Row],[RemainingRequirements]]=0</f>
        <v>0</v>
      </c>
      <c r="M1572" s="43">
        <f>IF(tblCost[[#This Row],[TargetRequirements]]=0,0,tblCost[[#This Row],[CompletedRequirements]]/tblCost[[#This Row],[TargetRequirements]])</f>
        <v>0</v>
      </c>
    </row>
    <row r="1573" spans="1:13">
      <c r="A1573" s="41" t="s">
        <v>5210</v>
      </c>
      <c r="B1573" s="41" t="str">
        <f>_xlfn.TEXTAFTER(_xlfn.TEXTBEFORE(tblCost[[#This Row],[RequirementID]],".",-2),"cost.")</f>
        <v>collection.orangery@2</v>
      </c>
      <c r="C1573" s="41" t="str">
        <f>_xlfn.XLOOKUP(tblCost[[#This Row],[TargetID]],tblTargets[TargetID],tblTargets[DisplayName],"")</f>
        <v>Orangery Lv 2</v>
      </c>
      <c r="D1573" s="41" t="str">
        <f>_xlfn.XLOOKUP(tblCost[[#This Row],[TargetID]],tblTargets[TargetID],tblTargets[TargetType],"")</f>
        <v>COLLECTION</v>
      </c>
      <c r="E1573" s="41" t="s">
        <v>717</v>
      </c>
      <c r="F1573" s="62" t="str">
        <f>RIGHT(tblCost[[#This Row],[RequirementID]],1)</f>
        <v>1</v>
      </c>
      <c r="G1573" s="41">
        <v>100</v>
      </c>
      <c r="H1573" t="b">
        <f>COUNTIFS(tblCostChecklist[RequirementID],tblCost[[#This Row],[RequirementID]],tblCostChecklist[PlayerPaid],TRUE)&gt;0</f>
        <v>0</v>
      </c>
      <c r="I1573" s="41">
        <f>COUNTIF(tblCost[TargetID],tblCost[[#This Row],[TargetID]])</f>
        <v>8</v>
      </c>
      <c r="J1573" s="41">
        <f>COUNTIFS(tblCost[TargetID],tblCost[[#This Row],[TargetID]],tblCost[PlayerPaid],TRUE)</f>
        <v>0</v>
      </c>
      <c r="K1573" s="41">
        <f>tblCost[[#This Row],[TargetRequirements]]-tblCost[[#This Row],[CompletedRequirements]]</f>
        <v>8</v>
      </c>
      <c r="L1573" s="41" t="b">
        <f>tblCost[[#This Row],[RemainingRequirements]]=0</f>
        <v>0</v>
      </c>
      <c r="M1573" s="43">
        <f>IF(tblCost[[#This Row],[TargetRequirements]]=0,0,tblCost[[#This Row],[CompletedRequirements]]/tblCost[[#This Row],[TargetRequirements]])</f>
        <v>0</v>
      </c>
    </row>
    <row r="1574" spans="1:13">
      <c r="A1574" s="41" t="s">
        <v>5211</v>
      </c>
      <c r="B1574" s="41" t="str">
        <f>_xlfn.TEXTAFTER(_xlfn.TEXTBEFORE(tblCost[[#This Row],[RequirementID]],".",-2),"cost.")</f>
        <v>collection.orangery@2</v>
      </c>
      <c r="C1574" s="41" t="str">
        <f>_xlfn.XLOOKUP(tblCost[[#This Row],[TargetID]],tblTargets[TargetID],tblTargets[DisplayName],"")</f>
        <v>Orangery Lv 2</v>
      </c>
      <c r="D1574" s="41" t="str">
        <f>_xlfn.XLOOKUP(tblCost[[#This Row],[TargetID]],tblTargets[TargetID],tblTargets[TargetType],"")</f>
        <v>COLLECTION</v>
      </c>
      <c r="E1574" s="41" t="s">
        <v>717</v>
      </c>
      <c r="F1574" s="62" t="str">
        <f>RIGHT(tblCost[[#This Row],[RequirementID]],1)</f>
        <v>2</v>
      </c>
      <c r="G1574" s="41">
        <v>100</v>
      </c>
      <c r="H1574" t="b">
        <f>COUNTIFS(tblCostChecklist[RequirementID],tblCost[[#This Row],[RequirementID]],tblCostChecklist[PlayerPaid],TRUE)&gt;0</f>
        <v>0</v>
      </c>
      <c r="I1574" s="41">
        <f>COUNTIF(tblCost[TargetID],tblCost[[#This Row],[TargetID]])</f>
        <v>8</v>
      </c>
      <c r="J1574" s="41">
        <f>COUNTIFS(tblCost[TargetID],tblCost[[#This Row],[TargetID]],tblCost[PlayerPaid],TRUE)</f>
        <v>0</v>
      </c>
      <c r="K1574" s="41">
        <f>tblCost[[#This Row],[TargetRequirements]]-tblCost[[#This Row],[CompletedRequirements]]</f>
        <v>8</v>
      </c>
      <c r="L1574" s="41" t="b">
        <f>tblCost[[#This Row],[RemainingRequirements]]=0</f>
        <v>0</v>
      </c>
      <c r="M1574" s="43">
        <f>IF(tblCost[[#This Row],[TargetRequirements]]=0,0,tblCost[[#This Row],[CompletedRequirements]]/tblCost[[#This Row],[TargetRequirements]])</f>
        <v>0</v>
      </c>
    </row>
    <row r="1575" spans="1:13">
      <c r="A1575" s="41" t="s">
        <v>5212</v>
      </c>
      <c r="B1575" s="41" t="str">
        <f>_xlfn.TEXTAFTER(_xlfn.TEXTBEFORE(tblCost[[#This Row],[RequirementID]],".",-2),"cost.")</f>
        <v>collection.pantry_1@1</v>
      </c>
      <c r="C1575" s="41" t="str">
        <f>_xlfn.XLOOKUP(tblCost[[#This Row],[TargetID]],tblTargets[TargetID],tblTargets[DisplayName],"")</f>
        <v>Pantry 1 Lv 1</v>
      </c>
      <c r="D1575" s="41" t="str">
        <f>_xlfn.XLOOKUP(tblCost[[#This Row],[TargetID]],tblTargets[TargetID],tblTargets[TargetType],"")</f>
        <v>COLLECTION</v>
      </c>
      <c r="E1575" s="41" t="s">
        <v>1790</v>
      </c>
      <c r="F1575" s="62" t="str">
        <f>RIGHT(tblCost[[#This Row],[RequirementID]],1)</f>
        <v>1</v>
      </c>
      <c r="G1575" s="41">
        <v>5</v>
      </c>
      <c r="H1575" t="b">
        <f>COUNTIFS(tblCostChecklist[RequirementID],tblCost[[#This Row],[RequirementID]],tblCostChecklist[PlayerPaid],TRUE)&gt;0</f>
        <v>0</v>
      </c>
      <c r="I1575" s="41">
        <f>COUNTIF(tblCost[TargetID],tblCost[[#This Row],[TargetID]])</f>
        <v>12</v>
      </c>
      <c r="J1575" s="41">
        <f>COUNTIFS(tblCost[TargetID],tblCost[[#This Row],[TargetID]],tblCost[PlayerPaid],TRUE)</f>
        <v>0</v>
      </c>
      <c r="K1575" s="41">
        <f>tblCost[[#This Row],[TargetRequirements]]-tblCost[[#This Row],[CompletedRequirements]]</f>
        <v>12</v>
      </c>
      <c r="L1575" s="41" t="b">
        <f>tblCost[[#This Row],[RemainingRequirements]]=0</f>
        <v>0</v>
      </c>
      <c r="M1575" s="43">
        <f>IF(tblCost[[#This Row],[TargetRequirements]]=0,0,tblCost[[#This Row],[CompletedRequirements]]/tblCost[[#This Row],[TargetRequirements]])</f>
        <v>0</v>
      </c>
    </row>
    <row r="1576" spans="1:13">
      <c r="A1576" s="41" t="s">
        <v>5213</v>
      </c>
      <c r="B1576" s="41" t="str">
        <f>_xlfn.TEXTAFTER(_xlfn.TEXTBEFORE(tblCost[[#This Row],[RequirementID]],".",-2),"cost.")</f>
        <v>collection.pantry_1@1</v>
      </c>
      <c r="C1576" s="41" t="str">
        <f>_xlfn.XLOOKUP(tblCost[[#This Row],[TargetID]],tblTargets[TargetID],tblTargets[DisplayName],"")</f>
        <v>Pantry 1 Lv 1</v>
      </c>
      <c r="D1576" s="41" t="str">
        <f>_xlfn.XLOOKUP(tblCost[[#This Row],[TargetID]],tblTargets[TargetID],tblTargets[TargetType],"")</f>
        <v>COLLECTION</v>
      </c>
      <c r="E1576" s="41" t="s">
        <v>659</v>
      </c>
      <c r="F1576" s="62" t="str">
        <f>RIGHT(tblCost[[#This Row],[RequirementID]],1)</f>
        <v>1</v>
      </c>
      <c r="G1576" s="41">
        <v>10</v>
      </c>
      <c r="H1576" t="b">
        <f>COUNTIFS(tblCostChecklist[RequirementID],tblCost[[#This Row],[RequirementID]],tblCostChecklist[PlayerPaid],TRUE)&gt;0</f>
        <v>0</v>
      </c>
      <c r="I1576" s="41">
        <f>COUNTIF(tblCost[TargetID],tblCost[[#This Row],[TargetID]])</f>
        <v>12</v>
      </c>
      <c r="J1576" s="41">
        <f>COUNTIFS(tblCost[TargetID],tblCost[[#This Row],[TargetID]],tblCost[PlayerPaid],TRUE)</f>
        <v>0</v>
      </c>
      <c r="K1576" s="41">
        <f>tblCost[[#This Row],[TargetRequirements]]-tblCost[[#This Row],[CompletedRequirements]]</f>
        <v>12</v>
      </c>
      <c r="L1576" s="41" t="b">
        <f>tblCost[[#This Row],[RemainingRequirements]]=0</f>
        <v>0</v>
      </c>
      <c r="M1576" s="43">
        <f>IF(tblCost[[#This Row],[TargetRequirements]]=0,0,tblCost[[#This Row],[CompletedRequirements]]/tblCost[[#This Row],[TargetRequirements]])</f>
        <v>0</v>
      </c>
    </row>
    <row r="1577" spans="1:13">
      <c r="A1577" s="41" t="s">
        <v>5214</v>
      </c>
      <c r="B1577" s="41" t="str">
        <f>_xlfn.TEXTAFTER(_xlfn.TEXTBEFORE(tblCost[[#This Row],[RequirementID]],".",-2),"cost.")</f>
        <v>collection.pantry_1@1</v>
      </c>
      <c r="C1577" s="41" t="str">
        <f>_xlfn.XLOOKUP(tblCost[[#This Row],[TargetID]],tblTargets[TargetID],tblTargets[DisplayName],"")</f>
        <v>Pantry 1 Lv 1</v>
      </c>
      <c r="D1577" s="41" t="str">
        <f>_xlfn.XLOOKUP(tblCost[[#This Row],[TargetID]],tblTargets[TargetID],tblTargets[TargetType],"")</f>
        <v>COLLECTION</v>
      </c>
      <c r="E1577" s="41" t="s">
        <v>1802</v>
      </c>
      <c r="F1577" s="62" t="str">
        <f>RIGHT(tblCost[[#This Row],[RequirementID]],1)</f>
        <v>1</v>
      </c>
      <c r="G1577" s="41">
        <v>10</v>
      </c>
      <c r="H1577" t="b">
        <f>COUNTIFS(tblCostChecklist[RequirementID],tblCost[[#This Row],[RequirementID]],tblCostChecklist[PlayerPaid],TRUE)&gt;0</f>
        <v>0</v>
      </c>
      <c r="I1577" s="41">
        <f>COUNTIF(tblCost[TargetID],tblCost[[#This Row],[TargetID]])</f>
        <v>12</v>
      </c>
      <c r="J1577" s="41">
        <f>COUNTIFS(tblCost[TargetID],tblCost[[#This Row],[TargetID]],tblCost[PlayerPaid],TRUE)</f>
        <v>0</v>
      </c>
      <c r="K1577" s="41">
        <f>tblCost[[#This Row],[TargetRequirements]]-tblCost[[#This Row],[CompletedRequirements]]</f>
        <v>12</v>
      </c>
      <c r="L1577" s="41" t="b">
        <f>tblCost[[#This Row],[RemainingRequirements]]=0</f>
        <v>0</v>
      </c>
      <c r="M1577" s="43">
        <f>IF(tblCost[[#This Row],[TargetRequirements]]=0,0,tblCost[[#This Row],[CompletedRequirements]]/tblCost[[#This Row],[TargetRequirements]])</f>
        <v>0</v>
      </c>
    </row>
    <row r="1578" spans="1:13">
      <c r="A1578" s="41" t="s">
        <v>5215</v>
      </c>
      <c r="B1578" s="41" t="str">
        <f>_xlfn.TEXTAFTER(_xlfn.TEXTBEFORE(tblCost[[#This Row],[RequirementID]],".",-2),"cost.")</f>
        <v>collection.pantry_1@1</v>
      </c>
      <c r="C1578" s="41" t="str">
        <f>_xlfn.XLOOKUP(tblCost[[#This Row],[TargetID]],tblTargets[TargetID],tblTargets[DisplayName],"")</f>
        <v>Pantry 1 Lv 1</v>
      </c>
      <c r="D1578" s="41" t="str">
        <f>_xlfn.XLOOKUP(tblCost[[#This Row],[TargetID]],tblTargets[TargetID],tblTargets[TargetType],"")</f>
        <v>COLLECTION</v>
      </c>
      <c r="E1578" s="41" t="s">
        <v>934</v>
      </c>
      <c r="F1578" s="62" t="str">
        <f>RIGHT(tblCost[[#This Row],[RequirementID]],1)</f>
        <v>1</v>
      </c>
      <c r="G1578" s="41">
        <v>40</v>
      </c>
      <c r="H1578" t="b">
        <f>COUNTIFS(tblCostChecklist[RequirementID],tblCost[[#This Row],[RequirementID]],tblCostChecklist[PlayerPaid],TRUE)&gt;0</f>
        <v>0</v>
      </c>
      <c r="I1578" s="41">
        <f>COUNTIF(tblCost[TargetID],tblCost[[#This Row],[TargetID]])</f>
        <v>12</v>
      </c>
      <c r="J1578" s="41">
        <f>COUNTIFS(tblCost[TargetID],tblCost[[#This Row],[TargetID]],tblCost[PlayerPaid],TRUE)</f>
        <v>0</v>
      </c>
      <c r="K1578" s="41">
        <f>tblCost[[#This Row],[TargetRequirements]]-tblCost[[#This Row],[CompletedRequirements]]</f>
        <v>12</v>
      </c>
      <c r="L1578" s="41" t="b">
        <f>tblCost[[#This Row],[RemainingRequirements]]=0</f>
        <v>0</v>
      </c>
      <c r="M1578" s="43">
        <f>IF(tblCost[[#This Row],[TargetRequirements]]=0,0,tblCost[[#This Row],[CompletedRequirements]]/tblCost[[#This Row],[TargetRequirements]])</f>
        <v>0</v>
      </c>
    </row>
    <row r="1579" spans="1:13">
      <c r="A1579" s="41" t="s">
        <v>5216</v>
      </c>
      <c r="B1579" s="41" t="str">
        <f>_xlfn.TEXTAFTER(_xlfn.TEXTBEFORE(tblCost[[#This Row],[RequirementID]],".",-2),"cost.")</f>
        <v>collection.pantry_1@1</v>
      </c>
      <c r="C1579" s="41" t="str">
        <f>_xlfn.XLOOKUP(tblCost[[#This Row],[TargetID]],tblTargets[TargetID],tblTargets[DisplayName],"")</f>
        <v>Pantry 1 Lv 1</v>
      </c>
      <c r="D1579" s="41" t="str">
        <f>_xlfn.XLOOKUP(tblCost[[#This Row],[TargetID]],tblTargets[TargetID],tblTargets[TargetType],"")</f>
        <v>COLLECTION</v>
      </c>
      <c r="E1579" s="41" t="s">
        <v>674</v>
      </c>
      <c r="F1579" s="62" t="str">
        <f>RIGHT(tblCost[[#This Row],[RequirementID]],1)</f>
        <v>1</v>
      </c>
      <c r="G1579" s="41">
        <v>10</v>
      </c>
      <c r="H1579" t="b">
        <f>COUNTIFS(tblCostChecklist[RequirementID],tblCost[[#This Row],[RequirementID]],tblCostChecklist[PlayerPaid],TRUE)&gt;0</f>
        <v>0</v>
      </c>
      <c r="I1579" s="41">
        <f>COUNTIF(tblCost[TargetID],tblCost[[#This Row],[TargetID]])</f>
        <v>12</v>
      </c>
      <c r="J1579" s="41">
        <f>COUNTIFS(tblCost[TargetID],tblCost[[#This Row],[TargetID]],tblCost[PlayerPaid],TRUE)</f>
        <v>0</v>
      </c>
      <c r="K1579" s="41">
        <f>tblCost[[#This Row],[TargetRequirements]]-tblCost[[#This Row],[CompletedRequirements]]</f>
        <v>12</v>
      </c>
      <c r="L1579" s="41" t="b">
        <f>tblCost[[#This Row],[RemainingRequirements]]=0</f>
        <v>0</v>
      </c>
      <c r="M1579" s="43">
        <f>IF(tblCost[[#This Row],[TargetRequirements]]=0,0,tblCost[[#This Row],[CompletedRequirements]]/tblCost[[#This Row],[TargetRequirements]])</f>
        <v>0</v>
      </c>
    </row>
    <row r="1580" spans="1:13">
      <c r="A1580" s="41" t="s">
        <v>5217</v>
      </c>
      <c r="B1580" s="41" t="str">
        <f>_xlfn.TEXTAFTER(_xlfn.TEXTBEFORE(tblCost[[#This Row],[RequirementID]],".",-2),"cost.")</f>
        <v>collection.pantry_1@1</v>
      </c>
      <c r="C1580" s="41" t="str">
        <f>_xlfn.XLOOKUP(tblCost[[#This Row],[TargetID]],tblTargets[TargetID],tblTargets[DisplayName],"")</f>
        <v>Pantry 1 Lv 1</v>
      </c>
      <c r="D1580" s="41" t="str">
        <f>_xlfn.XLOOKUP(tblCost[[#This Row],[TargetID]],tblTargets[TargetID],tblTargets[TargetType],"")</f>
        <v>COLLECTION</v>
      </c>
      <c r="E1580" s="41" t="s">
        <v>697</v>
      </c>
      <c r="F1580" s="62" t="str">
        <f>RIGHT(tblCost[[#This Row],[RequirementID]],1)</f>
        <v>1</v>
      </c>
      <c r="G1580" s="41">
        <v>10</v>
      </c>
      <c r="H1580" t="b">
        <f>COUNTIFS(tblCostChecklist[RequirementID],tblCost[[#This Row],[RequirementID]],tblCostChecklist[PlayerPaid],TRUE)&gt;0</f>
        <v>0</v>
      </c>
      <c r="I1580" s="41">
        <f>COUNTIF(tblCost[TargetID],tblCost[[#This Row],[TargetID]])</f>
        <v>12</v>
      </c>
      <c r="J1580" s="41">
        <f>COUNTIFS(tblCost[TargetID],tblCost[[#This Row],[TargetID]],tblCost[PlayerPaid],TRUE)</f>
        <v>0</v>
      </c>
      <c r="K1580" s="41">
        <f>tblCost[[#This Row],[TargetRequirements]]-tblCost[[#This Row],[CompletedRequirements]]</f>
        <v>12</v>
      </c>
      <c r="L1580" s="41" t="b">
        <f>tblCost[[#This Row],[RemainingRequirements]]=0</f>
        <v>0</v>
      </c>
      <c r="M1580" s="43">
        <f>IF(tblCost[[#This Row],[TargetRequirements]]=0,0,tblCost[[#This Row],[CompletedRequirements]]/tblCost[[#This Row],[TargetRequirements]])</f>
        <v>0</v>
      </c>
    </row>
    <row r="1581" spans="1:13">
      <c r="A1581" s="41" t="s">
        <v>5218</v>
      </c>
      <c r="B1581" s="41" t="str">
        <f>_xlfn.TEXTAFTER(_xlfn.TEXTBEFORE(tblCost[[#This Row],[RequirementID]],".",-2),"cost.")</f>
        <v>collection.pantry_1@1</v>
      </c>
      <c r="C1581" s="41" t="str">
        <f>_xlfn.XLOOKUP(tblCost[[#This Row],[TargetID]],tblTargets[TargetID],tblTargets[DisplayName],"")</f>
        <v>Pantry 1 Lv 1</v>
      </c>
      <c r="D1581" s="41" t="str">
        <f>_xlfn.XLOOKUP(tblCost[[#This Row],[TargetID]],tblTargets[TargetID],tblTargets[TargetType],"")</f>
        <v>COLLECTION</v>
      </c>
      <c r="E1581" s="41" t="s">
        <v>707</v>
      </c>
      <c r="F1581" s="62" t="str">
        <f>RIGHT(tblCost[[#This Row],[RequirementID]],1)</f>
        <v>1</v>
      </c>
      <c r="G1581" s="41">
        <v>40</v>
      </c>
      <c r="H1581" t="b">
        <f>COUNTIFS(tblCostChecklist[RequirementID],tblCost[[#This Row],[RequirementID]],tblCostChecklist[PlayerPaid],TRUE)&gt;0</f>
        <v>0</v>
      </c>
      <c r="I1581" s="41">
        <f>COUNTIF(tblCost[TargetID],tblCost[[#This Row],[TargetID]])</f>
        <v>12</v>
      </c>
      <c r="J1581" s="41">
        <f>COUNTIFS(tblCost[TargetID],tblCost[[#This Row],[TargetID]],tblCost[PlayerPaid],TRUE)</f>
        <v>0</v>
      </c>
      <c r="K1581" s="41">
        <f>tblCost[[#This Row],[TargetRequirements]]-tblCost[[#This Row],[CompletedRequirements]]</f>
        <v>12</v>
      </c>
      <c r="L1581" s="41" t="b">
        <f>tblCost[[#This Row],[RemainingRequirements]]=0</f>
        <v>0</v>
      </c>
      <c r="M1581" s="43">
        <f>IF(tblCost[[#This Row],[TargetRequirements]]=0,0,tblCost[[#This Row],[CompletedRequirements]]/tblCost[[#This Row],[TargetRequirements]])</f>
        <v>0</v>
      </c>
    </row>
    <row r="1582" spans="1:13">
      <c r="A1582" s="41" t="s">
        <v>5219</v>
      </c>
      <c r="B1582" s="41" t="str">
        <f>_xlfn.TEXTAFTER(_xlfn.TEXTBEFORE(tblCost[[#This Row],[RequirementID]],".",-2),"cost.")</f>
        <v>collection.pantry_1@1</v>
      </c>
      <c r="C1582" s="41" t="str">
        <f>_xlfn.XLOOKUP(tblCost[[#This Row],[TargetID]],tblTargets[TargetID],tblTargets[DisplayName],"")</f>
        <v>Pantry 1 Lv 1</v>
      </c>
      <c r="D1582" s="41" t="str">
        <f>_xlfn.XLOOKUP(tblCost[[#This Row],[TargetID]],tblTargets[TargetID],tblTargets[TargetType],"")</f>
        <v>COLLECTION</v>
      </c>
      <c r="E1582" s="41" t="s">
        <v>948</v>
      </c>
      <c r="F1582" s="62" t="str">
        <f>RIGHT(tblCost[[#This Row],[RequirementID]],1)</f>
        <v>1</v>
      </c>
      <c r="G1582" s="41">
        <v>10</v>
      </c>
      <c r="H1582" t="b">
        <f>COUNTIFS(tblCostChecklist[RequirementID],tblCost[[#This Row],[RequirementID]],tblCostChecklist[PlayerPaid],TRUE)&gt;0</f>
        <v>0</v>
      </c>
      <c r="I1582" s="41">
        <f>COUNTIF(tblCost[TargetID],tblCost[[#This Row],[TargetID]])</f>
        <v>12</v>
      </c>
      <c r="J1582" s="41">
        <f>COUNTIFS(tblCost[TargetID],tblCost[[#This Row],[TargetID]],tblCost[PlayerPaid],TRUE)</f>
        <v>0</v>
      </c>
      <c r="K1582" s="41">
        <f>tblCost[[#This Row],[TargetRequirements]]-tblCost[[#This Row],[CompletedRequirements]]</f>
        <v>12</v>
      </c>
      <c r="L1582" s="41" t="b">
        <f>tblCost[[#This Row],[RemainingRequirements]]=0</f>
        <v>0</v>
      </c>
      <c r="M1582" s="43">
        <f>IF(tblCost[[#This Row],[TargetRequirements]]=0,0,tblCost[[#This Row],[CompletedRequirements]]/tblCost[[#This Row],[TargetRequirements]])</f>
        <v>0</v>
      </c>
    </row>
    <row r="1583" spans="1:13">
      <c r="A1583" s="41" t="s">
        <v>5220</v>
      </c>
      <c r="B1583" s="41" t="str">
        <f>_xlfn.TEXTAFTER(_xlfn.TEXTBEFORE(tblCost[[#This Row],[RequirementID]],".",-2),"cost.")</f>
        <v>collection.pantry_1@1</v>
      </c>
      <c r="C1583" s="41" t="str">
        <f>_xlfn.XLOOKUP(tblCost[[#This Row],[TargetID]],tblTargets[TargetID],tblTargets[DisplayName],"")</f>
        <v>Pantry 1 Lv 1</v>
      </c>
      <c r="D1583" s="41" t="str">
        <f>_xlfn.XLOOKUP(tblCost[[#This Row],[TargetID]],tblTargets[TargetID],tblTargets[TargetType],"")</f>
        <v>COLLECTION</v>
      </c>
      <c r="E1583" s="41" t="s">
        <v>711</v>
      </c>
      <c r="F1583" s="62" t="str">
        <f>RIGHT(tblCost[[#This Row],[RequirementID]],1)</f>
        <v>1</v>
      </c>
      <c r="G1583" s="41">
        <v>10</v>
      </c>
      <c r="H1583" t="b">
        <f>COUNTIFS(tblCostChecklist[RequirementID],tblCost[[#This Row],[RequirementID]],tblCostChecklist[PlayerPaid],TRUE)&gt;0</f>
        <v>0</v>
      </c>
      <c r="I1583" s="41">
        <f>COUNTIF(tblCost[TargetID],tblCost[[#This Row],[TargetID]])</f>
        <v>12</v>
      </c>
      <c r="J1583" s="41">
        <f>COUNTIFS(tblCost[TargetID],tblCost[[#This Row],[TargetID]],tblCost[PlayerPaid],TRUE)</f>
        <v>0</v>
      </c>
      <c r="K1583" s="41">
        <f>tblCost[[#This Row],[TargetRequirements]]-tblCost[[#This Row],[CompletedRequirements]]</f>
        <v>12</v>
      </c>
      <c r="L1583" s="41" t="b">
        <f>tblCost[[#This Row],[RemainingRequirements]]=0</f>
        <v>0</v>
      </c>
      <c r="M1583" s="43">
        <f>IF(tblCost[[#This Row],[TargetRequirements]]=0,0,tblCost[[#This Row],[CompletedRequirements]]/tblCost[[#This Row],[TargetRequirements]])</f>
        <v>0</v>
      </c>
    </row>
    <row r="1584" spans="1:13">
      <c r="A1584" s="41" t="s">
        <v>5221</v>
      </c>
      <c r="B1584" s="41" t="str">
        <f>_xlfn.TEXTAFTER(_xlfn.TEXTBEFORE(tblCost[[#This Row],[RequirementID]],".",-2),"cost.")</f>
        <v>collection.pantry_1@1</v>
      </c>
      <c r="C1584" s="41" t="str">
        <f>_xlfn.XLOOKUP(tblCost[[#This Row],[TargetID]],tblTargets[TargetID],tblTargets[DisplayName],"")</f>
        <v>Pantry 1 Lv 1</v>
      </c>
      <c r="D1584" s="41" t="str">
        <f>_xlfn.XLOOKUP(tblCost[[#This Row],[TargetID]],tblTargets[TargetID],tblTargets[TargetType],"")</f>
        <v>COLLECTION</v>
      </c>
      <c r="E1584" s="41" t="s">
        <v>715</v>
      </c>
      <c r="F1584" s="62" t="str">
        <f>RIGHT(tblCost[[#This Row],[RequirementID]],1)</f>
        <v>1</v>
      </c>
      <c r="G1584" s="41">
        <v>5</v>
      </c>
      <c r="H1584" t="b">
        <f>COUNTIFS(tblCostChecklist[RequirementID],tblCost[[#This Row],[RequirementID]],tblCostChecklist[PlayerPaid],TRUE)&gt;0</f>
        <v>0</v>
      </c>
      <c r="I1584" s="41">
        <f>COUNTIF(tblCost[TargetID],tblCost[[#This Row],[TargetID]])</f>
        <v>12</v>
      </c>
      <c r="J1584" s="41">
        <f>COUNTIFS(tblCost[TargetID],tblCost[[#This Row],[TargetID]],tblCost[PlayerPaid],TRUE)</f>
        <v>0</v>
      </c>
      <c r="K1584" s="41">
        <f>tblCost[[#This Row],[TargetRequirements]]-tblCost[[#This Row],[CompletedRequirements]]</f>
        <v>12</v>
      </c>
      <c r="L1584" s="41" t="b">
        <f>tblCost[[#This Row],[RemainingRequirements]]=0</f>
        <v>0</v>
      </c>
      <c r="M1584" s="43">
        <f>IF(tblCost[[#This Row],[TargetRequirements]]=0,0,tblCost[[#This Row],[CompletedRequirements]]/tblCost[[#This Row],[TargetRequirements]])</f>
        <v>0</v>
      </c>
    </row>
    <row r="1585" spans="1:13">
      <c r="A1585" s="41" t="s">
        <v>5222</v>
      </c>
      <c r="B1585" s="41" t="str">
        <f>_xlfn.TEXTAFTER(_xlfn.TEXTBEFORE(tblCost[[#This Row],[RequirementID]],".",-2),"cost.")</f>
        <v>collection.pantry_1@1</v>
      </c>
      <c r="C1585" s="41" t="str">
        <f>_xlfn.XLOOKUP(tblCost[[#This Row],[TargetID]],tblTargets[TargetID],tblTargets[DisplayName],"")</f>
        <v>Pantry 1 Lv 1</v>
      </c>
      <c r="D1585" s="41" t="str">
        <f>_xlfn.XLOOKUP(tblCost[[#This Row],[TargetID]],tblTargets[TargetID],tblTargets[TargetType],"")</f>
        <v>COLLECTION</v>
      </c>
      <c r="E1585" s="41" t="s">
        <v>719</v>
      </c>
      <c r="F1585" s="62" t="str">
        <f>RIGHT(tblCost[[#This Row],[RequirementID]],1)</f>
        <v>1</v>
      </c>
      <c r="G1585" s="41">
        <v>10</v>
      </c>
      <c r="H1585" t="b">
        <f>COUNTIFS(tblCostChecklist[RequirementID],tblCost[[#This Row],[RequirementID]],tblCostChecklist[PlayerPaid],TRUE)&gt;0</f>
        <v>0</v>
      </c>
      <c r="I1585" s="41">
        <f>COUNTIF(tblCost[TargetID],tblCost[[#This Row],[TargetID]])</f>
        <v>12</v>
      </c>
      <c r="J1585" s="41">
        <f>COUNTIFS(tblCost[TargetID],tblCost[[#This Row],[TargetID]],tblCost[PlayerPaid],TRUE)</f>
        <v>0</v>
      </c>
      <c r="K1585" s="41">
        <f>tblCost[[#This Row],[TargetRequirements]]-tblCost[[#This Row],[CompletedRequirements]]</f>
        <v>12</v>
      </c>
      <c r="L1585" s="41" t="b">
        <f>tblCost[[#This Row],[RemainingRequirements]]=0</f>
        <v>0</v>
      </c>
      <c r="M1585" s="43">
        <f>IF(tblCost[[#This Row],[TargetRequirements]]=0,0,tblCost[[#This Row],[CompletedRequirements]]/tblCost[[#This Row],[TargetRequirements]])</f>
        <v>0</v>
      </c>
    </row>
    <row r="1586" spans="1:13">
      <c r="A1586" s="41" t="s">
        <v>5223</v>
      </c>
      <c r="B1586" s="41" t="str">
        <f>_xlfn.TEXTAFTER(_xlfn.TEXTBEFORE(tblCost[[#This Row],[RequirementID]],".",-2),"cost.")</f>
        <v>collection.pantry_1@1</v>
      </c>
      <c r="C1586" s="41" t="str">
        <f>_xlfn.XLOOKUP(tblCost[[#This Row],[TargetID]],tblTargets[TargetID],tblTargets[DisplayName],"")</f>
        <v>Pantry 1 Lv 1</v>
      </c>
      <c r="D1586" s="41" t="str">
        <f>_xlfn.XLOOKUP(tblCost[[#This Row],[TargetID]],tblTargets[TargetID],tblTargets[TargetType],"")</f>
        <v>COLLECTION</v>
      </c>
      <c r="E1586" s="41" t="s">
        <v>956</v>
      </c>
      <c r="F1586" s="62" t="str">
        <f>RIGHT(tblCost[[#This Row],[RequirementID]],1)</f>
        <v>1</v>
      </c>
      <c r="G1586" s="41">
        <v>5</v>
      </c>
      <c r="H1586" t="b">
        <f>COUNTIFS(tblCostChecklist[RequirementID],tblCost[[#This Row],[RequirementID]],tblCostChecklist[PlayerPaid],TRUE)&gt;0</f>
        <v>0</v>
      </c>
      <c r="I1586" s="41">
        <f>COUNTIF(tblCost[TargetID],tblCost[[#This Row],[TargetID]])</f>
        <v>12</v>
      </c>
      <c r="J1586" s="41">
        <f>COUNTIFS(tblCost[TargetID],tblCost[[#This Row],[TargetID]],tblCost[PlayerPaid],TRUE)</f>
        <v>0</v>
      </c>
      <c r="K1586" s="41">
        <f>tblCost[[#This Row],[TargetRequirements]]-tblCost[[#This Row],[CompletedRequirements]]</f>
        <v>12</v>
      </c>
      <c r="L1586" s="41" t="b">
        <f>tblCost[[#This Row],[RemainingRequirements]]=0</f>
        <v>0</v>
      </c>
      <c r="M1586" s="43">
        <f>IF(tblCost[[#This Row],[TargetRequirements]]=0,0,tblCost[[#This Row],[CompletedRequirements]]/tblCost[[#This Row],[TargetRequirements]])</f>
        <v>0</v>
      </c>
    </row>
    <row r="1587" spans="1:13">
      <c r="A1587" s="41" t="s">
        <v>5224</v>
      </c>
      <c r="B1587" s="41" t="str">
        <f>_xlfn.TEXTAFTER(_xlfn.TEXTBEFORE(tblCost[[#This Row],[RequirementID]],".",-2),"cost.")</f>
        <v>collection.pantry_1@2</v>
      </c>
      <c r="C1587" s="41" t="str">
        <f>_xlfn.XLOOKUP(tblCost[[#This Row],[TargetID]],tblTargets[TargetID],tblTargets[DisplayName],"")</f>
        <v>Pantry 1 Lv 2</v>
      </c>
      <c r="D1587" s="41" t="str">
        <f>_xlfn.XLOOKUP(tblCost[[#This Row],[TargetID]],tblTargets[TargetID],tblTargets[TargetType],"")</f>
        <v>COLLECTION</v>
      </c>
      <c r="E1587" s="41" t="s">
        <v>1790</v>
      </c>
      <c r="F1587" s="62" t="str">
        <f>RIGHT(tblCost[[#This Row],[RequirementID]],1)</f>
        <v>1</v>
      </c>
      <c r="G1587" s="41">
        <v>10</v>
      </c>
      <c r="H1587" t="b">
        <f>COUNTIFS(tblCostChecklist[RequirementID],tblCost[[#This Row],[RequirementID]],tblCostChecklist[PlayerPaid],TRUE)&gt;0</f>
        <v>0</v>
      </c>
      <c r="I1587" s="41">
        <f>COUNTIF(tblCost[TargetID],tblCost[[#This Row],[TargetID]])</f>
        <v>12</v>
      </c>
      <c r="J1587" s="41">
        <f>COUNTIFS(tblCost[TargetID],tblCost[[#This Row],[TargetID]],tblCost[PlayerPaid],TRUE)</f>
        <v>0</v>
      </c>
      <c r="K1587" s="41">
        <f>tblCost[[#This Row],[TargetRequirements]]-tblCost[[#This Row],[CompletedRequirements]]</f>
        <v>12</v>
      </c>
      <c r="L1587" s="41" t="b">
        <f>tblCost[[#This Row],[RemainingRequirements]]=0</f>
        <v>0</v>
      </c>
      <c r="M1587" s="43">
        <f>IF(tblCost[[#This Row],[TargetRequirements]]=0,0,tblCost[[#This Row],[CompletedRequirements]]/tblCost[[#This Row],[TargetRequirements]])</f>
        <v>0</v>
      </c>
    </row>
    <row r="1588" spans="1:13">
      <c r="A1588" s="41" t="s">
        <v>5225</v>
      </c>
      <c r="B1588" s="41" t="str">
        <f>_xlfn.TEXTAFTER(_xlfn.TEXTBEFORE(tblCost[[#This Row],[RequirementID]],".",-2),"cost.")</f>
        <v>collection.pantry_1@2</v>
      </c>
      <c r="C1588" s="41" t="str">
        <f>_xlfn.XLOOKUP(tblCost[[#This Row],[TargetID]],tblTargets[TargetID],tblTargets[DisplayName],"")</f>
        <v>Pantry 1 Lv 2</v>
      </c>
      <c r="D1588" s="41" t="str">
        <f>_xlfn.XLOOKUP(tblCost[[#This Row],[TargetID]],tblTargets[TargetID],tblTargets[TargetType],"")</f>
        <v>COLLECTION</v>
      </c>
      <c r="E1588" s="41" t="s">
        <v>659</v>
      </c>
      <c r="F1588" s="62" t="str">
        <f>RIGHT(tblCost[[#This Row],[RequirementID]],1)</f>
        <v>1</v>
      </c>
      <c r="G1588" s="41">
        <v>20</v>
      </c>
      <c r="H1588" t="b">
        <f>COUNTIFS(tblCostChecklist[RequirementID],tblCost[[#This Row],[RequirementID]],tblCostChecklist[PlayerPaid],TRUE)&gt;0</f>
        <v>0</v>
      </c>
      <c r="I1588" s="41">
        <f>COUNTIF(tblCost[TargetID],tblCost[[#This Row],[TargetID]])</f>
        <v>12</v>
      </c>
      <c r="J1588" s="41">
        <f>COUNTIFS(tblCost[TargetID],tblCost[[#This Row],[TargetID]],tblCost[PlayerPaid],TRUE)</f>
        <v>0</v>
      </c>
      <c r="K1588" s="41">
        <f>tblCost[[#This Row],[TargetRequirements]]-tblCost[[#This Row],[CompletedRequirements]]</f>
        <v>12</v>
      </c>
      <c r="L1588" s="41" t="b">
        <f>tblCost[[#This Row],[RemainingRequirements]]=0</f>
        <v>0</v>
      </c>
      <c r="M1588" s="43">
        <f>IF(tblCost[[#This Row],[TargetRequirements]]=0,0,tblCost[[#This Row],[CompletedRequirements]]/tblCost[[#This Row],[TargetRequirements]])</f>
        <v>0</v>
      </c>
    </row>
    <row r="1589" spans="1:13">
      <c r="A1589" s="41" t="s">
        <v>5226</v>
      </c>
      <c r="B1589" s="41" t="str">
        <f>_xlfn.TEXTAFTER(_xlfn.TEXTBEFORE(tblCost[[#This Row],[RequirementID]],".",-2),"cost.")</f>
        <v>collection.pantry_1@2</v>
      </c>
      <c r="C1589" s="41" t="str">
        <f>_xlfn.XLOOKUP(tblCost[[#This Row],[TargetID]],tblTargets[TargetID],tblTargets[DisplayName],"")</f>
        <v>Pantry 1 Lv 2</v>
      </c>
      <c r="D1589" s="41" t="str">
        <f>_xlfn.XLOOKUP(tblCost[[#This Row],[TargetID]],tblTargets[TargetID],tblTargets[TargetType],"")</f>
        <v>COLLECTION</v>
      </c>
      <c r="E1589" s="41" t="s">
        <v>1802</v>
      </c>
      <c r="F1589" s="62" t="str">
        <f>RIGHT(tblCost[[#This Row],[RequirementID]],1)</f>
        <v>1</v>
      </c>
      <c r="G1589" s="41">
        <v>20</v>
      </c>
      <c r="H1589" t="b">
        <f>COUNTIFS(tblCostChecklist[RequirementID],tblCost[[#This Row],[RequirementID]],tblCostChecklist[PlayerPaid],TRUE)&gt;0</f>
        <v>0</v>
      </c>
      <c r="I1589" s="41">
        <f>COUNTIF(tblCost[TargetID],tblCost[[#This Row],[TargetID]])</f>
        <v>12</v>
      </c>
      <c r="J1589" s="41">
        <f>COUNTIFS(tblCost[TargetID],tblCost[[#This Row],[TargetID]],tblCost[PlayerPaid],TRUE)</f>
        <v>0</v>
      </c>
      <c r="K1589" s="41">
        <f>tblCost[[#This Row],[TargetRequirements]]-tblCost[[#This Row],[CompletedRequirements]]</f>
        <v>12</v>
      </c>
      <c r="L1589" s="41" t="b">
        <f>tblCost[[#This Row],[RemainingRequirements]]=0</f>
        <v>0</v>
      </c>
      <c r="M1589" s="43">
        <f>IF(tblCost[[#This Row],[TargetRequirements]]=0,0,tblCost[[#This Row],[CompletedRequirements]]/tblCost[[#This Row],[TargetRequirements]])</f>
        <v>0</v>
      </c>
    </row>
    <row r="1590" spans="1:13">
      <c r="A1590" s="41" t="s">
        <v>5227</v>
      </c>
      <c r="B1590" s="41" t="str">
        <f>_xlfn.TEXTAFTER(_xlfn.TEXTBEFORE(tblCost[[#This Row],[RequirementID]],".",-2),"cost.")</f>
        <v>collection.pantry_1@2</v>
      </c>
      <c r="C1590" s="41" t="str">
        <f>_xlfn.XLOOKUP(tblCost[[#This Row],[TargetID]],tblTargets[TargetID],tblTargets[DisplayName],"")</f>
        <v>Pantry 1 Lv 2</v>
      </c>
      <c r="D1590" s="41" t="str">
        <f>_xlfn.XLOOKUP(tblCost[[#This Row],[TargetID]],tblTargets[TargetID],tblTargets[TargetType],"")</f>
        <v>COLLECTION</v>
      </c>
      <c r="E1590" s="41" t="s">
        <v>934</v>
      </c>
      <c r="F1590" s="62" t="str">
        <f>RIGHT(tblCost[[#This Row],[RequirementID]],1)</f>
        <v>1</v>
      </c>
      <c r="G1590" s="41">
        <v>80</v>
      </c>
      <c r="H1590" t="b">
        <f>COUNTIFS(tblCostChecklist[RequirementID],tblCost[[#This Row],[RequirementID]],tblCostChecklist[PlayerPaid],TRUE)&gt;0</f>
        <v>0</v>
      </c>
      <c r="I1590" s="41">
        <f>COUNTIF(tblCost[TargetID],tblCost[[#This Row],[TargetID]])</f>
        <v>12</v>
      </c>
      <c r="J1590" s="41">
        <f>COUNTIFS(tblCost[TargetID],tblCost[[#This Row],[TargetID]],tblCost[PlayerPaid],TRUE)</f>
        <v>0</v>
      </c>
      <c r="K1590" s="41">
        <f>tblCost[[#This Row],[TargetRequirements]]-tblCost[[#This Row],[CompletedRequirements]]</f>
        <v>12</v>
      </c>
      <c r="L1590" s="41" t="b">
        <f>tblCost[[#This Row],[RemainingRequirements]]=0</f>
        <v>0</v>
      </c>
      <c r="M1590" s="43">
        <f>IF(tblCost[[#This Row],[TargetRequirements]]=0,0,tblCost[[#This Row],[CompletedRequirements]]/tblCost[[#This Row],[TargetRequirements]])</f>
        <v>0</v>
      </c>
    </row>
    <row r="1591" spans="1:13">
      <c r="A1591" s="41" t="s">
        <v>5228</v>
      </c>
      <c r="B1591" s="41" t="str">
        <f>_xlfn.TEXTAFTER(_xlfn.TEXTBEFORE(tblCost[[#This Row],[RequirementID]],".",-2),"cost.")</f>
        <v>collection.pantry_1@2</v>
      </c>
      <c r="C1591" s="41" t="str">
        <f>_xlfn.XLOOKUP(tblCost[[#This Row],[TargetID]],tblTargets[TargetID],tblTargets[DisplayName],"")</f>
        <v>Pantry 1 Lv 2</v>
      </c>
      <c r="D1591" s="41" t="str">
        <f>_xlfn.XLOOKUP(tblCost[[#This Row],[TargetID]],tblTargets[TargetID],tblTargets[TargetType],"")</f>
        <v>COLLECTION</v>
      </c>
      <c r="E1591" s="41" t="s">
        <v>674</v>
      </c>
      <c r="F1591" s="62" t="str">
        <f>RIGHT(tblCost[[#This Row],[RequirementID]],1)</f>
        <v>1</v>
      </c>
      <c r="G1591" s="41">
        <v>20</v>
      </c>
      <c r="H1591" t="b">
        <f>COUNTIFS(tblCostChecklist[RequirementID],tblCost[[#This Row],[RequirementID]],tblCostChecklist[PlayerPaid],TRUE)&gt;0</f>
        <v>0</v>
      </c>
      <c r="I1591" s="41">
        <f>COUNTIF(tblCost[TargetID],tblCost[[#This Row],[TargetID]])</f>
        <v>12</v>
      </c>
      <c r="J1591" s="41">
        <f>COUNTIFS(tblCost[TargetID],tblCost[[#This Row],[TargetID]],tblCost[PlayerPaid],TRUE)</f>
        <v>0</v>
      </c>
      <c r="K1591" s="41">
        <f>tblCost[[#This Row],[TargetRequirements]]-tblCost[[#This Row],[CompletedRequirements]]</f>
        <v>12</v>
      </c>
      <c r="L1591" s="41" t="b">
        <f>tblCost[[#This Row],[RemainingRequirements]]=0</f>
        <v>0</v>
      </c>
      <c r="M1591" s="43">
        <f>IF(tblCost[[#This Row],[TargetRequirements]]=0,0,tblCost[[#This Row],[CompletedRequirements]]/tblCost[[#This Row],[TargetRequirements]])</f>
        <v>0</v>
      </c>
    </row>
    <row r="1592" spans="1:13">
      <c r="A1592" s="41" t="s">
        <v>5229</v>
      </c>
      <c r="B1592" s="41" t="str">
        <f>_xlfn.TEXTAFTER(_xlfn.TEXTBEFORE(tblCost[[#This Row],[RequirementID]],".",-2),"cost.")</f>
        <v>collection.pantry_1@2</v>
      </c>
      <c r="C1592" s="41" t="str">
        <f>_xlfn.XLOOKUP(tblCost[[#This Row],[TargetID]],tblTargets[TargetID],tblTargets[DisplayName],"")</f>
        <v>Pantry 1 Lv 2</v>
      </c>
      <c r="D1592" s="41" t="str">
        <f>_xlfn.XLOOKUP(tblCost[[#This Row],[TargetID]],tblTargets[TargetID],tblTargets[TargetType],"")</f>
        <v>COLLECTION</v>
      </c>
      <c r="E1592" s="41" t="s">
        <v>697</v>
      </c>
      <c r="F1592" s="62" t="str">
        <f>RIGHT(tblCost[[#This Row],[RequirementID]],1)</f>
        <v>1</v>
      </c>
      <c r="G1592" s="41">
        <v>20</v>
      </c>
      <c r="H1592" t="b">
        <f>COUNTIFS(tblCostChecklist[RequirementID],tblCost[[#This Row],[RequirementID]],tblCostChecklist[PlayerPaid],TRUE)&gt;0</f>
        <v>0</v>
      </c>
      <c r="I1592" s="41">
        <f>COUNTIF(tblCost[TargetID],tblCost[[#This Row],[TargetID]])</f>
        <v>12</v>
      </c>
      <c r="J1592" s="41">
        <f>COUNTIFS(tblCost[TargetID],tblCost[[#This Row],[TargetID]],tblCost[PlayerPaid],TRUE)</f>
        <v>0</v>
      </c>
      <c r="K1592" s="41">
        <f>tblCost[[#This Row],[TargetRequirements]]-tblCost[[#This Row],[CompletedRequirements]]</f>
        <v>12</v>
      </c>
      <c r="L1592" s="41" t="b">
        <f>tblCost[[#This Row],[RemainingRequirements]]=0</f>
        <v>0</v>
      </c>
      <c r="M1592" s="43">
        <f>IF(tblCost[[#This Row],[TargetRequirements]]=0,0,tblCost[[#This Row],[CompletedRequirements]]/tblCost[[#This Row],[TargetRequirements]])</f>
        <v>0</v>
      </c>
    </row>
    <row r="1593" spans="1:13">
      <c r="A1593" s="41" t="s">
        <v>5230</v>
      </c>
      <c r="B1593" s="41" t="str">
        <f>_xlfn.TEXTAFTER(_xlfn.TEXTBEFORE(tblCost[[#This Row],[RequirementID]],".",-2),"cost.")</f>
        <v>collection.pantry_1@2</v>
      </c>
      <c r="C1593" s="41" t="str">
        <f>_xlfn.XLOOKUP(tblCost[[#This Row],[TargetID]],tblTargets[TargetID],tblTargets[DisplayName],"")</f>
        <v>Pantry 1 Lv 2</v>
      </c>
      <c r="D1593" s="41" t="str">
        <f>_xlfn.XLOOKUP(tblCost[[#This Row],[TargetID]],tblTargets[TargetID],tblTargets[TargetType],"")</f>
        <v>COLLECTION</v>
      </c>
      <c r="E1593" s="41" t="s">
        <v>707</v>
      </c>
      <c r="F1593" s="62" t="str">
        <f>RIGHT(tblCost[[#This Row],[RequirementID]],1)</f>
        <v>1</v>
      </c>
      <c r="G1593" s="41">
        <v>80</v>
      </c>
      <c r="H1593" t="b">
        <f>COUNTIFS(tblCostChecklist[RequirementID],tblCost[[#This Row],[RequirementID]],tblCostChecklist[PlayerPaid],TRUE)&gt;0</f>
        <v>0</v>
      </c>
      <c r="I1593" s="41">
        <f>COUNTIF(tblCost[TargetID],tblCost[[#This Row],[TargetID]])</f>
        <v>12</v>
      </c>
      <c r="J1593" s="41">
        <f>COUNTIFS(tblCost[TargetID],tblCost[[#This Row],[TargetID]],tblCost[PlayerPaid],TRUE)</f>
        <v>0</v>
      </c>
      <c r="K1593" s="41">
        <f>tblCost[[#This Row],[TargetRequirements]]-tblCost[[#This Row],[CompletedRequirements]]</f>
        <v>12</v>
      </c>
      <c r="L1593" s="41" t="b">
        <f>tblCost[[#This Row],[RemainingRequirements]]=0</f>
        <v>0</v>
      </c>
      <c r="M1593" s="43">
        <f>IF(tblCost[[#This Row],[TargetRequirements]]=0,0,tblCost[[#This Row],[CompletedRequirements]]/tblCost[[#This Row],[TargetRequirements]])</f>
        <v>0</v>
      </c>
    </row>
    <row r="1594" spans="1:13">
      <c r="A1594" s="41" t="s">
        <v>5231</v>
      </c>
      <c r="B1594" s="41" t="str">
        <f>_xlfn.TEXTAFTER(_xlfn.TEXTBEFORE(tblCost[[#This Row],[RequirementID]],".",-2),"cost.")</f>
        <v>collection.pantry_1@2</v>
      </c>
      <c r="C1594" s="41" t="str">
        <f>_xlfn.XLOOKUP(tblCost[[#This Row],[TargetID]],tblTargets[TargetID],tblTargets[DisplayName],"")</f>
        <v>Pantry 1 Lv 2</v>
      </c>
      <c r="D1594" s="41" t="str">
        <f>_xlfn.XLOOKUP(tblCost[[#This Row],[TargetID]],tblTargets[TargetID],tblTargets[TargetType],"")</f>
        <v>COLLECTION</v>
      </c>
      <c r="E1594" s="41" t="s">
        <v>948</v>
      </c>
      <c r="F1594" s="62" t="str">
        <f>RIGHT(tblCost[[#This Row],[RequirementID]],1)</f>
        <v>1</v>
      </c>
      <c r="G1594" s="41">
        <v>20</v>
      </c>
      <c r="H1594" t="b">
        <f>COUNTIFS(tblCostChecklist[RequirementID],tblCost[[#This Row],[RequirementID]],tblCostChecklist[PlayerPaid],TRUE)&gt;0</f>
        <v>0</v>
      </c>
      <c r="I1594" s="41">
        <f>COUNTIF(tblCost[TargetID],tblCost[[#This Row],[TargetID]])</f>
        <v>12</v>
      </c>
      <c r="J1594" s="41">
        <f>COUNTIFS(tblCost[TargetID],tblCost[[#This Row],[TargetID]],tblCost[PlayerPaid],TRUE)</f>
        <v>0</v>
      </c>
      <c r="K1594" s="41">
        <f>tblCost[[#This Row],[TargetRequirements]]-tblCost[[#This Row],[CompletedRequirements]]</f>
        <v>12</v>
      </c>
      <c r="L1594" s="41" t="b">
        <f>tblCost[[#This Row],[RemainingRequirements]]=0</f>
        <v>0</v>
      </c>
      <c r="M1594" s="43">
        <f>IF(tblCost[[#This Row],[TargetRequirements]]=0,0,tblCost[[#This Row],[CompletedRequirements]]/tblCost[[#This Row],[TargetRequirements]])</f>
        <v>0</v>
      </c>
    </row>
    <row r="1595" spans="1:13">
      <c r="A1595" s="41" t="s">
        <v>5232</v>
      </c>
      <c r="B1595" s="41" t="str">
        <f>_xlfn.TEXTAFTER(_xlfn.TEXTBEFORE(tblCost[[#This Row],[RequirementID]],".",-2),"cost.")</f>
        <v>collection.pantry_1@2</v>
      </c>
      <c r="C1595" s="41" t="str">
        <f>_xlfn.XLOOKUP(tblCost[[#This Row],[TargetID]],tblTargets[TargetID],tblTargets[DisplayName],"")</f>
        <v>Pantry 1 Lv 2</v>
      </c>
      <c r="D1595" s="41" t="str">
        <f>_xlfn.XLOOKUP(tblCost[[#This Row],[TargetID]],tblTargets[TargetID],tblTargets[TargetType],"")</f>
        <v>COLLECTION</v>
      </c>
      <c r="E1595" s="41" t="s">
        <v>711</v>
      </c>
      <c r="F1595" s="62" t="str">
        <f>RIGHT(tblCost[[#This Row],[RequirementID]],1)</f>
        <v>1</v>
      </c>
      <c r="G1595" s="41">
        <v>20</v>
      </c>
      <c r="H1595" t="b">
        <f>COUNTIFS(tblCostChecklist[RequirementID],tblCost[[#This Row],[RequirementID]],tblCostChecklist[PlayerPaid],TRUE)&gt;0</f>
        <v>0</v>
      </c>
      <c r="I1595" s="41">
        <f>COUNTIF(tblCost[TargetID],tblCost[[#This Row],[TargetID]])</f>
        <v>12</v>
      </c>
      <c r="J1595" s="41">
        <f>COUNTIFS(tblCost[TargetID],tblCost[[#This Row],[TargetID]],tblCost[PlayerPaid],TRUE)</f>
        <v>0</v>
      </c>
      <c r="K1595" s="41">
        <f>tblCost[[#This Row],[TargetRequirements]]-tblCost[[#This Row],[CompletedRequirements]]</f>
        <v>12</v>
      </c>
      <c r="L1595" s="41" t="b">
        <f>tblCost[[#This Row],[RemainingRequirements]]=0</f>
        <v>0</v>
      </c>
      <c r="M1595" s="43">
        <f>IF(tblCost[[#This Row],[TargetRequirements]]=0,0,tblCost[[#This Row],[CompletedRequirements]]/tblCost[[#This Row],[TargetRequirements]])</f>
        <v>0</v>
      </c>
    </row>
    <row r="1596" spans="1:13">
      <c r="A1596" s="41" t="s">
        <v>5233</v>
      </c>
      <c r="B1596" s="41" t="str">
        <f>_xlfn.TEXTAFTER(_xlfn.TEXTBEFORE(tblCost[[#This Row],[RequirementID]],".",-2),"cost.")</f>
        <v>collection.pantry_1@2</v>
      </c>
      <c r="C1596" s="41" t="str">
        <f>_xlfn.XLOOKUP(tblCost[[#This Row],[TargetID]],tblTargets[TargetID],tblTargets[DisplayName],"")</f>
        <v>Pantry 1 Lv 2</v>
      </c>
      <c r="D1596" s="41" t="str">
        <f>_xlfn.XLOOKUP(tblCost[[#This Row],[TargetID]],tblTargets[TargetID],tblTargets[TargetType],"")</f>
        <v>COLLECTION</v>
      </c>
      <c r="E1596" s="41" t="s">
        <v>715</v>
      </c>
      <c r="F1596" s="62" t="str">
        <f>RIGHT(tblCost[[#This Row],[RequirementID]],1)</f>
        <v>1</v>
      </c>
      <c r="G1596" s="41">
        <v>10</v>
      </c>
      <c r="H1596" t="b">
        <f>COUNTIFS(tblCostChecklist[RequirementID],tblCost[[#This Row],[RequirementID]],tblCostChecklist[PlayerPaid],TRUE)&gt;0</f>
        <v>0</v>
      </c>
      <c r="I1596" s="41">
        <f>COUNTIF(tblCost[TargetID],tblCost[[#This Row],[TargetID]])</f>
        <v>12</v>
      </c>
      <c r="J1596" s="41">
        <f>COUNTIFS(tblCost[TargetID],tblCost[[#This Row],[TargetID]],tblCost[PlayerPaid],TRUE)</f>
        <v>0</v>
      </c>
      <c r="K1596" s="41">
        <f>tblCost[[#This Row],[TargetRequirements]]-tblCost[[#This Row],[CompletedRequirements]]</f>
        <v>12</v>
      </c>
      <c r="L1596" s="41" t="b">
        <f>tblCost[[#This Row],[RemainingRequirements]]=0</f>
        <v>0</v>
      </c>
      <c r="M1596" s="43">
        <f>IF(tblCost[[#This Row],[TargetRequirements]]=0,0,tblCost[[#This Row],[CompletedRequirements]]/tblCost[[#This Row],[TargetRequirements]])</f>
        <v>0</v>
      </c>
    </row>
    <row r="1597" spans="1:13">
      <c r="A1597" s="41" t="s">
        <v>5234</v>
      </c>
      <c r="B1597" s="41" t="str">
        <f>_xlfn.TEXTAFTER(_xlfn.TEXTBEFORE(tblCost[[#This Row],[RequirementID]],".",-2),"cost.")</f>
        <v>collection.pantry_1@2</v>
      </c>
      <c r="C1597" s="41" t="str">
        <f>_xlfn.XLOOKUP(tblCost[[#This Row],[TargetID]],tblTargets[TargetID],tblTargets[DisplayName],"")</f>
        <v>Pantry 1 Lv 2</v>
      </c>
      <c r="D1597" s="41" t="str">
        <f>_xlfn.XLOOKUP(tblCost[[#This Row],[TargetID]],tblTargets[TargetID],tblTargets[TargetType],"")</f>
        <v>COLLECTION</v>
      </c>
      <c r="E1597" s="41" t="s">
        <v>719</v>
      </c>
      <c r="F1597" s="62" t="str">
        <f>RIGHT(tblCost[[#This Row],[RequirementID]],1)</f>
        <v>1</v>
      </c>
      <c r="G1597" s="41">
        <v>20</v>
      </c>
      <c r="H1597" t="b">
        <f>COUNTIFS(tblCostChecklist[RequirementID],tblCost[[#This Row],[RequirementID]],tblCostChecklist[PlayerPaid],TRUE)&gt;0</f>
        <v>0</v>
      </c>
      <c r="I1597" s="41">
        <f>COUNTIF(tblCost[TargetID],tblCost[[#This Row],[TargetID]])</f>
        <v>12</v>
      </c>
      <c r="J1597" s="41">
        <f>COUNTIFS(tblCost[TargetID],tblCost[[#This Row],[TargetID]],tblCost[PlayerPaid],TRUE)</f>
        <v>0</v>
      </c>
      <c r="K1597" s="41">
        <f>tblCost[[#This Row],[TargetRequirements]]-tblCost[[#This Row],[CompletedRequirements]]</f>
        <v>12</v>
      </c>
      <c r="L1597" s="41" t="b">
        <f>tblCost[[#This Row],[RemainingRequirements]]=0</f>
        <v>0</v>
      </c>
      <c r="M1597" s="43">
        <f>IF(tblCost[[#This Row],[TargetRequirements]]=0,0,tblCost[[#This Row],[CompletedRequirements]]/tblCost[[#This Row],[TargetRequirements]])</f>
        <v>0</v>
      </c>
    </row>
    <row r="1598" spans="1:13">
      <c r="A1598" s="41" t="s">
        <v>5235</v>
      </c>
      <c r="B1598" s="41" t="str">
        <f>_xlfn.TEXTAFTER(_xlfn.TEXTBEFORE(tblCost[[#This Row],[RequirementID]],".",-2),"cost.")</f>
        <v>collection.pantry_1@2</v>
      </c>
      <c r="C1598" s="41" t="str">
        <f>_xlfn.XLOOKUP(tblCost[[#This Row],[TargetID]],tblTargets[TargetID],tblTargets[DisplayName],"")</f>
        <v>Pantry 1 Lv 2</v>
      </c>
      <c r="D1598" s="41" t="str">
        <f>_xlfn.XLOOKUP(tblCost[[#This Row],[TargetID]],tblTargets[TargetID],tblTargets[TargetType],"")</f>
        <v>COLLECTION</v>
      </c>
      <c r="E1598" s="41" t="s">
        <v>956</v>
      </c>
      <c r="F1598" s="62" t="str">
        <f>RIGHT(tblCost[[#This Row],[RequirementID]],1)</f>
        <v>1</v>
      </c>
      <c r="G1598" s="41">
        <v>10</v>
      </c>
      <c r="H1598" t="b">
        <f>COUNTIFS(tblCostChecklist[RequirementID],tblCost[[#This Row],[RequirementID]],tblCostChecklist[PlayerPaid],TRUE)&gt;0</f>
        <v>0</v>
      </c>
      <c r="I1598" s="41">
        <f>COUNTIF(tblCost[TargetID],tblCost[[#This Row],[TargetID]])</f>
        <v>12</v>
      </c>
      <c r="J1598" s="41">
        <f>COUNTIFS(tblCost[TargetID],tblCost[[#This Row],[TargetID]],tblCost[PlayerPaid],TRUE)</f>
        <v>0</v>
      </c>
      <c r="K1598" s="41">
        <f>tblCost[[#This Row],[TargetRequirements]]-tblCost[[#This Row],[CompletedRequirements]]</f>
        <v>12</v>
      </c>
      <c r="L1598" s="41" t="b">
        <f>tblCost[[#This Row],[RemainingRequirements]]=0</f>
        <v>0</v>
      </c>
      <c r="M1598" s="43">
        <f>IF(tblCost[[#This Row],[TargetRequirements]]=0,0,tblCost[[#This Row],[CompletedRequirements]]/tblCost[[#This Row],[TargetRequirements]])</f>
        <v>0</v>
      </c>
    </row>
    <row r="1599" spans="1:13">
      <c r="A1599" s="41" t="s">
        <v>5236</v>
      </c>
      <c r="B1599" s="41" t="str">
        <f>_xlfn.TEXTAFTER(_xlfn.TEXTBEFORE(tblCost[[#This Row],[RequirementID]],".",-2),"cost.")</f>
        <v>collection.pantry_1@3</v>
      </c>
      <c r="C1599" s="41" t="str">
        <f>_xlfn.XLOOKUP(tblCost[[#This Row],[TargetID]],tblTargets[TargetID],tblTargets[DisplayName],"")</f>
        <v>Pantry 1 Lv 3</v>
      </c>
      <c r="D1599" s="41" t="str">
        <f>_xlfn.XLOOKUP(tblCost[[#This Row],[TargetID]],tblTargets[TargetID],tblTargets[TargetType],"")</f>
        <v>COLLECTION</v>
      </c>
      <c r="E1599" s="41" t="s">
        <v>1790</v>
      </c>
      <c r="F1599" s="62" t="str">
        <f>RIGHT(tblCost[[#This Row],[RequirementID]],1)</f>
        <v>1</v>
      </c>
      <c r="G1599" s="41">
        <v>15</v>
      </c>
      <c r="H1599" t="b">
        <f>COUNTIFS(tblCostChecklist[RequirementID],tblCost[[#This Row],[RequirementID]],tblCostChecklist[PlayerPaid],TRUE)&gt;0</f>
        <v>0</v>
      </c>
      <c r="I1599" s="41">
        <f>COUNTIF(tblCost[TargetID],tblCost[[#This Row],[TargetID]])</f>
        <v>12</v>
      </c>
      <c r="J1599" s="41">
        <f>COUNTIFS(tblCost[TargetID],tblCost[[#This Row],[TargetID]],tblCost[PlayerPaid],TRUE)</f>
        <v>0</v>
      </c>
      <c r="K1599" s="41">
        <f>tblCost[[#This Row],[TargetRequirements]]-tblCost[[#This Row],[CompletedRequirements]]</f>
        <v>12</v>
      </c>
      <c r="L1599" s="41" t="b">
        <f>tblCost[[#This Row],[RemainingRequirements]]=0</f>
        <v>0</v>
      </c>
      <c r="M1599" s="43">
        <f>IF(tblCost[[#This Row],[TargetRequirements]]=0,0,tblCost[[#This Row],[CompletedRequirements]]/tblCost[[#This Row],[TargetRequirements]])</f>
        <v>0</v>
      </c>
    </row>
    <row r="1600" spans="1:13">
      <c r="A1600" s="41" t="s">
        <v>5237</v>
      </c>
      <c r="B1600" s="41" t="str">
        <f>_xlfn.TEXTAFTER(_xlfn.TEXTBEFORE(tblCost[[#This Row],[RequirementID]],".",-2),"cost.")</f>
        <v>collection.pantry_1@3</v>
      </c>
      <c r="C1600" s="41" t="str">
        <f>_xlfn.XLOOKUP(tblCost[[#This Row],[TargetID]],tblTargets[TargetID],tblTargets[DisplayName],"")</f>
        <v>Pantry 1 Lv 3</v>
      </c>
      <c r="D1600" s="41" t="str">
        <f>_xlfn.XLOOKUP(tblCost[[#This Row],[TargetID]],tblTargets[TargetID],tblTargets[TargetType],"")</f>
        <v>COLLECTION</v>
      </c>
      <c r="E1600" s="41" t="s">
        <v>659</v>
      </c>
      <c r="F1600" s="62" t="str">
        <f>RIGHT(tblCost[[#This Row],[RequirementID]],1)</f>
        <v>1</v>
      </c>
      <c r="G1600" s="41">
        <v>30</v>
      </c>
      <c r="H1600" t="b">
        <f>COUNTIFS(tblCostChecklist[RequirementID],tblCost[[#This Row],[RequirementID]],tblCostChecklist[PlayerPaid],TRUE)&gt;0</f>
        <v>0</v>
      </c>
      <c r="I1600" s="41">
        <f>COUNTIF(tblCost[TargetID],tblCost[[#This Row],[TargetID]])</f>
        <v>12</v>
      </c>
      <c r="J1600" s="41">
        <f>COUNTIFS(tblCost[TargetID],tblCost[[#This Row],[TargetID]],tblCost[PlayerPaid],TRUE)</f>
        <v>0</v>
      </c>
      <c r="K1600" s="41">
        <f>tblCost[[#This Row],[TargetRequirements]]-tblCost[[#This Row],[CompletedRequirements]]</f>
        <v>12</v>
      </c>
      <c r="L1600" s="41" t="b">
        <f>tblCost[[#This Row],[RemainingRequirements]]=0</f>
        <v>0</v>
      </c>
      <c r="M1600" s="43">
        <f>IF(tblCost[[#This Row],[TargetRequirements]]=0,0,tblCost[[#This Row],[CompletedRequirements]]/tblCost[[#This Row],[TargetRequirements]])</f>
        <v>0</v>
      </c>
    </row>
    <row r="1601" spans="1:13">
      <c r="A1601" s="41" t="s">
        <v>5238</v>
      </c>
      <c r="B1601" s="41" t="str">
        <f>_xlfn.TEXTAFTER(_xlfn.TEXTBEFORE(tblCost[[#This Row],[RequirementID]],".",-2),"cost.")</f>
        <v>collection.pantry_1@3</v>
      </c>
      <c r="C1601" s="41" t="str">
        <f>_xlfn.XLOOKUP(tblCost[[#This Row],[TargetID]],tblTargets[TargetID],tblTargets[DisplayName],"")</f>
        <v>Pantry 1 Lv 3</v>
      </c>
      <c r="D1601" s="41" t="str">
        <f>_xlfn.XLOOKUP(tblCost[[#This Row],[TargetID]],tblTargets[TargetID],tblTargets[TargetType],"")</f>
        <v>COLLECTION</v>
      </c>
      <c r="E1601" s="41" t="s">
        <v>1802</v>
      </c>
      <c r="F1601" s="62" t="str">
        <f>RIGHT(tblCost[[#This Row],[RequirementID]],1)</f>
        <v>1</v>
      </c>
      <c r="G1601" s="41">
        <v>30</v>
      </c>
      <c r="H1601" t="b">
        <f>COUNTIFS(tblCostChecklist[RequirementID],tblCost[[#This Row],[RequirementID]],tblCostChecklist[PlayerPaid],TRUE)&gt;0</f>
        <v>0</v>
      </c>
      <c r="I1601" s="41">
        <f>COUNTIF(tblCost[TargetID],tblCost[[#This Row],[TargetID]])</f>
        <v>12</v>
      </c>
      <c r="J1601" s="41">
        <f>COUNTIFS(tblCost[TargetID],tblCost[[#This Row],[TargetID]],tblCost[PlayerPaid],TRUE)</f>
        <v>0</v>
      </c>
      <c r="K1601" s="41">
        <f>tblCost[[#This Row],[TargetRequirements]]-tblCost[[#This Row],[CompletedRequirements]]</f>
        <v>12</v>
      </c>
      <c r="L1601" s="41" t="b">
        <f>tblCost[[#This Row],[RemainingRequirements]]=0</f>
        <v>0</v>
      </c>
      <c r="M1601" s="43">
        <f>IF(tblCost[[#This Row],[TargetRequirements]]=0,0,tblCost[[#This Row],[CompletedRequirements]]/tblCost[[#This Row],[TargetRequirements]])</f>
        <v>0</v>
      </c>
    </row>
    <row r="1602" spans="1:13">
      <c r="A1602" s="41" t="s">
        <v>5239</v>
      </c>
      <c r="B1602" s="41" t="str">
        <f>_xlfn.TEXTAFTER(_xlfn.TEXTBEFORE(tblCost[[#This Row],[RequirementID]],".",-2),"cost.")</f>
        <v>collection.pantry_1@3</v>
      </c>
      <c r="C1602" s="41" t="str">
        <f>_xlfn.XLOOKUP(tblCost[[#This Row],[TargetID]],tblTargets[TargetID],tblTargets[DisplayName],"")</f>
        <v>Pantry 1 Lv 3</v>
      </c>
      <c r="D1602" s="41" t="str">
        <f>_xlfn.XLOOKUP(tblCost[[#This Row],[TargetID]],tblTargets[TargetID],tblTargets[TargetType],"")</f>
        <v>COLLECTION</v>
      </c>
      <c r="E1602" s="41" t="s">
        <v>934</v>
      </c>
      <c r="F1602" s="62" t="str">
        <f>RIGHT(tblCost[[#This Row],[RequirementID]],1)</f>
        <v>1</v>
      </c>
      <c r="G1602" s="41">
        <v>120</v>
      </c>
      <c r="H1602" t="b">
        <f>COUNTIFS(tblCostChecklist[RequirementID],tblCost[[#This Row],[RequirementID]],tblCostChecklist[PlayerPaid],TRUE)&gt;0</f>
        <v>0</v>
      </c>
      <c r="I1602" s="41">
        <f>COUNTIF(tblCost[TargetID],tblCost[[#This Row],[TargetID]])</f>
        <v>12</v>
      </c>
      <c r="J1602" s="41">
        <f>COUNTIFS(tblCost[TargetID],tblCost[[#This Row],[TargetID]],tblCost[PlayerPaid],TRUE)</f>
        <v>0</v>
      </c>
      <c r="K1602" s="41">
        <f>tblCost[[#This Row],[TargetRequirements]]-tblCost[[#This Row],[CompletedRequirements]]</f>
        <v>12</v>
      </c>
      <c r="L1602" s="41" t="b">
        <f>tblCost[[#This Row],[RemainingRequirements]]=0</f>
        <v>0</v>
      </c>
      <c r="M1602" s="43">
        <f>IF(tblCost[[#This Row],[TargetRequirements]]=0,0,tblCost[[#This Row],[CompletedRequirements]]/tblCost[[#This Row],[TargetRequirements]])</f>
        <v>0</v>
      </c>
    </row>
    <row r="1603" spans="1:13">
      <c r="A1603" s="41" t="s">
        <v>5240</v>
      </c>
      <c r="B1603" s="41" t="str">
        <f>_xlfn.TEXTAFTER(_xlfn.TEXTBEFORE(tblCost[[#This Row],[RequirementID]],".",-2),"cost.")</f>
        <v>collection.pantry_1@3</v>
      </c>
      <c r="C1603" s="41" t="str">
        <f>_xlfn.XLOOKUP(tblCost[[#This Row],[TargetID]],tblTargets[TargetID],tblTargets[DisplayName],"")</f>
        <v>Pantry 1 Lv 3</v>
      </c>
      <c r="D1603" s="41" t="str">
        <f>_xlfn.XLOOKUP(tblCost[[#This Row],[TargetID]],tblTargets[TargetID],tblTargets[TargetType],"")</f>
        <v>COLLECTION</v>
      </c>
      <c r="E1603" s="41" t="s">
        <v>674</v>
      </c>
      <c r="F1603" s="62" t="str">
        <f>RIGHT(tblCost[[#This Row],[RequirementID]],1)</f>
        <v>1</v>
      </c>
      <c r="G1603" s="41">
        <v>30</v>
      </c>
      <c r="H1603" t="b">
        <f>COUNTIFS(tblCostChecklist[RequirementID],tblCost[[#This Row],[RequirementID]],tblCostChecklist[PlayerPaid],TRUE)&gt;0</f>
        <v>0</v>
      </c>
      <c r="I1603" s="41">
        <f>COUNTIF(tblCost[TargetID],tblCost[[#This Row],[TargetID]])</f>
        <v>12</v>
      </c>
      <c r="J1603" s="41">
        <f>COUNTIFS(tblCost[TargetID],tblCost[[#This Row],[TargetID]],tblCost[PlayerPaid],TRUE)</f>
        <v>0</v>
      </c>
      <c r="K1603" s="41">
        <f>tblCost[[#This Row],[TargetRequirements]]-tblCost[[#This Row],[CompletedRequirements]]</f>
        <v>12</v>
      </c>
      <c r="L1603" s="41" t="b">
        <f>tblCost[[#This Row],[RemainingRequirements]]=0</f>
        <v>0</v>
      </c>
      <c r="M1603" s="43">
        <f>IF(tblCost[[#This Row],[TargetRequirements]]=0,0,tblCost[[#This Row],[CompletedRequirements]]/tblCost[[#This Row],[TargetRequirements]])</f>
        <v>0</v>
      </c>
    </row>
    <row r="1604" spans="1:13">
      <c r="A1604" s="41" t="s">
        <v>5241</v>
      </c>
      <c r="B1604" s="41" t="str">
        <f>_xlfn.TEXTAFTER(_xlfn.TEXTBEFORE(tblCost[[#This Row],[RequirementID]],".",-2),"cost.")</f>
        <v>collection.pantry_1@3</v>
      </c>
      <c r="C1604" s="41" t="str">
        <f>_xlfn.XLOOKUP(tblCost[[#This Row],[TargetID]],tblTargets[TargetID],tblTargets[DisplayName],"")</f>
        <v>Pantry 1 Lv 3</v>
      </c>
      <c r="D1604" s="41" t="str">
        <f>_xlfn.XLOOKUP(tblCost[[#This Row],[TargetID]],tblTargets[TargetID],tblTargets[TargetType],"")</f>
        <v>COLLECTION</v>
      </c>
      <c r="E1604" s="41" t="s">
        <v>697</v>
      </c>
      <c r="F1604" s="62" t="str">
        <f>RIGHT(tblCost[[#This Row],[RequirementID]],1)</f>
        <v>1</v>
      </c>
      <c r="G1604" s="41">
        <v>30</v>
      </c>
      <c r="H1604" t="b">
        <f>COUNTIFS(tblCostChecklist[RequirementID],tblCost[[#This Row],[RequirementID]],tblCostChecklist[PlayerPaid],TRUE)&gt;0</f>
        <v>0</v>
      </c>
      <c r="I1604" s="41">
        <f>COUNTIF(tblCost[TargetID],tblCost[[#This Row],[TargetID]])</f>
        <v>12</v>
      </c>
      <c r="J1604" s="41">
        <f>COUNTIFS(tblCost[TargetID],tblCost[[#This Row],[TargetID]],tblCost[PlayerPaid],TRUE)</f>
        <v>0</v>
      </c>
      <c r="K1604" s="41">
        <f>tblCost[[#This Row],[TargetRequirements]]-tblCost[[#This Row],[CompletedRequirements]]</f>
        <v>12</v>
      </c>
      <c r="L1604" s="41" t="b">
        <f>tblCost[[#This Row],[RemainingRequirements]]=0</f>
        <v>0</v>
      </c>
      <c r="M1604" s="43">
        <f>IF(tblCost[[#This Row],[TargetRequirements]]=0,0,tblCost[[#This Row],[CompletedRequirements]]/tblCost[[#This Row],[TargetRequirements]])</f>
        <v>0</v>
      </c>
    </row>
    <row r="1605" spans="1:13">
      <c r="A1605" s="41" t="s">
        <v>5242</v>
      </c>
      <c r="B1605" s="41" t="str">
        <f>_xlfn.TEXTAFTER(_xlfn.TEXTBEFORE(tblCost[[#This Row],[RequirementID]],".",-2),"cost.")</f>
        <v>collection.pantry_1@3</v>
      </c>
      <c r="C1605" s="41" t="str">
        <f>_xlfn.XLOOKUP(tblCost[[#This Row],[TargetID]],tblTargets[TargetID],tblTargets[DisplayName],"")</f>
        <v>Pantry 1 Lv 3</v>
      </c>
      <c r="D1605" s="41" t="str">
        <f>_xlfn.XLOOKUP(tblCost[[#This Row],[TargetID]],tblTargets[TargetID],tblTargets[TargetType],"")</f>
        <v>COLLECTION</v>
      </c>
      <c r="E1605" s="41" t="s">
        <v>707</v>
      </c>
      <c r="F1605" s="62" t="str">
        <f>RIGHT(tblCost[[#This Row],[RequirementID]],1)</f>
        <v>1</v>
      </c>
      <c r="G1605" s="41">
        <v>120</v>
      </c>
      <c r="H1605" t="b">
        <f>COUNTIFS(tblCostChecklist[RequirementID],tblCost[[#This Row],[RequirementID]],tblCostChecklist[PlayerPaid],TRUE)&gt;0</f>
        <v>0</v>
      </c>
      <c r="I1605" s="41">
        <f>COUNTIF(tblCost[TargetID],tblCost[[#This Row],[TargetID]])</f>
        <v>12</v>
      </c>
      <c r="J1605" s="41">
        <f>COUNTIFS(tblCost[TargetID],tblCost[[#This Row],[TargetID]],tblCost[PlayerPaid],TRUE)</f>
        <v>0</v>
      </c>
      <c r="K1605" s="41">
        <f>tblCost[[#This Row],[TargetRequirements]]-tblCost[[#This Row],[CompletedRequirements]]</f>
        <v>12</v>
      </c>
      <c r="L1605" s="41" t="b">
        <f>tblCost[[#This Row],[RemainingRequirements]]=0</f>
        <v>0</v>
      </c>
      <c r="M1605" s="43">
        <f>IF(tblCost[[#This Row],[TargetRequirements]]=0,0,tblCost[[#This Row],[CompletedRequirements]]/tblCost[[#This Row],[TargetRequirements]])</f>
        <v>0</v>
      </c>
    </row>
    <row r="1606" spans="1:13">
      <c r="A1606" s="41" t="s">
        <v>5243</v>
      </c>
      <c r="B1606" s="41" t="str">
        <f>_xlfn.TEXTAFTER(_xlfn.TEXTBEFORE(tblCost[[#This Row],[RequirementID]],".",-2),"cost.")</f>
        <v>collection.pantry_1@3</v>
      </c>
      <c r="C1606" s="41" t="str">
        <f>_xlfn.XLOOKUP(tblCost[[#This Row],[TargetID]],tblTargets[TargetID],tblTargets[DisplayName],"")</f>
        <v>Pantry 1 Lv 3</v>
      </c>
      <c r="D1606" s="41" t="str">
        <f>_xlfn.XLOOKUP(tblCost[[#This Row],[TargetID]],tblTargets[TargetID],tblTargets[TargetType],"")</f>
        <v>COLLECTION</v>
      </c>
      <c r="E1606" s="41" t="s">
        <v>948</v>
      </c>
      <c r="F1606" s="62" t="str">
        <f>RIGHT(tblCost[[#This Row],[RequirementID]],1)</f>
        <v>1</v>
      </c>
      <c r="G1606" s="41">
        <v>30</v>
      </c>
      <c r="H1606" t="b">
        <f>COUNTIFS(tblCostChecklist[RequirementID],tblCost[[#This Row],[RequirementID]],tblCostChecklist[PlayerPaid],TRUE)&gt;0</f>
        <v>0</v>
      </c>
      <c r="I1606" s="41">
        <f>COUNTIF(tblCost[TargetID],tblCost[[#This Row],[TargetID]])</f>
        <v>12</v>
      </c>
      <c r="J1606" s="41">
        <f>COUNTIFS(tblCost[TargetID],tblCost[[#This Row],[TargetID]],tblCost[PlayerPaid],TRUE)</f>
        <v>0</v>
      </c>
      <c r="K1606" s="41">
        <f>tblCost[[#This Row],[TargetRequirements]]-tblCost[[#This Row],[CompletedRequirements]]</f>
        <v>12</v>
      </c>
      <c r="L1606" s="41" t="b">
        <f>tblCost[[#This Row],[RemainingRequirements]]=0</f>
        <v>0</v>
      </c>
      <c r="M1606" s="43">
        <f>IF(tblCost[[#This Row],[TargetRequirements]]=0,0,tblCost[[#This Row],[CompletedRequirements]]/tblCost[[#This Row],[TargetRequirements]])</f>
        <v>0</v>
      </c>
    </row>
    <row r="1607" spans="1:13">
      <c r="A1607" s="41" t="s">
        <v>5244</v>
      </c>
      <c r="B1607" s="41" t="str">
        <f>_xlfn.TEXTAFTER(_xlfn.TEXTBEFORE(tblCost[[#This Row],[RequirementID]],".",-2),"cost.")</f>
        <v>collection.pantry_1@3</v>
      </c>
      <c r="C1607" s="41" t="str">
        <f>_xlfn.XLOOKUP(tblCost[[#This Row],[TargetID]],tblTargets[TargetID],tblTargets[DisplayName],"")</f>
        <v>Pantry 1 Lv 3</v>
      </c>
      <c r="D1607" s="41" t="str">
        <f>_xlfn.XLOOKUP(tblCost[[#This Row],[TargetID]],tblTargets[TargetID],tblTargets[TargetType],"")</f>
        <v>COLLECTION</v>
      </c>
      <c r="E1607" s="41" t="s">
        <v>711</v>
      </c>
      <c r="F1607" s="62" t="str">
        <f>RIGHT(tblCost[[#This Row],[RequirementID]],1)</f>
        <v>1</v>
      </c>
      <c r="G1607" s="41">
        <v>30</v>
      </c>
      <c r="H1607" t="b">
        <f>COUNTIFS(tblCostChecklist[RequirementID],tblCost[[#This Row],[RequirementID]],tblCostChecklist[PlayerPaid],TRUE)&gt;0</f>
        <v>0</v>
      </c>
      <c r="I1607" s="41">
        <f>COUNTIF(tblCost[TargetID],tblCost[[#This Row],[TargetID]])</f>
        <v>12</v>
      </c>
      <c r="J1607" s="41">
        <f>COUNTIFS(tblCost[TargetID],tblCost[[#This Row],[TargetID]],tblCost[PlayerPaid],TRUE)</f>
        <v>0</v>
      </c>
      <c r="K1607" s="41">
        <f>tblCost[[#This Row],[TargetRequirements]]-tblCost[[#This Row],[CompletedRequirements]]</f>
        <v>12</v>
      </c>
      <c r="L1607" s="41" t="b">
        <f>tblCost[[#This Row],[RemainingRequirements]]=0</f>
        <v>0</v>
      </c>
      <c r="M1607" s="43">
        <f>IF(tblCost[[#This Row],[TargetRequirements]]=0,0,tblCost[[#This Row],[CompletedRequirements]]/tblCost[[#This Row],[TargetRequirements]])</f>
        <v>0</v>
      </c>
    </row>
    <row r="1608" spans="1:13">
      <c r="A1608" s="41" t="s">
        <v>5245</v>
      </c>
      <c r="B1608" s="41" t="str">
        <f>_xlfn.TEXTAFTER(_xlfn.TEXTBEFORE(tblCost[[#This Row],[RequirementID]],".",-2),"cost.")</f>
        <v>collection.pantry_1@3</v>
      </c>
      <c r="C1608" s="41" t="str">
        <f>_xlfn.XLOOKUP(tblCost[[#This Row],[TargetID]],tblTargets[TargetID],tblTargets[DisplayName],"")</f>
        <v>Pantry 1 Lv 3</v>
      </c>
      <c r="D1608" s="41" t="str">
        <f>_xlfn.XLOOKUP(tblCost[[#This Row],[TargetID]],tblTargets[TargetID],tblTargets[TargetType],"")</f>
        <v>COLLECTION</v>
      </c>
      <c r="E1608" s="41" t="s">
        <v>715</v>
      </c>
      <c r="F1608" s="62" t="str">
        <f>RIGHT(tblCost[[#This Row],[RequirementID]],1)</f>
        <v>1</v>
      </c>
      <c r="G1608" s="41">
        <v>15</v>
      </c>
      <c r="H1608" t="b">
        <f>COUNTIFS(tblCostChecklist[RequirementID],tblCost[[#This Row],[RequirementID]],tblCostChecklist[PlayerPaid],TRUE)&gt;0</f>
        <v>0</v>
      </c>
      <c r="I1608" s="41">
        <f>COUNTIF(tblCost[TargetID],tblCost[[#This Row],[TargetID]])</f>
        <v>12</v>
      </c>
      <c r="J1608" s="41">
        <f>COUNTIFS(tblCost[TargetID],tblCost[[#This Row],[TargetID]],tblCost[PlayerPaid],TRUE)</f>
        <v>0</v>
      </c>
      <c r="K1608" s="41">
        <f>tblCost[[#This Row],[TargetRequirements]]-tblCost[[#This Row],[CompletedRequirements]]</f>
        <v>12</v>
      </c>
      <c r="L1608" s="41" t="b">
        <f>tblCost[[#This Row],[RemainingRequirements]]=0</f>
        <v>0</v>
      </c>
      <c r="M1608" s="43">
        <f>IF(tblCost[[#This Row],[TargetRequirements]]=0,0,tblCost[[#This Row],[CompletedRequirements]]/tblCost[[#This Row],[TargetRequirements]])</f>
        <v>0</v>
      </c>
    </row>
    <row r="1609" spans="1:13">
      <c r="A1609" s="41" t="s">
        <v>5246</v>
      </c>
      <c r="B1609" s="41" t="str">
        <f>_xlfn.TEXTAFTER(_xlfn.TEXTBEFORE(tblCost[[#This Row],[RequirementID]],".",-2),"cost.")</f>
        <v>collection.pantry_1@3</v>
      </c>
      <c r="C1609" s="41" t="str">
        <f>_xlfn.XLOOKUP(tblCost[[#This Row],[TargetID]],tblTargets[TargetID],tblTargets[DisplayName],"")</f>
        <v>Pantry 1 Lv 3</v>
      </c>
      <c r="D1609" s="41" t="str">
        <f>_xlfn.XLOOKUP(tblCost[[#This Row],[TargetID]],tblTargets[TargetID],tblTargets[TargetType],"")</f>
        <v>COLLECTION</v>
      </c>
      <c r="E1609" s="41" t="s">
        <v>719</v>
      </c>
      <c r="F1609" s="62" t="str">
        <f>RIGHT(tblCost[[#This Row],[RequirementID]],1)</f>
        <v>1</v>
      </c>
      <c r="G1609" s="41">
        <v>30</v>
      </c>
      <c r="H1609" t="b">
        <f>COUNTIFS(tblCostChecklist[RequirementID],tblCost[[#This Row],[RequirementID]],tblCostChecklist[PlayerPaid],TRUE)&gt;0</f>
        <v>0</v>
      </c>
      <c r="I1609" s="41">
        <f>COUNTIF(tblCost[TargetID],tblCost[[#This Row],[TargetID]])</f>
        <v>12</v>
      </c>
      <c r="J1609" s="41">
        <f>COUNTIFS(tblCost[TargetID],tblCost[[#This Row],[TargetID]],tblCost[PlayerPaid],TRUE)</f>
        <v>0</v>
      </c>
      <c r="K1609" s="41">
        <f>tblCost[[#This Row],[TargetRequirements]]-tblCost[[#This Row],[CompletedRequirements]]</f>
        <v>12</v>
      </c>
      <c r="L1609" s="41" t="b">
        <f>tblCost[[#This Row],[RemainingRequirements]]=0</f>
        <v>0</v>
      </c>
      <c r="M1609" s="43">
        <f>IF(tblCost[[#This Row],[TargetRequirements]]=0,0,tblCost[[#This Row],[CompletedRequirements]]/tblCost[[#This Row],[TargetRequirements]])</f>
        <v>0</v>
      </c>
    </row>
    <row r="1610" spans="1:13">
      <c r="A1610" s="41" t="s">
        <v>5247</v>
      </c>
      <c r="B1610" s="41" t="str">
        <f>_xlfn.TEXTAFTER(_xlfn.TEXTBEFORE(tblCost[[#This Row],[RequirementID]],".",-2),"cost.")</f>
        <v>collection.pantry_1@3</v>
      </c>
      <c r="C1610" s="41" t="str">
        <f>_xlfn.XLOOKUP(tblCost[[#This Row],[TargetID]],tblTargets[TargetID],tblTargets[DisplayName],"")</f>
        <v>Pantry 1 Lv 3</v>
      </c>
      <c r="D1610" s="41" t="str">
        <f>_xlfn.XLOOKUP(tblCost[[#This Row],[TargetID]],tblTargets[TargetID],tblTargets[TargetType],"")</f>
        <v>COLLECTION</v>
      </c>
      <c r="E1610" s="41" t="s">
        <v>956</v>
      </c>
      <c r="F1610" s="62" t="str">
        <f>RIGHT(tblCost[[#This Row],[RequirementID]],1)</f>
        <v>1</v>
      </c>
      <c r="G1610" s="41">
        <v>15</v>
      </c>
      <c r="H1610" t="b">
        <f>COUNTIFS(tblCostChecklist[RequirementID],tblCost[[#This Row],[RequirementID]],tblCostChecklist[PlayerPaid],TRUE)&gt;0</f>
        <v>0</v>
      </c>
      <c r="I1610" s="41">
        <f>COUNTIF(tblCost[TargetID],tblCost[[#This Row],[TargetID]])</f>
        <v>12</v>
      </c>
      <c r="J1610" s="41">
        <f>COUNTIFS(tblCost[TargetID],tblCost[[#This Row],[TargetID]],tblCost[PlayerPaid],TRUE)</f>
        <v>0</v>
      </c>
      <c r="K1610" s="41">
        <f>tblCost[[#This Row],[TargetRequirements]]-tblCost[[#This Row],[CompletedRequirements]]</f>
        <v>12</v>
      </c>
      <c r="L1610" s="41" t="b">
        <f>tblCost[[#This Row],[RemainingRequirements]]=0</f>
        <v>0</v>
      </c>
      <c r="M1610" s="43">
        <f>IF(tblCost[[#This Row],[TargetRequirements]]=0,0,tblCost[[#This Row],[CompletedRequirements]]/tblCost[[#This Row],[TargetRequirements]])</f>
        <v>0</v>
      </c>
    </row>
    <row r="1611" spans="1:13">
      <c r="A1611" s="41" t="s">
        <v>5248</v>
      </c>
      <c r="B1611" s="41" t="str">
        <f>_xlfn.TEXTAFTER(_xlfn.TEXTBEFORE(tblCost[[#This Row],[RequirementID]],".",-2),"cost.")</f>
        <v>collection.pantry_1@4</v>
      </c>
      <c r="C1611" s="41" t="str">
        <f>_xlfn.XLOOKUP(tblCost[[#This Row],[TargetID]],tblTargets[TargetID],tblTargets[DisplayName],"")</f>
        <v>Pantry 1 Lv 4</v>
      </c>
      <c r="D1611" s="41" t="str">
        <f>_xlfn.XLOOKUP(tblCost[[#This Row],[TargetID]],tblTargets[TargetID],tblTargets[TargetType],"")</f>
        <v>COLLECTION</v>
      </c>
      <c r="E1611" s="41" t="s">
        <v>1790</v>
      </c>
      <c r="F1611" s="62" t="str">
        <f>RIGHT(tblCost[[#This Row],[RequirementID]],1)</f>
        <v>1</v>
      </c>
      <c r="G1611" s="41">
        <v>20</v>
      </c>
      <c r="H1611" t="b">
        <f>COUNTIFS(tblCostChecklist[RequirementID],tblCost[[#This Row],[RequirementID]],tblCostChecklist[PlayerPaid],TRUE)&gt;0</f>
        <v>0</v>
      </c>
      <c r="I1611" s="41">
        <f>COUNTIF(tblCost[TargetID],tblCost[[#This Row],[TargetID]])</f>
        <v>12</v>
      </c>
      <c r="J1611" s="41">
        <f>COUNTIFS(tblCost[TargetID],tblCost[[#This Row],[TargetID]],tblCost[PlayerPaid],TRUE)</f>
        <v>0</v>
      </c>
      <c r="K1611" s="41">
        <f>tblCost[[#This Row],[TargetRequirements]]-tblCost[[#This Row],[CompletedRequirements]]</f>
        <v>12</v>
      </c>
      <c r="L1611" s="41" t="b">
        <f>tblCost[[#This Row],[RemainingRequirements]]=0</f>
        <v>0</v>
      </c>
      <c r="M1611" s="43">
        <f>IF(tblCost[[#This Row],[TargetRequirements]]=0,0,tblCost[[#This Row],[CompletedRequirements]]/tblCost[[#This Row],[TargetRequirements]])</f>
        <v>0</v>
      </c>
    </row>
    <row r="1612" spans="1:13">
      <c r="A1612" s="41" t="s">
        <v>5249</v>
      </c>
      <c r="B1612" s="41" t="str">
        <f>_xlfn.TEXTAFTER(_xlfn.TEXTBEFORE(tblCost[[#This Row],[RequirementID]],".",-2),"cost.")</f>
        <v>collection.pantry_1@4</v>
      </c>
      <c r="C1612" s="41" t="str">
        <f>_xlfn.XLOOKUP(tblCost[[#This Row],[TargetID]],tblTargets[TargetID],tblTargets[DisplayName],"")</f>
        <v>Pantry 1 Lv 4</v>
      </c>
      <c r="D1612" s="41" t="str">
        <f>_xlfn.XLOOKUP(tblCost[[#This Row],[TargetID]],tblTargets[TargetID],tblTargets[TargetType],"")</f>
        <v>COLLECTION</v>
      </c>
      <c r="E1612" s="41" t="s">
        <v>659</v>
      </c>
      <c r="F1612" s="62" t="str">
        <f>RIGHT(tblCost[[#This Row],[RequirementID]],1)</f>
        <v>1</v>
      </c>
      <c r="G1612" s="41">
        <v>40</v>
      </c>
      <c r="H1612" t="b">
        <f>COUNTIFS(tblCostChecklist[RequirementID],tblCost[[#This Row],[RequirementID]],tblCostChecklist[PlayerPaid],TRUE)&gt;0</f>
        <v>0</v>
      </c>
      <c r="I1612" s="41">
        <f>COUNTIF(tblCost[TargetID],tblCost[[#This Row],[TargetID]])</f>
        <v>12</v>
      </c>
      <c r="J1612" s="41">
        <f>COUNTIFS(tblCost[TargetID],tblCost[[#This Row],[TargetID]],tblCost[PlayerPaid],TRUE)</f>
        <v>0</v>
      </c>
      <c r="K1612" s="41">
        <f>tblCost[[#This Row],[TargetRequirements]]-tblCost[[#This Row],[CompletedRequirements]]</f>
        <v>12</v>
      </c>
      <c r="L1612" s="41" t="b">
        <f>tblCost[[#This Row],[RemainingRequirements]]=0</f>
        <v>0</v>
      </c>
      <c r="M1612" s="43">
        <f>IF(tblCost[[#This Row],[TargetRequirements]]=0,0,tblCost[[#This Row],[CompletedRequirements]]/tblCost[[#This Row],[TargetRequirements]])</f>
        <v>0</v>
      </c>
    </row>
    <row r="1613" spans="1:13">
      <c r="A1613" s="41" t="s">
        <v>5250</v>
      </c>
      <c r="B1613" s="41" t="str">
        <f>_xlfn.TEXTAFTER(_xlfn.TEXTBEFORE(tblCost[[#This Row],[RequirementID]],".",-2),"cost.")</f>
        <v>collection.pantry_1@4</v>
      </c>
      <c r="C1613" s="41" t="str">
        <f>_xlfn.XLOOKUP(tblCost[[#This Row],[TargetID]],tblTargets[TargetID],tblTargets[DisplayName],"")</f>
        <v>Pantry 1 Lv 4</v>
      </c>
      <c r="D1613" s="41" t="str">
        <f>_xlfn.XLOOKUP(tblCost[[#This Row],[TargetID]],tblTargets[TargetID],tblTargets[TargetType],"")</f>
        <v>COLLECTION</v>
      </c>
      <c r="E1613" s="41" t="s">
        <v>1802</v>
      </c>
      <c r="F1613" s="62" t="str">
        <f>RIGHT(tblCost[[#This Row],[RequirementID]],1)</f>
        <v>1</v>
      </c>
      <c r="G1613" s="41">
        <v>40</v>
      </c>
      <c r="H1613" t="b">
        <f>COUNTIFS(tblCostChecklist[RequirementID],tblCost[[#This Row],[RequirementID]],tblCostChecklist[PlayerPaid],TRUE)&gt;0</f>
        <v>0</v>
      </c>
      <c r="I1613" s="41">
        <f>COUNTIF(tblCost[TargetID],tblCost[[#This Row],[TargetID]])</f>
        <v>12</v>
      </c>
      <c r="J1613" s="41">
        <f>COUNTIFS(tblCost[TargetID],tblCost[[#This Row],[TargetID]],tblCost[PlayerPaid],TRUE)</f>
        <v>0</v>
      </c>
      <c r="K1613" s="41">
        <f>tblCost[[#This Row],[TargetRequirements]]-tblCost[[#This Row],[CompletedRequirements]]</f>
        <v>12</v>
      </c>
      <c r="L1613" s="41" t="b">
        <f>tblCost[[#This Row],[RemainingRequirements]]=0</f>
        <v>0</v>
      </c>
      <c r="M1613" s="43">
        <f>IF(tblCost[[#This Row],[TargetRequirements]]=0,0,tblCost[[#This Row],[CompletedRequirements]]/tblCost[[#This Row],[TargetRequirements]])</f>
        <v>0</v>
      </c>
    </row>
    <row r="1614" spans="1:13">
      <c r="A1614" s="41" t="s">
        <v>5251</v>
      </c>
      <c r="B1614" s="41" t="str">
        <f>_xlfn.TEXTAFTER(_xlfn.TEXTBEFORE(tblCost[[#This Row],[RequirementID]],".",-2),"cost.")</f>
        <v>collection.pantry_1@4</v>
      </c>
      <c r="C1614" s="41" t="str">
        <f>_xlfn.XLOOKUP(tblCost[[#This Row],[TargetID]],tblTargets[TargetID],tblTargets[DisplayName],"")</f>
        <v>Pantry 1 Lv 4</v>
      </c>
      <c r="D1614" s="41" t="str">
        <f>_xlfn.XLOOKUP(tblCost[[#This Row],[TargetID]],tblTargets[TargetID],tblTargets[TargetType],"")</f>
        <v>COLLECTION</v>
      </c>
      <c r="E1614" s="41" t="s">
        <v>934</v>
      </c>
      <c r="F1614" s="62" t="str">
        <f>RIGHT(tblCost[[#This Row],[RequirementID]],1)</f>
        <v>1</v>
      </c>
      <c r="G1614" s="41">
        <v>160</v>
      </c>
      <c r="H1614" t="b">
        <f>COUNTIFS(tblCostChecklist[RequirementID],tblCost[[#This Row],[RequirementID]],tblCostChecklist[PlayerPaid],TRUE)&gt;0</f>
        <v>0</v>
      </c>
      <c r="I1614" s="41">
        <f>COUNTIF(tblCost[TargetID],tblCost[[#This Row],[TargetID]])</f>
        <v>12</v>
      </c>
      <c r="J1614" s="41">
        <f>COUNTIFS(tblCost[TargetID],tblCost[[#This Row],[TargetID]],tblCost[PlayerPaid],TRUE)</f>
        <v>0</v>
      </c>
      <c r="K1614" s="41">
        <f>tblCost[[#This Row],[TargetRequirements]]-tblCost[[#This Row],[CompletedRequirements]]</f>
        <v>12</v>
      </c>
      <c r="L1614" s="41" t="b">
        <f>tblCost[[#This Row],[RemainingRequirements]]=0</f>
        <v>0</v>
      </c>
      <c r="M1614" s="43">
        <f>IF(tblCost[[#This Row],[TargetRequirements]]=0,0,tblCost[[#This Row],[CompletedRequirements]]/tblCost[[#This Row],[TargetRequirements]])</f>
        <v>0</v>
      </c>
    </row>
    <row r="1615" spans="1:13">
      <c r="A1615" s="41" t="s">
        <v>5252</v>
      </c>
      <c r="B1615" s="41" t="str">
        <f>_xlfn.TEXTAFTER(_xlfn.TEXTBEFORE(tblCost[[#This Row],[RequirementID]],".",-2),"cost.")</f>
        <v>collection.pantry_1@4</v>
      </c>
      <c r="C1615" s="41" t="str">
        <f>_xlfn.XLOOKUP(tblCost[[#This Row],[TargetID]],tblTargets[TargetID],tblTargets[DisplayName],"")</f>
        <v>Pantry 1 Lv 4</v>
      </c>
      <c r="D1615" s="41" t="str">
        <f>_xlfn.XLOOKUP(tblCost[[#This Row],[TargetID]],tblTargets[TargetID],tblTargets[TargetType],"")</f>
        <v>COLLECTION</v>
      </c>
      <c r="E1615" s="41" t="s">
        <v>674</v>
      </c>
      <c r="F1615" s="62" t="str">
        <f>RIGHT(tblCost[[#This Row],[RequirementID]],1)</f>
        <v>1</v>
      </c>
      <c r="G1615" s="41">
        <v>40</v>
      </c>
      <c r="H1615" t="b">
        <f>COUNTIFS(tblCostChecklist[RequirementID],tblCost[[#This Row],[RequirementID]],tblCostChecklist[PlayerPaid],TRUE)&gt;0</f>
        <v>0</v>
      </c>
      <c r="I1615" s="41">
        <f>COUNTIF(tblCost[TargetID],tblCost[[#This Row],[TargetID]])</f>
        <v>12</v>
      </c>
      <c r="J1615" s="41">
        <f>COUNTIFS(tblCost[TargetID],tblCost[[#This Row],[TargetID]],tblCost[PlayerPaid],TRUE)</f>
        <v>0</v>
      </c>
      <c r="K1615" s="41">
        <f>tblCost[[#This Row],[TargetRequirements]]-tblCost[[#This Row],[CompletedRequirements]]</f>
        <v>12</v>
      </c>
      <c r="L1615" s="41" t="b">
        <f>tblCost[[#This Row],[RemainingRequirements]]=0</f>
        <v>0</v>
      </c>
      <c r="M1615" s="43">
        <f>IF(tblCost[[#This Row],[TargetRequirements]]=0,0,tblCost[[#This Row],[CompletedRequirements]]/tblCost[[#This Row],[TargetRequirements]])</f>
        <v>0</v>
      </c>
    </row>
    <row r="1616" spans="1:13">
      <c r="A1616" s="41" t="s">
        <v>5253</v>
      </c>
      <c r="B1616" s="41" t="str">
        <f>_xlfn.TEXTAFTER(_xlfn.TEXTBEFORE(tblCost[[#This Row],[RequirementID]],".",-2),"cost.")</f>
        <v>collection.pantry_1@4</v>
      </c>
      <c r="C1616" s="41" t="str">
        <f>_xlfn.XLOOKUP(tblCost[[#This Row],[TargetID]],tblTargets[TargetID],tblTargets[DisplayName],"")</f>
        <v>Pantry 1 Lv 4</v>
      </c>
      <c r="D1616" s="41" t="str">
        <f>_xlfn.XLOOKUP(tblCost[[#This Row],[TargetID]],tblTargets[TargetID],tblTargets[TargetType],"")</f>
        <v>COLLECTION</v>
      </c>
      <c r="E1616" s="41" t="s">
        <v>697</v>
      </c>
      <c r="F1616" s="62" t="str">
        <f>RIGHT(tblCost[[#This Row],[RequirementID]],1)</f>
        <v>1</v>
      </c>
      <c r="G1616" s="41">
        <v>40</v>
      </c>
      <c r="H1616" t="b">
        <f>COUNTIFS(tblCostChecklist[RequirementID],tblCost[[#This Row],[RequirementID]],tblCostChecklist[PlayerPaid],TRUE)&gt;0</f>
        <v>0</v>
      </c>
      <c r="I1616" s="41">
        <f>COUNTIF(tblCost[TargetID],tblCost[[#This Row],[TargetID]])</f>
        <v>12</v>
      </c>
      <c r="J1616" s="41">
        <f>COUNTIFS(tblCost[TargetID],tblCost[[#This Row],[TargetID]],tblCost[PlayerPaid],TRUE)</f>
        <v>0</v>
      </c>
      <c r="K1616" s="41">
        <f>tblCost[[#This Row],[TargetRequirements]]-tblCost[[#This Row],[CompletedRequirements]]</f>
        <v>12</v>
      </c>
      <c r="L1616" s="41" t="b">
        <f>tblCost[[#This Row],[RemainingRequirements]]=0</f>
        <v>0</v>
      </c>
      <c r="M1616" s="43">
        <f>IF(tblCost[[#This Row],[TargetRequirements]]=0,0,tblCost[[#This Row],[CompletedRequirements]]/tblCost[[#This Row],[TargetRequirements]])</f>
        <v>0</v>
      </c>
    </row>
    <row r="1617" spans="1:13">
      <c r="A1617" s="41" t="s">
        <v>5254</v>
      </c>
      <c r="B1617" s="41" t="str">
        <f>_xlfn.TEXTAFTER(_xlfn.TEXTBEFORE(tblCost[[#This Row],[RequirementID]],".",-2),"cost.")</f>
        <v>collection.pantry_1@4</v>
      </c>
      <c r="C1617" s="41" t="str">
        <f>_xlfn.XLOOKUP(tblCost[[#This Row],[TargetID]],tblTargets[TargetID],tblTargets[DisplayName],"")</f>
        <v>Pantry 1 Lv 4</v>
      </c>
      <c r="D1617" s="41" t="str">
        <f>_xlfn.XLOOKUP(tblCost[[#This Row],[TargetID]],tblTargets[TargetID],tblTargets[TargetType],"")</f>
        <v>COLLECTION</v>
      </c>
      <c r="E1617" s="41" t="s">
        <v>707</v>
      </c>
      <c r="F1617" s="62" t="str">
        <f>RIGHT(tblCost[[#This Row],[RequirementID]],1)</f>
        <v>1</v>
      </c>
      <c r="G1617" s="41">
        <v>160</v>
      </c>
      <c r="H1617" t="b">
        <f>COUNTIFS(tblCostChecklist[RequirementID],tblCost[[#This Row],[RequirementID]],tblCostChecklist[PlayerPaid],TRUE)&gt;0</f>
        <v>0</v>
      </c>
      <c r="I1617" s="41">
        <f>COUNTIF(tblCost[TargetID],tblCost[[#This Row],[TargetID]])</f>
        <v>12</v>
      </c>
      <c r="J1617" s="41">
        <f>COUNTIFS(tblCost[TargetID],tblCost[[#This Row],[TargetID]],tblCost[PlayerPaid],TRUE)</f>
        <v>0</v>
      </c>
      <c r="K1617" s="41">
        <f>tblCost[[#This Row],[TargetRequirements]]-tblCost[[#This Row],[CompletedRequirements]]</f>
        <v>12</v>
      </c>
      <c r="L1617" s="41" t="b">
        <f>tblCost[[#This Row],[RemainingRequirements]]=0</f>
        <v>0</v>
      </c>
      <c r="M1617" s="43">
        <f>IF(tblCost[[#This Row],[TargetRequirements]]=0,0,tblCost[[#This Row],[CompletedRequirements]]/tblCost[[#This Row],[TargetRequirements]])</f>
        <v>0</v>
      </c>
    </row>
    <row r="1618" spans="1:13">
      <c r="A1618" s="41" t="s">
        <v>5255</v>
      </c>
      <c r="B1618" s="41" t="str">
        <f>_xlfn.TEXTAFTER(_xlfn.TEXTBEFORE(tblCost[[#This Row],[RequirementID]],".",-2),"cost.")</f>
        <v>collection.pantry_1@4</v>
      </c>
      <c r="C1618" s="41" t="str">
        <f>_xlfn.XLOOKUP(tblCost[[#This Row],[TargetID]],tblTargets[TargetID],tblTargets[DisplayName],"")</f>
        <v>Pantry 1 Lv 4</v>
      </c>
      <c r="D1618" s="41" t="str">
        <f>_xlfn.XLOOKUP(tblCost[[#This Row],[TargetID]],tblTargets[TargetID],tblTargets[TargetType],"")</f>
        <v>COLLECTION</v>
      </c>
      <c r="E1618" s="41" t="s">
        <v>948</v>
      </c>
      <c r="F1618" s="62" t="str">
        <f>RIGHT(tblCost[[#This Row],[RequirementID]],1)</f>
        <v>1</v>
      </c>
      <c r="G1618" s="41">
        <v>40</v>
      </c>
      <c r="H1618" t="b">
        <f>COUNTIFS(tblCostChecklist[RequirementID],tblCost[[#This Row],[RequirementID]],tblCostChecklist[PlayerPaid],TRUE)&gt;0</f>
        <v>0</v>
      </c>
      <c r="I1618" s="41">
        <f>COUNTIF(tblCost[TargetID],tblCost[[#This Row],[TargetID]])</f>
        <v>12</v>
      </c>
      <c r="J1618" s="41">
        <f>COUNTIFS(tblCost[TargetID],tblCost[[#This Row],[TargetID]],tblCost[PlayerPaid],TRUE)</f>
        <v>0</v>
      </c>
      <c r="K1618" s="41">
        <f>tblCost[[#This Row],[TargetRequirements]]-tblCost[[#This Row],[CompletedRequirements]]</f>
        <v>12</v>
      </c>
      <c r="L1618" s="41" t="b">
        <f>tblCost[[#This Row],[RemainingRequirements]]=0</f>
        <v>0</v>
      </c>
      <c r="M1618" s="43">
        <f>IF(tblCost[[#This Row],[TargetRequirements]]=0,0,tblCost[[#This Row],[CompletedRequirements]]/tblCost[[#This Row],[TargetRequirements]])</f>
        <v>0</v>
      </c>
    </row>
    <row r="1619" spans="1:13">
      <c r="A1619" s="41" t="s">
        <v>5256</v>
      </c>
      <c r="B1619" s="41" t="str">
        <f>_xlfn.TEXTAFTER(_xlfn.TEXTBEFORE(tblCost[[#This Row],[RequirementID]],".",-2),"cost.")</f>
        <v>collection.pantry_1@4</v>
      </c>
      <c r="C1619" s="41" t="str">
        <f>_xlfn.XLOOKUP(tblCost[[#This Row],[TargetID]],tblTargets[TargetID],tblTargets[DisplayName],"")</f>
        <v>Pantry 1 Lv 4</v>
      </c>
      <c r="D1619" s="41" t="str">
        <f>_xlfn.XLOOKUP(tblCost[[#This Row],[TargetID]],tblTargets[TargetID],tblTargets[TargetType],"")</f>
        <v>COLLECTION</v>
      </c>
      <c r="E1619" s="41" t="s">
        <v>711</v>
      </c>
      <c r="F1619" s="62" t="str">
        <f>RIGHT(tblCost[[#This Row],[RequirementID]],1)</f>
        <v>1</v>
      </c>
      <c r="G1619" s="41">
        <v>40</v>
      </c>
      <c r="H1619" t="b">
        <f>COUNTIFS(tblCostChecklist[RequirementID],tblCost[[#This Row],[RequirementID]],tblCostChecklist[PlayerPaid],TRUE)&gt;0</f>
        <v>0</v>
      </c>
      <c r="I1619" s="41">
        <f>COUNTIF(tblCost[TargetID],tblCost[[#This Row],[TargetID]])</f>
        <v>12</v>
      </c>
      <c r="J1619" s="41">
        <f>COUNTIFS(tblCost[TargetID],tblCost[[#This Row],[TargetID]],tblCost[PlayerPaid],TRUE)</f>
        <v>0</v>
      </c>
      <c r="K1619" s="41">
        <f>tblCost[[#This Row],[TargetRequirements]]-tblCost[[#This Row],[CompletedRequirements]]</f>
        <v>12</v>
      </c>
      <c r="L1619" s="41" t="b">
        <f>tblCost[[#This Row],[RemainingRequirements]]=0</f>
        <v>0</v>
      </c>
      <c r="M1619" s="43">
        <f>IF(tblCost[[#This Row],[TargetRequirements]]=0,0,tblCost[[#This Row],[CompletedRequirements]]/tblCost[[#This Row],[TargetRequirements]])</f>
        <v>0</v>
      </c>
    </row>
    <row r="1620" spans="1:13">
      <c r="A1620" s="41" t="s">
        <v>5257</v>
      </c>
      <c r="B1620" s="41" t="str">
        <f>_xlfn.TEXTAFTER(_xlfn.TEXTBEFORE(tblCost[[#This Row],[RequirementID]],".",-2),"cost.")</f>
        <v>collection.pantry_1@4</v>
      </c>
      <c r="C1620" s="41" t="str">
        <f>_xlfn.XLOOKUP(tblCost[[#This Row],[TargetID]],tblTargets[TargetID],tblTargets[DisplayName],"")</f>
        <v>Pantry 1 Lv 4</v>
      </c>
      <c r="D1620" s="41" t="str">
        <f>_xlfn.XLOOKUP(tblCost[[#This Row],[TargetID]],tblTargets[TargetID],tblTargets[TargetType],"")</f>
        <v>COLLECTION</v>
      </c>
      <c r="E1620" s="41" t="s">
        <v>715</v>
      </c>
      <c r="F1620" s="62" t="str">
        <f>RIGHT(tblCost[[#This Row],[RequirementID]],1)</f>
        <v>1</v>
      </c>
      <c r="G1620" s="41">
        <v>20</v>
      </c>
      <c r="H1620" t="b">
        <f>COUNTIFS(tblCostChecklist[RequirementID],tblCost[[#This Row],[RequirementID]],tblCostChecklist[PlayerPaid],TRUE)&gt;0</f>
        <v>0</v>
      </c>
      <c r="I1620" s="41">
        <f>COUNTIF(tblCost[TargetID],tblCost[[#This Row],[TargetID]])</f>
        <v>12</v>
      </c>
      <c r="J1620" s="41">
        <f>COUNTIFS(tblCost[TargetID],tblCost[[#This Row],[TargetID]],tblCost[PlayerPaid],TRUE)</f>
        <v>0</v>
      </c>
      <c r="K1620" s="41">
        <f>tblCost[[#This Row],[TargetRequirements]]-tblCost[[#This Row],[CompletedRequirements]]</f>
        <v>12</v>
      </c>
      <c r="L1620" s="41" t="b">
        <f>tblCost[[#This Row],[RemainingRequirements]]=0</f>
        <v>0</v>
      </c>
      <c r="M1620" s="43">
        <f>IF(tblCost[[#This Row],[TargetRequirements]]=0,0,tblCost[[#This Row],[CompletedRequirements]]/tblCost[[#This Row],[TargetRequirements]])</f>
        <v>0</v>
      </c>
    </row>
    <row r="1621" spans="1:13">
      <c r="A1621" s="41" t="s">
        <v>5258</v>
      </c>
      <c r="B1621" s="41" t="str">
        <f>_xlfn.TEXTAFTER(_xlfn.TEXTBEFORE(tblCost[[#This Row],[RequirementID]],".",-2),"cost.")</f>
        <v>collection.pantry_1@4</v>
      </c>
      <c r="C1621" s="41" t="str">
        <f>_xlfn.XLOOKUP(tblCost[[#This Row],[TargetID]],tblTargets[TargetID],tblTargets[DisplayName],"")</f>
        <v>Pantry 1 Lv 4</v>
      </c>
      <c r="D1621" s="41" t="str">
        <f>_xlfn.XLOOKUP(tblCost[[#This Row],[TargetID]],tblTargets[TargetID],tblTargets[TargetType],"")</f>
        <v>COLLECTION</v>
      </c>
      <c r="E1621" s="41" t="s">
        <v>719</v>
      </c>
      <c r="F1621" s="62" t="str">
        <f>RIGHT(tblCost[[#This Row],[RequirementID]],1)</f>
        <v>1</v>
      </c>
      <c r="G1621" s="41">
        <v>40</v>
      </c>
      <c r="H1621" t="b">
        <f>COUNTIFS(tblCostChecklist[RequirementID],tblCost[[#This Row],[RequirementID]],tblCostChecklist[PlayerPaid],TRUE)&gt;0</f>
        <v>0</v>
      </c>
      <c r="I1621" s="41">
        <f>COUNTIF(tblCost[TargetID],tblCost[[#This Row],[TargetID]])</f>
        <v>12</v>
      </c>
      <c r="J1621" s="41">
        <f>COUNTIFS(tblCost[TargetID],tblCost[[#This Row],[TargetID]],tblCost[PlayerPaid],TRUE)</f>
        <v>0</v>
      </c>
      <c r="K1621" s="41">
        <f>tblCost[[#This Row],[TargetRequirements]]-tblCost[[#This Row],[CompletedRequirements]]</f>
        <v>12</v>
      </c>
      <c r="L1621" s="41" t="b">
        <f>tblCost[[#This Row],[RemainingRequirements]]=0</f>
        <v>0</v>
      </c>
      <c r="M1621" s="43">
        <f>IF(tblCost[[#This Row],[TargetRequirements]]=0,0,tblCost[[#This Row],[CompletedRequirements]]/tblCost[[#This Row],[TargetRequirements]])</f>
        <v>0</v>
      </c>
    </row>
    <row r="1622" spans="1:13">
      <c r="A1622" s="41" t="s">
        <v>5259</v>
      </c>
      <c r="B1622" s="41" t="str">
        <f>_xlfn.TEXTAFTER(_xlfn.TEXTBEFORE(tblCost[[#This Row],[RequirementID]],".",-2),"cost.")</f>
        <v>collection.pantry_1@4</v>
      </c>
      <c r="C1622" s="41" t="str">
        <f>_xlfn.XLOOKUP(tblCost[[#This Row],[TargetID]],tblTargets[TargetID],tblTargets[DisplayName],"")</f>
        <v>Pantry 1 Lv 4</v>
      </c>
      <c r="D1622" s="41" t="str">
        <f>_xlfn.XLOOKUP(tblCost[[#This Row],[TargetID]],tblTargets[TargetID],tblTargets[TargetType],"")</f>
        <v>COLLECTION</v>
      </c>
      <c r="E1622" s="41" t="s">
        <v>956</v>
      </c>
      <c r="F1622" s="62" t="str">
        <f>RIGHT(tblCost[[#This Row],[RequirementID]],1)</f>
        <v>1</v>
      </c>
      <c r="G1622" s="41">
        <v>20</v>
      </c>
      <c r="H1622" t="b">
        <f>COUNTIFS(tblCostChecklist[RequirementID],tblCost[[#This Row],[RequirementID]],tblCostChecklist[PlayerPaid],TRUE)&gt;0</f>
        <v>0</v>
      </c>
      <c r="I1622" s="41">
        <f>COUNTIF(tblCost[TargetID],tblCost[[#This Row],[TargetID]])</f>
        <v>12</v>
      </c>
      <c r="J1622" s="41">
        <f>COUNTIFS(tblCost[TargetID],tblCost[[#This Row],[TargetID]],tblCost[PlayerPaid],TRUE)</f>
        <v>0</v>
      </c>
      <c r="K1622" s="41">
        <f>tblCost[[#This Row],[TargetRequirements]]-tblCost[[#This Row],[CompletedRequirements]]</f>
        <v>12</v>
      </c>
      <c r="L1622" s="41" t="b">
        <f>tblCost[[#This Row],[RemainingRequirements]]=0</f>
        <v>0</v>
      </c>
      <c r="M1622" s="43">
        <f>IF(tblCost[[#This Row],[TargetRequirements]]=0,0,tblCost[[#This Row],[CompletedRequirements]]/tblCost[[#This Row],[TargetRequirements]])</f>
        <v>0</v>
      </c>
    </row>
    <row r="1623" spans="1:13">
      <c r="A1623" s="41" t="s">
        <v>5260</v>
      </c>
      <c r="B1623" s="41" t="str">
        <f>_xlfn.TEXTAFTER(_xlfn.TEXTBEFORE(tblCost[[#This Row],[RequirementID]],".",-2),"cost.")</f>
        <v>collection.pantry_1@5</v>
      </c>
      <c r="C1623" s="41" t="str">
        <f>_xlfn.XLOOKUP(tblCost[[#This Row],[TargetID]],tblTargets[TargetID],tblTargets[DisplayName],"")</f>
        <v>Pantry 1 Lv 5</v>
      </c>
      <c r="D1623" s="41" t="str">
        <f>_xlfn.XLOOKUP(tblCost[[#This Row],[TargetID]],tblTargets[TargetID],tblTargets[TargetType],"")</f>
        <v>COLLECTION</v>
      </c>
      <c r="E1623" s="41" t="s">
        <v>1790</v>
      </c>
      <c r="F1623" s="62" t="str">
        <f>RIGHT(tblCost[[#This Row],[RequirementID]],1)</f>
        <v>1</v>
      </c>
      <c r="G1623" s="41">
        <v>25</v>
      </c>
      <c r="H1623" t="b">
        <f>COUNTIFS(tblCostChecklist[RequirementID],tblCost[[#This Row],[RequirementID]],tblCostChecklist[PlayerPaid],TRUE)&gt;0</f>
        <v>0</v>
      </c>
      <c r="I1623" s="41">
        <f>COUNTIF(tblCost[TargetID],tblCost[[#This Row],[TargetID]])</f>
        <v>12</v>
      </c>
      <c r="J1623" s="41">
        <f>COUNTIFS(tblCost[TargetID],tblCost[[#This Row],[TargetID]],tblCost[PlayerPaid],TRUE)</f>
        <v>0</v>
      </c>
      <c r="K1623" s="41">
        <f>tblCost[[#This Row],[TargetRequirements]]-tblCost[[#This Row],[CompletedRequirements]]</f>
        <v>12</v>
      </c>
      <c r="L1623" s="41" t="b">
        <f>tblCost[[#This Row],[RemainingRequirements]]=0</f>
        <v>0</v>
      </c>
      <c r="M1623" s="43">
        <f>IF(tblCost[[#This Row],[TargetRequirements]]=0,0,tblCost[[#This Row],[CompletedRequirements]]/tblCost[[#This Row],[TargetRequirements]])</f>
        <v>0</v>
      </c>
    </row>
    <row r="1624" spans="1:13">
      <c r="A1624" s="41" t="s">
        <v>5261</v>
      </c>
      <c r="B1624" s="41" t="str">
        <f>_xlfn.TEXTAFTER(_xlfn.TEXTBEFORE(tblCost[[#This Row],[RequirementID]],".",-2),"cost.")</f>
        <v>collection.pantry_1@5</v>
      </c>
      <c r="C1624" s="41" t="str">
        <f>_xlfn.XLOOKUP(tblCost[[#This Row],[TargetID]],tblTargets[TargetID],tblTargets[DisplayName],"")</f>
        <v>Pantry 1 Lv 5</v>
      </c>
      <c r="D1624" s="41" t="str">
        <f>_xlfn.XLOOKUP(tblCost[[#This Row],[TargetID]],tblTargets[TargetID],tblTargets[TargetType],"")</f>
        <v>COLLECTION</v>
      </c>
      <c r="E1624" s="41" t="s">
        <v>659</v>
      </c>
      <c r="F1624" s="62" t="str">
        <f>RIGHT(tblCost[[#This Row],[RequirementID]],1)</f>
        <v>1</v>
      </c>
      <c r="G1624" s="41">
        <v>50</v>
      </c>
      <c r="H1624" t="b">
        <f>COUNTIFS(tblCostChecklist[RequirementID],tblCost[[#This Row],[RequirementID]],tblCostChecklist[PlayerPaid],TRUE)&gt;0</f>
        <v>0</v>
      </c>
      <c r="I1624" s="41">
        <f>COUNTIF(tblCost[TargetID],tblCost[[#This Row],[TargetID]])</f>
        <v>12</v>
      </c>
      <c r="J1624" s="41">
        <f>COUNTIFS(tblCost[TargetID],tblCost[[#This Row],[TargetID]],tblCost[PlayerPaid],TRUE)</f>
        <v>0</v>
      </c>
      <c r="K1624" s="41">
        <f>tblCost[[#This Row],[TargetRequirements]]-tblCost[[#This Row],[CompletedRequirements]]</f>
        <v>12</v>
      </c>
      <c r="L1624" s="41" t="b">
        <f>tblCost[[#This Row],[RemainingRequirements]]=0</f>
        <v>0</v>
      </c>
      <c r="M1624" s="43">
        <f>IF(tblCost[[#This Row],[TargetRequirements]]=0,0,tblCost[[#This Row],[CompletedRequirements]]/tblCost[[#This Row],[TargetRequirements]])</f>
        <v>0</v>
      </c>
    </row>
    <row r="1625" spans="1:13">
      <c r="A1625" s="41" t="s">
        <v>5262</v>
      </c>
      <c r="B1625" s="41" t="str">
        <f>_xlfn.TEXTAFTER(_xlfn.TEXTBEFORE(tblCost[[#This Row],[RequirementID]],".",-2),"cost.")</f>
        <v>collection.pantry_1@5</v>
      </c>
      <c r="C1625" s="41" t="str">
        <f>_xlfn.XLOOKUP(tblCost[[#This Row],[TargetID]],tblTargets[TargetID],tblTargets[DisplayName],"")</f>
        <v>Pantry 1 Lv 5</v>
      </c>
      <c r="D1625" s="41" t="str">
        <f>_xlfn.XLOOKUP(tblCost[[#This Row],[TargetID]],tblTargets[TargetID],tblTargets[TargetType],"")</f>
        <v>COLLECTION</v>
      </c>
      <c r="E1625" s="41" t="s">
        <v>1802</v>
      </c>
      <c r="F1625" s="62" t="str">
        <f>RIGHT(tblCost[[#This Row],[RequirementID]],1)</f>
        <v>1</v>
      </c>
      <c r="G1625" s="41">
        <v>50</v>
      </c>
      <c r="H1625" t="b">
        <f>COUNTIFS(tblCostChecklist[RequirementID],tblCost[[#This Row],[RequirementID]],tblCostChecklist[PlayerPaid],TRUE)&gt;0</f>
        <v>0</v>
      </c>
      <c r="I1625" s="41">
        <f>COUNTIF(tblCost[TargetID],tblCost[[#This Row],[TargetID]])</f>
        <v>12</v>
      </c>
      <c r="J1625" s="41">
        <f>COUNTIFS(tblCost[TargetID],tblCost[[#This Row],[TargetID]],tblCost[PlayerPaid],TRUE)</f>
        <v>0</v>
      </c>
      <c r="K1625" s="41">
        <f>tblCost[[#This Row],[TargetRequirements]]-tblCost[[#This Row],[CompletedRequirements]]</f>
        <v>12</v>
      </c>
      <c r="L1625" s="41" t="b">
        <f>tblCost[[#This Row],[RemainingRequirements]]=0</f>
        <v>0</v>
      </c>
      <c r="M1625" s="43">
        <f>IF(tblCost[[#This Row],[TargetRequirements]]=0,0,tblCost[[#This Row],[CompletedRequirements]]/tblCost[[#This Row],[TargetRequirements]])</f>
        <v>0</v>
      </c>
    </row>
    <row r="1626" spans="1:13">
      <c r="A1626" s="41" t="s">
        <v>5263</v>
      </c>
      <c r="B1626" s="41" t="str">
        <f>_xlfn.TEXTAFTER(_xlfn.TEXTBEFORE(tblCost[[#This Row],[RequirementID]],".",-2),"cost.")</f>
        <v>collection.pantry_1@5</v>
      </c>
      <c r="C1626" s="41" t="str">
        <f>_xlfn.XLOOKUP(tblCost[[#This Row],[TargetID]],tblTargets[TargetID],tblTargets[DisplayName],"")</f>
        <v>Pantry 1 Lv 5</v>
      </c>
      <c r="D1626" s="41" t="str">
        <f>_xlfn.XLOOKUP(tblCost[[#This Row],[TargetID]],tblTargets[TargetID],tblTargets[TargetType],"")</f>
        <v>COLLECTION</v>
      </c>
      <c r="E1626" s="41" t="s">
        <v>934</v>
      </c>
      <c r="F1626" s="62" t="str">
        <f>RIGHT(tblCost[[#This Row],[RequirementID]],1)</f>
        <v>1</v>
      </c>
      <c r="G1626" s="41">
        <v>200</v>
      </c>
      <c r="H1626" t="b">
        <f>COUNTIFS(tblCostChecklist[RequirementID],tblCost[[#This Row],[RequirementID]],tblCostChecklist[PlayerPaid],TRUE)&gt;0</f>
        <v>0</v>
      </c>
      <c r="I1626" s="41">
        <f>COUNTIF(tblCost[TargetID],tblCost[[#This Row],[TargetID]])</f>
        <v>12</v>
      </c>
      <c r="J1626" s="41">
        <f>COUNTIFS(tblCost[TargetID],tblCost[[#This Row],[TargetID]],tblCost[PlayerPaid],TRUE)</f>
        <v>0</v>
      </c>
      <c r="K1626" s="41">
        <f>tblCost[[#This Row],[TargetRequirements]]-tblCost[[#This Row],[CompletedRequirements]]</f>
        <v>12</v>
      </c>
      <c r="L1626" s="41" t="b">
        <f>tblCost[[#This Row],[RemainingRequirements]]=0</f>
        <v>0</v>
      </c>
      <c r="M1626" s="43">
        <f>IF(tblCost[[#This Row],[TargetRequirements]]=0,0,tblCost[[#This Row],[CompletedRequirements]]/tblCost[[#This Row],[TargetRequirements]])</f>
        <v>0</v>
      </c>
    </row>
    <row r="1627" spans="1:13">
      <c r="A1627" s="41" t="s">
        <v>5264</v>
      </c>
      <c r="B1627" s="41" t="str">
        <f>_xlfn.TEXTAFTER(_xlfn.TEXTBEFORE(tblCost[[#This Row],[RequirementID]],".",-2),"cost.")</f>
        <v>collection.pantry_1@5</v>
      </c>
      <c r="C1627" s="41" t="str">
        <f>_xlfn.XLOOKUP(tblCost[[#This Row],[TargetID]],tblTargets[TargetID],tblTargets[DisplayName],"")</f>
        <v>Pantry 1 Lv 5</v>
      </c>
      <c r="D1627" s="41" t="str">
        <f>_xlfn.XLOOKUP(tblCost[[#This Row],[TargetID]],tblTargets[TargetID],tblTargets[TargetType],"")</f>
        <v>COLLECTION</v>
      </c>
      <c r="E1627" s="41" t="s">
        <v>674</v>
      </c>
      <c r="F1627" s="62" t="str">
        <f>RIGHT(tblCost[[#This Row],[RequirementID]],1)</f>
        <v>1</v>
      </c>
      <c r="G1627" s="41">
        <v>50</v>
      </c>
      <c r="H1627" t="b">
        <f>COUNTIFS(tblCostChecklist[RequirementID],tblCost[[#This Row],[RequirementID]],tblCostChecklist[PlayerPaid],TRUE)&gt;0</f>
        <v>0</v>
      </c>
      <c r="I1627" s="41">
        <f>COUNTIF(tblCost[TargetID],tblCost[[#This Row],[TargetID]])</f>
        <v>12</v>
      </c>
      <c r="J1627" s="41">
        <f>COUNTIFS(tblCost[TargetID],tblCost[[#This Row],[TargetID]],tblCost[PlayerPaid],TRUE)</f>
        <v>0</v>
      </c>
      <c r="K1627" s="41">
        <f>tblCost[[#This Row],[TargetRequirements]]-tblCost[[#This Row],[CompletedRequirements]]</f>
        <v>12</v>
      </c>
      <c r="L1627" s="41" t="b">
        <f>tblCost[[#This Row],[RemainingRequirements]]=0</f>
        <v>0</v>
      </c>
      <c r="M1627" s="43">
        <f>IF(tblCost[[#This Row],[TargetRequirements]]=0,0,tblCost[[#This Row],[CompletedRequirements]]/tblCost[[#This Row],[TargetRequirements]])</f>
        <v>0</v>
      </c>
    </row>
    <row r="1628" spans="1:13">
      <c r="A1628" s="41" t="s">
        <v>5265</v>
      </c>
      <c r="B1628" s="41" t="str">
        <f>_xlfn.TEXTAFTER(_xlfn.TEXTBEFORE(tblCost[[#This Row],[RequirementID]],".",-2),"cost.")</f>
        <v>collection.pantry_1@5</v>
      </c>
      <c r="C1628" s="41" t="str">
        <f>_xlfn.XLOOKUP(tblCost[[#This Row],[TargetID]],tblTargets[TargetID],tblTargets[DisplayName],"")</f>
        <v>Pantry 1 Lv 5</v>
      </c>
      <c r="D1628" s="41" t="str">
        <f>_xlfn.XLOOKUP(tblCost[[#This Row],[TargetID]],tblTargets[TargetID],tblTargets[TargetType],"")</f>
        <v>COLLECTION</v>
      </c>
      <c r="E1628" s="41" t="s">
        <v>697</v>
      </c>
      <c r="F1628" s="62" t="str">
        <f>RIGHT(tblCost[[#This Row],[RequirementID]],1)</f>
        <v>1</v>
      </c>
      <c r="G1628" s="41">
        <v>50</v>
      </c>
      <c r="H1628" t="b">
        <f>COUNTIFS(tblCostChecklist[RequirementID],tblCost[[#This Row],[RequirementID]],tblCostChecklist[PlayerPaid],TRUE)&gt;0</f>
        <v>0</v>
      </c>
      <c r="I1628" s="41">
        <f>COUNTIF(tblCost[TargetID],tblCost[[#This Row],[TargetID]])</f>
        <v>12</v>
      </c>
      <c r="J1628" s="41">
        <f>COUNTIFS(tblCost[TargetID],tblCost[[#This Row],[TargetID]],tblCost[PlayerPaid],TRUE)</f>
        <v>0</v>
      </c>
      <c r="K1628" s="41">
        <f>tblCost[[#This Row],[TargetRequirements]]-tblCost[[#This Row],[CompletedRequirements]]</f>
        <v>12</v>
      </c>
      <c r="L1628" s="41" t="b">
        <f>tblCost[[#This Row],[RemainingRequirements]]=0</f>
        <v>0</v>
      </c>
      <c r="M1628" s="43">
        <f>IF(tblCost[[#This Row],[TargetRequirements]]=0,0,tblCost[[#This Row],[CompletedRequirements]]/tblCost[[#This Row],[TargetRequirements]])</f>
        <v>0</v>
      </c>
    </row>
    <row r="1629" spans="1:13">
      <c r="A1629" s="41" t="s">
        <v>5266</v>
      </c>
      <c r="B1629" s="41" t="str">
        <f>_xlfn.TEXTAFTER(_xlfn.TEXTBEFORE(tblCost[[#This Row],[RequirementID]],".",-2),"cost.")</f>
        <v>collection.pantry_1@5</v>
      </c>
      <c r="C1629" s="41" t="str">
        <f>_xlfn.XLOOKUP(tblCost[[#This Row],[TargetID]],tblTargets[TargetID],tblTargets[DisplayName],"")</f>
        <v>Pantry 1 Lv 5</v>
      </c>
      <c r="D1629" s="41" t="str">
        <f>_xlfn.XLOOKUP(tblCost[[#This Row],[TargetID]],tblTargets[TargetID],tblTargets[TargetType],"")</f>
        <v>COLLECTION</v>
      </c>
      <c r="E1629" s="41" t="s">
        <v>707</v>
      </c>
      <c r="F1629" s="62" t="str">
        <f>RIGHT(tblCost[[#This Row],[RequirementID]],1)</f>
        <v>1</v>
      </c>
      <c r="G1629" s="41">
        <v>200</v>
      </c>
      <c r="H1629" t="b">
        <f>COUNTIFS(tblCostChecklist[RequirementID],tblCost[[#This Row],[RequirementID]],tblCostChecklist[PlayerPaid],TRUE)&gt;0</f>
        <v>0</v>
      </c>
      <c r="I1629" s="41">
        <f>COUNTIF(tblCost[TargetID],tblCost[[#This Row],[TargetID]])</f>
        <v>12</v>
      </c>
      <c r="J1629" s="41">
        <f>COUNTIFS(tblCost[TargetID],tblCost[[#This Row],[TargetID]],tblCost[PlayerPaid],TRUE)</f>
        <v>0</v>
      </c>
      <c r="K1629" s="41">
        <f>tblCost[[#This Row],[TargetRequirements]]-tblCost[[#This Row],[CompletedRequirements]]</f>
        <v>12</v>
      </c>
      <c r="L1629" s="41" t="b">
        <f>tblCost[[#This Row],[RemainingRequirements]]=0</f>
        <v>0</v>
      </c>
      <c r="M1629" s="43">
        <f>IF(tblCost[[#This Row],[TargetRequirements]]=0,0,tblCost[[#This Row],[CompletedRequirements]]/tblCost[[#This Row],[TargetRequirements]])</f>
        <v>0</v>
      </c>
    </row>
    <row r="1630" spans="1:13">
      <c r="A1630" s="41" t="s">
        <v>5267</v>
      </c>
      <c r="B1630" s="41" t="str">
        <f>_xlfn.TEXTAFTER(_xlfn.TEXTBEFORE(tblCost[[#This Row],[RequirementID]],".",-2),"cost.")</f>
        <v>collection.pantry_1@5</v>
      </c>
      <c r="C1630" s="41" t="str">
        <f>_xlfn.XLOOKUP(tblCost[[#This Row],[TargetID]],tblTargets[TargetID],tblTargets[DisplayName],"")</f>
        <v>Pantry 1 Lv 5</v>
      </c>
      <c r="D1630" s="41" t="str">
        <f>_xlfn.XLOOKUP(tblCost[[#This Row],[TargetID]],tblTargets[TargetID],tblTargets[TargetType],"")</f>
        <v>COLLECTION</v>
      </c>
      <c r="E1630" s="41" t="s">
        <v>948</v>
      </c>
      <c r="F1630" s="62" t="str">
        <f>RIGHT(tblCost[[#This Row],[RequirementID]],1)</f>
        <v>1</v>
      </c>
      <c r="G1630" s="41">
        <v>50</v>
      </c>
      <c r="H1630" t="b">
        <f>COUNTIFS(tblCostChecklist[RequirementID],tblCost[[#This Row],[RequirementID]],tblCostChecklist[PlayerPaid],TRUE)&gt;0</f>
        <v>0</v>
      </c>
      <c r="I1630" s="41">
        <f>COUNTIF(tblCost[TargetID],tblCost[[#This Row],[TargetID]])</f>
        <v>12</v>
      </c>
      <c r="J1630" s="41">
        <f>COUNTIFS(tblCost[TargetID],tblCost[[#This Row],[TargetID]],tblCost[PlayerPaid],TRUE)</f>
        <v>0</v>
      </c>
      <c r="K1630" s="41">
        <f>tblCost[[#This Row],[TargetRequirements]]-tblCost[[#This Row],[CompletedRequirements]]</f>
        <v>12</v>
      </c>
      <c r="L1630" s="41" t="b">
        <f>tblCost[[#This Row],[RemainingRequirements]]=0</f>
        <v>0</v>
      </c>
      <c r="M1630" s="43">
        <f>IF(tblCost[[#This Row],[TargetRequirements]]=0,0,tblCost[[#This Row],[CompletedRequirements]]/tblCost[[#This Row],[TargetRequirements]])</f>
        <v>0</v>
      </c>
    </row>
    <row r="1631" spans="1:13">
      <c r="A1631" s="41" t="s">
        <v>5268</v>
      </c>
      <c r="B1631" s="41" t="str">
        <f>_xlfn.TEXTAFTER(_xlfn.TEXTBEFORE(tblCost[[#This Row],[RequirementID]],".",-2),"cost.")</f>
        <v>collection.pantry_1@5</v>
      </c>
      <c r="C1631" s="41" t="str">
        <f>_xlfn.XLOOKUP(tblCost[[#This Row],[TargetID]],tblTargets[TargetID],tblTargets[DisplayName],"")</f>
        <v>Pantry 1 Lv 5</v>
      </c>
      <c r="D1631" s="41" t="str">
        <f>_xlfn.XLOOKUP(tblCost[[#This Row],[TargetID]],tblTargets[TargetID],tblTargets[TargetType],"")</f>
        <v>COLLECTION</v>
      </c>
      <c r="E1631" s="41" t="s">
        <v>711</v>
      </c>
      <c r="F1631" s="62" t="str">
        <f>RIGHT(tblCost[[#This Row],[RequirementID]],1)</f>
        <v>1</v>
      </c>
      <c r="G1631" s="41">
        <v>50</v>
      </c>
      <c r="H1631" t="b">
        <f>COUNTIFS(tblCostChecklist[RequirementID],tblCost[[#This Row],[RequirementID]],tblCostChecklist[PlayerPaid],TRUE)&gt;0</f>
        <v>0</v>
      </c>
      <c r="I1631" s="41">
        <f>COUNTIF(tblCost[TargetID],tblCost[[#This Row],[TargetID]])</f>
        <v>12</v>
      </c>
      <c r="J1631" s="41">
        <f>COUNTIFS(tblCost[TargetID],tblCost[[#This Row],[TargetID]],tblCost[PlayerPaid],TRUE)</f>
        <v>0</v>
      </c>
      <c r="K1631" s="41">
        <f>tblCost[[#This Row],[TargetRequirements]]-tblCost[[#This Row],[CompletedRequirements]]</f>
        <v>12</v>
      </c>
      <c r="L1631" s="41" t="b">
        <f>tblCost[[#This Row],[RemainingRequirements]]=0</f>
        <v>0</v>
      </c>
      <c r="M1631" s="43">
        <f>IF(tblCost[[#This Row],[TargetRequirements]]=0,0,tblCost[[#This Row],[CompletedRequirements]]/tblCost[[#This Row],[TargetRequirements]])</f>
        <v>0</v>
      </c>
    </row>
    <row r="1632" spans="1:13">
      <c r="A1632" s="41" t="s">
        <v>5269</v>
      </c>
      <c r="B1632" s="41" t="str">
        <f>_xlfn.TEXTAFTER(_xlfn.TEXTBEFORE(tblCost[[#This Row],[RequirementID]],".",-2),"cost.")</f>
        <v>collection.pantry_1@5</v>
      </c>
      <c r="C1632" s="41" t="str">
        <f>_xlfn.XLOOKUP(tblCost[[#This Row],[TargetID]],tblTargets[TargetID],tblTargets[DisplayName],"")</f>
        <v>Pantry 1 Lv 5</v>
      </c>
      <c r="D1632" s="41" t="str">
        <f>_xlfn.XLOOKUP(tblCost[[#This Row],[TargetID]],tblTargets[TargetID],tblTargets[TargetType],"")</f>
        <v>COLLECTION</v>
      </c>
      <c r="E1632" s="41" t="s">
        <v>715</v>
      </c>
      <c r="F1632" s="62" t="str">
        <f>RIGHT(tblCost[[#This Row],[RequirementID]],1)</f>
        <v>1</v>
      </c>
      <c r="G1632" s="41">
        <v>25</v>
      </c>
      <c r="H1632" t="b">
        <f>COUNTIFS(tblCostChecklist[RequirementID],tblCost[[#This Row],[RequirementID]],tblCostChecklist[PlayerPaid],TRUE)&gt;0</f>
        <v>0</v>
      </c>
      <c r="I1632" s="41">
        <f>COUNTIF(tblCost[TargetID],tblCost[[#This Row],[TargetID]])</f>
        <v>12</v>
      </c>
      <c r="J1632" s="41">
        <f>COUNTIFS(tblCost[TargetID],tblCost[[#This Row],[TargetID]],tblCost[PlayerPaid],TRUE)</f>
        <v>0</v>
      </c>
      <c r="K1632" s="41">
        <f>tblCost[[#This Row],[TargetRequirements]]-tblCost[[#This Row],[CompletedRequirements]]</f>
        <v>12</v>
      </c>
      <c r="L1632" s="41" t="b">
        <f>tblCost[[#This Row],[RemainingRequirements]]=0</f>
        <v>0</v>
      </c>
      <c r="M1632" s="43">
        <f>IF(tblCost[[#This Row],[TargetRequirements]]=0,0,tblCost[[#This Row],[CompletedRequirements]]/tblCost[[#This Row],[TargetRequirements]])</f>
        <v>0</v>
      </c>
    </row>
    <row r="1633" spans="1:13">
      <c r="A1633" s="41" t="s">
        <v>5270</v>
      </c>
      <c r="B1633" s="41" t="str">
        <f>_xlfn.TEXTAFTER(_xlfn.TEXTBEFORE(tblCost[[#This Row],[RequirementID]],".",-2),"cost.")</f>
        <v>collection.pantry_1@5</v>
      </c>
      <c r="C1633" s="41" t="str">
        <f>_xlfn.XLOOKUP(tblCost[[#This Row],[TargetID]],tblTargets[TargetID],tblTargets[DisplayName],"")</f>
        <v>Pantry 1 Lv 5</v>
      </c>
      <c r="D1633" s="41" t="str">
        <f>_xlfn.XLOOKUP(tblCost[[#This Row],[TargetID]],tblTargets[TargetID],tblTargets[TargetType],"")</f>
        <v>COLLECTION</v>
      </c>
      <c r="E1633" s="41" t="s">
        <v>719</v>
      </c>
      <c r="F1633" s="62" t="str">
        <f>RIGHT(tblCost[[#This Row],[RequirementID]],1)</f>
        <v>1</v>
      </c>
      <c r="G1633" s="41">
        <v>50</v>
      </c>
      <c r="H1633" t="b">
        <f>COUNTIFS(tblCostChecklist[RequirementID],tblCost[[#This Row],[RequirementID]],tblCostChecklist[PlayerPaid],TRUE)&gt;0</f>
        <v>0</v>
      </c>
      <c r="I1633" s="41">
        <f>COUNTIF(tblCost[TargetID],tblCost[[#This Row],[TargetID]])</f>
        <v>12</v>
      </c>
      <c r="J1633" s="41">
        <f>COUNTIFS(tblCost[TargetID],tblCost[[#This Row],[TargetID]],tblCost[PlayerPaid],TRUE)</f>
        <v>0</v>
      </c>
      <c r="K1633" s="41">
        <f>tblCost[[#This Row],[TargetRequirements]]-tblCost[[#This Row],[CompletedRequirements]]</f>
        <v>12</v>
      </c>
      <c r="L1633" s="41" t="b">
        <f>tblCost[[#This Row],[RemainingRequirements]]=0</f>
        <v>0</v>
      </c>
      <c r="M1633" s="43">
        <f>IF(tblCost[[#This Row],[TargetRequirements]]=0,0,tblCost[[#This Row],[CompletedRequirements]]/tblCost[[#This Row],[TargetRequirements]])</f>
        <v>0</v>
      </c>
    </row>
    <row r="1634" spans="1:13">
      <c r="A1634" s="41" t="s">
        <v>5271</v>
      </c>
      <c r="B1634" s="41" t="str">
        <f>_xlfn.TEXTAFTER(_xlfn.TEXTBEFORE(tblCost[[#This Row],[RequirementID]],".",-2),"cost.")</f>
        <v>collection.pantry_1@5</v>
      </c>
      <c r="C1634" s="41" t="str">
        <f>_xlfn.XLOOKUP(tblCost[[#This Row],[TargetID]],tblTargets[TargetID],tblTargets[DisplayName],"")</f>
        <v>Pantry 1 Lv 5</v>
      </c>
      <c r="D1634" s="41" t="str">
        <f>_xlfn.XLOOKUP(tblCost[[#This Row],[TargetID]],tblTargets[TargetID],tblTargets[TargetType],"")</f>
        <v>COLLECTION</v>
      </c>
      <c r="E1634" s="41" t="s">
        <v>956</v>
      </c>
      <c r="F1634" s="62" t="str">
        <f>RIGHT(tblCost[[#This Row],[RequirementID]],1)</f>
        <v>1</v>
      </c>
      <c r="G1634" s="41">
        <v>25</v>
      </c>
      <c r="H1634" t="b">
        <f>COUNTIFS(tblCostChecklist[RequirementID],tblCost[[#This Row],[RequirementID]],tblCostChecklist[PlayerPaid],TRUE)&gt;0</f>
        <v>0</v>
      </c>
      <c r="I1634" s="41">
        <f>COUNTIF(tblCost[TargetID],tblCost[[#This Row],[TargetID]])</f>
        <v>12</v>
      </c>
      <c r="J1634" s="41">
        <f>COUNTIFS(tblCost[TargetID],tblCost[[#This Row],[TargetID]],tblCost[PlayerPaid],TRUE)</f>
        <v>0</v>
      </c>
      <c r="K1634" s="41">
        <f>tblCost[[#This Row],[TargetRequirements]]-tblCost[[#This Row],[CompletedRequirements]]</f>
        <v>12</v>
      </c>
      <c r="L1634" s="41" t="b">
        <f>tblCost[[#This Row],[RemainingRequirements]]=0</f>
        <v>0</v>
      </c>
      <c r="M1634" s="43">
        <f>IF(tblCost[[#This Row],[TargetRequirements]]=0,0,tblCost[[#This Row],[CompletedRequirements]]/tblCost[[#This Row],[TargetRequirements]])</f>
        <v>0</v>
      </c>
    </row>
    <row r="1635" spans="1:13">
      <c r="A1635" s="41" t="s">
        <v>5272</v>
      </c>
      <c r="B1635" s="41" t="str">
        <f>_xlfn.TEXTAFTER(_xlfn.TEXTBEFORE(tblCost[[#This Row],[RequirementID]],".",-2),"cost.")</f>
        <v>collection.pantry_2@1</v>
      </c>
      <c r="C1635" s="41" t="str">
        <f>_xlfn.XLOOKUP(tblCost[[#This Row],[TargetID]],tblTargets[TargetID],tblTargets[DisplayName],"")</f>
        <v>Pantry 2 Lv 1</v>
      </c>
      <c r="D1635" s="41" t="str">
        <f>_xlfn.XLOOKUP(tblCost[[#This Row],[TargetID]],tblTargets[TargetID],tblTargets[TargetType],"")</f>
        <v>COLLECTION</v>
      </c>
      <c r="E1635" s="41" t="s">
        <v>701</v>
      </c>
      <c r="F1635" s="62" t="str">
        <f>RIGHT(tblCost[[#This Row],[RequirementID]],1)</f>
        <v>1</v>
      </c>
      <c r="G1635" s="41">
        <v>100</v>
      </c>
      <c r="H1635" t="b">
        <f>COUNTIFS(tblCostChecklist[RequirementID],tblCost[[#This Row],[RequirementID]],tblCostChecklist[PlayerPaid],TRUE)&gt;0</f>
        <v>0</v>
      </c>
      <c r="I1635" s="41">
        <f>COUNTIF(tblCost[TargetID],tblCost[[#This Row],[TargetID]])</f>
        <v>4</v>
      </c>
      <c r="J1635" s="41">
        <f>COUNTIFS(tblCost[TargetID],tblCost[[#This Row],[TargetID]],tblCost[PlayerPaid],TRUE)</f>
        <v>0</v>
      </c>
      <c r="K1635" s="41">
        <f>tblCost[[#This Row],[TargetRequirements]]-tblCost[[#This Row],[CompletedRequirements]]</f>
        <v>4</v>
      </c>
      <c r="L1635" s="41" t="b">
        <f>tblCost[[#This Row],[RemainingRequirements]]=0</f>
        <v>0</v>
      </c>
      <c r="M1635" s="43">
        <f>IF(tblCost[[#This Row],[TargetRequirements]]=0,0,tblCost[[#This Row],[CompletedRequirements]]/tblCost[[#This Row],[TargetRequirements]])</f>
        <v>0</v>
      </c>
    </row>
    <row r="1636" spans="1:13">
      <c r="A1636" s="41" t="s">
        <v>5273</v>
      </c>
      <c r="B1636" s="41" t="str">
        <f>_xlfn.TEXTAFTER(_xlfn.TEXTBEFORE(tblCost[[#This Row],[RequirementID]],".",-2),"cost.")</f>
        <v>collection.pantry_2@1</v>
      </c>
      <c r="C1636" s="41" t="str">
        <f>_xlfn.XLOOKUP(tblCost[[#This Row],[TargetID]],tblTargets[TargetID],tblTargets[DisplayName],"")</f>
        <v>Pantry 2 Lv 1</v>
      </c>
      <c r="D1636" s="41" t="str">
        <f>_xlfn.XLOOKUP(tblCost[[#This Row],[TargetID]],tblTargets[TargetID],tblTargets[TargetType],"")</f>
        <v>COLLECTION</v>
      </c>
      <c r="E1636" s="41" t="s">
        <v>701</v>
      </c>
      <c r="F1636" s="62" t="str">
        <f>RIGHT(tblCost[[#This Row],[RequirementID]],1)</f>
        <v>2</v>
      </c>
      <c r="G1636" s="41">
        <v>100</v>
      </c>
      <c r="H1636" t="b">
        <f>COUNTIFS(tblCostChecklist[RequirementID],tblCost[[#This Row],[RequirementID]],tblCostChecklist[PlayerPaid],TRUE)&gt;0</f>
        <v>0</v>
      </c>
      <c r="I1636" s="41">
        <f>COUNTIF(tblCost[TargetID],tblCost[[#This Row],[TargetID]])</f>
        <v>4</v>
      </c>
      <c r="J1636" s="41">
        <f>COUNTIFS(tblCost[TargetID],tblCost[[#This Row],[TargetID]],tblCost[PlayerPaid],TRUE)</f>
        <v>0</v>
      </c>
      <c r="K1636" s="41">
        <f>tblCost[[#This Row],[TargetRequirements]]-tblCost[[#This Row],[CompletedRequirements]]</f>
        <v>4</v>
      </c>
      <c r="L1636" s="41" t="b">
        <f>tblCost[[#This Row],[RemainingRequirements]]=0</f>
        <v>0</v>
      </c>
      <c r="M1636" s="43">
        <f>IF(tblCost[[#This Row],[TargetRequirements]]=0,0,tblCost[[#This Row],[CompletedRequirements]]/tblCost[[#This Row],[TargetRequirements]])</f>
        <v>0</v>
      </c>
    </row>
    <row r="1637" spans="1:13">
      <c r="A1637" s="41" t="s">
        <v>5274</v>
      </c>
      <c r="B1637" s="41" t="str">
        <f>_xlfn.TEXTAFTER(_xlfn.TEXTBEFORE(tblCost[[#This Row],[RequirementID]],".",-2),"cost.")</f>
        <v>collection.pantry_2@1</v>
      </c>
      <c r="C1637" s="41" t="str">
        <f>_xlfn.XLOOKUP(tblCost[[#This Row],[TargetID]],tblTargets[TargetID],tblTargets[DisplayName],"")</f>
        <v>Pantry 2 Lv 1</v>
      </c>
      <c r="D1637" s="41" t="str">
        <f>_xlfn.XLOOKUP(tblCost[[#This Row],[TargetID]],tblTargets[TargetID],tblTargets[TargetType],"")</f>
        <v>COLLECTION</v>
      </c>
      <c r="E1637" s="41" t="s">
        <v>716</v>
      </c>
      <c r="F1637" s="62" t="str">
        <f>RIGHT(tblCost[[#This Row],[RequirementID]],1)</f>
        <v>1</v>
      </c>
      <c r="G1637" s="41">
        <v>100</v>
      </c>
      <c r="H1637" t="b">
        <f>COUNTIFS(tblCostChecklist[RequirementID],tblCost[[#This Row],[RequirementID]],tblCostChecklist[PlayerPaid],TRUE)&gt;0</f>
        <v>0</v>
      </c>
      <c r="I1637" s="41">
        <f>COUNTIF(tblCost[TargetID],tblCost[[#This Row],[TargetID]])</f>
        <v>4</v>
      </c>
      <c r="J1637" s="41">
        <f>COUNTIFS(tblCost[TargetID],tblCost[[#This Row],[TargetID]],tblCost[PlayerPaid],TRUE)</f>
        <v>0</v>
      </c>
      <c r="K1637" s="41">
        <f>tblCost[[#This Row],[TargetRequirements]]-tblCost[[#This Row],[CompletedRequirements]]</f>
        <v>4</v>
      </c>
      <c r="L1637" s="41" t="b">
        <f>tblCost[[#This Row],[RemainingRequirements]]=0</f>
        <v>0</v>
      </c>
      <c r="M1637" s="43">
        <f>IF(tblCost[[#This Row],[TargetRequirements]]=0,0,tblCost[[#This Row],[CompletedRequirements]]/tblCost[[#This Row],[TargetRequirements]])</f>
        <v>0</v>
      </c>
    </row>
    <row r="1638" spans="1:13">
      <c r="A1638" s="41" t="s">
        <v>5275</v>
      </c>
      <c r="B1638" s="41" t="str">
        <f>_xlfn.TEXTAFTER(_xlfn.TEXTBEFORE(tblCost[[#This Row],[RequirementID]],".",-2),"cost.")</f>
        <v>collection.pantry_2@1</v>
      </c>
      <c r="C1638" s="41" t="str">
        <f>_xlfn.XLOOKUP(tblCost[[#This Row],[TargetID]],tblTargets[TargetID],tblTargets[DisplayName],"")</f>
        <v>Pantry 2 Lv 1</v>
      </c>
      <c r="D1638" s="41" t="str">
        <f>_xlfn.XLOOKUP(tblCost[[#This Row],[TargetID]],tblTargets[TargetID],tblTargets[TargetType],"")</f>
        <v>COLLECTION</v>
      </c>
      <c r="E1638" s="41" t="s">
        <v>717</v>
      </c>
      <c r="F1638" s="62" t="str">
        <f>RIGHT(tblCost[[#This Row],[RequirementID]],1)</f>
        <v>1</v>
      </c>
      <c r="G1638" s="41">
        <v>100</v>
      </c>
      <c r="H1638" t="b">
        <f>COUNTIFS(tblCostChecklist[RequirementID],tblCost[[#This Row],[RequirementID]],tblCostChecklist[PlayerPaid],TRUE)&gt;0</f>
        <v>0</v>
      </c>
      <c r="I1638" s="41">
        <f>COUNTIF(tblCost[TargetID],tblCost[[#This Row],[TargetID]])</f>
        <v>4</v>
      </c>
      <c r="J1638" s="41">
        <f>COUNTIFS(tblCost[TargetID],tblCost[[#This Row],[TargetID]],tblCost[PlayerPaid],TRUE)</f>
        <v>0</v>
      </c>
      <c r="K1638" s="41">
        <f>tblCost[[#This Row],[TargetRequirements]]-tblCost[[#This Row],[CompletedRequirements]]</f>
        <v>4</v>
      </c>
      <c r="L1638" s="41" t="b">
        <f>tblCost[[#This Row],[RemainingRequirements]]=0</f>
        <v>0</v>
      </c>
      <c r="M1638" s="43">
        <f>IF(tblCost[[#This Row],[TargetRequirements]]=0,0,tblCost[[#This Row],[CompletedRequirements]]/tblCost[[#This Row],[TargetRequirements]])</f>
        <v>0</v>
      </c>
    </row>
    <row r="1639" spans="1:13">
      <c r="A1639" s="41" t="s">
        <v>5276</v>
      </c>
      <c r="B1639" s="41" t="str">
        <f>_xlfn.TEXTAFTER(_xlfn.TEXTBEFORE(tblCost[[#This Row],[RequirementID]],".",-2),"cost.")</f>
        <v>collection.pantry_2@2</v>
      </c>
      <c r="C1639" s="41" t="str">
        <f>_xlfn.XLOOKUP(tblCost[[#This Row],[TargetID]],tblTargets[TargetID],tblTargets[DisplayName],"")</f>
        <v>Pantry 2 Lv 2</v>
      </c>
      <c r="D1639" s="41" t="str">
        <f>_xlfn.XLOOKUP(tblCost[[#This Row],[TargetID]],tblTargets[TargetID],tblTargets[TargetType],"")</f>
        <v>COLLECTION</v>
      </c>
      <c r="E1639" s="41" t="s">
        <v>701</v>
      </c>
      <c r="F1639" s="62" t="str">
        <f>RIGHT(tblCost[[#This Row],[RequirementID]],1)</f>
        <v>1</v>
      </c>
      <c r="G1639" s="41">
        <v>200</v>
      </c>
      <c r="H1639" t="b">
        <f>COUNTIFS(tblCostChecklist[RequirementID],tblCost[[#This Row],[RequirementID]],tblCostChecklist[PlayerPaid],TRUE)&gt;0</f>
        <v>0</v>
      </c>
      <c r="I1639" s="41">
        <f>COUNTIF(tblCost[TargetID],tblCost[[#This Row],[TargetID]])</f>
        <v>4</v>
      </c>
      <c r="J1639" s="41">
        <f>COUNTIFS(tblCost[TargetID],tblCost[[#This Row],[TargetID]],tblCost[PlayerPaid],TRUE)</f>
        <v>0</v>
      </c>
      <c r="K1639" s="41">
        <f>tblCost[[#This Row],[TargetRequirements]]-tblCost[[#This Row],[CompletedRequirements]]</f>
        <v>4</v>
      </c>
      <c r="L1639" s="41" t="b">
        <f>tblCost[[#This Row],[RemainingRequirements]]=0</f>
        <v>0</v>
      </c>
      <c r="M1639" s="43">
        <f>IF(tblCost[[#This Row],[TargetRequirements]]=0,0,tblCost[[#This Row],[CompletedRequirements]]/tblCost[[#This Row],[TargetRequirements]])</f>
        <v>0</v>
      </c>
    </row>
    <row r="1640" spans="1:13">
      <c r="A1640" s="41" t="s">
        <v>5277</v>
      </c>
      <c r="B1640" s="41" t="str">
        <f>_xlfn.TEXTAFTER(_xlfn.TEXTBEFORE(tblCost[[#This Row],[RequirementID]],".",-2),"cost.")</f>
        <v>collection.pantry_2@2</v>
      </c>
      <c r="C1640" s="41" t="str">
        <f>_xlfn.XLOOKUP(tblCost[[#This Row],[TargetID]],tblTargets[TargetID],tblTargets[DisplayName],"")</f>
        <v>Pantry 2 Lv 2</v>
      </c>
      <c r="D1640" s="41" t="str">
        <f>_xlfn.XLOOKUP(tblCost[[#This Row],[TargetID]],tblTargets[TargetID],tblTargets[TargetType],"")</f>
        <v>COLLECTION</v>
      </c>
      <c r="E1640" s="41" t="s">
        <v>701</v>
      </c>
      <c r="F1640" s="62" t="str">
        <f>RIGHT(tblCost[[#This Row],[RequirementID]],1)</f>
        <v>2</v>
      </c>
      <c r="G1640" s="41">
        <v>200</v>
      </c>
      <c r="H1640" t="b">
        <f>COUNTIFS(tblCostChecklist[RequirementID],tblCost[[#This Row],[RequirementID]],tblCostChecklist[PlayerPaid],TRUE)&gt;0</f>
        <v>0</v>
      </c>
      <c r="I1640" s="41">
        <f>COUNTIF(tblCost[TargetID],tblCost[[#This Row],[TargetID]])</f>
        <v>4</v>
      </c>
      <c r="J1640" s="41">
        <f>COUNTIFS(tblCost[TargetID],tblCost[[#This Row],[TargetID]],tblCost[PlayerPaid],TRUE)</f>
        <v>0</v>
      </c>
      <c r="K1640" s="41">
        <f>tblCost[[#This Row],[TargetRequirements]]-tblCost[[#This Row],[CompletedRequirements]]</f>
        <v>4</v>
      </c>
      <c r="L1640" s="41" t="b">
        <f>tblCost[[#This Row],[RemainingRequirements]]=0</f>
        <v>0</v>
      </c>
      <c r="M1640" s="43">
        <f>IF(tblCost[[#This Row],[TargetRequirements]]=0,0,tblCost[[#This Row],[CompletedRequirements]]/tblCost[[#This Row],[TargetRequirements]])</f>
        <v>0</v>
      </c>
    </row>
    <row r="1641" spans="1:13">
      <c r="A1641" s="41" t="s">
        <v>5278</v>
      </c>
      <c r="B1641" s="41" t="str">
        <f>_xlfn.TEXTAFTER(_xlfn.TEXTBEFORE(tblCost[[#This Row],[RequirementID]],".",-2),"cost.")</f>
        <v>collection.pantry_2@2</v>
      </c>
      <c r="C1641" s="41" t="str">
        <f>_xlfn.XLOOKUP(tblCost[[#This Row],[TargetID]],tblTargets[TargetID],tblTargets[DisplayName],"")</f>
        <v>Pantry 2 Lv 2</v>
      </c>
      <c r="D1641" s="41" t="str">
        <f>_xlfn.XLOOKUP(tblCost[[#This Row],[TargetID]],tblTargets[TargetID],tblTargets[TargetType],"")</f>
        <v>COLLECTION</v>
      </c>
      <c r="E1641" s="41" t="s">
        <v>716</v>
      </c>
      <c r="F1641" s="62" t="str">
        <f>RIGHT(tblCost[[#This Row],[RequirementID]],1)</f>
        <v>1</v>
      </c>
      <c r="G1641" s="41">
        <v>200</v>
      </c>
      <c r="H1641" t="b">
        <f>COUNTIFS(tblCostChecklist[RequirementID],tblCost[[#This Row],[RequirementID]],tblCostChecklist[PlayerPaid],TRUE)&gt;0</f>
        <v>0</v>
      </c>
      <c r="I1641" s="41">
        <f>COUNTIF(tblCost[TargetID],tblCost[[#This Row],[TargetID]])</f>
        <v>4</v>
      </c>
      <c r="J1641" s="41">
        <f>COUNTIFS(tblCost[TargetID],tblCost[[#This Row],[TargetID]],tblCost[PlayerPaid],TRUE)</f>
        <v>0</v>
      </c>
      <c r="K1641" s="41">
        <f>tblCost[[#This Row],[TargetRequirements]]-tblCost[[#This Row],[CompletedRequirements]]</f>
        <v>4</v>
      </c>
      <c r="L1641" s="41" t="b">
        <f>tblCost[[#This Row],[RemainingRequirements]]=0</f>
        <v>0</v>
      </c>
      <c r="M1641" s="43">
        <f>IF(tblCost[[#This Row],[TargetRequirements]]=0,0,tblCost[[#This Row],[CompletedRequirements]]/tblCost[[#This Row],[TargetRequirements]])</f>
        <v>0</v>
      </c>
    </row>
    <row r="1642" spans="1:13">
      <c r="A1642" s="41" t="s">
        <v>5279</v>
      </c>
      <c r="B1642" s="41" t="str">
        <f>_xlfn.TEXTAFTER(_xlfn.TEXTBEFORE(tblCost[[#This Row],[RequirementID]],".",-2),"cost.")</f>
        <v>collection.pantry_2@2</v>
      </c>
      <c r="C1642" s="41" t="str">
        <f>_xlfn.XLOOKUP(tblCost[[#This Row],[TargetID]],tblTargets[TargetID],tblTargets[DisplayName],"")</f>
        <v>Pantry 2 Lv 2</v>
      </c>
      <c r="D1642" s="41" t="str">
        <f>_xlfn.XLOOKUP(tblCost[[#This Row],[TargetID]],tblTargets[TargetID],tblTargets[TargetType],"")</f>
        <v>COLLECTION</v>
      </c>
      <c r="E1642" s="41" t="s">
        <v>717</v>
      </c>
      <c r="F1642" s="62" t="str">
        <f>RIGHT(tblCost[[#This Row],[RequirementID]],1)</f>
        <v>1</v>
      </c>
      <c r="G1642" s="41">
        <v>200</v>
      </c>
      <c r="H1642" t="b">
        <f>COUNTIFS(tblCostChecklist[RequirementID],tblCost[[#This Row],[RequirementID]],tblCostChecklist[PlayerPaid],TRUE)&gt;0</f>
        <v>0</v>
      </c>
      <c r="I1642" s="41">
        <f>COUNTIF(tblCost[TargetID],tblCost[[#This Row],[TargetID]])</f>
        <v>4</v>
      </c>
      <c r="J1642" s="41">
        <f>COUNTIFS(tblCost[TargetID],tblCost[[#This Row],[TargetID]],tblCost[PlayerPaid],TRUE)</f>
        <v>0</v>
      </c>
      <c r="K1642" s="41">
        <f>tblCost[[#This Row],[TargetRequirements]]-tblCost[[#This Row],[CompletedRequirements]]</f>
        <v>4</v>
      </c>
      <c r="L1642" s="41" t="b">
        <f>tblCost[[#This Row],[RemainingRequirements]]=0</f>
        <v>0</v>
      </c>
      <c r="M1642" s="43">
        <f>IF(tblCost[[#This Row],[TargetRequirements]]=0,0,tblCost[[#This Row],[CompletedRequirements]]/tblCost[[#This Row],[TargetRequirements]])</f>
        <v>0</v>
      </c>
    </row>
    <row r="1643" spans="1:13">
      <c r="A1643" s="41" t="s">
        <v>5280</v>
      </c>
      <c r="B1643" s="41" t="str">
        <f>_xlfn.TEXTAFTER(_xlfn.TEXTBEFORE(tblCost[[#This Row],[RequirementID]],".",-2),"cost.")</f>
        <v>collection.pantry_2@3</v>
      </c>
      <c r="C1643" s="41" t="str">
        <f>_xlfn.XLOOKUP(tblCost[[#This Row],[TargetID]],tblTargets[TargetID],tblTargets[DisplayName],"")</f>
        <v>Pantry 2 Lv 3</v>
      </c>
      <c r="D1643" s="41" t="str">
        <f>_xlfn.XLOOKUP(tblCost[[#This Row],[TargetID]],tblTargets[TargetID],tblTargets[TargetType],"")</f>
        <v>COLLECTION</v>
      </c>
      <c r="E1643" s="41" t="s">
        <v>701</v>
      </c>
      <c r="F1643" s="62" t="str">
        <f>RIGHT(tblCost[[#This Row],[RequirementID]],1)</f>
        <v>1</v>
      </c>
      <c r="G1643" s="41">
        <v>300</v>
      </c>
      <c r="H1643" t="b">
        <f>COUNTIFS(tblCostChecklist[RequirementID],tblCost[[#This Row],[RequirementID]],tblCostChecklist[PlayerPaid],TRUE)&gt;0</f>
        <v>0</v>
      </c>
      <c r="I1643" s="41">
        <f>COUNTIF(tblCost[TargetID],tblCost[[#This Row],[TargetID]])</f>
        <v>4</v>
      </c>
      <c r="J1643" s="41">
        <f>COUNTIFS(tblCost[TargetID],tblCost[[#This Row],[TargetID]],tblCost[PlayerPaid],TRUE)</f>
        <v>0</v>
      </c>
      <c r="K1643" s="41">
        <f>tblCost[[#This Row],[TargetRequirements]]-tblCost[[#This Row],[CompletedRequirements]]</f>
        <v>4</v>
      </c>
      <c r="L1643" s="41" t="b">
        <f>tblCost[[#This Row],[RemainingRequirements]]=0</f>
        <v>0</v>
      </c>
      <c r="M1643" s="43">
        <f>IF(tblCost[[#This Row],[TargetRequirements]]=0,0,tblCost[[#This Row],[CompletedRequirements]]/tblCost[[#This Row],[TargetRequirements]])</f>
        <v>0</v>
      </c>
    </row>
    <row r="1644" spans="1:13">
      <c r="A1644" s="41" t="s">
        <v>5281</v>
      </c>
      <c r="B1644" s="41" t="str">
        <f>_xlfn.TEXTAFTER(_xlfn.TEXTBEFORE(tblCost[[#This Row],[RequirementID]],".",-2),"cost.")</f>
        <v>collection.pantry_2@3</v>
      </c>
      <c r="C1644" s="41" t="str">
        <f>_xlfn.XLOOKUP(tblCost[[#This Row],[TargetID]],tblTargets[TargetID],tblTargets[DisplayName],"")</f>
        <v>Pantry 2 Lv 3</v>
      </c>
      <c r="D1644" s="41" t="str">
        <f>_xlfn.XLOOKUP(tblCost[[#This Row],[TargetID]],tblTargets[TargetID],tblTargets[TargetType],"")</f>
        <v>COLLECTION</v>
      </c>
      <c r="E1644" s="41" t="s">
        <v>701</v>
      </c>
      <c r="F1644" s="62" t="str">
        <f>RIGHT(tblCost[[#This Row],[RequirementID]],1)</f>
        <v>2</v>
      </c>
      <c r="G1644" s="41">
        <v>300</v>
      </c>
      <c r="H1644" t="b">
        <f>COUNTIFS(tblCostChecklist[RequirementID],tblCost[[#This Row],[RequirementID]],tblCostChecklist[PlayerPaid],TRUE)&gt;0</f>
        <v>0</v>
      </c>
      <c r="I1644" s="41">
        <f>COUNTIF(tblCost[TargetID],tblCost[[#This Row],[TargetID]])</f>
        <v>4</v>
      </c>
      <c r="J1644" s="41">
        <f>COUNTIFS(tblCost[TargetID],tblCost[[#This Row],[TargetID]],tblCost[PlayerPaid],TRUE)</f>
        <v>0</v>
      </c>
      <c r="K1644" s="41">
        <f>tblCost[[#This Row],[TargetRequirements]]-tblCost[[#This Row],[CompletedRequirements]]</f>
        <v>4</v>
      </c>
      <c r="L1644" s="41" t="b">
        <f>tblCost[[#This Row],[RemainingRequirements]]=0</f>
        <v>0</v>
      </c>
      <c r="M1644" s="43">
        <f>IF(tblCost[[#This Row],[TargetRequirements]]=0,0,tblCost[[#This Row],[CompletedRequirements]]/tblCost[[#This Row],[TargetRequirements]])</f>
        <v>0</v>
      </c>
    </row>
    <row r="1645" spans="1:13">
      <c r="A1645" s="41" t="s">
        <v>5282</v>
      </c>
      <c r="B1645" s="41" t="str">
        <f>_xlfn.TEXTAFTER(_xlfn.TEXTBEFORE(tblCost[[#This Row],[RequirementID]],".",-2),"cost.")</f>
        <v>collection.pantry_2@3</v>
      </c>
      <c r="C1645" s="41" t="str">
        <f>_xlfn.XLOOKUP(tblCost[[#This Row],[TargetID]],tblTargets[TargetID],tblTargets[DisplayName],"")</f>
        <v>Pantry 2 Lv 3</v>
      </c>
      <c r="D1645" s="41" t="str">
        <f>_xlfn.XLOOKUP(tblCost[[#This Row],[TargetID]],tblTargets[TargetID],tblTargets[TargetType],"")</f>
        <v>COLLECTION</v>
      </c>
      <c r="E1645" s="41" t="s">
        <v>716</v>
      </c>
      <c r="F1645" s="62" t="str">
        <f>RIGHT(tblCost[[#This Row],[RequirementID]],1)</f>
        <v>1</v>
      </c>
      <c r="G1645" s="41">
        <v>300</v>
      </c>
      <c r="H1645" t="b">
        <f>COUNTIFS(tblCostChecklist[RequirementID],tblCost[[#This Row],[RequirementID]],tblCostChecklist[PlayerPaid],TRUE)&gt;0</f>
        <v>0</v>
      </c>
      <c r="I1645" s="41">
        <f>COUNTIF(tblCost[TargetID],tblCost[[#This Row],[TargetID]])</f>
        <v>4</v>
      </c>
      <c r="J1645" s="41">
        <f>COUNTIFS(tblCost[TargetID],tblCost[[#This Row],[TargetID]],tblCost[PlayerPaid],TRUE)</f>
        <v>0</v>
      </c>
      <c r="K1645" s="41">
        <f>tblCost[[#This Row],[TargetRequirements]]-tblCost[[#This Row],[CompletedRequirements]]</f>
        <v>4</v>
      </c>
      <c r="L1645" s="41" t="b">
        <f>tblCost[[#This Row],[RemainingRequirements]]=0</f>
        <v>0</v>
      </c>
      <c r="M1645" s="43">
        <f>IF(tblCost[[#This Row],[TargetRequirements]]=0,0,tblCost[[#This Row],[CompletedRequirements]]/tblCost[[#This Row],[TargetRequirements]])</f>
        <v>0</v>
      </c>
    </row>
    <row r="1646" spans="1:13">
      <c r="A1646" s="41" t="s">
        <v>5283</v>
      </c>
      <c r="B1646" s="41" t="str">
        <f>_xlfn.TEXTAFTER(_xlfn.TEXTBEFORE(tblCost[[#This Row],[RequirementID]],".",-2),"cost.")</f>
        <v>collection.pantry_2@3</v>
      </c>
      <c r="C1646" s="41" t="str">
        <f>_xlfn.XLOOKUP(tblCost[[#This Row],[TargetID]],tblTargets[TargetID],tblTargets[DisplayName],"")</f>
        <v>Pantry 2 Lv 3</v>
      </c>
      <c r="D1646" s="41" t="str">
        <f>_xlfn.XLOOKUP(tblCost[[#This Row],[TargetID]],tblTargets[TargetID],tblTargets[TargetType],"")</f>
        <v>COLLECTION</v>
      </c>
      <c r="E1646" s="41" t="s">
        <v>717</v>
      </c>
      <c r="F1646" s="62" t="str">
        <f>RIGHT(tblCost[[#This Row],[RequirementID]],1)</f>
        <v>1</v>
      </c>
      <c r="G1646" s="41">
        <v>300</v>
      </c>
      <c r="H1646" t="b">
        <f>COUNTIFS(tblCostChecklist[RequirementID],tblCost[[#This Row],[RequirementID]],tblCostChecklist[PlayerPaid],TRUE)&gt;0</f>
        <v>0</v>
      </c>
      <c r="I1646" s="41">
        <f>COUNTIF(tblCost[TargetID],tblCost[[#This Row],[TargetID]])</f>
        <v>4</v>
      </c>
      <c r="J1646" s="41">
        <f>COUNTIFS(tblCost[TargetID],tblCost[[#This Row],[TargetID]],tblCost[PlayerPaid],TRUE)</f>
        <v>0</v>
      </c>
      <c r="K1646" s="41">
        <f>tblCost[[#This Row],[TargetRequirements]]-tblCost[[#This Row],[CompletedRequirements]]</f>
        <v>4</v>
      </c>
      <c r="L1646" s="41" t="b">
        <f>tblCost[[#This Row],[RemainingRequirements]]=0</f>
        <v>0</v>
      </c>
      <c r="M1646" s="43">
        <f>IF(tblCost[[#This Row],[TargetRequirements]]=0,0,tblCost[[#This Row],[CompletedRequirements]]/tblCost[[#This Row],[TargetRequirements]])</f>
        <v>0</v>
      </c>
    </row>
    <row r="1647" spans="1:13">
      <c r="A1647" s="41" t="s">
        <v>5284</v>
      </c>
      <c r="B1647" s="41" t="str">
        <f>_xlfn.TEXTAFTER(_xlfn.TEXTBEFORE(tblCost[[#This Row],[RequirementID]],".",-2),"cost.")</f>
        <v>collection.pantry_2@4</v>
      </c>
      <c r="C1647" s="41" t="str">
        <f>_xlfn.XLOOKUP(tblCost[[#This Row],[TargetID]],tblTargets[TargetID],tblTargets[DisplayName],"")</f>
        <v>Pantry 2 Lv 4</v>
      </c>
      <c r="D1647" s="41" t="str">
        <f>_xlfn.XLOOKUP(tblCost[[#This Row],[TargetID]],tblTargets[TargetID],tblTargets[TargetType],"")</f>
        <v>COLLECTION</v>
      </c>
      <c r="E1647" s="41" t="s">
        <v>701</v>
      </c>
      <c r="F1647" s="62" t="str">
        <f>RIGHT(tblCost[[#This Row],[RequirementID]],1)</f>
        <v>1</v>
      </c>
      <c r="G1647" s="41">
        <v>400</v>
      </c>
      <c r="H1647" t="b">
        <f>COUNTIFS(tblCostChecklist[RequirementID],tblCost[[#This Row],[RequirementID]],tblCostChecklist[PlayerPaid],TRUE)&gt;0</f>
        <v>0</v>
      </c>
      <c r="I1647" s="41">
        <f>COUNTIF(tblCost[TargetID],tblCost[[#This Row],[TargetID]])</f>
        <v>4</v>
      </c>
      <c r="J1647" s="41">
        <f>COUNTIFS(tblCost[TargetID],tblCost[[#This Row],[TargetID]],tblCost[PlayerPaid],TRUE)</f>
        <v>0</v>
      </c>
      <c r="K1647" s="41">
        <f>tblCost[[#This Row],[TargetRequirements]]-tblCost[[#This Row],[CompletedRequirements]]</f>
        <v>4</v>
      </c>
      <c r="L1647" s="41" t="b">
        <f>tblCost[[#This Row],[RemainingRequirements]]=0</f>
        <v>0</v>
      </c>
      <c r="M1647" s="43">
        <f>IF(tblCost[[#This Row],[TargetRequirements]]=0,0,tblCost[[#This Row],[CompletedRequirements]]/tblCost[[#This Row],[TargetRequirements]])</f>
        <v>0</v>
      </c>
    </row>
    <row r="1648" spans="1:13">
      <c r="A1648" s="41" t="s">
        <v>5285</v>
      </c>
      <c r="B1648" s="41" t="str">
        <f>_xlfn.TEXTAFTER(_xlfn.TEXTBEFORE(tblCost[[#This Row],[RequirementID]],".",-2),"cost.")</f>
        <v>collection.pantry_2@4</v>
      </c>
      <c r="C1648" s="41" t="str">
        <f>_xlfn.XLOOKUP(tblCost[[#This Row],[TargetID]],tblTargets[TargetID],tblTargets[DisplayName],"")</f>
        <v>Pantry 2 Lv 4</v>
      </c>
      <c r="D1648" s="41" t="str">
        <f>_xlfn.XLOOKUP(tblCost[[#This Row],[TargetID]],tblTargets[TargetID],tblTargets[TargetType],"")</f>
        <v>COLLECTION</v>
      </c>
      <c r="E1648" s="41" t="s">
        <v>701</v>
      </c>
      <c r="F1648" s="62" t="str">
        <f>RIGHT(tblCost[[#This Row],[RequirementID]],1)</f>
        <v>2</v>
      </c>
      <c r="G1648" s="41">
        <v>400</v>
      </c>
      <c r="H1648" t="b">
        <f>COUNTIFS(tblCostChecklist[RequirementID],tblCost[[#This Row],[RequirementID]],tblCostChecklist[PlayerPaid],TRUE)&gt;0</f>
        <v>0</v>
      </c>
      <c r="I1648" s="41">
        <f>COUNTIF(tblCost[TargetID],tblCost[[#This Row],[TargetID]])</f>
        <v>4</v>
      </c>
      <c r="J1648" s="41">
        <f>COUNTIFS(tblCost[TargetID],tblCost[[#This Row],[TargetID]],tblCost[PlayerPaid],TRUE)</f>
        <v>0</v>
      </c>
      <c r="K1648" s="41">
        <f>tblCost[[#This Row],[TargetRequirements]]-tblCost[[#This Row],[CompletedRequirements]]</f>
        <v>4</v>
      </c>
      <c r="L1648" s="41" t="b">
        <f>tblCost[[#This Row],[RemainingRequirements]]=0</f>
        <v>0</v>
      </c>
      <c r="M1648" s="43">
        <f>IF(tblCost[[#This Row],[TargetRequirements]]=0,0,tblCost[[#This Row],[CompletedRequirements]]/tblCost[[#This Row],[TargetRequirements]])</f>
        <v>0</v>
      </c>
    </row>
    <row r="1649" spans="1:13">
      <c r="A1649" s="41" t="s">
        <v>5286</v>
      </c>
      <c r="B1649" s="41" t="str">
        <f>_xlfn.TEXTAFTER(_xlfn.TEXTBEFORE(tblCost[[#This Row],[RequirementID]],".",-2),"cost.")</f>
        <v>collection.pantry_2@4</v>
      </c>
      <c r="C1649" s="41" t="str">
        <f>_xlfn.XLOOKUP(tblCost[[#This Row],[TargetID]],tblTargets[TargetID],tblTargets[DisplayName],"")</f>
        <v>Pantry 2 Lv 4</v>
      </c>
      <c r="D1649" s="41" t="str">
        <f>_xlfn.XLOOKUP(tblCost[[#This Row],[TargetID]],tblTargets[TargetID],tblTargets[TargetType],"")</f>
        <v>COLLECTION</v>
      </c>
      <c r="E1649" s="41" t="s">
        <v>716</v>
      </c>
      <c r="F1649" s="62" t="str">
        <f>RIGHT(tblCost[[#This Row],[RequirementID]],1)</f>
        <v>1</v>
      </c>
      <c r="G1649" s="41">
        <v>400</v>
      </c>
      <c r="H1649" t="b">
        <f>COUNTIFS(tblCostChecklist[RequirementID],tblCost[[#This Row],[RequirementID]],tblCostChecklist[PlayerPaid],TRUE)&gt;0</f>
        <v>0</v>
      </c>
      <c r="I1649" s="41">
        <f>COUNTIF(tblCost[TargetID],tblCost[[#This Row],[TargetID]])</f>
        <v>4</v>
      </c>
      <c r="J1649" s="41">
        <f>COUNTIFS(tblCost[TargetID],tblCost[[#This Row],[TargetID]],tblCost[PlayerPaid],TRUE)</f>
        <v>0</v>
      </c>
      <c r="K1649" s="41">
        <f>tblCost[[#This Row],[TargetRequirements]]-tblCost[[#This Row],[CompletedRequirements]]</f>
        <v>4</v>
      </c>
      <c r="L1649" s="41" t="b">
        <f>tblCost[[#This Row],[RemainingRequirements]]=0</f>
        <v>0</v>
      </c>
      <c r="M1649" s="43">
        <f>IF(tblCost[[#This Row],[TargetRequirements]]=0,0,tblCost[[#This Row],[CompletedRequirements]]/tblCost[[#This Row],[TargetRequirements]])</f>
        <v>0</v>
      </c>
    </row>
    <row r="1650" spans="1:13">
      <c r="A1650" s="41" t="s">
        <v>5287</v>
      </c>
      <c r="B1650" s="41" t="str">
        <f>_xlfn.TEXTAFTER(_xlfn.TEXTBEFORE(tblCost[[#This Row],[RequirementID]],".",-2),"cost.")</f>
        <v>collection.pantry_2@4</v>
      </c>
      <c r="C1650" s="41" t="str">
        <f>_xlfn.XLOOKUP(tblCost[[#This Row],[TargetID]],tblTargets[TargetID],tblTargets[DisplayName],"")</f>
        <v>Pantry 2 Lv 4</v>
      </c>
      <c r="D1650" s="41" t="str">
        <f>_xlfn.XLOOKUP(tblCost[[#This Row],[TargetID]],tblTargets[TargetID],tblTargets[TargetType],"")</f>
        <v>COLLECTION</v>
      </c>
      <c r="E1650" s="41" t="s">
        <v>717</v>
      </c>
      <c r="F1650" s="62" t="str">
        <f>RIGHT(tblCost[[#This Row],[RequirementID]],1)</f>
        <v>1</v>
      </c>
      <c r="G1650" s="41">
        <v>400</v>
      </c>
      <c r="H1650" t="b">
        <f>COUNTIFS(tblCostChecklist[RequirementID],tblCost[[#This Row],[RequirementID]],tblCostChecklist[PlayerPaid],TRUE)&gt;0</f>
        <v>0</v>
      </c>
      <c r="I1650" s="41">
        <f>COUNTIF(tblCost[TargetID],tblCost[[#This Row],[TargetID]])</f>
        <v>4</v>
      </c>
      <c r="J1650" s="41">
        <f>COUNTIFS(tblCost[TargetID],tblCost[[#This Row],[TargetID]],tblCost[PlayerPaid],TRUE)</f>
        <v>0</v>
      </c>
      <c r="K1650" s="41">
        <f>tblCost[[#This Row],[TargetRequirements]]-tblCost[[#This Row],[CompletedRequirements]]</f>
        <v>4</v>
      </c>
      <c r="L1650" s="41" t="b">
        <f>tblCost[[#This Row],[RemainingRequirements]]=0</f>
        <v>0</v>
      </c>
      <c r="M1650" s="43">
        <f>IF(tblCost[[#This Row],[TargetRequirements]]=0,0,tblCost[[#This Row],[CompletedRequirements]]/tblCost[[#This Row],[TargetRequirements]])</f>
        <v>0</v>
      </c>
    </row>
    <row r="1651" spans="1:13">
      <c r="A1651" s="41" t="s">
        <v>5288</v>
      </c>
      <c r="B1651" s="41" t="str">
        <f>_xlfn.TEXTAFTER(_xlfn.TEXTBEFORE(tblCost[[#This Row],[RequirementID]],".",-2),"cost.")</f>
        <v>collection.pantry_2@5</v>
      </c>
      <c r="C1651" s="41" t="str">
        <f>_xlfn.XLOOKUP(tblCost[[#This Row],[TargetID]],tblTargets[TargetID],tblTargets[DisplayName],"")</f>
        <v>Pantry 2 Lv 5</v>
      </c>
      <c r="D1651" s="41" t="str">
        <f>_xlfn.XLOOKUP(tblCost[[#This Row],[TargetID]],tblTargets[TargetID],tblTargets[TargetType],"")</f>
        <v>COLLECTION</v>
      </c>
      <c r="E1651" s="41" t="s">
        <v>701</v>
      </c>
      <c r="F1651" s="62" t="str">
        <f>RIGHT(tblCost[[#This Row],[RequirementID]],1)</f>
        <v>1</v>
      </c>
      <c r="G1651" s="41">
        <v>500</v>
      </c>
      <c r="H1651" t="b">
        <f>COUNTIFS(tblCostChecklist[RequirementID],tblCost[[#This Row],[RequirementID]],tblCostChecklist[PlayerPaid],TRUE)&gt;0</f>
        <v>0</v>
      </c>
      <c r="I1651" s="41">
        <f>COUNTIF(tblCost[TargetID],tblCost[[#This Row],[TargetID]])</f>
        <v>4</v>
      </c>
      <c r="J1651" s="41">
        <f>COUNTIFS(tblCost[TargetID],tblCost[[#This Row],[TargetID]],tblCost[PlayerPaid],TRUE)</f>
        <v>0</v>
      </c>
      <c r="K1651" s="41">
        <f>tblCost[[#This Row],[TargetRequirements]]-tblCost[[#This Row],[CompletedRequirements]]</f>
        <v>4</v>
      </c>
      <c r="L1651" s="41" t="b">
        <f>tblCost[[#This Row],[RemainingRequirements]]=0</f>
        <v>0</v>
      </c>
      <c r="M1651" s="43">
        <f>IF(tblCost[[#This Row],[TargetRequirements]]=0,0,tblCost[[#This Row],[CompletedRequirements]]/tblCost[[#This Row],[TargetRequirements]])</f>
        <v>0</v>
      </c>
    </row>
    <row r="1652" spans="1:13">
      <c r="A1652" s="41" t="s">
        <v>5289</v>
      </c>
      <c r="B1652" s="41" t="str">
        <f>_xlfn.TEXTAFTER(_xlfn.TEXTBEFORE(tblCost[[#This Row],[RequirementID]],".",-2),"cost.")</f>
        <v>collection.pantry_2@5</v>
      </c>
      <c r="C1652" s="41" t="str">
        <f>_xlfn.XLOOKUP(tblCost[[#This Row],[TargetID]],tblTargets[TargetID],tblTargets[DisplayName],"")</f>
        <v>Pantry 2 Lv 5</v>
      </c>
      <c r="D1652" s="41" t="str">
        <f>_xlfn.XLOOKUP(tblCost[[#This Row],[TargetID]],tblTargets[TargetID],tblTargets[TargetType],"")</f>
        <v>COLLECTION</v>
      </c>
      <c r="E1652" s="41" t="s">
        <v>701</v>
      </c>
      <c r="F1652" s="62" t="str">
        <f>RIGHT(tblCost[[#This Row],[RequirementID]],1)</f>
        <v>2</v>
      </c>
      <c r="G1652" s="41">
        <v>500</v>
      </c>
      <c r="H1652" t="b">
        <f>COUNTIFS(tblCostChecklist[RequirementID],tblCost[[#This Row],[RequirementID]],tblCostChecklist[PlayerPaid],TRUE)&gt;0</f>
        <v>0</v>
      </c>
      <c r="I1652" s="41">
        <f>COUNTIF(tblCost[TargetID],tblCost[[#This Row],[TargetID]])</f>
        <v>4</v>
      </c>
      <c r="J1652" s="41">
        <f>COUNTIFS(tblCost[TargetID],tblCost[[#This Row],[TargetID]],tblCost[PlayerPaid],TRUE)</f>
        <v>0</v>
      </c>
      <c r="K1652" s="41">
        <f>tblCost[[#This Row],[TargetRequirements]]-tblCost[[#This Row],[CompletedRequirements]]</f>
        <v>4</v>
      </c>
      <c r="L1652" s="41" t="b">
        <f>tblCost[[#This Row],[RemainingRequirements]]=0</f>
        <v>0</v>
      </c>
      <c r="M1652" s="43">
        <f>IF(tblCost[[#This Row],[TargetRequirements]]=0,0,tblCost[[#This Row],[CompletedRequirements]]/tblCost[[#This Row],[TargetRequirements]])</f>
        <v>0</v>
      </c>
    </row>
    <row r="1653" spans="1:13">
      <c r="A1653" s="41" t="s">
        <v>5290</v>
      </c>
      <c r="B1653" s="41" t="str">
        <f>_xlfn.TEXTAFTER(_xlfn.TEXTBEFORE(tblCost[[#This Row],[RequirementID]],".",-2),"cost.")</f>
        <v>collection.pantry_2@5</v>
      </c>
      <c r="C1653" s="41" t="str">
        <f>_xlfn.XLOOKUP(tblCost[[#This Row],[TargetID]],tblTargets[TargetID],tblTargets[DisplayName],"")</f>
        <v>Pantry 2 Lv 5</v>
      </c>
      <c r="D1653" s="41" t="str">
        <f>_xlfn.XLOOKUP(tblCost[[#This Row],[TargetID]],tblTargets[TargetID],tblTargets[TargetType],"")</f>
        <v>COLLECTION</v>
      </c>
      <c r="E1653" s="41" t="s">
        <v>716</v>
      </c>
      <c r="F1653" s="62" t="str">
        <f>RIGHT(tblCost[[#This Row],[RequirementID]],1)</f>
        <v>1</v>
      </c>
      <c r="G1653" s="41">
        <v>500</v>
      </c>
      <c r="H1653" t="b">
        <f>COUNTIFS(tblCostChecklist[RequirementID],tblCost[[#This Row],[RequirementID]],tblCostChecklist[PlayerPaid],TRUE)&gt;0</f>
        <v>0</v>
      </c>
      <c r="I1653" s="41">
        <f>COUNTIF(tblCost[TargetID],tblCost[[#This Row],[TargetID]])</f>
        <v>4</v>
      </c>
      <c r="J1653" s="41">
        <f>COUNTIFS(tblCost[TargetID],tblCost[[#This Row],[TargetID]],tblCost[PlayerPaid],TRUE)</f>
        <v>0</v>
      </c>
      <c r="K1653" s="41">
        <f>tblCost[[#This Row],[TargetRequirements]]-tblCost[[#This Row],[CompletedRequirements]]</f>
        <v>4</v>
      </c>
      <c r="L1653" s="41" t="b">
        <f>tblCost[[#This Row],[RemainingRequirements]]=0</f>
        <v>0</v>
      </c>
      <c r="M1653" s="43">
        <f>IF(tblCost[[#This Row],[TargetRequirements]]=0,0,tblCost[[#This Row],[CompletedRequirements]]/tblCost[[#This Row],[TargetRequirements]])</f>
        <v>0</v>
      </c>
    </row>
    <row r="1654" spans="1:13">
      <c r="A1654" s="41" t="s">
        <v>5291</v>
      </c>
      <c r="B1654" s="41" t="str">
        <f>_xlfn.TEXTAFTER(_xlfn.TEXTBEFORE(tblCost[[#This Row],[RequirementID]],".",-2),"cost.")</f>
        <v>collection.pantry_2@5</v>
      </c>
      <c r="C1654" s="41" t="str">
        <f>_xlfn.XLOOKUP(tblCost[[#This Row],[TargetID]],tblTargets[TargetID],tblTargets[DisplayName],"")</f>
        <v>Pantry 2 Lv 5</v>
      </c>
      <c r="D1654" s="41" t="str">
        <f>_xlfn.XLOOKUP(tblCost[[#This Row],[TargetID]],tblTargets[TargetID],tblTargets[TargetType],"")</f>
        <v>COLLECTION</v>
      </c>
      <c r="E1654" s="41" t="s">
        <v>717</v>
      </c>
      <c r="F1654" s="62" t="str">
        <f>RIGHT(tblCost[[#This Row],[RequirementID]],1)</f>
        <v>1</v>
      </c>
      <c r="G1654" s="41">
        <v>500</v>
      </c>
      <c r="H1654" t="b">
        <f>COUNTIFS(tblCostChecklist[RequirementID],tblCost[[#This Row],[RequirementID]],tblCostChecklist[PlayerPaid],TRUE)&gt;0</f>
        <v>0</v>
      </c>
      <c r="I1654" s="41">
        <f>COUNTIF(tblCost[TargetID],tblCost[[#This Row],[TargetID]])</f>
        <v>4</v>
      </c>
      <c r="J1654" s="41">
        <f>COUNTIFS(tblCost[TargetID],tblCost[[#This Row],[TargetID]],tblCost[PlayerPaid],TRUE)</f>
        <v>0</v>
      </c>
      <c r="K1654" s="41">
        <f>tblCost[[#This Row],[TargetRequirements]]-tblCost[[#This Row],[CompletedRequirements]]</f>
        <v>4</v>
      </c>
      <c r="L1654" s="41" t="b">
        <f>tblCost[[#This Row],[RemainingRequirements]]=0</f>
        <v>0</v>
      </c>
      <c r="M1654" s="43">
        <f>IF(tblCost[[#This Row],[TargetRequirements]]=0,0,tblCost[[#This Row],[CompletedRequirements]]/tblCost[[#This Row],[TargetRequirements]])</f>
        <v>0</v>
      </c>
    </row>
    <row r="1655" spans="1:13">
      <c r="A1655" s="41" t="s">
        <v>5292</v>
      </c>
      <c r="B1655" s="41" t="str">
        <f>_xlfn.TEXTAFTER(_xlfn.TEXTBEFORE(tblCost[[#This Row],[RequirementID]],".",-2),"cost.")</f>
        <v>collection.pantry_3@1</v>
      </c>
      <c r="C1655" s="41" t="str">
        <f>_xlfn.XLOOKUP(tblCost[[#This Row],[TargetID]],tblTargets[TargetID],tblTargets[DisplayName],"")</f>
        <v>Pantry 3 Lv 1</v>
      </c>
      <c r="D1655" s="41" t="str">
        <f>_xlfn.XLOOKUP(tblCost[[#This Row],[TargetID]],tblTargets[TargetID],tblTargets[TargetType],"")</f>
        <v>COLLECTION</v>
      </c>
      <c r="E1655" s="41" t="s">
        <v>663</v>
      </c>
      <c r="F1655" s="62" t="str">
        <f>RIGHT(tblCost[[#This Row],[RequirementID]],1)</f>
        <v>1</v>
      </c>
      <c r="G1655" s="41">
        <v>100</v>
      </c>
      <c r="H1655" t="b">
        <f>COUNTIFS(tblCostChecklist[RequirementID],tblCost[[#This Row],[RequirementID]],tblCostChecklist[PlayerPaid],TRUE)&gt;0</f>
        <v>0</v>
      </c>
      <c r="I1655" s="41">
        <f>COUNTIF(tblCost[TargetID],tblCost[[#This Row],[TargetID]])</f>
        <v>4</v>
      </c>
      <c r="J1655" s="41">
        <f>COUNTIFS(tblCost[TargetID],tblCost[[#This Row],[TargetID]],tblCost[PlayerPaid],TRUE)</f>
        <v>0</v>
      </c>
      <c r="K1655" s="41">
        <f>tblCost[[#This Row],[TargetRequirements]]-tblCost[[#This Row],[CompletedRequirements]]</f>
        <v>4</v>
      </c>
      <c r="L1655" s="41" t="b">
        <f>tblCost[[#This Row],[RemainingRequirements]]=0</f>
        <v>0</v>
      </c>
      <c r="M1655" s="43">
        <f>IF(tblCost[[#This Row],[TargetRequirements]]=0,0,tblCost[[#This Row],[CompletedRequirements]]/tblCost[[#This Row],[TargetRequirements]])</f>
        <v>0</v>
      </c>
    </row>
    <row r="1656" spans="1:13">
      <c r="A1656" s="41" t="s">
        <v>5293</v>
      </c>
      <c r="B1656" s="41" t="str">
        <f>_xlfn.TEXTAFTER(_xlfn.TEXTBEFORE(tblCost[[#This Row],[RequirementID]],".",-2),"cost.")</f>
        <v>collection.pantry_3@1</v>
      </c>
      <c r="C1656" s="41" t="str">
        <f>_xlfn.XLOOKUP(tblCost[[#This Row],[TargetID]],tblTargets[TargetID],tblTargets[DisplayName],"")</f>
        <v>Pantry 3 Lv 1</v>
      </c>
      <c r="D1656" s="41" t="str">
        <f>_xlfn.XLOOKUP(tblCost[[#This Row],[TargetID]],tblTargets[TargetID],tblTargets[TargetType],"")</f>
        <v>COLLECTION</v>
      </c>
      <c r="E1656" s="41" t="s">
        <v>664</v>
      </c>
      <c r="F1656" s="62" t="str">
        <f>RIGHT(tblCost[[#This Row],[RequirementID]],1)</f>
        <v>1</v>
      </c>
      <c r="G1656" s="41">
        <v>100</v>
      </c>
      <c r="H1656" t="b">
        <f>COUNTIFS(tblCostChecklist[RequirementID],tblCost[[#This Row],[RequirementID]],tblCostChecklist[PlayerPaid],TRUE)&gt;0</f>
        <v>0</v>
      </c>
      <c r="I1656" s="41">
        <f>COUNTIF(tblCost[TargetID],tblCost[[#This Row],[TargetID]])</f>
        <v>4</v>
      </c>
      <c r="J1656" s="41">
        <f>COUNTIFS(tblCost[TargetID],tblCost[[#This Row],[TargetID]],tblCost[PlayerPaid],TRUE)</f>
        <v>0</v>
      </c>
      <c r="K1656" s="41">
        <f>tblCost[[#This Row],[TargetRequirements]]-tblCost[[#This Row],[CompletedRequirements]]</f>
        <v>4</v>
      </c>
      <c r="L1656" s="41" t="b">
        <f>tblCost[[#This Row],[RemainingRequirements]]=0</f>
        <v>0</v>
      </c>
      <c r="M1656" s="43">
        <f>IF(tblCost[[#This Row],[TargetRequirements]]=0,0,tblCost[[#This Row],[CompletedRequirements]]/tblCost[[#This Row],[TargetRequirements]])</f>
        <v>0</v>
      </c>
    </row>
    <row r="1657" spans="1:13">
      <c r="A1657" s="41" t="s">
        <v>5294</v>
      </c>
      <c r="B1657" s="41" t="str">
        <f>_xlfn.TEXTAFTER(_xlfn.TEXTBEFORE(tblCost[[#This Row],[RequirementID]],".",-2),"cost.")</f>
        <v>collection.pantry_3@1</v>
      </c>
      <c r="C1657" s="41" t="str">
        <f>_xlfn.XLOOKUP(tblCost[[#This Row],[TargetID]],tblTargets[TargetID],tblTargets[DisplayName],"")</f>
        <v>Pantry 3 Lv 1</v>
      </c>
      <c r="D1657" s="41" t="str">
        <f>_xlfn.XLOOKUP(tblCost[[#This Row],[TargetID]],tblTargets[TargetID],tblTargets[TargetType],"")</f>
        <v>COLLECTION</v>
      </c>
      <c r="E1657" s="41" t="s">
        <v>678</v>
      </c>
      <c r="F1657" s="62" t="str">
        <f>RIGHT(tblCost[[#This Row],[RequirementID]],1)</f>
        <v>1</v>
      </c>
      <c r="G1657" s="41">
        <v>100</v>
      </c>
      <c r="H1657" t="b">
        <f>COUNTIFS(tblCostChecklist[RequirementID],tblCost[[#This Row],[RequirementID]],tblCostChecklist[PlayerPaid],TRUE)&gt;0</f>
        <v>0</v>
      </c>
      <c r="I1657" s="41">
        <f>COUNTIF(tblCost[TargetID],tblCost[[#This Row],[TargetID]])</f>
        <v>4</v>
      </c>
      <c r="J1657" s="41">
        <f>COUNTIFS(tblCost[TargetID],tblCost[[#This Row],[TargetID]],tblCost[PlayerPaid],TRUE)</f>
        <v>0</v>
      </c>
      <c r="K1657" s="41">
        <f>tblCost[[#This Row],[TargetRequirements]]-tblCost[[#This Row],[CompletedRequirements]]</f>
        <v>4</v>
      </c>
      <c r="L1657" s="41" t="b">
        <f>tblCost[[#This Row],[RemainingRequirements]]=0</f>
        <v>0</v>
      </c>
      <c r="M1657" s="43">
        <f>IF(tblCost[[#This Row],[TargetRequirements]]=0,0,tblCost[[#This Row],[CompletedRequirements]]/tblCost[[#This Row],[TargetRequirements]])</f>
        <v>0</v>
      </c>
    </row>
    <row r="1658" spans="1:13">
      <c r="A1658" s="41" t="s">
        <v>5295</v>
      </c>
      <c r="B1658" s="41" t="str">
        <f>_xlfn.TEXTAFTER(_xlfn.TEXTBEFORE(tblCost[[#This Row],[RequirementID]],".",-2),"cost.")</f>
        <v>collection.pantry_3@1</v>
      </c>
      <c r="C1658" s="41" t="str">
        <f>_xlfn.XLOOKUP(tblCost[[#This Row],[TargetID]],tblTargets[TargetID],tblTargets[DisplayName],"")</f>
        <v>Pantry 3 Lv 1</v>
      </c>
      <c r="D1658" s="41" t="str">
        <f>_xlfn.XLOOKUP(tblCost[[#This Row],[TargetID]],tblTargets[TargetID],tblTargets[TargetType],"")</f>
        <v>COLLECTION</v>
      </c>
      <c r="E1658" s="41" t="s">
        <v>1810</v>
      </c>
      <c r="F1658" s="62" t="str">
        <f>RIGHT(tblCost[[#This Row],[RequirementID]],1)</f>
        <v>1</v>
      </c>
      <c r="G1658" s="41">
        <v>100</v>
      </c>
      <c r="H1658" t="b">
        <f>COUNTIFS(tblCostChecklist[RequirementID],tblCost[[#This Row],[RequirementID]],tblCostChecklist[PlayerPaid],TRUE)&gt;0</f>
        <v>0</v>
      </c>
      <c r="I1658" s="41">
        <f>COUNTIF(tblCost[TargetID],tblCost[[#This Row],[TargetID]])</f>
        <v>4</v>
      </c>
      <c r="J1658" s="41">
        <f>COUNTIFS(tblCost[TargetID],tblCost[[#This Row],[TargetID]],tblCost[PlayerPaid],TRUE)</f>
        <v>0</v>
      </c>
      <c r="K1658" s="41">
        <f>tblCost[[#This Row],[TargetRequirements]]-tblCost[[#This Row],[CompletedRequirements]]</f>
        <v>4</v>
      </c>
      <c r="L1658" s="41" t="b">
        <f>tblCost[[#This Row],[RemainingRequirements]]=0</f>
        <v>0</v>
      </c>
      <c r="M1658" s="43">
        <f>IF(tblCost[[#This Row],[TargetRequirements]]=0,0,tblCost[[#This Row],[CompletedRequirements]]/tblCost[[#This Row],[TargetRequirements]])</f>
        <v>0</v>
      </c>
    </row>
    <row r="1659" spans="1:13">
      <c r="A1659" s="41" t="s">
        <v>5296</v>
      </c>
      <c r="B1659" s="41" t="str">
        <f>_xlfn.TEXTAFTER(_xlfn.TEXTBEFORE(tblCost[[#This Row],[RequirementID]],".",-2),"cost.")</f>
        <v>collection.pantry_3@2</v>
      </c>
      <c r="C1659" s="41" t="str">
        <f>_xlfn.XLOOKUP(tblCost[[#This Row],[TargetID]],tblTargets[TargetID],tblTargets[DisplayName],"")</f>
        <v>Pantry 3 Lv 2</v>
      </c>
      <c r="D1659" s="41" t="str">
        <f>_xlfn.XLOOKUP(tblCost[[#This Row],[TargetID]],tblTargets[TargetID],tblTargets[TargetType],"")</f>
        <v>COLLECTION</v>
      </c>
      <c r="E1659" s="41" t="s">
        <v>663</v>
      </c>
      <c r="F1659" s="62" t="str">
        <f>RIGHT(tblCost[[#This Row],[RequirementID]],1)</f>
        <v>1</v>
      </c>
      <c r="G1659" s="41">
        <v>200</v>
      </c>
      <c r="H1659" t="b">
        <f>COUNTIFS(tblCostChecklist[RequirementID],tblCost[[#This Row],[RequirementID]],tblCostChecklist[PlayerPaid],TRUE)&gt;0</f>
        <v>0</v>
      </c>
      <c r="I1659" s="41">
        <f>COUNTIF(tblCost[TargetID],tblCost[[#This Row],[TargetID]])</f>
        <v>4</v>
      </c>
      <c r="J1659" s="41">
        <f>COUNTIFS(tblCost[TargetID],tblCost[[#This Row],[TargetID]],tblCost[PlayerPaid],TRUE)</f>
        <v>0</v>
      </c>
      <c r="K1659" s="41">
        <f>tblCost[[#This Row],[TargetRequirements]]-tblCost[[#This Row],[CompletedRequirements]]</f>
        <v>4</v>
      </c>
      <c r="L1659" s="41" t="b">
        <f>tblCost[[#This Row],[RemainingRequirements]]=0</f>
        <v>0</v>
      </c>
      <c r="M1659" s="43">
        <f>IF(tblCost[[#This Row],[TargetRequirements]]=0,0,tblCost[[#This Row],[CompletedRequirements]]/tblCost[[#This Row],[TargetRequirements]])</f>
        <v>0</v>
      </c>
    </row>
    <row r="1660" spans="1:13">
      <c r="A1660" s="41" t="s">
        <v>5297</v>
      </c>
      <c r="B1660" s="41" t="str">
        <f>_xlfn.TEXTAFTER(_xlfn.TEXTBEFORE(tblCost[[#This Row],[RequirementID]],".",-2),"cost.")</f>
        <v>collection.pantry_3@2</v>
      </c>
      <c r="C1660" s="41" t="str">
        <f>_xlfn.XLOOKUP(tblCost[[#This Row],[TargetID]],tblTargets[TargetID],tblTargets[DisplayName],"")</f>
        <v>Pantry 3 Lv 2</v>
      </c>
      <c r="D1660" s="41" t="str">
        <f>_xlfn.XLOOKUP(tblCost[[#This Row],[TargetID]],tblTargets[TargetID],tblTargets[TargetType],"")</f>
        <v>COLLECTION</v>
      </c>
      <c r="E1660" s="41" t="s">
        <v>664</v>
      </c>
      <c r="F1660" s="62" t="str">
        <f>RIGHT(tblCost[[#This Row],[RequirementID]],1)</f>
        <v>1</v>
      </c>
      <c r="G1660" s="41">
        <v>200</v>
      </c>
      <c r="H1660" t="b">
        <f>COUNTIFS(tblCostChecklist[RequirementID],tblCost[[#This Row],[RequirementID]],tblCostChecklist[PlayerPaid],TRUE)&gt;0</f>
        <v>0</v>
      </c>
      <c r="I1660" s="41">
        <f>COUNTIF(tblCost[TargetID],tblCost[[#This Row],[TargetID]])</f>
        <v>4</v>
      </c>
      <c r="J1660" s="41">
        <f>COUNTIFS(tblCost[TargetID],tblCost[[#This Row],[TargetID]],tblCost[PlayerPaid],TRUE)</f>
        <v>0</v>
      </c>
      <c r="K1660" s="41">
        <f>tblCost[[#This Row],[TargetRequirements]]-tblCost[[#This Row],[CompletedRequirements]]</f>
        <v>4</v>
      </c>
      <c r="L1660" s="41" t="b">
        <f>tblCost[[#This Row],[RemainingRequirements]]=0</f>
        <v>0</v>
      </c>
      <c r="M1660" s="43">
        <f>IF(tblCost[[#This Row],[TargetRequirements]]=0,0,tblCost[[#This Row],[CompletedRequirements]]/tblCost[[#This Row],[TargetRequirements]])</f>
        <v>0</v>
      </c>
    </row>
    <row r="1661" spans="1:13">
      <c r="A1661" s="41" t="s">
        <v>5298</v>
      </c>
      <c r="B1661" s="41" t="str">
        <f>_xlfn.TEXTAFTER(_xlfn.TEXTBEFORE(tblCost[[#This Row],[RequirementID]],".",-2),"cost.")</f>
        <v>collection.pantry_3@2</v>
      </c>
      <c r="C1661" s="41" t="str">
        <f>_xlfn.XLOOKUP(tblCost[[#This Row],[TargetID]],tblTargets[TargetID],tblTargets[DisplayName],"")</f>
        <v>Pantry 3 Lv 2</v>
      </c>
      <c r="D1661" s="41" t="str">
        <f>_xlfn.XLOOKUP(tblCost[[#This Row],[TargetID]],tblTargets[TargetID],tblTargets[TargetType],"")</f>
        <v>COLLECTION</v>
      </c>
      <c r="E1661" s="41" t="s">
        <v>678</v>
      </c>
      <c r="F1661" s="62" t="str">
        <f>RIGHT(tblCost[[#This Row],[RequirementID]],1)</f>
        <v>1</v>
      </c>
      <c r="G1661" s="41">
        <v>200</v>
      </c>
      <c r="H1661" t="b">
        <f>COUNTIFS(tblCostChecklist[RequirementID],tblCost[[#This Row],[RequirementID]],tblCostChecklist[PlayerPaid],TRUE)&gt;0</f>
        <v>0</v>
      </c>
      <c r="I1661" s="41">
        <f>COUNTIF(tblCost[TargetID],tblCost[[#This Row],[TargetID]])</f>
        <v>4</v>
      </c>
      <c r="J1661" s="41">
        <f>COUNTIFS(tblCost[TargetID],tblCost[[#This Row],[TargetID]],tblCost[PlayerPaid],TRUE)</f>
        <v>0</v>
      </c>
      <c r="K1661" s="41">
        <f>tblCost[[#This Row],[TargetRequirements]]-tblCost[[#This Row],[CompletedRequirements]]</f>
        <v>4</v>
      </c>
      <c r="L1661" s="41" t="b">
        <f>tblCost[[#This Row],[RemainingRequirements]]=0</f>
        <v>0</v>
      </c>
      <c r="M1661" s="43">
        <f>IF(tblCost[[#This Row],[TargetRequirements]]=0,0,tblCost[[#This Row],[CompletedRequirements]]/tblCost[[#This Row],[TargetRequirements]])</f>
        <v>0</v>
      </c>
    </row>
    <row r="1662" spans="1:13">
      <c r="A1662" s="41" t="s">
        <v>5299</v>
      </c>
      <c r="B1662" s="41" t="str">
        <f>_xlfn.TEXTAFTER(_xlfn.TEXTBEFORE(tblCost[[#This Row],[RequirementID]],".",-2),"cost.")</f>
        <v>collection.pantry_3@2</v>
      </c>
      <c r="C1662" s="41" t="str">
        <f>_xlfn.XLOOKUP(tblCost[[#This Row],[TargetID]],tblTargets[TargetID],tblTargets[DisplayName],"")</f>
        <v>Pantry 3 Lv 2</v>
      </c>
      <c r="D1662" s="41" t="str">
        <f>_xlfn.XLOOKUP(tblCost[[#This Row],[TargetID]],tblTargets[TargetID],tblTargets[TargetType],"")</f>
        <v>COLLECTION</v>
      </c>
      <c r="E1662" s="41" t="s">
        <v>1810</v>
      </c>
      <c r="F1662" s="62" t="str">
        <f>RIGHT(tblCost[[#This Row],[RequirementID]],1)</f>
        <v>1</v>
      </c>
      <c r="G1662" s="41">
        <v>200</v>
      </c>
      <c r="H1662" t="b">
        <f>COUNTIFS(tblCostChecklist[RequirementID],tblCost[[#This Row],[RequirementID]],tblCostChecklist[PlayerPaid],TRUE)&gt;0</f>
        <v>0</v>
      </c>
      <c r="I1662" s="41">
        <f>COUNTIF(tblCost[TargetID],tblCost[[#This Row],[TargetID]])</f>
        <v>4</v>
      </c>
      <c r="J1662" s="41">
        <f>COUNTIFS(tblCost[TargetID],tblCost[[#This Row],[TargetID]],tblCost[PlayerPaid],TRUE)</f>
        <v>0</v>
      </c>
      <c r="K1662" s="41">
        <f>tblCost[[#This Row],[TargetRequirements]]-tblCost[[#This Row],[CompletedRequirements]]</f>
        <v>4</v>
      </c>
      <c r="L1662" s="41" t="b">
        <f>tblCost[[#This Row],[RemainingRequirements]]=0</f>
        <v>0</v>
      </c>
      <c r="M1662" s="43">
        <f>IF(tblCost[[#This Row],[TargetRequirements]]=0,0,tblCost[[#This Row],[CompletedRequirements]]/tblCost[[#This Row],[TargetRequirements]])</f>
        <v>0</v>
      </c>
    </row>
    <row r="1663" spans="1:13">
      <c r="A1663" s="41" t="s">
        <v>5300</v>
      </c>
      <c r="B1663" s="41" t="str">
        <f>_xlfn.TEXTAFTER(_xlfn.TEXTBEFORE(tblCost[[#This Row],[RequirementID]],".",-2),"cost.")</f>
        <v>collection.pantry_3@3</v>
      </c>
      <c r="C1663" s="41" t="str">
        <f>_xlfn.XLOOKUP(tblCost[[#This Row],[TargetID]],tblTargets[TargetID],tblTargets[DisplayName],"")</f>
        <v>Pantry 3 Lv 3</v>
      </c>
      <c r="D1663" s="41" t="str">
        <f>_xlfn.XLOOKUP(tblCost[[#This Row],[TargetID]],tblTargets[TargetID],tblTargets[TargetType],"")</f>
        <v>COLLECTION</v>
      </c>
      <c r="E1663" s="41" t="s">
        <v>663</v>
      </c>
      <c r="F1663" s="62" t="str">
        <f>RIGHT(tblCost[[#This Row],[RequirementID]],1)</f>
        <v>1</v>
      </c>
      <c r="G1663" s="41">
        <v>300</v>
      </c>
      <c r="H1663" t="b">
        <f>COUNTIFS(tblCostChecklist[RequirementID],tblCost[[#This Row],[RequirementID]],tblCostChecklist[PlayerPaid],TRUE)&gt;0</f>
        <v>0</v>
      </c>
      <c r="I1663" s="41">
        <f>COUNTIF(tblCost[TargetID],tblCost[[#This Row],[TargetID]])</f>
        <v>4</v>
      </c>
      <c r="J1663" s="41">
        <f>COUNTIFS(tblCost[TargetID],tblCost[[#This Row],[TargetID]],tblCost[PlayerPaid],TRUE)</f>
        <v>0</v>
      </c>
      <c r="K1663" s="41">
        <f>tblCost[[#This Row],[TargetRequirements]]-tblCost[[#This Row],[CompletedRequirements]]</f>
        <v>4</v>
      </c>
      <c r="L1663" s="41" t="b">
        <f>tblCost[[#This Row],[RemainingRequirements]]=0</f>
        <v>0</v>
      </c>
      <c r="M1663" s="43">
        <f>IF(tblCost[[#This Row],[TargetRequirements]]=0,0,tblCost[[#This Row],[CompletedRequirements]]/tblCost[[#This Row],[TargetRequirements]])</f>
        <v>0</v>
      </c>
    </row>
    <row r="1664" spans="1:13">
      <c r="A1664" s="41" t="s">
        <v>5301</v>
      </c>
      <c r="B1664" s="41" t="str">
        <f>_xlfn.TEXTAFTER(_xlfn.TEXTBEFORE(tblCost[[#This Row],[RequirementID]],".",-2),"cost.")</f>
        <v>collection.pantry_3@3</v>
      </c>
      <c r="C1664" s="41" t="str">
        <f>_xlfn.XLOOKUP(tblCost[[#This Row],[TargetID]],tblTargets[TargetID],tblTargets[DisplayName],"")</f>
        <v>Pantry 3 Lv 3</v>
      </c>
      <c r="D1664" s="41" t="str">
        <f>_xlfn.XLOOKUP(tblCost[[#This Row],[TargetID]],tblTargets[TargetID],tblTargets[TargetType],"")</f>
        <v>COLLECTION</v>
      </c>
      <c r="E1664" s="41" t="s">
        <v>664</v>
      </c>
      <c r="F1664" s="62" t="str">
        <f>RIGHT(tblCost[[#This Row],[RequirementID]],1)</f>
        <v>1</v>
      </c>
      <c r="G1664" s="41">
        <v>300</v>
      </c>
      <c r="H1664" t="b">
        <f>COUNTIFS(tblCostChecklist[RequirementID],tblCost[[#This Row],[RequirementID]],tblCostChecklist[PlayerPaid],TRUE)&gt;0</f>
        <v>0</v>
      </c>
      <c r="I1664" s="41">
        <f>COUNTIF(tblCost[TargetID],tblCost[[#This Row],[TargetID]])</f>
        <v>4</v>
      </c>
      <c r="J1664" s="41">
        <f>COUNTIFS(tblCost[TargetID],tblCost[[#This Row],[TargetID]],tblCost[PlayerPaid],TRUE)</f>
        <v>0</v>
      </c>
      <c r="K1664" s="41">
        <f>tblCost[[#This Row],[TargetRequirements]]-tblCost[[#This Row],[CompletedRequirements]]</f>
        <v>4</v>
      </c>
      <c r="L1664" s="41" t="b">
        <f>tblCost[[#This Row],[RemainingRequirements]]=0</f>
        <v>0</v>
      </c>
      <c r="M1664" s="43">
        <f>IF(tblCost[[#This Row],[TargetRequirements]]=0,0,tblCost[[#This Row],[CompletedRequirements]]/tblCost[[#This Row],[TargetRequirements]])</f>
        <v>0</v>
      </c>
    </row>
    <row r="1665" spans="1:13">
      <c r="A1665" s="41" t="s">
        <v>5302</v>
      </c>
      <c r="B1665" s="41" t="str">
        <f>_xlfn.TEXTAFTER(_xlfn.TEXTBEFORE(tblCost[[#This Row],[RequirementID]],".",-2),"cost.")</f>
        <v>collection.pantry_3@3</v>
      </c>
      <c r="C1665" s="41" t="str">
        <f>_xlfn.XLOOKUP(tblCost[[#This Row],[TargetID]],tblTargets[TargetID],tblTargets[DisplayName],"")</f>
        <v>Pantry 3 Lv 3</v>
      </c>
      <c r="D1665" s="41" t="str">
        <f>_xlfn.XLOOKUP(tblCost[[#This Row],[TargetID]],tblTargets[TargetID],tblTargets[TargetType],"")</f>
        <v>COLLECTION</v>
      </c>
      <c r="E1665" s="41" t="s">
        <v>678</v>
      </c>
      <c r="F1665" s="62" t="str">
        <f>RIGHT(tblCost[[#This Row],[RequirementID]],1)</f>
        <v>1</v>
      </c>
      <c r="G1665" s="41">
        <v>300</v>
      </c>
      <c r="H1665" t="b">
        <f>COUNTIFS(tblCostChecklist[RequirementID],tblCost[[#This Row],[RequirementID]],tblCostChecklist[PlayerPaid],TRUE)&gt;0</f>
        <v>0</v>
      </c>
      <c r="I1665" s="41">
        <f>COUNTIF(tblCost[TargetID],tblCost[[#This Row],[TargetID]])</f>
        <v>4</v>
      </c>
      <c r="J1665" s="41">
        <f>COUNTIFS(tblCost[TargetID],tblCost[[#This Row],[TargetID]],tblCost[PlayerPaid],TRUE)</f>
        <v>0</v>
      </c>
      <c r="K1665" s="41">
        <f>tblCost[[#This Row],[TargetRequirements]]-tblCost[[#This Row],[CompletedRequirements]]</f>
        <v>4</v>
      </c>
      <c r="L1665" s="41" t="b">
        <f>tblCost[[#This Row],[RemainingRequirements]]=0</f>
        <v>0</v>
      </c>
      <c r="M1665" s="43">
        <f>IF(tblCost[[#This Row],[TargetRequirements]]=0,0,tblCost[[#This Row],[CompletedRequirements]]/tblCost[[#This Row],[TargetRequirements]])</f>
        <v>0</v>
      </c>
    </row>
    <row r="1666" spans="1:13">
      <c r="A1666" s="41" t="s">
        <v>5303</v>
      </c>
      <c r="B1666" s="41" t="str">
        <f>_xlfn.TEXTAFTER(_xlfn.TEXTBEFORE(tblCost[[#This Row],[RequirementID]],".",-2),"cost.")</f>
        <v>collection.pantry_3@3</v>
      </c>
      <c r="C1666" s="41" t="str">
        <f>_xlfn.XLOOKUP(tblCost[[#This Row],[TargetID]],tblTargets[TargetID],tblTargets[DisplayName],"")</f>
        <v>Pantry 3 Lv 3</v>
      </c>
      <c r="D1666" s="41" t="str">
        <f>_xlfn.XLOOKUP(tblCost[[#This Row],[TargetID]],tblTargets[TargetID],tblTargets[TargetType],"")</f>
        <v>COLLECTION</v>
      </c>
      <c r="E1666" s="41" t="s">
        <v>1810</v>
      </c>
      <c r="F1666" s="62" t="str">
        <f>RIGHT(tblCost[[#This Row],[RequirementID]],1)</f>
        <v>1</v>
      </c>
      <c r="G1666" s="41">
        <v>300</v>
      </c>
      <c r="H1666" t="b">
        <f>COUNTIFS(tblCostChecklist[RequirementID],tblCost[[#This Row],[RequirementID]],tblCostChecklist[PlayerPaid],TRUE)&gt;0</f>
        <v>0</v>
      </c>
      <c r="I1666" s="41">
        <f>COUNTIF(tblCost[TargetID],tblCost[[#This Row],[TargetID]])</f>
        <v>4</v>
      </c>
      <c r="J1666" s="41">
        <f>COUNTIFS(tblCost[TargetID],tblCost[[#This Row],[TargetID]],tblCost[PlayerPaid],TRUE)</f>
        <v>0</v>
      </c>
      <c r="K1666" s="41">
        <f>tblCost[[#This Row],[TargetRequirements]]-tblCost[[#This Row],[CompletedRequirements]]</f>
        <v>4</v>
      </c>
      <c r="L1666" s="41" t="b">
        <f>tblCost[[#This Row],[RemainingRequirements]]=0</f>
        <v>0</v>
      </c>
      <c r="M1666" s="43">
        <f>IF(tblCost[[#This Row],[TargetRequirements]]=0,0,tblCost[[#This Row],[CompletedRequirements]]/tblCost[[#This Row],[TargetRequirements]])</f>
        <v>0</v>
      </c>
    </row>
    <row r="1667" spans="1:13">
      <c r="A1667" s="41" t="s">
        <v>5304</v>
      </c>
      <c r="B1667" s="41" t="str">
        <f>_xlfn.TEXTAFTER(_xlfn.TEXTBEFORE(tblCost[[#This Row],[RequirementID]],".",-2),"cost.")</f>
        <v>collection.pantry_3@4</v>
      </c>
      <c r="C1667" s="41" t="str">
        <f>_xlfn.XLOOKUP(tblCost[[#This Row],[TargetID]],tblTargets[TargetID],tblTargets[DisplayName],"")</f>
        <v>Pantry 3 Lv 4</v>
      </c>
      <c r="D1667" s="41" t="str">
        <f>_xlfn.XLOOKUP(tblCost[[#This Row],[TargetID]],tblTargets[TargetID],tblTargets[TargetType],"")</f>
        <v>COLLECTION</v>
      </c>
      <c r="E1667" s="41" t="s">
        <v>663</v>
      </c>
      <c r="F1667" s="62" t="str">
        <f>RIGHT(tblCost[[#This Row],[RequirementID]],1)</f>
        <v>1</v>
      </c>
      <c r="G1667" s="41">
        <v>400</v>
      </c>
      <c r="H1667" t="b">
        <f>COUNTIFS(tblCostChecklist[RequirementID],tblCost[[#This Row],[RequirementID]],tblCostChecklist[PlayerPaid],TRUE)&gt;0</f>
        <v>0</v>
      </c>
      <c r="I1667" s="41">
        <f>COUNTIF(tblCost[TargetID],tblCost[[#This Row],[TargetID]])</f>
        <v>4</v>
      </c>
      <c r="J1667" s="41">
        <f>COUNTIFS(tblCost[TargetID],tblCost[[#This Row],[TargetID]],tblCost[PlayerPaid],TRUE)</f>
        <v>0</v>
      </c>
      <c r="K1667" s="41">
        <f>tblCost[[#This Row],[TargetRequirements]]-tblCost[[#This Row],[CompletedRequirements]]</f>
        <v>4</v>
      </c>
      <c r="L1667" s="41" t="b">
        <f>tblCost[[#This Row],[RemainingRequirements]]=0</f>
        <v>0</v>
      </c>
      <c r="M1667" s="43">
        <f>IF(tblCost[[#This Row],[TargetRequirements]]=0,0,tblCost[[#This Row],[CompletedRequirements]]/tblCost[[#This Row],[TargetRequirements]])</f>
        <v>0</v>
      </c>
    </row>
    <row r="1668" spans="1:13">
      <c r="A1668" s="41" t="s">
        <v>5305</v>
      </c>
      <c r="B1668" s="41" t="str">
        <f>_xlfn.TEXTAFTER(_xlfn.TEXTBEFORE(tblCost[[#This Row],[RequirementID]],".",-2),"cost.")</f>
        <v>collection.pantry_3@4</v>
      </c>
      <c r="C1668" s="41" t="str">
        <f>_xlfn.XLOOKUP(tblCost[[#This Row],[TargetID]],tblTargets[TargetID],tblTargets[DisplayName],"")</f>
        <v>Pantry 3 Lv 4</v>
      </c>
      <c r="D1668" s="41" t="str">
        <f>_xlfn.XLOOKUP(tblCost[[#This Row],[TargetID]],tblTargets[TargetID],tblTargets[TargetType],"")</f>
        <v>COLLECTION</v>
      </c>
      <c r="E1668" s="41" t="s">
        <v>664</v>
      </c>
      <c r="F1668" s="62" t="str">
        <f>RIGHT(tblCost[[#This Row],[RequirementID]],1)</f>
        <v>1</v>
      </c>
      <c r="G1668" s="41">
        <v>400</v>
      </c>
      <c r="H1668" t="b">
        <f>COUNTIFS(tblCostChecklist[RequirementID],tblCost[[#This Row],[RequirementID]],tblCostChecklist[PlayerPaid],TRUE)&gt;0</f>
        <v>0</v>
      </c>
      <c r="I1668" s="41">
        <f>COUNTIF(tblCost[TargetID],tblCost[[#This Row],[TargetID]])</f>
        <v>4</v>
      </c>
      <c r="J1668" s="41">
        <f>COUNTIFS(tblCost[TargetID],tblCost[[#This Row],[TargetID]],tblCost[PlayerPaid],TRUE)</f>
        <v>0</v>
      </c>
      <c r="K1668" s="41">
        <f>tblCost[[#This Row],[TargetRequirements]]-tblCost[[#This Row],[CompletedRequirements]]</f>
        <v>4</v>
      </c>
      <c r="L1668" s="41" t="b">
        <f>tblCost[[#This Row],[RemainingRequirements]]=0</f>
        <v>0</v>
      </c>
      <c r="M1668" s="43">
        <f>IF(tblCost[[#This Row],[TargetRequirements]]=0,0,tblCost[[#This Row],[CompletedRequirements]]/tblCost[[#This Row],[TargetRequirements]])</f>
        <v>0</v>
      </c>
    </row>
    <row r="1669" spans="1:13">
      <c r="A1669" s="41" t="s">
        <v>5306</v>
      </c>
      <c r="B1669" s="41" t="str">
        <f>_xlfn.TEXTAFTER(_xlfn.TEXTBEFORE(tblCost[[#This Row],[RequirementID]],".",-2),"cost.")</f>
        <v>collection.pantry_3@4</v>
      </c>
      <c r="C1669" s="41" t="str">
        <f>_xlfn.XLOOKUP(tblCost[[#This Row],[TargetID]],tblTargets[TargetID],tblTargets[DisplayName],"")</f>
        <v>Pantry 3 Lv 4</v>
      </c>
      <c r="D1669" s="41" t="str">
        <f>_xlfn.XLOOKUP(tblCost[[#This Row],[TargetID]],tblTargets[TargetID],tblTargets[TargetType],"")</f>
        <v>COLLECTION</v>
      </c>
      <c r="E1669" s="41" t="s">
        <v>678</v>
      </c>
      <c r="F1669" s="62" t="str">
        <f>RIGHT(tblCost[[#This Row],[RequirementID]],1)</f>
        <v>1</v>
      </c>
      <c r="G1669" s="41">
        <v>400</v>
      </c>
      <c r="H1669" t="b">
        <f>COUNTIFS(tblCostChecklist[RequirementID],tblCost[[#This Row],[RequirementID]],tblCostChecklist[PlayerPaid],TRUE)&gt;0</f>
        <v>0</v>
      </c>
      <c r="I1669" s="41">
        <f>COUNTIF(tblCost[TargetID],tblCost[[#This Row],[TargetID]])</f>
        <v>4</v>
      </c>
      <c r="J1669" s="41">
        <f>COUNTIFS(tblCost[TargetID],tblCost[[#This Row],[TargetID]],tblCost[PlayerPaid],TRUE)</f>
        <v>0</v>
      </c>
      <c r="K1669" s="41">
        <f>tblCost[[#This Row],[TargetRequirements]]-tblCost[[#This Row],[CompletedRequirements]]</f>
        <v>4</v>
      </c>
      <c r="L1669" s="41" t="b">
        <f>tblCost[[#This Row],[RemainingRequirements]]=0</f>
        <v>0</v>
      </c>
      <c r="M1669" s="43">
        <f>IF(tblCost[[#This Row],[TargetRequirements]]=0,0,tblCost[[#This Row],[CompletedRequirements]]/tblCost[[#This Row],[TargetRequirements]])</f>
        <v>0</v>
      </c>
    </row>
    <row r="1670" spans="1:13">
      <c r="A1670" s="41" t="s">
        <v>5307</v>
      </c>
      <c r="B1670" s="41" t="str">
        <f>_xlfn.TEXTAFTER(_xlfn.TEXTBEFORE(tblCost[[#This Row],[RequirementID]],".",-2),"cost.")</f>
        <v>collection.pantry_3@4</v>
      </c>
      <c r="C1670" s="41" t="str">
        <f>_xlfn.XLOOKUP(tblCost[[#This Row],[TargetID]],tblTargets[TargetID],tblTargets[DisplayName],"")</f>
        <v>Pantry 3 Lv 4</v>
      </c>
      <c r="D1670" s="41" t="str">
        <f>_xlfn.XLOOKUP(tblCost[[#This Row],[TargetID]],tblTargets[TargetID],tblTargets[TargetType],"")</f>
        <v>COLLECTION</v>
      </c>
      <c r="E1670" s="41" t="s">
        <v>1810</v>
      </c>
      <c r="F1670" s="62" t="str">
        <f>RIGHT(tblCost[[#This Row],[RequirementID]],1)</f>
        <v>1</v>
      </c>
      <c r="G1670" s="41">
        <v>400</v>
      </c>
      <c r="H1670" t="b">
        <f>COUNTIFS(tblCostChecklist[RequirementID],tblCost[[#This Row],[RequirementID]],tblCostChecklist[PlayerPaid],TRUE)&gt;0</f>
        <v>0</v>
      </c>
      <c r="I1670" s="41">
        <f>COUNTIF(tblCost[TargetID],tblCost[[#This Row],[TargetID]])</f>
        <v>4</v>
      </c>
      <c r="J1670" s="41">
        <f>COUNTIFS(tblCost[TargetID],tblCost[[#This Row],[TargetID]],tblCost[PlayerPaid],TRUE)</f>
        <v>0</v>
      </c>
      <c r="K1670" s="41">
        <f>tblCost[[#This Row],[TargetRequirements]]-tblCost[[#This Row],[CompletedRequirements]]</f>
        <v>4</v>
      </c>
      <c r="L1670" s="41" t="b">
        <f>tblCost[[#This Row],[RemainingRequirements]]=0</f>
        <v>0</v>
      </c>
      <c r="M1670" s="43">
        <f>IF(tblCost[[#This Row],[TargetRequirements]]=0,0,tblCost[[#This Row],[CompletedRequirements]]/tblCost[[#This Row],[TargetRequirements]])</f>
        <v>0</v>
      </c>
    </row>
    <row r="1671" spans="1:13">
      <c r="A1671" s="41" t="s">
        <v>5308</v>
      </c>
      <c r="B1671" s="41" t="str">
        <f>_xlfn.TEXTAFTER(_xlfn.TEXTBEFORE(tblCost[[#This Row],[RequirementID]],".",-2),"cost.")</f>
        <v>collection.pantry_3@5</v>
      </c>
      <c r="C1671" s="41" t="str">
        <f>_xlfn.XLOOKUP(tblCost[[#This Row],[TargetID]],tblTargets[TargetID],tblTargets[DisplayName],"")</f>
        <v>Pantry 3 Lv 5</v>
      </c>
      <c r="D1671" s="41" t="str">
        <f>_xlfn.XLOOKUP(tblCost[[#This Row],[TargetID]],tblTargets[TargetID],tblTargets[TargetType],"")</f>
        <v>COLLECTION</v>
      </c>
      <c r="E1671" s="41" t="s">
        <v>663</v>
      </c>
      <c r="F1671" s="62" t="str">
        <f>RIGHT(tblCost[[#This Row],[RequirementID]],1)</f>
        <v>1</v>
      </c>
      <c r="G1671" s="41">
        <v>500</v>
      </c>
      <c r="H1671" t="b">
        <f>COUNTIFS(tblCostChecklist[RequirementID],tblCost[[#This Row],[RequirementID]],tblCostChecklist[PlayerPaid],TRUE)&gt;0</f>
        <v>0</v>
      </c>
      <c r="I1671" s="41">
        <f>COUNTIF(tblCost[TargetID],tblCost[[#This Row],[TargetID]])</f>
        <v>4</v>
      </c>
      <c r="J1671" s="41">
        <f>COUNTIFS(tblCost[TargetID],tblCost[[#This Row],[TargetID]],tblCost[PlayerPaid],TRUE)</f>
        <v>0</v>
      </c>
      <c r="K1671" s="41">
        <f>tblCost[[#This Row],[TargetRequirements]]-tblCost[[#This Row],[CompletedRequirements]]</f>
        <v>4</v>
      </c>
      <c r="L1671" s="41" t="b">
        <f>tblCost[[#This Row],[RemainingRequirements]]=0</f>
        <v>0</v>
      </c>
      <c r="M1671" s="43">
        <f>IF(tblCost[[#This Row],[TargetRequirements]]=0,0,tblCost[[#This Row],[CompletedRequirements]]/tblCost[[#This Row],[TargetRequirements]])</f>
        <v>0</v>
      </c>
    </row>
    <row r="1672" spans="1:13">
      <c r="A1672" s="41" t="s">
        <v>5309</v>
      </c>
      <c r="B1672" s="41" t="str">
        <f>_xlfn.TEXTAFTER(_xlfn.TEXTBEFORE(tblCost[[#This Row],[RequirementID]],".",-2),"cost.")</f>
        <v>collection.pantry_3@5</v>
      </c>
      <c r="C1672" s="41" t="str">
        <f>_xlfn.XLOOKUP(tblCost[[#This Row],[TargetID]],tblTargets[TargetID],tblTargets[DisplayName],"")</f>
        <v>Pantry 3 Lv 5</v>
      </c>
      <c r="D1672" s="41" t="str">
        <f>_xlfn.XLOOKUP(tblCost[[#This Row],[TargetID]],tblTargets[TargetID],tblTargets[TargetType],"")</f>
        <v>COLLECTION</v>
      </c>
      <c r="E1672" s="41" t="s">
        <v>664</v>
      </c>
      <c r="F1672" s="62" t="str">
        <f>RIGHT(tblCost[[#This Row],[RequirementID]],1)</f>
        <v>1</v>
      </c>
      <c r="G1672" s="41">
        <v>500</v>
      </c>
      <c r="H1672" t="b">
        <f>COUNTIFS(tblCostChecklist[RequirementID],tblCost[[#This Row],[RequirementID]],tblCostChecklist[PlayerPaid],TRUE)&gt;0</f>
        <v>0</v>
      </c>
      <c r="I1672" s="41">
        <f>COUNTIF(tblCost[TargetID],tblCost[[#This Row],[TargetID]])</f>
        <v>4</v>
      </c>
      <c r="J1672" s="41">
        <f>COUNTIFS(tblCost[TargetID],tblCost[[#This Row],[TargetID]],tblCost[PlayerPaid],TRUE)</f>
        <v>0</v>
      </c>
      <c r="K1672" s="41">
        <f>tblCost[[#This Row],[TargetRequirements]]-tblCost[[#This Row],[CompletedRequirements]]</f>
        <v>4</v>
      </c>
      <c r="L1672" s="41" t="b">
        <f>tblCost[[#This Row],[RemainingRequirements]]=0</f>
        <v>0</v>
      </c>
      <c r="M1672" s="43">
        <f>IF(tblCost[[#This Row],[TargetRequirements]]=0,0,tblCost[[#This Row],[CompletedRequirements]]/tblCost[[#This Row],[TargetRequirements]])</f>
        <v>0</v>
      </c>
    </row>
    <row r="1673" spans="1:13">
      <c r="A1673" s="41" t="s">
        <v>5310</v>
      </c>
      <c r="B1673" s="41" t="str">
        <f>_xlfn.TEXTAFTER(_xlfn.TEXTBEFORE(tblCost[[#This Row],[RequirementID]],".",-2),"cost.")</f>
        <v>collection.pantry_3@5</v>
      </c>
      <c r="C1673" s="41" t="str">
        <f>_xlfn.XLOOKUP(tblCost[[#This Row],[TargetID]],tblTargets[TargetID],tblTargets[DisplayName],"")</f>
        <v>Pantry 3 Lv 5</v>
      </c>
      <c r="D1673" s="41" t="str">
        <f>_xlfn.XLOOKUP(tblCost[[#This Row],[TargetID]],tblTargets[TargetID],tblTargets[TargetType],"")</f>
        <v>COLLECTION</v>
      </c>
      <c r="E1673" s="41" t="s">
        <v>678</v>
      </c>
      <c r="F1673" s="62" t="str">
        <f>RIGHT(tblCost[[#This Row],[RequirementID]],1)</f>
        <v>1</v>
      </c>
      <c r="G1673" s="41">
        <v>500</v>
      </c>
      <c r="H1673" t="b">
        <f>COUNTIFS(tblCostChecklist[RequirementID],tblCost[[#This Row],[RequirementID]],tblCostChecklist[PlayerPaid],TRUE)&gt;0</f>
        <v>0</v>
      </c>
      <c r="I1673" s="41">
        <f>COUNTIF(tblCost[TargetID],tblCost[[#This Row],[TargetID]])</f>
        <v>4</v>
      </c>
      <c r="J1673" s="41">
        <f>COUNTIFS(tblCost[TargetID],tblCost[[#This Row],[TargetID]],tblCost[PlayerPaid],TRUE)</f>
        <v>0</v>
      </c>
      <c r="K1673" s="41">
        <f>tblCost[[#This Row],[TargetRequirements]]-tblCost[[#This Row],[CompletedRequirements]]</f>
        <v>4</v>
      </c>
      <c r="L1673" s="41" t="b">
        <f>tblCost[[#This Row],[RemainingRequirements]]=0</f>
        <v>0</v>
      </c>
      <c r="M1673" s="43">
        <f>IF(tblCost[[#This Row],[TargetRequirements]]=0,0,tblCost[[#This Row],[CompletedRequirements]]/tblCost[[#This Row],[TargetRequirements]])</f>
        <v>0</v>
      </c>
    </row>
    <row r="1674" spans="1:13">
      <c r="A1674" s="41" t="s">
        <v>5311</v>
      </c>
      <c r="B1674" s="41" t="str">
        <f>_xlfn.TEXTAFTER(_xlfn.TEXTBEFORE(tblCost[[#This Row],[RequirementID]],".",-2),"cost.")</f>
        <v>collection.pantry_3@5</v>
      </c>
      <c r="C1674" s="41" t="str">
        <f>_xlfn.XLOOKUP(tblCost[[#This Row],[TargetID]],tblTargets[TargetID],tblTargets[DisplayName],"")</f>
        <v>Pantry 3 Lv 5</v>
      </c>
      <c r="D1674" s="41" t="str">
        <f>_xlfn.XLOOKUP(tblCost[[#This Row],[TargetID]],tblTargets[TargetID],tblTargets[TargetType],"")</f>
        <v>COLLECTION</v>
      </c>
      <c r="E1674" s="41" t="s">
        <v>1810</v>
      </c>
      <c r="F1674" s="62" t="str">
        <f>RIGHT(tblCost[[#This Row],[RequirementID]],1)</f>
        <v>1</v>
      </c>
      <c r="G1674" s="41">
        <v>500</v>
      </c>
      <c r="H1674" t="b">
        <f>COUNTIFS(tblCostChecklist[RequirementID],tblCost[[#This Row],[RequirementID]],tblCostChecklist[PlayerPaid],TRUE)&gt;0</f>
        <v>0</v>
      </c>
      <c r="I1674" s="41">
        <f>COUNTIF(tblCost[TargetID],tblCost[[#This Row],[TargetID]])</f>
        <v>4</v>
      </c>
      <c r="J1674" s="41">
        <f>COUNTIFS(tblCost[TargetID],tblCost[[#This Row],[TargetID]],tblCost[PlayerPaid],TRUE)</f>
        <v>0</v>
      </c>
      <c r="K1674" s="41">
        <f>tblCost[[#This Row],[TargetRequirements]]-tblCost[[#This Row],[CompletedRequirements]]</f>
        <v>4</v>
      </c>
      <c r="L1674" s="41" t="b">
        <f>tblCost[[#This Row],[RemainingRequirements]]=0</f>
        <v>0</v>
      </c>
      <c r="M1674" s="43">
        <f>IF(tblCost[[#This Row],[TargetRequirements]]=0,0,tblCost[[#This Row],[CompletedRequirements]]/tblCost[[#This Row],[TargetRequirements]])</f>
        <v>0</v>
      </c>
    </row>
    <row r="1675" spans="1:13">
      <c r="A1675" s="41" t="s">
        <v>5312</v>
      </c>
      <c r="B1675" s="41" t="str">
        <f>_xlfn.TEXTAFTER(_xlfn.TEXTBEFORE(tblCost[[#This Row],[RequirementID]],".",-2),"cost.")</f>
        <v>collection.pantry_4@1</v>
      </c>
      <c r="C1675" s="41" t="str">
        <f>_xlfn.XLOOKUP(tblCost[[#This Row],[TargetID]],tblTargets[TargetID],tblTargets[DisplayName],"")</f>
        <v>Pantry 4 Lv 1</v>
      </c>
      <c r="D1675" s="41" t="str">
        <f>_xlfn.XLOOKUP(tblCost[[#This Row],[TargetID]],tblTargets[TargetID],tblTargets[TargetType],"")</f>
        <v>COLLECTION</v>
      </c>
      <c r="E1675" s="41" t="s">
        <v>669</v>
      </c>
      <c r="F1675" s="62" t="str">
        <f>RIGHT(tblCost[[#This Row],[RequirementID]],1)</f>
        <v>1</v>
      </c>
      <c r="G1675" s="41">
        <v>20</v>
      </c>
      <c r="H1675" t="b">
        <f>COUNTIFS(tblCostChecklist[RequirementID],tblCost[[#This Row],[RequirementID]],tblCostChecklist[PlayerPaid],TRUE)&gt;0</f>
        <v>0</v>
      </c>
      <c r="I1675" s="41">
        <f>COUNTIF(tblCost[TargetID],tblCost[[#This Row],[TargetID]])</f>
        <v>3</v>
      </c>
      <c r="J1675" s="41">
        <f>COUNTIFS(tblCost[TargetID],tblCost[[#This Row],[TargetID]],tblCost[PlayerPaid],TRUE)</f>
        <v>0</v>
      </c>
      <c r="K1675" s="41">
        <f>tblCost[[#This Row],[TargetRequirements]]-tblCost[[#This Row],[CompletedRequirements]]</f>
        <v>3</v>
      </c>
      <c r="L1675" s="41" t="b">
        <f>tblCost[[#This Row],[RemainingRequirements]]=0</f>
        <v>0</v>
      </c>
      <c r="M1675" s="43">
        <f>IF(tblCost[[#This Row],[TargetRequirements]]=0,0,tblCost[[#This Row],[CompletedRequirements]]/tblCost[[#This Row],[TargetRequirements]])</f>
        <v>0</v>
      </c>
    </row>
    <row r="1676" spans="1:13">
      <c r="A1676" s="41" t="s">
        <v>5313</v>
      </c>
      <c r="B1676" s="41" t="str">
        <f>_xlfn.TEXTAFTER(_xlfn.TEXTBEFORE(tblCost[[#This Row],[RequirementID]],".",-2),"cost.")</f>
        <v>collection.pantry_4@1</v>
      </c>
      <c r="C1676" s="41" t="str">
        <f>_xlfn.XLOOKUP(tblCost[[#This Row],[TargetID]],tblTargets[TargetID],tblTargets[DisplayName],"")</f>
        <v>Pantry 4 Lv 1</v>
      </c>
      <c r="D1676" s="41" t="str">
        <f>_xlfn.XLOOKUP(tblCost[[#This Row],[TargetID]],tblTargets[TargetID],tblTargets[TargetType],"")</f>
        <v>COLLECTION</v>
      </c>
      <c r="E1676" s="41" t="s">
        <v>689</v>
      </c>
      <c r="F1676" s="62" t="str">
        <f>RIGHT(tblCost[[#This Row],[RequirementID]],1)</f>
        <v>1</v>
      </c>
      <c r="G1676" s="41">
        <v>20</v>
      </c>
      <c r="H1676" t="b">
        <f>COUNTIFS(tblCostChecklist[RequirementID],tblCost[[#This Row],[RequirementID]],tblCostChecklist[PlayerPaid],TRUE)&gt;0</f>
        <v>0</v>
      </c>
      <c r="I1676" s="41">
        <f>COUNTIF(tblCost[TargetID],tblCost[[#This Row],[TargetID]])</f>
        <v>3</v>
      </c>
      <c r="J1676" s="41">
        <f>COUNTIFS(tblCost[TargetID],tblCost[[#This Row],[TargetID]],tblCost[PlayerPaid],TRUE)</f>
        <v>0</v>
      </c>
      <c r="K1676" s="41">
        <f>tblCost[[#This Row],[TargetRequirements]]-tblCost[[#This Row],[CompletedRequirements]]</f>
        <v>3</v>
      </c>
      <c r="L1676" s="41" t="b">
        <f>tblCost[[#This Row],[RemainingRequirements]]=0</f>
        <v>0</v>
      </c>
      <c r="M1676" s="43">
        <f>IF(tblCost[[#This Row],[TargetRequirements]]=0,0,tblCost[[#This Row],[CompletedRequirements]]/tblCost[[#This Row],[TargetRequirements]])</f>
        <v>0</v>
      </c>
    </row>
    <row r="1677" spans="1:13">
      <c r="A1677" s="41" t="s">
        <v>5314</v>
      </c>
      <c r="B1677" s="41" t="str">
        <f>_xlfn.TEXTAFTER(_xlfn.TEXTBEFORE(tblCost[[#This Row],[RequirementID]],".",-2),"cost.")</f>
        <v>collection.pantry_4@1</v>
      </c>
      <c r="C1677" s="41" t="str">
        <f>_xlfn.XLOOKUP(tblCost[[#This Row],[TargetID]],tblTargets[TargetID],tblTargets[DisplayName],"")</f>
        <v>Pantry 4 Lv 1</v>
      </c>
      <c r="D1677" s="41" t="str">
        <f>_xlfn.XLOOKUP(tblCost[[#This Row],[TargetID]],tblTargets[TargetID],tblTargets[TargetType],"")</f>
        <v>COLLECTION</v>
      </c>
      <c r="E1677" s="41" t="s">
        <v>1849</v>
      </c>
      <c r="F1677" s="62" t="str">
        <f>RIGHT(tblCost[[#This Row],[RequirementID]],1)</f>
        <v>1</v>
      </c>
      <c r="G1677" s="41">
        <v>10</v>
      </c>
      <c r="H1677" t="b">
        <f>COUNTIFS(tblCostChecklist[RequirementID],tblCost[[#This Row],[RequirementID]],tblCostChecklist[PlayerPaid],TRUE)&gt;0</f>
        <v>0</v>
      </c>
      <c r="I1677" s="41">
        <f>COUNTIF(tblCost[TargetID],tblCost[[#This Row],[TargetID]])</f>
        <v>3</v>
      </c>
      <c r="J1677" s="41">
        <f>COUNTIFS(tblCost[TargetID],tblCost[[#This Row],[TargetID]],tblCost[PlayerPaid],TRUE)</f>
        <v>0</v>
      </c>
      <c r="K1677" s="41">
        <f>tblCost[[#This Row],[TargetRequirements]]-tblCost[[#This Row],[CompletedRequirements]]</f>
        <v>3</v>
      </c>
      <c r="L1677" s="41" t="b">
        <f>tblCost[[#This Row],[RemainingRequirements]]=0</f>
        <v>0</v>
      </c>
      <c r="M1677" s="43">
        <f>IF(tblCost[[#This Row],[TargetRequirements]]=0,0,tblCost[[#This Row],[CompletedRequirements]]/tblCost[[#This Row],[TargetRequirements]])</f>
        <v>0</v>
      </c>
    </row>
    <row r="1678" spans="1:13">
      <c r="A1678" s="41" t="s">
        <v>5315</v>
      </c>
      <c r="B1678" s="41" t="str">
        <f>_xlfn.TEXTAFTER(_xlfn.TEXTBEFORE(tblCost[[#This Row],[RequirementID]],".",-2),"cost.")</f>
        <v>collection.statue@1</v>
      </c>
      <c r="C1678" s="41" t="str">
        <f>_xlfn.XLOOKUP(tblCost[[#This Row],[TargetID]],tblTargets[TargetID],tblTargets[DisplayName],"")</f>
        <v>Statue Lv 1</v>
      </c>
      <c r="D1678" s="41" t="str">
        <f>_xlfn.XLOOKUP(tblCost[[#This Row],[TargetID]],tblTargets[TargetID],tblTargets[TargetType],"")</f>
        <v>COLLECTION</v>
      </c>
      <c r="E1678" s="41" t="s">
        <v>717</v>
      </c>
      <c r="F1678" s="62" t="str">
        <f>RIGHT(tblCost[[#This Row],[RequirementID]],1)</f>
        <v>1</v>
      </c>
      <c r="G1678" s="41">
        <v>200</v>
      </c>
      <c r="H1678" t="b">
        <f>COUNTIFS(tblCostChecklist[RequirementID],tblCost[[#This Row],[RequirementID]],tblCostChecklist[PlayerPaid],TRUE)&gt;0</f>
        <v>0</v>
      </c>
      <c r="I1678" s="41">
        <f>COUNTIF(tblCost[TargetID],tblCost[[#This Row],[TargetID]])</f>
        <v>1</v>
      </c>
      <c r="J1678" s="41">
        <f>COUNTIFS(tblCost[TargetID],tblCost[[#This Row],[TargetID]],tblCost[PlayerPaid],TRUE)</f>
        <v>0</v>
      </c>
      <c r="K1678" s="41">
        <f>tblCost[[#This Row],[TargetRequirements]]-tblCost[[#This Row],[CompletedRequirements]]</f>
        <v>1</v>
      </c>
      <c r="L1678" s="41" t="b">
        <f>tblCost[[#This Row],[RemainingRequirements]]=0</f>
        <v>0</v>
      </c>
      <c r="M1678" s="43">
        <f>IF(tblCost[[#This Row],[TargetRequirements]]=0,0,tblCost[[#This Row],[CompletedRequirements]]/tblCost[[#This Row],[TargetRequirements]])</f>
        <v>0</v>
      </c>
    </row>
    <row r="1679" spans="1:13">
      <c r="A1679" s="41" t="s">
        <v>5316</v>
      </c>
      <c r="B1679" s="41" t="str">
        <f>_xlfn.TEXTAFTER(_xlfn.TEXTBEFORE(tblCost[[#This Row],[RequirementID]],".",-2),"cost.")</f>
        <v>collection.tavern@1</v>
      </c>
      <c r="C1679" s="41" t="str">
        <f>_xlfn.XLOOKUP(tblCost[[#This Row],[TargetID]],tblTargets[TargetID],tblTargets[DisplayName],"")</f>
        <v>Tavern Lv 1</v>
      </c>
      <c r="D1679" s="41" t="str">
        <f>_xlfn.XLOOKUP(tblCost[[#This Row],[TargetID]],tblTargets[TargetID],tblTargets[TargetType],"")</f>
        <v>COLLECTION</v>
      </c>
      <c r="E1679" s="41" t="s">
        <v>1793</v>
      </c>
      <c r="F1679" s="62" t="str">
        <f>RIGHT(tblCost[[#This Row],[RequirementID]],1)</f>
        <v>1</v>
      </c>
      <c r="G1679" s="41">
        <v>10</v>
      </c>
      <c r="H1679" t="b">
        <f>COUNTIFS(tblCostChecklist[RequirementID],tblCost[[#This Row],[RequirementID]],tblCostChecklist[PlayerPaid],TRUE)&gt;0</f>
        <v>0</v>
      </c>
      <c r="I1679" s="41">
        <f>COUNTIF(tblCost[TargetID],tblCost[[#This Row],[TargetID]])</f>
        <v>9</v>
      </c>
      <c r="J1679" s="41">
        <f>COUNTIFS(tblCost[TargetID],tblCost[[#This Row],[TargetID]],tblCost[PlayerPaid],TRUE)</f>
        <v>0</v>
      </c>
      <c r="K1679" s="41">
        <f>tblCost[[#This Row],[TargetRequirements]]-tblCost[[#This Row],[CompletedRequirements]]</f>
        <v>9</v>
      </c>
      <c r="L1679" s="41" t="b">
        <f>tblCost[[#This Row],[RemainingRequirements]]=0</f>
        <v>0</v>
      </c>
      <c r="M1679" s="43">
        <f>IF(tblCost[[#This Row],[TargetRequirements]]=0,0,tblCost[[#This Row],[CompletedRequirements]]/tblCost[[#This Row],[TargetRequirements]])</f>
        <v>0</v>
      </c>
    </row>
    <row r="1680" spans="1:13">
      <c r="A1680" s="41" t="s">
        <v>5317</v>
      </c>
      <c r="B1680" s="41" t="str">
        <f>_xlfn.TEXTAFTER(_xlfn.TEXTBEFORE(tblCost[[#This Row],[RequirementID]],".",-2),"cost.")</f>
        <v>collection.tavern@1</v>
      </c>
      <c r="C1680" s="41" t="str">
        <f>_xlfn.XLOOKUP(tblCost[[#This Row],[TargetID]],tblTargets[TargetID],tblTargets[DisplayName],"")</f>
        <v>Tavern Lv 1</v>
      </c>
      <c r="D1680" s="41" t="str">
        <f>_xlfn.XLOOKUP(tblCost[[#This Row],[TargetID]],tblTargets[TargetID],tblTargets[TargetType],"")</f>
        <v>COLLECTION</v>
      </c>
      <c r="E1680" s="41" t="s">
        <v>1801</v>
      </c>
      <c r="F1680" s="62" t="str">
        <f>RIGHT(tblCost[[#This Row],[RequirementID]],1)</f>
        <v>1</v>
      </c>
      <c r="G1680" s="41">
        <v>10</v>
      </c>
      <c r="H1680" t="b">
        <f>COUNTIFS(tblCostChecklist[RequirementID],tblCost[[#This Row],[RequirementID]],tblCostChecklist[PlayerPaid],TRUE)&gt;0</f>
        <v>0</v>
      </c>
      <c r="I1680" s="41">
        <f>COUNTIF(tblCost[TargetID],tblCost[[#This Row],[TargetID]])</f>
        <v>9</v>
      </c>
      <c r="J1680" s="41">
        <f>COUNTIFS(tblCost[TargetID],tblCost[[#This Row],[TargetID]],tblCost[PlayerPaid],TRUE)</f>
        <v>0</v>
      </c>
      <c r="K1680" s="41">
        <f>tblCost[[#This Row],[TargetRequirements]]-tblCost[[#This Row],[CompletedRequirements]]</f>
        <v>9</v>
      </c>
      <c r="L1680" s="41" t="b">
        <f>tblCost[[#This Row],[RemainingRequirements]]=0</f>
        <v>0</v>
      </c>
      <c r="M1680" s="43">
        <f>IF(tblCost[[#This Row],[TargetRequirements]]=0,0,tblCost[[#This Row],[CompletedRequirements]]/tblCost[[#This Row],[TargetRequirements]])</f>
        <v>0</v>
      </c>
    </row>
    <row r="1681" spans="1:13">
      <c r="A1681" s="41" t="s">
        <v>5318</v>
      </c>
      <c r="B1681" s="41" t="str">
        <f>_xlfn.TEXTAFTER(_xlfn.TEXTBEFORE(tblCost[[#This Row],[RequirementID]],".",-2),"cost.")</f>
        <v>collection.tavern@1</v>
      </c>
      <c r="C1681" s="41" t="str">
        <f>_xlfn.XLOOKUP(tblCost[[#This Row],[TargetID]],tblTargets[TargetID],tblTargets[DisplayName],"")</f>
        <v>Tavern Lv 1</v>
      </c>
      <c r="D1681" s="41" t="str">
        <f>_xlfn.XLOOKUP(tblCost[[#This Row],[TargetID]],tblTargets[TargetID],tblTargets[TargetType],"")</f>
        <v>COLLECTION</v>
      </c>
      <c r="E1681" s="41" t="s">
        <v>1805</v>
      </c>
      <c r="F1681" s="62" t="str">
        <f>RIGHT(tblCost[[#This Row],[RequirementID]],1)</f>
        <v>1</v>
      </c>
      <c r="G1681" s="41">
        <v>10</v>
      </c>
      <c r="H1681" t="b">
        <f>COUNTIFS(tblCostChecklist[RequirementID],tblCost[[#This Row],[RequirementID]],tblCostChecklist[PlayerPaid],TRUE)&gt;0</f>
        <v>0</v>
      </c>
      <c r="I1681" s="41">
        <f>COUNTIF(tblCost[TargetID],tblCost[[#This Row],[TargetID]])</f>
        <v>9</v>
      </c>
      <c r="J1681" s="41">
        <f>COUNTIFS(tblCost[TargetID],tblCost[[#This Row],[TargetID]],tblCost[PlayerPaid],TRUE)</f>
        <v>0</v>
      </c>
      <c r="K1681" s="41">
        <f>tblCost[[#This Row],[TargetRequirements]]-tblCost[[#This Row],[CompletedRequirements]]</f>
        <v>9</v>
      </c>
      <c r="L1681" s="41" t="b">
        <f>tblCost[[#This Row],[RemainingRequirements]]=0</f>
        <v>0</v>
      </c>
      <c r="M1681" s="43">
        <f>IF(tblCost[[#This Row],[TargetRequirements]]=0,0,tblCost[[#This Row],[CompletedRequirements]]/tblCost[[#This Row],[TargetRequirements]])</f>
        <v>0</v>
      </c>
    </row>
    <row r="1682" spans="1:13">
      <c r="A1682" s="41" t="s">
        <v>5319</v>
      </c>
      <c r="B1682" s="41" t="str">
        <f>_xlfn.TEXTAFTER(_xlfn.TEXTBEFORE(tblCost[[#This Row],[RequirementID]],".",-2),"cost.")</f>
        <v>collection.tavern@1</v>
      </c>
      <c r="C1682" s="41" t="str">
        <f>_xlfn.XLOOKUP(tblCost[[#This Row],[TargetID]],tblTargets[TargetID],tblTargets[DisplayName],"")</f>
        <v>Tavern Lv 1</v>
      </c>
      <c r="D1682" s="41" t="str">
        <f>_xlfn.XLOOKUP(tblCost[[#This Row],[TargetID]],tblTargets[TargetID],tblTargets[TargetType],"")</f>
        <v>COLLECTION</v>
      </c>
      <c r="E1682" s="41" t="s">
        <v>1814</v>
      </c>
      <c r="F1682" s="62" t="str">
        <f>RIGHT(tblCost[[#This Row],[RequirementID]],1)</f>
        <v>1</v>
      </c>
      <c r="G1682" s="41">
        <v>20</v>
      </c>
      <c r="H1682" t="b">
        <f>COUNTIFS(tblCostChecklist[RequirementID],tblCost[[#This Row],[RequirementID]],tblCostChecklist[PlayerPaid],TRUE)&gt;0</f>
        <v>0</v>
      </c>
      <c r="I1682" s="41">
        <f>COUNTIF(tblCost[TargetID],tblCost[[#This Row],[TargetID]])</f>
        <v>9</v>
      </c>
      <c r="J1682" s="41">
        <f>COUNTIFS(tblCost[TargetID],tblCost[[#This Row],[TargetID]],tblCost[PlayerPaid],TRUE)</f>
        <v>0</v>
      </c>
      <c r="K1682" s="41">
        <f>tblCost[[#This Row],[TargetRequirements]]-tblCost[[#This Row],[CompletedRequirements]]</f>
        <v>9</v>
      </c>
      <c r="L1682" s="41" t="b">
        <f>tblCost[[#This Row],[RemainingRequirements]]=0</f>
        <v>0</v>
      </c>
      <c r="M1682" s="43">
        <f>IF(tblCost[[#This Row],[TargetRequirements]]=0,0,tblCost[[#This Row],[CompletedRequirements]]/tblCost[[#This Row],[TargetRequirements]])</f>
        <v>0</v>
      </c>
    </row>
    <row r="1683" spans="1:13">
      <c r="A1683" s="41" t="s">
        <v>5320</v>
      </c>
      <c r="B1683" s="41" t="str">
        <f>_xlfn.TEXTAFTER(_xlfn.TEXTBEFORE(tblCost[[#This Row],[RequirementID]],".",-2),"cost.")</f>
        <v>collection.tavern@1</v>
      </c>
      <c r="C1683" s="41" t="str">
        <f>_xlfn.XLOOKUP(tblCost[[#This Row],[TargetID]],tblTargets[TargetID],tblTargets[DisplayName],"")</f>
        <v>Tavern Lv 1</v>
      </c>
      <c r="D1683" s="41" t="str">
        <f>_xlfn.XLOOKUP(tblCost[[#This Row],[TargetID]],tblTargets[TargetID],tblTargets[TargetType],"")</f>
        <v>COLLECTION</v>
      </c>
      <c r="E1683" s="41" t="s">
        <v>1821</v>
      </c>
      <c r="F1683" s="62" t="str">
        <f>RIGHT(tblCost[[#This Row],[RequirementID]],1)</f>
        <v>1</v>
      </c>
      <c r="G1683" s="41">
        <v>10</v>
      </c>
      <c r="H1683" t="b">
        <f>COUNTIFS(tblCostChecklist[RequirementID],tblCost[[#This Row],[RequirementID]],tblCostChecklist[PlayerPaid],TRUE)&gt;0</f>
        <v>0</v>
      </c>
      <c r="I1683" s="41">
        <f>COUNTIF(tblCost[TargetID],tblCost[[#This Row],[TargetID]])</f>
        <v>9</v>
      </c>
      <c r="J1683" s="41">
        <f>COUNTIFS(tblCost[TargetID],tblCost[[#This Row],[TargetID]],tblCost[PlayerPaid],TRUE)</f>
        <v>0</v>
      </c>
      <c r="K1683" s="41">
        <f>tblCost[[#This Row],[TargetRequirements]]-tblCost[[#This Row],[CompletedRequirements]]</f>
        <v>9</v>
      </c>
      <c r="L1683" s="41" t="b">
        <f>tblCost[[#This Row],[RemainingRequirements]]=0</f>
        <v>0</v>
      </c>
      <c r="M1683" s="43">
        <f>IF(tblCost[[#This Row],[TargetRequirements]]=0,0,tblCost[[#This Row],[CompletedRequirements]]/tblCost[[#This Row],[TargetRequirements]])</f>
        <v>0</v>
      </c>
    </row>
    <row r="1684" spans="1:13">
      <c r="A1684" s="41" t="s">
        <v>5321</v>
      </c>
      <c r="B1684" s="41" t="str">
        <f>_xlfn.TEXTAFTER(_xlfn.TEXTBEFORE(tblCost[[#This Row],[RequirementID]],".",-2),"cost.")</f>
        <v>collection.tavern@1</v>
      </c>
      <c r="C1684" s="41" t="str">
        <f>_xlfn.XLOOKUP(tblCost[[#This Row],[TargetID]],tblTargets[TargetID],tblTargets[DisplayName],"")</f>
        <v>Tavern Lv 1</v>
      </c>
      <c r="D1684" s="41" t="str">
        <f>_xlfn.XLOOKUP(tblCost[[#This Row],[TargetID]],tblTargets[TargetID],tblTargets[TargetType],"")</f>
        <v>COLLECTION</v>
      </c>
      <c r="E1684" s="41" t="s">
        <v>704</v>
      </c>
      <c r="F1684" s="62" t="str">
        <f>RIGHT(tblCost[[#This Row],[RequirementID]],1)</f>
        <v>1</v>
      </c>
      <c r="G1684" s="41">
        <v>10</v>
      </c>
      <c r="H1684" t="b">
        <f>COUNTIFS(tblCostChecklist[RequirementID],tblCost[[#This Row],[RequirementID]],tblCostChecklist[PlayerPaid],TRUE)&gt;0</f>
        <v>0</v>
      </c>
      <c r="I1684" s="41">
        <f>COUNTIF(tblCost[TargetID],tblCost[[#This Row],[TargetID]])</f>
        <v>9</v>
      </c>
      <c r="J1684" s="41">
        <f>COUNTIFS(tblCost[TargetID],tblCost[[#This Row],[TargetID]],tblCost[PlayerPaid],TRUE)</f>
        <v>0</v>
      </c>
      <c r="K1684" s="41">
        <f>tblCost[[#This Row],[TargetRequirements]]-tblCost[[#This Row],[CompletedRequirements]]</f>
        <v>9</v>
      </c>
      <c r="L1684" s="41" t="b">
        <f>tblCost[[#This Row],[RemainingRequirements]]=0</f>
        <v>0</v>
      </c>
      <c r="M1684" s="43">
        <f>IF(tblCost[[#This Row],[TargetRequirements]]=0,0,tblCost[[#This Row],[CompletedRequirements]]/tblCost[[#This Row],[TargetRequirements]])</f>
        <v>0</v>
      </c>
    </row>
    <row r="1685" spans="1:13">
      <c r="A1685" s="41" t="s">
        <v>5322</v>
      </c>
      <c r="B1685" s="41" t="str">
        <f>_xlfn.TEXTAFTER(_xlfn.TEXTBEFORE(tblCost[[#This Row],[RequirementID]],".",-2),"cost.")</f>
        <v>collection.tavern@1</v>
      </c>
      <c r="C1685" s="41" t="str">
        <f>_xlfn.XLOOKUP(tblCost[[#This Row],[TargetID]],tblTargets[TargetID],tblTargets[DisplayName],"")</f>
        <v>Tavern Lv 1</v>
      </c>
      <c r="D1685" s="41" t="str">
        <f>_xlfn.XLOOKUP(tblCost[[#This Row],[TargetID]],tblTargets[TargetID],tblTargets[TargetType],"")</f>
        <v>COLLECTION</v>
      </c>
      <c r="E1685" s="41" t="s">
        <v>1839</v>
      </c>
      <c r="F1685" s="62" t="str">
        <f>RIGHT(tblCost[[#This Row],[RequirementID]],1)</f>
        <v>1</v>
      </c>
      <c r="G1685" s="41">
        <v>10</v>
      </c>
      <c r="H1685" t="b">
        <f>COUNTIFS(tblCostChecklist[RequirementID],tblCost[[#This Row],[RequirementID]],tblCostChecklist[PlayerPaid],TRUE)&gt;0</f>
        <v>0</v>
      </c>
      <c r="I1685" s="41">
        <f>COUNTIF(tblCost[TargetID],tblCost[[#This Row],[TargetID]])</f>
        <v>9</v>
      </c>
      <c r="J1685" s="41">
        <f>COUNTIFS(tblCost[TargetID],tblCost[[#This Row],[TargetID]],tblCost[PlayerPaid],TRUE)</f>
        <v>0</v>
      </c>
      <c r="K1685" s="41">
        <f>tblCost[[#This Row],[TargetRequirements]]-tblCost[[#This Row],[CompletedRequirements]]</f>
        <v>9</v>
      </c>
      <c r="L1685" s="41" t="b">
        <f>tblCost[[#This Row],[RemainingRequirements]]=0</f>
        <v>0</v>
      </c>
      <c r="M1685" s="43">
        <f>IF(tblCost[[#This Row],[TargetRequirements]]=0,0,tblCost[[#This Row],[CompletedRequirements]]/tblCost[[#This Row],[TargetRequirements]])</f>
        <v>0</v>
      </c>
    </row>
    <row r="1686" spans="1:13">
      <c r="A1686" s="41" t="s">
        <v>5323</v>
      </c>
      <c r="B1686" s="41" t="str">
        <f>_xlfn.TEXTAFTER(_xlfn.TEXTBEFORE(tblCost[[#This Row],[RequirementID]],".",-2),"cost.")</f>
        <v>collection.tavern@1</v>
      </c>
      <c r="C1686" s="41" t="str">
        <f>_xlfn.XLOOKUP(tblCost[[#This Row],[TargetID]],tblTargets[TargetID],tblTargets[DisplayName],"")</f>
        <v>Tavern Lv 1</v>
      </c>
      <c r="D1686" s="41" t="str">
        <f>_xlfn.XLOOKUP(tblCost[[#This Row],[TargetID]],tblTargets[TargetID],tblTargets[TargetType],"")</f>
        <v>COLLECTION</v>
      </c>
      <c r="E1686" s="41" t="s">
        <v>718</v>
      </c>
      <c r="F1686" s="62" t="str">
        <f>RIGHT(tblCost[[#This Row],[RequirementID]],1)</f>
        <v>1</v>
      </c>
      <c r="G1686" s="41">
        <v>10</v>
      </c>
      <c r="H1686" t="b">
        <f>COUNTIFS(tblCostChecklist[RequirementID],tblCost[[#This Row],[RequirementID]],tblCostChecklist[PlayerPaid],TRUE)&gt;0</f>
        <v>0</v>
      </c>
      <c r="I1686" s="41">
        <f>COUNTIF(tblCost[TargetID],tblCost[[#This Row],[TargetID]])</f>
        <v>9</v>
      </c>
      <c r="J1686" s="41">
        <f>COUNTIFS(tblCost[TargetID],tblCost[[#This Row],[TargetID]],tblCost[PlayerPaid],TRUE)</f>
        <v>0</v>
      </c>
      <c r="K1686" s="41">
        <f>tblCost[[#This Row],[TargetRequirements]]-tblCost[[#This Row],[CompletedRequirements]]</f>
        <v>9</v>
      </c>
      <c r="L1686" s="41" t="b">
        <f>tblCost[[#This Row],[RemainingRequirements]]=0</f>
        <v>0</v>
      </c>
      <c r="M1686" s="43">
        <f>IF(tblCost[[#This Row],[TargetRequirements]]=0,0,tblCost[[#This Row],[CompletedRequirements]]/tblCost[[#This Row],[TargetRequirements]])</f>
        <v>0</v>
      </c>
    </row>
    <row r="1687" spans="1:13">
      <c r="A1687" s="41" t="s">
        <v>5324</v>
      </c>
      <c r="B1687" s="41" t="str">
        <f>_xlfn.TEXTAFTER(_xlfn.TEXTBEFORE(tblCost[[#This Row],[RequirementID]],".",-2),"cost.")</f>
        <v>collection.tavern@1</v>
      </c>
      <c r="C1687" s="41" t="str">
        <f>_xlfn.XLOOKUP(tblCost[[#This Row],[TargetID]],tblTargets[TargetID],tblTargets[DisplayName],"")</f>
        <v>Tavern Lv 1</v>
      </c>
      <c r="D1687" s="41" t="str">
        <f>_xlfn.XLOOKUP(tblCost[[#This Row],[TargetID]],tblTargets[TargetID],tblTargets[TargetType],"")</f>
        <v>COLLECTION</v>
      </c>
      <c r="E1687" s="41" t="s">
        <v>1848</v>
      </c>
      <c r="F1687" s="62" t="str">
        <f>RIGHT(tblCost[[#This Row],[RequirementID]],1)</f>
        <v>1</v>
      </c>
      <c r="G1687" s="41">
        <v>10</v>
      </c>
      <c r="H1687" t="b">
        <f>COUNTIFS(tblCostChecklist[RequirementID],tblCost[[#This Row],[RequirementID]],tblCostChecklist[PlayerPaid],TRUE)&gt;0</f>
        <v>0</v>
      </c>
      <c r="I1687" s="41">
        <f>COUNTIF(tblCost[TargetID],tblCost[[#This Row],[TargetID]])</f>
        <v>9</v>
      </c>
      <c r="J1687" s="41">
        <f>COUNTIFS(tblCost[TargetID],tblCost[[#This Row],[TargetID]],tblCost[PlayerPaid],TRUE)</f>
        <v>0</v>
      </c>
      <c r="K1687" s="41">
        <f>tblCost[[#This Row],[TargetRequirements]]-tblCost[[#This Row],[CompletedRequirements]]</f>
        <v>9</v>
      </c>
      <c r="L1687" s="41" t="b">
        <f>tblCost[[#This Row],[RemainingRequirements]]=0</f>
        <v>0</v>
      </c>
      <c r="M1687" s="43">
        <f>IF(tblCost[[#This Row],[TargetRequirements]]=0,0,tblCost[[#This Row],[CompletedRequirements]]/tblCost[[#This Row],[TargetRequirements]])</f>
        <v>0</v>
      </c>
    </row>
    <row r="1688" spans="1:13">
      <c r="A1688" s="41" t="s">
        <v>5325</v>
      </c>
      <c r="B1688" s="41" t="str">
        <f>_xlfn.TEXTAFTER(_xlfn.TEXTBEFORE(tblCost[[#This Row],[RequirementID]],".",-2),"cost.")</f>
        <v>collection.tavern@2</v>
      </c>
      <c r="C1688" s="41" t="str">
        <f>_xlfn.XLOOKUP(tblCost[[#This Row],[TargetID]],tblTargets[TargetID],tblTargets[DisplayName],"")</f>
        <v>Tavern Lv 2</v>
      </c>
      <c r="D1688" s="41" t="str">
        <f>_xlfn.XLOOKUP(tblCost[[#This Row],[TargetID]],tblTargets[TargetID],tblTargets[TargetType],"")</f>
        <v>COLLECTION</v>
      </c>
      <c r="E1688" s="41" t="s">
        <v>1793</v>
      </c>
      <c r="F1688" s="62" t="str">
        <f>RIGHT(tblCost[[#This Row],[RequirementID]],1)</f>
        <v>1</v>
      </c>
      <c r="G1688" s="41">
        <v>20</v>
      </c>
      <c r="H1688" t="b">
        <f>COUNTIFS(tblCostChecklist[RequirementID],tblCost[[#This Row],[RequirementID]],tblCostChecklist[PlayerPaid],TRUE)&gt;0</f>
        <v>0</v>
      </c>
      <c r="I1688" s="41">
        <f>COUNTIF(tblCost[TargetID],tblCost[[#This Row],[TargetID]])</f>
        <v>9</v>
      </c>
      <c r="J1688" s="41">
        <f>COUNTIFS(tblCost[TargetID],tblCost[[#This Row],[TargetID]],tblCost[PlayerPaid],TRUE)</f>
        <v>0</v>
      </c>
      <c r="K1688" s="41">
        <f>tblCost[[#This Row],[TargetRequirements]]-tblCost[[#This Row],[CompletedRequirements]]</f>
        <v>9</v>
      </c>
      <c r="L1688" s="41" t="b">
        <f>tblCost[[#This Row],[RemainingRequirements]]=0</f>
        <v>0</v>
      </c>
      <c r="M1688" s="43">
        <f>IF(tblCost[[#This Row],[TargetRequirements]]=0,0,tblCost[[#This Row],[CompletedRequirements]]/tblCost[[#This Row],[TargetRequirements]])</f>
        <v>0</v>
      </c>
    </row>
    <row r="1689" spans="1:13">
      <c r="A1689" s="41" t="s">
        <v>5326</v>
      </c>
      <c r="B1689" s="41" t="str">
        <f>_xlfn.TEXTAFTER(_xlfn.TEXTBEFORE(tblCost[[#This Row],[RequirementID]],".",-2),"cost.")</f>
        <v>collection.tavern@2</v>
      </c>
      <c r="C1689" s="41" t="str">
        <f>_xlfn.XLOOKUP(tblCost[[#This Row],[TargetID]],tblTargets[TargetID],tblTargets[DisplayName],"")</f>
        <v>Tavern Lv 2</v>
      </c>
      <c r="D1689" s="41" t="str">
        <f>_xlfn.XLOOKUP(tblCost[[#This Row],[TargetID]],tblTargets[TargetID],tblTargets[TargetType],"")</f>
        <v>COLLECTION</v>
      </c>
      <c r="E1689" s="41" t="s">
        <v>1801</v>
      </c>
      <c r="F1689" s="62" t="str">
        <f>RIGHT(tblCost[[#This Row],[RequirementID]],1)</f>
        <v>1</v>
      </c>
      <c r="G1689" s="41">
        <v>20</v>
      </c>
      <c r="H1689" t="b">
        <f>COUNTIFS(tblCostChecklist[RequirementID],tblCost[[#This Row],[RequirementID]],tblCostChecklist[PlayerPaid],TRUE)&gt;0</f>
        <v>0</v>
      </c>
      <c r="I1689" s="41">
        <f>COUNTIF(tblCost[TargetID],tblCost[[#This Row],[TargetID]])</f>
        <v>9</v>
      </c>
      <c r="J1689" s="41">
        <f>COUNTIFS(tblCost[TargetID],tblCost[[#This Row],[TargetID]],tblCost[PlayerPaid],TRUE)</f>
        <v>0</v>
      </c>
      <c r="K1689" s="41">
        <f>tblCost[[#This Row],[TargetRequirements]]-tblCost[[#This Row],[CompletedRequirements]]</f>
        <v>9</v>
      </c>
      <c r="L1689" s="41" t="b">
        <f>tblCost[[#This Row],[RemainingRequirements]]=0</f>
        <v>0</v>
      </c>
      <c r="M1689" s="43">
        <f>IF(tblCost[[#This Row],[TargetRequirements]]=0,0,tblCost[[#This Row],[CompletedRequirements]]/tblCost[[#This Row],[TargetRequirements]])</f>
        <v>0</v>
      </c>
    </row>
    <row r="1690" spans="1:13">
      <c r="A1690" s="41" t="s">
        <v>5327</v>
      </c>
      <c r="B1690" s="41" t="str">
        <f>_xlfn.TEXTAFTER(_xlfn.TEXTBEFORE(tblCost[[#This Row],[RequirementID]],".",-2),"cost.")</f>
        <v>collection.tavern@2</v>
      </c>
      <c r="C1690" s="41" t="str">
        <f>_xlfn.XLOOKUP(tblCost[[#This Row],[TargetID]],tblTargets[TargetID],tblTargets[DisplayName],"")</f>
        <v>Tavern Lv 2</v>
      </c>
      <c r="D1690" s="41" t="str">
        <f>_xlfn.XLOOKUP(tblCost[[#This Row],[TargetID]],tblTargets[TargetID],tblTargets[TargetType],"")</f>
        <v>COLLECTION</v>
      </c>
      <c r="E1690" s="41" t="s">
        <v>1805</v>
      </c>
      <c r="F1690" s="62" t="str">
        <f>RIGHT(tblCost[[#This Row],[RequirementID]],1)</f>
        <v>1</v>
      </c>
      <c r="G1690" s="41">
        <v>20</v>
      </c>
      <c r="H1690" t="b">
        <f>COUNTIFS(tblCostChecklist[RequirementID],tblCost[[#This Row],[RequirementID]],tblCostChecklist[PlayerPaid],TRUE)&gt;0</f>
        <v>0</v>
      </c>
      <c r="I1690" s="41">
        <f>COUNTIF(tblCost[TargetID],tblCost[[#This Row],[TargetID]])</f>
        <v>9</v>
      </c>
      <c r="J1690" s="41">
        <f>COUNTIFS(tblCost[TargetID],tblCost[[#This Row],[TargetID]],tblCost[PlayerPaid],TRUE)</f>
        <v>0</v>
      </c>
      <c r="K1690" s="41">
        <f>tblCost[[#This Row],[TargetRequirements]]-tblCost[[#This Row],[CompletedRequirements]]</f>
        <v>9</v>
      </c>
      <c r="L1690" s="41" t="b">
        <f>tblCost[[#This Row],[RemainingRequirements]]=0</f>
        <v>0</v>
      </c>
      <c r="M1690" s="43">
        <f>IF(tblCost[[#This Row],[TargetRequirements]]=0,0,tblCost[[#This Row],[CompletedRequirements]]/tblCost[[#This Row],[TargetRequirements]])</f>
        <v>0</v>
      </c>
    </row>
    <row r="1691" spans="1:13">
      <c r="A1691" s="41" t="s">
        <v>5328</v>
      </c>
      <c r="B1691" s="41" t="str">
        <f>_xlfn.TEXTAFTER(_xlfn.TEXTBEFORE(tblCost[[#This Row],[RequirementID]],".",-2),"cost.")</f>
        <v>collection.tavern@2</v>
      </c>
      <c r="C1691" s="41" t="str">
        <f>_xlfn.XLOOKUP(tblCost[[#This Row],[TargetID]],tblTargets[TargetID],tblTargets[DisplayName],"")</f>
        <v>Tavern Lv 2</v>
      </c>
      <c r="D1691" s="41" t="str">
        <f>_xlfn.XLOOKUP(tblCost[[#This Row],[TargetID]],tblTargets[TargetID],tblTargets[TargetType],"")</f>
        <v>COLLECTION</v>
      </c>
      <c r="E1691" s="41" t="s">
        <v>1814</v>
      </c>
      <c r="F1691" s="62" t="str">
        <f>RIGHT(tblCost[[#This Row],[RequirementID]],1)</f>
        <v>1</v>
      </c>
      <c r="G1691" s="41">
        <v>40</v>
      </c>
      <c r="H1691" t="b">
        <f>COUNTIFS(tblCostChecklist[RequirementID],tblCost[[#This Row],[RequirementID]],tblCostChecklist[PlayerPaid],TRUE)&gt;0</f>
        <v>0</v>
      </c>
      <c r="I1691" s="41">
        <f>COUNTIF(tblCost[TargetID],tblCost[[#This Row],[TargetID]])</f>
        <v>9</v>
      </c>
      <c r="J1691" s="41">
        <f>COUNTIFS(tblCost[TargetID],tblCost[[#This Row],[TargetID]],tblCost[PlayerPaid],TRUE)</f>
        <v>0</v>
      </c>
      <c r="K1691" s="41">
        <f>tblCost[[#This Row],[TargetRequirements]]-tblCost[[#This Row],[CompletedRequirements]]</f>
        <v>9</v>
      </c>
      <c r="L1691" s="41" t="b">
        <f>tblCost[[#This Row],[RemainingRequirements]]=0</f>
        <v>0</v>
      </c>
      <c r="M1691" s="43">
        <f>IF(tblCost[[#This Row],[TargetRequirements]]=0,0,tblCost[[#This Row],[CompletedRequirements]]/tblCost[[#This Row],[TargetRequirements]])</f>
        <v>0</v>
      </c>
    </row>
    <row r="1692" spans="1:13">
      <c r="A1692" s="41" t="s">
        <v>5329</v>
      </c>
      <c r="B1692" s="41" t="str">
        <f>_xlfn.TEXTAFTER(_xlfn.TEXTBEFORE(tblCost[[#This Row],[RequirementID]],".",-2),"cost.")</f>
        <v>collection.tavern@2</v>
      </c>
      <c r="C1692" s="41" t="str">
        <f>_xlfn.XLOOKUP(tblCost[[#This Row],[TargetID]],tblTargets[TargetID],tblTargets[DisplayName],"")</f>
        <v>Tavern Lv 2</v>
      </c>
      <c r="D1692" s="41" t="str">
        <f>_xlfn.XLOOKUP(tblCost[[#This Row],[TargetID]],tblTargets[TargetID],tblTargets[TargetType],"")</f>
        <v>COLLECTION</v>
      </c>
      <c r="E1692" s="41" t="s">
        <v>1821</v>
      </c>
      <c r="F1692" s="62" t="str">
        <f>RIGHT(tblCost[[#This Row],[RequirementID]],1)</f>
        <v>1</v>
      </c>
      <c r="G1692" s="41">
        <v>20</v>
      </c>
      <c r="H1692" t="b">
        <f>COUNTIFS(tblCostChecklist[RequirementID],tblCost[[#This Row],[RequirementID]],tblCostChecklist[PlayerPaid],TRUE)&gt;0</f>
        <v>0</v>
      </c>
      <c r="I1692" s="41">
        <f>COUNTIF(tblCost[TargetID],tblCost[[#This Row],[TargetID]])</f>
        <v>9</v>
      </c>
      <c r="J1692" s="41">
        <f>COUNTIFS(tblCost[TargetID],tblCost[[#This Row],[TargetID]],tblCost[PlayerPaid],TRUE)</f>
        <v>0</v>
      </c>
      <c r="K1692" s="41">
        <f>tblCost[[#This Row],[TargetRequirements]]-tblCost[[#This Row],[CompletedRequirements]]</f>
        <v>9</v>
      </c>
      <c r="L1692" s="41" t="b">
        <f>tblCost[[#This Row],[RemainingRequirements]]=0</f>
        <v>0</v>
      </c>
      <c r="M1692" s="43">
        <f>IF(tblCost[[#This Row],[TargetRequirements]]=0,0,tblCost[[#This Row],[CompletedRequirements]]/tblCost[[#This Row],[TargetRequirements]])</f>
        <v>0</v>
      </c>
    </row>
    <row r="1693" spans="1:13">
      <c r="A1693" s="41" t="s">
        <v>5330</v>
      </c>
      <c r="B1693" s="41" t="str">
        <f>_xlfn.TEXTAFTER(_xlfn.TEXTBEFORE(tblCost[[#This Row],[RequirementID]],".",-2),"cost.")</f>
        <v>collection.tavern@2</v>
      </c>
      <c r="C1693" s="41" t="str">
        <f>_xlfn.XLOOKUP(tblCost[[#This Row],[TargetID]],tblTargets[TargetID],tblTargets[DisplayName],"")</f>
        <v>Tavern Lv 2</v>
      </c>
      <c r="D1693" s="41" t="str">
        <f>_xlfn.XLOOKUP(tblCost[[#This Row],[TargetID]],tblTargets[TargetID],tblTargets[TargetType],"")</f>
        <v>COLLECTION</v>
      </c>
      <c r="E1693" s="41" t="s">
        <v>704</v>
      </c>
      <c r="F1693" s="62" t="str">
        <f>RIGHT(tblCost[[#This Row],[RequirementID]],1)</f>
        <v>1</v>
      </c>
      <c r="G1693" s="41">
        <v>20</v>
      </c>
      <c r="H1693" t="b">
        <f>COUNTIFS(tblCostChecklist[RequirementID],tblCost[[#This Row],[RequirementID]],tblCostChecklist[PlayerPaid],TRUE)&gt;0</f>
        <v>0</v>
      </c>
      <c r="I1693" s="41">
        <f>COUNTIF(tblCost[TargetID],tblCost[[#This Row],[TargetID]])</f>
        <v>9</v>
      </c>
      <c r="J1693" s="41">
        <f>COUNTIFS(tblCost[TargetID],tblCost[[#This Row],[TargetID]],tblCost[PlayerPaid],TRUE)</f>
        <v>0</v>
      </c>
      <c r="K1693" s="41">
        <f>tblCost[[#This Row],[TargetRequirements]]-tblCost[[#This Row],[CompletedRequirements]]</f>
        <v>9</v>
      </c>
      <c r="L1693" s="41" t="b">
        <f>tblCost[[#This Row],[RemainingRequirements]]=0</f>
        <v>0</v>
      </c>
      <c r="M1693" s="43">
        <f>IF(tblCost[[#This Row],[TargetRequirements]]=0,0,tblCost[[#This Row],[CompletedRequirements]]/tblCost[[#This Row],[TargetRequirements]])</f>
        <v>0</v>
      </c>
    </row>
    <row r="1694" spans="1:13">
      <c r="A1694" s="41" t="s">
        <v>5331</v>
      </c>
      <c r="B1694" s="41" t="str">
        <f>_xlfn.TEXTAFTER(_xlfn.TEXTBEFORE(tblCost[[#This Row],[RequirementID]],".",-2),"cost.")</f>
        <v>collection.tavern@2</v>
      </c>
      <c r="C1694" s="41" t="str">
        <f>_xlfn.XLOOKUP(tblCost[[#This Row],[TargetID]],tblTargets[TargetID],tblTargets[DisplayName],"")</f>
        <v>Tavern Lv 2</v>
      </c>
      <c r="D1694" s="41" t="str">
        <f>_xlfn.XLOOKUP(tblCost[[#This Row],[TargetID]],tblTargets[TargetID],tblTargets[TargetType],"")</f>
        <v>COLLECTION</v>
      </c>
      <c r="E1694" s="41" t="s">
        <v>1839</v>
      </c>
      <c r="F1694" s="62" t="str">
        <f>RIGHT(tblCost[[#This Row],[RequirementID]],1)</f>
        <v>1</v>
      </c>
      <c r="G1694" s="41">
        <v>20</v>
      </c>
      <c r="H1694" t="b">
        <f>COUNTIFS(tblCostChecklist[RequirementID],tblCost[[#This Row],[RequirementID]],tblCostChecklist[PlayerPaid],TRUE)&gt;0</f>
        <v>0</v>
      </c>
      <c r="I1694" s="41">
        <f>COUNTIF(tblCost[TargetID],tblCost[[#This Row],[TargetID]])</f>
        <v>9</v>
      </c>
      <c r="J1694" s="41">
        <f>COUNTIFS(tblCost[TargetID],tblCost[[#This Row],[TargetID]],tblCost[PlayerPaid],TRUE)</f>
        <v>0</v>
      </c>
      <c r="K1694" s="41">
        <f>tblCost[[#This Row],[TargetRequirements]]-tblCost[[#This Row],[CompletedRequirements]]</f>
        <v>9</v>
      </c>
      <c r="L1694" s="41" t="b">
        <f>tblCost[[#This Row],[RemainingRequirements]]=0</f>
        <v>0</v>
      </c>
      <c r="M1694" s="43">
        <f>IF(tblCost[[#This Row],[TargetRequirements]]=0,0,tblCost[[#This Row],[CompletedRequirements]]/tblCost[[#This Row],[TargetRequirements]])</f>
        <v>0</v>
      </c>
    </row>
    <row r="1695" spans="1:13">
      <c r="A1695" s="41" t="s">
        <v>5332</v>
      </c>
      <c r="B1695" s="41" t="str">
        <f>_xlfn.TEXTAFTER(_xlfn.TEXTBEFORE(tblCost[[#This Row],[RequirementID]],".",-2),"cost.")</f>
        <v>collection.tavern@2</v>
      </c>
      <c r="C1695" s="41" t="str">
        <f>_xlfn.XLOOKUP(tblCost[[#This Row],[TargetID]],tblTargets[TargetID],tblTargets[DisplayName],"")</f>
        <v>Tavern Lv 2</v>
      </c>
      <c r="D1695" s="41" t="str">
        <f>_xlfn.XLOOKUP(tblCost[[#This Row],[TargetID]],tblTargets[TargetID],tblTargets[TargetType],"")</f>
        <v>COLLECTION</v>
      </c>
      <c r="E1695" s="41" t="s">
        <v>718</v>
      </c>
      <c r="F1695" s="62" t="str">
        <f>RIGHT(tblCost[[#This Row],[RequirementID]],1)</f>
        <v>1</v>
      </c>
      <c r="G1695" s="41">
        <v>20</v>
      </c>
      <c r="H1695" t="b">
        <f>COUNTIFS(tblCostChecklist[RequirementID],tblCost[[#This Row],[RequirementID]],tblCostChecklist[PlayerPaid],TRUE)&gt;0</f>
        <v>0</v>
      </c>
      <c r="I1695" s="41">
        <f>COUNTIF(tblCost[TargetID],tblCost[[#This Row],[TargetID]])</f>
        <v>9</v>
      </c>
      <c r="J1695" s="41">
        <f>COUNTIFS(tblCost[TargetID],tblCost[[#This Row],[TargetID]],tblCost[PlayerPaid],TRUE)</f>
        <v>0</v>
      </c>
      <c r="K1695" s="41">
        <f>tblCost[[#This Row],[TargetRequirements]]-tblCost[[#This Row],[CompletedRequirements]]</f>
        <v>9</v>
      </c>
      <c r="L1695" s="41" t="b">
        <f>tblCost[[#This Row],[RemainingRequirements]]=0</f>
        <v>0</v>
      </c>
      <c r="M1695" s="43">
        <f>IF(tblCost[[#This Row],[TargetRequirements]]=0,0,tblCost[[#This Row],[CompletedRequirements]]/tblCost[[#This Row],[TargetRequirements]])</f>
        <v>0</v>
      </c>
    </row>
    <row r="1696" spans="1:13">
      <c r="A1696" s="41" t="s">
        <v>5333</v>
      </c>
      <c r="B1696" s="41" t="str">
        <f>_xlfn.TEXTAFTER(_xlfn.TEXTBEFORE(tblCost[[#This Row],[RequirementID]],".",-2),"cost.")</f>
        <v>collection.tavern@2</v>
      </c>
      <c r="C1696" s="41" t="str">
        <f>_xlfn.XLOOKUP(tblCost[[#This Row],[TargetID]],tblTargets[TargetID],tblTargets[DisplayName],"")</f>
        <v>Tavern Lv 2</v>
      </c>
      <c r="D1696" s="41" t="str">
        <f>_xlfn.XLOOKUP(tblCost[[#This Row],[TargetID]],tblTargets[TargetID],tblTargets[TargetType],"")</f>
        <v>COLLECTION</v>
      </c>
      <c r="E1696" s="41" t="s">
        <v>1848</v>
      </c>
      <c r="F1696" s="62" t="str">
        <f>RIGHT(tblCost[[#This Row],[RequirementID]],1)</f>
        <v>1</v>
      </c>
      <c r="G1696" s="41">
        <v>20</v>
      </c>
      <c r="H1696" t="b">
        <f>COUNTIFS(tblCostChecklist[RequirementID],tblCost[[#This Row],[RequirementID]],tblCostChecklist[PlayerPaid],TRUE)&gt;0</f>
        <v>0</v>
      </c>
      <c r="I1696" s="41">
        <f>COUNTIF(tblCost[TargetID],tblCost[[#This Row],[TargetID]])</f>
        <v>9</v>
      </c>
      <c r="J1696" s="41">
        <f>COUNTIFS(tblCost[TargetID],tblCost[[#This Row],[TargetID]],tblCost[PlayerPaid],TRUE)</f>
        <v>0</v>
      </c>
      <c r="K1696" s="41">
        <f>tblCost[[#This Row],[TargetRequirements]]-tblCost[[#This Row],[CompletedRequirements]]</f>
        <v>9</v>
      </c>
      <c r="L1696" s="41" t="b">
        <f>tblCost[[#This Row],[RemainingRequirements]]=0</f>
        <v>0</v>
      </c>
      <c r="M1696" s="43">
        <f>IF(tblCost[[#This Row],[TargetRequirements]]=0,0,tblCost[[#This Row],[CompletedRequirements]]/tblCost[[#This Row],[TargetRequirements]])</f>
        <v>0</v>
      </c>
    </row>
    <row r="1697" spans="1:13">
      <c r="A1697" s="41" t="s">
        <v>5334</v>
      </c>
      <c r="B1697" s="41" t="str">
        <f>_xlfn.TEXTAFTER(_xlfn.TEXTBEFORE(tblCost[[#This Row],[RequirementID]],".",-2),"cost.")</f>
        <v>collection.treasury_1@1</v>
      </c>
      <c r="C1697" s="41" t="str">
        <f>_xlfn.XLOOKUP(tblCost[[#This Row],[TargetID]],tblTargets[TargetID],tblTargets[DisplayName],"")</f>
        <v>Treasury 1 Lv 1</v>
      </c>
      <c r="D1697" s="41" t="str">
        <f>_xlfn.XLOOKUP(tblCost[[#This Row],[TargetID]],tblTargets[TargetID],tblTargets[TargetType],"")</f>
        <v>COLLECTION</v>
      </c>
      <c r="E1697" s="41" t="s">
        <v>666</v>
      </c>
      <c r="F1697" s="62" t="str">
        <f>RIGHT(tblCost[[#This Row],[RequirementID]],1)</f>
        <v>1</v>
      </c>
      <c r="G1697" s="41">
        <v>1000</v>
      </c>
      <c r="H1697" t="b">
        <f>COUNTIFS(tblCostChecklist[RequirementID],tblCost[[#This Row],[RequirementID]],tblCostChecklist[PlayerPaid],TRUE)&gt;0</f>
        <v>0</v>
      </c>
      <c r="I1697" s="41">
        <f>COUNTIF(tblCost[TargetID],tblCost[[#This Row],[TargetID]])</f>
        <v>8</v>
      </c>
      <c r="J1697" s="41">
        <f>COUNTIFS(tblCost[TargetID],tblCost[[#This Row],[TargetID]],tblCost[PlayerPaid],TRUE)</f>
        <v>0</v>
      </c>
      <c r="K1697" s="41">
        <f>tblCost[[#This Row],[TargetRequirements]]-tblCost[[#This Row],[CompletedRequirements]]</f>
        <v>8</v>
      </c>
      <c r="L1697" s="41" t="b">
        <f>tblCost[[#This Row],[RemainingRequirements]]=0</f>
        <v>0</v>
      </c>
      <c r="M1697" s="43">
        <f>IF(tblCost[[#This Row],[TargetRequirements]]=0,0,tblCost[[#This Row],[CompletedRequirements]]/tblCost[[#This Row],[TargetRequirements]])</f>
        <v>0</v>
      </c>
    </row>
    <row r="1698" spans="1:13">
      <c r="A1698" s="41" t="s">
        <v>5335</v>
      </c>
      <c r="B1698" s="41" t="str">
        <f>_xlfn.TEXTAFTER(_xlfn.TEXTBEFORE(tblCost[[#This Row],[RequirementID]],".",-2),"cost.")</f>
        <v>collection.treasury_1@1</v>
      </c>
      <c r="C1698" s="41" t="str">
        <f>_xlfn.XLOOKUP(tblCost[[#This Row],[TargetID]],tblTargets[TargetID],tblTargets[DisplayName],"")</f>
        <v>Treasury 1 Lv 1</v>
      </c>
      <c r="D1698" s="41" t="str">
        <f>_xlfn.XLOOKUP(tblCost[[#This Row],[TargetID]],tblTargets[TargetID],tblTargets[TargetType],"")</f>
        <v>COLLECTION</v>
      </c>
      <c r="E1698" s="41" t="s">
        <v>666</v>
      </c>
      <c r="F1698" s="62" t="str">
        <f>RIGHT(tblCost[[#This Row],[RequirementID]],1)</f>
        <v>2</v>
      </c>
      <c r="G1698" s="41">
        <v>1000</v>
      </c>
      <c r="H1698" t="b">
        <f>COUNTIFS(tblCostChecklist[RequirementID],tblCost[[#This Row],[RequirementID]],tblCostChecklist[PlayerPaid],TRUE)&gt;0</f>
        <v>0</v>
      </c>
      <c r="I1698" s="41">
        <f>COUNTIF(tblCost[TargetID],tblCost[[#This Row],[TargetID]])</f>
        <v>8</v>
      </c>
      <c r="J1698" s="41">
        <f>COUNTIFS(tblCost[TargetID],tblCost[[#This Row],[TargetID]],tblCost[PlayerPaid],TRUE)</f>
        <v>0</v>
      </c>
      <c r="K1698" s="41">
        <f>tblCost[[#This Row],[TargetRequirements]]-tblCost[[#This Row],[CompletedRequirements]]</f>
        <v>8</v>
      </c>
      <c r="L1698" s="41" t="b">
        <f>tblCost[[#This Row],[RemainingRequirements]]=0</f>
        <v>0</v>
      </c>
      <c r="M1698" s="43">
        <f>IF(tblCost[[#This Row],[TargetRequirements]]=0,0,tblCost[[#This Row],[CompletedRequirements]]/tblCost[[#This Row],[TargetRequirements]])</f>
        <v>0</v>
      </c>
    </row>
    <row r="1699" spans="1:13">
      <c r="A1699" s="41" t="s">
        <v>5336</v>
      </c>
      <c r="B1699" s="41" t="str">
        <f>_xlfn.TEXTAFTER(_xlfn.TEXTBEFORE(tblCost[[#This Row],[RequirementID]],".",-2),"cost.")</f>
        <v>collection.treasury_1@1</v>
      </c>
      <c r="C1699" s="41" t="str">
        <f>_xlfn.XLOOKUP(tblCost[[#This Row],[TargetID]],tblTargets[TargetID],tblTargets[DisplayName],"")</f>
        <v>Treasury 1 Lv 1</v>
      </c>
      <c r="D1699" s="41" t="str">
        <f>_xlfn.XLOOKUP(tblCost[[#This Row],[TargetID]],tblTargets[TargetID],tblTargets[TargetType],"")</f>
        <v>COLLECTION</v>
      </c>
      <c r="E1699" s="41" t="s">
        <v>667</v>
      </c>
      <c r="F1699" s="62" t="str">
        <f>RIGHT(tblCost[[#This Row],[RequirementID]],1)</f>
        <v>1</v>
      </c>
      <c r="G1699" s="41">
        <v>250</v>
      </c>
      <c r="H1699" t="b">
        <f>COUNTIFS(tblCostChecklist[RequirementID],tblCost[[#This Row],[RequirementID]],tblCostChecklist[PlayerPaid],TRUE)&gt;0</f>
        <v>0</v>
      </c>
      <c r="I1699" s="41">
        <f>COUNTIF(tblCost[TargetID],tblCost[[#This Row],[TargetID]])</f>
        <v>8</v>
      </c>
      <c r="J1699" s="41">
        <f>COUNTIFS(tblCost[TargetID],tblCost[[#This Row],[TargetID]],tblCost[PlayerPaid],TRUE)</f>
        <v>0</v>
      </c>
      <c r="K1699" s="41">
        <f>tblCost[[#This Row],[TargetRequirements]]-tblCost[[#This Row],[CompletedRequirements]]</f>
        <v>8</v>
      </c>
      <c r="L1699" s="41" t="b">
        <f>tblCost[[#This Row],[RemainingRequirements]]=0</f>
        <v>0</v>
      </c>
      <c r="M1699" s="43">
        <f>IF(tblCost[[#This Row],[TargetRequirements]]=0,0,tblCost[[#This Row],[CompletedRequirements]]/tblCost[[#This Row],[TargetRequirements]])</f>
        <v>0</v>
      </c>
    </row>
    <row r="1700" spans="1:13">
      <c r="A1700" s="41" t="s">
        <v>5337</v>
      </c>
      <c r="B1700" s="41" t="str">
        <f>_xlfn.TEXTAFTER(_xlfn.TEXTBEFORE(tblCost[[#This Row],[RequirementID]],".",-2),"cost.")</f>
        <v>collection.treasury_1@1</v>
      </c>
      <c r="C1700" s="41" t="str">
        <f>_xlfn.XLOOKUP(tblCost[[#This Row],[TargetID]],tblTargets[TargetID],tblTargets[DisplayName],"")</f>
        <v>Treasury 1 Lv 1</v>
      </c>
      <c r="D1700" s="41" t="str">
        <f>_xlfn.XLOOKUP(tblCost[[#This Row],[TargetID]],tblTargets[TargetID],tblTargets[TargetType],"")</f>
        <v>COLLECTION</v>
      </c>
      <c r="E1700" s="41" t="s">
        <v>1803</v>
      </c>
      <c r="F1700" s="62" t="str">
        <f>RIGHT(tblCost[[#This Row],[RequirementID]],1)</f>
        <v>1</v>
      </c>
      <c r="G1700" s="41">
        <v>250</v>
      </c>
      <c r="H1700" t="b">
        <f>COUNTIFS(tblCostChecklist[RequirementID],tblCost[[#This Row],[RequirementID]],tblCostChecklist[PlayerPaid],TRUE)&gt;0</f>
        <v>0</v>
      </c>
      <c r="I1700" s="41">
        <f>COUNTIF(tblCost[TargetID],tblCost[[#This Row],[TargetID]])</f>
        <v>8</v>
      </c>
      <c r="J1700" s="41">
        <f>COUNTIFS(tblCost[TargetID],tblCost[[#This Row],[TargetID]],tblCost[PlayerPaid],TRUE)</f>
        <v>0</v>
      </c>
      <c r="K1700" s="41">
        <f>tblCost[[#This Row],[TargetRequirements]]-tblCost[[#This Row],[CompletedRequirements]]</f>
        <v>8</v>
      </c>
      <c r="L1700" s="41" t="b">
        <f>tblCost[[#This Row],[RemainingRequirements]]=0</f>
        <v>0</v>
      </c>
      <c r="M1700" s="43">
        <f>IF(tblCost[[#This Row],[TargetRequirements]]=0,0,tblCost[[#This Row],[CompletedRequirements]]/tblCost[[#This Row],[TargetRequirements]])</f>
        <v>0</v>
      </c>
    </row>
    <row r="1701" spans="1:13">
      <c r="A1701" s="41" t="s">
        <v>5338</v>
      </c>
      <c r="B1701" s="41" t="str">
        <f>_xlfn.TEXTAFTER(_xlfn.TEXTBEFORE(tblCost[[#This Row],[RequirementID]],".",-2),"cost.")</f>
        <v>collection.treasury_1@1</v>
      </c>
      <c r="C1701" s="41" t="str">
        <f>_xlfn.XLOOKUP(tblCost[[#This Row],[TargetID]],tblTargets[TargetID],tblTargets[DisplayName],"")</f>
        <v>Treasury 1 Lv 1</v>
      </c>
      <c r="D1701" s="41" t="str">
        <f>_xlfn.XLOOKUP(tblCost[[#This Row],[TargetID]],tblTargets[TargetID],tblTargets[TargetType],"")</f>
        <v>COLLECTION</v>
      </c>
      <c r="E1701" s="41" t="s">
        <v>680</v>
      </c>
      <c r="F1701" s="62" t="str">
        <f>RIGHT(tblCost[[#This Row],[RequirementID]],1)</f>
        <v>1</v>
      </c>
      <c r="G1701" s="41">
        <v>10</v>
      </c>
      <c r="H1701" t="b">
        <f>COUNTIFS(tblCostChecklist[RequirementID],tblCost[[#This Row],[RequirementID]],tblCostChecklist[PlayerPaid],TRUE)&gt;0</f>
        <v>0</v>
      </c>
      <c r="I1701" s="41">
        <f>COUNTIF(tblCost[TargetID],tblCost[[#This Row],[TargetID]])</f>
        <v>8</v>
      </c>
      <c r="J1701" s="41">
        <f>COUNTIFS(tblCost[TargetID],tblCost[[#This Row],[TargetID]],tblCost[PlayerPaid],TRUE)</f>
        <v>0</v>
      </c>
      <c r="K1701" s="41">
        <f>tblCost[[#This Row],[TargetRequirements]]-tblCost[[#This Row],[CompletedRequirements]]</f>
        <v>8</v>
      </c>
      <c r="L1701" s="41" t="b">
        <f>tblCost[[#This Row],[RemainingRequirements]]=0</f>
        <v>0</v>
      </c>
      <c r="M1701" s="43">
        <f>IF(tblCost[[#This Row],[TargetRequirements]]=0,0,tblCost[[#This Row],[CompletedRequirements]]/tblCost[[#This Row],[TargetRequirements]])</f>
        <v>0</v>
      </c>
    </row>
    <row r="1702" spans="1:13">
      <c r="A1702" s="41" t="s">
        <v>5339</v>
      </c>
      <c r="B1702" s="41" t="str">
        <f>_xlfn.TEXTAFTER(_xlfn.TEXTBEFORE(tblCost[[#This Row],[RequirementID]],".",-2),"cost.")</f>
        <v>collection.treasury_1@1</v>
      </c>
      <c r="C1702" s="41" t="str">
        <f>_xlfn.XLOOKUP(tblCost[[#This Row],[TargetID]],tblTargets[TargetID],tblTargets[DisplayName],"")</f>
        <v>Treasury 1 Lv 1</v>
      </c>
      <c r="D1702" s="41" t="str">
        <f>_xlfn.XLOOKUP(tblCost[[#This Row],[TargetID]],tblTargets[TargetID],tblTargets[TargetType],"")</f>
        <v>COLLECTION</v>
      </c>
      <c r="E1702" s="41" t="s">
        <v>699</v>
      </c>
      <c r="F1702" s="62" t="str">
        <f>RIGHT(tblCost[[#This Row],[RequirementID]],1)</f>
        <v>1</v>
      </c>
      <c r="G1702" s="41">
        <v>5</v>
      </c>
      <c r="H1702" t="b">
        <f>COUNTIFS(tblCostChecklist[RequirementID],tblCost[[#This Row],[RequirementID]],tblCostChecklist[PlayerPaid],TRUE)&gt;0</f>
        <v>0</v>
      </c>
      <c r="I1702" s="41">
        <f>COUNTIF(tblCost[TargetID],tblCost[[#This Row],[TargetID]])</f>
        <v>8</v>
      </c>
      <c r="J1702" s="41">
        <f>COUNTIFS(tblCost[TargetID],tblCost[[#This Row],[TargetID]],tblCost[PlayerPaid],TRUE)</f>
        <v>0</v>
      </c>
      <c r="K1702" s="41">
        <f>tblCost[[#This Row],[TargetRequirements]]-tblCost[[#This Row],[CompletedRequirements]]</f>
        <v>8</v>
      </c>
      <c r="L1702" s="41" t="b">
        <f>tblCost[[#This Row],[RemainingRequirements]]=0</f>
        <v>0</v>
      </c>
      <c r="M1702" s="43">
        <f>IF(tblCost[[#This Row],[TargetRequirements]]=0,0,tblCost[[#This Row],[CompletedRequirements]]/tblCost[[#This Row],[TargetRequirements]])</f>
        <v>0</v>
      </c>
    </row>
    <row r="1703" spans="1:13">
      <c r="A1703" s="41" t="s">
        <v>5340</v>
      </c>
      <c r="B1703" s="41" t="str">
        <f>_xlfn.TEXTAFTER(_xlfn.TEXTBEFORE(tblCost[[#This Row],[RequirementID]],".",-2),"cost.")</f>
        <v>collection.treasury_1@1</v>
      </c>
      <c r="C1703" s="41" t="str">
        <f>_xlfn.XLOOKUP(tblCost[[#This Row],[TargetID]],tblTargets[TargetID],tblTargets[DisplayName],"")</f>
        <v>Treasury 1 Lv 1</v>
      </c>
      <c r="D1703" s="41" t="str">
        <f>_xlfn.XLOOKUP(tblCost[[#This Row],[TargetID]],tblTargets[TargetID],tblTargets[TargetType],"")</f>
        <v>COLLECTION</v>
      </c>
      <c r="E1703" s="41" t="s">
        <v>708</v>
      </c>
      <c r="F1703" s="62" t="str">
        <f>RIGHT(tblCost[[#This Row],[RequirementID]],1)</f>
        <v>1</v>
      </c>
      <c r="G1703" s="41">
        <v>5</v>
      </c>
      <c r="H1703" t="b">
        <f>COUNTIFS(tblCostChecklist[RequirementID],tblCost[[#This Row],[RequirementID]],tblCostChecklist[PlayerPaid],TRUE)&gt;0</f>
        <v>0</v>
      </c>
      <c r="I1703" s="41">
        <f>COUNTIF(tblCost[TargetID],tblCost[[#This Row],[TargetID]])</f>
        <v>8</v>
      </c>
      <c r="J1703" s="41">
        <f>COUNTIFS(tblCost[TargetID],tblCost[[#This Row],[TargetID]],tblCost[PlayerPaid],TRUE)</f>
        <v>0</v>
      </c>
      <c r="K1703" s="41">
        <f>tblCost[[#This Row],[TargetRequirements]]-tblCost[[#This Row],[CompletedRequirements]]</f>
        <v>8</v>
      </c>
      <c r="L1703" s="41" t="b">
        <f>tblCost[[#This Row],[RemainingRequirements]]=0</f>
        <v>0</v>
      </c>
      <c r="M1703" s="43">
        <f>IF(tblCost[[#This Row],[TargetRequirements]]=0,0,tblCost[[#This Row],[CompletedRequirements]]/tblCost[[#This Row],[TargetRequirements]])</f>
        <v>0</v>
      </c>
    </row>
    <row r="1704" spans="1:13">
      <c r="A1704" s="41" t="s">
        <v>5341</v>
      </c>
      <c r="B1704" s="41" t="str">
        <f>_xlfn.TEXTAFTER(_xlfn.TEXTBEFORE(tblCost[[#This Row],[RequirementID]],".",-2),"cost.")</f>
        <v>collection.treasury_1@1</v>
      </c>
      <c r="C1704" s="41" t="str">
        <f>_xlfn.XLOOKUP(tblCost[[#This Row],[TargetID]],tblTargets[TargetID],tblTargets[DisplayName],"")</f>
        <v>Treasury 1 Lv 1</v>
      </c>
      <c r="D1704" s="41" t="str">
        <f>_xlfn.XLOOKUP(tblCost[[#This Row],[TargetID]],tblTargets[TargetID],tblTargets[TargetType],"")</f>
        <v>COLLECTION</v>
      </c>
      <c r="E1704" s="41" t="s">
        <v>721</v>
      </c>
      <c r="F1704" s="62" t="str">
        <f>RIGHT(tblCost[[#This Row],[RequirementID]],1)</f>
        <v>1</v>
      </c>
      <c r="G1704" s="41">
        <v>10</v>
      </c>
      <c r="H1704" t="b">
        <f>COUNTIFS(tblCostChecklist[RequirementID],tblCost[[#This Row],[RequirementID]],tblCostChecklist[PlayerPaid],TRUE)&gt;0</f>
        <v>0</v>
      </c>
      <c r="I1704" s="41">
        <f>COUNTIF(tblCost[TargetID],tblCost[[#This Row],[TargetID]])</f>
        <v>8</v>
      </c>
      <c r="J1704" s="41">
        <f>COUNTIFS(tblCost[TargetID],tblCost[[#This Row],[TargetID]],tblCost[PlayerPaid],TRUE)</f>
        <v>0</v>
      </c>
      <c r="K1704" s="41">
        <f>tblCost[[#This Row],[TargetRequirements]]-tblCost[[#This Row],[CompletedRequirements]]</f>
        <v>8</v>
      </c>
      <c r="L1704" s="41" t="b">
        <f>tblCost[[#This Row],[RemainingRequirements]]=0</f>
        <v>0</v>
      </c>
      <c r="M1704" s="43">
        <f>IF(tblCost[[#This Row],[TargetRequirements]]=0,0,tblCost[[#This Row],[CompletedRequirements]]/tblCost[[#This Row],[TargetRequirements]])</f>
        <v>0</v>
      </c>
    </row>
    <row r="1705" spans="1:13">
      <c r="A1705" s="41" t="s">
        <v>5342</v>
      </c>
      <c r="B1705" s="41" t="str">
        <f>_xlfn.TEXTAFTER(_xlfn.TEXTBEFORE(tblCost[[#This Row],[RequirementID]],".",-2),"cost.")</f>
        <v>collection.treasury_1@2</v>
      </c>
      <c r="C1705" s="41" t="str">
        <f>_xlfn.XLOOKUP(tblCost[[#This Row],[TargetID]],tblTargets[TargetID],tblTargets[DisplayName],"")</f>
        <v>Treasury 1 Lv 2</v>
      </c>
      <c r="D1705" s="41" t="str">
        <f>_xlfn.XLOOKUP(tblCost[[#This Row],[TargetID]],tblTargets[TargetID],tblTargets[TargetType],"")</f>
        <v>COLLECTION</v>
      </c>
      <c r="E1705" s="41" t="s">
        <v>666</v>
      </c>
      <c r="F1705" s="62" t="str">
        <f>RIGHT(tblCost[[#This Row],[RequirementID]],1)</f>
        <v>1</v>
      </c>
      <c r="G1705" s="41">
        <v>2000</v>
      </c>
      <c r="H1705" t="b">
        <f>COUNTIFS(tblCostChecklist[RequirementID],tblCost[[#This Row],[RequirementID]],tblCostChecklist[PlayerPaid],TRUE)&gt;0</f>
        <v>0</v>
      </c>
      <c r="I1705" s="41">
        <f>COUNTIF(tblCost[TargetID],tblCost[[#This Row],[TargetID]])</f>
        <v>8</v>
      </c>
      <c r="J1705" s="41">
        <f>COUNTIFS(tblCost[TargetID],tblCost[[#This Row],[TargetID]],tblCost[PlayerPaid],TRUE)</f>
        <v>0</v>
      </c>
      <c r="K1705" s="41">
        <f>tblCost[[#This Row],[TargetRequirements]]-tblCost[[#This Row],[CompletedRequirements]]</f>
        <v>8</v>
      </c>
      <c r="L1705" s="41" t="b">
        <f>tblCost[[#This Row],[RemainingRequirements]]=0</f>
        <v>0</v>
      </c>
      <c r="M1705" s="43">
        <f>IF(tblCost[[#This Row],[TargetRequirements]]=0,0,tblCost[[#This Row],[CompletedRequirements]]/tblCost[[#This Row],[TargetRequirements]])</f>
        <v>0</v>
      </c>
    </row>
    <row r="1706" spans="1:13">
      <c r="A1706" s="41" t="s">
        <v>5343</v>
      </c>
      <c r="B1706" s="41" t="str">
        <f>_xlfn.TEXTAFTER(_xlfn.TEXTBEFORE(tblCost[[#This Row],[RequirementID]],".",-2),"cost.")</f>
        <v>collection.treasury_1@2</v>
      </c>
      <c r="C1706" s="41" t="str">
        <f>_xlfn.XLOOKUP(tblCost[[#This Row],[TargetID]],tblTargets[TargetID],tblTargets[DisplayName],"")</f>
        <v>Treasury 1 Lv 2</v>
      </c>
      <c r="D1706" s="41" t="str">
        <f>_xlfn.XLOOKUP(tblCost[[#This Row],[TargetID]],tblTargets[TargetID],tblTargets[TargetType],"")</f>
        <v>COLLECTION</v>
      </c>
      <c r="E1706" s="41" t="s">
        <v>666</v>
      </c>
      <c r="F1706" s="62" t="str">
        <f>RIGHT(tblCost[[#This Row],[RequirementID]],1)</f>
        <v>2</v>
      </c>
      <c r="G1706" s="41">
        <v>2000</v>
      </c>
      <c r="H1706" t="b">
        <f>COUNTIFS(tblCostChecklist[RequirementID],tblCost[[#This Row],[RequirementID]],tblCostChecklist[PlayerPaid],TRUE)&gt;0</f>
        <v>0</v>
      </c>
      <c r="I1706" s="41">
        <f>COUNTIF(tblCost[TargetID],tblCost[[#This Row],[TargetID]])</f>
        <v>8</v>
      </c>
      <c r="J1706" s="41">
        <f>COUNTIFS(tblCost[TargetID],tblCost[[#This Row],[TargetID]],tblCost[PlayerPaid],TRUE)</f>
        <v>0</v>
      </c>
      <c r="K1706" s="41">
        <f>tblCost[[#This Row],[TargetRequirements]]-tblCost[[#This Row],[CompletedRequirements]]</f>
        <v>8</v>
      </c>
      <c r="L1706" s="41" t="b">
        <f>tblCost[[#This Row],[RemainingRequirements]]=0</f>
        <v>0</v>
      </c>
      <c r="M1706" s="43">
        <f>IF(tblCost[[#This Row],[TargetRequirements]]=0,0,tblCost[[#This Row],[CompletedRequirements]]/tblCost[[#This Row],[TargetRequirements]])</f>
        <v>0</v>
      </c>
    </row>
    <row r="1707" spans="1:13">
      <c r="A1707" s="41" t="s">
        <v>5344</v>
      </c>
      <c r="B1707" s="41" t="str">
        <f>_xlfn.TEXTAFTER(_xlfn.TEXTBEFORE(tblCost[[#This Row],[RequirementID]],".",-2),"cost.")</f>
        <v>collection.treasury_1@2</v>
      </c>
      <c r="C1707" s="41" t="str">
        <f>_xlfn.XLOOKUP(tblCost[[#This Row],[TargetID]],tblTargets[TargetID],tblTargets[DisplayName],"")</f>
        <v>Treasury 1 Lv 2</v>
      </c>
      <c r="D1707" s="41" t="str">
        <f>_xlfn.XLOOKUP(tblCost[[#This Row],[TargetID]],tblTargets[TargetID],tblTargets[TargetType],"")</f>
        <v>COLLECTION</v>
      </c>
      <c r="E1707" s="41" t="s">
        <v>667</v>
      </c>
      <c r="F1707" s="62" t="str">
        <f>RIGHT(tblCost[[#This Row],[RequirementID]],1)</f>
        <v>1</v>
      </c>
      <c r="G1707" s="41">
        <v>500</v>
      </c>
      <c r="H1707" t="b">
        <f>COUNTIFS(tblCostChecklist[RequirementID],tblCost[[#This Row],[RequirementID]],tblCostChecklist[PlayerPaid],TRUE)&gt;0</f>
        <v>0</v>
      </c>
      <c r="I1707" s="41">
        <f>COUNTIF(tblCost[TargetID],tblCost[[#This Row],[TargetID]])</f>
        <v>8</v>
      </c>
      <c r="J1707" s="41">
        <f>COUNTIFS(tblCost[TargetID],tblCost[[#This Row],[TargetID]],tblCost[PlayerPaid],TRUE)</f>
        <v>0</v>
      </c>
      <c r="K1707" s="41">
        <f>tblCost[[#This Row],[TargetRequirements]]-tblCost[[#This Row],[CompletedRequirements]]</f>
        <v>8</v>
      </c>
      <c r="L1707" s="41" t="b">
        <f>tblCost[[#This Row],[RemainingRequirements]]=0</f>
        <v>0</v>
      </c>
      <c r="M1707" s="43">
        <f>IF(tblCost[[#This Row],[TargetRequirements]]=0,0,tblCost[[#This Row],[CompletedRequirements]]/tblCost[[#This Row],[TargetRequirements]])</f>
        <v>0</v>
      </c>
    </row>
    <row r="1708" spans="1:13">
      <c r="A1708" s="41" t="s">
        <v>5345</v>
      </c>
      <c r="B1708" s="41" t="str">
        <f>_xlfn.TEXTAFTER(_xlfn.TEXTBEFORE(tblCost[[#This Row],[RequirementID]],".",-2),"cost.")</f>
        <v>collection.treasury_1@2</v>
      </c>
      <c r="C1708" s="41" t="str">
        <f>_xlfn.XLOOKUP(tblCost[[#This Row],[TargetID]],tblTargets[TargetID],tblTargets[DisplayName],"")</f>
        <v>Treasury 1 Lv 2</v>
      </c>
      <c r="D1708" s="41" t="str">
        <f>_xlfn.XLOOKUP(tblCost[[#This Row],[TargetID]],tblTargets[TargetID],tblTargets[TargetType],"")</f>
        <v>COLLECTION</v>
      </c>
      <c r="E1708" s="41" t="s">
        <v>1803</v>
      </c>
      <c r="F1708" s="62" t="str">
        <f>RIGHT(tblCost[[#This Row],[RequirementID]],1)</f>
        <v>1</v>
      </c>
      <c r="G1708" s="41">
        <v>500</v>
      </c>
      <c r="H1708" t="b">
        <f>COUNTIFS(tblCostChecklist[RequirementID],tblCost[[#This Row],[RequirementID]],tblCostChecklist[PlayerPaid],TRUE)&gt;0</f>
        <v>0</v>
      </c>
      <c r="I1708" s="41">
        <f>COUNTIF(tblCost[TargetID],tblCost[[#This Row],[TargetID]])</f>
        <v>8</v>
      </c>
      <c r="J1708" s="41">
        <f>COUNTIFS(tblCost[TargetID],tblCost[[#This Row],[TargetID]],tblCost[PlayerPaid],TRUE)</f>
        <v>0</v>
      </c>
      <c r="K1708" s="41">
        <f>tblCost[[#This Row],[TargetRequirements]]-tblCost[[#This Row],[CompletedRequirements]]</f>
        <v>8</v>
      </c>
      <c r="L1708" s="41" t="b">
        <f>tblCost[[#This Row],[RemainingRequirements]]=0</f>
        <v>0</v>
      </c>
      <c r="M1708" s="43">
        <f>IF(tblCost[[#This Row],[TargetRequirements]]=0,0,tblCost[[#This Row],[CompletedRequirements]]/tblCost[[#This Row],[TargetRequirements]])</f>
        <v>0</v>
      </c>
    </row>
    <row r="1709" spans="1:13">
      <c r="A1709" s="41" t="s">
        <v>5346</v>
      </c>
      <c r="B1709" s="41" t="str">
        <f>_xlfn.TEXTAFTER(_xlfn.TEXTBEFORE(tblCost[[#This Row],[RequirementID]],".",-2),"cost.")</f>
        <v>collection.treasury_1@2</v>
      </c>
      <c r="C1709" s="41" t="str">
        <f>_xlfn.XLOOKUP(tblCost[[#This Row],[TargetID]],tblTargets[TargetID],tblTargets[DisplayName],"")</f>
        <v>Treasury 1 Lv 2</v>
      </c>
      <c r="D1709" s="41" t="str">
        <f>_xlfn.XLOOKUP(tblCost[[#This Row],[TargetID]],tblTargets[TargetID],tblTargets[TargetType],"")</f>
        <v>COLLECTION</v>
      </c>
      <c r="E1709" s="41" t="s">
        <v>680</v>
      </c>
      <c r="F1709" s="62" t="str">
        <f>RIGHT(tblCost[[#This Row],[RequirementID]],1)</f>
        <v>1</v>
      </c>
      <c r="G1709" s="41">
        <v>20</v>
      </c>
      <c r="H1709" t="b">
        <f>COUNTIFS(tblCostChecklist[RequirementID],tblCost[[#This Row],[RequirementID]],tblCostChecklist[PlayerPaid],TRUE)&gt;0</f>
        <v>0</v>
      </c>
      <c r="I1709" s="41">
        <f>COUNTIF(tblCost[TargetID],tblCost[[#This Row],[TargetID]])</f>
        <v>8</v>
      </c>
      <c r="J1709" s="41">
        <f>COUNTIFS(tblCost[TargetID],tblCost[[#This Row],[TargetID]],tblCost[PlayerPaid],TRUE)</f>
        <v>0</v>
      </c>
      <c r="K1709" s="41">
        <f>tblCost[[#This Row],[TargetRequirements]]-tblCost[[#This Row],[CompletedRequirements]]</f>
        <v>8</v>
      </c>
      <c r="L1709" s="41" t="b">
        <f>tblCost[[#This Row],[RemainingRequirements]]=0</f>
        <v>0</v>
      </c>
      <c r="M1709" s="43">
        <f>IF(tblCost[[#This Row],[TargetRequirements]]=0,0,tblCost[[#This Row],[CompletedRequirements]]/tblCost[[#This Row],[TargetRequirements]])</f>
        <v>0</v>
      </c>
    </row>
    <row r="1710" spans="1:13">
      <c r="A1710" s="41" t="s">
        <v>5347</v>
      </c>
      <c r="B1710" s="41" t="str">
        <f>_xlfn.TEXTAFTER(_xlfn.TEXTBEFORE(tblCost[[#This Row],[RequirementID]],".",-2),"cost.")</f>
        <v>collection.treasury_1@2</v>
      </c>
      <c r="C1710" s="41" t="str">
        <f>_xlfn.XLOOKUP(tblCost[[#This Row],[TargetID]],tblTargets[TargetID],tblTargets[DisplayName],"")</f>
        <v>Treasury 1 Lv 2</v>
      </c>
      <c r="D1710" s="41" t="str">
        <f>_xlfn.XLOOKUP(tblCost[[#This Row],[TargetID]],tblTargets[TargetID],tblTargets[TargetType],"")</f>
        <v>COLLECTION</v>
      </c>
      <c r="E1710" s="41" t="s">
        <v>699</v>
      </c>
      <c r="F1710" s="62" t="str">
        <f>RIGHT(tblCost[[#This Row],[RequirementID]],1)</f>
        <v>1</v>
      </c>
      <c r="G1710" s="41">
        <v>10</v>
      </c>
      <c r="H1710" t="b">
        <f>COUNTIFS(tblCostChecklist[RequirementID],tblCost[[#This Row],[RequirementID]],tblCostChecklist[PlayerPaid],TRUE)&gt;0</f>
        <v>0</v>
      </c>
      <c r="I1710" s="41">
        <f>COUNTIF(tblCost[TargetID],tblCost[[#This Row],[TargetID]])</f>
        <v>8</v>
      </c>
      <c r="J1710" s="41">
        <f>COUNTIFS(tblCost[TargetID],tblCost[[#This Row],[TargetID]],tblCost[PlayerPaid],TRUE)</f>
        <v>0</v>
      </c>
      <c r="K1710" s="41">
        <f>tblCost[[#This Row],[TargetRequirements]]-tblCost[[#This Row],[CompletedRequirements]]</f>
        <v>8</v>
      </c>
      <c r="L1710" s="41" t="b">
        <f>tblCost[[#This Row],[RemainingRequirements]]=0</f>
        <v>0</v>
      </c>
      <c r="M1710" s="43">
        <f>IF(tblCost[[#This Row],[TargetRequirements]]=0,0,tblCost[[#This Row],[CompletedRequirements]]/tblCost[[#This Row],[TargetRequirements]])</f>
        <v>0</v>
      </c>
    </row>
    <row r="1711" spans="1:13">
      <c r="A1711" s="41" t="s">
        <v>5348</v>
      </c>
      <c r="B1711" s="41" t="str">
        <f>_xlfn.TEXTAFTER(_xlfn.TEXTBEFORE(tblCost[[#This Row],[RequirementID]],".",-2),"cost.")</f>
        <v>collection.treasury_1@2</v>
      </c>
      <c r="C1711" s="41" t="str">
        <f>_xlfn.XLOOKUP(tblCost[[#This Row],[TargetID]],tblTargets[TargetID],tblTargets[DisplayName],"")</f>
        <v>Treasury 1 Lv 2</v>
      </c>
      <c r="D1711" s="41" t="str">
        <f>_xlfn.XLOOKUP(tblCost[[#This Row],[TargetID]],tblTargets[TargetID],tblTargets[TargetType],"")</f>
        <v>COLLECTION</v>
      </c>
      <c r="E1711" s="41" t="s">
        <v>708</v>
      </c>
      <c r="F1711" s="62" t="str">
        <f>RIGHT(tblCost[[#This Row],[RequirementID]],1)</f>
        <v>1</v>
      </c>
      <c r="G1711" s="41">
        <v>10</v>
      </c>
      <c r="H1711" t="b">
        <f>COUNTIFS(tblCostChecklist[RequirementID],tblCost[[#This Row],[RequirementID]],tblCostChecklist[PlayerPaid],TRUE)&gt;0</f>
        <v>0</v>
      </c>
      <c r="I1711" s="41">
        <f>COUNTIF(tblCost[TargetID],tblCost[[#This Row],[TargetID]])</f>
        <v>8</v>
      </c>
      <c r="J1711" s="41">
        <f>COUNTIFS(tblCost[TargetID],tblCost[[#This Row],[TargetID]],tblCost[PlayerPaid],TRUE)</f>
        <v>0</v>
      </c>
      <c r="K1711" s="41">
        <f>tblCost[[#This Row],[TargetRequirements]]-tblCost[[#This Row],[CompletedRequirements]]</f>
        <v>8</v>
      </c>
      <c r="L1711" s="41" t="b">
        <f>tblCost[[#This Row],[RemainingRequirements]]=0</f>
        <v>0</v>
      </c>
      <c r="M1711" s="43">
        <f>IF(tblCost[[#This Row],[TargetRequirements]]=0,0,tblCost[[#This Row],[CompletedRequirements]]/tblCost[[#This Row],[TargetRequirements]])</f>
        <v>0</v>
      </c>
    </row>
    <row r="1712" spans="1:13">
      <c r="A1712" s="41" t="s">
        <v>5349</v>
      </c>
      <c r="B1712" s="41" t="str">
        <f>_xlfn.TEXTAFTER(_xlfn.TEXTBEFORE(tblCost[[#This Row],[RequirementID]],".",-2),"cost.")</f>
        <v>collection.treasury_1@2</v>
      </c>
      <c r="C1712" s="41" t="str">
        <f>_xlfn.XLOOKUP(tblCost[[#This Row],[TargetID]],tblTargets[TargetID],tblTargets[DisplayName],"")</f>
        <v>Treasury 1 Lv 2</v>
      </c>
      <c r="D1712" s="41" t="str">
        <f>_xlfn.XLOOKUP(tblCost[[#This Row],[TargetID]],tblTargets[TargetID],tblTargets[TargetType],"")</f>
        <v>COLLECTION</v>
      </c>
      <c r="E1712" s="41" t="s">
        <v>721</v>
      </c>
      <c r="F1712" s="62" t="str">
        <f>RIGHT(tblCost[[#This Row],[RequirementID]],1)</f>
        <v>1</v>
      </c>
      <c r="G1712" s="41">
        <v>20</v>
      </c>
      <c r="H1712" t="b">
        <f>COUNTIFS(tblCostChecklist[RequirementID],tblCost[[#This Row],[RequirementID]],tblCostChecklist[PlayerPaid],TRUE)&gt;0</f>
        <v>0</v>
      </c>
      <c r="I1712" s="41">
        <f>COUNTIF(tblCost[TargetID],tblCost[[#This Row],[TargetID]])</f>
        <v>8</v>
      </c>
      <c r="J1712" s="41">
        <f>COUNTIFS(tblCost[TargetID],tblCost[[#This Row],[TargetID]],tblCost[PlayerPaid],TRUE)</f>
        <v>0</v>
      </c>
      <c r="K1712" s="41">
        <f>tblCost[[#This Row],[TargetRequirements]]-tblCost[[#This Row],[CompletedRequirements]]</f>
        <v>8</v>
      </c>
      <c r="L1712" s="41" t="b">
        <f>tblCost[[#This Row],[RemainingRequirements]]=0</f>
        <v>0</v>
      </c>
      <c r="M1712" s="43">
        <f>IF(tblCost[[#This Row],[TargetRequirements]]=0,0,tblCost[[#This Row],[CompletedRequirements]]/tblCost[[#This Row],[TargetRequirements]])</f>
        <v>0</v>
      </c>
    </row>
    <row r="1713" spans="1:13">
      <c r="A1713" s="41" t="s">
        <v>5350</v>
      </c>
      <c r="B1713" s="41" t="str">
        <f>_xlfn.TEXTAFTER(_xlfn.TEXTBEFORE(tblCost[[#This Row],[RequirementID]],".",-2),"cost.")</f>
        <v>collection.treasury_1@3</v>
      </c>
      <c r="C1713" s="41" t="str">
        <f>_xlfn.XLOOKUP(tblCost[[#This Row],[TargetID]],tblTargets[TargetID],tblTargets[DisplayName],"")</f>
        <v>Treasury 1 Lv 3</v>
      </c>
      <c r="D1713" s="41" t="str">
        <f>_xlfn.XLOOKUP(tblCost[[#This Row],[TargetID]],tblTargets[TargetID],tblTargets[TargetType],"")</f>
        <v>COLLECTION</v>
      </c>
      <c r="E1713" s="41" t="s">
        <v>666</v>
      </c>
      <c r="F1713" s="62" t="str">
        <f>RIGHT(tblCost[[#This Row],[RequirementID]],1)</f>
        <v>1</v>
      </c>
      <c r="G1713" s="41">
        <v>3000</v>
      </c>
      <c r="H1713" t="b">
        <f>COUNTIFS(tblCostChecklist[RequirementID],tblCost[[#This Row],[RequirementID]],tblCostChecklist[PlayerPaid],TRUE)&gt;0</f>
        <v>0</v>
      </c>
      <c r="I1713" s="41">
        <f>COUNTIF(tblCost[TargetID],tblCost[[#This Row],[TargetID]])</f>
        <v>8</v>
      </c>
      <c r="J1713" s="41">
        <f>COUNTIFS(tblCost[TargetID],tblCost[[#This Row],[TargetID]],tblCost[PlayerPaid],TRUE)</f>
        <v>0</v>
      </c>
      <c r="K1713" s="41">
        <f>tblCost[[#This Row],[TargetRequirements]]-tblCost[[#This Row],[CompletedRequirements]]</f>
        <v>8</v>
      </c>
      <c r="L1713" s="41" t="b">
        <f>tblCost[[#This Row],[RemainingRequirements]]=0</f>
        <v>0</v>
      </c>
      <c r="M1713" s="43">
        <f>IF(tblCost[[#This Row],[TargetRequirements]]=0,0,tblCost[[#This Row],[CompletedRequirements]]/tblCost[[#This Row],[TargetRequirements]])</f>
        <v>0</v>
      </c>
    </row>
    <row r="1714" spans="1:13">
      <c r="A1714" s="41" t="s">
        <v>5351</v>
      </c>
      <c r="B1714" s="41" t="str">
        <f>_xlfn.TEXTAFTER(_xlfn.TEXTBEFORE(tblCost[[#This Row],[RequirementID]],".",-2),"cost.")</f>
        <v>collection.treasury_1@3</v>
      </c>
      <c r="C1714" s="41" t="str">
        <f>_xlfn.XLOOKUP(tblCost[[#This Row],[TargetID]],tblTargets[TargetID],tblTargets[DisplayName],"")</f>
        <v>Treasury 1 Lv 3</v>
      </c>
      <c r="D1714" s="41" t="str">
        <f>_xlfn.XLOOKUP(tblCost[[#This Row],[TargetID]],tblTargets[TargetID],tblTargets[TargetType],"")</f>
        <v>COLLECTION</v>
      </c>
      <c r="E1714" s="41" t="s">
        <v>666</v>
      </c>
      <c r="F1714" s="62" t="str">
        <f>RIGHT(tblCost[[#This Row],[RequirementID]],1)</f>
        <v>2</v>
      </c>
      <c r="G1714" s="41">
        <v>3000</v>
      </c>
      <c r="H1714" t="b">
        <f>COUNTIFS(tblCostChecklist[RequirementID],tblCost[[#This Row],[RequirementID]],tblCostChecklist[PlayerPaid],TRUE)&gt;0</f>
        <v>0</v>
      </c>
      <c r="I1714" s="41">
        <f>COUNTIF(tblCost[TargetID],tblCost[[#This Row],[TargetID]])</f>
        <v>8</v>
      </c>
      <c r="J1714" s="41">
        <f>COUNTIFS(tblCost[TargetID],tblCost[[#This Row],[TargetID]],tblCost[PlayerPaid],TRUE)</f>
        <v>0</v>
      </c>
      <c r="K1714" s="41">
        <f>tblCost[[#This Row],[TargetRequirements]]-tblCost[[#This Row],[CompletedRequirements]]</f>
        <v>8</v>
      </c>
      <c r="L1714" s="41" t="b">
        <f>tblCost[[#This Row],[RemainingRequirements]]=0</f>
        <v>0</v>
      </c>
      <c r="M1714" s="43">
        <f>IF(tblCost[[#This Row],[TargetRequirements]]=0,0,tblCost[[#This Row],[CompletedRequirements]]/tblCost[[#This Row],[TargetRequirements]])</f>
        <v>0</v>
      </c>
    </row>
    <row r="1715" spans="1:13">
      <c r="A1715" s="41" t="s">
        <v>5352</v>
      </c>
      <c r="B1715" s="41" t="str">
        <f>_xlfn.TEXTAFTER(_xlfn.TEXTBEFORE(tblCost[[#This Row],[RequirementID]],".",-2),"cost.")</f>
        <v>collection.treasury_1@3</v>
      </c>
      <c r="C1715" s="41" t="str">
        <f>_xlfn.XLOOKUP(tblCost[[#This Row],[TargetID]],tblTargets[TargetID],tblTargets[DisplayName],"")</f>
        <v>Treasury 1 Lv 3</v>
      </c>
      <c r="D1715" s="41" t="str">
        <f>_xlfn.XLOOKUP(tblCost[[#This Row],[TargetID]],tblTargets[TargetID],tblTargets[TargetType],"")</f>
        <v>COLLECTION</v>
      </c>
      <c r="E1715" s="41" t="s">
        <v>667</v>
      </c>
      <c r="F1715" s="62" t="str">
        <f>RIGHT(tblCost[[#This Row],[RequirementID]],1)</f>
        <v>1</v>
      </c>
      <c r="G1715" s="41">
        <v>750</v>
      </c>
      <c r="H1715" t="b">
        <f>COUNTIFS(tblCostChecklist[RequirementID],tblCost[[#This Row],[RequirementID]],tblCostChecklist[PlayerPaid],TRUE)&gt;0</f>
        <v>0</v>
      </c>
      <c r="I1715" s="41">
        <f>COUNTIF(tblCost[TargetID],tblCost[[#This Row],[TargetID]])</f>
        <v>8</v>
      </c>
      <c r="J1715" s="41">
        <f>COUNTIFS(tblCost[TargetID],tblCost[[#This Row],[TargetID]],tblCost[PlayerPaid],TRUE)</f>
        <v>0</v>
      </c>
      <c r="K1715" s="41">
        <f>tblCost[[#This Row],[TargetRequirements]]-tblCost[[#This Row],[CompletedRequirements]]</f>
        <v>8</v>
      </c>
      <c r="L1715" s="41" t="b">
        <f>tblCost[[#This Row],[RemainingRequirements]]=0</f>
        <v>0</v>
      </c>
      <c r="M1715" s="43">
        <f>IF(tblCost[[#This Row],[TargetRequirements]]=0,0,tblCost[[#This Row],[CompletedRequirements]]/tblCost[[#This Row],[TargetRequirements]])</f>
        <v>0</v>
      </c>
    </row>
    <row r="1716" spans="1:13">
      <c r="A1716" s="41" t="s">
        <v>5353</v>
      </c>
      <c r="B1716" s="41" t="str">
        <f>_xlfn.TEXTAFTER(_xlfn.TEXTBEFORE(tblCost[[#This Row],[RequirementID]],".",-2),"cost.")</f>
        <v>collection.treasury_1@3</v>
      </c>
      <c r="C1716" s="41" t="str">
        <f>_xlfn.XLOOKUP(tblCost[[#This Row],[TargetID]],tblTargets[TargetID],tblTargets[DisplayName],"")</f>
        <v>Treasury 1 Lv 3</v>
      </c>
      <c r="D1716" s="41" t="str">
        <f>_xlfn.XLOOKUP(tblCost[[#This Row],[TargetID]],tblTargets[TargetID],tblTargets[TargetType],"")</f>
        <v>COLLECTION</v>
      </c>
      <c r="E1716" s="41" t="s">
        <v>1803</v>
      </c>
      <c r="F1716" s="62" t="str">
        <f>RIGHT(tblCost[[#This Row],[RequirementID]],1)</f>
        <v>1</v>
      </c>
      <c r="G1716" s="41">
        <v>750</v>
      </c>
      <c r="H1716" t="b">
        <f>COUNTIFS(tblCostChecklist[RequirementID],tblCost[[#This Row],[RequirementID]],tblCostChecklist[PlayerPaid],TRUE)&gt;0</f>
        <v>0</v>
      </c>
      <c r="I1716" s="41">
        <f>COUNTIF(tblCost[TargetID],tblCost[[#This Row],[TargetID]])</f>
        <v>8</v>
      </c>
      <c r="J1716" s="41">
        <f>COUNTIFS(tblCost[TargetID],tblCost[[#This Row],[TargetID]],tblCost[PlayerPaid],TRUE)</f>
        <v>0</v>
      </c>
      <c r="K1716" s="41">
        <f>tblCost[[#This Row],[TargetRequirements]]-tblCost[[#This Row],[CompletedRequirements]]</f>
        <v>8</v>
      </c>
      <c r="L1716" s="41" t="b">
        <f>tblCost[[#This Row],[RemainingRequirements]]=0</f>
        <v>0</v>
      </c>
      <c r="M1716" s="43">
        <f>IF(tblCost[[#This Row],[TargetRequirements]]=0,0,tblCost[[#This Row],[CompletedRequirements]]/tblCost[[#This Row],[TargetRequirements]])</f>
        <v>0</v>
      </c>
    </row>
    <row r="1717" spans="1:13">
      <c r="A1717" s="41" t="s">
        <v>5354</v>
      </c>
      <c r="B1717" s="41" t="str">
        <f>_xlfn.TEXTAFTER(_xlfn.TEXTBEFORE(tblCost[[#This Row],[RequirementID]],".",-2),"cost.")</f>
        <v>collection.treasury_1@3</v>
      </c>
      <c r="C1717" s="41" t="str">
        <f>_xlfn.XLOOKUP(tblCost[[#This Row],[TargetID]],tblTargets[TargetID],tblTargets[DisplayName],"")</f>
        <v>Treasury 1 Lv 3</v>
      </c>
      <c r="D1717" s="41" t="str">
        <f>_xlfn.XLOOKUP(tblCost[[#This Row],[TargetID]],tblTargets[TargetID],tblTargets[TargetType],"")</f>
        <v>COLLECTION</v>
      </c>
      <c r="E1717" s="41" t="s">
        <v>680</v>
      </c>
      <c r="F1717" s="62" t="str">
        <f>RIGHT(tblCost[[#This Row],[RequirementID]],1)</f>
        <v>1</v>
      </c>
      <c r="G1717" s="41">
        <v>30</v>
      </c>
      <c r="H1717" t="b">
        <f>COUNTIFS(tblCostChecklist[RequirementID],tblCost[[#This Row],[RequirementID]],tblCostChecklist[PlayerPaid],TRUE)&gt;0</f>
        <v>0</v>
      </c>
      <c r="I1717" s="41">
        <f>COUNTIF(tblCost[TargetID],tblCost[[#This Row],[TargetID]])</f>
        <v>8</v>
      </c>
      <c r="J1717" s="41">
        <f>COUNTIFS(tblCost[TargetID],tblCost[[#This Row],[TargetID]],tblCost[PlayerPaid],TRUE)</f>
        <v>0</v>
      </c>
      <c r="K1717" s="41">
        <f>tblCost[[#This Row],[TargetRequirements]]-tblCost[[#This Row],[CompletedRequirements]]</f>
        <v>8</v>
      </c>
      <c r="L1717" s="41" t="b">
        <f>tblCost[[#This Row],[RemainingRequirements]]=0</f>
        <v>0</v>
      </c>
      <c r="M1717" s="43">
        <f>IF(tblCost[[#This Row],[TargetRequirements]]=0,0,tblCost[[#This Row],[CompletedRequirements]]/tblCost[[#This Row],[TargetRequirements]])</f>
        <v>0</v>
      </c>
    </row>
    <row r="1718" spans="1:13">
      <c r="A1718" s="41" t="s">
        <v>5355</v>
      </c>
      <c r="B1718" s="41" t="str">
        <f>_xlfn.TEXTAFTER(_xlfn.TEXTBEFORE(tblCost[[#This Row],[RequirementID]],".",-2),"cost.")</f>
        <v>collection.treasury_1@3</v>
      </c>
      <c r="C1718" s="41" t="str">
        <f>_xlfn.XLOOKUP(tblCost[[#This Row],[TargetID]],tblTargets[TargetID],tblTargets[DisplayName],"")</f>
        <v>Treasury 1 Lv 3</v>
      </c>
      <c r="D1718" s="41" t="str">
        <f>_xlfn.XLOOKUP(tblCost[[#This Row],[TargetID]],tblTargets[TargetID],tblTargets[TargetType],"")</f>
        <v>COLLECTION</v>
      </c>
      <c r="E1718" s="41" t="s">
        <v>699</v>
      </c>
      <c r="F1718" s="62" t="str">
        <f>RIGHT(tblCost[[#This Row],[RequirementID]],1)</f>
        <v>1</v>
      </c>
      <c r="G1718" s="41">
        <v>15</v>
      </c>
      <c r="H1718" t="b">
        <f>COUNTIFS(tblCostChecklist[RequirementID],tblCost[[#This Row],[RequirementID]],tblCostChecklist[PlayerPaid],TRUE)&gt;0</f>
        <v>0</v>
      </c>
      <c r="I1718" s="41">
        <f>COUNTIF(tblCost[TargetID],tblCost[[#This Row],[TargetID]])</f>
        <v>8</v>
      </c>
      <c r="J1718" s="41">
        <f>COUNTIFS(tblCost[TargetID],tblCost[[#This Row],[TargetID]],tblCost[PlayerPaid],TRUE)</f>
        <v>0</v>
      </c>
      <c r="K1718" s="41">
        <f>tblCost[[#This Row],[TargetRequirements]]-tblCost[[#This Row],[CompletedRequirements]]</f>
        <v>8</v>
      </c>
      <c r="L1718" s="41" t="b">
        <f>tblCost[[#This Row],[RemainingRequirements]]=0</f>
        <v>0</v>
      </c>
      <c r="M1718" s="43">
        <f>IF(tblCost[[#This Row],[TargetRequirements]]=0,0,tblCost[[#This Row],[CompletedRequirements]]/tblCost[[#This Row],[TargetRequirements]])</f>
        <v>0</v>
      </c>
    </row>
    <row r="1719" spans="1:13">
      <c r="A1719" s="41" t="s">
        <v>5356</v>
      </c>
      <c r="B1719" s="41" t="str">
        <f>_xlfn.TEXTAFTER(_xlfn.TEXTBEFORE(tblCost[[#This Row],[RequirementID]],".",-2),"cost.")</f>
        <v>collection.treasury_1@3</v>
      </c>
      <c r="C1719" s="41" t="str">
        <f>_xlfn.XLOOKUP(tblCost[[#This Row],[TargetID]],tblTargets[TargetID],tblTargets[DisplayName],"")</f>
        <v>Treasury 1 Lv 3</v>
      </c>
      <c r="D1719" s="41" t="str">
        <f>_xlfn.XLOOKUP(tblCost[[#This Row],[TargetID]],tblTargets[TargetID],tblTargets[TargetType],"")</f>
        <v>COLLECTION</v>
      </c>
      <c r="E1719" s="41" t="s">
        <v>708</v>
      </c>
      <c r="F1719" s="62" t="str">
        <f>RIGHT(tblCost[[#This Row],[RequirementID]],1)</f>
        <v>1</v>
      </c>
      <c r="G1719" s="41">
        <v>15</v>
      </c>
      <c r="H1719" t="b">
        <f>COUNTIFS(tblCostChecklist[RequirementID],tblCost[[#This Row],[RequirementID]],tblCostChecklist[PlayerPaid],TRUE)&gt;0</f>
        <v>0</v>
      </c>
      <c r="I1719" s="41">
        <f>COUNTIF(tblCost[TargetID],tblCost[[#This Row],[TargetID]])</f>
        <v>8</v>
      </c>
      <c r="J1719" s="41">
        <f>COUNTIFS(tblCost[TargetID],tblCost[[#This Row],[TargetID]],tblCost[PlayerPaid],TRUE)</f>
        <v>0</v>
      </c>
      <c r="K1719" s="41">
        <f>tblCost[[#This Row],[TargetRequirements]]-tblCost[[#This Row],[CompletedRequirements]]</f>
        <v>8</v>
      </c>
      <c r="L1719" s="41" t="b">
        <f>tblCost[[#This Row],[RemainingRequirements]]=0</f>
        <v>0</v>
      </c>
      <c r="M1719" s="43">
        <f>IF(tblCost[[#This Row],[TargetRequirements]]=0,0,tblCost[[#This Row],[CompletedRequirements]]/tblCost[[#This Row],[TargetRequirements]])</f>
        <v>0</v>
      </c>
    </row>
    <row r="1720" spans="1:13">
      <c r="A1720" s="41" t="s">
        <v>5357</v>
      </c>
      <c r="B1720" s="41" t="str">
        <f>_xlfn.TEXTAFTER(_xlfn.TEXTBEFORE(tblCost[[#This Row],[RequirementID]],".",-2),"cost.")</f>
        <v>collection.treasury_1@3</v>
      </c>
      <c r="C1720" s="41" t="str">
        <f>_xlfn.XLOOKUP(tblCost[[#This Row],[TargetID]],tblTargets[TargetID],tblTargets[DisplayName],"")</f>
        <v>Treasury 1 Lv 3</v>
      </c>
      <c r="D1720" s="41" t="str">
        <f>_xlfn.XLOOKUP(tblCost[[#This Row],[TargetID]],tblTargets[TargetID],tblTargets[TargetType],"")</f>
        <v>COLLECTION</v>
      </c>
      <c r="E1720" s="41" t="s">
        <v>721</v>
      </c>
      <c r="F1720" s="62" t="str">
        <f>RIGHT(tblCost[[#This Row],[RequirementID]],1)</f>
        <v>1</v>
      </c>
      <c r="G1720" s="41">
        <v>30</v>
      </c>
      <c r="H1720" t="b">
        <f>COUNTIFS(tblCostChecklist[RequirementID],tblCost[[#This Row],[RequirementID]],tblCostChecklist[PlayerPaid],TRUE)&gt;0</f>
        <v>0</v>
      </c>
      <c r="I1720" s="41">
        <f>COUNTIF(tblCost[TargetID],tblCost[[#This Row],[TargetID]])</f>
        <v>8</v>
      </c>
      <c r="J1720" s="41">
        <f>COUNTIFS(tblCost[TargetID],tblCost[[#This Row],[TargetID]],tblCost[PlayerPaid],TRUE)</f>
        <v>0</v>
      </c>
      <c r="K1720" s="41">
        <f>tblCost[[#This Row],[TargetRequirements]]-tblCost[[#This Row],[CompletedRequirements]]</f>
        <v>8</v>
      </c>
      <c r="L1720" s="41" t="b">
        <f>tblCost[[#This Row],[RemainingRequirements]]=0</f>
        <v>0</v>
      </c>
      <c r="M1720" s="43">
        <f>IF(tblCost[[#This Row],[TargetRequirements]]=0,0,tblCost[[#This Row],[CompletedRequirements]]/tblCost[[#This Row],[TargetRequirements]])</f>
        <v>0</v>
      </c>
    </row>
    <row r="1721" spans="1:13">
      <c r="A1721" s="41" t="s">
        <v>5358</v>
      </c>
      <c r="B1721" s="41" t="str">
        <f>_xlfn.TEXTAFTER(_xlfn.TEXTBEFORE(tblCost[[#This Row],[RequirementID]],".",-2),"cost.")</f>
        <v>collection.treasury_1@4</v>
      </c>
      <c r="C1721" s="41" t="str">
        <f>_xlfn.XLOOKUP(tblCost[[#This Row],[TargetID]],tblTargets[TargetID],tblTargets[DisplayName],"")</f>
        <v>Treasury 1 Lv 4</v>
      </c>
      <c r="D1721" s="41" t="str">
        <f>_xlfn.XLOOKUP(tblCost[[#This Row],[TargetID]],tblTargets[TargetID],tblTargets[TargetType],"")</f>
        <v>COLLECTION</v>
      </c>
      <c r="E1721" s="41" t="s">
        <v>666</v>
      </c>
      <c r="F1721" s="62" t="str">
        <f>RIGHT(tblCost[[#This Row],[RequirementID]],1)</f>
        <v>1</v>
      </c>
      <c r="G1721" s="41">
        <v>4000</v>
      </c>
      <c r="H1721" t="b">
        <f>COUNTIFS(tblCostChecklist[RequirementID],tblCost[[#This Row],[RequirementID]],tblCostChecklist[PlayerPaid],TRUE)&gt;0</f>
        <v>0</v>
      </c>
      <c r="I1721" s="41">
        <f>COUNTIF(tblCost[TargetID],tblCost[[#This Row],[TargetID]])</f>
        <v>8</v>
      </c>
      <c r="J1721" s="41">
        <f>COUNTIFS(tblCost[TargetID],tblCost[[#This Row],[TargetID]],tblCost[PlayerPaid],TRUE)</f>
        <v>0</v>
      </c>
      <c r="K1721" s="41">
        <f>tblCost[[#This Row],[TargetRequirements]]-tblCost[[#This Row],[CompletedRequirements]]</f>
        <v>8</v>
      </c>
      <c r="L1721" s="41" t="b">
        <f>tblCost[[#This Row],[RemainingRequirements]]=0</f>
        <v>0</v>
      </c>
      <c r="M1721" s="43">
        <f>IF(tblCost[[#This Row],[TargetRequirements]]=0,0,tblCost[[#This Row],[CompletedRequirements]]/tblCost[[#This Row],[TargetRequirements]])</f>
        <v>0</v>
      </c>
    </row>
    <row r="1722" spans="1:13">
      <c r="A1722" s="41" t="s">
        <v>5359</v>
      </c>
      <c r="B1722" s="41" t="str">
        <f>_xlfn.TEXTAFTER(_xlfn.TEXTBEFORE(tblCost[[#This Row],[RequirementID]],".",-2),"cost.")</f>
        <v>collection.treasury_1@4</v>
      </c>
      <c r="C1722" s="41" t="str">
        <f>_xlfn.XLOOKUP(tblCost[[#This Row],[TargetID]],tblTargets[TargetID],tblTargets[DisplayName],"")</f>
        <v>Treasury 1 Lv 4</v>
      </c>
      <c r="D1722" s="41" t="str">
        <f>_xlfn.XLOOKUP(tblCost[[#This Row],[TargetID]],tblTargets[TargetID],tblTargets[TargetType],"")</f>
        <v>COLLECTION</v>
      </c>
      <c r="E1722" s="41" t="s">
        <v>666</v>
      </c>
      <c r="F1722" s="62" t="str">
        <f>RIGHT(tblCost[[#This Row],[RequirementID]],1)</f>
        <v>2</v>
      </c>
      <c r="G1722" s="41">
        <v>4000</v>
      </c>
      <c r="H1722" t="b">
        <f>COUNTIFS(tblCostChecklist[RequirementID],tblCost[[#This Row],[RequirementID]],tblCostChecklist[PlayerPaid],TRUE)&gt;0</f>
        <v>0</v>
      </c>
      <c r="I1722" s="41">
        <f>COUNTIF(tblCost[TargetID],tblCost[[#This Row],[TargetID]])</f>
        <v>8</v>
      </c>
      <c r="J1722" s="41">
        <f>COUNTIFS(tblCost[TargetID],tblCost[[#This Row],[TargetID]],tblCost[PlayerPaid],TRUE)</f>
        <v>0</v>
      </c>
      <c r="K1722" s="41">
        <f>tblCost[[#This Row],[TargetRequirements]]-tblCost[[#This Row],[CompletedRequirements]]</f>
        <v>8</v>
      </c>
      <c r="L1722" s="41" t="b">
        <f>tblCost[[#This Row],[RemainingRequirements]]=0</f>
        <v>0</v>
      </c>
      <c r="M1722" s="43">
        <f>IF(tblCost[[#This Row],[TargetRequirements]]=0,0,tblCost[[#This Row],[CompletedRequirements]]/tblCost[[#This Row],[TargetRequirements]])</f>
        <v>0</v>
      </c>
    </row>
    <row r="1723" spans="1:13">
      <c r="A1723" s="41" t="s">
        <v>5360</v>
      </c>
      <c r="B1723" s="41" t="str">
        <f>_xlfn.TEXTAFTER(_xlfn.TEXTBEFORE(tblCost[[#This Row],[RequirementID]],".",-2),"cost.")</f>
        <v>collection.treasury_1@4</v>
      </c>
      <c r="C1723" s="41" t="str">
        <f>_xlfn.XLOOKUP(tblCost[[#This Row],[TargetID]],tblTargets[TargetID],tblTargets[DisplayName],"")</f>
        <v>Treasury 1 Lv 4</v>
      </c>
      <c r="D1723" s="41" t="str">
        <f>_xlfn.XLOOKUP(tblCost[[#This Row],[TargetID]],tblTargets[TargetID],tblTargets[TargetType],"")</f>
        <v>COLLECTION</v>
      </c>
      <c r="E1723" s="41" t="s">
        <v>667</v>
      </c>
      <c r="F1723" s="62" t="str">
        <f>RIGHT(tblCost[[#This Row],[RequirementID]],1)</f>
        <v>1</v>
      </c>
      <c r="G1723" s="41">
        <v>1000</v>
      </c>
      <c r="H1723" t="b">
        <f>COUNTIFS(tblCostChecklist[RequirementID],tblCost[[#This Row],[RequirementID]],tblCostChecklist[PlayerPaid],TRUE)&gt;0</f>
        <v>0</v>
      </c>
      <c r="I1723" s="41">
        <f>COUNTIF(tblCost[TargetID],tblCost[[#This Row],[TargetID]])</f>
        <v>8</v>
      </c>
      <c r="J1723" s="41">
        <f>COUNTIFS(tblCost[TargetID],tblCost[[#This Row],[TargetID]],tblCost[PlayerPaid],TRUE)</f>
        <v>0</v>
      </c>
      <c r="K1723" s="41">
        <f>tblCost[[#This Row],[TargetRequirements]]-tblCost[[#This Row],[CompletedRequirements]]</f>
        <v>8</v>
      </c>
      <c r="L1723" s="41" t="b">
        <f>tblCost[[#This Row],[RemainingRequirements]]=0</f>
        <v>0</v>
      </c>
      <c r="M1723" s="43">
        <f>IF(tblCost[[#This Row],[TargetRequirements]]=0,0,tblCost[[#This Row],[CompletedRequirements]]/tblCost[[#This Row],[TargetRequirements]])</f>
        <v>0</v>
      </c>
    </row>
    <row r="1724" spans="1:13">
      <c r="A1724" s="41" t="s">
        <v>5361</v>
      </c>
      <c r="B1724" s="41" t="str">
        <f>_xlfn.TEXTAFTER(_xlfn.TEXTBEFORE(tblCost[[#This Row],[RequirementID]],".",-2),"cost.")</f>
        <v>collection.treasury_1@4</v>
      </c>
      <c r="C1724" s="41" t="str">
        <f>_xlfn.XLOOKUP(tblCost[[#This Row],[TargetID]],tblTargets[TargetID],tblTargets[DisplayName],"")</f>
        <v>Treasury 1 Lv 4</v>
      </c>
      <c r="D1724" s="41" t="str">
        <f>_xlfn.XLOOKUP(tblCost[[#This Row],[TargetID]],tblTargets[TargetID],tblTargets[TargetType],"")</f>
        <v>COLLECTION</v>
      </c>
      <c r="E1724" s="41" t="s">
        <v>1803</v>
      </c>
      <c r="F1724" s="62" t="str">
        <f>RIGHT(tblCost[[#This Row],[RequirementID]],1)</f>
        <v>1</v>
      </c>
      <c r="G1724" s="41">
        <v>1000</v>
      </c>
      <c r="H1724" t="b">
        <f>COUNTIFS(tblCostChecklist[RequirementID],tblCost[[#This Row],[RequirementID]],tblCostChecklist[PlayerPaid],TRUE)&gt;0</f>
        <v>0</v>
      </c>
      <c r="I1724" s="41">
        <f>COUNTIF(tblCost[TargetID],tblCost[[#This Row],[TargetID]])</f>
        <v>8</v>
      </c>
      <c r="J1724" s="41">
        <f>COUNTIFS(tblCost[TargetID],tblCost[[#This Row],[TargetID]],tblCost[PlayerPaid],TRUE)</f>
        <v>0</v>
      </c>
      <c r="K1724" s="41">
        <f>tblCost[[#This Row],[TargetRequirements]]-tblCost[[#This Row],[CompletedRequirements]]</f>
        <v>8</v>
      </c>
      <c r="L1724" s="41" t="b">
        <f>tblCost[[#This Row],[RemainingRequirements]]=0</f>
        <v>0</v>
      </c>
      <c r="M1724" s="43">
        <f>IF(tblCost[[#This Row],[TargetRequirements]]=0,0,tblCost[[#This Row],[CompletedRequirements]]/tblCost[[#This Row],[TargetRequirements]])</f>
        <v>0</v>
      </c>
    </row>
    <row r="1725" spans="1:13">
      <c r="A1725" s="41" t="s">
        <v>5362</v>
      </c>
      <c r="B1725" s="41" t="str">
        <f>_xlfn.TEXTAFTER(_xlfn.TEXTBEFORE(tblCost[[#This Row],[RequirementID]],".",-2),"cost.")</f>
        <v>collection.treasury_1@4</v>
      </c>
      <c r="C1725" s="41" t="str">
        <f>_xlfn.XLOOKUP(tblCost[[#This Row],[TargetID]],tblTargets[TargetID],tblTargets[DisplayName],"")</f>
        <v>Treasury 1 Lv 4</v>
      </c>
      <c r="D1725" s="41" t="str">
        <f>_xlfn.XLOOKUP(tblCost[[#This Row],[TargetID]],tblTargets[TargetID],tblTargets[TargetType],"")</f>
        <v>COLLECTION</v>
      </c>
      <c r="E1725" s="41" t="s">
        <v>680</v>
      </c>
      <c r="F1725" s="62" t="str">
        <f>RIGHT(tblCost[[#This Row],[RequirementID]],1)</f>
        <v>1</v>
      </c>
      <c r="G1725" s="41">
        <v>40</v>
      </c>
      <c r="H1725" t="b">
        <f>COUNTIFS(tblCostChecklist[RequirementID],tblCost[[#This Row],[RequirementID]],tblCostChecklist[PlayerPaid],TRUE)&gt;0</f>
        <v>0</v>
      </c>
      <c r="I1725" s="41">
        <f>COUNTIF(tblCost[TargetID],tblCost[[#This Row],[TargetID]])</f>
        <v>8</v>
      </c>
      <c r="J1725" s="41">
        <f>COUNTIFS(tblCost[TargetID],tblCost[[#This Row],[TargetID]],tblCost[PlayerPaid],TRUE)</f>
        <v>0</v>
      </c>
      <c r="K1725" s="41">
        <f>tblCost[[#This Row],[TargetRequirements]]-tblCost[[#This Row],[CompletedRequirements]]</f>
        <v>8</v>
      </c>
      <c r="L1725" s="41" t="b">
        <f>tblCost[[#This Row],[RemainingRequirements]]=0</f>
        <v>0</v>
      </c>
      <c r="M1725" s="43">
        <f>IF(tblCost[[#This Row],[TargetRequirements]]=0,0,tblCost[[#This Row],[CompletedRequirements]]/tblCost[[#This Row],[TargetRequirements]])</f>
        <v>0</v>
      </c>
    </row>
    <row r="1726" spans="1:13">
      <c r="A1726" s="41" t="s">
        <v>5363</v>
      </c>
      <c r="B1726" s="41" t="str">
        <f>_xlfn.TEXTAFTER(_xlfn.TEXTBEFORE(tblCost[[#This Row],[RequirementID]],".",-2),"cost.")</f>
        <v>collection.treasury_1@4</v>
      </c>
      <c r="C1726" s="41" t="str">
        <f>_xlfn.XLOOKUP(tblCost[[#This Row],[TargetID]],tblTargets[TargetID],tblTargets[DisplayName],"")</f>
        <v>Treasury 1 Lv 4</v>
      </c>
      <c r="D1726" s="41" t="str">
        <f>_xlfn.XLOOKUP(tblCost[[#This Row],[TargetID]],tblTargets[TargetID],tblTargets[TargetType],"")</f>
        <v>COLLECTION</v>
      </c>
      <c r="E1726" s="41" t="s">
        <v>699</v>
      </c>
      <c r="F1726" s="62" t="str">
        <f>RIGHT(tblCost[[#This Row],[RequirementID]],1)</f>
        <v>1</v>
      </c>
      <c r="G1726" s="41">
        <v>20</v>
      </c>
      <c r="H1726" t="b">
        <f>COUNTIFS(tblCostChecklist[RequirementID],tblCost[[#This Row],[RequirementID]],tblCostChecklist[PlayerPaid],TRUE)&gt;0</f>
        <v>0</v>
      </c>
      <c r="I1726" s="41">
        <f>COUNTIF(tblCost[TargetID],tblCost[[#This Row],[TargetID]])</f>
        <v>8</v>
      </c>
      <c r="J1726" s="41">
        <f>COUNTIFS(tblCost[TargetID],tblCost[[#This Row],[TargetID]],tblCost[PlayerPaid],TRUE)</f>
        <v>0</v>
      </c>
      <c r="K1726" s="41">
        <f>tblCost[[#This Row],[TargetRequirements]]-tblCost[[#This Row],[CompletedRequirements]]</f>
        <v>8</v>
      </c>
      <c r="L1726" s="41" t="b">
        <f>tblCost[[#This Row],[RemainingRequirements]]=0</f>
        <v>0</v>
      </c>
      <c r="M1726" s="43">
        <f>IF(tblCost[[#This Row],[TargetRequirements]]=0,0,tblCost[[#This Row],[CompletedRequirements]]/tblCost[[#This Row],[TargetRequirements]])</f>
        <v>0</v>
      </c>
    </row>
    <row r="1727" spans="1:13">
      <c r="A1727" s="41" t="s">
        <v>5364</v>
      </c>
      <c r="B1727" s="41" t="str">
        <f>_xlfn.TEXTAFTER(_xlfn.TEXTBEFORE(tblCost[[#This Row],[RequirementID]],".",-2),"cost.")</f>
        <v>collection.treasury_1@4</v>
      </c>
      <c r="C1727" s="41" t="str">
        <f>_xlfn.XLOOKUP(tblCost[[#This Row],[TargetID]],tblTargets[TargetID],tblTargets[DisplayName],"")</f>
        <v>Treasury 1 Lv 4</v>
      </c>
      <c r="D1727" s="41" t="str">
        <f>_xlfn.XLOOKUP(tblCost[[#This Row],[TargetID]],tblTargets[TargetID],tblTargets[TargetType],"")</f>
        <v>COLLECTION</v>
      </c>
      <c r="E1727" s="41" t="s">
        <v>708</v>
      </c>
      <c r="F1727" s="62" t="str">
        <f>RIGHT(tblCost[[#This Row],[RequirementID]],1)</f>
        <v>1</v>
      </c>
      <c r="G1727" s="41">
        <v>20</v>
      </c>
      <c r="H1727" t="b">
        <f>COUNTIFS(tblCostChecklist[RequirementID],tblCost[[#This Row],[RequirementID]],tblCostChecklist[PlayerPaid],TRUE)&gt;0</f>
        <v>0</v>
      </c>
      <c r="I1727" s="41">
        <f>COUNTIF(tblCost[TargetID],tblCost[[#This Row],[TargetID]])</f>
        <v>8</v>
      </c>
      <c r="J1727" s="41">
        <f>COUNTIFS(tblCost[TargetID],tblCost[[#This Row],[TargetID]],tblCost[PlayerPaid],TRUE)</f>
        <v>0</v>
      </c>
      <c r="K1727" s="41">
        <f>tblCost[[#This Row],[TargetRequirements]]-tblCost[[#This Row],[CompletedRequirements]]</f>
        <v>8</v>
      </c>
      <c r="L1727" s="41" t="b">
        <f>tblCost[[#This Row],[RemainingRequirements]]=0</f>
        <v>0</v>
      </c>
      <c r="M1727" s="43">
        <f>IF(tblCost[[#This Row],[TargetRequirements]]=0,0,tblCost[[#This Row],[CompletedRequirements]]/tblCost[[#This Row],[TargetRequirements]])</f>
        <v>0</v>
      </c>
    </row>
    <row r="1728" spans="1:13">
      <c r="A1728" s="41" t="s">
        <v>5365</v>
      </c>
      <c r="B1728" s="41" t="str">
        <f>_xlfn.TEXTAFTER(_xlfn.TEXTBEFORE(tblCost[[#This Row],[RequirementID]],".",-2),"cost.")</f>
        <v>collection.treasury_1@4</v>
      </c>
      <c r="C1728" s="41" t="str">
        <f>_xlfn.XLOOKUP(tblCost[[#This Row],[TargetID]],tblTargets[TargetID],tblTargets[DisplayName],"")</f>
        <v>Treasury 1 Lv 4</v>
      </c>
      <c r="D1728" s="41" t="str">
        <f>_xlfn.XLOOKUP(tblCost[[#This Row],[TargetID]],tblTargets[TargetID],tblTargets[TargetType],"")</f>
        <v>COLLECTION</v>
      </c>
      <c r="E1728" s="41" t="s">
        <v>721</v>
      </c>
      <c r="F1728" s="62" t="str">
        <f>RIGHT(tblCost[[#This Row],[RequirementID]],1)</f>
        <v>1</v>
      </c>
      <c r="G1728" s="41">
        <v>40</v>
      </c>
      <c r="H1728" t="b">
        <f>COUNTIFS(tblCostChecklist[RequirementID],tblCost[[#This Row],[RequirementID]],tblCostChecklist[PlayerPaid],TRUE)&gt;0</f>
        <v>0</v>
      </c>
      <c r="I1728" s="41">
        <f>COUNTIF(tblCost[TargetID],tblCost[[#This Row],[TargetID]])</f>
        <v>8</v>
      </c>
      <c r="J1728" s="41">
        <f>COUNTIFS(tblCost[TargetID],tblCost[[#This Row],[TargetID]],tblCost[PlayerPaid],TRUE)</f>
        <v>0</v>
      </c>
      <c r="K1728" s="41">
        <f>tblCost[[#This Row],[TargetRequirements]]-tblCost[[#This Row],[CompletedRequirements]]</f>
        <v>8</v>
      </c>
      <c r="L1728" s="41" t="b">
        <f>tblCost[[#This Row],[RemainingRequirements]]=0</f>
        <v>0</v>
      </c>
      <c r="M1728" s="43">
        <f>IF(tblCost[[#This Row],[TargetRequirements]]=0,0,tblCost[[#This Row],[CompletedRequirements]]/tblCost[[#This Row],[TargetRequirements]])</f>
        <v>0</v>
      </c>
    </row>
    <row r="1729" spans="1:13">
      <c r="A1729" s="41" t="s">
        <v>5366</v>
      </c>
      <c r="B1729" s="41" t="str">
        <f>_xlfn.TEXTAFTER(_xlfn.TEXTBEFORE(tblCost[[#This Row],[RequirementID]],".",-2),"cost.")</f>
        <v>collection.treasury_1@5</v>
      </c>
      <c r="C1729" s="41" t="str">
        <f>_xlfn.XLOOKUP(tblCost[[#This Row],[TargetID]],tblTargets[TargetID],tblTargets[DisplayName],"")</f>
        <v>Treasury 1 Lv 5</v>
      </c>
      <c r="D1729" s="41" t="str">
        <f>_xlfn.XLOOKUP(tblCost[[#This Row],[TargetID]],tblTargets[TargetID],tblTargets[TargetType],"")</f>
        <v>COLLECTION</v>
      </c>
      <c r="E1729" s="41" t="s">
        <v>666</v>
      </c>
      <c r="F1729" s="62" t="str">
        <f>RIGHT(tblCost[[#This Row],[RequirementID]],1)</f>
        <v>1</v>
      </c>
      <c r="G1729" s="41">
        <v>5000</v>
      </c>
      <c r="H1729" t="b">
        <f>COUNTIFS(tblCostChecklist[RequirementID],tblCost[[#This Row],[RequirementID]],tblCostChecklist[PlayerPaid],TRUE)&gt;0</f>
        <v>0</v>
      </c>
      <c r="I1729" s="41">
        <f>COUNTIF(tblCost[TargetID],tblCost[[#This Row],[TargetID]])</f>
        <v>8</v>
      </c>
      <c r="J1729" s="41">
        <f>COUNTIFS(tblCost[TargetID],tblCost[[#This Row],[TargetID]],tblCost[PlayerPaid],TRUE)</f>
        <v>0</v>
      </c>
      <c r="K1729" s="41">
        <f>tblCost[[#This Row],[TargetRequirements]]-tblCost[[#This Row],[CompletedRequirements]]</f>
        <v>8</v>
      </c>
      <c r="L1729" s="41" t="b">
        <f>tblCost[[#This Row],[RemainingRequirements]]=0</f>
        <v>0</v>
      </c>
      <c r="M1729" s="43">
        <f>IF(tblCost[[#This Row],[TargetRequirements]]=0,0,tblCost[[#This Row],[CompletedRequirements]]/tblCost[[#This Row],[TargetRequirements]])</f>
        <v>0</v>
      </c>
    </row>
    <row r="1730" spans="1:13">
      <c r="A1730" s="41" t="s">
        <v>5367</v>
      </c>
      <c r="B1730" s="41" t="str">
        <f>_xlfn.TEXTAFTER(_xlfn.TEXTBEFORE(tblCost[[#This Row],[RequirementID]],".",-2),"cost.")</f>
        <v>collection.treasury_1@5</v>
      </c>
      <c r="C1730" s="41" t="str">
        <f>_xlfn.XLOOKUP(tblCost[[#This Row],[TargetID]],tblTargets[TargetID],tblTargets[DisplayName],"")</f>
        <v>Treasury 1 Lv 5</v>
      </c>
      <c r="D1730" s="41" t="str">
        <f>_xlfn.XLOOKUP(tblCost[[#This Row],[TargetID]],tblTargets[TargetID],tblTargets[TargetType],"")</f>
        <v>COLLECTION</v>
      </c>
      <c r="E1730" s="41" t="s">
        <v>666</v>
      </c>
      <c r="F1730" s="62" t="str">
        <f>RIGHT(tblCost[[#This Row],[RequirementID]],1)</f>
        <v>2</v>
      </c>
      <c r="G1730" s="41">
        <v>5000</v>
      </c>
      <c r="H1730" t="b">
        <f>COUNTIFS(tblCostChecklist[RequirementID],tblCost[[#This Row],[RequirementID]],tblCostChecklist[PlayerPaid],TRUE)&gt;0</f>
        <v>0</v>
      </c>
      <c r="I1730" s="41">
        <f>COUNTIF(tblCost[TargetID],tblCost[[#This Row],[TargetID]])</f>
        <v>8</v>
      </c>
      <c r="J1730" s="41">
        <f>COUNTIFS(tblCost[TargetID],tblCost[[#This Row],[TargetID]],tblCost[PlayerPaid],TRUE)</f>
        <v>0</v>
      </c>
      <c r="K1730" s="41">
        <f>tblCost[[#This Row],[TargetRequirements]]-tblCost[[#This Row],[CompletedRequirements]]</f>
        <v>8</v>
      </c>
      <c r="L1730" s="41" t="b">
        <f>tblCost[[#This Row],[RemainingRequirements]]=0</f>
        <v>0</v>
      </c>
      <c r="M1730" s="43">
        <f>IF(tblCost[[#This Row],[TargetRequirements]]=0,0,tblCost[[#This Row],[CompletedRequirements]]/tblCost[[#This Row],[TargetRequirements]])</f>
        <v>0</v>
      </c>
    </row>
    <row r="1731" spans="1:13">
      <c r="A1731" s="41" t="s">
        <v>5368</v>
      </c>
      <c r="B1731" s="41" t="str">
        <f>_xlfn.TEXTAFTER(_xlfn.TEXTBEFORE(tblCost[[#This Row],[RequirementID]],".",-2),"cost.")</f>
        <v>collection.treasury_1@5</v>
      </c>
      <c r="C1731" s="41" t="str">
        <f>_xlfn.XLOOKUP(tblCost[[#This Row],[TargetID]],tblTargets[TargetID],tblTargets[DisplayName],"")</f>
        <v>Treasury 1 Lv 5</v>
      </c>
      <c r="D1731" s="41" t="str">
        <f>_xlfn.XLOOKUP(tblCost[[#This Row],[TargetID]],tblTargets[TargetID],tblTargets[TargetType],"")</f>
        <v>COLLECTION</v>
      </c>
      <c r="E1731" s="41" t="s">
        <v>667</v>
      </c>
      <c r="F1731" s="62" t="str">
        <f>RIGHT(tblCost[[#This Row],[RequirementID]],1)</f>
        <v>1</v>
      </c>
      <c r="G1731" s="41">
        <v>1250</v>
      </c>
      <c r="H1731" t="b">
        <f>COUNTIFS(tblCostChecklist[RequirementID],tblCost[[#This Row],[RequirementID]],tblCostChecklist[PlayerPaid],TRUE)&gt;0</f>
        <v>0</v>
      </c>
      <c r="I1731" s="41">
        <f>COUNTIF(tblCost[TargetID],tblCost[[#This Row],[TargetID]])</f>
        <v>8</v>
      </c>
      <c r="J1731" s="41">
        <f>COUNTIFS(tblCost[TargetID],tblCost[[#This Row],[TargetID]],tblCost[PlayerPaid],TRUE)</f>
        <v>0</v>
      </c>
      <c r="K1731" s="41">
        <f>tblCost[[#This Row],[TargetRequirements]]-tblCost[[#This Row],[CompletedRequirements]]</f>
        <v>8</v>
      </c>
      <c r="L1731" s="41" t="b">
        <f>tblCost[[#This Row],[RemainingRequirements]]=0</f>
        <v>0</v>
      </c>
      <c r="M1731" s="43">
        <f>IF(tblCost[[#This Row],[TargetRequirements]]=0,0,tblCost[[#This Row],[CompletedRequirements]]/tblCost[[#This Row],[TargetRequirements]])</f>
        <v>0</v>
      </c>
    </row>
    <row r="1732" spans="1:13">
      <c r="A1732" s="41" t="s">
        <v>5369</v>
      </c>
      <c r="B1732" s="41" t="str">
        <f>_xlfn.TEXTAFTER(_xlfn.TEXTBEFORE(tblCost[[#This Row],[RequirementID]],".",-2),"cost.")</f>
        <v>collection.treasury_1@5</v>
      </c>
      <c r="C1732" s="41" t="str">
        <f>_xlfn.XLOOKUP(tblCost[[#This Row],[TargetID]],tblTargets[TargetID],tblTargets[DisplayName],"")</f>
        <v>Treasury 1 Lv 5</v>
      </c>
      <c r="D1732" s="41" t="str">
        <f>_xlfn.XLOOKUP(tblCost[[#This Row],[TargetID]],tblTargets[TargetID],tblTargets[TargetType],"")</f>
        <v>COLLECTION</v>
      </c>
      <c r="E1732" s="41" t="s">
        <v>1803</v>
      </c>
      <c r="F1732" s="62" t="str">
        <f>RIGHT(tblCost[[#This Row],[RequirementID]],1)</f>
        <v>1</v>
      </c>
      <c r="G1732" s="41">
        <v>1250</v>
      </c>
      <c r="H1732" t="b">
        <f>COUNTIFS(tblCostChecklist[RequirementID],tblCost[[#This Row],[RequirementID]],tblCostChecklist[PlayerPaid],TRUE)&gt;0</f>
        <v>0</v>
      </c>
      <c r="I1732" s="41">
        <f>COUNTIF(tblCost[TargetID],tblCost[[#This Row],[TargetID]])</f>
        <v>8</v>
      </c>
      <c r="J1732" s="41">
        <f>COUNTIFS(tblCost[TargetID],tblCost[[#This Row],[TargetID]],tblCost[PlayerPaid],TRUE)</f>
        <v>0</v>
      </c>
      <c r="K1732" s="41">
        <f>tblCost[[#This Row],[TargetRequirements]]-tblCost[[#This Row],[CompletedRequirements]]</f>
        <v>8</v>
      </c>
      <c r="L1732" s="41" t="b">
        <f>tblCost[[#This Row],[RemainingRequirements]]=0</f>
        <v>0</v>
      </c>
      <c r="M1732" s="43">
        <f>IF(tblCost[[#This Row],[TargetRequirements]]=0,0,tblCost[[#This Row],[CompletedRequirements]]/tblCost[[#This Row],[TargetRequirements]])</f>
        <v>0</v>
      </c>
    </row>
    <row r="1733" spans="1:13">
      <c r="A1733" s="41" t="s">
        <v>5370</v>
      </c>
      <c r="B1733" s="41" t="str">
        <f>_xlfn.TEXTAFTER(_xlfn.TEXTBEFORE(tblCost[[#This Row],[RequirementID]],".",-2),"cost.")</f>
        <v>collection.treasury_1@5</v>
      </c>
      <c r="C1733" s="41" t="str">
        <f>_xlfn.XLOOKUP(tblCost[[#This Row],[TargetID]],tblTargets[TargetID],tblTargets[DisplayName],"")</f>
        <v>Treasury 1 Lv 5</v>
      </c>
      <c r="D1733" s="41" t="str">
        <f>_xlfn.XLOOKUP(tblCost[[#This Row],[TargetID]],tblTargets[TargetID],tblTargets[TargetType],"")</f>
        <v>COLLECTION</v>
      </c>
      <c r="E1733" s="41" t="s">
        <v>680</v>
      </c>
      <c r="F1733" s="62" t="str">
        <f>RIGHT(tblCost[[#This Row],[RequirementID]],1)</f>
        <v>1</v>
      </c>
      <c r="G1733" s="41">
        <v>50</v>
      </c>
      <c r="H1733" t="b">
        <f>COUNTIFS(tblCostChecklist[RequirementID],tblCost[[#This Row],[RequirementID]],tblCostChecklist[PlayerPaid],TRUE)&gt;0</f>
        <v>0</v>
      </c>
      <c r="I1733" s="41">
        <f>COUNTIF(tblCost[TargetID],tblCost[[#This Row],[TargetID]])</f>
        <v>8</v>
      </c>
      <c r="J1733" s="41">
        <f>COUNTIFS(tblCost[TargetID],tblCost[[#This Row],[TargetID]],tblCost[PlayerPaid],TRUE)</f>
        <v>0</v>
      </c>
      <c r="K1733" s="41">
        <f>tblCost[[#This Row],[TargetRequirements]]-tblCost[[#This Row],[CompletedRequirements]]</f>
        <v>8</v>
      </c>
      <c r="L1733" s="41" t="b">
        <f>tblCost[[#This Row],[RemainingRequirements]]=0</f>
        <v>0</v>
      </c>
      <c r="M1733" s="43">
        <f>IF(tblCost[[#This Row],[TargetRequirements]]=0,0,tblCost[[#This Row],[CompletedRequirements]]/tblCost[[#This Row],[TargetRequirements]])</f>
        <v>0</v>
      </c>
    </row>
    <row r="1734" spans="1:13">
      <c r="A1734" s="41" t="s">
        <v>5371</v>
      </c>
      <c r="B1734" s="41" t="str">
        <f>_xlfn.TEXTAFTER(_xlfn.TEXTBEFORE(tblCost[[#This Row],[RequirementID]],".",-2),"cost.")</f>
        <v>collection.treasury_1@5</v>
      </c>
      <c r="C1734" s="41" t="str">
        <f>_xlfn.XLOOKUP(tblCost[[#This Row],[TargetID]],tblTargets[TargetID],tblTargets[DisplayName],"")</f>
        <v>Treasury 1 Lv 5</v>
      </c>
      <c r="D1734" s="41" t="str">
        <f>_xlfn.XLOOKUP(tblCost[[#This Row],[TargetID]],tblTargets[TargetID],tblTargets[TargetType],"")</f>
        <v>COLLECTION</v>
      </c>
      <c r="E1734" s="41" t="s">
        <v>699</v>
      </c>
      <c r="F1734" s="62" t="str">
        <f>RIGHT(tblCost[[#This Row],[RequirementID]],1)</f>
        <v>1</v>
      </c>
      <c r="G1734" s="41">
        <v>25</v>
      </c>
      <c r="H1734" t="b">
        <f>COUNTIFS(tblCostChecklist[RequirementID],tblCost[[#This Row],[RequirementID]],tblCostChecklist[PlayerPaid],TRUE)&gt;0</f>
        <v>0</v>
      </c>
      <c r="I1734" s="41">
        <f>COUNTIF(tblCost[TargetID],tblCost[[#This Row],[TargetID]])</f>
        <v>8</v>
      </c>
      <c r="J1734" s="41">
        <f>COUNTIFS(tblCost[TargetID],tblCost[[#This Row],[TargetID]],tblCost[PlayerPaid],TRUE)</f>
        <v>0</v>
      </c>
      <c r="K1734" s="41">
        <f>tblCost[[#This Row],[TargetRequirements]]-tblCost[[#This Row],[CompletedRequirements]]</f>
        <v>8</v>
      </c>
      <c r="L1734" s="41" t="b">
        <f>tblCost[[#This Row],[RemainingRequirements]]=0</f>
        <v>0</v>
      </c>
      <c r="M1734" s="43">
        <f>IF(tblCost[[#This Row],[TargetRequirements]]=0,0,tblCost[[#This Row],[CompletedRequirements]]/tblCost[[#This Row],[TargetRequirements]])</f>
        <v>0</v>
      </c>
    </row>
    <row r="1735" spans="1:13">
      <c r="A1735" s="41" t="s">
        <v>5372</v>
      </c>
      <c r="B1735" s="41" t="str">
        <f>_xlfn.TEXTAFTER(_xlfn.TEXTBEFORE(tblCost[[#This Row],[RequirementID]],".",-2),"cost.")</f>
        <v>collection.treasury_1@5</v>
      </c>
      <c r="C1735" s="41" t="str">
        <f>_xlfn.XLOOKUP(tblCost[[#This Row],[TargetID]],tblTargets[TargetID],tblTargets[DisplayName],"")</f>
        <v>Treasury 1 Lv 5</v>
      </c>
      <c r="D1735" s="41" t="str">
        <f>_xlfn.XLOOKUP(tblCost[[#This Row],[TargetID]],tblTargets[TargetID],tblTargets[TargetType],"")</f>
        <v>COLLECTION</v>
      </c>
      <c r="E1735" s="41" t="s">
        <v>708</v>
      </c>
      <c r="F1735" s="62" t="str">
        <f>RIGHT(tblCost[[#This Row],[RequirementID]],1)</f>
        <v>1</v>
      </c>
      <c r="G1735" s="41">
        <v>25</v>
      </c>
      <c r="H1735" t="b">
        <f>COUNTIFS(tblCostChecklist[RequirementID],tblCost[[#This Row],[RequirementID]],tblCostChecklist[PlayerPaid],TRUE)&gt;0</f>
        <v>0</v>
      </c>
      <c r="I1735" s="41">
        <f>COUNTIF(tblCost[TargetID],tblCost[[#This Row],[TargetID]])</f>
        <v>8</v>
      </c>
      <c r="J1735" s="41">
        <f>COUNTIFS(tblCost[TargetID],tblCost[[#This Row],[TargetID]],tblCost[PlayerPaid],TRUE)</f>
        <v>0</v>
      </c>
      <c r="K1735" s="41">
        <f>tblCost[[#This Row],[TargetRequirements]]-tblCost[[#This Row],[CompletedRequirements]]</f>
        <v>8</v>
      </c>
      <c r="L1735" s="41" t="b">
        <f>tblCost[[#This Row],[RemainingRequirements]]=0</f>
        <v>0</v>
      </c>
      <c r="M1735" s="43">
        <f>IF(tblCost[[#This Row],[TargetRequirements]]=0,0,tblCost[[#This Row],[CompletedRequirements]]/tblCost[[#This Row],[TargetRequirements]])</f>
        <v>0</v>
      </c>
    </row>
    <row r="1736" spans="1:13">
      <c r="A1736" s="41" t="s">
        <v>5373</v>
      </c>
      <c r="B1736" s="41" t="str">
        <f>_xlfn.TEXTAFTER(_xlfn.TEXTBEFORE(tblCost[[#This Row],[RequirementID]],".",-2),"cost.")</f>
        <v>collection.treasury_1@5</v>
      </c>
      <c r="C1736" s="41" t="str">
        <f>_xlfn.XLOOKUP(tblCost[[#This Row],[TargetID]],tblTargets[TargetID],tblTargets[DisplayName],"")</f>
        <v>Treasury 1 Lv 5</v>
      </c>
      <c r="D1736" s="41" t="str">
        <f>_xlfn.XLOOKUP(tblCost[[#This Row],[TargetID]],tblTargets[TargetID],tblTargets[TargetType],"")</f>
        <v>COLLECTION</v>
      </c>
      <c r="E1736" s="41" t="s">
        <v>721</v>
      </c>
      <c r="F1736" s="62" t="str">
        <f>RIGHT(tblCost[[#This Row],[RequirementID]],1)</f>
        <v>1</v>
      </c>
      <c r="G1736" s="41">
        <v>50</v>
      </c>
      <c r="H1736" t="b">
        <f>COUNTIFS(tblCostChecklist[RequirementID],tblCost[[#This Row],[RequirementID]],tblCostChecklist[PlayerPaid],TRUE)&gt;0</f>
        <v>0</v>
      </c>
      <c r="I1736" s="41">
        <f>COUNTIF(tblCost[TargetID],tblCost[[#This Row],[TargetID]])</f>
        <v>8</v>
      </c>
      <c r="J1736" s="41">
        <f>COUNTIFS(tblCost[TargetID],tblCost[[#This Row],[TargetID]],tblCost[PlayerPaid],TRUE)</f>
        <v>0</v>
      </c>
      <c r="K1736" s="41">
        <f>tblCost[[#This Row],[TargetRequirements]]-tblCost[[#This Row],[CompletedRequirements]]</f>
        <v>8</v>
      </c>
      <c r="L1736" s="41" t="b">
        <f>tblCost[[#This Row],[RemainingRequirements]]=0</f>
        <v>0</v>
      </c>
      <c r="M1736" s="43">
        <f>IF(tblCost[[#This Row],[TargetRequirements]]=0,0,tblCost[[#This Row],[CompletedRequirements]]/tblCost[[#This Row],[TargetRequirements]])</f>
        <v>0</v>
      </c>
    </row>
    <row r="1737" spans="1:13">
      <c r="A1737" s="41" t="s">
        <v>5374</v>
      </c>
      <c r="B1737" s="41" t="str">
        <f>_xlfn.TEXTAFTER(_xlfn.TEXTBEFORE(tblCost[[#This Row],[RequirementID]],".",-2),"cost.")</f>
        <v>collection.treasury_2@1</v>
      </c>
      <c r="C1737" s="41" t="str">
        <f>_xlfn.XLOOKUP(tblCost[[#This Row],[TargetID]],tblTargets[TargetID],tblTargets[DisplayName],"")</f>
        <v>Treasury 2 Lv 1</v>
      </c>
      <c r="D1737" s="41" t="str">
        <f>_xlfn.XLOOKUP(tblCost[[#This Row],[TargetID]],tblTargets[TargetID],tblTargets[TargetType],"")</f>
        <v>COLLECTION</v>
      </c>
      <c r="E1737" s="41" t="s">
        <v>947</v>
      </c>
      <c r="F1737" s="62" t="str">
        <f>RIGHT(tblCost[[#This Row],[RequirementID]],1)</f>
        <v>1</v>
      </c>
      <c r="G1737" s="41">
        <v>3</v>
      </c>
      <c r="H1737" t="b">
        <f>COUNTIFS(tblCostChecklist[RequirementID],tblCost[[#This Row],[RequirementID]],tblCostChecklist[PlayerPaid],TRUE)&gt;0</f>
        <v>0</v>
      </c>
      <c r="I1737" s="41">
        <f>COUNTIF(tblCost[TargetID],tblCost[[#This Row],[TargetID]])</f>
        <v>5</v>
      </c>
      <c r="J1737" s="41">
        <f>COUNTIFS(tblCost[TargetID],tblCost[[#This Row],[TargetID]],tblCost[PlayerPaid],TRUE)</f>
        <v>0</v>
      </c>
      <c r="K1737" s="41">
        <f>tblCost[[#This Row],[TargetRequirements]]-tblCost[[#This Row],[CompletedRequirements]]</f>
        <v>5</v>
      </c>
      <c r="L1737" s="41" t="b">
        <f>tblCost[[#This Row],[RemainingRequirements]]=0</f>
        <v>0</v>
      </c>
      <c r="M1737" s="43">
        <f>IF(tblCost[[#This Row],[TargetRequirements]]=0,0,tblCost[[#This Row],[CompletedRequirements]]/tblCost[[#This Row],[TargetRequirements]])</f>
        <v>0</v>
      </c>
    </row>
    <row r="1738" spans="1:13">
      <c r="A1738" s="41" t="s">
        <v>5375</v>
      </c>
      <c r="B1738" s="41" t="str">
        <f>_xlfn.TEXTAFTER(_xlfn.TEXTBEFORE(tblCost[[#This Row],[RequirementID]],".",-2),"cost.")</f>
        <v>collection.treasury_2@1</v>
      </c>
      <c r="C1738" s="41" t="str">
        <f>_xlfn.XLOOKUP(tblCost[[#This Row],[TargetID]],tblTargets[TargetID],tblTargets[DisplayName],"")</f>
        <v>Treasury 2 Lv 1</v>
      </c>
      <c r="D1738" s="41" t="str">
        <f>_xlfn.XLOOKUP(tblCost[[#This Row],[TargetID]],tblTargets[TargetID],tblTargets[TargetType],"")</f>
        <v>COLLECTION</v>
      </c>
      <c r="E1738" s="41" t="s">
        <v>1831</v>
      </c>
      <c r="F1738" s="62" t="str">
        <f>RIGHT(tblCost[[#This Row],[RequirementID]],1)</f>
        <v>1</v>
      </c>
      <c r="G1738" s="41">
        <v>3</v>
      </c>
      <c r="H1738" t="b">
        <f>COUNTIFS(tblCostChecklist[RequirementID],tblCost[[#This Row],[RequirementID]],tblCostChecklist[PlayerPaid],TRUE)&gt;0</f>
        <v>0</v>
      </c>
      <c r="I1738" s="41">
        <f>COUNTIF(tblCost[TargetID],tblCost[[#This Row],[TargetID]])</f>
        <v>5</v>
      </c>
      <c r="J1738" s="41">
        <f>COUNTIFS(tblCost[TargetID],tblCost[[#This Row],[TargetID]],tblCost[PlayerPaid],TRUE)</f>
        <v>0</v>
      </c>
      <c r="K1738" s="41">
        <f>tblCost[[#This Row],[TargetRequirements]]-tblCost[[#This Row],[CompletedRequirements]]</f>
        <v>5</v>
      </c>
      <c r="L1738" s="41" t="b">
        <f>tblCost[[#This Row],[RemainingRequirements]]=0</f>
        <v>0</v>
      </c>
      <c r="M1738" s="43">
        <f>IF(tblCost[[#This Row],[TargetRequirements]]=0,0,tblCost[[#This Row],[CompletedRequirements]]/tblCost[[#This Row],[TargetRequirements]])</f>
        <v>0</v>
      </c>
    </row>
    <row r="1739" spans="1:13">
      <c r="A1739" s="41" t="s">
        <v>5376</v>
      </c>
      <c r="B1739" s="41" t="str">
        <f>_xlfn.TEXTAFTER(_xlfn.TEXTBEFORE(tblCost[[#This Row],[RequirementID]],".",-2),"cost.")</f>
        <v>collection.treasury_2@1</v>
      </c>
      <c r="C1739" s="41" t="str">
        <f>_xlfn.XLOOKUP(tblCost[[#This Row],[TargetID]],tblTargets[TargetID],tblTargets[DisplayName],"")</f>
        <v>Treasury 2 Lv 1</v>
      </c>
      <c r="D1739" s="41" t="str">
        <f>_xlfn.XLOOKUP(tblCost[[#This Row],[TargetID]],tblTargets[TargetID],tblTargets[TargetType],"")</f>
        <v>COLLECTION</v>
      </c>
      <c r="E1739" s="41" t="s">
        <v>1832</v>
      </c>
      <c r="F1739" s="62" t="str">
        <f>RIGHT(tblCost[[#This Row],[RequirementID]],1)</f>
        <v>1</v>
      </c>
      <c r="G1739" s="41">
        <v>3</v>
      </c>
      <c r="H1739" t="b">
        <f>COUNTIFS(tblCostChecklist[RequirementID],tblCost[[#This Row],[RequirementID]],tblCostChecklist[PlayerPaid],TRUE)&gt;0</f>
        <v>0</v>
      </c>
      <c r="I1739" s="41">
        <f>COUNTIF(tblCost[TargetID],tblCost[[#This Row],[TargetID]])</f>
        <v>5</v>
      </c>
      <c r="J1739" s="41">
        <f>COUNTIFS(tblCost[TargetID],tblCost[[#This Row],[TargetID]],tblCost[PlayerPaid],TRUE)</f>
        <v>0</v>
      </c>
      <c r="K1739" s="41">
        <f>tblCost[[#This Row],[TargetRequirements]]-tblCost[[#This Row],[CompletedRequirements]]</f>
        <v>5</v>
      </c>
      <c r="L1739" s="41" t="b">
        <f>tblCost[[#This Row],[RemainingRequirements]]=0</f>
        <v>0</v>
      </c>
      <c r="M1739" s="43">
        <f>IF(tblCost[[#This Row],[TargetRequirements]]=0,0,tblCost[[#This Row],[CompletedRequirements]]/tblCost[[#This Row],[TargetRequirements]])</f>
        <v>0</v>
      </c>
    </row>
    <row r="1740" spans="1:13">
      <c r="A1740" s="41" t="s">
        <v>5377</v>
      </c>
      <c r="B1740" s="41" t="str">
        <f>_xlfn.TEXTAFTER(_xlfn.TEXTBEFORE(tblCost[[#This Row],[RequirementID]],".",-2),"cost.")</f>
        <v>collection.treasury_2@1</v>
      </c>
      <c r="C1740" s="41" t="str">
        <f>_xlfn.XLOOKUP(tblCost[[#This Row],[TargetID]],tblTargets[TargetID],tblTargets[DisplayName],"")</f>
        <v>Treasury 2 Lv 1</v>
      </c>
      <c r="D1740" s="41" t="str">
        <f>_xlfn.XLOOKUP(tblCost[[#This Row],[TargetID]],tblTargets[TargetID],tblTargets[TargetType],"")</f>
        <v>COLLECTION</v>
      </c>
      <c r="E1740" s="41" t="s">
        <v>1833</v>
      </c>
      <c r="F1740" s="62" t="str">
        <f>RIGHT(tblCost[[#This Row],[RequirementID]],1)</f>
        <v>1</v>
      </c>
      <c r="G1740" s="41">
        <v>3</v>
      </c>
      <c r="H1740" t="b">
        <f>COUNTIFS(tblCostChecklist[RequirementID],tblCost[[#This Row],[RequirementID]],tblCostChecklist[PlayerPaid],TRUE)&gt;0</f>
        <v>0</v>
      </c>
      <c r="I1740" s="41">
        <f>COUNTIF(tblCost[TargetID],tblCost[[#This Row],[TargetID]])</f>
        <v>5</v>
      </c>
      <c r="J1740" s="41">
        <f>COUNTIFS(tblCost[TargetID],tblCost[[#This Row],[TargetID]],tblCost[PlayerPaid],TRUE)</f>
        <v>0</v>
      </c>
      <c r="K1740" s="41">
        <f>tblCost[[#This Row],[TargetRequirements]]-tblCost[[#This Row],[CompletedRequirements]]</f>
        <v>5</v>
      </c>
      <c r="L1740" s="41" t="b">
        <f>tblCost[[#This Row],[RemainingRequirements]]=0</f>
        <v>0</v>
      </c>
      <c r="M1740" s="43">
        <f>IF(tblCost[[#This Row],[TargetRequirements]]=0,0,tblCost[[#This Row],[CompletedRequirements]]/tblCost[[#This Row],[TargetRequirements]])</f>
        <v>0</v>
      </c>
    </row>
    <row r="1741" spans="1:13">
      <c r="A1741" s="41" t="s">
        <v>5378</v>
      </c>
      <c r="B1741" s="41" t="str">
        <f>_xlfn.TEXTAFTER(_xlfn.TEXTBEFORE(tblCost[[#This Row],[RequirementID]],".",-2),"cost.")</f>
        <v>collection.treasury_2@1</v>
      </c>
      <c r="C1741" s="41" t="str">
        <f>_xlfn.XLOOKUP(tblCost[[#This Row],[TargetID]],tblTargets[TargetID],tblTargets[DisplayName],"")</f>
        <v>Treasury 2 Lv 1</v>
      </c>
      <c r="D1741" s="41" t="str">
        <f>_xlfn.XLOOKUP(tblCost[[#This Row],[TargetID]],tblTargets[TargetID],tblTargets[TargetType],"")</f>
        <v>COLLECTION</v>
      </c>
      <c r="E1741" s="41" t="s">
        <v>1834</v>
      </c>
      <c r="F1741" s="62" t="str">
        <f>RIGHT(tblCost[[#This Row],[RequirementID]],1)</f>
        <v>1</v>
      </c>
      <c r="G1741" s="41">
        <v>3</v>
      </c>
      <c r="H1741" t="b">
        <f>COUNTIFS(tblCostChecklist[RequirementID],tblCost[[#This Row],[RequirementID]],tblCostChecklist[PlayerPaid],TRUE)&gt;0</f>
        <v>0</v>
      </c>
      <c r="I1741" s="41">
        <f>COUNTIF(tblCost[TargetID],tblCost[[#This Row],[TargetID]])</f>
        <v>5</v>
      </c>
      <c r="J1741" s="41">
        <f>COUNTIFS(tblCost[TargetID],tblCost[[#This Row],[TargetID]],tblCost[PlayerPaid],TRUE)</f>
        <v>0</v>
      </c>
      <c r="K1741" s="41">
        <f>tblCost[[#This Row],[TargetRequirements]]-tblCost[[#This Row],[CompletedRequirements]]</f>
        <v>5</v>
      </c>
      <c r="L1741" s="41" t="b">
        <f>tblCost[[#This Row],[RemainingRequirements]]=0</f>
        <v>0</v>
      </c>
      <c r="M1741" s="43">
        <f>IF(tblCost[[#This Row],[TargetRequirements]]=0,0,tblCost[[#This Row],[CompletedRequirements]]/tblCost[[#This Row],[TargetRequirements]])</f>
        <v>0</v>
      </c>
    </row>
    <row r="1742" spans="1:13">
      <c r="A1742" s="41" t="s">
        <v>5379</v>
      </c>
      <c r="B1742" s="41" t="str">
        <f>_xlfn.TEXTAFTER(_xlfn.TEXTBEFORE(tblCost[[#This Row],[RequirementID]],".",-2),"cost.")</f>
        <v>collection.treasury_2@2</v>
      </c>
      <c r="C1742" s="41" t="str">
        <f>_xlfn.XLOOKUP(tblCost[[#This Row],[TargetID]],tblTargets[TargetID],tblTargets[DisplayName],"")</f>
        <v>Treasury 2 Lv 2</v>
      </c>
      <c r="D1742" s="41" t="str">
        <f>_xlfn.XLOOKUP(tblCost[[#This Row],[TargetID]],tblTargets[TargetID],tblTargets[TargetType],"")</f>
        <v>COLLECTION</v>
      </c>
      <c r="E1742" s="41" t="s">
        <v>947</v>
      </c>
      <c r="F1742" s="62" t="str">
        <f>RIGHT(tblCost[[#This Row],[RequirementID]],1)</f>
        <v>1</v>
      </c>
      <c r="G1742" s="41">
        <v>6</v>
      </c>
      <c r="H1742" t="b">
        <f>COUNTIFS(tblCostChecklist[RequirementID],tblCost[[#This Row],[RequirementID]],tblCostChecklist[PlayerPaid],TRUE)&gt;0</f>
        <v>0</v>
      </c>
      <c r="I1742" s="41">
        <f>COUNTIF(tblCost[TargetID],tblCost[[#This Row],[TargetID]])</f>
        <v>5</v>
      </c>
      <c r="J1742" s="41">
        <f>COUNTIFS(tblCost[TargetID],tblCost[[#This Row],[TargetID]],tblCost[PlayerPaid],TRUE)</f>
        <v>0</v>
      </c>
      <c r="K1742" s="41">
        <f>tblCost[[#This Row],[TargetRequirements]]-tblCost[[#This Row],[CompletedRequirements]]</f>
        <v>5</v>
      </c>
      <c r="L1742" s="41" t="b">
        <f>tblCost[[#This Row],[RemainingRequirements]]=0</f>
        <v>0</v>
      </c>
      <c r="M1742" s="43">
        <f>IF(tblCost[[#This Row],[TargetRequirements]]=0,0,tblCost[[#This Row],[CompletedRequirements]]/tblCost[[#This Row],[TargetRequirements]])</f>
        <v>0</v>
      </c>
    </row>
    <row r="1743" spans="1:13">
      <c r="A1743" s="41" t="s">
        <v>5380</v>
      </c>
      <c r="B1743" s="41" t="str">
        <f>_xlfn.TEXTAFTER(_xlfn.TEXTBEFORE(tblCost[[#This Row],[RequirementID]],".",-2),"cost.")</f>
        <v>collection.treasury_2@2</v>
      </c>
      <c r="C1743" s="41" t="str">
        <f>_xlfn.XLOOKUP(tblCost[[#This Row],[TargetID]],tblTargets[TargetID],tblTargets[DisplayName],"")</f>
        <v>Treasury 2 Lv 2</v>
      </c>
      <c r="D1743" s="41" t="str">
        <f>_xlfn.XLOOKUP(tblCost[[#This Row],[TargetID]],tblTargets[TargetID],tblTargets[TargetType],"")</f>
        <v>COLLECTION</v>
      </c>
      <c r="E1743" s="41" t="s">
        <v>1831</v>
      </c>
      <c r="F1743" s="62" t="str">
        <f>RIGHT(tblCost[[#This Row],[RequirementID]],1)</f>
        <v>1</v>
      </c>
      <c r="G1743" s="41">
        <v>6</v>
      </c>
      <c r="H1743" t="b">
        <f>COUNTIFS(tblCostChecklist[RequirementID],tblCost[[#This Row],[RequirementID]],tblCostChecklist[PlayerPaid],TRUE)&gt;0</f>
        <v>0</v>
      </c>
      <c r="I1743" s="41">
        <f>COUNTIF(tblCost[TargetID],tblCost[[#This Row],[TargetID]])</f>
        <v>5</v>
      </c>
      <c r="J1743" s="41">
        <f>COUNTIFS(tblCost[TargetID],tblCost[[#This Row],[TargetID]],tblCost[PlayerPaid],TRUE)</f>
        <v>0</v>
      </c>
      <c r="K1743" s="41">
        <f>tblCost[[#This Row],[TargetRequirements]]-tblCost[[#This Row],[CompletedRequirements]]</f>
        <v>5</v>
      </c>
      <c r="L1743" s="41" t="b">
        <f>tblCost[[#This Row],[RemainingRequirements]]=0</f>
        <v>0</v>
      </c>
      <c r="M1743" s="43">
        <f>IF(tblCost[[#This Row],[TargetRequirements]]=0,0,tblCost[[#This Row],[CompletedRequirements]]/tblCost[[#This Row],[TargetRequirements]])</f>
        <v>0</v>
      </c>
    </row>
    <row r="1744" spans="1:13">
      <c r="A1744" s="41" t="s">
        <v>5381</v>
      </c>
      <c r="B1744" s="41" t="str">
        <f>_xlfn.TEXTAFTER(_xlfn.TEXTBEFORE(tblCost[[#This Row],[RequirementID]],".",-2),"cost.")</f>
        <v>collection.treasury_2@2</v>
      </c>
      <c r="C1744" s="41" t="str">
        <f>_xlfn.XLOOKUP(tblCost[[#This Row],[TargetID]],tblTargets[TargetID],tblTargets[DisplayName],"")</f>
        <v>Treasury 2 Lv 2</v>
      </c>
      <c r="D1744" s="41" t="str">
        <f>_xlfn.XLOOKUP(tblCost[[#This Row],[TargetID]],tblTargets[TargetID],tblTargets[TargetType],"")</f>
        <v>COLLECTION</v>
      </c>
      <c r="E1744" s="41" t="s">
        <v>1832</v>
      </c>
      <c r="F1744" s="62" t="str">
        <f>RIGHT(tblCost[[#This Row],[RequirementID]],1)</f>
        <v>1</v>
      </c>
      <c r="G1744" s="41">
        <v>6</v>
      </c>
      <c r="H1744" t="b">
        <f>COUNTIFS(tblCostChecklist[RequirementID],tblCost[[#This Row],[RequirementID]],tblCostChecklist[PlayerPaid],TRUE)&gt;0</f>
        <v>0</v>
      </c>
      <c r="I1744" s="41">
        <f>COUNTIF(tblCost[TargetID],tblCost[[#This Row],[TargetID]])</f>
        <v>5</v>
      </c>
      <c r="J1744" s="41">
        <f>COUNTIFS(tblCost[TargetID],tblCost[[#This Row],[TargetID]],tblCost[PlayerPaid],TRUE)</f>
        <v>0</v>
      </c>
      <c r="K1744" s="41">
        <f>tblCost[[#This Row],[TargetRequirements]]-tblCost[[#This Row],[CompletedRequirements]]</f>
        <v>5</v>
      </c>
      <c r="L1744" s="41" t="b">
        <f>tblCost[[#This Row],[RemainingRequirements]]=0</f>
        <v>0</v>
      </c>
      <c r="M1744" s="43">
        <f>IF(tblCost[[#This Row],[TargetRequirements]]=0,0,tblCost[[#This Row],[CompletedRequirements]]/tblCost[[#This Row],[TargetRequirements]])</f>
        <v>0</v>
      </c>
    </row>
    <row r="1745" spans="1:13">
      <c r="A1745" s="41" t="s">
        <v>5382</v>
      </c>
      <c r="B1745" s="41" t="str">
        <f>_xlfn.TEXTAFTER(_xlfn.TEXTBEFORE(tblCost[[#This Row],[RequirementID]],".",-2),"cost.")</f>
        <v>collection.treasury_2@2</v>
      </c>
      <c r="C1745" s="41" t="str">
        <f>_xlfn.XLOOKUP(tblCost[[#This Row],[TargetID]],tblTargets[TargetID],tblTargets[DisplayName],"")</f>
        <v>Treasury 2 Lv 2</v>
      </c>
      <c r="D1745" s="41" t="str">
        <f>_xlfn.XLOOKUP(tblCost[[#This Row],[TargetID]],tblTargets[TargetID],tblTargets[TargetType],"")</f>
        <v>COLLECTION</v>
      </c>
      <c r="E1745" s="41" t="s">
        <v>1833</v>
      </c>
      <c r="F1745" s="62" t="str">
        <f>RIGHT(tblCost[[#This Row],[RequirementID]],1)</f>
        <v>1</v>
      </c>
      <c r="G1745" s="41">
        <v>6</v>
      </c>
      <c r="H1745" t="b">
        <f>COUNTIFS(tblCostChecklist[RequirementID],tblCost[[#This Row],[RequirementID]],tblCostChecklist[PlayerPaid],TRUE)&gt;0</f>
        <v>0</v>
      </c>
      <c r="I1745" s="41">
        <f>COUNTIF(tblCost[TargetID],tblCost[[#This Row],[TargetID]])</f>
        <v>5</v>
      </c>
      <c r="J1745" s="41">
        <f>COUNTIFS(tblCost[TargetID],tblCost[[#This Row],[TargetID]],tblCost[PlayerPaid],TRUE)</f>
        <v>0</v>
      </c>
      <c r="K1745" s="41">
        <f>tblCost[[#This Row],[TargetRequirements]]-tblCost[[#This Row],[CompletedRequirements]]</f>
        <v>5</v>
      </c>
      <c r="L1745" s="41" t="b">
        <f>tblCost[[#This Row],[RemainingRequirements]]=0</f>
        <v>0</v>
      </c>
      <c r="M1745" s="43">
        <f>IF(tblCost[[#This Row],[TargetRequirements]]=0,0,tblCost[[#This Row],[CompletedRequirements]]/tblCost[[#This Row],[TargetRequirements]])</f>
        <v>0</v>
      </c>
    </row>
    <row r="1746" spans="1:13">
      <c r="A1746" s="41" t="s">
        <v>5383</v>
      </c>
      <c r="B1746" s="41" t="str">
        <f>_xlfn.TEXTAFTER(_xlfn.TEXTBEFORE(tblCost[[#This Row],[RequirementID]],".",-2),"cost.")</f>
        <v>collection.treasury_2@2</v>
      </c>
      <c r="C1746" s="41" t="str">
        <f>_xlfn.XLOOKUP(tblCost[[#This Row],[TargetID]],tblTargets[TargetID],tblTargets[DisplayName],"")</f>
        <v>Treasury 2 Lv 2</v>
      </c>
      <c r="D1746" s="41" t="str">
        <f>_xlfn.XLOOKUP(tblCost[[#This Row],[TargetID]],tblTargets[TargetID],tblTargets[TargetType],"")</f>
        <v>COLLECTION</v>
      </c>
      <c r="E1746" s="41" t="s">
        <v>1834</v>
      </c>
      <c r="F1746" s="62" t="str">
        <f>RIGHT(tblCost[[#This Row],[RequirementID]],1)</f>
        <v>1</v>
      </c>
      <c r="G1746" s="41">
        <v>6</v>
      </c>
      <c r="H1746" t="b">
        <f>COUNTIFS(tblCostChecklist[RequirementID],tblCost[[#This Row],[RequirementID]],tblCostChecklist[PlayerPaid],TRUE)&gt;0</f>
        <v>0</v>
      </c>
      <c r="I1746" s="41">
        <f>COUNTIF(tblCost[TargetID],tblCost[[#This Row],[TargetID]])</f>
        <v>5</v>
      </c>
      <c r="J1746" s="41">
        <f>COUNTIFS(tblCost[TargetID],tblCost[[#This Row],[TargetID]],tblCost[PlayerPaid],TRUE)</f>
        <v>0</v>
      </c>
      <c r="K1746" s="41">
        <f>tblCost[[#This Row],[TargetRequirements]]-tblCost[[#This Row],[CompletedRequirements]]</f>
        <v>5</v>
      </c>
      <c r="L1746" s="41" t="b">
        <f>tblCost[[#This Row],[RemainingRequirements]]=0</f>
        <v>0</v>
      </c>
      <c r="M1746" s="43">
        <f>IF(tblCost[[#This Row],[TargetRequirements]]=0,0,tblCost[[#This Row],[CompletedRequirements]]/tblCost[[#This Row],[TargetRequirements]])</f>
        <v>0</v>
      </c>
    </row>
    <row r="1747" spans="1:13">
      <c r="A1747" s="41" t="s">
        <v>5384</v>
      </c>
      <c r="B1747" s="41" t="str">
        <f>_xlfn.TEXTAFTER(_xlfn.TEXTBEFORE(tblCost[[#This Row],[RequirementID]],".",-2),"cost.")</f>
        <v>collection.treasury_2@3</v>
      </c>
      <c r="C1747" s="41" t="str">
        <f>_xlfn.XLOOKUP(tblCost[[#This Row],[TargetID]],tblTargets[TargetID],tblTargets[DisplayName],"")</f>
        <v>Treasury 2 Lv 3</v>
      </c>
      <c r="D1747" s="41" t="str">
        <f>_xlfn.XLOOKUP(tblCost[[#This Row],[TargetID]],tblTargets[TargetID],tblTargets[TargetType],"")</f>
        <v>COLLECTION</v>
      </c>
      <c r="E1747" s="41" t="s">
        <v>947</v>
      </c>
      <c r="F1747" s="62" t="str">
        <f>RIGHT(tblCost[[#This Row],[RequirementID]],1)</f>
        <v>1</v>
      </c>
      <c r="G1747" s="41">
        <v>9</v>
      </c>
      <c r="H1747" t="b">
        <f>COUNTIFS(tblCostChecklist[RequirementID],tblCost[[#This Row],[RequirementID]],tblCostChecklist[PlayerPaid],TRUE)&gt;0</f>
        <v>0</v>
      </c>
      <c r="I1747" s="41">
        <f>COUNTIF(tblCost[TargetID],tblCost[[#This Row],[TargetID]])</f>
        <v>5</v>
      </c>
      <c r="J1747" s="41">
        <f>COUNTIFS(tblCost[TargetID],tblCost[[#This Row],[TargetID]],tblCost[PlayerPaid],TRUE)</f>
        <v>0</v>
      </c>
      <c r="K1747" s="41">
        <f>tblCost[[#This Row],[TargetRequirements]]-tblCost[[#This Row],[CompletedRequirements]]</f>
        <v>5</v>
      </c>
      <c r="L1747" s="41" t="b">
        <f>tblCost[[#This Row],[RemainingRequirements]]=0</f>
        <v>0</v>
      </c>
      <c r="M1747" s="43">
        <f>IF(tblCost[[#This Row],[TargetRequirements]]=0,0,tblCost[[#This Row],[CompletedRequirements]]/tblCost[[#This Row],[TargetRequirements]])</f>
        <v>0</v>
      </c>
    </row>
    <row r="1748" spans="1:13">
      <c r="A1748" s="41" t="s">
        <v>5385</v>
      </c>
      <c r="B1748" s="41" t="str">
        <f>_xlfn.TEXTAFTER(_xlfn.TEXTBEFORE(tblCost[[#This Row],[RequirementID]],".",-2),"cost.")</f>
        <v>collection.treasury_2@3</v>
      </c>
      <c r="C1748" s="41" t="str">
        <f>_xlfn.XLOOKUP(tblCost[[#This Row],[TargetID]],tblTargets[TargetID],tblTargets[DisplayName],"")</f>
        <v>Treasury 2 Lv 3</v>
      </c>
      <c r="D1748" s="41" t="str">
        <f>_xlfn.XLOOKUP(tblCost[[#This Row],[TargetID]],tblTargets[TargetID],tblTargets[TargetType],"")</f>
        <v>COLLECTION</v>
      </c>
      <c r="E1748" s="41" t="s">
        <v>1831</v>
      </c>
      <c r="F1748" s="62" t="str">
        <f>RIGHT(tblCost[[#This Row],[RequirementID]],1)</f>
        <v>1</v>
      </c>
      <c r="G1748" s="41">
        <v>9</v>
      </c>
      <c r="H1748" t="b">
        <f>COUNTIFS(tblCostChecklist[RequirementID],tblCost[[#This Row],[RequirementID]],tblCostChecklist[PlayerPaid],TRUE)&gt;0</f>
        <v>0</v>
      </c>
      <c r="I1748" s="41">
        <f>COUNTIF(tblCost[TargetID],tblCost[[#This Row],[TargetID]])</f>
        <v>5</v>
      </c>
      <c r="J1748" s="41">
        <f>COUNTIFS(tblCost[TargetID],tblCost[[#This Row],[TargetID]],tblCost[PlayerPaid],TRUE)</f>
        <v>0</v>
      </c>
      <c r="K1748" s="41">
        <f>tblCost[[#This Row],[TargetRequirements]]-tblCost[[#This Row],[CompletedRequirements]]</f>
        <v>5</v>
      </c>
      <c r="L1748" s="41" t="b">
        <f>tblCost[[#This Row],[RemainingRequirements]]=0</f>
        <v>0</v>
      </c>
      <c r="M1748" s="43">
        <f>IF(tblCost[[#This Row],[TargetRequirements]]=0,0,tblCost[[#This Row],[CompletedRequirements]]/tblCost[[#This Row],[TargetRequirements]])</f>
        <v>0</v>
      </c>
    </row>
    <row r="1749" spans="1:13">
      <c r="A1749" s="41" t="s">
        <v>5386</v>
      </c>
      <c r="B1749" s="41" t="str">
        <f>_xlfn.TEXTAFTER(_xlfn.TEXTBEFORE(tblCost[[#This Row],[RequirementID]],".",-2),"cost.")</f>
        <v>collection.treasury_2@3</v>
      </c>
      <c r="C1749" s="41" t="str">
        <f>_xlfn.XLOOKUP(tblCost[[#This Row],[TargetID]],tblTargets[TargetID],tblTargets[DisplayName],"")</f>
        <v>Treasury 2 Lv 3</v>
      </c>
      <c r="D1749" s="41" t="str">
        <f>_xlfn.XLOOKUP(tblCost[[#This Row],[TargetID]],tblTargets[TargetID],tblTargets[TargetType],"")</f>
        <v>COLLECTION</v>
      </c>
      <c r="E1749" s="41" t="s">
        <v>1832</v>
      </c>
      <c r="F1749" s="62" t="str">
        <f>RIGHT(tblCost[[#This Row],[RequirementID]],1)</f>
        <v>1</v>
      </c>
      <c r="G1749" s="41">
        <v>9</v>
      </c>
      <c r="H1749" t="b">
        <f>COUNTIFS(tblCostChecklist[RequirementID],tblCost[[#This Row],[RequirementID]],tblCostChecklist[PlayerPaid],TRUE)&gt;0</f>
        <v>0</v>
      </c>
      <c r="I1749" s="41">
        <f>COUNTIF(tblCost[TargetID],tblCost[[#This Row],[TargetID]])</f>
        <v>5</v>
      </c>
      <c r="J1749" s="41">
        <f>COUNTIFS(tblCost[TargetID],tblCost[[#This Row],[TargetID]],tblCost[PlayerPaid],TRUE)</f>
        <v>0</v>
      </c>
      <c r="K1749" s="41">
        <f>tblCost[[#This Row],[TargetRequirements]]-tblCost[[#This Row],[CompletedRequirements]]</f>
        <v>5</v>
      </c>
      <c r="L1749" s="41" t="b">
        <f>tblCost[[#This Row],[RemainingRequirements]]=0</f>
        <v>0</v>
      </c>
      <c r="M1749" s="43">
        <f>IF(tblCost[[#This Row],[TargetRequirements]]=0,0,tblCost[[#This Row],[CompletedRequirements]]/tblCost[[#This Row],[TargetRequirements]])</f>
        <v>0</v>
      </c>
    </row>
    <row r="1750" spans="1:13">
      <c r="A1750" s="41" t="s">
        <v>5387</v>
      </c>
      <c r="B1750" s="41" t="str">
        <f>_xlfn.TEXTAFTER(_xlfn.TEXTBEFORE(tblCost[[#This Row],[RequirementID]],".",-2),"cost.")</f>
        <v>collection.treasury_2@3</v>
      </c>
      <c r="C1750" s="41" t="str">
        <f>_xlfn.XLOOKUP(tblCost[[#This Row],[TargetID]],tblTargets[TargetID],tblTargets[DisplayName],"")</f>
        <v>Treasury 2 Lv 3</v>
      </c>
      <c r="D1750" s="41" t="str">
        <f>_xlfn.XLOOKUP(tblCost[[#This Row],[TargetID]],tblTargets[TargetID],tblTargets[TargetType],"")</f>
        <v>COLLECTION</v>
      </c>
      <c r="E1750" s="41" t="s">
        <v>1833</v>
      </c>
      <c r="F1750" s="62" t="str">
        <f>RIGHT(tblCost[[#This Row],[RequirementID]],1)</f>
        <v>1</v>
      </c>
      <c r="G1750" s="41">
        <v>9</v>
      </c>
      <c r="H1750" t="b">
        <f>COUNTIFS(tblCostChecklist[RequirementID],tblCost[[#This Row],[RequirementID]],tblCostChecklist[PlayerPaid],TRUE)&gt;0</f>
        <v>0</v>
      </c>
      <c r="I1750" s="41">
        <f>COUNTIF(tblCost[TargetID],tblCost[[#This Row],[TargetID]])</f>
        <v>5</v>
      </c>
      <c r="J1750" s="41">
        <f>COUNTIFS(tblCost[TargetID],tblCost[[#This Row],[TargetID]],tblCost[PlayerPaid],TRUE)</f>
        <v>0</v>
      </c>
      <c r="K1750" s="41">
        <f>tblCost[[#This Row],[TargetRequirements]]-tblCost[[#This Row],[CompletedRequirements]]</f>
        <v>5</v>
      </c>
      <c r="L1750" s="41" t="b">
        <f>tblCost[[#This Row],[RemainingRequirements]]=0</f>
        <v>0</v>
      </c>
      <c r="M1750" s="43">
        <f>IF(tblCost[[#This Row],[TargetRequirements]]=0,0,tblCost[[#This Row],[CompletedRequirements]]/tblCost[[#This Row],[TargetRequirements]])</f>
        <v>0</v>
      </c>
    </row>
    <row r="1751" spans="1:13">
      <c r="A1751" s="41" t="s">
        <v>5388</v>
      </c>
      <c r="B1751" s="41" t="str">
        <f>_xlfn.TEXTAFTER(_xlfn.TEXTBEFORE(tblCost[[#This Row],[RequirementID]],".",-2),"cost.")</f>
        <v>collection.treasury_2@3</v>
      </c>
      <c r="C1751" s="41" t="str">
        <f>_xlfn.XLOOKUP(tblCost[[#This Row],[TargetID]],tblTargets[TargetID],tblTargets[DisplayName],"")</f>
        <v>Treasury 2 Lv 3</v>
      </c>
      <c r="D1751" s="41" t="str">
        <f>_xlfn.XLOOKUP(tblCost[[#This Row],[TargetID]],tblTargets[TargetID],tblTargets[TargetType],"")</f>
        <v>COLLECTION</v>
      </c>
      <c r="E1751" s="41" t="s">
        <v>1834</v>
      </c>
      <c r="F1751" s="62" t="str">
        <f>RIGHT(tblCost[[#This Row],[RequirementID]],1)</f>
        <v>1</v>
      </c>
      <c r="G1751" s="41">
        <v>9</v>
      </c>
      <c r="H1751" t="b">
        <f>COUNTIFS(tblCostChecklist[RequirementID],tblCost[[#This Row],[RequirementID]],tblCostChecklist[PlayerPaid],TRUE)&gt;0</f>
        <v>0</v>
      </c>
      <c r="I1751" s="41">
        <f>COUNTIF(tblCost[TargetID],tblCost[[#This Row],[TargetID]])</f>
        <v>5</v>
      </c>
      <c r="J1751" s="41">
        <f>COUNTIFS(tblCost[TargetID],tblCost[[#This Row],[TargetID]],tblCost[PlayerPaid],TRUE)</f>
        <v>0</v>
      </c>
      <c r="K1751" s="41">
        <f>tblCost[[#This Row],[TargetRequirements]]-tblCost[[#This Row],[CompletedRequirements]]</f>
        <v>5</v>
      </c>
      <c r="L1751" s="41" t="b">
        <f>tblCost[[#This Row],[RemainingRequirements]]=0</f>
        <v>0</v>
      </c>
      <c r="M1751" s="43">
        <f>IF(tblCost[[#This Row],[TargetRequirements]]=0,0,tblCost[[#This Row],[CompletedRequirements]]/tblCost[[#This Row],[TargetRequirements]])</f>
        <v>0</v>
      </c>
    </row>
    <row r="1752" spans="1:13">
      <c r="A1752" s="41" t="s">
        <v>5389</v>
      </c>
      <c r="B1752" s="41" t="str">
        <f>_xlfn.TEXTAFTER(_xlfn.TEXTBEFORE(tblCost[[#This Row],[RequirementID]],".",-2),"cost.")</f>
        <v>collection.treasury_3@1</v>
      </c>
      <c r="C1752" s="41" t="str">
        <f>_xlfn.XLOOKUP(tblCost[[#This Row],[TargetID]],tblTargets[TargetID],tblTargets[DisplayName],"")</f>
        <v>Treasury 3 Lv 1</v>
      </c>
      <c r="D1752" s="41" t="str">
        <f>_xlfn.XLOOKUP(tblCost[[#This Row],[TargetID]],tblTargets[TargetID],tblTargets[TargetType],"")</f>
        <v>COLLECTION</v>
      </c>
      <c r="E1752" s="41" t="s">
        <v>930</v>
      </c>
      <c r="F1752" s="62" t="str">
        <f>RIGHT(tblCost[[#This Row],[RequirementID]],1)</f>
        <v>1</v>
      </c>
      <c r="G1752" s="41">
        <v>3</v>
      </c>
      <c r="H1752" t="b">
        <f>COUNTIFS(tblCostChecklist[RequirementID],tblCost[[#This Row],[RequirementID]],tblCostChecklist[PlayerPaid],TRUE)&gt;0</f>
        <v>0</v>
      </c>
      <c r="I1752" s="41">
        <f>COUNTIF(tblCost[TargetID],tblCost[[#This Row],[TargetID]])</f>
        <v>5</v>
      </c>
      <c r="J1752" s="41">
        <f>COUNTIFS(tblCost[TargetID],tblCost[[#This Row],[TargetID]],tblCost[PlayerPaid],TRUE)</f>
        <v>0</v>
      </c>
      <c r="K1752" s="41">
        <f>tblCost[[#This Row],[TargetRequirements]]-tblCost[[#This Row],[CompletedRequirements]]</f>
        <v>5</v>
      </c>
      <c r="L1752" s="41" t="b">
        <f>tblCost[[#This Row],[RemainingRequirements]]=0</f>
        <v>0</v>
      </c>
      <c r="M1752" s="43">
        <f>IF(tblCost[[#This Row],[TargetRequirements]]=0,0,tblCost[[#This Row],[CompletedRequirements]]/tblCost[[#This Row],[TargetRequirements]])</f>
        <v>0</v>
      </c>
    </row>
    <row r="1753" spans="1:13">
      <c r="A1753" s="41" t="s">
        <v>5390</v>
      </c>
      <c r="B1753" s="41" t="str">
        <f>_xlfn.TEXTAFTER(_xlfn.TEXTBEFORE(tblCost[[#This Row],[RequirementID]],".",-2),"cost.")</f>
        <v>collection.treasury_3@1</v>
      </c>
      <c r="C1753" s="41" t="str">
        <f>_xlfn.XLOOKUP(tblCost[[#This Row],[TargetID]],tblTargets[TargetID],tblTargets[DisplayName],"")</f>
        <v>Treasury 3 Lv 1</v>
      </c>
      <c r="D1753" s="41" t="str">
        <f>_xlfn.XLOOKUP(tblCost[[#This Row],[TargetID]],tblTargets[TargetID],tblTargets[TargetType],"")</f>
        <v>COLLECTION</v>
      </c>
      <c r="E1753" s="41" t="s">
        <v>1806</v>
      </c>
      <c r="F1753" s="62" t="str">
        <f>RIGHT(tblCost[[#This Row],[RequirementID]],1)</f>
        <v>1</v>
      </c>
      <c r="G1753" s="41">
        <v>1</v>
      </c>
      <c r="H1753" t="b">
        <f>COUNTIFS(tblCostChecklist[RequirementID],tblCost[[#This Row],[RequirementID]],tblCostChecklist[PlayerPaid],TRUE)&gt;0</f>
        <v>0</v>
      </c>
      <c r="I1753" s="41">
        <f>COUNTIF(tblCost[TargetID],tblCost[[#This Row],[TargetID]])</f>
        <v>5</v>
      </c>
      <c r="J1753" s="41">
        <f>COUNTIFS(tblCost[TargetID],tblCost[[#This Row],[TargetID]],tblCost[PlayerPaid],TRUE)</f>
        <v>0</v>
      </c>
      <c r="K1753" s="41">
        <f>tblCost[[#This Row],[TargetRequirements]]-tblCost[[#This Row],[CompletedRequirements]]</f>
        <v>5</v>
      </c>
      <c r="L1753" s="41" t="b">
        <f>tblCost[[#This Row],[RemainingRequirements]]=0</f>
        <v>0</v>
      </c>
      <c r="M1753" s="43">
        <f>IF(tblCost[[#This Row],[TargetRequirements]]=0,0,tblCost[[#This Row],[CompletedRequirements]]/tblCost[[#This Row],[TargetRequirements]])</f>
        <v>0</v>
      </c>
    </row>
    <row r="1754" spans="1:13">
      <c r="A1754" s="41" t="s">
        <v>5391</v>
      </c>
      <c r="B1754" s="41" t="str">
        <f>_xlfn.TEXTAFTER(_xlfn.TEXTBEFORE(tblCost[[#This Row],[RequirementID]],".",-2),"cost.")</f>
        <v>collection.treasury_3@1</v>
      </c>
      <c r="C1754" s="41" t="str">
        <f>_xlfn.XLOOKUP(tblCost[[#This Row],[TargetID]],tblTargets[TargetID],tblTargets[DisplayName],"")</f>
        <v>Treasury 3 Lv 1</v>
      </c>
      <c r="D1754" s="41" t="str">
        <f>_xlfn.XLOOKUP(tblCost[[#This Row],[TargetID]],tblTargets[TargetID],tblTargets[TargetType],"")</f>
        <v>COLLECTION</v>
      </c>
      <c r="E1754" s="41" t="s">
        <v>1806</v>
      </c>
      <c r="F1754" s="62" t="str">
        <f>RIGHT(tblCost[[#This Row],[RequirementID]],1)</f>
        <v>2</v>
      </c>
      <c r="G1754" s="41">
        <v>1</v>
      </c>
      <c r="H1754" t="b">
        <f>COUNTIFS(tblCostChecklist[RequirementID],tblCost[[#This Row],[RequirementID]],tblCostChecklist[PlayerPaid],TRUE)&gt;0</f>
        <v>0</v>
      </c>
      <c r="I1754" s="41">
        <f>COUNTIF(tblCost[TargetID],tblCost[[#This Row],[TargetID]])</f>
        <v>5</v>
      </c>
      <c r="J1754" s="41">
        <f>COUNTIFS(tblCost[TargetID],tblCost[[#This Row],[TargetID]],tblCost[PlayerPaid],TRUE)</f>
        <v>0</v>
      </c>
      <c r="K1754" s="41">
        <f>tblCost[[#This Row],[TargetRequirements]]-tblCost[[#This Row],[CompletedRequirements]]</f>
        <v>5</v>
      </c>
      <c r="L1754" s="41" t="b">
        <f>tblCost[[#This Row],[RemainingRequirements]]=0</f>
        <v>0</v>
      </c>
      <c r="M1754" s="43">
        <f>IF(tblCost[[#This Row],[TargetRequirements]]=0,0,tblCost[[#This Row],[CompletedRequirements]]/tblCost[[#This Row],[TargetRequirements]])</f>
        <v>0</v>
      </c>
    </row>
    <row r="1755" spans="1:13">
      <c r="A1755" s="41" t="s">
        <v>5392</v>
      </c>
      <c r="B1755" s="41" t="str">
        <f>_xlfn.TEXTAFTER(_xlfn.TEXTBEFORE(tblCost[[#This Row],[RequirementID]],".",-2),"cost.")</f>
        <v>collection.treasury_3@1</v>
      </c>
      <c r="C1755" s="41" t="str">
        <f>_xlfn.XLOOKUP(tblCost[[#This Row],[TargetID]],tblTargets[TargetID],tblTargets[DisplayName],"")</f>
        <v>Treasury 3 Lv 1</v>
      </c>
      <c r="D1755" s="41" t="str">
        <f>_xlfn.XLOOKUP(tblCost[[#This Row],[TargetID]],tblTargets[TargetID],tblTargets[TargetType],"")</f>
        <v>COLLECTION</v>
      </c>
      <c r="E1755" s="41" t="s">
        <v>1829</v>
      </c>
      <c r="F1755" s="62" t="str">
        <f>RIGHT(tblCost[[#This Row],[RequirementID]],1)</f>
        <v>1</v>
      </c>
      <c r="G1755" s="41">
        <v>1</v>
      </c>
      <c r="H1755" t="b">
        <f>COUNTIFS(tblCostChecklist[RequirementID],tblCost[[#This Row],[RequirementID]],tblCostChecklist[PlayerPaid],TRUE)&gt;0</f>
        <v>0</v>
      </c>
      <c r="I1755" s="41">
        <f>COUNTIF(tblCost[TargetID],tblCost[[#This Row],[TargetID]])</f>
        <v>5</v>
      </c>
      <c r="J1755" s="41">
        <f>COUNTIFS(tblCost[TargetID],tblCost[[#This Row],[TargetID]],tblCost[PlayerPaid],TRUE)</f>
        <v>0</v>
      </c>
      <c r="K1755" s="41">
        <f>tblCost[[#This Row],[TargetRequirements]]-tblCost[[#This Row],[CompletedRequirements]]</f>
        <v>5</v>
      </c>
      <c r="L1755" s="41" t="b">
        <f>tblCost[[#This Row],[RemainingRequirements]]=0</f>
        <v>0</v>
      </c>
      <c r="M1755" s="43">
        <f>IF(tblCost[[#This Row],[TargetRequirements]]=0,0,tblCost[[#This Row],[CompletedRequirements]]/tblCost[[#This Row],[TargetRequirements]])</f>
        <v>0</v>
      </c>
    </row>
    <row r="1756" spans="1:13">
      <c r="A1756" s="41" t="s">
        <v>5393</v>
      </c>
      <c r="B1756" s="41" t="str">
        <f>_xlfn.TEXTAFTER(_xlfn.TEXTBEFORE(tblCost[[#This Row],[RequirementID]],".",-2),"cost.")</f>
        <v>collection.treasury_3@1</v>
      </c>
      <c r="C1756" s="41" t="str">
        <f>_xlfn.XLOOKUP(tblCost[[#This Row],[TargetID]],tblTargets[TargetID],tblTargets[DisplayName],"")</f>
        <v>Treasury 3 Lv 1</v>
      </c>
      <c r="D1756" s="41" t="str">
        <f>_xlfn.XLOOKUP(tblCost[[#This Row],[TargetID]],tblTargets[TargetID],tblTargets[TargetType],"")</f>
        <v>COLLECTION</v>
      </c>
      <c r="E1756" s="41" t="s">
        <v>946</v>
      </c>
      <c r="F1756" s="62" t="str">
        <f>RIGHT(tblCost[[#This Row],[RequirementID]],1)</f>
        <v>1</v>
      </c>
      <c r="G1756" s="41">
        <v>1</v>
      </c>
      <c r="H1756" t="b">
        <f>COUNTIFS(tblCostChecklist[RequirementID],tblCost[[#This Row],[RequirementID]],tblCostChecklist[PlayerPaid],TRUE)&gt;0</f>
        <v>0</v>
      </c>
      <c r="I1756" s="41">
        <f>COUNTIF(tblCost[TargetID],tblCost[[#This Row],[TargetID]])</f>
        <v>5</v>
      </c>
      <c r="J1756" s="41">
        <f>COUNTIFS(tblCost[TargetID],tblCost[[#This Row],[TargetID]],tblCost[PlayerPaid],TRUE)</f>
        <v>0</v>
      </c>
      <c r="K1756" s="41">
        <f>tblCost[[#This Row],[TargetRequirements]]-tblCost[[#This Row],[CompletedRequirements]]</f>
        <v>5</v>
      </c>
      <c r="L1756" s="41" t="b">
        <f>tblCost[[#This Row],[RemainingRequirements]]=0</f>
        <v>0</v>
      </c>
      <c r="M1756" s="43">
        <f>IF(tblCost[[#This Row],[TargetRequirements]]=0,0,tblCost[[#This Row],[CompletedRequirements]]/tblCost[[#This Row],[TargetRequirements]])</f>
        <v>0</v>
      </c>
    </row>
    <row r="1757" spans="1:13">
      <c r="A1757" s="41" t="s">
        <v>5394</v>
      </c>
      <c r="B1757" s="41" t="str">
        <f>_xlfn.TEXTAFTER(_xlfn.TEXTBEFORE(tblCost[[#This Row],[RequirementID]],".",-2),"cost.")</f>
        <v>craftifact.astrolabe</v>
      </c>
      <c r="C1757" s="41" t="str">
        <f>_xlfn.XLOOKUP(tblCost[[#This Row],[TargetID]],tblTargets[TargetID],tblTargets[DisplayName],"")</f>
        <v>Astrolabe</v>
      </c>
      <c r="D1757" s="41" t="str">
        <f>_xlfn.XLOOKUP(tblCost[[#This Row],[TargetID]],tblTargets[TargetID],tblTargets[TargetType],"")</f>
        <v>CRAFTIFACT</v>
      </c>
      <c r="E1757" s="41" t="s">
        <v>662</v>
      </c>
      <c r="F1757" s="62" t="str">
        <f>RIGHT(tblCost[[#This Row],[RequirementID]],1)</f>
        <v>1</v>
      </c>
      <c r="G1757" s="41">
        <v>15</v>
      </c>
      <c r="H1757" t="b">
        <f>COUNTIFS(tblCostChecklist[RequirementID],tblCost[[#This Row],[RequirementID]],tblCostChecklist[PlayerPaid],TRUE)&gt;0</f>
        <v>0</v>
      </c>
      <c r="I1757" s="41">
        <f>COUNTIF(tblCost[TargetID],tblCost[[#This Row],[TargetID]])</f>
        <v>5</v>
      </c>
      <c r="J1757" s="41">
        <f>COUNTIFS(tblCost[TargetID],tblCost[[#This Row],[TargetID]],tblCost[PlayerPaid],TRUE)</f>
        <v>0</v>
      </c>
      <c r="K1757" s="41">
        <f>tblCost[[#This Row],[TargetRequirements]]-tblCost[[#This Row],[CompletedRequirements]]</f>
        <v>5</v>
      </c>
      <c r="L1757" s="41" t="b">
        <f>tblCost[[#This Row],[RemainingRequirements]]=0</f>
        <v>0</v>
      </c>
      <c r="M1757" s="43">
        <f>IF(tblCost[[#This Row],[TargetRequirements]]=0,0,tblCost[[#This Row],[CompletedRequirements]]/tblCost[[#This Row],[TargetRequirements]])</f>
        <v>0</v>
      </c>
    </row>
    <row r="1758" spans="1:13">
      <c r="A1758" s="41" t="s">
        <v>5395</v>
      </c>
      <c r="B1758" s="41" t="str">
        <f>_xlfn.TEXTAFTER(_xlfn.TEXTBEFORE(tblCost[[#This Row],[RequirementID]],".",-2),"cost.")</f>
        <v>craftifact.astrolabe</v>
      </c>
      <c r="C1758" s="41" t="str">
        <f>_xlfn.XLOOKUP(tblCost[[#This Row],[TargetID]],tblTargets[TargetID],tblTargets[DisplayName],"")</f>
        <v>Astrolabe</v>
      </c>
      <c r="D1758" s="41" t="str">
        <f>_xlfn.XLOOKUP(tblCost[[#This Row],[TargetID]],tblTargets[TargetID],tblTargets[TargetType],"")</f>
        <v>CRAFTIFACT</v>
      </c>
      <c r="E1758" s="41" t="s">
        <v>666</v>
      </c>
      <c r="F1758" s="62" t="str">
        <f>RIGHT(tblCost[[#This Row],[RequirementID]],1)</f>
        <v>1</v>
      </c>
      <c r="G1758" s="41">
        <v>1000</v>
      </c>
      <c r="H1758" t="b">
        <f>COUNTIFS(tblCostChecklist[RequirementID],tblCost[[#This Row],[RequirementID]],tblCostChecklist[PlayerPaid],TRUE)&gt;0</f>
        <v>0</v>
      </c>
      <c r="I1758" s="41">
        <f>COUNTIF(tblCost[TargetID],tblCost[[#This Row],[TargetID]])</f>
        <v>5</v>
      </c>
      <c r="J1758" s="41">
        <f>COUNTIFS(tblCost[TargetID],tblCost[[#This Row],[TargetID]],tblCost[PlayerPaid],TRUE)</f>
        <v>0</v>
      </c>
      <c r="K1758" s="41">
        <f>tblCost[[#This Row],[TargetRequirements]]-tblCost[[#This Row],[CompletedRequirements]]</f>
        <v>5</v>
      </c>
      <c r="L1758" s="41" t="b">
        <f>tblCost[[#This Row],[RemainingRequirements]]=0</f>
        <v>0</v>
      </c>
      <c r="M1758" s="43">
        <f>IF(tblCost[[#This Row],[TargetRequirements]]=0,0,tblCost[[#This Row],[CompletedRequirements]]/tblCost[[#This Row],[TargetRequirements]])</f>
        <v>0</v>
      </c>
    </row>
    <row r="1759" spans="1:13">
      <c r="A1759" s="41" t="s">
        <v>5396</v>
      </c>
      <c r="B1759" s="41" t="str">
        <f>_xlfn.TEXTAFTER(_xlfn.TEXTBEFORE(tblCost[[#This Row],[RequirementID]],".",-2),"cost.")</f>
        <v>craftifact.astrolabe</v>
      </c>
      <c r="C1759" s="41" t="str">
        <f>_xlfn.XLOOKUP(tblCost[[#This Row],[TargetID]],tblTargets[TargetID],tblTargets[DisplayName],"")</f>
        <v>Astrolabe</v>
      </c>
      <c r="D1759" s="41" t="str">
        <f>_xlfn.XLOOKUP(tblCost[[#This Row],[TargetID]],tblTargets[TargetID],tblTargets[TargetType],"")</f>
        <v>CRAFTIFACT</v>
      </c>
      <c r="E1759" s="41" t="s">
        <v>686</v>
      </c>
      <c r="F1759" s="62" t="str">
        <f>RIGHT(tblCost[[#This Row],[RequirementID]],1)</f>
        <v>1</v>
      </c>
      <c r="G1759" s="41">
        <v>10</v>
      </c>
      <c r="H1759" t="b">
        <f>COUNTIFS(tblCostChecklist[RequirementID],tblCost[[#This Row],[RequirementID]],tblCostChecklist[PlayerPaid],TRUE)&gt;0</f>
        <v>0</v>
      </c>
      <c r="I1759" s="41">
        <f>COUNTIF(tblCost[TargetID],tblCost[[#This Row],[TargetID]])</f>
        <v>5</v>
      </c>
      <c r="J1759" s="41">
        <f>COUNTIFS(tblCost[TargetID],tblCost[[#This Row],[TargetID]],tblCost[PlayerPaid],TRUE)</f>
        <v>0</v>
      </c>
      <c r="K1759" s="41">
        <f>tblCost[[#This Row],[TargetRequirements]]-tblCost[[#This Row],[CompletedRequirements]]</f>
        <v>5</v>
      </c>
      <c r="L1759" s="41" t="b">
        <f>tblCost[[#This Row],[RemainingRequirements]]=0</f>
        <v>0</v>
      </c>
      <c r="M1759" s="43">
        <f>IF(tblCost[[#This Row],[TargetRequirements]]=0,0,tblCost[[#This Row],[CompletedRequirements]]/tblCost[[#This Row],[TargetRequirements]])</f>
        <v>0</v>
      </c>
    </row>
    <row r="1760" spans="1:13">
      <c r="A1760" s="41" t="s">
        <v>5397</v>
      </c>
      <c r="B1760" s="41" t="str">
        <f>_xlfn.TEXTAFTER(_xlfn.TEXTBEFORE(tblCost[[#This Row],[RequirementID]],".",-2),"cost.")</f>
        <v>craftifact.astrolabe</v>
      </c>
      <c r="C1760" s="41" t="str">
        <f>_xlfn.XLOOKUP(tblCost[[#This Row],[TargetID]],tblTargets[TargetID],tblTargets[DisplayName],"")</f>
        <v>Astrolabe</v>
      </c>
      <c r="D1760" s="41" t="str">
        <f>_xlfn.XLOOKUP(tblCost[[#This Row],[TargetID]],tblTargets[TargetID],tblTargets[TargetType],"")</f>
        <v>CRAFTIFACT</v>
      </c>
      <c r="E1760" s="41" t="s">
        <v>696</v>
      </c>
      <c r="F1760" s="62" t="str">
        <f>RIGHT(tblCost[[#This Row],[RequirementID]],1)</f>
        <v>1</v>
      </c>
      <c r="G1760" s="41">
        <v>40</v>
      </c>
      <c r="H1760" t="b">
        <f>COUNTIFS(tblCostChecklist[RequirementID],tblCost[[#This Row],[RequirementID]],tblCostChecklist[PlayerPaid],TRUE)&gt;0</f>
        <v>0</v>
      </c>
      <c r="I1760" s="41">
        <f>COUNTIF(tblCost[TargetID],tblCost[[#This Row],[TargetID]])</f>
        <v>5</v>
      </c>
      <c r="J1760" s="41">
        <f>COUNTIFS(tblCost[TargetID],tblCost[[#This Row],[TargetID]],tblCost[PlayerPaid],TRUE)</f>
        <v>0</v>
      </c>
      <c r="K1760" s="41">
        <f>tblCost[[#This Row],[TargetRequirements]]-tblCost[[#This Row],[CompletedRequirements]]</f>
        <v>5</v>
      </c>
      <c r="L1760" s="41" t="b">
        <f>tblCost[[#This Row],[RemainingRequirements]]=0</f>
        <v>0</v>
      </c>
      <c r="M1760" s="43">
        <f>IF(tblCost[[#This Row],[TargetRequirements]]=0,0,tblCost[[#This Row],[CompletedRequirements]]/tblCost[[#This Row],[TargetRequirements]])</f>
        <v>0</v>
      </c>
    </row>
    <row r="1761" spans="1:13">
      <c r="A1761" s="41" t="s">
        <v>5398</v>
      </c>
      <c r="B1761" s="41" t="str">
        <f>_xlfn.TEXTAFTER(_xlfn.TEXTBEFORE(tblCost[[#This Row],[RequirementID]],".",-2),"cost.")</f>
        <v>craftifact.astrolabe</v>
      </c>
      <c r="C1761" s="41" t="str">
        <f>_xlfn.XLOOKUP(tblCost[[#This Row],[TargetID]],tblTargets[TargetID],tblTargets[DisplayName],"")</f>
        <v>Astrolabe</v>
      </c>
      <c r="D1761" s="41" t="str">
        <f>_xlfn.XLOOKUP(tblCost[[#This Row],[TargetID]],tblTargets[TargetID],tblTargets[TargetType],"")</f>
        <v>CRAFTIFACT</v>
      </c>
      <c r="E1761" s="41" t="s">
        <v>708</v>
      </c>
      <c r="F1761" s="62" t="str">
        <f>RIGHT(tblCost[[#This Row],[RequirementID]],1)</f>
        <v>1</v>
      </c>
      <c r="G1761" s="41">
        <v>10</v>
      </c>
      <c r="H1761" t="b">
        <f>COUNTIFS(tblCostChecklist[RequirementID],tblCost[[#This Row],[RequirementID]],tblCostChecklist[PlayerPaid],TRUE)&gt;0</f>
        <v>0</v>
      </c>
      <c r="I1761" s="41">
        <f>COUNTIF(tblCost[TargetID],tblCost[[#This Row],[TargetID]])</f>
        <v>5</v>
      </c>
      <c r="J1761" s="41">
        <f>COUNTIFS(tblCost[TargetID],tblCost[[#This Row],[TargetID]],tblCost[PlayerPaid],TRUE)</f>
        <v>0</v>
      </c>
      <c r="K1761" s="41">
        <f>tblCost[[#This Row],[TargetRequirements]]-tblCost[[#This Row],[CompletedRequirements]]</f>
        <v>5</v>
      </c>
      <c r="L1761" s="41" t="b">
        <f>tblCost[[#This Row],[RemainingRequirements]]=0</f>
        <v>0</v>
      </c>
      <c r="M1761" s="43">
        <f>IF(tblCost[[#This Row],[TargetRequirements]]=0,0,tblCost[[#This Row],[CompletedRequirements]]/tblCost[[#This Row],[TargetRequirements]])</f>
        <v>0</v>
      </c>
    </row>
    <row r="1762" spans="1:13">
      <c r="A1762" s="41" t="s">
        <v>5399</v>
      </c>
      <c r="B1762" s="41" t="str">
        <f>_xlfn.TEXTAFTER(_xlfn.TEXTBEFORE(tblCost[[#This Row],[RequirementID]],".",-2),"cost.")</f>
        <v>craftifact.barometer</v>
      </c>
      <c r="C1762" s="41" t="str">
        <f>_xlfn.XLOOKUP(tblCost[[#This Row],[TargetID]],tblTargets[TargetID],tblTargets[DisplayName],"")</f>
        <v>Barometer</v>
      </c>
      <c r="D1762" s="41" t="str">
        <f>_xlfn.XLOOKUP(tblCost[[#This Row],[TargetID]],tblTargets[TargetID],tblTargets[TargetType],"")</f>
        <v>CRAFTIFACT</v>
      </c>
      <c r="E1762" s="41" t="s">
        <v>662</v>
      </c>
      <c r="F1762" s="62" t="str">
        <f>RIGHT(tblCost[[#This Row],[RequirementID]],1)</f>
        <v>1</v>
      </c>
      <c r="G1762" s="41">
        <v>40</v>
      </c>
      <c r="H1762" t="b">
        <f>COUNTIFS(tblCostChecklist[RequirementID],tblCost[[#This Row],[RequirementID]],tblCostChecklist[PlayerPaid],TRUE)&gt;0</f>
        <v>0</v>
      </c>
      <c r="I1762" s="41">
        <f>COUNTIF(tblCost[TargetID],tblCost[[#This Row],[TargetID]])</f>
        <v>5</v>
      </c>
      <c r="J1762" s="41">
        <f>COUNTIFS(tblCost[TargetID],tblCost[[#This Row],[TargetID]],tblCost[PlayerPaid],TRUE)</f>
        <v>0</v>
      </c>
      <c r="K1762" s="41">
        <f>tblCost[[#This Row],[TargetRequirements]]-tblCost[[#This Row],[CompletedRequirements]]</f>
        <v>5</v>
      </c>
      <c r="L1762" s="41" t="b">
        <f>tblCost[[#This Row],[RemainingRequirements]]=0</f>
        <v>0</v>
      </c>
      <c r="M1762" s="43">
        <f>IF(tblCost[[#This Row],[TargetRequirements]]=0,0,tblCost[[#This Row],[CompletedRequirements]]/tblCost[[#This Row],[TargetRequirements]])</f>
        <v>0</v>
      </c>
    </row>
    <row r="1763" spans="1:13">
      <c r="A1763" s="41" t="s">
        <v>5400</v>
      </c>
      <c r="B1763" s="41" t="str">
        <f>_xlfn.TEXTAFTER(_xlfn.TEXTBEFORE(tblCost[[#This Row],[RequirementID]],".",-2),"cost.")</f>
        <v>craftifact.barometer</v>
      </c>
      <c r="C1763" s="41" t="str">
        <f>_xlfn.XLOOKUP(tblCost[[#This Row],[TargetID]],tblTargets[TargetID],tblTargets[DisplayName],"")</f>
        <v>Barometer</v>
      </c>
      <c r="D1763" s="41" t="str">
        <f>_xlfn.XLOOKUP(tblCost[[#This Row],[TargetID]],tblTargets[TargetID],tblTargets[TargetType],"")</f>
        <v>CRAFTIFACT</v>
      </c>
      <c r="E1763" s="41" t="s">
        <v>666</v>
      </c>
      <c r="F1763" s="62" t="str">
        <f>RIGHT(tblCost[[#This Row],[RequirementID]],1)</f>
        <v>1</v>
      </c>
      <c r="G1763" s="41">
        <v>1000</v>
      </c>
      <c r="H1763" t="b">
        <f>COUNTIFS(tblCostChecklist[RequirementID],tblCost[[#This Row],[RequirementID]],tblCostChecklist[PlayerPaid],TRUE)&gt;0</f>
        <v>0</v>
      </c>
      <c r="I1763" s="41">
        <f>COUNTIF(tblCost[TargetID],tblCost[[#This Row],[TargetID]])</f>
        <v>5</v>
      </c>
      <c r="J1763" s="41">
        <f>COUNTIFS(tblCost[TargetID],tblCost[[#This Row],[TargetID]],tblCost[PlayerPaid],TRUE)</f>
        <v>0</v>
      </c>
      <c r="K1763" s="41">
        <f>tblCost[[#This Row],[TargetRequirements]]-tblCost[[#This Row],[CompletedRequirements]]</f>
        <v>5</v>
      </c>
      <c r="L1763" s="41" t="b">
        <f>tblCost[[#This Row],[RemainingRequirements]]=0</f>
        <v>0</v>
      </c>
      <c r="M1763" s="43">
        <f>IF(tblCost[[#This Row],[TargetRequirements]]=0,0,tblCost[[#This Row],[CompletedRequirements]]/tblCost[[#This Row],[TargetRequirements]])</f>
        <v>0</v>
      </c>
    </row>
    <row r="1764" spans="1:13">
      <c r="A1764" s="41" t="s">
        <v>5401</v>
      </c>
      <c r="B1764" s="41" t="str">
        <f>_xlfn.TEXTAFTER(_xlfn.TEXTBEFORE(tblCost[[#This Row],[RequirementID]],".",-2),"cost.")</f>
        <v>craftifact.barometer</v>
      </c>
      <c r="C1764" s="41" t="str">
        <f>_xlfn.XLOOKUP(tblCost[[#This Row],[TargetID]],tblTargets[TargetID],tblTargets[DisplayName],"")</f>
        <v>Barometer</v>
      </c>
      <c r="D1764" s="41" t="str">
        <f>_xlfn.XLOOKUP(tblCost[[#This Row],[TargetID]],tblTargets[TargetID],tblTargets[TargetType],"")</f>
        <v>CRAFTIFACT</v>
      </c>
      <c r="E1764" s="41" t="s">
        <v>674</v>
      </c>
      <c r="F1764" s="62" t="str">
        <f>RIGHT(tblCost[[#This Row],[RequirementID]],1)</f>
        <v>1</v>
      </c>
      <c r="G1764" s="41">
        <v>20</v>
      </c>
      <c r="H1764" t="b">
        <f>COUNTIFS(tblCostChecklist[RequirementID],tblCost[[#This Row],[RequirementID]],tblCostChecklist[PlayerPaid],TRUE)&gt;0</f>
        <v>0</v>
      </c>
      <c r="I1764" s="41">
        <f>COUNTIF(tblCost[TargetID],tblCost[[#This Row],[TargetID]])</f>
        <v>5</v>
      </c>
      <c r="J1764" s="41">
        <f>COUNTIFS(tblCost[TargetID],tblCost[[#This Row],[TargetID]],tblCost[PlayerPaid],TRUE)</f>
        <v>0</v>
      </c>
      <c r="K1764" s="41">
        <f>tblCost[[#This Row],[TargetRequirements]]-tblCost[[#This Row],[CompletedRequirements]]</f>
        <v>5</v>
      </c>
      <c r="L1764" s="41" t="b">
        <f>tblCost[[#This Row],[RemainingRequirements]]=0</f>
        <v>0</v>
      </c>
      <c r="M1764" s="43">
        <f>IF(tblCost[[#This Row],[TargetRequirements]]=0,0,tblCost[[#This Row],[CompletedRequirements]]/tblCost[[#This Row],[TargetRequirements]])</f>
        <v>0</v>
      </c>
    </row>
    <row r="1765" spans="1:13">
      <c r="A1765" s="41" t="s">
        <v>5402</v>
      </c>
      <c r="B1765" s="41" t="str">
        <f>_xlfn.TEXTAFTER(_xlfn.TEXTBEFORE(tblCost[[#This Row],[RequirementID]],".",-2),"cost.")</f>
        <v>craftifact.barometer</v>
      </c>
      <c r="C1765" s="41" t="str">
        <f>_xlfn.XLOOKUP(tblCost[[#This Row],[TargetID]],tblTargets[TargetID],tblTargets[DisplayName],"")</f>
        <v>Barometer</v>
      </c>
      <c r="D1765" s="41" t="str">
        <f>_xlfn.XLOOKUP(tblCost[[#This Row],[TargetID]],tblTargets[TargetID],tblTargets[TargetType],"")</f>
        <v>CRAFTIFACT</v>
      </c>
      <c r="E1765" s="41" t="s">
        <v>687</v>
      </c>
      <c r="F1765" s="62" t="str">
        <f>RIGHT(tblCost[[#This Row],[RequirementID]],1)</f>
        <v>1</v>
      </c>
      <c r="G1765" s="41">
        <v>25</v>
      </c>
      <c r="H1765" t="b">
        <f>COUNTIFS(tblCostChecklist[RequirementID],tblCost[[#This Row],[RequirementID]],tblCostChecklist[PlayerPaid],TRUE)&gt;0</f>
        <v>0</v>
      </c>
      <c r="I1765" s="41">
        <f>COUNTIF(tblCost[TargetID],tblCost[[#This Row],[TargetID]])</f>
        <v>5</v>
      </c>
      <c r="J1765" s="41">
        <f>COUNTIFS(tblCost[TargetID],tblCost[[#This Row],[TargetID]],tblCost[PlayerPaid],TRUE)</f>
        <v>0</v>
      </c>
      <c r="K1765" s="41">
        <f>tblCost[[#This Row],[TargetRequirements]]-tblCost[[#This Row],[CompletedRequirements]]</f>
        <v>5</v>
      </c>
      <c r="L1765" s="41" t="b">
        <f>tblCost[[#This Row],[RemainingRequirements]]=0</f>
        <v>0</v>
      </c>
      <c r="M1765" s="43">
        <f>IF(tblCost[[#This Row],[TargetRequirements]]=0,0,tblCost[[#This Row],[CompletedRequirements]]/tblCost[[#This Row],[TargetRequirements]])</f>
        <v>0</v>
      </c>
    </row>
    <row r="1766" spans="1:13">
      <c r="A1766" s="41" t="s">
        <v>5403</v>
      </c>
      <c r="B1766" s="41" t="str">
        <f>_xlfn.TEXTAFTER(_xlfn.TEXTBEFORE(tblCost[[#This Row],[RequirementID]],".",-2),"cost.")</f>
        <v>craftifact.barometer</v>
      </c>
      <c r="C1766" s="41" t="str">
        <f>_xlfn.XLOOKUP(tblCost[[#This Row],[TargetID]],tblTargets[TargetID],tblTargets[DisplayName],"")</f>
        <v>Barometer</v>
      </c>
      <c r="D1766" s="41" t="str">
        <f>_xlfn.XLOOKUP(tblCost[[#This Row],[TargetID]],tblTargets[TargetID],tblTargets[TargetType],"")</f>
        <v>CRAFTIFACT</v>
      </c>
      <c r="E1766" s="41" t="s">
        <v>697</v>
      </c>
      <c r="F1766" s="62" t="str">
        <f>RIGHT(tblCost[[#This Row],[RequirementID]],1)</f>
        <v>1</v>
      </c>
      <c r="G1766" s="41">
        <v>20</v>
      </c>
      <c r="H1766" t="b">
        <f>COUNTIFS(tblCostChecklist[RequirementID],tblCost[[#This Row],[RequirementID]],tblCostChecklist[PlayerPaid],TRUE)&gt;0</f>
        <v>0</v>
      </c>
      <c r="I1766" s="41">
        <f>COUNTIF(tblCost[TargetID],tblCost[[#This Row],[TargetID]])</f>
        <v>5</v>
      </c>
      <c r="J1766" s="41">
        <f>COUNTIFS(tblCost[TargetID],tblCost[[#This Row],[TargetID]],tblCost[PlayerPaid],TRUE)</f>
        <v>0</v>
      </c>
      <c r="K1766" s="41">
        <f>tblCost[[#This Row],[TargetRequirements]]-tblCost[[#This Row],[CompletedRequirements]]</f>
        <v>5</v>
      </c>
      <c r="L1766" s="41" t="b">
        <f>tblCost[[#This Row],[RemainingRequirements]]=0</f>
        <v>0</v>
      </c>
      <c r="M1766" s="43">
        <f>IF(tblCost[[#This Row],[TargetRequirements]]=0,0,tblCost[[#This Row],[CompletedRequirements]]/tblCost[[#This Row],[TargetRequirements]])</f>
        <v>0</v>
      </c>
    </row>
    <row r="1767" spans="1:13">
      <c r="A1767" s="41" t="s">
        <v>5404</v>
      </c>
      <c r="B1767" s="41" t="str">
        <f>_xlfn.TEXTAFTER(_xlfn.TEXTBEFORE(tblCost[[#This Row],[RequirementID]],".",-2),"cost.")</f>
        <v>craftifact.cinema_projector</v>
      </c>
      <c r="C1767" s="41" t="str">
        <f>_xlfn.XLOOKUP(tblCost[[#This Row],[TargetID]],tblTargets[TargetID],tblTargets[DisplayName],"")</f>
        <v>Cinema Projector</v>
      </c>
      <c r="D1767" s="41" t="str">
        <f>_xlfn.XLOOKUP(tblCost[[#This Row],[TargetID]],tblTargets[TargetID],tblTargets[TargetType],"")</f>
        <v>CRAFTIFACT</v>
      </c>
      <c r="E1767" s="41" t="s">
        <v>662</v>
      </c>
      <c r="F1767" s="62" t="str">
        <f>RIGHT(tblCost[[#This Row],[RequirementID]],1)</f>
        <v>1</v>
      </c>
      <c r="G1767" s="41">
        <v>80</v>
      </c>
      <c r="H1767" t="b">
        <f>COUNTIFS(tblCostChecklist[RequirementID],tblCost[[#This Row],[RequirementID]],tblCostChecklist[PlayerPaid],TRUE)&gt;0</f>
        <v>0</v>
      </c>
      <c r="I1767" s="41">
        <f>COUNTIF(tblCost[TargetID],tblCost[[#This Row],[TargetID]])</f>
        <v>7</v>
      </c>
      <c r="J1767" s="41">
        <f>COUNTIFS(tblCost[TargetID],tblCost[[#This Row],[TargetID]],tblCost[PlayerPaid],TRUE)</f>
        <v>0</v>
      </c>
      <c r="K1767" s="41">
        <f>tblCost[[#This Row],[TargetRequirements]]-tblCost[[#This Row],[CompletedRequirements]]</f>
        <v>7</v>
      </c>
      <c r="L1767" s="41" t="b">
        <f>tblCost[[#This Row],[RemainingRequirements]]=0</f>
        <v>0</v>
      </c>
      <c r="M1767" s="43">
        <f>IF(tblCost[[#This Row],[TargetRequirements]]=0,0,tblCost[[#This Row],[CompletedRequirements]]/tblCost[[#This Row],[TargetRequirements]])</f>
        <v>0</v>
      </c>
    </row>
    <row r="1768" spans="1:13">
      <c r="A1768" s="41" t="s">
        <v>5405</v>
      </c>
      <c r="B1768" s="41" t="str">
        <f>_xlfn.TEXTAFTER(_xlfn.TEXTBEFORE(tblCost[[#This Row],[RequirementID]],".",-2),"cost.")</f>
        <v>craftifact.cinema_projector</v>
      </c>
      <c r="C1768" s="41" t="str">
        <f>_xlfn.XLOOKUP(tblCost[[#This Row],[TargetID]],tblTargets[TargetID],tblTargets[DisplayName],"")</f>
        <v>Cinema Projector</v>
      </c>
      <c r="D1768" s="41" t="str">
        <f>_xlfn.XLOOKUP(tblCost[[#This Row],[TargetID]],tblTargets[TargetID],tblTargets[TargetType],"")</f>
        <v>CRAFTIFACT</v>
      </c>
      <c r="E1768" s="41" t="s">
        <v>928</v>
      </c>
      <c r="F1768" s="62" t="str">
        <f>RIGHT(tblCost[[#This Row],[RequirementID]],1)</f>
        <v>1</v>
      </c>
      <c r="G1768" s="41">
        <v>10</v>
      </c>
      <c r="H1768" t="b">
        <f>COUNTIFS(tblCostChecklist[RequirementID],tblCost[[#This Row],[RequirementID]],tblCostChecklist[PlayerPaid],TRUE)&gt;0</f>
        <v>0</v>
      </c>
      <c r="I1768" s="41">
        <f>COUNTIF(tblCost[TargetID],tblCost[[#This Row],[TargetID]])</f>
        <v>7</v>
      </c>
      <c r="J1768" s="41">
        <f>COUNTIFS(tblCost[TargetID],tblCost[[#This Row],[TargetID]],tblCost[PlayerPaid],TRUE)</f>
        <v>0</v>
      </c>
      <c r="K1768" s="41">
        <f>tblCost[[#This Row],[TargetRequirements]]-tblCost[[#This Row],[CompletedRequirements]]</f>
        <v>7</v>
      </c>
      <c r="L1768" s="41" t="b">
        <f>tblCost[[#This Row],[RemainingRequirements]]=0</f>
        <v>0</v>
      </c>
      <c r="M1768" s="43">
        <f>IF(tblCost[[#This Row],[TargetRequirements]]=0,0,tblCost[[#This Row],[CompletedRequirements]]/tblCost[[#This Row],[TargetRequirements]])</f>
        <v>0</v>
      </c>
    </row>
    <row r="1769" spans="1:13">
      <c r="A1769" s="41" t="s">
        <v>5406</v>
      </c>
      <c r="B1769" s="41" t="str">
        <f>_xlfn.TEXTAFTER(_xlfn.TEXTBEFORE(tblCost[[#This Row],[RequirementID]],".",-2),"cost.")</f>
        <v>craftifact.cinema_projector</v>
      </c>
      <c r="C1769" s="41" t="str">
        <f>_xlfn.XLOOKUP(tblCost[[#This Row],[TargetID]],tblTargets[TargetID],tblTargets[DisplayName],"")</f>
        <v>Cinema Projector</v>
      </c>
      <c r="D1769" s="41" t="str">
        <f>_xlfn.XLOOKUP(tblCost[[#This Row],[TargetID]],tblTargets[TargetID],tblTargets[TargetType],"")</f>
        <v>CRAFTIFACT</v>
      </c>
      <c r="E1769" s="41" t="s">
        <v>664</v>
      </c>
      <c r="F1769" s="62" t="str">
        <f>RIGHT(tblCost[[#This Row],[RequirementID]],1)</f>
        <v>1</v>
      </c>
      <c r="G1769" s="41">
        <v>30</v>
      </c>
      <c r="H1769" t="b">
        <f>COUNTIFS(tblCostChecklist[RequirementID],tblCost[[#This Row],[RequirementID]],tblCostChecklist[PlayerPaid],TRUE)&gt;0</f>
        <v>0</v>
      </c>
      <c r="I1769" s="41">
        <f>COUNTIF(tblCost[TargetID],tblCost[[#This Row],[TargetID]])</f>
        <v>7</v>
      </c>
      <c r="J1769" s="41">
        <f>COUNTIFS(tblCost[TargetID],tblCost[[#This Row],[TargetID]],tblCost[PlayerPaid],TRUE)</f>
        <v>0</v>
      </c>
      <c r="K1769" s="41">
        <f>tblCost[[#This Row],[TargetRequirements]]-tblCost[[#This Row],[CompletedRequirements]]</f>
        <v>7</v>
      </c>
      <c r="L1769" s="41" t="b">
        <f>tblCost[[#This Row],[RemainingRequirements]]=0</f>
        <v>0</v>
      </c>
      <c r="M1769" s="43">
        <f>IF(tblCost[[#This Row],[TargetRequirements]]=0,0,tblCost[[#This Row],[CompletedRequirements]]/tblCost[[#This Row],[TargetRequirements]])</f>
        <v>0</v>
      </c>
    </row>
    <row r="1770" spans="1:13">
      <c r="A1770" s="41" t="s">
        <v>5407</v>
      </c>
      <c r="B1770" s="41" t="str">
        <f>_xlfn.TEXTAFTER(_xlfn.TEXTBEFORE(tblCost[[#This Row],[RequirementID]],".",-2),"cost.")</f>
        <v>craftifact.cinema_projector</v>
      </c>
      <c r="C1770" s="41" t="str">
        <f>_xlfn.XLOOKUP(tblCost[[#This Row],[TargetID]],tblTargets[TargetID],tblTargets[DisplayName],"")</f>
        <v>Cinema Projector</v>
      </c>
      <c r="D1770" s="41" t="str">
        <f>_xlfn.XLOOKUP(tblCost[[#This Row],[TargetID]],tblTargets[TargetID],tblTargets[TargetType],"")</f>
        <v>CRAFTIFACT</v>
      </c>
      <c r="E1770" s="41" t="s">
        <v>674</v>
      </c>
      <c r="F1770" s="62" t="str">
        <f>RIGHT(tblCost[[#This Row],[RequirementID]],1)</f>
        <v>1</v>
      </c>
      <c r="G1770" s="41">
        <v>30</v>
      </c>
      <c r="H1770" t="b">
        <f>COUNTIFS(tblCostChecklist[RequirementID],tblCost[[#This Row],[RequirementID]],tblCostChecklist[PlayerPaid],TRUE)&gt;0</f>
        <v>0</v>
      </c>
      <c r="I1770" s="41">
        <f>COUNTIF(tblCost[TargetID],tblCost[[#This Row],[TargetID]])</f>
        <v>7</v>
      </c>
      <c r="J1770" s="41">
        <f>COUNTIFS(tblCost[TargetID],tblCost[[#This Row],[TargetID]],tblCost[PlayerPaid],TRUE)</f>
        <v>0</v>
      </c>
      <c r="K1770" s="41">
        <f>tblCost[[#This Row],[TargetRequirements]]-tblCost[[#This Row],[CompletedRequirements]]</f>
        <v>7</v>
      </c>
      <c r="L1770" s="41" t="b">
        <f>tblCost[[#This Row],[RemainingRequirements]]=0</f>
        <v>0</v>
      </c>
      <c r="M1770" s="43">
        <f>IF(tblCost[[#This Row],[TargetRequirements]]=0,0,tblCost[[#This Row],[CompletedRequirements]]/tblCost[[#This Row],[TargetRequirements]])</f>
        <v>0</v>
      </c>
    </row>
    <row r="1771" spans="1:13">
      <c r="A1771" s="41" t="s">
        <v>5408</v>
      </c>
      <c r="B1771" s="41" t="str">
        <f>_xlfn.TEXTAFTER(_xlfn.TEXTBEFORE(tblCost[[#This Row],[RequirementID]],".",-2),"cost.")</f>
        <v>craftifact.cinema_projector</v>
      </c>
      <c r="C1771" s="41" t="str">
        <f>_xlfn.XLOOKUP(tblCost[[#This Row],[TargetID]],tblTargets[TargetID],tblTargets[DisplayName],"")</f>
        <v>Cinema Projector</v>
      </c>
      <c r="D1771" s="41" t="str">
        <f>_xlfn.XLOOKUP(tblCost[[#This Row],[TargetID]],tblTargets[TargetID],tblTargets[TargetType],"")</f>
        <v>CRAFTIFACT</v>
      </c>
      <c r="E1771" s="41" t="s">
        <v>686</v>
      </c>
      <c r="F1771" s="62" t="str">
        <f>RIGHT(tblCost[[#This Row],[RequirementID]],1)</f>
        <v>1</v>
      </c>
      <c r="G1771" s="41">
        <v>30</v>
      </c>
      <c r="H1771" t="b">
        <f>COUNTIFS(tblCostChecklist[RequirementID],tblCost[[#This Row],[RequirementID]],tblCostChecklist[PlayerPaid],TRUE)&gt;0</f>
        <v>0</v>
      </c>
      <c r="I1771" s="41">
        <f>COUNTIF(tblCost[TargetID],tblCost[[#This Row],[TargetID]])</f>
        <v>7</v>
      </c>
      <c r="J1771" s="41">
        <f>COUNTIFS(tblCost[TargetID],tblCost[[#This Row],[TargetID]],tblCost[PlayerPaid],TRUE)</f>
        <v>0</v>
      </c>
      <c r="K1771" s="41">
        <f>tblCost[[#This Row],[TargetRequirements]]-tblCost[[#This Row],[CompletedRequirements]]</f>
        <v>7</v>
      </c>
      <c r="L1771" s="41" t="b">
        <f>tblCost[[#This Row],[RemainingRequirements]]=0</f>
        <v>0</v>
      </c>
      <c r="M1771" s="43">
        <f>IF(tblCost[[#This Row],[TargetRequirements]]=0,0,tblCost[[#This Row],[CompletedRequirements]]/tblCost[[#This Row],[TargetRequirements]])</f>
        <v>0</v>
      </c>
    </row>
    <row r="1772" spans="1:13">
      <c r="A1772" s="41" t="s">
        <v>5409</v>
      </c>
      <c r="B1772" s="41" t="str">
        <f>_xlfn.TEXTAFTER(_xlfn.TEXTBEFORE(tblCost[[#This Row],[RequirementID]],".",-2),"cost.")</f>
        <v>craftifact.cinema_projector</v>
      </c>
      <c r="C1772" s="41" t="str">
        <f>_xlfn.XLOOKUP(tblCost[[#This Row],[TargetID]],tblTargets[TargetID],tblTargets[DisplayName],"")</f>
        <v>Cinema Projector</v>
      </c>
      <c r="D1772" s="41" t="str">
        <f>_xlfn.XLOOKUP(tblCost[[#This Row],[TargetID]],tblTargets[TargetID],tblTargets[TargetType],"")</f>
        <v>CRAFTIFACT</v>
      </c>
      <c r="E1772" s="41" t="s">
        <v>705</v>
      </c>
      <c r="F1772" s="62" t="str">
        <f>RIGHT(tblCost[[#This Row],[RequirementID]],1)</f>
        <v>1</v>
      </c>
      <c r="G1772" s="41">
        <v>30</v>
      </c>
      <c r="H1772" t="b">
        <f>COUNTIFS(tblCostChecklist[RequirementID],tblCost[[#This Row],[RequirementID]],tblCostChecklist[PlayerPaid],TRUE)&gt;0</f>
        <v>0</v>
      </c>
      <c r="I1772" s="41">
        <f>COUNTIF(tblCost[TargetID],tblCost[[#This Row],[TargetID]])</f>
        <v>7</v>
      </c>
      <c r="J1772" s="41">
        <f>COUNTIFS(tblCost[TargetID],tblCost[[#This Row],[TargetID]],tblCost[PlayerPaid],TRUE)</f>
        <v>0</v>
      </c>
      <c r="K1772" s="41">
        <f>tblCost[[#This Row],[TargetRequirements]]-tblCost[[#This Row],[CompletedRequirements]]</f>
        <v>7</v>
      </c>
      <c r="L1772" s="41" t="b">
        <f>tblCost[[#This Row],[RemainingRequirements]]=0</f>
        <v>0</v>
      </c>
      <c r="M1772" s="43">
        <f>IF(tblCost[[#This Row],[TargetRequirements]]=0,0,tblCost[[#This Row],[CompletedRequirements]]/tblCost[[#This Row],[TargetRequirements]])</f>
        <v>0</v>
      </c>
    </row>
    <row r="1773" spans="1:13">
      <c r="A1773" s="41" t="s">
        <v>5410</v>
      </c>
      <c r="B1773" s="41" t="str">
        <f>_xlfn.TEXTAFTER(_xlfn.TEXTBEFORE(tblCost[[#This Row],[RequirementID]],".",-2),"cost.")</f>
        <v>craftifact.cinema_projector</v>
      </c>
      <c r="C1773" s="41" t="str">
        <f>_xlfn.XLOOKUP(tblCost[[#This Row],[TargetID]],tblTargets[TargetID],tblTargets[DisplayName],"")</f>
        <v>Cinema Projector</v>
      </c>
      <c r="D1773" s="41" t="str">
        <f>_xlfn.XLOOKUP(tblCost[[#This Row],[TargetID]],tblTargets[TargetID],tblTargets[TargetType],"")</f>
        <v>CRAFTIFACT</v>
      </c>
      <c r="E1773" s="41" t="s">
        <v>711</v>
      </c>
      <c r="F1773" s="62" t="str">
        <f>RIGHT(tblCost[[#This Row],[RequirementID]],1)</f>
        <v>1</v>
      </c>
      <c r="G1773" s="41">
        <v>10</v>
      </c>
      <c r="H1773" t="b">
        <f>COUNTIFS(tblCostChecklist[RequirementID],tblCost[[#This Row],[RequirementID]],tblCostChecklist[PlayerPaid],TRUE)&gt;0</f>
        <v>0</v>
      </c>
      <c r="I1773" s="41">
        <f>COUNTIF(tblCost[TargetID],tblCost[[#This Row],[TargetID]])</f>
        <v>7</v>
      </c>
      <c r="J1773" s="41">
        <f>COUNTIFS(tblCost[TargetID],tblCost[[#This Row],[TargetID]],tblCost[PlayerPaid],TRUE)</f>
        <v>0</v>
      </c>
      <c r="K1773" s="41">
        <f>tblCost[[#This Row],[TargetRequirements]]-tblCost[[#This Row],[CompletedRequirements]]</f>
        <v>7</v>
      </c>
      <c r="L1773" s="41" t="b">
        <f>tblCost[[#This Row],[RemainingRequirements]]=0</f>
        <v>0</v>
      </c>
      <c r="M1773" s="43">
        <f>IF(tblCost[[#This Row],[TargetRequirements]]=0,0,tblCost[[#This Row],[CompletedRequirements]]/tblCost[[#This Row],[TargetRequirements]])</f>
        <v>0</v>
      </c>
    </row>
    <row r="1774" spans="1:13">
      <c r="A1774" s="41" t="s">
        <v>5411</v>
      </c>
      <c r="B1774" s="41" t="str">
        <f>_xlfn.TEXTAFTER(_xlfn.TEXTBEFORE(tblCost[[#This Row],[RequirementID]],".",-2),"cost.")</f>
        <v>craftifact.dagger</v>
      </c>
      <c r="C1774" s="41" t="str">
        <f>_xlfn.XLOOKUP(tblCost[[#This Row],[TargetID]],tblTargets[TargetID],tblTargets[DisplayName],"")</f>
        <v>Dagger</v>
      </c>
      <c r="D1774" s="41" t="str">
        <f>_xlfn.XLOOKUP(tblCost[[#This Row],[TargetID]],tblTargets[TargetID],tblTargets[TargetType],"")</f>
        <v>CRAFTIFACT</v>
      </c>
      <c r="E1774" s="41" t="s">
        <v>667</v>
      </c>
      <c r="F1774" s="62" t="str">
        <f>RIGHT(tblCost[[#This Row],[RequirementID]],1)</f>
        <v>1</v>
      </c>
      <c r="G1774" s="41">
        <v>100</v>
      </c>
      <c r="H1774" t="b">
        <f>COUNTIFS(tblCostChecklist[RequirementID],tblCost[[#This Row],[RequirementID]],tblCostChecklist[PlayerPaid],TRUE)&gt;0</f>
        <v>0</v>
      </c>
      <c r="I1774" s="41">
        <f>COUNTIF(tblCost[TargetID],tblCost[[#This Row],[TargetID]])</f>
        <v>6</v>
      </c>
      <c r="J1774" s="41">
        <f>COUNTIFS(tblCost[TargetID],tblCost[[#This Row],[TargetID]],tblCost[PlayerPaid],TRUE)</f>
        <v>0</v>
      </c>
      <c r="K1774" s="41">
        <f>tblCost[[#This Row],[TargetRequirements]]-tblCost[[#This Row],[CompletedRequirements]]</f>
        <v>6</v>
      </c>
      <c r="L1774" s="41" t="b">
        <f>tblCost[[#This Row],[RemainingRequirements]]=0</f>
        <v>0</v>
      </c>
      <c r="M1774" s="43">
        <f>IF(tblCost[[#This Row],[TargetRequirements]]=0,0,tblCost[[#This Row],[CompletedRequirements]]/tblCost[[#This Row],[TargetRequirements]])</f>
        <v>0</v>
      </c>
    </row>
    <row r="1775" spans="1:13">
      <c r="A1775" s="41" t="s">
        <v>5412</v>
      </c>
      <c r="B1775" s="41" t="str">
        <f>_xlfn.TEXTAFTER(_xlfn.TEXTBEFORE(tblCost[[#This Row],[RequirementID]],".",-2),"cost.")</f>
        <v>craftifact.dagger</v>
      </c>
      <c r="C1775" s="41" t="str">
        <f>_xlfn.XLOOKUP(tblCost[[#This Row],[TargetID]],tblTargets[TargetID],tblTargets[DisplayName],"")</f>
        <v>Dagger</v>
      </c>
      <c r="D1775" s="41" t="str">
        <f>_xlfn.XLOOKUP(tblCost[[#This Row],[TargetID]],tblTargets[TargetID],tblTargets[TargetType],"")</f>
        <v>CRAFTIFACT</v>
      </c>
      <c r="E1775" s="41" t="s">
        <v>680</v>
      </c>
      <c r="F1775" s="62" t="str">
        <f>RIGHT(tblCost[[#This Row],[RequirementID]],1)</f>
        <v>1</v>
      </c>
      <c r="G1775" s="41">
        <v>10</v>
      </c>
      <c r="H1775" t="b">
        <f>COUNTIFS(tblCostChecklist[RequirementID],tblCost[[#This Row],[RequirementID]],tblCostChecklist[PlayerPaid],TRUE)&gt;0</f>
        <v>0</v>
      </c>
      <c r="I1775" s="41">
        <f>COUNTIF(tblCost[TargetID],tblCost[[#This Row],[TargetID]])</f>
        <v>6</v>
      </c>
      <c r="J1775" s="41">
        <f>COUNTIFS(tblCost[TargetID],tblCost[[#This Row],[TargetID]],tblCost[PlayerPaid],TRUE)</f>
        <v>0</v>
      </c>
      <c r="K1775" s="41">
        <f>tblCost[[#This Row],[TargetRequirements]]-tblCost[[#This Row],[CompletedRequirements]]</f>
        <v>6</v>
      </c>
      <c r="L1775" s="41" t="b">
        <f>tblCost[[#This Row],[RemainingRequirements]]=0</f>
        <v>0</v>
      </c>
      <c r="M1775" s="43">
        <f>IF(tblCost[[#This Row],[TargetRequirements]]=0,0,tblCost[[#This Row],[CompletedRequirements]]/tblCost[[#This Row],[TargetRequirements]])</f>
        <v>0</v>
      </c>
    </row>
    <row r="1776" spans="1:13">
      <c r="A1776" s="41" t="s">
        <v>5413</v>
      </c>
      <c r="B1776" s="41" t="str">
        <f>_xlfn.TEXTAFTER(_xlfn.TEXTBEFORE(tblCost[[#This Row],[RequirementID]],".",-2),"cost.")</f>
        <v>craftifact.dagger</v>
      </c>
      <c r="C1776" s="41" t="str">
        <f>_xlfn.XLOOKUP(tblCost[[#This Row],[TargetID]],tblTargets[TargetID],tblTargets[DisplayName],"")</f>
        <v>Dagger</v>
      </c>
      <c r="D1776" s="41" t="str">
        <f>_xlfn.XLOOKUP(tblCost[[#This Row],[TargetID]],tblTargets[TargetID],tblTargets[TargetType],"")</f>
        <v>CRAFTIFACT</v>
      </c>
      <c r="E1776" s="41" t="s">
        <v>693</v>
      </c>
      <c r="F1776" s="62" t="str">
        <f>RIGHT(tblCost[[#This Row],[RequirementID]],1)</f>
        <v>1</v>
      </c>
      <c r="G1776" s="41">
        <v>30</v>
      </c>
      <c r="H1776" t="b">
        <f>COUNTIFS(tblCostChecklist[RequirementID],tblCost[[#This Row],[RequirementID]],tblCostChecklist[PlayerPaid],TRUE)&gt;0</f>
        <v>0</v>
      </c>
      <c r="I1776" s="41">
        <f>COUNTIF(tblCost[TargetID],tblCost[[#This Row],[TargetID]])</f>
        <v>6</v>
      </c>
      <c r="J1776" s="41">
        <f>COUNTIFS(tblCost[TargetID],tblCost[[#This Row],[TargetID]],tblCost[PlayerPaid],TRUE)</f>
        <v>0</v>
      </c>
      <c r="K1776" s="41">
        <f>tblCost[[#This Row],[TargetRequirements]]-tblCost[[#This Row],[CompletedRequirements]]</f>
        <v>6</v>
      </c>
      <c r="L1776" s="41" t="b">
        <f>tblCost[[#This Row],[RemainingRequirements]]=0</f>
        <v>0</v>
      </c>
      <c r="M1776" s="43">
        <f>IF(tblCost[[#This Row],[TargetRequirements]]=0,0,tblCost[[#This Row],[CompletedRequirements]]/tblCost[[#This Row],[TargetRequirements]])</f>
        <v>0</v>
      </c>
    </row>
    <row r="1777" spans="1:13">
      <c r="A1777" s="41" t="s">
        <v>5414</v>
      </c>
      <c r="B1777" s="41" t="str">
        <f>_xlfn.TEXTAFTER(_xlfn.TEXTBEFORE(tblCost[[#This Row],[RequirementID]],".",-2),"cost.")</f>
        <v>craftifact.dagger</v>
      </c>
      <c r="C1777" s="41" t="str">
        <f>_xlfn.XLOOKUP(tblCost[[#This Row],[TargetID]],tblTargets[TargetID],tblTargets[DisplayName],"")</f>
        <v>Dagger</v>
      </c>
      <c r="D1777" s="41" t="str">
        <f>_xlfn.XLOOKUP(tblCost[[#This Row],[TargetID]],tblTargets[TargetID],tblTargets[TargetType],"")</f>
        <v>CRAFTIFACT</v>
      </c>
      <c r="E1777" s="41" t="s">
        <v>696</v>
      </c>
      <c r="F1777" s="62" t="str">
        <f>RIGHT(tblCost[[#This Row],[RequirementID]],1)</f>
        <v>1</v>
      </c>
      <c r="G1777" s="41">
        <v>20</v>
      </c>
      <c r="H1777" t="b">
        <f>COUNTIFS(tblCostChecklist[RequirementID],tblCost[[#This Row],[RequirementID]],tblCostChecklist[PlayerPaid],TRUE)&gt;0</f>
        <v>0</v>
      </c>
      <c r="I1777" s="41">
        <f>COUNTIF(tblCost[TargetID],tblCost[[#This Row],[TargetID]])</f>
        <v>6</v>
      </c>
      <c r="J1777" s="41">
        <f>COUNTIFS(tblCost[TargetID],tblCost[[#This Row],[TargetID]],tblCost[PlayerPaid],TRUE)</f>
        <v>0</v>
      </c>
      <c r="K1777" s="41">
        <f>tblCost[[#This Row],[TargetRequirements]]-tblCost[[#This Row],[CompletedRequirements]]</f>
        <v>6</v>
      </c>
      <c r="L1777" s="41" t="b">
        <f>tblCost[[#This Row],[RemainingRequirements]]=0</f>
        <v>0</v>
      </c>
      <c r="M1777" s="43">
        <f>IF(tblCost[[#This Row],[TargetRequirements]]=0,0,tblCost[[#This Row],[CompletedRequirements]]/tblCost[[#This Row],[TargetRequirements]])</f>
        <v>0</v>
      </c>
    </row>
    <row r="1778" spans="1:13">
      <c r="A1778" s="41" t="s">
        <v>5415</v>
      </c>
      <c r="B1778" s="41" t="str">
        <f>_xlfn.TEXTAFTER(_xlfn.TEXTBEFORE(tblCost[[#This Row],[RequirementID]],".",-2),"cost.")</f>
        <v>craftifact.dagger</v>
      </c>
      <c r="C1778" s="41" t="str">
        <f>_xlfn.XLOOKUP(tblCost[[#This Row],[TargetID]],tblTargets[TargetID],tblTargets[DisplayName],"")</f>
        <v>Dagger</v>
      </c>
      <c r="D1778" s="41" t="str">
        <f>_xlfn.XLOOKUP(tblCost[[#This Row],[TargetID]],tblTargets[TargetID],tblTargets[TargetType],"")</f>
        <v>CRAFTIFACT</v>
      </c>
      <c r="E1778" s="41" t="s">
        <v>708</v>
      </c>
      <c r="F1778" s="62" t="str">
        <f>RIGHT(tblCost[[#This Row],[RequirementID]],1)</f>
        <v>1</v>
      </c>
      <c r="G1778" s="41">
        <v>5</v>
      </c>
      <c r="H1778" t="b">
        <f>COUNTIFS(tblCostChecklist[RequirementID],tblCost[[#This Row],[RequirementID]],tblCostChecklist[PlayerPaid],TRUE)&gt;0</f>
        <v>0</v>
      </c>
      <c r="I1778" s="41">
        <f>COUNTIF(tblCost[TargetID],tblCost[[#This Row],[TargetID]])</f>
        <v>6</v>
      </c>
      <c r="J1778" s="41">
        <f>COUNTIFS(tblCost[TargetID],tblCost[[#This Row],[TargetID]],tblCost[PlayerPaid],TRUE)</f>
        <v>0</v>
      </c>
      <c r="K1778" s="41">
        <f>tblCost[[#This Row],[TargetRequirements]]-tblCost[[#This Row],[CompletedRequirements]]</f>
        <v>6</v>
      </c>
      <c r="L1778" s="41" t="b">
        <f>tblCost[[#This Row],[RemainingRequirements]]=0</f>
        <v>0</v>
      </c>
      <c r="M1778" s="43">
        <f>IF(tblCost[[#This Row],[TargetRequirements]]=0,0,tblCost[[#This Row],[CompletedRequirements]]/tblCost[[#This Row],[TargetRequirements]])</f>
        <v>0</v>
      </c>
    </row>
    <row r="1779" spans="1:13">
      <c r="A1779" s="41" t="s">
        <v>5416</v>
      </c>
      <c r="B1779" s="41" t="str">
        <f>_xlfn.TEXTAFTER(_xlfn.TEXTBEFORE(tblCost[[#This Row],[RequirementID]],".",-2),"cost.")</f>
        <v>craftifact.dagger</v>
      </c>
      <c r="C1779" s="41" t="str">
        <f>_xlfn.XLOOKUP(tblCost[[#This Row],[TargetID]],tblTargets[TargetID],tblTargets[DisplayName],"")</f>
        <v>Dagger</v>
      </c>
      <c r="D1779" s="41" t="str">
        <f>_xlfn.XLOOKUP(tblCost[[#This Row],[TargetID]],tblTargets[TargetID],tblTargets[TargetType],"")</f>
        <v>CRAFTIFACT</v>
      </c>
      <c r="E1779" s="41" t="s">
        <v>710</v>
      </c>
      <c r="F1779" s="62" t="str">
        <f>RIGHT(tblCost[[#This Row],[RequirementID]],1)</f>
        <v>1</v>
      </c>
      <c r="G1779" s="41">
        <v>1</v>
      </c>
      <c r="H1779" t="b">
        <f>COUNTIFS(tblCostChecklist[RequirementID],tblCost[[#This Row],[RequirementID]],tblCostChecklist[PlayerPaid],TRUE)&gt;0</f>
        <v>0</v>
      </c>
      <c r="I1779" s="41">
        <f>COUNTIF(tblCost[TargetID],tblCost[[#This Row],[TargetID]])</f>
        <v>6</v>
      </c>
      <c r="J1779" s="41">
        <f>COUNTIFS(tblCost[TargetID],tblCost[[#This Row],[TargetID]],tblCost[PlayerPaid],TRUE)</f>
        <v>0</v>
      </c>
      <c r="K1779" s="41">
        <f>tblCost[[#This Row],[TargetRequirements]]-tblCost[[#This Row],[CompletedRequirements]]</f>
        <v>6</v>
      </c>
      <c r="L1779" s="41" t="b">
        <f>tblCost[[#This Row],[RemainingRequirements]]=0</f>
        <v>0</v>
      </c>
      <c r="M1779" s="43">
        <f>IF(tblCost[[#This Row],[TargetRequirements]]=0,0,tblCost[[#This Row],[CompletedRequirements]]/tblCost[[#This Row],[TargetRequirements]])</f>
        <v>0</v>
      </c>
    </row>
    <row r="1780" spans="1:13">
      <c r="A1780" s="41" t="s">
        <v>5417</v>
      </c>
      <c r="B1780" s="41" t="str">
        <f>_xlfn.TEXTAFTER(_xlfn.TEXTBEFORE(tblCost[[#This Row],[RequirementID]],".",-2),"cost.")</f>
        <v>craftifact.emerald_tablet</v>
      </c>
      <c r="C1780" s="41" t="str">
        <f>_xlfn.XLOOKUP(tblCost[[#This Row],[TargetID]],tblTargets[TargetID],tblTargets[DisplayName],"")</f>
        <v>Emerald Tablet</v>
      </c>
      <c r="D1780" s="41" t="str">
        <f>_xlfn.XLOOKUP(tblCost[[#This Row],[TargetID]],tblTargets[TargetID],tblTargets[TargetType],"")</f>
        <v>CRAFTIFACT</v>
      </c>
      <c r="E1780" s="41" t="s">
        <v>2066</v>
      </c>
      <c r="F1780" s="62" t="str">
        <f>RIGHT(tblCost[[#This Row],[RequirementID]],1)</f>
        <v>1</v>
      </c>
      <c r="G1780" s="41">
        <v>15</v>
      </c>
      <c r="H1780" t="b">
        <f>COUNTIFS(tblCostChecklist[RequirementID],tblCost[[#This Row],[RequirementID]],tblCostChecklist[PlayerPaid],TRUE)&gt;0</f>
        <v>0</v>
      </c>
      <c r="I1780" s="41">
        <f>COUNTIF(tblCost[TargetID],tblCost[[#This Row],[TargetID]])</f>
        <v>2</v>
      </c>
      <c r="J1780" s="41">
        <f>COUNTIFS(tblCost[TargetID],tblCost[[#This Row],[TargetID]],tblCost[PlayerPaid],TRUE)</f>
        <v>0</v>
      </c>
      <c r="K1780" s="41">
        <f>tblCost[[#This Row],[TargetRequirements]]-tblCost[[#This Row],[CompletedRequirements]]</f>
        <v>2</v>
      </c>
      <c r="L1780" s="41" t="b">
        <f>tblCost[[#This Row],[RemainingRequirements]]=0</f>
        <v>0</v>
      </c>
      <c r="M1780" s="43">
        <f>IF(tblCost[[#This Row],[TargetRequirements]]=0,0,tblCost[[#This Row],[CompletedRequirements]]/tblCost[[#This Row],[TargetRequirements]])</f>
        <v>0</v>
      </c>
    </row>
    <row r="1781" spans="1:13">
      <c r="A1781" s="41" t="s">
        <v>5418</v>
      </c>
      <c r="B1781" s="41" t="str">
        <f>_xlfn.TEXTAFTER(_xlfn.TEXTBEFORE(tblCost[[#This Row],[RequirementID]],".",-2),"cost.")</f>
        <v>craftifact.emerald_tablet</v>
      </c>
      <c r="C1781" s="41" t="str">
        <f>_xlfn.XLOOKUP(tblCost[[#This Row],[TargetID]],tblTargets[TargetID],tblTargets[DisplayName],"")</f>
        <v>Emerald Tablet</v>
      </c>
      <c r="D1781" s="41" t="str">
        <f>_xlfn.XLOOKUP(tblCost[[#This Row],[TargetID]],tblTargets[TargetID],tblTargets[TargetType],"")</f>
        <v>CRAFTIFACT</v>
      </c>
      <c r="E1781" s="41" t="s">
        <v>696</v>
      </c>
      <c r="F1781" s="62" t="str">
        <f>RIGHT(tblCost[[#This Row],[RequirementID]],1)</f>
        <v>1</v>
      </c>
      <c r="G1781" s="41">
        <v>30</v>
      </c>
      <c r="H1781" t="b">
        <f>COUNTIFS(tblCostChecklist[RequirementID],tblCost[[#This Row],[RequirementID]],tblCostChecklist[PlayerPaid],TRUE)&gt;0</f>
        <v>0</v>
      </c>
      <c r="I1781" s="41">
        <f>COUNTIF(tblCost[TargetID],tblCost[[#This Row],[TargetID]])</f>
        <v>2</v>
      </c>
      <c r="J1781" s="41">
        <f>COUNTIFS(tblCost[TargetID],tblCost[[#This Row],[TargetID]],tblCost[PlayerPaid],TRUE)</f>
        <v>0</v>
      </c>
      <c r="K1781" s="41">
        <f>tblCost[[#This Row],[TargetRequirements]]-tblCost[[#This Row],[CompletedRequirements]]</f>
        <v>2</v>
      </c>
      <c r="L1781" s="41" t="b">
        <f>tblCost[[#This Row],[RemainingRequirements]]=0</f>
        <v>0</v>
      </c>
      <c r="M1781" s="43">
        <f>IF(tblCost[[#This Row],[TargetRequirements]]=0,0,tblCost[[#This Row],[CompletedRequirements]]/tblCost[[#This Row],[TargetRequirements]])</f>
        <v>0</v>
      </c>
    </row>
    <row r="1782" spans="1:13">
      <c r="A1782" s="41" t="s">
        <v>5419</v>
      </c>
      <c r="B1782" s="41" t="str">
        <f>_xlfn.TEXTAFTER(_xlfn.TEXTBEFORE(tblCost[[#This Row],[RequirementID]],".",-2),"cost.")</f>
        <v>craftifact.flamethrower</v>
      </c>
      <c r="C1782" s="41" t="str">
        <f>_xlfn.XLOOKUP(tblCost[[#This Row],[TargetID]],tblTargets[TargetID],tblTargets[DisplayName],"")</f>
        <v>Flamethrower</v>
      </c>
      <c r="D1782" s="41" t="str">
        <f>_xlfn.XLOOKUP(tblCost[[#This Row],[TargetID]],tblTargets[TargetID],tblTargets[TargetType],"")</f>
        <v>CRAFTIFACT</v>
      </c>
      <c r="E1782" s="41" t="s">
        <v>655</v>
      </c>
      <c r="F1782" s="62" t="str">
        <f>RIGHT(tblCost[[#This Row],[RequirementID]],1)</f>
        <v>1</v>
      </c>
      <c r="G1782" s="41">
        <v>10</v>
      </c>
      <c r="H1782" t="b">
        <f>COUNTIFS(tblCostChecklist[RequirementID],tblCost[[#This Row],[RequirementID]],tblCostChecklist[PlayerPaid],TRUE)&gt;0</f>
        <v>0</v>
      </c>
      <c r="I1782" s="41">
        <f>COUNTIF(tblCost[TargetID],tblCost[[#This Row],[TargetID]])</f>
        <v>8</v>
      </c>
      <c r="J1782" s="41">
        <f>COUNTIFS(tblCost[TargetID],tblCost[[#This Row],[TargetID]],tblCost[PlayerPaid],TRUE)</f>
        <v>0</v>
      </c>
      <c r="K1782" s="41">
        <f>tblCost[[#This Row],[TargetRequirements]]-tblCost[[#This Row],[CompletedRequirements]]</f>
        <v>8</v>
      </c>
      <c r="L1782" s="41" t="b">
        <f>tblCost[[#This Row],[RemainingRequirements]]=0</f>
        <v>0</v>
      </c>
      <c r="M1782" s="43">
        <f>IF(tblCost[[#This Row],[TargetRequirements]]=0,0,tblCost[[#This Row],[CompletedRequirements]]/tblCost[[#This Row],[TargetRequirements]])</f>
        <v>0</v>
      </c>
    </row>
    <row r="1783" spans="1:13">
      <c r="A1783" s="41" t="s">
        <v>5420</v>
      </c>
      <c r="B1783" s="41" t="str">
        <f>_xlfn.TEXTAFTER(_xlfn.TEXTBEFORE(tblCost[[#This Row],[RequirementID]],".",-2),"cost.")</f>
        <v>craftifact.flamethrower</v>
      </c>
      <c r="C1783" s="41" t="str">
        <f>_xlfn.XLOOKUP(tblCost[[#This Row],[TargetID]],tblTargets[TargetID],tblTargets[DisplayName],"")</f>
        <v>Flamethrower</v>
      </c>
      <c r="D1783" s="41" t="str">
        <f>_xlfn.XLOOKUP(tblCost[[#This Row],[TargetID]],tblTargets[TargetID],tblTargets[TargetType],"")</f>
        <v>CRAFTIFACT</v>
      </c>
      <c r="E1783" s="41" t="s">
        <v>662</v>
      </c>
      <c r="F1783" s="62" t="str">
        <f>RIGHT(tblCost[[#This Row],[RequirementID]],1)</f>
        <v>1</v>
      </c>
      <c r="G1783" s="41">
        <v>30</v>
      </c>
      <c r="H1783" t="b">
        <f>COUNTIFS(tblCostChecklist[RequirementID],tblCost[[#This Row],[RequirementID]],tblCostChecklist[PlayerPaid],TRUE)&gt;0</f>
        <v>0</v>
      </c>
      <c r="I1783" s="41">
        <f>COUNTIF(tblCost[TargetID],tblCost[[#This Row],[TargetID]])</f>
        <v>8</v>
      </c>
      <c r="J1783" s="41">
        <f>COUNTIFS(tblCost[TargetID],tblCost[[#This Row],[TargetID]],tblCost[PlayerPaid],TRUE)</f>
        <v>0</v>
      </c>
      <c r="K1783" s="41">
        <f>tblCost[[#This Row],[TargetRequirements]]-tblCost[[#This Row],[CompletedRequirements]]</f>
        <v>8</v>
      </c>
      <c r="L1783" s="41" t="b">
        <f>tblCost[[#This Row],[RemainingRequirements]]=0</f>
        <v>0</v>
      </c>
      <c r="M1783" s="43">
        <f>IF(tblCost[[#This Row],[TargetRequirements]]=0,0,tblCost[[#This Row],[CompletedRequirements]]/tblCost[[#This Row],[TargetRequirements]])</f>
        <v>0</v>
      </c>
    </row>
    <row r="1784" spans="1:13">
      <c r="A1784" s="41" t="s">
        <v>5421</v>
      </c>
      <c r="B1784" s="41" t="str">
        <f>_xlfn.TEXTAFTER(_xlfn.TEXTBEFORE(tblCost[[#This Row],[RequirementID]],".",-2),"cost.")</f>
        <v>craftifact.flamethrower</v>
      </c>
      <c r="C1784" s="41" t="str">
        <f>_xlfn.XLOOKUP(tblCost[[#This Row],[TargetID]],tblTargets[TargetID],tblTargets[DisplayName],"")</f>
        <v>Flamethrower</v>
      </c>
      <c r="D1784" s="41" t="str">
        <f>_xlfn.XLOOKUP(tblCost[[#This Row],[TargetID]],tblTargets[TargetID],tblTargets[TargetType],"")</f>
        <v>CRAFTIFACT</v>
      </c>
      <c r="E1784" s="41" t="s">
        <v>928</v>
      </c>
      <c r="F1784" s="62" t="str">
        <f>RIGHT(tblCost[[#This Row],[RequirementID]],1)</f>
        <v>1</v>
      </c>
      <c r="G1784" s="41">
        <v>10</v>
      </c>
      <c r="H1784" t="b">
        <f>COUNTIFS(tblCostChecklist[RequirementID],tblCost[[#This Row],[RequirementID]],tblCostChecklist[PlayerPaid],TRUE)&gt;0</f>
        <v>0</v>
      </c>
      <c r="I1784" s="41">
        <f>COUNTIF(tblCost[TargetID],tblCost[[#This Row],[TargetID]])</f>
        <v>8</v>
      </c>
      <c r="J1784" s="41">
        <f>COUNTIFS(tblCost[TargetID],tblCost[[#This Row],[TargetID]],tblCost[PlayerPaid],TRUE)</f>
        <v>0</v>
      </c>
      <c r="K1784" s="41">
        <f>tblCost[[#This Row],[TargetRequirements]]-tblCost[[#This Row],[CompletedRequirements]]</f>
        <v>8</v>
      </c>
      <c r="L1784" s="41" t="b">
        <f>tblCost[[#This Row],[RemainingRequirements]]=0</f>
        <v>0</v>
      </c>
      <c r="M1784" s="43">
        <f>IF(tblCost[[#This Row],[TargetRequirements]]=0,0,tblCost[[#This Row],[CompletedRequirements]]/tblCost[[#This Row],[TargetRequirements]])</f>
        <v>0</v>
      </c>
    </row>
    <row r="1785" spans="1:13">
      <c r="A1785" s="41" t="s">
        <v>5422</v>
      </c>
      <c r="B1785" s="41" t="str">
        <f>_xlfn.TEXTAFTER(_xlfn.TEXTBEFORE(tblCost[[#This Row],[RequirementID]],".",-2),"cost.")</f>
        <v>craftifact.flamethrower</v>
      </c>
      <c r="C1785" s="41" t="str">
        <f>_xlfn.XLOOKUP(tblCost[[#This Row],[TargetID]],tblTargets[TargetID],tblTargets[DisplayName],"")</f>
        <v>Flamethrower</v>
      </c>
      <c r="D1785" s="41" t="str">
        <f>_xlfn.XLOOKUP(tblCost[[#This Row],[TargetID]],tblTargets[TargetID],tblTargets[TargetType],"")</f>
        <v>CRAFTIFACT</v>
      </c>
      <c r="E1785" s="41" t="s">
        <v>664</v>
      </c>
      <c r="F1785" s="62" t="str">
        <f>RIGHT(tblCost[[#This Row],[RequirementID]],1)</f>
        <v>1</v>
      </c>
      <c r="G1785" s="41">
        <v>40</v>
      </c>
      <c r="H1785" t="b">
        <f>COUNTIFS(tblCostChecklist[RequirementID],tblCost[[#This Row],[RequirementID]],tblCostChecklist[PlayerPaid],TRUE)&gt;0</f>
        <v>0</v>
      </c>
      <c r="I1785" s="41">
        <f>COUNTIF(tblCost[TargetID],tblCost[[#This Row],[TargetID]])</f>
        <v>8</v>
      </c>
      <c r="J1785" s="41">
        <f>COUNTIFS(tblCost[TargetID],tblCost[[#This Row],[TargetID]],tblCost[PlayerPaid],TRUE)</f>
        <v>0</v>
      </c>
      <c r="K1785" s="41">
        <f>tblCost[[#This Row],[TargetRequirements]]-tblCost[[#This Row],[CompletedRequirements]]</f>
        <v>8</v>
      </c>
      <c r="L1785" s="41" t="b">
        <f>tblCost[[#This Row],[RemainingRequirements]]=0</f>
        <v>0</v>
      </c>
      <c r="M1785" s="43">
        <f>IF(tblCost[[#This Row],[TargetRequirements]]=0,0,tblCost[[#This Row],[CompletedRequirements]]/tblCost[[#This Row],[TargetRequirements]])</f>
        <v>0</v>
      </c>
    </row>
    <row r="1786" spans="1:13">
      <c r="A1786" s="41" t="s">
        <v>5423</v>
      </c>
      <c r="B1786" s="41" t="str">
        <f>_xlfn.TEXTAFTER(_xlfn.TEXTBEFORE(tblCost[[#This Row],[RequirementID]],".",-2),"cost.")</f>
        <v>craftifact.flamethrower</v>
      </c>
      <c r="C1786" s="41" t="str">
        <f>_xlfn.XLOOKUP(tblCost[[#This Row],[TargetID]],tblTargets[TargetID],tblTargets[DisplayName],"")</f>
        <v>Flamethrower</v>
      </c>
      <c r="D1786" s="41" t="str">
        <f>_xlfn.XLOOKUP(tblCost[[#This Row],[TargetID]],tblTargets[TargetID],tblTargets[TargetType],"")</f>
        <v>CRAFTIFACT</v>
      </c>
      <c r="E1786" s="41" t="s">
        <v>674</v>
      </c>
      <c r="F1786" s="62" t="str">
        <f>RIGHT(tblCost[[#This Row],[RequirementID]],1)</f>
        <v>1</v>
      </c>
      <c r="G1786" s="41">
        <v>10</v>
      </c>
      <c r="H1786" t="b">
        <f>COUNTIFS(tblCostChecklist[RequirementID],tblCost[[#This Row],[RequirementID]],tblCostChecklist[PlayerPaid],TRUE)&gt;0</f>
        <v>0</v>
      </c>
      <c r="I1786" s="41">
        <f>COUNTIF(tblCost[TargetID],tblCost[[#This Row],[TargetID]])</f>
        <v>8</v>
      </c>
      <c r="J1786" s="41">
        <f>COUNTIFS(tblCost[TargetID],tblCost[[#This Row],[TargetID]],tblCost[PlayerPaid],TRUE)</f>
        <v>0</v>
      </c>
      <c r="K1786" s="41">
        <f>tblCost[[#This Row],[TargetRequirements]]-tblCost[[#This Row],[CompletedRequirements]]</f>
        <v>8</v>
      </c>
      <c r="L1786" s="41" t="b">
        <f>tblCost[[#This Row],[RemainingRequirements]]=0</f>
        <v>0</v>
      </c>
      <c r="M1786" s="43">
        <f>IF(tblCost[[#This Row],[TargetRequirements]]=0,0,tblCost[[#This Row],[CompletedRequirements]]/tblCost[[#This Row],[TargetRequirements]])</f>
        <v>0</v>
      </c>
    </row>
    <row r="1787" spans="1:13">
      <c r="A1787" s="41" t="s">
        <v>5424</v>
      </c>
      <c r="B1787" s="41" t="str">
        <f>_xlfn.TEXTAFTER(_xlfn.TEXTBEFORE(tblCost[[#This Row],[RequirementID]],".",-2),"cost.")</f>
        <v>craftifact.flamethrower</v>
      </c>
      <c r="C1787" s="41" t="str">
        <f>_xlfn.XLOOKUP(tblCost[[#This Row],[TargetID]],tblTargets[TargetID],tblTargets[DisplayName],"")</f>
        <v>Flamethrower</v>
      </c>
      <c r="D1787" s="41" t="str">
        <f>_xlfn.XLOOKUP(tblCost[[#This Row],[TargetID]],tblTargets[TargetID],tblTargets[TargetType],"")</f>
        <v>CRAFTIFACT</v>
      </c>
      <c r="E1787" s="41" t="s">
        <v>686</v>
      </c>
      <c r="F1787" s="62" t="str">
        <f>RIGHT(tblCost[[#This Row],[RequirementID]],1)</f>
        <v>1</v>
      </c>
      <c r="G1787" s="41">
        <v>5</v>
      </c>
      <c r="H1787" t="b">
        <f>COUNTIFS(tblCostChecklist[RequirementID],tblCost[[#This Row],[RequirementID]],tblCostChecklist[PlayerPaid],TRUE)&gt;0</f>
        <v>0</v>
      </c>
      <c r="I1787" s="41">
        <f>COUNTIF(tblCost[TargetID],tblCost[[#This Row],[TargetID]])</f>
        <v>8</v>
      </c>
      <c r="J1787" s="41">
        <f>COUNTIFS(tblCost[TargetID],tblCost[[#This Row],[TargetID]],tblCost[PlayerPaid],TRUE)</f>
        <v>0</v>
      </c>
      <c r="K1787" s="41">
        <f>tblCost[[#This Row],[TargetRequirements]]-tblCost[[#This Row],[CompletedRequirements]]</f>
        <v>8</v>
      </c>
      <c r="L1787" s="41" t="b">
        <f>tblCost[[#This Row],[RemainingRequirements]]=0</f>
        <v>0</v>
      </c>
      <c r="M1787" s="43">
        <f>IF(tblCost[[#This Row],[TargetRequirements]]=0,0,tblCost[[#This Row],[CompletedRequirements]]/tblCost[[#This Row],[TargetRequirements]])</f>
        <v>0</v>
      </c>
    </row>
    <row r="1788" spans="1:13">
      <c r="A1788" s="41" t="s">
        <v>5425</v>
      </c>
      <c r="B1788" s="41" t="str">
        <f>_xlfn.TEXTAFTER(_xlfn.TEXTBEFORE(tblCost[[#This Row],[RequirementID]],".",-2),"cost.")</f>
        <v>craftifact.flamethrower</v>
      </c>
      <c r="C1788" s="41" t="str">
        <f>_xlfn.XLOOKUP(tblCost[[#This Row],[TargetID]],tblTargets[TargetID],tblTargets[DisplayName],"")</f>
        <v>Flamethrower</v>
      </c>
      <c r="D1788" s="41" t="str">
        <f>_xlfn.XLOOKUP(tblCost[[#This Row],[TargetID]],tblTargets[TargetID],tblTargets[TargetType],"")</f>
        <v>CRAFTIFACT</v>
      </c>
      <c r="E1788" s="41" t="s">
        <v>695</v>
      </c>
      <c r="F1788" s="62" t="str">
        <f>RIGHT(tblCost[[#This Row],[RequirementID]],1)</f>
        <v>1</v>
      </c>
      <c r="G1788" s="41">
        <v>20</v>
      </c>
      <c r="H1788" t="b">
        <f>COUNTIFS(tblCostChecklist[RequirementID],tblCost[[#This Row],[RequirementID]],tblCostChecklist[PlayerPaid],TRUE)&gt;0</f>
        <v>0</v>
      </c>
      <c r="I1788" s="41">
        <f>COUNTIF(tblCost[TargetID],tblCost[[#This Row],[TargetID]])</f>
        <v>8</v>
      </c>
      <c r="J1788" s="41">
        <f>COUNTIFS(tblCost[TargetID],tblCost[[#This Row],[TargetID]],tblCost[PlayerPaid],TRUE)</f>
        <v>0</v>
      </c>
      <c r="K1788" s="41">
        <f>tblCost[[#This Row],[TargetRequirements]]-tblCost[[#This Row],[CompletedRequirements]]</f>
        <v>8</v>
      </c>
      <c r="L1788" s="41" t="b">
        <f>tblCost[[#This Row],[RemainingRequirements]]=0</f>
        <v>0</v>
      </c>
      <c r="M1788" s="43">
        <f>IF(tblCost[[#This Row],[TargetRequirements]]=0,0,tblCost[[#This Row],[CompletedRequirements]]/tblCost[[#This Row],[TargetRequirements]])</f>
        <v>0</v>
      </c>
    </row>
    <row r="1789" spans="1:13">
      <c r="A1789" s="41" t="s">
        <v>5426</v>
      </c>
      <c r="B1789" s="41" t="str">
        <f>_xlfn.TEXTAFTER(_xlfn.TEXTBEFORE(tblCost[[#This Row],[RequirementID]],".",-2),"cost.")</f>
        <v>craftifact.flamethrower</v>
      </c>
      <c r="C1789" s="41" t="str">
        <f>_xlfn.XLOOKUP(tblCost[[#This Row],[TargetID]],tblTargets[TargetID],tblTargets[DisplayName],"")</f>
        <v>Flamethrower</v>
      </c>
      <c r="D1789" s="41" t="str">
        <f>_xlfn.XLOOKUP(tblCost[[#This Row],[TargetID]],tblTargets[TargetID],tblTargets[TargetType],"")</f>
        <v>CRAFTIFACT</v>
      </c>
      <c r="E1789" s="41" t="s">
        <v>955</v>
      </c>
      <c r="F1789" s="62" t="str">
        <f>RIGHT(tblCost[[#This Row],[RequirementID]],1)</f>
        <v>1</v>
      </c>
      <c r="G1789" s="41">
        <v>20</v>
      </c>
      <c r="H1789" t="b">
        <f>COUNTIFS(tblCostChecklist[RequirementID],tblCost[[#This Row],[RequirementID]],tblCostChecklist[PlayerPaid],TRUE)&gt;0</f>
        <v>0</v>
      </c>
      <c r="I1789" s="41">
        <f>COUNTIF(tblCost[TargetID],tblCost[[#This Row],[TargetID]])</f>
        <v>8</v>
      </c>
      <c r="J1789" s="41">
        <f>COUNTIFS(tblCost[TargetID],tblCost[[#This Row],[TargetID]],tblCost[PlayerPaid],TRUE)</f>
        <v>0</v>
      </c>
      <c r="K1789" s="41">
        <f>tblCost[[#This Row],[TargetRequirements]]-tblCost[[#This Row],[CompletedRequirements]]</f>
        <v>8</v>
      </c>
      <c r="L1789" s="41" t="b">
        <f>tblCost[[#This Row],[RemainingRequirements]]=0</f>
        <v>0</v>
      </c>
      <c r="M1789" s="43">
        <f>IF(tblCost[[#This Row],[TargetRequirements]]=0,0,tblCost[[#This Row],[CompletedRequirements]]/tblCost[[#This Row],[TargetRequirements]])</f>
        <v>0</v>
      </c>
    </row>
    <row r="1790" spans="1:13">
      <c r="A1790" s="41" t="s">
        <v>5427</v>
      </c>
      <c r="B1790" s="41" t="str">
        <f>_xlfn.TEXTAFTER(_xlfn.TEXTBEFORE(tblCost[[#This Row],[RequirementID]],".",-2),"cost.")</f>
        <v>craftifact.guild_banner</v>
      </c>
      <c r="C1790" s="41" t="str">
        <f>_xlfn.XLOOKUP(tblCost[[#This Row],[TargetID]],tblTargets[TargetID],tblTargets[DisplayName],"")</f>
        <v>Guild Banner</v>
      </c>
      <c r="D1790" s="41" t="str">
        <f>_xlfn.XLOOKUP(tblCost[[#This Row],[TargetID]],tblTargets[TargetID],tblTargets[TargetType],"")</f>
        <v>CRAFTIFACT</v>
      </c>
      <c r="E1790" s="41" t="s">
        <v>711</v>
      </c>
      <c r="F1790" s="62" t="str">
        <f>RIGHT(tblCost[[#This Row],[RequirementID]],1)</f>
        <v>1</v>
      </c>
      <c r="G1790" s="41">
        <v>100</v>
      </c>
      <c r="H1790" t="b">
        <f>COUNTIFS(tblCostChecklist[RequirementID],tblCost[[#This Row],[RequirementID]],tblCostChecklist[PlayerPaid],TRUE)&gt;0</f>
        <v>0</v>
      </c>
      <c r="I1790" s="41">
        <f>COUNTIF(tblCost[TargetID],tblCost[[#This Row],[TargetID]])</f>
        <v>1</v>
      </c>
      <c r="J1790" s="41">
        <f>COUNTIFS(tblCost[TargetID],tblCost[[#This Row],[TargetID]],tblCost[PlayerPaid],TRUE)</f>
        <v>0</v>
      </c>
      <c r="K1790" s="41">
        <f>tblCost[[#This Row],[TargetRequirements]]-tblCost[[#This Row],[CompletedRequirements]]</f>
        <v>1</v>
      </c>
      <c r="L1790" s="41" t="b">
        <f>tblCost[[#This Row],[RemainingRequirements]]=0</f>
        <v>0</v>
      </c>
      <c r="M1790" s="43">
        <f>IF(tblCost[[#This Row],[TargetRequirements]]=0,0,tblCost[[#This Row],[CompletedRequirements]]/tblCost[[#This Row],[TargetRequirements]])</f>
        <v>0</v>
      </c>
    </row>
    <row r="1791" spans="1:13">
      <c r="A1791" s="41" t="s">
        <v>5428</v>
      </c>
      <c r="B1791" s="41" t="str">
        <f>_xlfn.TEXTAFTER(_xlfn.TEXTBEFORE(tblCost[[#This Row],[RequirementID]],".",-2),"cost.")</f>
        <v>craftifact.guild_codex</v>
      </c>
      <c r="C1791" s="41" t="str">
        <f>_xlfn.XLOOKUP(tblCost[[#This Row],[TargetID]],tblTargets[TargetID],tblTargets[DisplayName],"")</f>
        <v>Guild Codex</v>
      </c>
      <c r="D1791" s="41" t="str">
        <f>_xlfn.XLOOKUP(tblCost[[#This Row],[TargetID]],tblTargets[TargetID],tblTargets[TargetType],"")</f>
        <v>CRAFTIFACT</v>
      </c>
      <c r="E1791" s="41" t="s">
        <v>697</v>
      </c>
      <c r="F1791" s="62" t="str">
        <f>RIGHT(tblCost[[#This Row],[RequirementID]],1)</f>
        <v>1</v>
      </c>
      <c r="G1791" s="41">
        <v>100</v>
      </c>
      <c r="H1791" t="b">
        <f>COUNTIFS(tblCostChecklist[RequirementID],tblCost[[#This Row],[RequirementID]],tblCostChecklist[PlayerPaid],TRUE)&gt;0</f>
        <v>0</v>
      </c>
      <c r="I1791" s="41">
        <f>COUNTIF(tblCost[TargetID],tblCost[[#This Row],[TargetID]])</f>
        <v>1</v>
      </c>
      <c r="J1791" s="41">
        <f>COUNTIFS(tblCost[TargetID],tblCost[[#This Row],[TargetID]],tblCost[PlayerPaid],TRUE)</f>
        <v>0</v>
      </c>
      <c r="K1791" s="41">
        <f>tblCost[[#This Row],[TargetRequirements]]-tblCost[[#This Row],[CompletedRequirements]]</f>
        <v>1</v>
      </c>
      <c r="L1791" s="41" t="b">
        <f>tblCost[[#This Row],[RemainingRequirements]]=0</f>
        <v>0</v>
      </c>
      <c r="M1791" s="43">
        <f>IF(tblCost[[#This Row],[TargetRequirements]]=0,0,tblCost[[#This Row],[CompletedRequirements]]/tblCost[[#This Row],[TargetRequirements]])</f>
        <v>0</v>
      </c>
    </row>
    <row r="1792" spans="1:13">
      <c r="A1792" s="41" t="s">
        <v>5429</v>
      </c>
      <c r="B1792" s="41" t="str">
        <f>_xlfn.TEXTAFTER(_xlfn.TEXTBEFORE(tblCost[[#This Row],[RequirementID]],".",-2),"cost.")</f>
        <v>craftifact.guild_supplies</v>
      </c>
      <c r="C1792" s="41" t="str">
        <f>_xlfn.XLOOKUP(tblCost[[#This Row],[TargetID]],tblTargets[TargetID],tblTargets[DisplayName],"")</f>
        <v>Guild Supplies</v>
      </c>
      <c r="D1792" s="41" t="str">
        <f>_xlfn.XLOOKUP(tblCost[[#This Row],[TargetID]],tblTargets[TargetID],tblTargets[TargetType],"")</f>
        <v>CRAFTIFACT</v>
      </c>
      <c r="E1792" s="41" t="s">
        <v>1802</v>
      </c>
      <c r="F1792" s="62" t="str">
        <f>RIGHT(tblCost[[#This Row],[RequirementID]],1)</f>
        <v>1</v>
      </c>
      <c r="G1792" s="41">
        <v>50</v>
      </c>
      <c r="H1792" t="b">
        <f>COUNTIFS(tblCostChecklist[RequirementID],tblCost[[#This Row],[RequirementID]],tblCostChecklist[PlayerPaid],TRUE)&gt;0</f>
        <v>0</v>
      </c>
      <c r="I1792" s="41">
        <f>COUNTIF(tblCost[TargetID],tblCost[[#This Row],[TargetID]])</f>
        <v>7</v>
      </c>
      <c r="J1792" s="41">
        <f>COUNTIFS(tblCost[TargetID],tblCost[[#This Row],[TargetID]],tblCost[PlayerPaid],TRUE)</f>
        <v>0</v>
      </c>
      <c r="K1792" s="41">
        <f>tblCost[[#This Row],[TargetRequirements]]-tblCost[[#This Row],[CompletedRequirements]]</f>
        <v>7</v>
      </c>
      <c r="L1792" s="41" t="b">
        <f>tblCost[[#This Row],[RemainingRequirements]]=0</f>
        <v>0</v>
      </c>
      <c r="M1792" s="43">
        <f>IF(tblCost[[#This Row],[TargetRequirements]]=0,0,tblCost[[#This Row],[CompletedRequirements]]/tblCost[[#This Row],[TargetRequirements]])</f>
        <v>0</v>
      </c>
    </row>
    <row r="1793" spans="1:13">
      <c r="A1793" s="41" t="s">
        <v>5430</v>
      </c>
      <c r="B1793" s="41" t="str">
        <f>_xlfn.TEXTAFTER(_xlfn.TEXTBEFORE(tblCost[[#This Row],[RequirementID]],".",-2),"cost.")</f>
        <v>craftifact.guild_supplies</v>
      </c>
      <c r="C1793" s="41" t="str">
        <f>_xlfn.XLOOKUP(tblCost[[#This Row],[TargetID]],tblTargets[TargetID],tblTargets[DisplayName],"")</f>
        <v>Guild Supplies</v>
      </c>
      <c r="D1793" s="41" t="str">
        <f>_xlfn.XLOOKUP(tblCost[[#This Row],[TargetID]],tblTargets[TargetID],tblTargets[TargetType],"")</f>
        <v>CRAFTIFACT</v>
      </c>
      <c r="E1793" s="41" t="s">
        <v>934</v>
      </c>
      <c r="F1793" s="62" t="str">
        <f>RIGHT(tblCost[[#This Row],[RequirementID]],1)</f>
        <v>1</v>
      </c>
      <c r="G1793" s="41">
        <v>25</v>
      </c>
      <c r="H1793" t="b">
        <f>COUNTIFS(tblCostChecklist[RequirementID],tblCost[[#This Row],[RequirementID]],tblCostChecklist[PlayerPaid],TRUE)&gt;0</f>
        <v>0</v>
      </c>
      <c r="I1793" s="41">
        <f>COUNTIF(tblCost[TargetID],tblCost[[#This Row],[TargetID]])</f>
        <v>7</v>
      </c>
      <c r="J1793" s="41">
        <f>COUNTIFS(tblCost[TargetID],tblCost[[#This Row],[TargetID]],tblCost[PlayerPaid],TRUE)</f>
        <v>0</v>
      </c>
      <c r="K1793" s="41">
        <f>tblCost[[#This Row],[TargetRequirements]]-tblCost[[#This Row],[CompletedRequirements]]</f>
        <v>7</v>
      </c>
      <c r="L1793" s="41" t="b">
        <f>tblCost[[#This Row],[RemainingRequirements]]=0</f>
        <v>0</v>
      </c>
      <c r="M1793" s="43">
        <f>IF(tblCost[[#This Row],[TargetRequirements]]=0,0,tblCost[[#This Row],[CompletedRequirements]]/tblCost[[#This Row],[TargetRequirements]])</f>
        <v>0</v>
      </c>
    </row>
    <row r="1794" spans="1:13">
      <c r="A1794" s="41" t="s">
        <v>5431</v>
      </c>
      <c r="B1794" s="41" t="str">
        <f>_xlfn.TEXTAFTER(_xlfn.TEXTBEFORE(tblCost[[#This Row],[RequirementID]],".",-2),"cost.")</f>
        <v>craftifact.guild_supplies</v>
      </c>
      <c r="C1794" s="41" t="str">
        <f>_xlfn.XLOOKUP(tblCost[[#This Row],[TargetID]],tblTargets[TargetID],tblTargets[DisplayName],"")</f>
        <v>Guild Supplies</v>
      </c>
      <c r="D1794" s="41" t="str">
        <f>_xlfn.XLOOKUP(tblCost[[#This Row],[TargetID]],tblTargets[TargetID],tblTargets[TargetType],"")</f>
        <v>CRAFTIFACT</v>
      </c>
      <c r="E1794" s="41" t="s">
        <v>674</v>
      </c>
      <c r="F1794" s="62" t="str">
        <f>RIGHT(tblCost[[#This Row],[RequirementID]],1)</f>
        <v>1</v>
      </c>
      <c r="G1794" s="41">
        <v>25</v>
      </c>
      <c r="H1794" t="b">
        <f>COUNTIFS(tblCostChecklist[RequirementID],tblCost[[#This Row],[RequirementID]],tblCostChecklist[PlayerPaid],TRUE)&gt;0</f>
        <v>0</v>
      </c>
      <c r="I1794" s="41">
        <f>COUNTIF(tblCost[TargetID],tblCost[[#This Row],[TargetID]])</f>
        <v>7</v>
      </c>
      <c r="J1794" s="41">
        <f>COUNTIFS(tblCost[TargetID],tblCost[[#This Row],[TargetID]],tblCost[PlayerPaid],TRUE)</f>
        <v>0</v>
      </c>
      <c r="K1794" s="41">
        <f>tblCost[[#This Row],[TargetRequirements]]-tblCost[[#This Row],[CompletedRequirements]]</f>
        <v>7</v>
      </c>
      <c r="L1794" s="41" t="b">
        <f>tblCost[[#This Row],[RemainingRequirements]]=0</f>
        <v>0</v>
      </c>
      <c r="M1794" s="43">
        <f>IF(tblCost[[#This Row],[TargetRequirements]]=0,0,tblCost[[#This Row],[CompletedRequirements]]/tblCost[[#This Row],[TargetRequirements]])</f>
        <v>0</v>
      </c>
    </row>
    <row r="1795" spans="1:13">
      <c r="A1795" s="41" t="s">
        <v>5432</v>
      </c>
      <c r="B1795" s="41" t="str">
        <f>_xlfn.TEXTAFTER(_xlfn.TEXTBEFORE(tblCost[[#This Row],[RequirementID]],".",-2),"cost.")</f>
        <v>craftifact.guild_supplies</v>
      </c>
      <c r="C1795" s="41" t="str">
        <f>_xlfn.XLOOKUP(tblCost[[#This Row],[TargetID]],tblTargets[TargetID],tblTargets[DisplayName],"")</f>
        <v>Guild Supplies</v>
      </c>
      <c r="D1795" s="41" t="str">
        <f>_xlfn.XLOOKUP(tblCost[[#This Row],[TargetID]],tblTargets[TargetID],tblTargets[TargetType],"")</f>
        <v>CRAFTIFACT</v>
      </c>
      <c r="E1795" s="41" t="s">
        <v>938</v>
      </c>
      <c r="F1795" s="62" t="str">
        <f>RIGHT(tblCost[[#This Row],[RequirementID]],1)</f>
        <v>1</v>
      </c>
      <c r="G1795" s="41">
        <v>50</v>
      </c>
      <c r="H1795" t="b">
        <f>COUNTIFS(tblCostChecklist[RequirementID],tblCost[[#This Row],[RequirementID]],tblCostChecklist[PlayerPaid],TRUE)&gt;0</f>
        <v>0</v>
      </c>
      <c r="I1795" s="41">
        <f>COUNTIF(tblCost[TargetID],tblCost[[#This Row],[TargetID]])</f>
        <v>7</v>
      </c>
      <c r="J1795" s="41">
        <f>COUNTIFS(tblCost[TargetID],tblCost[[#This Row],[TargetID]],tblCost[PlayerPaid],TRUE)</f>
        <v>0</v>
      </c>
      <c r="K1795" s="41">
        <f>tblCost[[#This Row],[TargetRequirements]]-tblCost[[#This Row],[CompletedRequirements]]</f>
        <v>7</v>
      </c>
      <c r="L1795" s="41" t="b">
        <f>tblCost[[#This Row],[RemainingRequirements]]=0</f>
        <v>0</v>
      </c>
      <c r="M1795" s="43">
        <f>IF(tblCost[[#This Row],[TargetRequirements]]=0,0,tblCost[[#This Row],[CompletedRequirements]]/tblCost[[#This Row],[TargetRequirements]])</f>
        <v>0</v>
      </c>
    </row>
    <row r="1796" spans="1:13">
      <c r="A1796" s="41" t="s">
        <v>5433</v>
      </c>
      <c r="B1796" s="41" t="str">
        <f>_xlfn.TEXTAFTER(_xlfn.TEXTBEFORE(tblCost[[#This Row],[RequirementID]],".",-2),"cost.")</f>
        <v>craftifact.guild_supplies</v>
      </c>
      <c r="C1796" s="41" t="str">
        <f>_xlfn.XLOOKUP(tblCost[[#This Row],[TargetID]],tblTargets[TargetID],tblTargets[DisplayName],"")</f>
        <v>Guild Supplies</v>
      </c>
      <c r="D1796" s="41" t="str">
        <f>_xlfn.XLOOKUP(tblCost[[#This Row],[TargetID]],tblTargets[TargetID],tblTargets[TargetType],"")</f>
        <v>CRAFTIFACT</v>
      </c>
      <c r="E1796" s="41" t="s">
        <v>695</v>
      </c>
      <c r="F1796" s="62" t="str">
        <f>RIGHT(tblCost[[#This Row],[RequirementID]],1)</f>
        <v>1</v>
      </c>
      <c r="G1796" s="41">
        <v>50</v>
      </c>
      <c r="H1796" t="b">
        <f>COUNTIFS(tblCostChecklist[RequirementID],tblCost[[#This Row],[RequirementID]],tblCostChecklist[PlayerPaid],TRUE)&gt;0</f>
        <v>0</v>
      </c>
      <c r="I1796" s="41">
        <f>COUNTIF(tblCost[TargetID],tblCost[[#This Row],[TargetID]])</f>
        <v>7</v>
      </c>
      <c r="J1796" s="41">
        <f>COUNTIFS(tblCost[TargetID],tblCost[[#This Row],[TargetID]],tblCost[PlayerPaid],TRUE)</f>
        <v>0</v>
      </c>
      <c r="K1796" s="41">
        <f>tblCost[[#This Row],[TargetRequirements]]-tblCost[[#This Row],[CompletedRequirements]]</f>
        <v>7</v>
      </c>
      <c r="L1796" s="41" t="b">
        <f>tblCost[[#This Row],[RemainingRequirements]]=0</f>
        <v>0</v>
      </c>
      <c r="M1796" s="43">
        <f>IF(tblCost[[#This Row],[TargetRequirements]]=0,0,tblCost[[#This Row],[CompletedRequirements]]/tblCost[[#This Row],[TargetRequirements]])</f>
        <v>0</v>
      </c>
    </row>
    <row r="1797" spans="1:13">
      <c r="A1797" s="41" t="s">
        <v>5434</v>
      </c>
      <c r="B1797" s="41" t="str">
        <f>_xlfn.TEXTAFTER(_xlfn.TEXTBEFORE(tblCost[[#This Row],[RequirementID]],".",-2),"cost.")</f>
        <v>craftifact.guild_supplies</v>
      </c>
      <c r="C1797" s="41" t="str">
        <f>_xlfn.XLOOKUP(tblCost[[#This Row],[TargetID]],tblTargets[TargetID],tblTargets[DisplayName],"")</f>
        <v>Guild Supplies</v>
      </c>
      <c r="D1797" s="41" t="str">
        <f>_xlfn.XLOOKUP(tblCost[[#This Row],[TargetID]],tblTargets[TargetID],tblTargets[TargetType],"")</f>
        <v>CRAFTIFACT</v>
      </c>
      <c r="E1797" s="41" t="s">
        <v>707</v>
      </c>
      <c r="F1797" s="62" t="str">
        <f>RIGHT(tblCost[[#This Row],[RequirementID]],1)</f>
        <v>1</v>
      </c>
      <c r="G1797" s="41">
        <v>25</v>
      </c>
      <c r="H1797" t="b">
        <f>COUNTIFS(tblCostChecklist[RequirementID],tblCost[[#This Row],[RequirementID]],tblCostChecklist[PlayerPaid],TRUE)&gt;0</f>
        <v>0</v>
      </c>
      <c r="I1797" s="41">
        <f>COUNTIF(tblCost[TargetID],tblCost[[#This Row],[TargetID]])</f>
        <v>7</v>
      </c>
      <c r="J1797" s="41">
        <f>COUNTIFS(tblCost[TargetID],tblCost[[#This Row],[TargetID]],tblCost[PlayerPaid],TRUE)</f>
        <v>0</v>
      </c>
      <c r="K1797" s="41">
        <f>tblCost[[#This Row],[TargetRequirements]]-tblCost[[#This Row],[CompletedRequirements]]</f>
        <v>7</v>
      </c>
      <c r="L1797" s="41" t="b">
        <f>tblCost[[#This Row],[RemainingRequirements]]=0</f>
        <v>0</v>
      </c>
      <c r="M1797" s="43">
        <f>IF(tblCost[[#This Row],[TargetRequirements]]=0,0,tblCost[[#This Row],[CompletedRequirements]]/tblCost[[#This Row],[TargetRequirements]])</f>
        <v>0</v>
      </c>
    </row>
    <row r="1798" spans="1:13">
      <c r="A1798" s="41" t="s">
        <v>5435</v>
      </c>
      <c r="B1798" s="41" t="str">
        <f>_xlfn.TEXTAFTER(_xlfn.TEXTBEFORE(tblCost[[#This Row],[RequirementID]],".",-2),"cost.")</f>
        <v>craftifact.guild_supplies</v>
      </c>
      <c r="C1798" s="41" t="str">
        <f>_xlfn.XLOOKUP(tblCost[[#This Row],[TargetID]],tblTargets[TargetID],tblTargets[DisplayName],"")</f>
        <v>Guild Supplies</v>
      </c>
      <c r="D1798" s="41" t="str">
        <f>_xlfn.XLOOKUP(tblCost[[#This Row],[TargetID]],tblTargets[TargetID],tblTargets[TargetType],"")</f>
        <v>CRAFTIFACT</v>
      </c>
      <c r="E1798" s="41" t="s">
        <v>956</v>
      </c>
      <c r="F1798" s="62" t="str">
        <f>RIGHT(tblCost[[#This Row],[RequirementID]],1)</f>
        <v>1</v>
      </c>
      <c r="G1798" s="41">
        <v>25</v>
      </c>
      <c r="H1798" t="b">
        <f>COUNTIFS(tblCostChecklist[RequirementID],tblCost[[#This Row],[RequirementID]],tblCostChecklist[PlayerPaid],TRUE)&gt;0</f>
        <v>0</v>
      </c>
      <c r="I1798" s="41">
        <f>COUNTIF(tblCost[TargetID],tblCost[[#This Row],[TargetID]])</f>
        <v>7</v>
      </c>
      <c r="J1798" s="41">
        <f>COUNTIFS(tblCost[TargetID],tblCost[[#This Row],[TargetID]],tblCost[PlayerPaid],TRUE)</f>
        <v>0</v>
      </c>
      <c r="K1798" s="41">
        <f>tblCost[[#This Row],[TargetRequirements]]-tblCost[[#This Row],[CompletedRequirements]]</f>
        <v>7</v>
      </c>
      <c r="L1798" s="41" t="b">
        <f>tblCost[[#This Row],[RemainingRequirements]]=0</f>
        <v>0</v>
      </c>
      <c r="M1798" s="43">
        <f>IF(tblCost[[#This Row],[TargetRequirements]]=0,0,tblCost[[#This Row],[CompletedRequirements]]/tblCost[[#This Row],[TargetRequirements]])</f>
        <v>0</v>
      </c>
    </row>
    <row r="1799" spans="1:13">
      <c r="A1799" s="41" t="s">
        <v>5436</v>
      </c>
      <c r="B1799" s="41" t="str">
        <f>_xlfn.TEXTAFTER(_xlfn.TEXTBEFORE(tblCost[[#This Row],[RequirementID]],".",-2),"cost.")</f>
        <v>craftifact.hat_of_concentration</v>
      </c>
      <c r="C1799" s="41" t="str">
        <f>_xlfn.XLOOKUP(tblCost[[#This Row],[TargetID]],tblTargets[TargetID],tblTargets[DisplayName],"")</f>
        <v>Hat Of Concentration</v>
      </c>
      <c r="D1799" s="41" t="str">
        <f>_xlfn.XLOOKUP(tblCost[[#This Row],[TargetID]],tblTargets[TargetID],tblTargets[TargetType],"")</f>
        <v>CRAFTIFACT</v>
      </c>
      <c r="E1799" s="41" t="s">
        <v>935</v>
      </c>
      <c r="F1799" s="62" t="str">
        <f>RIGHT(tblCost[[#This Row],[RequirementID]],1)</f>
        <v>1</v>
      </c>
      <c r="G1799" s="41">
        <v>20</v>
      </c>
      <c r="H1799" t="b">
        <f>COUNTIFS(tblCostChecklist[RequirementID],tblCost[[#This Row],[RequirementID]],tblCostChecklist[PlayerPaid],TRUE)&gt;0</f>
        <v>0</v>
      </c>
      <c r="I1799" s="41">
        <f>COUNTIF(tblCost[TargetID],tblCost[[#This Row],[TargetID]])</f>
        <v>7</v>
      </c>
      <c r="J1799" s="41">
        <f>COUNTIFS(tblCost[TargetID],tblCost[[#This Row],[TargetID]],tblCost[PlayerPaid],TRUE)</f>
        <v>0</v>
      </c>
      <c r="K1799" s="41">
        <f>tblCost[[#This Row],[TargetRequirements]]-tblCost[[#This Row],[CompletedRequirements]]</f>
        <v>7</v>
      </c>
      <c r="L1799" s="41" t="b">
        <f>tblCost[[#This Row],[RemainingRequirements]]=0</f>
        <v>0</v>
      </c>
      <c r="M1799" s="43">
        <f>IF(tblCost[[#This Row],[TargetRequirements]]=0,0,tblCost[[#This Row],[CompletedRequirements]]/tblCost[[#This Row],[TargetRequirements]])</f>
        <v>0</v>
      </c>
    </row>
    <row r="1800" spans="1:13">
      <c r="A1800" s="41" t="s">
        <v>5437</v>
      </c>
      <c r="B1800" s="41" t="str">
        <f>_xlfn.TEXTAFTER(_xlfn.TEXTBEFORE(tblCost[[#This Row],[RequirementID]],".",-2),"cost.")</f>
        <v>craftifact.hat_of_concentration</v>
      </c>
      <c r="C1800" s="41" t="str">
        <f>_xlfn.XLOOKUP(tblCost[[#This Row],[TargetID]],tblTargets[TargetID],tblTargets[DisplayName],"")</f>
        <v>Hat Of Concentration</v>
      </c>
      <c r="D1800" s="41" t="str">
        <f>_xlfn.XLOOKUP(tblCost[[#This Row],[TargetID]],tblTargets[TargetID],tblTargets[TargetType],"")</f>
        <v>CRAFTIFACT</v>
      </c>
      <c r="E1800" s="41" t="s">
        <v>677</v>
      </c>
      <c r="F1800" s="62" t="str">
        <f>RIGHT(tblCost[[#This Row],[RequirementID]],1)</f>
        <v>1</v>
      </c>
      <c r="G1800" s="41">
        <v>20</v>
      </c>
      <c r="H1800" t="b">
        <f>COUNTIFS(tblCostChecklist[RequirementID],tblCost[[#This Row],[RequirementID]],tblCostChecklist[PlayerPaid],TRUE)&gt;0</f>
        <v>0</v>
      </c>
      <c r="I1800" s="41">
        <f>COUNTIF(tblCost[TargetID],tblCost[[#This Row],[TargetID]])</f>
        <v>7</v>
      </c>
      <c r="J1800" s="41">
        <f>COUNTIFS(tblCost[TargetID],tblCost[[#This Row],[TargetID]],tblCost[PlayerPaid],TRUE)</f>
        <v>0</v>
      </c>
      <c r="K1800" s="41">
        <f>tblCost[[#This Row],[TargetRequirements]]-tblCost[[#This Row],[CompletedRequirements]]</f>
        <v>7</v>
      </c>
      <c r="L1800" s="41" t="b">
        <f>tblCost[[#This Row],[RemainingRequirements]]=0</f>
        <v>0</v>
      </c>
      <c r="M1800" s="43">
        <f>IF(tblCost[[#This Row],[TargetRequirements]]=0,0,tblCost[[#This Row],[CompletedRequirements]]/tblCost[[#This Row],[TargetRequirements]])</f>
        <v>0</v>
      </c>
    </row>
    <row r="1801" spans="1:13">
      <c r="A1801" s="41" t="s">
        <v>5438</v>
      </c>
      <c r="B1801" s="41" t="str">
        <f>_xlfn.TEXTAFTER(_xlfn.TEXTBEFORE(tblCost[[#This Row],[RequirementID]],".",-2),"cost.")</f>
        <v>craftifact.hat_of_concentration</v>
      </c>
      <c r="C1801" s="41" t="str">
        <f>_xlfn.XLOOKUP(tblCost[[#This Row],[TargetID]],tblTargets[TargetID],tblTargets[DisplayName],"")</f>
        <v>Hat Of Concentration</v>
      </c>
      <c r="D1801" s="41" t="str">
        <f>_xlfn.XLOOKUP(tblCost[[#This Row],[TargetID]],tblTargets[TargetID],tblTargets[TargetType],"")</f>
        <v>CRAFTIFACT</v>
      </c>
      <c r="E1801" s="41" t="s">
        <v>679</v>
      </c>
      <c r="F1801" s="62" t="str">
        <f>RIGHT(tblCost[[#This Row],[RequirementID]],1)</f>
        <v>1</v>
      </c>
      <c r="G1801" s="41">
        <v>10</v>
      </c>
      <c r="H1801" t="b">
        <f>COUNTIFS(tblCostChecklist[RequirementID],tblCost[[#This Row],[RequirementID]],tblCostChecklist[PlayerPaid],TRUE)&gt;0</f>
        <v>0</v>
      </c>
      <c r="I1801" s="41">
        <f>COUNTIF(tblCost[TargetID],tblCost[[#This Row],[TargetID]])</f>
        <v>7</v>
      </c>
      <c r="J1801" s="41">
        <f>COUNTIFS(tblCost[TargetID],tblCost[[#This Row],[TargetID]],tblCost[PlayerPaid],TRUE)</f>
        <v>0</v>
      </c>
      <c r="K1801" s="41">
        <f>tblCost[[#This Row],[TargetRequirements]]-tblCost[[#This Row],[CompletedRequirements]]</f>
        <v>7</v>
      </c>
      <c r="L1801" s="41" t="b">
        <f>tblCost[[#This Row],[RemainingRequirements]]=0</f>
        <v>0</v>
      </c>
      <c r="M1801" s="43">
        <f>IF(tblCost[[#This Row],[TargetRequirements]]=0,0,tblCost[[#This Row],[CompletedRequirements]]/tblCost[[#This Row],[TargetRequirements]])</f>
        <v>0</v>
      </c>
    </row>
    <row r="1802" spans="1:13">
      <c r="A1802" s="41" t="s">
        <v>5439</v>
      </c>
      <c r="B1802" s="41" t="str">
        <f>_xlfn.TEXTAFTER(_xlfn.TEXTBEFORE(tblCost[[#This Row],[RequirementID]],".",-2),"cost.")</f>
        <v>craftifact.hat_of_concentration</v>
      </c>
      <c r="C1802" s="41" t="str">
        <f>_xlfn.XLOOKUP(tblCost[[#This Row],[TargetID]],tblTargets[TargetID],tblTargets[DisplayName],"")</f>
        <v>Hat Of Concentration</v>
      </c>
      <c r="D1802" s="41" t="str">
        <f>_xlfn.XLOOKUP(tblCost[[#This Row],[TargetID]],tblTargets[TargetID],tblTargets[TargetType],"")</f>
        <v>CRAFTIFACT</v>
      </c>
      <c r="E1802" s="41" t="s">
        <v>687</v>
      </c>
      <c r="F1802" s="62" t="str">
        <f>RIGHT(tblCost[[#This Row],[RequirementID]],1)</f>
        <v>1</v>
      </c>
      <c r="G1802" s="41">
        <v>10</v>
      </c>
      <c r="H1802" t="b">
        <f>COUNTIFS(tblCostChecklist[RequirementID],tblCost[[#This Row],[RequirementID]],tblCostChecklist[PlayerPaid],TRUE)&gt;0</f>
        <v>0</v>
      </c>
      <c r="I1802" s="41">
        <f>COUNTIF(tblCost[TargetID],tblCost[[#This Row],[TargetID]])</f>
        <v>7</v>
      </c>
      <c r="J1802" s="41">
        <f>COUNTIFS(tblCost[TargetID],tblCost[[#This Row],[TargetID]],tblCost[PlayerPaid],TRUE)</f>
        <v>0</v>
      </c>
      <c r="K1802" s="41">
        <f>tblCost[[#This Row],[TargetRequirements]]-tblCost[[#This Row],[CompletedRequirements]]</f>
        <v>7</v>
      </c>
      <c r="L1802" s="41" t="b">
        <f>tblCost[[#This Row],[RemainingRequirements]]=0</f>
        <v>0</v>
      </c>
      <c r="M1802" s="43">
        <f>IF(tblCost[[#This Row],[TargetRequirements]]=0,0,tblCost[[#This Row],[CompletedRequirements]]/tblCost[[#This Row],[TargetRequirements]])</f>
        <v>0</v>
      </c>
    </row>
    <row r="1803" spans="1:13">
      <c r="A1803" s="41" t="s">
        <v>5440</v>
      </c>
      <c r="B1803" s="41" t="str">
        <f>_xlfn.TEXTAFTER(_xlfn.TEXTBEFORE(tblCost[[#This Row],[RequirementID]],".",-2),"cost.")</f>
        <v>craftifact.hat_of_concentration</v>
      </c>
      <c r="C1803" s="41" t="str">
        <f>_xlfn.XLOOKUP(tblCost[[#This Row],[TargetID]],tblTargets[TargetID],tblTargets[DisplayName],"")</f>
        <v>Hat Of Concentration</v>
      </c>
      <c r="D1803" s="41" t="str">
        <f>_xlfn.XLOOKUP(tblCost[[#This Row],[TargetID]],tblTargets[TargetID],tblTargets[TargetType],"")</f>
        <v>CRAFTIFACT</v>
      </c>
      <c r="E1803" s="41" t="s">
        <v>711</v>
      </c>
      <c r="F1803" s="62" t="str">
        <f>RIGHT(tblCost[[#This Row],[RequirementID]],1)</f>
        <v>1</v>
      </c>
      <c r="G1803" s="41">
        <v>10</v>
      </c>
      <c r="H1803" t="b">
        <f>COUNTIFS(tblCostChecklist[RequirementID],tblCost[[#This Row],[RequirementID]],tblCostChecklist[PlayerPaid],TRUE)&gt;0</f>
        <v>0</v>
      </c>
      <c r="I1803" s="41">
        <f>COUNTIF(tblCost[TargetID],tblCost[[#This Row],[TargetID]])</f>
        <v>7</v>
      </c>
      <c r="J1803" s="41">
        <f>COUNTIFS(tblCost[TargetID],tblCost[[#This Row],[TargetID]],tblCost[PlayerPaid],TRUE)</f>
        <v>0</v>
      </c>
      <c r="K1803" s="41">
        <f>tblCost[[#This Row],[TargetRequirements]]-tblCost[[#This Row],[CompletedRequirements]]</f>
        <v>7</v>
      </c>
      <c r="L1803" s="41" t="b">
        <f>tblCost[[#This Row],[RemainingRequirements]]=0</f>
        <v>0</v>
      </c>
      <c r="M1803" s="43">
        <f>IF(tblCost[[#This Row],[TargetRequirements]]=0,0,tblCost[[#This Row],[CompletedRequirements]]/tblCost[[#This Row],[TargetRequirements]])</f>
        <v>0</v>
      </c>
    </row>
    <row r="1804" spans="1:13">
      <c r="A1804" s="41" t="s">
        <v>5441</v>
      </c>
      <c r="B1804" s="41" t="str">
        <f>_xlfn.TEXTAFTER(_xlfn.TEXTBEFORE(tblCost[[#This Row],[RequirementID]],".",-2),"cost.")</f>
        <v>craftifact.hat_of_concentration</v>
      </c>
      <c r="C1804" s="41" t="str">
        <f>_xlfn.XLOOKUP(tblCost[[#This Row],[TargetID]],tblTargets[TargetID],tblTargets[DisplayName],"")</f>
        <v>Hat Of Concentration</v>
      </c>
      <c r="D1804" s="41" t="str">
        <f>_xlfn.XLOOKUP(tblCost[[#This Row],[TargetID]],tblTargets[TargetID],tblTargets[TargetType],"")</f>
        <v>CRAFTIFACT</v>
      </c>
      <c r="E1804" s="41" t="s">
        <v>1847</v>
      </c>
      <c r="F1804" s="62" t="str">
        <f>RIGHT(tblCost[[#This Row],[RequirementID]],1)</f>
        <v>1</v>
      </c>
      <c r="G1804" s="41">
        <v>2</v>
      </c>
      <c r="H1804" t="b">
        <f>COUNTIFS(tblCostChecklist[RequirementID],tblCost[[#This Row],[RequirementID]],tblCostChecklist[PlayerPaid],TRUE)&gt;0</f>
        <v>0</v>
      </c>
      <c r="I1804" s="41">
        <f>COUNTIF(tblCost[TargetID],tblCost[[#This Row],[TargetID]])</f>
        <v>7</v>
      </c>
      <c r="J1804" s="41">
        <f>COUNTIFS(tblCost[TargetID],tblCost[[#This Row],[TargetID]],tblCost[PlayerPaid],TRUE)</f>
        <v>0</v>
      </c>
      <c r="K1804" s="41">
        <f>tblCost[[#This Row],[TargetRequirements]]-tblCost[[#This Row],[CompletedRequirements]]</f>
        <v>7</v>
      </c>
      <c r="L1804" s="41" t="b">
        <f>tblCost[[#This Row],[RemainingRequirements]]=0</f>
        <v>0</v>
      </c>
      <c r="M1804" s="43">
        <f>IF(tblCost[[#This Row],[TargetRequirements]]=0,0,tblCost[[#This Row],[CompletedRequirements]]/tblCost[[#This Row],[TargetRequirements]])</f>
        <v>0</v>
      </c>
    </row>
    <row r="1805" spans="1:13">
      <c r="A1805" s="41" t="s">
        <v>5442</v>
      </c>
      <c r="B1805" s="41" t="str">
        <f>_xlfn.TEXTAFTER(_xlfn.TEXTBEFORE(tblCost[[#This Row],[RequirementID]],".",-2),"cost.")</f>
        <v>craftifact.hat_of_concentration</v>
      </c>
      <c r="C1805" s="41" t="str">
        <f>_xlfn.XLOOKUP(tblCost[[#This Row],[TargetID]],tblTargets[TargetID],tblTargets[DisplayName],"")</f>
        <v>Hat Of Concentration</v>
      </c>
      <c r="D1805" s="41" t="str">
        <f>_xlfn.XLOOKUP(tblCost[[#This Row],[TargetID]],tblTargets[TargetID],tblTargets[TargetType],"")</f>
        <v>CRAFTIFACT</v>
      </c>
      <c r="E1805" s="41" t="s">
        <v>957</v>
      </c>
      <c r="F1805" s="62" t="str">
        <f>RIGHT(tblCost[[#This Row],[RequirementID]],1)</f>
        <v>1</v>
      </c>
      <c r="G1805" s="41">
        <v>12</v>
      </c>
      <c r="H1805" t="b">
        <f>COUNTIFS(tblCostChecklist[RequirementID],tblCost[[#This Row],[RequirementID]],tblCostChecklist[PlayerPaid],TRUE)&gt;0</f>
        <v>0</v>
      </c>
      <c r="I1805" s="41">
        <f>COUNTIF(tblCost[TargetID],tblCost[[#This Row],[TargetID]])</f>
        <v>7</v>
      </c>
      <c r="J1805" s="41">
        <f>COUNTIFS(tblCost[TargetID],tblCost[[#This Row],[TargetID]],tblCost[PlayerPaid],TRUE)</f>
        <v>0</v>
      </c>
      <c r="K1805" s="41">
        <f>tblCost[[#This Row],[TargetRequirements]]-tblCost[[#This Row],[CompletedRequirements]]</f>
        <v>7</v>
      </c>
      <c r="L1805" s="41" t="b">
        <f>tblCost[[#This Row],[RemainingRequirements]]=0</f>
        <v>0</v>
      </c>
      <c r="M1805" s="43">
        <f>IF(tblCost[[#This Row],[TargetRequirements]]=0,0,tblCost[[#This Row],[CompletedRequirements]]/tblCost[[#This Row],[TargetRequirements]])</f>
        <v>0</v>
      </c>
    </row>
    <row r="1806" spans="1:13">
      <c r="A1806" s="41" t="s">
        <v>5443</v>
      </c>
      <c r="B1806" s="41" t="str">
        <f>_xlfn.TEXTAFTER(_xlfn.TEXTBEFORE(tblCost[[#This Row],[RequirementID]],".",-2),"cost.")</f>
        <v>craftifact.helmet</v>
      </c>
      <c r="C1806" s="41" t="str">
        <f>_xlfn.XLOOKUP(tblCost[[#This Row],[TargetID]],tblTargets[TargetID],tblTargets[DisplayName],"")</f>
        <v>Helmet</v>
      </c>
      <c r="D1806" s="41" t="str">
        <f>_xlfn.XLOOKUP(tblCost[[#This Row],[TargetID]],tblTargets[TargetID],tblTargets[TargetType],"")</f>
        <v>CRAFTIFACT</v>
      </c>
      <c r="E1806" s="41" t="s">
        <v>667</v>
      </c>
      <c r="F1806" s="62" t="str">
        <f>RIGHT(tblCost[[#This Row],[RequirementID]],1)</f>
        <v>1</v>
      </c>
      <c r="G1806" s="41">
        <v>100</v>
      </c>
      <c r="H1806" t="b">
        <f>COUNTIFS(tblCostChecklist[RequirementID],tblCost[[#This Row],[RequirementID]],tblCostChecklist[PlayerPaid],TRUE)&gt;0</f>
        <v>0</v>
      </c>
      <c r="I1806" s="41">
        <f>COUNTIF(tblCost[TargetID],tblCost[[#This Row],[TargetID]])</f>
        <v>4</v>
      </c>
      <c r="J1806" s="41">
        <f>COUNTIFS(tblCost[TargetID],tblCost[[#This Row],[TargetID]],tblCost[PlayerPaid],TRUE)</f>
        <v>0</v>
      </c>
      <c r="K1806" s="41">
        <f>tblCost[[#This Row],[TargetRequirements]]-tblCost[[#This Row],[CompletedRequirements]]</f>
        <v>4</v>
      </c>
      <c r="L1806" s="41" t="b">
        <f>tblCost[[#This Row],[RemainingRequirements]]=0</f>
        <v>0</v>
      </c>
      <c r="M1806" s="43">
        <f>IF(tblCost[[#This Row],[TargetRequirements]]=0,0,tblCost[[#This Row],[CompletedRequirements]]/tblCost[[#This Row],[TargetRequirements]])</f>
        <v>0</v>
      </c>
    </row>
    <row r="1807" spans="1:13">
      <c r="A1807" s="41" t="s">
        <v>5444</v>
      </c>
      <c r="B1807" s="41" t="str">
        <f>_xlfn.TEXTAFTER(_xlfn.TEXTBEFORE(tblCost[[#This Row],[RequirementID]],".",-2),"cost.")</f>
        <v>craftifact.helmet</v>
      </c>
      <c r="C1807" s="41" t="str">
        <f>_xlfn.XLOOKUP(tblCost[[#This Row],[TargetID]],tblTargets[TargetID],tblTargets[DisplayName],"")</f>
        <v>Helmet</v>
      </c>
      <c r="D1807" s="41" t="str">
        <f>_xlfn.XLOOKUP(tblCost[[#This Row],[TargetID]],tblTargets[TargetID],tblTargets[TargetType],"")</f>
        <v>CRAFTIFACT</v>
      </c>
      <c r="E1807" s="41" t="s">
        <v>693</v>
      </c>
      <c r="F1807" s="62" t="str">
        <f>RIGHT(tblCost[[#This Row],[RequirementID]],1)</f>
        <v>1</v>
      </c>
      <c r="G1807" s="41">
        <v>40</v>
      </c>
      <c r="H1807" t="b">
        <f>COUNTIFS(tblCostChecklist[RequirementID],tblCost[[#This Row],[RequirementID]],tblCostChecklist[PlayerPaid],TRUE)&gt;0</f>
        <v>0</v>
      </c>
      <c r="I1807" s="41">
        <f>COUNTIF(tblCost[TargetID],tblCost[[#This Row],[TargetID]])</f>
        <v>4</v>
      </c>
      <c r="J1807" s="41">
        <f>COUNTIFS(tblCost[TargetID],tblCost[[#This Row],[TargetID]],tblCost[PlayerPaid],TRUE)</f>
        <v>0</v>
      </c>
      <c r="K1807" s="41">
        <f>tblCost[[#This Row],[TargetRequirements]]-tblCost[[#This Row],[CompletedRequirements]]</f>
        <v>4</v>
      </c>
      <c r="L1807" s="41" t="b">
        <f>tblCost[[#This Row],[RemainingRequirements]]=0</f>
        <v>0</v>
      </c>
      <c r="M1807" s="43">
        <f>IF(tblCost[[#This Row],[TargetRequirements]]=0,0,tblCost[[#This Row],[CompletedRequirements]]/tblCost[[#This Row],[TargetRequirements]])</f>
        <v>0</v>
      </c>
    </row>
    <row r="1808" spans="1:13">
      <c r="A1808" s="41" t="s">
        <v>5445</v>
      </c>
      <c r="B1808" s="41" t="str">
        <f>_xlfn.TEXTAFTER(_xlfn.TEXTBEFORE(tblCost[[#This Row],[RequirementID]],".",-2),"cost.")</f>
        <v>craftifact.helmet</v>
      </c>
      <c r="C1808" s="41" t="str">
        <f>_xlfn.XLOOKUP(tblCost[[#This Row],[TargetID]],tblTargets[TargetID],tblTargets[DisplayName],"")</f>
        <v>Helmet</v>
      </c>
      <c r="D1808" s="41" t="str">
        <f>_xlfn.XLOOKUP(tblCost[[#This Row],[TargetID]],tblTargets[TargetID],tblTargets[TargetType],"")</f>
        <v>CRAFTIFACT</v>
      </c>
      <c r="E1808" s="41" t="s">
        <v>696</v>
      </c>
      <c r="F1808" s="62" t="str">
        <f>RIGHT(tblCost[[#This Row],[RequirementID]],1)</f>
        <v>1</v>
      </c>
      <c r="G1808" s="41">
        <v>20</v>
      </c>
      <c r="H1808" t="b">
        <f>COUNTIFS(tblCostChecklist[RequirementID],tblCost[[#This Row],[RequirementID]],tblCostChecklist[PlayerPaid],TRUE)&gt;0</f>
        <v>0</v>
      </c>
      <c r="I1808" s="41">
        <f>COUNTIF(tblCost[TargetID],tblCost[[#This Row],[TargetID]])</f>
        <v>4</v>
      </c>
      <c r="J1808" s="41">
        <f>COUNTIFS(tblCost[TargetID],tblCost[[#This Row],[TargetID]],tblCost[PlayerPaid],TRUE)</f>
        <v>0</v>
      </c>
      <c r="K1808" s="41">
        <f>tblCost[[#This Row],[TargetRequirements]]-tblCost[[#This Row],[CompletedRequirements]]</f>
        <v>4</v>
      </c>
      <c r="L1808" s="41" t="b">
        <f>tblCost[[#This Row],[RemainingRequirements]]=0</f>
        <v>0</v>
      </c>
      <c r="M1808" s="43">
        <f>IF(tblCost[[#This Row],[TargetRequirements]]=0,0,tblCost[[#This Row],[CompletedRequirements]]/tblCost[[#This Row],[TargetRequirements]])</f>
        <v>0</v>
      </c>
    </row>
    <row r="1809" spans="1:13">
      <c r="A1809" s="41" t="s">
        <v>5446</v>
      </c>
      <c r="B1809" s="41" t="str">
        <f>_xlfn.TEXTAFTER(_xlfn.TEXTBEFORE(tblCost[[#This Row],[RequirementID]],".",-2),"cost.")</f>
        <v>craftifact.helmet</v>
      </c>
      <c r="C1809" s="41" t="str">
        <f>_xlfn.XLOOKUP(tblCost[[#This Row],[TargetID]],tblTargets[TargetID],tblTargets[DisplayName],"")</f>
        <v>Helmet</v>
      </c>
      <c r="D1809" s="41" t="str">
        <f>_xlfn.XLOOKUP(tblCost[[#This Row],[TargetID]],tblTargets[TargetID],tblTargets[TargetType],"")</f>
        <v>CRAFTIFACT</v>
      </c>
      <c r="E1809" s="41" t="s">
        <v>710</v>
      </c>
      <c r="F1809" s="62" t="str">
        <f>RIGHT(tblCost[[#This Row],[RequirementID]],1)</f>
        <v>1</v>
      </c>
      <c r="G1809" s="41">
        <v>1</v>
      </c>
      <c r="H1809" t="b">
        <f>COUNTIFS(tblCostChecklist[RequirementID],tblCost[[#This Row],[RequirementID]],tblCostChecklist[PlayerPaid],TRUE)&gt;0</f>
        <v>0</v>
      </c>
      <c r="I1809" s="41">
        <f>COUNTIF(tblCost[TargetID],tblCost[[#This Row],[TargetID]])</f>
        <v>4</v>
      </c>
      <c r="J1809" s="41">
        <f>COUNTIFS(tblCost[TargetID],tblCost[[#This Row],[TargetID]],tblCost[PlayerPaid],TRUE)</f>
        <v>0</v>
      </c>
      <c r="K1809" s="41">
        <f>tblCost[[#This Row],[TargetRequirements]]-tblCost[[#This Row],[CompletedRequirements]]</f>
        <v>4</v>
      </c>
      <c r="L1809" s="41" t="b">
        <f>tblCost[[#This Row],[RemainingRequirements]]=0</f>
        <v>0</v>
      </c>
      <c r="M1809" s="43">
        <f>IF(tblCost[[#This Row],[TargetRequirements]]=0,0,tblCost[[#This Row],[CompletedRequirements]]/tblCost[[#This Row],[TargetRequirements]])</f>
        <v>0</v>
      </c>
    </row>
    <row r="1810" spans="1:13">
      <c r="A1810" s="41" t="s">
        <v>5447</v>
      </c>
      <c r="B1810" s="41" t="str">
        <f>_xlfn.TEXTAFTER(_xlfn.TEXTBEFORE(tblCost[[#This Row],[RequirementID]],".",-2),"cost.")</f>
        <v>craftifact.historical_library</v>
      </c>
      <c r="C1810" s="41" t="str">
        <f>_xlfn.XLOOKUP(tblCost[[#This Row],[TargetID]],tblTargets[TargetID],tblTargets[DisplayName],"")</f>
        <v>Historical Library</v>
      </c>
      <c r="D1810" s="41" t="str">
        <f>_xlfn.XLOOKUP(tblCost[[#This Row],[TargetID]],tblTargets[TargetID],tblTargets[TargetType],"")</f>
        <v>CRAFTIFACT</v>
      </c>
      <c r="E1810" s="41" t="s">
        <v>662</v>
      </c>
      <c r="F1810" s="62" t="str">
        <f>RIGHT(tblCost[[#This Row],[RequirementID]],1)</f>
        <v>1</v>
      </c>
      <c r="G1810" s="41">
        <v>15</v>
      </c>
      <c r="H1810" t="b">
        <f>COUNTIFS(tblCostChecklist[RequirementID],tblCost[[#This Row],[RequirementID]],tblCostChecklist[PlayerPaid],TRUE)&gt;0</f>
        <v>0</v>
      </c>
      <c r="I1810" s="41">
        <f>COUNTIF(tblCost[TargetID],tblCost[[#This Row],[TargetID]])</f>
        <v>4</v>
      </c>
      <c r="J1810" s="41">
        <f>COUNTIFS(tblCost[TargetID],tblCost[[#This Row],[TargetID]],tblCost[PlayerPaid],TRUE)</f>
        <v>0</v>
      </c>
      <c r="K1810" s="41">
        <f>tblCost[[#This Row],[TargetRequirements]]-tblCost[[#This Row],[CompletedRequirements]]</f>
        <v>4</v>
      </c>
      <c r="L1810" s="41" t="b">
        <f>tblCost[[#This Row],[RemainingRequirements]]=0</f>
        <v>0</v>
      </c>
      <c r="M1810" s="43">
        <f>IF(tblCost[[#This Row],[TargetRequirements]]=0,0,tblCost[[#This Row],[CompletedRequirements]]/tblCost[[#This Row],[TargetRequirements]])</f>
        <v>0</v>
      </c>
    </row>
    <row r="1811" spans="1:13">
      <c r="A1811" s="41" t="s">
        <v>5448</v>
      </c>
      <c r="B1811" s="41" t="str">
        <f>_xlfn.TEXTAFTER(_xlfn.TEXTBEFORE(tblCost[[#This Row],[RequirementID]],".",-2),"cost.")</f>
        <v>craftifact.historical_library</v>
      </c>
      <c r="C1811" s="41" t="str">
        <f>_xlfn.XLOOKUP(tblCost[[#This Row],[TargetID]],tblTargets[TargetID],tblTargets[DisplayName],"")</f>
        <v>Historical Library</v>
      </c>
      <c r="D1811" s="41" t="str">
        <f>_xlfn.XLOOKUP(tblCost[[#This Row],[TargetID]],tblTargets[TargetID],tblTargets[TargetType],"")</f>
        <v>CRAFTIFACT</v>
      </c>
      <c r="E1811" s="41" t="s">
        <v>677</v>
      </c>
      <c r="F1811" s="62" t="str">
        <f>RIGHT(tblCost[[#This Row],[RequirementID]],1)</f>
        <v>1</v>
      </c>
      <c r="G1811" s="41">
        <v>9</v>
      </c>
      <c r="H1811" t="b">
        <f>COUNTIFS(tblCostChecklist[RequirementID],tblCost[[#This Row],[RequirementID]],tblCostChecklist[PlayerPaid],TRUE)&gt;0</f>
        <v>0</v>
      </c>
      <c r="I1811" s="41">
        <f>COUNTIF(tblCost[TargetID],tblCost[[#This Row],[TargetID]])</f>
        <v>4</v>
      </c>
      <c r="J1811" s="41">
        <f>COUNTIFS(tblCost[TargetID],tblCost[[#This Row],[TargetID]],tblCost[PlayerPaid],TRUE)</f>
        <v>0</v>
      </c>
      <c r="K1811" s="41">
        <f>tblCost[[#This Row],[TargetRequirements]]-tblCost[[#This Row],[CompletedRequirements]]</f>
        <v>4</v>
      </c>
      <c r="L1811" s="41" t="b">
        <f>tblCost[[#This Row],[RemainingRequirements]]=0</f>
        <v>0</v>
      </c>
      <c r="M1811" s="43">
        <f>IF(tblCost[[#This Row],[TargetRequirements]]=0,0,tblCost[[#This Row],[CompletedRequirements]]/tblCost[[#This Row],[TargetRequirements]])</f>
        <v>0</v>
      </c>
    </row>
    <row r="1812" spans="1:13">
      <c r="A1812" s="41" t="s">
        <v>5449</v>
      </c>
      <c r="B1812" s="41" t="str">
        <f>_xlfn.TEXTAFTER(_xlfn.TEXTBEFORE(tblCost[[#This Row],[RequirementID]],".",-2),"cost.")</f>
        <v>craftifact.historical_library</v>
      </c>
      <c r="C1812" s="41" t="str">
        <f>_xlfn.XLOOKUP(tblCost[[#This Row],[TargetID]],tblTargets[TargetID],tblTargets[DisplayName],"")</f>
        <v>Historical Library</v>
      </c>
      <c r="D1812" s="41" t="str">
        <f>_xlfn.XLOOKUP(tblCost[[#This Row],[TargetID]],tblTargets[TargetID],tblTargets[TargetType],"")</f>
        <v>CRAFTIFACT</v>
      </c>
      <c r="E1812" s="41" t="s">
        <v>696</v>
      </c>
      <c r="F1812" s="62" t="str">
        <f>RIGHT(tblCost[[#This Row],[RequirementID]],1)</f>
        <v>1</v>
      </c>
      <c r="G1812" s="41">
        <v>40</v>
      </c>
      <c r="H1812" t="b">
        <f>COUNTIFS(tblCostChecklist[RequirementID],tblCost[[#This Row],[RequirementID]],tblCostChecklist[PlayerPaid],TRUE)&gt;0</f>
        <v>0</v>
      </c>
      <c r="I1812" s="41">
        <f>COUNTIF(tblCost[TargetID],tblCost[[#This Row],[TargetID]])</f>
        <v>4</v>
      </c>
      <c r="J1812" s="41">
        <f>COUNTIFS(tblCost[TargetID],tblCost[[#This Row],[TargetID]],tblCost[PlayerPaid],TRUE)</f>
        <v>0</v>
      </c>
      <c r="K1812" s="41">
        <f>tblCost[[#This Row],[TargetRequirements]]-tblCost[[#This Row],[CompletedRequirements]]</f>
        <v>4</v>
      </c>
      <c r="L1812" s="41" t="b">
        <f>tblCost[[#This Row],[RemainingRequirements]]=0</f>
        <v>0</v>
      </c>
      <c r="M1812" s="43">
        <f>IF(tblCost[[#This Row],[TargetRequirements]]=0,0,tblCost[[#This Row],[CompletedRequirements]]/tblCost[[#This Row],[TargetRequirements]])</f>
        <v>0</v>
      </c>
    </row>
    <row r="1813" spans="1:13">
      <c r="A1813" s="41" t="s">
        <v>5450</v>
      </c>
      <c r="B1813" s="41" t="str">
        <f>_xlfn.TEXTAFTER(_xlfn.TEXTBEFORE(tblCost[[#This Row],[RequirementID]],".",-2),"cost.")</f>
        <v>craftifact.historical_library</v>
      </c>
      <c r="C1813" s="41" t="str">
        <f>_xlfn.XLOOKUP(tblCost[[#This Row],[TargetID]],tblTargets[TargetID],tblTargets[DisplayName],"")</f>
        <v>Historical Library</v>
      </c>
      <c r="D1813" s="41" t="str">
        <f>_xlfn.XLOOKUP(tblCost[[#This Row],[TargetID]],tblTargets[TargetID],tblTargets[TargetType],"")</f>
        <v>CRAFTIFACT</v>
      </c>
      <c r="E1813" s="41" t="s">
        <v>710</v>
      </c>
      <c r="F1813" s="62" t="str">
        <f>RIGHT(tblCost[[#This Row],[RequirementID]],1)</f>
        <v>1</v>
      </c>
      <c r="G1813" s="41">
        <v>12</v>
      </c>
      <c r="H1813" t="b">
        <f>COUNTIFS(tblCostChecklist[RequirementID],tblCost[[#This Row],[RequirementID]],tblCostChecklist[PlayerPaid],TRUE)&gt;0</f>
        <v>0</v>
      </c>
      <c r="I1813" s="41">
        <f>COUNTIF(tblCost[TargetID],tblCost[[#This Row],[TargetID]])</f>
        <v>4</v>
      </c>
      <c r="J1813" s="41">
        <f>COUNTIFS(tblCost[TargetID],tblCost[[#This Row],[TargetID]],tblCost[PlayerPaid],TRUE)</f>
        <v>0</v>
      </c>
      <c r="K1813" s="41">
        <f>tblCost[[#This Row],[TargetRequirements]]-tblCost[[#This Row],[CompletedRequirements]]</f>
        <v>4</v>
      </c>
      <c r="L1813" s="41" t="b">
        <f>tblCost[[#This Row],[RemainingRequirements]]=0</f>
        <v>0</v>
      </c>
      <c r="M1813" s="43">
        <f>IF(tblCost[[#This Row],[TargetRequirements]]=0,0,tblCost[[#This Row],[CompletedRequirements]]/tblCost[[#This Row],[TargetRequirements]])</f>
        <v>0</v>
      </c>
    </row>
    <row r="1814" spans="1:13">
      <c r="A1814" s="41" t="s">
        <v>5451</v>
      </c>
      <c r="B1814" s="41" t="str">
        <f>_xlfn.TEXTAFTER(_xlfn.TEXTBEFORE(tblCost[[#This Row],[RequirementID]],".",-2),"cost.")</f>
        <v>craftifact.hotei_statuette</v>
      </c>
      <c r="C1814" s="41" t="str">
        <f>_xlfn.XLOOKUP(tblCost[[#This Row],[TargetID]],tblTargets[TargetID],tblTargets[DisplayName],"")</f>
        <v>Hotei Statuette</v>
      </c>
      <c r="D1814" s="41" t="str">
        <f>_xlfn.XLOOKUP(tblCost[[#This Row],[TargetID]],tblTargets[TargetID],tblTargets[TargetType],"")</f>
        <v>CRAFTIFACT</v>
      </c>
      <c r="E1814" s="41" t="s">
        <v>663</v>
      </c>
      <c r="F1814" s="62" t="str">
        <f>RIGHT(tblCost[[#This Row],[RequirementID]],1)</f>
        <v>1</v>
      </c>
      <c r="G1814" s="41">
        <v>200</v>
      </c>
      <c r="H1814" t="b">
        <f>COUNTIFS(tblCostChecklist[RequirementID],tblCost[[#This Row],[RequirementID]],tblCostChecklist[PlayerPaid],TRUE)&gt;0</f>
        <v>0</v>
      </c>
      <c r="I1814" s="41">
        <f>COUNTIF(tblCost[TargetID],tblCost[[#This Row],[TargetID]])</f>
        <v>3</v>
      </c>
      <c r="J1814" s="41">
        <f>COUNTIFS(tblCost[TargetID],tblCost[[#This Row],[TargetID]],tblCost[PlayerPaid],TRUE)</f>
        <v>0</v>
      </c>
      <c r="K1814" s="41">
        <f>tblCost[[#This Row],[TargetRequirements]]-tblCost[[#This Row],[CompletedRequirements]]</f>
        <v>3</v>
      </c>
      <c r="L1814" s="41" t="b">
        <f>tblCost[[#This Row],[RemainingRequirements]]=0</f>
        <v>0</v>
      </c>
      <c r="M1814" s="43">
        <f>IF(tblCost[[#This Row],[TargetRequirements]]=0,0,tblCost[[#This Row],[CompletedRequirements]]/tblCost[[#This Row],[TargetRequirements]])</f>
        <v>0</v>
      </c>
    </row>
    <row r="1815" spans="1:13">
      <c r="A1815" s="41" t="s">
        <v>5452</v>
      </c>
      <c r="B1815" s="41" t="str">
        <f>_xlfn.TEXTAFTER(_xlfn.TEXTBEFORE(tblCost[[#This Row],[RequirementID]],".",-2),"cost.")</f>
        <v>craftifact.hotei_statuette</v>
      </c>
      <c r="C1815" s="41" t="str">
        <f>_xlfn.XLOOKUP(tblCost[[#This Row],[TargetID]],tblTargets[TargetID],tblTargets[DisplayName],"")</f>
        <v>Hotei Statuette</v>
      </c>
      <c r="D1815" s="41" t="str">
        <f>_xlfn.XLOOKUP(tblCost[[#This Row],[TargetID]],tblTargets[TargetID],tblTargets[TargetType],"")</f>
        <v>CRAFTIFACT</v>
      </c>
      <c r="E1815" s="41" t="s">
        <v>666</v>
      </c>
      <c r="F1815" s="62" t="str">
        <f>RIGHT(tblCost[[#This Row],[RequirementID]],1)</f>
        <v>1</v>
      </c>
      <c r="G1815" s="41">
        <v>200</v>
      </c>
      <c r="H1815" t="b">
        <f>COUNTIFS(tblCostChecklist[RequirementID],tblCost[[#This Row],[RequirementID]],tblCostChecklist[PlayerPaid],TRUE)&gt;0</f>
        <v>0</v>
      </c>
      <c r="I1815" s="41">
        <f>COUNTIF(tblCost[TargetID],tblCost[[#This Row],[TargetID]])</f>
        <v>3</v>
      </c>
      <c r="J1815" s="41">
        <f>COUNTIFS(tblCost[TargetID],tblCost[[#This Row],[TargetID]],tblCost[PlayerPaid],TRUE)</f>
        <v>0</v>
      </c>
      <c r="K1815" s="41">
        <f>tblCost[[#This Row],[TargetRequirements]]-tblCost[[#This Row],[CompletedRequirements]]</f>
        <v>3</v>
      </c>
      <c r="L1815" s="41" t="b">
        <f>tblCost[[#This Row],[RemainingRequirements]]=0</f>
        <v>0</v>
      </c>
      <c r="M1815" s="43">
        <f>IF(tblCost[[#This Row],[TargetRequirements]]=0,0,tblCost[[#This Row],[CompletedRequirements]]/tblCost[[#This Row],[TargetRequirements]])</f>
        <v>0</v>
      </c>
    </row>
    <row r="1816" spans="1:13">
      <c r="A1816" s="41" t="s">
        <v>5453</v>
      </c>
      <c r="B1816" s="41" t="str">
        <f>_xlfn.TEXTAFTER(_xlfn.TEXTBEFORE(tblCost[[#This Row],[RequirementID]],".",-2),"cost.")</f>
        <v>craftifact.hotei_statuette</v>
      </c>
      <c r="C1816" s="41" t="str">
        <f>_xlfn.XLOOKUP(tblCost[[#This Row],[TargetID]],tblTargets[TargetID],tblTargets[DisplayName],"")</f>
        <v>Hotei Statuette</v>
      </c>
      <c r="D1816" s="41" t="str">
        <f>_xlfn.XLOOKUP(tblCost[[#This Row],[TargetID]],tblTargets[TargetID],tblTargets[TargetType],"")</f>
        <v>CRAFTIFACT</v>
      </c>
      <c r="E1816" s="41" t="s">
        <v>680</v>
      </c>
      <c r="F1816" s="62" t="str">
        <f>RIGHT(tblCost[[#This Row],[RequirementID]],1)</f>
        <v>1</v>
      </c>
      <c r="G1816" s="41">
        <v>200</v>
      </c>
      <c r="H1816" t="b">
        <f>COUNTIFS(tblCostChecklist[RequirementID],tblCost[[#This Row],[RequirementID]],tblCostChecklist[PlayerPaid],TRUE)&gt;0</f>
        <v>0</v>
      </c>
      <c r="I1816" s="41">
        <f>COUNTIF(tblCost[TargetID],tblCost[[#This Row],[TargetID]])</f>
        <v>3</v>
      </c>
      <c r="J1816" s="41">
        <f>COUNTIFS(tblCost[TargetID],tblCost[[#This Row],[TargetID]],tblCost[PlayerPaid],TRUE)</f>
        <v>0</v>
      </c>
      <c r="K1816" s="41">
        <f>tblCost[[#This Row],[TargetRequirements]]-tblCost[[#This Row],[CompletedRequirements]]</f>
        <v>3</v>
      </c>
      <c r="L1816" s="41" t="b">
        <f>tblCost[[#This Row],[RemainingRequirements]]=0</f>
        <v>0</v>
      </c>
      <c r="M1816" s="43">
        <f>IF(tblCost[[#This Row],[TargetRequirements]]=0,0,tblCost[[#This Row],[CompletedRequirements]]/tblCost[[#This Row],[TargetRequirements]])</f>
        <v>0</v>
      </c>
    </row>
    <row r="1817" spans="1:13">
      <c r="A1817" s="41" t="s">
        <v>5454</v>
      </c>
      <c r="B1817" s="41" t="str">
        <f>_xlfn.TEXTAFTER(_xlfn.TEXTBEFORE(tblCost[[#This Row],[RequirementID]],".",-2),"cost.")</f>
        <v>craftifact.metal_detector</v>
      </c>
      <c r="C1817" s="41" t="str">
        <f>_xlfn.XLOOKUP(tblCost[[#This Row],[TargetID]],tblTargets[TargetID],tblTargets[DisplayName],"")</f>
        <v>Metal Detector</v>
      </c>
      <c r="D1817" s="41" t="str">
        <f>_xlfn.XLOOKUP(tblCost[[#This Row],[TargetID]],tblTargets[TargetID],tblTargets[TargetType],"")</f>
        <v>CRAFTIFACT</v>
      </c>
      <c r="E1817" s="41" t="s">
        <v>655</v>
      </c>
      <c r="F1817" s="62" t="str">
        <f>RIGHT(tblCost[[#This Row],[RequirementID]],1)</f>
        <v>1</v>
      </c>
      <c r="G1817" s="41">
        <v>20</v>
      </c>
      <c r="H1817" t="b">
        <f>COUNTIFS(tblCostChecklist[RequirementID],tblCost[[#This Row],[RequirementID]],tblCostChecklist[PlayerPaid],TRUE)&gt;0</f>
        <v>0</v>
      </c>
      <c r="I1817" s="41">
        <f>COUNTIF(tblCost[TargetID],tblCost[[#This Row],[TargetID]])</f>
        <v>8</v>
      </c>
      <c r="J1817" s="41">
        <f>COUNTIFS(tblCost[TargetID],tblCost[[#This Row],[TargetID]],tblCost[PlayerPaid],TRUE)</f>
        <v>0</v>
      </c>
      <c r="K1817" s="41">
        <f>tblCost[[#This Row],[TargetRequirements]]-tblCost[[#This Row],[CompletedRequirements]]</f>
        <v>8</v>
      </c>
      <c r="L1817" s="41" t="b">
        <f>tblCost[[#This Row],[RemainingRequirements]]=0</f>
        <v>0</v>
      </c>
      <c r="M1817" s="43">
        <f>IF(tblCost[[#This Row],[TargetRequirements]]=0,0,tblCost[[#This Row],[CompletedRequirements]]/tblCost[[#This Row],[TargetRequirements]])</f>
        <v>0</v>
      </c>
    </row>
    <row r="1818" spans="1:13">
      <c r="A1818" s="41" t="s">
        <v>5455</v>
      </c>
      <c r="B1818" s="41" t="str">
        <f>_xlfn.TEXTAFTER(_xlfn.TEXTBEFORE(tblCost[[#This Row],[RequirementID]],".",-2),"cost.")</f>
        <v>craftifact.metal_detector</v>
      </c>
      <c r="C1818" s="41" t="str">
        <f>_xlfn.XLOOKUP(tblCost[[#This Row],[TargetID]],tblTargets[TargetID],tblTargets[DisplayName],"")</f>
        <v>Metal Detector</v>
      </c>
      <c r="D1818" s="41" t="str">
        <f>_xlfn.XLOOKUP(tblCost[[#This Row],[TargetID]],tblTargets[TargetID],tblTargets[TargetType],"")</f>
        <v>CRAFTIFACT</v>
      </c>
      <c r="E1818" s="41" t="s">
        <v>662</v>
      </c>
      <c r="F1818" s="62" t="str">
        <f>RIGHT(tblCost[[#This Row],[RequirementID]],1)</f>
        <v>1</v>
      </c>
      <c r="G1818" s="41">
        <v>30</v>
      </c>
      <c r="H1818" t="b">
        <f>COUNTIFS(tblCostChecklist[RequirementID],tblCost[[#This Row],[RequirementID]],tblCostChecklist[PlayerPaid],TRUE)&gt;0</f>
        <v>0</v>
      </c>
      <c r="I1818" s="41">
        <f>COUNTIF(tblCost[TargetID],tblCost[[#This Row],[TargetID]])</f>
        <v>8</v>
      </c>
      <c r="J1818" s="41">
        <f>COUNTIFS(tblCost[TargetID],tblCost[[#This Row],[TargetID]],tblCost[PlayerPaid],TRUE)</f>
        <v>0</v>
      </c>
      <c r="K1818" s="41">
        <f>tblCost[[#This Row],[TargetRequirements]]-tblCost[[#This Row],[CompletedRequirements]]</f>
        <v>8</v>
      </c>
      <c r="L1818" s="41" t="b">
        <f>tblCost[[#This Row],[RemainingRequirements]]=0</f>
        <v>0</v>
      </c>
      <c r="M1818" s="43">
        <f>IF(tblCost[[#This Row],[TargetRequirements]]=0,0,tblCost[[#This Row],[CompletedRequirements]]/tblCost[[#This Row],[TargetRequirements]])</f>
        <v>0</v>
      </c>
    </row>
    <row r="1819" spans="1:13">
      <c r="A1819" s="41" t="s">
        <v>5456</v>
      </c>
      <c r="B1819" s="41" t="str">
        <f>_xlfn.TEXTAFTER(_xlfn.TEXTBEFORE(tblCost[[#This Row],[RequirementID]],".",-2),"cost.")</f>
        <v>craftifact.metal_detector</v>
      </c>
      <c r="C1819" s="41" t="str">
        <f>_xlfn.XLOOKUP(tblCost[[#This Row],[TargetID]],tblTargets[TargetID],tblTargets[DisplayName],"")</f>
        <v>Metal Detector</v>
      </c>
      <c r="D1819" s="41" t="str">
        <f>_xlfn.XLOOKUP(tblCost[[#This Row],[TargetID]],tblTargets[TargetID],tblTargets[TargetType],"")</f>
        <v>CRAFTIFACT</v>
      </c>
      <c r="E1819" s="41" t="s">
        <v>928</v>
      </c>
      <c r="F1819" s="62" t="str">
        <f>RIGHT(tblCost[[#This Row],[RequirementID]],1)</f>
        <v>1</v>
      </c>
      <c r="G1819" s="41">
        <v>10</v>
      </c>
      <c r="H1819" t="b">
        <f>COUNTIFS(tblCostChecklist[RequirementID],tblCost[[#This Row],[RequirementID]],tblCostChecklist[PlayerPaid],TRUE)&gt;0</f>
        <v>0</v>
      </c>
      <c r="I1819" s="41">
        <f>COUNTIF(tblCost[TargetID],tblCost[[#This Row],[TargetID]])</f>
        <v>8</v>
      </c>
      <c r="J1819" s="41">
        <f>COUNTIFS(tblCost[TargetID],tblCost[[#This Row],[TargetID]],tblCost[PlayerPaid],TRUE)</f>
        <v>0</v>
      </c>
      <c r="K1819" s="41">
        <f>tblCost[[#This Row],[TargetRequirements]]-tblCost[[#This Row],[CompletedRequirements]]</f>
        <v>8</v>
      </c>
      <c r="L1819" s="41" t="b">
        <f>tblCost[[#This Row],[RemainingRequirements]]=0</f>
        <v>0</v>
      </c>
      <c r="M1819" s="43">
        <f>IF(tblCost[[#This Row],[TargetRequirements]]=0,0,tblCost[[#This Row],[CompletedRequirements]]/tblCost[[#This Row],[TargetRequirements]])</f>
        <v>0</v>
      </c>
    </row>
    <row r="1820" spans="1:13">
      <c r="A1820" s="41" t="s">
        <v>5457</v>
      </c>
      <c r="B1820" s="41" t="str">
        <f>_xlfn.TEXTAFTER(_xlfn.TEXTBEFORE(tblCost[[#This Row],[RequirementID]],".",-2),"cost.")</f>
        <v>craftifact.metal_detector</v>
      </c>
      <c r="C1820" s="41" t="str">
        <f>_xlfn.XLOOKUP(tblCost[[#This Row],[TargetID]],tblTargets[TargetID],tblTargets[DisplayName],"")</f>
        <v>Metal Detector</v>
      </c>
      <c r="D1820" s="41" t="str">
        <f>_xlfn.XLOOKUP(tblCost[[#This Row],[TargetID]],tblTargets[TargetID],tblTargets[TargetType],"")</f>
        <v>CRAFTIFACT</v>
      </c>
      <c r="E1820" s="41" t="s">
        <v>664</v>
      </c>
      <c r="F1820" s="62" t="str">
        <f>RIGHT(tblCost[[#This Row],[RequirementID]],1)</f>
        <v>1</v>
      </c>
      <c r="G1820" s="41">
        <v>20</v>
      </c>
      <c r="H1820" t="b">
        <f>COUNTIFS(tblCostChecklist[RequirementID],tblCost[[#This Row],[RequirementID]],tblCostChecklist[PlayerPaid],TRUE)&gt;0</f>
        <v>0</v>
      </c>
      <c r="I1820" s="41">
        <f>COUNTIF(tblCost[TargetID],tblCost[[#This Row],[TargetID]])</f>
        <v>8</v>
      </c>
      <c r="J1820" s="41">
        <f>COUNTIFS(tblCost[TargetID],tblCost[[#This Row],[TargetID]],tblCost[PlayerPaid],TRUE)</f>
        <v>0</v>
      </c>
      <c r="K1820" s="41">
        <f>tblCost[[#This Row],[TargetRequirements]]-tblCost[[#This Row],[CompletedRequirements]]</f>
        <v>8</v>
      </c>
      <c r="L1820" s="41" t="b">
        <f>tblCost[[#This Row],[RemainingRequirements]]=0</f>
        <v>0</v>
      </c>
      <c r="M1820" s="43">
        <f>IF(tblCost[[#This Row],[TargetRequirements]]=0,0,tblCost[[#This Row],[CompletedRequirements]]/tblCost[[#This Row],[TargetRequirements]])</f>
        <v>0</v>
      </c>
    </row>
    <row r="1821" spans="1:13">
      <c r="A1821" s="41" t="s">
        <v>5458</v>
      </c>
      <c r="B1821" s="41" t="str">
        <f>_xlfn.TEXTAFTER(_xlfn.TEXTBEFORE(tblCost[[#This Row],[RequirementID]],".",-2),"cost.")</f>
        <v>craftifact.metal_detector</v>
      </c>
      <c r="C1821" s="41" t="str">
        <f>_xlfn.XLOOKUP(tblCost[[#This Row],[TargetID]],tblTargets[TargetID],tblTargets[DisplayName],"")</f>
        <v>Metal Detector</v>
      </c>
      <c r="D1821" s="41" t="str">
        <f>_xlfn.XLOOKUP(tblCost[[#This Row],[TargetID]],tblTargets[TargetID],tblTargets[TargetType],"")</f>
        <v>CRAFTIFACT</v>
      </c>
      <c r="E1821" s="41" t="s">
        <v>687</v>
      </c>
      <c r="F1821" s="62" t="str">
        <f>RIGHT(tblCost[[#This Row],[RequirementID]],1)</f>
        <v>1</v>
      </c>
      <c r="G1821" s="41">
        <v>5</v>
      </c>
      <c r="H1821" t="b">
        <f>COUNTIFS(tblCostChecklist[RequirementID],tblCost[[#This Row],[RequirementID]],tblCostChecklist[PlayerPaid],TRUE)&gt;0</f>
        <v>0</v>
      </c>
      <c r="I1821" s="41">
        <f>COUNTIF(tblCost[TargetID],tblCost[[#This Row],[TargetID]])</f>
        <v>8</v>
      </c>
      <c r="J1821" s="41">
        <f>COUNTIFS(tblCost[TargetID],tblCost[[#This Row],[TargetID]],tblCost[PlayerPaid],TRUE)</f>
        <v>0</v>
      </c>
      <c r="K1821" s="41">
        <f>tblCost[[#This Row],[TargetRequirements]]-tblCost[[#This Row],[CompletedRequirements]]</f>
        <v>8</v>
      </c>
      <c r="L1821" s="41" t="b">
        <f>tblCost[[#This Row],[RemainingRequirements]]=0</f>
        <v>0</v>
      </c>
      <c r="M1821" s="43">
        <f>IF(tblCost[[#This Row],[TargetRequirements]]=0,0,tblCost[[#This Row],[CompletedRequirements]]/tblCost[[#This Row],[TargetRequirements]])</f>
        <v>0</v>
      </c>
    </row>
    <row r="1822" spans="1:13">
      <c r="A1822" s="41" t="s">
        <v>5459</v>
      </c>
      <c r="B1822" s="41" t="str">
        <f>_xlfn.TEXTAFTER(_xlfn.TEXTBEFORE(tblCost[[#This Row],[RequirementID]],".",-2),"cost.")</f>
        <v>craftifact.metal_detector</v>
      </c>
      <c r="C1822" s="41" t="str">
        <f>_xlfn.XLOOKUP(tblCost[[#This Row],[TargetID]],tblTargets[TargetID],tblTargets[DisplayName],"")</f>
        <v>Metal Detector</v>
      </c>
      <c r="D1822" s="41" t="str">
        <f>_xlfn.XLOOKUP(tblCost[[#This Row],[TargetID]],tblTargets[TargetID],tblTargets[TargetType],"")</f>
        <v>CRAFTIFACT</v>
      </c>
      <c r="E1822" s="41" t="s">
        <v>690</v>
      </c>
      <c r="F1822" s="62" t="str">
        <f>RIGHT(tblCost[[#This Row],[RequirementID]],1)</f>
        <v>1</v>
      </c>
      <c r="G1822" s="41">
        <v>30</v>
      </c>
      <c r="H1822" t="b">
        <f>COUNTIFS(tblCostChecklist[RequirementID],tblCost[[#This Row],[RequirementID]],tblCostChecklist[PlayerPaid],TRUE)&gt;0</f>
        <v>0</v>
      </c>
      <c r="I1822" s="41">
        <f>COUNTIF(tblCost[TargetID],tblCost[[#This Row],[TargetID]])</f>
        <v>8</v>
      </c>
      <c r="J1822" s="41">
        <f>COUNTIFS(tblCost[TargetID],tblCost[[#This Row],[TargetID]],tblCost[PlayerPaid],TRUE)</f>
        <v>0</v>
      </c>
      <c r="K1822" s="41">
        <f>tblCost[[#This Row],[TargetRequirements]]-tblCost[[#This Row],[CompletedRequirements]]</f>
        <v>8</v>
      </c>
      <c r="L1822" s="41" t="b">
        <f>tblCost[[#This Row],[RemainingRequirements]]=0</f>
        <v>0</v>
      </c>
      <c r="M1822" s="43">
        <f>IF(tblCost[[#This Row],[TargetRequirements]]=0,0,tblCost[[#This Row],[CompletedRequirements]]/tblCost[[#This Row],[TargetRequirements]])</f>
        <v>0</v>
      </c>
    </row>
    <row r="1823" spans="1:13">
      <c r="A1823" s="41" t="s">
        <v>5460</v>
      </c>
      <c r="B1823" s="41" t="str">
        <f>_xlfn.TEXTAFTER(_xlfn.TEXTBEFORE(tblCost[[#This Row],[RequirementID]],".",-2),"cost.")</f>
        <v>craftifact.metal_detector</v>
      </c>
      <c r="C1823" s="41" t="str">
        <f>_xlfn.XLOOKUP(tblCost[[#This Row],[TargetID]],tblTargets[TargetID],tblTargets[DisplayName],"")</f>
        <v>Metal Detector</v>
      </c>
      <c r="D1823" s="41" t="str">
        <f>_xlfn.XLOOKUP(tblCost[[#This Row],[TargetID]],tblTargets[TargetID],tblTargets[TargetType],"")</f>
        <v>CRAFTIFACT</v>
      </c>
      <c r="E1823" s="41" t="s">
        <v>705</v>
      </c>
      <c r="F1823" s="62" t="str">
        <f>RIGHT(tblCost[[#This Row],[RequirementID]],1)</f>
        <v>1</v>
      </c>
      <c r="G1823" s="41">
        <v>10</v>
      </c>
      <c r="H1823" t="b">
        <f>COUNTIFS(tblCostChecklist[RequirementID],tblCost[[#This Row],[RequirementID]],tblCostChecklist[PlayerPaid],TRUE)&gt;0</f>
        <v>0</v>
      </c>
      <c r="I1823" s="41">
        <f>COUNTIF(tblCost[TargetID],tblCost[[#This Row],[TargetID]])</f>
        <v>8</v>
      </c>
      <c r="J1823" s="41">
        <f>COUNTIFS(tblCost[TargetID],tblCost[[#This Row],[TargetID]],tblCost[PlayerPaid],TRUE)</f>
        <v>0</v>
      </c>
      <c r="K1823" s="41">
        <f>tblCost[[#This Row],[TargetRequirements]]-tblCost[[#This Row],[CompletedRequirements]]</f>
        <v>8</v>
      </c>
      <c r="L1823" s="41" t="b">
        <f>tblCost[[#This Row],[RemainingRequirements]]=0</f>
        <v>0</v>
      </c>
      <c r="M1823" s="43">
        <f>IF(tblCost[[#This Row],[TargetRequirements]]=0,0,tblCost[[#This Row],[CompletedRequirements]]/tblCost[[#This Row],[TargetRequirements]])</f>
        <v>0</v>
      </c>
    </row>
    <row r="1824" spans="1:13">
      <c r="A1824" s="41" t="s">
        <v>5461</v>
      </c>
      <c r="B1824" s="41" t="str">
        <f>_xlfn.TEXTAFTER(_xlfn.TEXTBEFORE(tblCost[[#This Row],[RequirementID]],".",-2),"cost.")</f>
        <v>craftifact.metal_detector</v>
      </c>
      <c r="C1824" s="41" t="str">
        <f>_xlfn.XLOOKUP(tblCost[[#This Row],[TargetID]],tblTargets[TargetID],tblTargets[DisplayName],"")</f>
        <v>Metal Detector</v>
      </c>
      <c r="D1824" s="41" t="str">
        <f>_xlfn.XLOOKUP(tblCost[[#This Row],[TargetID]],tblTargets[TargetID],tblTargets[TargetType],"")</f>
        <v>CRAFTIFACT</v>
      </c>
      <c r="E1824" s="41" t="s">
        <v>955</v>
      </c>
      <c r="F1824" s="62" t="str">
        <f>RIGHT(tblCost[[#This Row],[RequirementID]],1)</f>
        <v>1</v>
      </c>
      <c r="G1824" s="41">
        <v>10</v>
      </c>
      <c r="H1824" t="b">
        <f>COUNTIFS(tblCostChecklist[RequirementID],tblCost[[#This Row],[RequirementID]],tblCostChecklist[PlayerPaid],TRUE)&gt;0</f>
        <v>0</v>
      </c>
      <c r="I1824" s="41">
        <f>COUNTIF(tblCost[TargetID],tblCost[[#This Row],[TargetID]])</f>
        <v>8</v>
      </c>
      <c r="J1824" s="41">
        <f>COUNTIFS(tblCost[TargetID],tblCost[[#This Row],[TargetID]],tblCost[PlayerPaid],TRUE)</f>
        <v>0</v>
      </c>
      <c r="K1824" s="41">
        <f>tblCost[[#This Row],[TargetRequirements]]-tblCost[[#This Row],[CompletedRequirements]]</f>
        <v>8</v>
      </c>
      <c r="L1824" s="41" t="b">
        <f>tblCost[[#This Row],[RemainingRequirements]]=0</f>
        <v>0</v>
      </c>
      <c r="M1824" s="43">
        <f>IF(tblCost[[#This Row],[TargetRequirements]]=0,0,tblCost[[#This Row],[CompletedRequirements]]/tblCost[[#This Row],[TargetRequirements]])</f>
        <v>0</v>
      </c>
    </row>
    <row r="1825" spans="1:13">
      <c r="A1825" s="41" t="s">
        <v>5462</v>
      </c>
      <c r="B1825" s="41" t="str">
        <f>_xlfn.TEXTAFTER(_xlfn.TEXTBEFORE(tblCost[[#This Row],[RequirementID]],".",-2),"cost.")</f>
        <v>craftifact.necklace_for_haruka</v>
      </c>
      <c r="C1825" s="41" t="str">
        <f>_xlfn.XLOOKUP(tblCost[[#This Row],[TargetID]],tblTargets[TargetID],tblTargets[DisplayName],"")</f>
        <v>Necklace For Haruka</v>
      </c>
      <c r="D1825" s="41" t="str">
        <f>_xlfn.XLOOKUP(tblCost[[#This Row],[TargetID]],tblTargets[TargetID],tblTargets[TargetType],"")</f>
        <v>CRAFTIFACT</v>
      </c>
      <c r="E1825" s="41" t="s">
        <v>699</v>
      </c>
      <c r="F1825" s="62" t="str">
        <f>RIGHT(tblCost[[#This Row],[RequirementID]],1)</f>
        <v>1</v>
      </c>
      <c r="G1825" s="41">
        <v>50</v>
      </c>
      <c r="H1825" t="b">
        <f>COUNTIFS(tblCostChecklist[RequirementID],tblCost[[#This Row],[RequirementID]],tblCostChecklist[PlayerPaid],TRUE)&gt;0</f>
        <v>0</v>
      </c>
      <c r="I1825" s="41">
        <f>COUNTIF(tblCost[TargetID],tblCost[[#This Row],[TargetID]])</f>
        <v>2</v>
      </c>
      <c r="J1825" s="41">
        <f>COUNTIFS(tblCost[TargetID],tblCost[[#This Row],[TargetID]],tblCost[PlayerPaid],TRUE)</f>
        <v>0</v>
      </c>
      <c r="K1825" s="41">
        <f>tblCost[[#This Row],[TargetRequirements]]-tblCost[[#This Row],[CompletedRequirements]]</f>
        <v>2</v>
      </c>
      <c r="L1825" s="41" t="b">
        <f>tblCost[[#This Row],[RemainingRequirements]]=0</f>
        <v>0</v>
      </c>
      <c r="M1825" s="43">
        <f>IF(tblCost[[#This Row],[TargetRequirements]]=0,0,tblCost[[#This Row],[CompletedRequirements]]/tblCost[[#This Row],[TargetRequirements]])</f>
        <v>0</v>
      </c>
    </row>
    <row r="1826" spans="1:13">
      <c r="A1826" s="41" t="s">
        <v>5463</v>
      </c>
      <c r="B1826" s="41" t="str">
        <f>_xlfn.TEXTAFTER(_xlfn.TEXTBEFORE(tblCost[[#This Row],[RequirementID]],".",-2),"cost.")</f>
        <v>craftifact.necklace_for_haruka</v>
      </c>
      <c r="C1826" s="41" t="str">
        <f>_xlfn.XLOOKUP(tblCost[[#This Row],[TargetID]],tblTargets[TargetID],tblTargets[DisplayName],"")</f>
        <v>Necklace For Haruka</v>
      </c>
      <c r="D1826" s="41" t="str">
        <f>_xlfn.XLOOKUP(tblCost[[#This Row],[TargetID]],tblTargets[TargetID],tblTargets[TargetType],"")</f>
        <v>CRAFTIFACT</v>
      </c>
      <c r="E1826" s="41" t="s">
        <v>719</v>
      </c>
      <c r="F1826" s="62" t="str">
        <f>RIGHT(tblCost[[#This Row],[RequirementID]],1)</f>
        <v>1</v>
      </c>
      <c r="G1826" s="41">
        <v>1</v>
      </c>
      <c r="H1826" t="b">
        <f>COUNTIFS(tblCostChecklist[RequirementID],tblCost[[#This Row],[RequirementID]],tblCostChecklist[PlayerPaid],TRUE)&gt;0</f>
        <v>0</v>
      </c>
      <c r="I1826" s="41">
        <f>COUNTIF(tblCost[TargetID],tblCost[[#This Row],[TargetID]])</f>
        <v>2</v>
      </c>
      <c r="J1826" s="41">
        <f>COUNTIFS(tblCost[TargetID],tblCost[[#This Row],[TargetID]],tblCost[PlayerPaid],TRUE)</f>
        <v>0</v>
      </c>
      <c r="K1826" s="41">
        <f>tblCost[[#This Row],[TargetRequirements]]-tblCost[[#This Row],[CompletedRequirements]]</f>
        <v>2</v>
      </c>
      <c r="L1826" s="41" t="b">
        <f>tblCost[[#This Row],[RemainingRequirements]]=0</f>
        <v>0</v>
      </c>
      <c r="M1826" s="43">
        <f>IF(tblCost[[#This Row],[TargetRequirements]]=0,0,tblCost[[#This Row],[CompletedRequirements]]/tblCost[[#This Row],[TargetRequirements]])</f>
        <v>0</v>
      </c>
    </row>
    <row r="1827" spans="1:13">
      <c r="A1827" s="41" t="s">
        <v>5464</v>
      </c>
      <c r="B1827" s="41" t="str">
        <f>_xlfn.TEXTAFTER(_xlfn.TEXTBEFORE(tblCost[[#This Row],[RequirementID]],".",-2),"cost.")</f>
        <v>craftifact.safe</v>
      </c>
      <c r="C1827" s="41" t="str">
        <f>_xlfn.XLOOKUP(tblCost[[#This Row],[TargetID]],tblTargets[TargetID],tblTargets[DisplayName],"")</f>
        <v>Safe</v>
      </c>
      <c r="D1827" s="41" t="str">
        <f>_xlfn.XLOOKUP(tblCost[[#This Row],[TargetID]],tblTargets[TargetID],tblTargets[TargetType],"")</f>
        <v>CRAFTIFACT</v>
      </c>
      <c r="E1827" s="41" t="s">
        <v>662</v>
      </c>
      <c r="F1827" s="62" t="str">
        <f>RIGHT(tblCost[[#This Row],[RequirementID]],1)</f>
        <v>1</v>
      </c>
      <c r="G1827" s="41">
        <v>30</v>
      </c>
      <c r="H1827" t="b">
        <f>COUNTIFS(tblCostChecklist[RequirementID],tblCost[[#This Row],[RequirementID]],tblCostChecklist[PlayerPaid],TRUE)&gt;0</f>
        <v>0</v>
      </c>
      <c r="I1827" s="41">
        <f>COUNTIF(tblCost[TargetID],tblCost[[#This Row],[TargetID]])</f>
        <v>5</v>
      </c>
      <c r="J1827" s="41">
        <f>COUNTIFS(tblCost[TargetID],tblCost[[#This Row],[TargetID]],tblCost[PlayerPaid],TRUE)</f>
        <v>0</v>
      </c>
      <c r="K1827" s="41">
        <f>tblCost[[#This Row],[TargetRequirements]]-tblCost[[#This Row],[CompletedRequirements]]</f>
        <v>5</v>
      </c>
      <c r="L1827" s="41" t="b">
        <f>tblCost[[#This Row],[RemainingRequirements]]=0</f>
        <v>0</v>
      </c>
      <c r="M1827" s="43">
        <f>IF(tblCost[[#This Row],[TargetRequirements]]=0,0,tblCost[[#This Row],[CompletedRequirements]]/tblCost[[#This Row],[TargetRequirements]])</f>
        <v>0</v>
      </c>
    </row>
    <row r="1828" spans="1:13">
      <c r="A1828" s="41" t="s">
        <v>5465</v>
      </c>
      <c r="B1828" s="41" t="str">
        <f>_xlfn.TEXTAFTER(_xlfn.TEXTBEFORE(tblCost[[#This Row],[RequirementID]],".",-2),"cost.")</f>
        <v>craftifact.safe</v>
      </c>
      <c r="C1828" s="41" t="str">
        <f>_xlfn.XLOOKUP(tblCost[[#This Row],[TargetID]],tblTargets[TargetID],tblTargets[DisplayName],"")</f>
        <v>Safe</v>
      </c>
      <c r="D1828" s="41" t="str">
        <f>_xlfn.XLOOKUP(tblCost[[#This Row],[TargetID]],tblTargets[TargetID],tblTargets[TargetType],"")</f>
        <v>CRAFTIFACT</v>
      </c>
      <c r="E1828" s="41" t="s">
        <v>666</v>
      </c>
      <c r="F1828" s="62" t="str">
        <f>RIGHT(tblCost[[#This Row],[RequirementID]],1)</f>
        <v>1</v>
      </c>
      <c r="G1828" s="41">
        <v>500</v>
      </c>
      <c r="H1828" t="b">
        <f>COUNTIFS(tblCostChecklist[RequirementID],tblCost[[#This Row],[RequirementID]],tblCostChecklist[PlayerPaid],TRUE)&gt;0</f>
        <v>0</v>
      </c>
      <c r="I1828" s="41">
        <f>COUNTIF(tblCost[TargetID],tblCost[[#This Row],[TargetID]])</f>
        <v>5</v>
      </c>
      <c r="J1828" s="41">
        <f>COUNTIFS(tblCost[TargetID],tblCost[[#This Row],[TargetID]],tblCost[PlayerPaid],TRUE)</f>
        <v>0</v>
      </c>
      <c r="K1828" s="41">
        <f>tblCost[[#This Row],[TargetRequirements]]-tblCost[[#This Row],[CompletedRequirements]]</f>
        <v>5</v>
      </c>
      <c r="L1828" s="41" t="b">
        <f>tblCost[[#This Row],[RemainingRequirements]]=0</f>
        <v>0</v>
      </c>
      <c r="M1828" s="43">
        <f>IF(tblCost[[#This Row],[TargetRequirements]]=0,0,tblCost[[#This Row],[CompletedRequirements]]/tblCost[[#This Row],[TargetRequirements]])</f>
        <v>0</v>
      </c>
    </row>
    <row r="1829" spans="1:13">
      <c r="A1829" s="41" t="s">
        <v>5466</v>
      </c>
      <c r="B1829" s="41" t="str">
        <f>_xlfn.TEXTAFTER(_xlfn.TEXTBEFORE(tblCost[[#This Row],[RequirementID]],".",-2),"cost.")</f>
        <v>craftifact.safe</v>
      </c>
      <c r="C1829" s="41" t="str">
        <f>_xlfn.XLOOKUP(tblCost[[#This Row],[TargetID]],tblTargets[TargetID],tblTargets[DisplayName],"")</f>
        <v>Safe</v>
      </c>
      <c r="D1829" s="41" t="str">
        <f>_xlfn.XLOOKUP(tblCost[[#This Row],[TargetID]],tblTargets[TargetID],tblTargets[TargetType],"")</f>
        <v>CRAFTIFACT</v>
      </c>
      <c r="E1829" s="41" t="s">
        <v>686</v>
      </c>
      <c r="F1829" s="62" t="str">
        <f>RIGHT(tblCost[[#This Row],[RequirementID]],1)</f>
        <v>1</v>
      </c>
      <c r="G1829" s="41">
        <v>10</v>
      </c>
      <c r="H1829" t="b">
        <f>COUNTIFS(tblCostChecklist[RequirementID],tblCost[[#This Row],[RequirementID]],tblCostChecklist[PlayerPaid],TRUE)&gt;0</f>
        <v>0</v>
      </c>
      <c r="I1829" s="41">
        <f>COUNTIF(tblCost[TargetID],tblCost[[#This Row],[TargetID]])</f>
        <v>5</v>
      </c>
      <c r="J1829" s="41">
        <f>COUNTIFS(tblCost[TargetID],tblCost[[#This Row],[TargetID]],tblCost[PlayerPaid],TRUE)</f>
        <v>0</v>
      </c>
      <c r="K1829" s="41">
        <f>tblCost[[#This Row],[TargetRequirements]]-tblCost[[#This Row],[CompletedRequirements]]</f>
        <v>5</v>
      </c>
      <c r="L1829" s="41" t="b">
        <f>tblCost[[#This Row],[RemainingRequirements]]=0</f>
        <v>0</v>
      </c>
      <c r="M1829" s="43">
        <f>IF(tblCost[[#This Row],[TargetRequirements]]=0,0,tblCost[[#This Row],[CompletedRequirements]]/tblCost[[#This Row],[TargetRequirements]])</f>
        <v>0</v>
      </c>
    </row>
    <row r="1830" spans="1:13">
      <c r="A1830" s="41" t="s">
        <v>5467</v>
      </c>
      <c r="B1830" s="41" t="str">
        <f>_xlfn.TEXTAFTER(_xlfn.TEXTBEFORE(tblCost[[#This Row],[RequirementID]],".",-2),"cost.")</f>
        <v>craftifact.safe</v>
      </c>
      <c r="C1830" s="41" t="str">
        <f>_xlfn.XLOOKUP(tblCost[[#This Row],[TargetID]],tblTargets[TargetID],tblTargets[DisplayName],"")</f>
        <v>Safe</v>
      </c>
      <c r="D1830" s="41" t="str">
        <f>_xlfn.XLOOKUP(tblCost[[#This Row],[TargetID]],tblTargets[TargetID],tblTargets[TargetType],"")</f>
        <v>CRAFTIFACT</v>
      </c>
      <c r="E1830" s="41" t="s">
        <v>693</v>
      </c>
      <c r="F1830" s="62" t="str">
        <f>RIGHT(tblCost[[#This Row],[RequirementID]],1)</f>
        <v>1</v>
      </c>
      <c r="G1830" s="41">
        <v>50</v>
      </c>
      <c r="H1830" t="b">
        <f>COUNTIFS(tblCostChecklist[RequirementID],tblCost[[#This Row],[RequirementID]],tblCostChecklist[PlayerPaid],TRUE)&gt;0</f>
        <v>0</v>
      </c>
      <c r="I1830" s="41">
        <f>COUNTIF(tblCost[TargetID],tblCost[[#This Row],[TargetID]])</f>
        <v>5</v>
      </c>
      <c r="J1830" s="41">
        <f>COUNTIFS(tblCost[TargetID],tblCost[[#This Row],[TargetID]],tblCost[PlayerPaid],TRUE)</f>
        <v>0</v>
      </c>
      <c r="K1830" s="41">
        <f>tblCost[[#This Row],[TargetRequirements]]-tblCost[[#This Row],[CompletedRequirements]]</f>
        <v>5</v>
      </c>
      <c r="L1830" s="41" t="b">
        <f>tblCost[[#This Row],[RemainingRequirements]]=0</f>
        <v>0</v>
      </c>
      <c r="M1830" s="43">
        <f>IF(tblCost[[#This Row],[TargetRequirements]]=0,0,tblCost[[#This Row],[CompletedRequirements]]/tblCost[[#This Row],[TargetRequirements]])</f>
        <v>0</v>
      </c>
    </row>
    <row r="1831" spans="1:13">
      <c r="A1831" s="41" t="s">
        <v>5468</v>
      </c>
      <c r="B1831" s="41" t="str">
        <f>_xlfn.TEXTAFTER(_xlfn.TEXTBEFORE(tblCost[[#This Row],[RequirementID]],".",-2),"cost.")</f>
        <v>craftifact.safe</v>
      </c>
      <c r="C1831" s="41" t="str">
        <f>_xlfn.XLOOKUP(tblCost[[#This Row],[TargetID]],tblTargets[TargetID],tblTargets[DisplayName],"")</f>
        <v>Safe</v>
      </c>
      <c r="D1831" s="41" t="str">
        <f>_xlfn.XLOOKUP(tblCost[[#This Row],[TargetID]],tblTargets[TargetID],tblTargets[TargetType],"")</f>
        <v>CRAFTIFACT</v>
      </c>
      <c r="E1831" s="41" t="s">
        <v>716</v>
      </c>
      <c r="F1831" s="62" t="str">
        <f>RIGHT(tblCost[[#This Row],[RequirementID]],1)</f>
        <v>1</v>
      </c>
      <c r="G1831" s="41">
        <v>500</v>
      </c>
      <c r="H1831" t="b">
        <f>COUNTIFS(tblCostChecklist[RequirementID],tblCost[[#This Row],[RequirementID]],tblCostChecklist[PlayerPaid],TRUE)&gt;0</f>
        <v>0</v>
      </c>
      <c r="I1831" s="41">
        <f>COUNTIF(tblCost[TargetID],tblCost[[#This Row],[TargetID]])</f>
        <v>5</v>
      </c>
      <c r="J1831" s="41">
        <f>COUNTIFS(tblCost[TargetID],tblCost[[#This Row],[TargetID]],tblCost[PlayerPaid],TRUE)</f>
        <v>0</v>
      </c>
      <c r="K1831" s="41">
        <f>tblCost[[#This Row],[TargetRequirements]]-tblCost[[#This Row],[CompletedRequirements]]</f>
        <v>5</v>
      </c>
      <c r="L1831" s="41" t="b">
        <f>tblCost[[#This Row],[RemainingRequirements]]=0</f>
        <v>0</v>
      </c>
      <c r="M1831" s="43">
        <f>IF(tblCost[[#This Row],[TargetRequirements]]=0,0,tblCost[[#This Row],[CompletedRequirements]]/tblCost[[#This Row],[TargetRequirements]])</f>
        <v>0</v>
      </c>
    </row>
    <row r="1832" spans="1:13">
      <c r="A1832" s="41" t="s">
        <v>5469</v>
      </c>
      <c r="B1832" s="41" t="str">
        <f>_xlfn.TEXTAFTER(_xlfn.TEXTBEFORE(tblCost[[#This Row],[RequirementID]],".",-2),"cost.")</f>
        <v>craftifact.solver_1_prototype</v>
      </c>
      <c r="C1832" s="41" t="str">
        <f>_xlfn.XLOOKUP(tblCost[[#This Row],[TargetID]],tblTargets[TargetID],tblTargets[DisplayName],"")</f>
        <v>Solver 1 Prototype</v>
      </c>
      <c r="D1832" s="41" t="str">
        <f>_xlfn.XLOOKUP(tblCost[[#This Row],[TargetID]],tblTargets[TargetID],tblTargets[TargetType],"")</f>
        <v>CRAFTIFACT</v>
      </c>
      <c r="E1832" s="41" t="s">
        <v>662</v>
      </c>
      <c r="F1832" s="62" t="str">
        <f>RIGHT(tblCost[[#This Row],[RequirementID]],1)</f>
        <v>1</v>
      </c>
      <c r="G1832" s="41">
        <v>32</v>
      </c>
      <c r="H1832" t="b">
        <f>COUNTIFS(tblCostChecklist[RequirementID],tblCost[[#This Row],[RequirementID]],tblCostChecklist[PlayerPaid],TRUE)&gt;0</f>
        <v>0</v>
      </c>
      <c r="I1832" s="41">
        <f>COUNTIF(tblCost[TargetID],tblCost[[#This Row],[TargetID]])</f>
        <v>6</v>
      </c>
      <c r="J1832" s="41">
        <f>COUNTIFS(tblCost[TargetID],tblCost[[#This Row],[TargetID]],tblCost[PlayerPaid],TRUE)</f>
        <v>0</v>
      </c>
      <c r="K1832" s="41">
        <f>tblCost[[#This Row],[TargetRequirements]]-tblCost[[#This Row],[CompletedRequirements]]</f>
        <v>6</v>
      </c>
      <c r="L1832" s="41" t="b">
        <f>tblCost[[#This Row],[RemainingRequirements]]=0</f>
        <v>0</v>
      </c>
      <c r="M1832" s="43">
        <f>IF(tblCost[[#This Row],[TargetRequirements]]=0,0,tblCost[[#This Row],[CompletedRequirements]]/tblCost[[#This Row],[TargetRequirements]])</f>
        <v>0</v>
      </c>
    </row>
    <row r="1833" spans="1:13">
      <c r="A1833" s="41" t="s">
        <v>5470</v>
      </c>
      <c r="B1833" s="41" t="str">
        <f>_xlfn.TEXTAFTER(_xlfn.TEXTBEFORE(tblCost[[#This Row],[RequirementID]],".",-2),"cost.")</f>
        <v>craftifact.solver_1_prototype</v>
      </c>
      <c r="C1833" s="41" t="str">
        <f>_xlfn.XLOOKUP(tblCost[[#This Row],[TargetID]],tblTargets[TargetID],tblTargets[DisplayName],"")</f>
        <v>Solver 1 Prototype</v>
      </c>
      <c r="D1833" s="41" t="str">
        <f>_xlfn.XLOOKUP(tblCost[[#This Row],[TargetID]],tblTargets[TargetID],tblTargets[TargetType],"")</f>
        <v>CRAFTIFACT</v>
      </c>
      <c r="E1833" s="41" t="s">
        <v>680</v>
      </c>
      <c r="F1833" s="62" t="str">
        <f>RIGHT(tblCost[[#This Row],[RequirementID]],1)</f>
        <v>1</v>
      </c>
      <c r="G1833" s="41">
        <v>16</v>
      </c>
      <c r="H1833" t="b">
        <f>COUNTIFS(tblCostChecklist[RequirementID],tblCost[[#This Row],[RequirementID]],tblCostChecklist[PlayerPaid],TRUE)&gt;0</f>
        <v>0</v>
      </c>
      <c r="I1833" s="41">
        <f>COUNTIF(tblCost[TargetID],tblCost[[#This Row],[TargetID]])</f>
        <v>6</v>
      </c>
      <c r="J1833" s="41">
        <f>COUNTIFS(tblCost[TargetID],tblCost[[#This Row],[TargetID]],tblCost[PlayerPaid],TRUE)</f>
        <v>0</v>
      </c>
      <c r="K1833" s="41">
        <f>tblCost[[#This Row],[TargetRequirements]]-tblCost[[#This Row],[CompletedRequirements]]</f>
        <v>6</v>
      </c>
      <c r="L1833" s="41" t="b">
        <f>tblCost[[#This Row],[RemainingRequirements]]=0</f>
        <v>0</v>
      </c>
      <c r="M1833" s="43">
        <f>IF(tblCost[[#This Row],[TargetRequirements]]=0,0,tblCost[[#This Row],[CompletedRequirements]]/tblCost[[#This Row],[TargetRequirements]])</f>
        <v>0</v>
      </c>
    </row>
    <row r="1834" spans="1:13">
      <c r="A1834" s="41" t="s">
        <v>5471</v>
      </c>
      <c r="B1834" s="41" t="str">
        <f>_xlfn.TEXTAFTER(_xlfn.TEXTBEFORE(tblCost[[#This Row],[RequirementID]],".",-2),"cost.")</f>
        <v>craftifact.solver_1_prototype</v>
      </c>
      <c r="C1834" s="41" t="str">
        <f>_xlfn.XLOOKUP(tblCost[[#This Row],[TargetID]],tblTargets[TargetID],tblTargets[DisplayName],"")</f>
        <v>Solver 1 Prototype</v>
      </c>
      <c r="D1834" s="41" t="str">
        <f>_xlfn.XLOOKUP(tblCost[[#This Row],[TargetID]],tblTargets[TargetID],tblTargets[TargetType],"")</f>
        <v>CRAFTIFACT</v>
      </c>
      <c r="E1834" s="41" t="s">
        <v>685</v>
      </c>
      <c r="F1834" s="62" t="str">
        <f>RIGHT(tblCost[[#This Row],[RequirementID]],1)</f>
        <v>1</v>
      </c>
      <c r="G1834" s="41">
        <v>8</v>
      </c>
      <c r="H1834" t="b">
        <f>COUNTIFS(tblCostChecklist[RequirementID],tblCost[[#This Row],[RequirementID]],tblCostChecklist[PlayerPaid],TRUE)&gt;0</f>
        <v>0</v>
      </c>
      <c r="I1834" s="41">
        <f>COUNTIF(tblCost[TargetID],tblCost[[#This Row],[TargetID]])</f>
        <v>6</v>
      </c>
      <c r="J1834" s="41">
        <f>COUNTIFS(tblCost[TargetID],tblCost[[#This Row],[TargetID]],tblCost[PlayerPaid],TRUE)</f>
        <v>0</v>
      </c>
      <c r="K1834" s="41">
        <f>tblCost[[#This Row],[TargetRequirements]]-tblCost[[#This Row],[CompletedRequirements]]</f>
        <v>6</v>
      </c>
      <c r="L1834" s="41" t="b">
        <f>tblCost[[#This Row],[RemainingRequirements]]=0</f>
        <v>0</v>
      </c>
      <c r="M1834" s="43">
        <f>IF(tblCost[[#This Row],[TargetRequirements]]=0,0,tblCost[[#This Row],[CompletedRequirements]]/tblCost[[#This Row],[TargetRequirements]])</f>
        <v>0</v>
      </c>
    </row>
    <row r="1835" spans="1:13">
      <c r="A1835" s="41" t="s">
        <v>5472</v>
      </c>
      <c r="B1835" s="41" t="str">
        <f>_xlfn.TEXTAFTER(_xlfn.TEXTBEFORE(tblCost[[#This Row],[RequirementID]],".",-2),"cost.")</f>
        <v>craftifact.solver_1_prototype</v>
      </c>
      <c r="C1835" s="41" t="str">
        <f>_xlfn.XLOOKUP(tblCost[[#This Row],[TargetID]],tblTargets[TargetID],tblTargets[DisplayName],"")</f>
        <v>Solver 1 Prototype</v>
      </c>
      <c r="D1835" s="41" t="str">
        <f>_xlfn.XLOOKUP(tblCost[[#This Row],[TargetID]],tblTargets[TargetID],tblTargets[TargetType],"")</f>
        <v>CRAFTIFACT</v>
      </c>
      <c r="E1835" s="41" t="s">
        <v>686</v>
      </c>
      <c r="F1835" s="62" t="str">
        <f>RIGHT(tblCost[[#This Row],[RequirementID]],1)</f>
        <v>1</v>
      </c>
      <c r="G1835" s="41">
        <v>16</v>
      </c>
      <c r="H1835" t="b">
        <f>COUNTIFS(tblCostChecklist[RequirementID],tblCost[[#This Row],[RequirementID]],tblCostChecklist[PlayerPaid],TRUE)&gt;0</f>
        <v>0</v>
      </c>
      <c r="I1835" s="41">
        <f>COUNTIF(tblCost[TargetID],tblCost[[#This Row],[TargetID]])</f>
        <v>6</v>
      </c>
      <c r="J1835" s="41">
        <f>COUNTIFS(tblCost[TargetID],tblCost[[#This Row],[TargetID]],tblCost[PlayerPaid],TRUE)</f>
        <v>0</v>
      </c>
      <c r="K1835" s="41">
        <f>tblCost[[#This Row],[TargetRequirements]]-tblCost[[#This Row],[CompletedRequirements]]</f>
        <v>6</v>
      </c>
      <c r="L1835" s="41" t="b">
        <f>tblCost[[#This Row],[RemainingRequirements]]=0</f>
        <v>0</v>
      </c>
      <c r="M1835" s="43">
        <f>IF(tblCost[[#This Row],[TargetRequirements]]=0,0,tblCost[[#This Row],[CompletedRequirements]]/tblCost[[#This Row],[TargetRequirements]])</f>
        <v>0</v>
      </c>
    </row>
    <row r="1836" spans="1:13">
      <c r="A1836" s="41" t="s">
        <v>5473</v>
      </c>
      <c r="B1836" s="41" t="str">
        <f>_xlfn.TEXTAFTER(_xlfn.TEXTBEFORE(tblCost[[#This Row],[RequirementID]],".",-2),"cost.")</f>
        <v>craftifact.solver_1_prototype</v>
      </c>
      <c r="C1836" s="41" t="str">
        <f>_xlfn.XLOOKUP(tblCost[[#This Row],[TargetID]],tblTargets[TargetID],tblTargets[DisplayName],"")</f>
        <v>Solver 1 Prototype</v>
      </c>
      <c r="D1836" s="41" t="str">
        <f>_xlfn.XLOOKUP(tblCost[[#This Row],[TargetID]],tblTargets[TargetID],tblTargets[TargetType],"")</f>
        <v>CRAFTIFACT</v>
      </c>
      <c r="E1836" s="41" t="s">
        <v>698</v>
      </c>
      <c r="F1836" s="62" t="str">
        <f>RIGHT(tblCost[[#This Row],[RequirementID]],1)</f>
        <v>1</v>
      </c>
      <c r="G1836" s="41">
        <v>4</v>
      </c>
      <c r="H1836" t="b">
        <f>COUNTIFS(tblCostChecklist[RequirementID],tblCost[[#This Row],[RequirementID]],tblCostChecklist[PlayerPaid],TRUE)&gt;0</f>
        <v>0</v>
      </c>
      <c r="I1836" s="41">
        <f>COUNTIF(tblCost[TargetID],tblCost[[#This Row],[TargetID]])</f>
        <v>6</v>
      </c>
      <c r="J1836" s="41">
        <f>COUNTIFS(tblCost[TargetID],tblCost[[#This Row],[TargetID]],tblCost[PlayerPaid],TRUE)</f>
        <v>0</v>
      </c>
      <c r="K1836" s="41">
        <f>tblCost[[#This Row],[TargetRequirements]]-tblCost[[#This Row],[CompletedRequirements]]</f>
        <v>6</v>
      </c>
      <c r="L1836" s="41" t="b">
        <f>tblCost[[#This Row],[RemainingRequirements]]=0</f>
        <v>0</v>
      </c>
      <c r="M1836" s="43">
        <f>IF(tblCost[[#This Row],[TargetRequirements]]=0,0,tblCost[[#This Row],[CompletedRequirements]]/tblCost[[#This Row],[TargetRequirements]])</f>
        <v>0</v>
      </c>
    </row>
    <row r="1837" spans="1:13">
      <c r="A1837" s="41" t="s">
        <v>5474</v>
      </c>
      <c r="B1837" s="41" t="str">
        <f>_xlfn.TEXTAFTER(_xlfn.TEXTBEFORE(tblCost[[#This Row],[RequirementID]],".",-2),"cost.")</f>
        <v>craftifact.solver_1_prototype</v>
      </c>
      <c r="C1837" s="41" t="str">
        <f>_xlfn.XLOOKUP(tblCost[[#This Row],[TargetID]],tblTargets[TargetID],tblTargets[DisplayName],"")</f>
        <v>Solver 1 Prototype</v>
      </c>
      <c r="D1837" s="41" t="str">
        <f>_xlfn.XLOOKUP(tblCost[[#This Row],[TargetID]],tblTargets[TargetID],tblTargets[TargetType],"")</f>
        <v>CRAFTIFACT</v>
      </c>
      <c r="E1837" s="41" t="s">
        <v>955</v>
      </c>
      <c r="F1837" s="62" t="str">
        <f>RIGHT(tblCost[[#This Row],[RequirementID]],1)</f>
        <v>1</v>
      </c>
      <c r="G1837" s="41">
        <v>40</v>
      </c>
      <c r="H1837" t="b">
        <f>COUNTIFS(tblCostChecklist[RequirementID],tblCost[[#This Row],[RequirementID]],tblCostChecklist[PlayerPaid],TRUE)&gt;0</f>
        <v>0</v>
      </c>
      <c r="I1837" s="41">
        <f>COUNTIF(tblCost[TargetID],tblCost[[#This Row],[TargetID]])</f>
        <v>6</v>
      </c>
      <c r="J1837" s="41">
        <f>COUNTIFS(tblCost[TargetID],tblCost[[#This Row],[TargetID]],tblCost[PlayerPaid],TRUE)</f>
        <v>0</v>
      </c>
      <c r="K1837" s="41">
        <f>tblCost[[#This Row],[TargetRequirements]]-tblCost[[#This Row],[CompletedRequirements]]</f>
        <v>6</v>
      </c>
      <c r="L1837" s="41" t="b">
        <f>tblCost[[#This Row],[RemainingRequirements]]=0</f>
        <v>0</v>
      </c>
      <c r="M1837" s="43">
        <f>IF(tblCost[[#This Row],[TargetRequirements]]=0,0,tblCost[[#This Row],[CompletedRequirements]]/tblCost[[#This Row],[TargetRequirements]])</f>
        <v>0</v>
      </c>
    </row>
    <row r="1838" spans="1:13">
      <c r="A1838" s="41" t="s">
        <v>5475</v>
      </c>
      <c r="B1838" s="41" t="str">
        <f>_xlfn.TEXTAFTER(_xlfn.TEXTBEFORE(tblCost[[#This Row],[RequirementID]],".",-2),"cost.")</f>
        <v>craftifact.telescope</v>
      </c>
      <c r="C1838" s="41" t="str">
        <f>_xlfn.XLOOKUP(tblCost[[#This Row],[TargetID]],tblTargets[TargetID],tblTargets[DisplayName],"")</f>
        <v>Telescope</v>
      </c>
      <c r="D1838" s="41" t="str">
        <f>_xlfn.XLOOKUP(tblCost[[#This Row],[TargetID]],tblTargets[TargetID],tblTargets[TargetType],"")</f>
        <v>CRAFTIFACT</v>
      </c>
      <c r="E1838" s="41" t="s">
        <v>662</v>
      </c>
      <c r="F1838" s="62" t="str">
        <f>RIGHT(tblCost[[#This Row],[RequirementID]],1)</f>
        <v>1</v>
      </c>
      <c r="G1838" s="41">
        <v>40</v>
      </c>
      <c r="H1838" t="b">
        <f>COUNTIFS(tblCostChecklist[RequirementID],tblCost[[#This Row],[RequirementID]],tblCostChecklist[PlayerPaid],TRUE)&gt;0</f>
        <v>0</v>
      </c>
      <c r="I1838" s="41">
        <f>COUNTIF(tblCost[TargetID],tblCost[[#This Row],[TargetID]])</f>
        <v>4</v>
      </c>
      <c r="J1838" s="41">
        <f>COUNTIFS(tblCost[TargetID],tblCost[[#This Row],[TargetID]],tblCost[PlayerPaid],TRUE)</f>
        <v>0</v>
      </c>
      <c r="K1838" s="41">
        <f>tblCost[[#This Row],[TargetRequirements]]-tblCost[[#This Row],[CompletedRequirements]]</f>
        <v>4</v>
      </c>
      <c r="L1838" s="41" t="b">
        <f>tblCost[[#This Row],[RemainingRequirements]]=0</f>
        <v>0</v>
      </c>
      <c r="M1838" s="43">
        <f>IF(tblCost[[#This Row],[TargetRequirements]]=0,0,tblCost[[#This Row],[CompletedRequirements]]/tblCost[[#This Row],[TargetRequirements]])</f>
        <v>0</v>
      </c>
    </row>
    <row r="1839" spans="1:13">
      <c r="A1839" s="41" t="s">
        <v>5476</v>
      </c>
      <c r="B1839" s="41" t="str">
        <f>_xlfn.TEXTAFTER(_xlfn.TEXTBEFORE(tblCost[[#This Row],[RequirementID]],".",-2),"cost.")</f>
        <v>craftifact.telescope</v>
      </c>
      <c r="C1839" s="41" t="str">
        <f>_xlfn.XLOOKUP(tblCost[[#This Row],[TargetID]],tblTargets[TargetID],tblTargets[DisplayName],"")</f>
        <v>Telescope</v>
      </c>
      <c r="D1839" s="41" t="str">
        <f>_xlfn.XLOOKUP(tblCost[[#This Row],[TargetID]],tblTargets[TargetID],tblTargets[TargetType],"")</f>
        <v>CRAFTIFACT</v>
      </c>
      <c r="E1839" s="41" t="s">
        <v>674</v>
      </c>
      <c r="F1839" s="62" t="str">
        <f>RIGHT(tblCost[[#This Row],[RequirementID]],1)</f>
        <v>1</v>
      </c>
      <c r="G1839" s="41">
        <v>60</v>
      </c>
      <c r="H1839" t="b">
        <f>COUNTIFS(tblCostChecklist[RequirementID],tblCost[[#This Row],[RequirementID]],tblCostChecklist[PlayerPaid],TRUE)&gt;0</f>
        <v>0</v>
      </c>
      <c r="I1839" s="41">
        <f>COUNTIF(tblCost[TargetID],tblCost[[#This Row],[TargetID]])</f>
        <v>4</v>
      </c>
      <c r="J1839" s="41">
        <f>COUNTIFS(tblCost[TargetID],tblCost[[#This Row],[TargetID]],tblCost[PlayerPaid],TRUE)</f>
        <v>0</v>
      </c>
      <c r="K1839" s="41">
        <f>tblCost[[#This Row],[TargetRequirements]]-tblCost[[#This Row],[CompletedRequirements]]</f>
        <v>4</v>
      </c>
      <c r="L1839" s="41" t="b">
        <f>tblCost[[#This Row],[RemainingRequirements]]=0</f>
        <v>0</v>
      </c>
      <c r="M1839" s="43">
        <f>IF(tblCost[[#This Row],[TargetRequirements]]=0,0,tblCost[[#This Row],[CompletedRequirements]]/tblCost[[#This Row],[TargetRequirements]])</f>
        <v>0</v>
      </c>
    </row>
    <row r="1840" spans="1:13">
      <c r="A1840" s="41" t="s">
        <v>5477</v>
      </c>
      <c r="B1840" s="41" t="str">
        <f>_xlfn.TEXTAFTER(_xlfn.TEXTBEFORE(tblCost[[#This Row],[RequirementID]],".",-2),"cost.")</f>
        <v>craftifact.telescope</v>
      </c>
      <c r="C1840" s="41" t="str">
        <f>_xlfn.XLOOKUP(tblCost[[#This Row],[TargetID]],tblTargets[TargetID],tblTargets[DisplayName],"")</f>
        <v>Telescope</v>
      </c>
      <c r="D1840" s="41" t="str">
        <f>_xlfn.XLOOKUP(tblCost[[#This Row],[TargetID]],tblTargets[TargetID],tblTargets[TargetType],"")</f>
        <v>CRAFTIFACT</v>
      </c>
      <c r="E1840" s="41" t="s">
        <v>686</v>
      </c>
      <c r="F1840" s="62" t="str">
        <f>RIGHT(tblCost[[#This Row],[RequirementID]],1)</f>
        <v>1</v>
      </c>
      <c r="G1840" s="41">
        <v>20</v>
      </c>
      <c r="H1840" t="b">
        <f>COUNTIFS(tblCostChecklist[RequirementID],tblCost[[#This Row],[RequirementID]],tblCostChecklist[PlayerPaid],TRUE)&gt;0</f>
        <v>0</v>
      </c>
      <c r="I1840" s="41">
        <f>COUNTIF(tblCost[TargetID],tblCost[[#This Row],[TargetID]])</f>
        <v>4</v>
      </c>
      <c r="J1840" s="41">
        <f>COUNTIFS(tblCost[TargetID],tblCost[[#This Row],[TargetID]],tblCost[PlayerPaid],TRUE)</f>
        <v>0</v>
      </c>
      <c r="K1840" s="41">
        <f>tblCost[[#This Row],[TargetRequirements]]-tblCost[[#This Row],[CompletedRequirements]]</f>
        <v>4</v>
      </c>
      <c r="L1840" s="41" t="b">
        <f>tblCost[[#This Row],[RemainingRequirements]]=0</f>
        <v>0</v>
      </c>
      <c r="M1840" s="43">
        <f>IF(tblCost[[#This Row],[TargetRequirements]]=0,0,tblCost[[#This Row],[CompletedRequirements]]/tblCost[[#This Row],[TargetRequirements]])</f>
        <v>0</v>
      </c>
    </row>
    <row r="1841" spans="1:13">
      <c r="A1841" s="41" t="s">
        <v>5478</v>
      </c>
      <c r="B1841" s="41" t="str">
        <f>_xlfn.TEXTAFTER(_xlfn.TEXTBEFORE(tblCost[[#This Row],[RequirementID]],".",-2),"cost.")</f>
        <v>craftifact.telescope</v>
      </c>
      <c r="C1841" s="41" t="str">
        <f>_xlfn.XLOOKUP(tblCost[[#This Row],[TargetID]],tblTargets[TargetID],tblTargets[DisplayName],"")</f>
        <v>Telescope</v>
      </c>
      <c r="D1841" s="41" t="str">
        <f>_xlfn.XLOOKUP(tblCost[[#This Row],[TargetID]],tblTargets[TargetID],tblTargets[TargetType],"")</f>
        <v>CRAFTIFACT</v>
      </c>
      <c r="E1841" s="41" t="s">
        <v>708</v>
      </c>
      <c r="F1841" s="62" t="str">
        <f>RIGHT(tblCost[[#This Row],[RequirementID]],1)</f>
        <v>1</v>
      </c>
      <c r="G1841" s="41">
        <v>5</v>
      </c>
      <c r="H1841" t="b">
        <f>COUNTIFS(tblCostChecklist[RequirementID],tblCost[[#This Row],[RequirementID]],tblCostChecklist[PlayerPaid],TRUE)&gt;0</f>
        <v>0</v>
      </c>
      <c r="I1841" s="41">
        <f>COUNTIF(tblCost[TargetID],tblCost[[#This Row],[TargetID]])</f>
        <v>4</v>
      </c>
      <c r="J1841" s="41">
        <f>COUNTIFS(tblCost[TargetID],tblCost[[#This Row],[TargetID]],tblCost[PlayerPaid],TRUE)</f>
        <v>0</v>
      </c>
      <c r="K1841" s="41">
        <f>tblCost[[#This Row],[TargetRequirements]]-tblCost[[#This Row],[CompletedRequirements]]</f>
        <v>4</v>
      </c>
      <c r="L1841" s="41" t="b">
        <f>tblCost[[#This Row],[RemainingRequirements]]=0</f>
        <v>0</v>
      </c>
      <c r="M1841" s="43">
        <f>IF(tblCost[[#This Row],[TargetRequirements]]=0,0,tblCost[[#This Row],[CompletedRequirements]]/tblCost[[#This Row],[TargetRequirements]])</f>
        <v>0</v>
      </c>
    </row>
    <row r="1842" spans="1:13">
      <c r="A1842" s="41" t="s">
        <v>5479</v>
      </c>
      <c r="B1842" s="41" t="str">
        <f>_xlfn.TEXTAFTER(_xlfn.TEXTBEFORE(tblCost[[#This Row],[RequirementID]],".",-2),"cost.")</f>
        <v>craftifact.tetrachloroaurate</v>
      </c>
      <c r="C1842" s="41" t="str">
        <f>_xlfn.XLOOKUP(tblCost[[#This Row],[TargetID]],tblTargets[TargetID],tblTargets[DisplayName],"")</f>
        <v>Tetrachloroaurate</v>
      </c>
      <c r="D1842" s="41" t="str">
        <f>_xlfn.XLOOKUP(tblCost[[#This Row],[TargetID]],tblTargets[TargetID],tblTargets[TargetType],"")</f>
        <v>CRAFTIFACT</v>
      </c>
      <c r="E1842" s="41" t="s">
        <v>928</v>
      </c>
      <c r="F1842" s="62" t="str">
        <f>RIGHT(tblCost[[#This Row],[RequirementID]],1)</f>
        <v>1</v>
      </c>
      <c r="G1842" s="41">
        <v>30</v>
      </c>
      <c r="H1842" t="b">
        <f>COUNTIFS(tblCostChecklist[RequirementID],tblCost[[#This Row],[RequirementID]],tblCostChecklist[PlayerPaid],TRUE)&gt;0</f>
        <v>0</v>
      </c>
      <c r="I1842" s="41">
        <f>COUNTIF(tblCost[TargetID],tblCost[[#This Row],[TargetID]])</f>
        <v>5</v>
      </c>
      <c r="J1842" s="41">
        <f>COUNTIFS(tblCost[TargetID],tblCost[[#This Row],[TargetID]],tblCost[PlayerPaid],TRUE)</f>
        <v>0</v>
      </c>
      <c r="K1842" s="41">
        <f>tblCost[[#This Row],[TargetRequirements]]-tblCost[[#This Row],[CompletedRequirements]]</f>
        <v>5</v>
      </c>
      <c r="L1842" s="41" t="b">
        <f>tblCost[[#This Row],[RemainingRequirements]]=0</f>
        <v>0</v>
      </c>
      <c r="M1842" s="43">
        <f>IF(tblCost[[#This Row],[TargetRequirements]]=0,0,tblCost[[#This Row],[CompletedRequirements]]/tblCost[[#This Row],[TargetRequirements]])</f>
        <v>0</v>
      </c>
    </row>
    <row r="1843" spans="1:13">
      <c r="A1843" s="41" t="s">
        <v>5480</v>
      </c>
      <c r="B1843" s="41" t="str">
        <f>_xlfn.TEXTAFTER(_xlfn.TEXTBEFORE(tblCost[[#This Row],[RequirementID]],".",-2),"cost.")</f>
        <v>craftifact.tetrachloroaurate</v>
      </c>
      <c r="C1843" s="41" t="str">
        <f>_xlfn.XLOOKUP(tblCost[[#This Row],[TargetID]],tblTargets[TargetID],tblTargets[DisplayName],"")</f>
        <v>Tetrachloroaurate</v>
      </c>
      <c r="D1843" s="41" t="str">
        <f>_xlfn.XLOOKUP(tblCost[[#This Row],[TargetID]],tblTargets[TargetID],tblTargets[TargetType],"")</f>
        <v>CRAFTIFACT</v>
      </c>
      <c r="E1843" s="41" t="s">
        <v>664</v>
      </c>
      <c r="F1843" s="62" t="str">
        <f>RIGHT(tblCost[[#This Row],[RequirementID]],1)</f>
        <v>1</v>
      </c>
      <c r="G1843" s="41">
        <v>50</v>
      </c>
      <c r="H1843" t="b">
        <f>COUNTIFS(tblCostChecklist[RequirementID],tblCost[[#This Row],[RequirementID]],tblCostChecklist[PlayerPaid],TRUE)&gt;0</f>
        <v>0</v>
      </c>
      <c r="I1843" s="41">
        <f>COUNTIF(tblCost[TargetID],tblCost[[#This Row],[TargetID]])</f>
        <v>5</v>
      </c>
      <c r="J1843" s="41">
        <f>COUNTIFS(tblCost[TargetID],tblCost[[#This Row],[TargetID]],tblCost[PlayerPaid],TRUE)</f>
        <v>0</v>
      </c>
      <c r="K1843" s="41">
        <f>tblCost[[#This Row],[TargetRequirements]]-tblCost[[#This Row],[CompletedRequirements]]</f>
        <v>5</v>
      </c>
      <c r="L1843" s="41" t="b">
        <f>tblCost[[#This Row],[RemainingRequirements]]=0</f>
        <v>0</v>
      </c>
      <c r="M1843" s="43">
        <f>IF(tblCost[[#This Row],[TargetRequirements]]=0,0,tblCost[[#This Row],[CompletedRequirements]]/tblCost[[#This Row],[TargetRequirements]])</f>
        <v>0</v>
      </c>
    </row>
    <row r="1844" spans="1:13">
      <c r="A1844" s="41" t="s">
        <v>5481</v>
      </c>
      <c r="B1844" s="41" t="str">
        <f>_xlfn.TEXTAFTER(_xlfn.TEXTBEFORE(tblCost[[#This Row],[RequirementID]],".",-2),"cost.")</f>
        <v>craftifact.tetrachloroaurate</v>
      </c>
      <c r="C1844" s="41" t="str">
        <f>_xlfn.XLOOKUP(tblCost[[#This Row],[TargetID]],tblTargets[TargetID],tblTargets[DisplayName],"")</f>
        <v>Tetrachloroaurate</v>
      </c>
      <c r="D1844" s="41" t="str">
        <f>_xlfn.XLOOKUP(tblCost[[#This Row],[TargetID]],tblTargets[TargetID],tblTargets[TargetType],"")</f>
        <v>CRAFTIFACT</v>
      </c>
      <c r="E1844" s="41" t="s">
        <v>674</v>
      </c>
      <c r="F1844" s="62" t="str">
        <f>RIGHT(tblCost[[#This Row],[RequirementID]],1)</f>
        <v>1</v>
      </c>
      <c r="G1844" s="41">
        <v>30</v>
      </c>
      <c r="H1844" t="b">
        <f>COUNTIFS(tblCostChecklist[RequirementID],tblCost[[#This Row],[RequirementID]],tblCostChecklist[PlayerPaid],TRUE)&gt;0</f>
        <v>0</v>
      </c>
      <c r="I1844" s="41">
        <f>COUNTIF(tblCost[TargetID],tblCost[[#This Row],[TargetID]])</f>
        <v>5</v>
      </c>
      <c r="J1844" s="41">
        <f>COUNTIFS(tblCost[TargetID],tblCost[[#This Row],[TargetID]],tblCost[PlayerPaid],TRUE)</f>
        <v>0</v>
      </c>
      <c r="K1844" s="41">
        <f>tblCost[[#This Row],[TargetRequirements]]-tblCost[[#This Row],[CompletedRequirements]]</f>
        <v>5</v>
      </c>
      <c r="L1844" s="41" t="b">
        <f>tblCost[[#This Row],[RemainingRequirements]]=0</f>
        <v>0</v>
      </c>
      <c r="M1844" s="43">
        <f>IF(tblCost[[#This Row],[TargetRequirements]]=0,0,tblCost[[#This Row],[CompletedRequirements]]/tblCost[[#This Row],[TargetRequirements]])</f>
        <v>0</v>
      </c>
    </row>
    <row r="1845" spans="1:13">
      <c r="A1845" s="41" t="s">
        <v>5482</v>
      </c>
      <c r="B1845" s="41" t="str">
        <f>_xlfn.TEXTAFTER(_xlfn.TEXTBEFORE(tblCost[[#This Row],[RequirementID]],".",-2),"cost.")</f>
        <v>craftifact.tetrachloroaurate</v>
      </c>
      <c r="C1845" s="41" t="str">
        <f>_xlfn.XLOOKUP(tblCost[[#This Row],[TargetID]],tblTargets[TargetID],tblTargets[DisplayName],"")</f>
        <v>Tetrachloroaurate</v>
      </c>
      <c r="D1845" s="41" t="str">
        <f>_xlfn.XLOOKUP(tblCost[[#This Row],[TargetID]],tblTargets[TargetID],tblTargets[TargetType],"")</f>
        <v>CRAFTIFACT</v>
      </c>
      <c r="E1845" s="41" t="s">
        <v>680</v>
      </c>
      <c r="F1845" s="62" t="str">
        <f>RIGHT(tblCost[[#This Row],[RequirementID]],1)</f>
        <v>1</v>
      </c>
      <c r="G1845" s="41">
        <v>50</v>
      </c>
      <c r="H1845" t="b">
        <f>COUNTIFS(tblCostChecklist[RequirementID],tblCost[[#This Row],[RequirementID]],tblCostChecklist[PlayerPaid],TRUE)&gt;0</f>
        <v>0</v>
      </c>
      <c r="I1845" s="41">
        <f>COUNTIF(tblCost[TargetID],tblCost[[#This Row],[TargetID]])</f>
        <v>5</v>
      </c>
      <c r="J1845" s="41">
        <f>COUNTIFS(tblCost[TargetID],tblCost[[#This Row],[TargetID]],tblCost[PlayerPaid],TRUE)</f>
        <v>0</v>
      </c>
      <c r="K1845" s="41">
        <f>tblCost[[#This Row],[TargetRequirements]]-tblCost[[#This Row],[CompletedRequirements]]</f>
        <v>5</v>
      </c>
      <c r="L1845" s="41" t="b">
        <f>tblCost[[#This Row],[RemainingRequirements]]=0</f>
        <v>0</v>
      </c>
      <c r="M1845" s="43">
        <f>IF(tblCost[[#This Row],[TargetRequirements]]=0,0,tblCost[[#This Row],[CompletedRequirements]]/tblCost[[#This Row],[TargetRequirements]])</f>
        <v>0</v>
      </c>
    </row>
    <row r="1846" spans="1:13">
      <c r="A1846" s="41" t="s">
        <v>5483</v>
      </c>
      <c r="B1846" s="41" t="str">
        <f>_xlfn.TEXTAFTER(_xlfn.TEXTBEFORE(tblCost[[#This Row],[RequirementID]],".",-2),"cost.")</f>
        <v>craftifact.tetrachloroaurate</v>
      </c>
      <c r="C1846" s="41" t="str">
        <f>_xlfn.XLOOKUP(tblCost[[#This Row],[TargetID]],tblTargets[TargetID],tblTargets[DisplayName],"")</f>
        <v>Tetrachloroaurate</v>
      </c>
      <c r="D1846" s="41" t="str">
        <f>_xlfn.XLOOKUP(tblCost[[#This Row],[TargetID]],tblTargets[TargetID],tblTargets[TargetType],"")</f>
        <v>CRAFTIFACT</v>
      </c>
      <c r="E1846" s="41" t="s">
        <v>705</v>
      </c>
      <c r="F1846" s="62" t="str">
        <f>RIGHT(tblCost[[#This Row],[RequirementID]],1)</f>
        <v>1</v>
      </c>
      <c r="G1846" s="41">
        <v>40</v>
      </c>
      <c r="H1846" t="b">
        <f>COUNTIFS(tblCostChecklist[RequirementID],tblCost[[#This Row],[RequirementID]],tblCostChecklist[PlayerPaid],TRUE)&gt;0</f>
        <v>0</v>
      </c>
      <c r="I1846" s="41">
        <f>COUNTIF(tblCost[TargetID],tblCost[[#This Row],[TargetID]])</f>
        <v>5</v>
      </c>
      <c r="J1846" s="41">
        <f>COUNTIFS(tblCost[TargetID],tblCost[[#This Row],[TargetID]],tblCost[PlayerPaid],TRUE)</f>
        <v>0</v>
      </c>
      <c r="K1846" s="41">
        <f>tblCost[[#This Row],[TargetRequirements]]-tblCost[[#This Row],[CompletedRequirements]]</f>
        <v>5</v>
      </c>
      <c r="L1846" s="41" t="b">
        <f>tblCost[[#This Row],[RemainingRequirements]]=0</f>
        <v>0</v>
      </c>
      <c r="M1846" s="43">
        <f>IF(tblCost[[#This Row],[TargetRequirements]]=0,0,tblCost[[#This Row],[CompletedRequirements]]/tblCost[[#This Row],[TargetRequirements]])</f>
        <v>0</v>
      </c>
    </row>
    <row r="1847" spans="1:13">
      <c r="A1847" s="41" t="s">
        <v>5484</v>
      </c>
      <c r="B1847" s="41" t="str">
        <f>_xlfn.TEXTAFTER(_xlfn.TEXTBEFORE(tblCost[[#This Row],[RequirementID]],".",-2),"cost.")</f>
        <v>craftifact.trigonometry</v>
      </c>
      <c r="C1847" s="41" t="str">
        <f>_xlfn.XLOOKUP(tblCost[[#This Row],[TargetID]],tblTargets[TargetID],tblTargets[DisplayName],"")</f>
        <v>Trigonometry</v>
      </c>
      <c r="D1847" s="41" t="str">
        <f>_xlfn.XLOOKUP(tblCost[[#This Row],[TargetID]],tblTargets[TargetID],tblTargets[TargetType],"")</f>
        <v>CRAFTIFACT</v>
      </c>
      <c r="E1847" s="41" t="s">
        <v>696</v>
      </c>
      <c r="F1847" s="62" t="str">
        <f>RIGHT(tblCost[[#This Row],[RequirementID]],1)</f>
        <v>1</v>
      </c>
      <c r="G1847" s="41">
        <v>60</v>
      </c>
      <c r="H1847" t="b">
        <f>COUNTIFS(tblCostChecklist[RequirementID],tblCost[[#This Row],[RequirementID]],tblCostChecklist[PlayerPaid],TRUE)&gt;0</f>
        <v>0</v>
      </c>
      <c r="I1847" s="41">
        <f>COUNTIF(tblCost[TargetID],tblCost[[#This Row],[TargetID]])</f>
        <v>2</v>
      </c>
      <c r="J1847" s="41">
        <f>COUNTIFS(tblCost[TargetID],tblCost[[#This Row],[TargetID]],tblCost[PlayerPaid],TRUE)</f>
        <v>0</v>
      </c>
      <c r="K1847" s="41">
        <f>tblCost[[#This Row],[TargetRequirements]]-tblCost[[#This Row],[CompletedRequirements]]</f>
        <v>2</v>
      </c>
      <c r="L1847" s="41" t="b">
        <f>tblCost[[#This Row],[RemainingRequirements]]=0</f>
        <v>0</v>
      </c>
      <c r="M1847" s="43">
        <f>IF(tblCost[[#This Row],[TargetRequirements]]=0,0,tblCost[[#This Row],[CompletedRequirements]]/tblCost[[#This Row],[TargetRequirements]])</f>
        <v>0</v>
      </c>
    </row>
    <row r="1848" spans="1:13">
      <c r="A1848" s="41" t="s">
        <v>5485</v>
      </c>
      <c r="B1848" s="41" t="str">
        <f>_xlfn.TEXTAFTER(_xlfn.TEXTBEFORE(tblCost[[#This Row],[RequirementID]],".",-2),"cost.")</f>
        <v>craftifact.trigonometry</v>
      </c>
      <c r="C1848" s="41" t="str">
        <f>_xlfn.XLOOKUP(tblCost[[#This Row],[TargetID]],tblTargets[TargetID],tblTargets[DisplayName],"")</f>
        <v>Trigonometry</v>
      </c>
      <c r="D1848" s="41" t="str">
        <f>_xlfn.XLOOKUP(tblCost[[#This Row],[TargetID]],tblTargets[TargetID],tblTargets[TargetType],"")</f>
        <v>CRAFTIFACT</v>
      </c>
      <c r="E1848" s="41" t="s">
        <v>710</v>
      </c>
      <c r="F1848" s="62" t="str">
        <f>RIGHT(tblCost[[#This Row],[RequirementID]],1)</f>
        <v>1</v>
      </c>
      <c r="G1848" s="41">
        <v>1</v>
      </c>
      <c r="H1848" t="b">
        <f>COUNTIFS(tblCostChecklist[RequirementID],tblCost[[#This Row],[RequirementID]],tblCostChecklist[PlayerPaid],TRUE)&gt;0</f>
        <v>0</v>
      </c>
      <c r="I1848" s="41">
        <f>COUNTIF(tblCost[TargetID],tblCost[[#This Row],[TargetID]])</f>
        <v>2</v>
      </c>
      <c r="J1848" s="41">
        <f>COUNTIFS(tblCost[TargetID],tblCost[[#This Row],[TargetID]],tblCost[PlayerPaid],TRUE)</f>
        <v>0</v>
      </c>
      <c r="K1848" s="41">
        <f>tblCost[[#This Row],[TargetRequirements]]-tblCost[[#This Row],[CompletedRequirements]]</f>
        <v>2</v>
      </c>
      <c r="L1848" s="41" t="b">
        <f>tblCost[[#This Row],[RemainingRequirements]]=0</f>
        <v>0</v>
      </c>
      <c r="M1848" s="43">
        <f>IF(tblCost[[#This Row],[TargetRequirements]]=0,0,tblCost[[#This Row],[CompletedRequirements]]/tblCost[[#This Row],[TargetRequirements]])</f>
        <v>0</v>
      </c>
    </row>
    <row r="1849" spans="1:13">
      <c r="A1849" s="41" t="s">
        <v>5814</v>
      </c>
      <c r="B1849" s="41" t="str">
        <f>_xlfn.TEXTAFTER(_xlfn.TEXTBEFORE(tblCost[[#This Row],[RequirementID]],".",-2),"cost.")</f>
        <v>quest.ahead_of_time_chapter_1.finished</v>
      </c>
      <c r="C1849" s="41" t="str">
        <f>_xlfn.XLOOKUP(tblCost[[#This Row],[TargetID]],tblTargets[TargetID],tblTargets[DisplayName],"")</f>
        <v>Ahead of Time Chapter 1 Finished</v>
      </c>
      <c r="D1849" s="41" t="str">
        <f>_xlfn.XLOOKUP(tblCost[[#This Row],[TargetID]],tblTargets[TargetID],tblTargets[TargetType],"")</f>
        <v>QUEST</v>
      </c>
      <c r="E1849" s="41" t="s">
        <v>5815</v>
      </c>
      <c r="F1849" s="62" t="str">
        <f>RIGHT(tblCost[[#This Row],[RequirementID]],1)</f>
        <v>1</v>
      </c>
      <c r="G1849" s="41">
        <v>1</v>
      </c>
      <c r="H1849" t="b">
        <f>COUNTIFS(tblCostChecklist[RequirementID],tblCost[[#This Row],[RequirementID]],tblCostChecklist[PlayerPaid],TRUE)&gt;0</f>
        <v>0</v>
      </c>
      <c r="I1849" s="41">
        <f>COUNTIF(tblCost[TargetID],tblCost[[#This Row],[TargetID]])</f>
        <v>7</v>
      </c>
      <c r="J1849" s="41">
        <f>COUNTIFS(tblCost[TargetID],tblCost[[#This Row],[TargetID]],tblCost[PlayerPaid],TRUE)</f>
        <v>0</v>
      </c>
      <c r="K1849" s="41">
        <f>tblCost[[#This Row],[TargetRequirements]]-tblCost[[#This Row],[CompletedRequirements]]</f>
        <v>7</v>
      </c>
      <c r="L1849" s="41" t="b">
        <f>tblCost[[#This Row],[RemainingRequirements]]=0</f>
        <v>0</v>
      </c>
      <c r="M1849" s="43">
        <f>IF(tblCost[[#This Row],[TargetRequirements]]=0,0,tblCost[[#This Row],[CompletedRequirements]]/tblCost[[#This Row],[TargetRequirements]])</f>
        <v>0</v>
      </c>
    </row>
    <row r="1850" spans="1:13">
      <c r="A1850" s="41" t="s">
        <v>5816</v>
      </c>
      <c r="B1850" s="41" t="str">
        <f>_xlfn.TEXTAFTER(_xlfn.TEXTBEFORE(tblCost[[#This Row],[RequirementID]],".",-2),"cost.")</f>
        <v>quest.ahead_of_time_chapter_1.finished</v>
      </c>
      <c r="C1850" s="41" t="str">
        <f>_xlfn.XLOOKUP(tblCost[[#This Row],[TargetID]],tblTargets[TargetID],tblTargets[DisplayName],"")</f>
        <v>Ahead of Time Chapter 1 Finished</v>
      </c>
      <c r="D1850" s="41" t="str">
        <f>_xlfn.XLOOKUP(tblCost[[#This Row],[TargetID]],tblTargets[TargetID],tblTargets[TargetType],"")</f>
        <v>QUEST</v>
      </c>
      <c r="E1850" s="41" t="s">
        <v>939</v>
      </c>
      <c r="F1850" s="62" t="str">
        <f>RIGHT(tblCost[[#This Row],[RequirementID]],1)</f>
        <v>1</v>
      </c>
      <c r="G1850" s="41">
        <v>1</v>
      </c>
      <c r="H1850" t="b">
        <f>COUNTIFS(tblCostChecklist[RequirementID],tblCost[[#This Row],[RequirementID]],tblCostChecklist[PlayerPaid],TRUE)&gt;0</f>
        <v>0</v>
      </c>
      <c r="I1850" s="41">
        <f>COUNTIF(tblCost[TargetID],tblCost[[#This Row],[TargetID]])</f>
        <v>7</v>
      </c>
      <c r="J1850" s="41">
        <f>COUNTIFS(tblCost[TargetID],tblCost[[#This Row],[TargetID]],tblCost[PlayerPaid],TRUE)</f>
        <v>0</v>
      </c>
      <c r="K1850" s="41">
        <f>tblCost[[#This Row],[TargetRequirements]]-tblCost[[#This Row],[CompletedRequirements]]</f>
        <v>7</v>
      </c>
      <c r="L1850" s="41" t="b">
        <f>tblCost[[#This Row],[RemainingRequirements]]=0</f>
        <v>0</v>
      </c>
      <c r="M1850" s="43">
        <f>IF(tblCost[[#This Row],[TargetRequirements]]=0,0,tblCost[[#This Row],[CompletedRequirements]]/tblCost[[#This Row],[TargetRequirements]])</f>
        <v>0</v>
      </c>
    </row>
    <row r="1851" spans="1:13">
      <c r="A1851" s="41" t="s">
        <v>5817</v>
      </c>
      <c r="B1851" s="41" t="str">
        <f>_xlfn.TEXTAFTER(_xlfn.TEXTBEFORE(tblCost[[#This Row],[RequirementID]],".",-2),"cost.")</f>
        <v>quest.ahead_of_time_chapter_1.finished</v>
      </c>
      <c r="C1851" s="41" t="str">
        <f>_xlfn.XLOOKUP(tblCost[[#This Row],[TargetID]],tblTargets[TargetID],tblTargets[DisplayName],"")</f>
        <v>Ahead of Time Chapter 1 Finished</v>
      </c>
      <c r="D1851" s="41" t="str">
        <f>_xlfn.XLOOKUP(tblCost[[#This Row],[TargetID]],tblTargets[TargetID],tblTargets[TargetType],"")</f>
        <v>QUEST</v>
      </c>
      <c r="E1851" s="41" t="s">
        <v>5818</v>
      </c>
      <c r="F1851" s="62" t="str">
        <f>RIGHT(tblCost[[#This Row],[RequirementID]],1)</f>
        <v>1</v>
      </c>
      <c r="G1851" s="41">
        <v>1</v>
      </c>
      <c r="H1851" t="b">
        <f>COUNTIFS(tblCostChecklist[RequirementID],tblCost[[#This Row],[RequirementID]],tblCostChecklist[PlayerPaid],TRUE)&gt;0</f>
        <v>0</v>
      </c>
      <c r="I1851" s="41">
        <f>COUNTIF(tblCost[TargetID],tblCost[[#This Row],[TargetID]])</f>
        <v>7</v>
      </c>
      <c r="J1851" s="41">
        <f>COUNTIFS(tblCost[TargetID],tblCost[[#This Row],[TargetID]],tblCost[PlayerPaid],TRUE)</f>
        <v>0</v>
      </c>
      <c r="K1851" s="41">
        <f>tblCost[[#This Row],[TargetRequirements]]-tblCost[[#This Row],[CompletedRequirements]]</f>
        <v>7</v>
      </c>
      <c r="L1851" s="41" t="b">
        <f>tblCost[[#This Row],[RemainingRequirements]]=0</f>
        <v>0</v>
      </c>
      <c r="M1851" s="43">
        <f>IF(tblCost[[#This Row],[TargetRequirements]]=0,0,tblCost[[#This Row],[CompletedRequirements]]/tblCost[[#This Row],[TargetRequirements]])</f>
        <v>0</v>
      </c>
    </row>
    <row r="1852" spans="1:13">
      <c r="A1852" s="41" t="s">
        <v>5819</v>
      </c>
      <c r="B1852" s="41" t="str">
        <f>_xlfn.TEXTAFTER(_xlfn.TEXTBEFORE(tblCost[[#This Row],[RequirementID]],".",-2),"cost.")</f>
        <v>quest.ahead_of_time_chapter_1.finished</v>
      </c>
      <c r="C1852" s="41" t="str">
        <f>_xlfn.XLOOKUP(tblCost[[#This Row],[TargetID]],tblTargets[TargetID],tblTargets[DisplayName],"")</f>
        <v>Ahead of Time Chapter 1 Finished</v>
      </c>
      <c r="D1852" s="41" t="str">
        <f>_xlfn.XLOOKUP(tblCost[[#This Row],[TargetID]],tblTargets[TargetID],tblTargets[TargetType],"")</f>
        <v>QUEST</v>
      </c>
      <c r="E1852" s="41" t="s">
        <v>1821</v>
      </c>
      <c r="F1852" s="62" t="str">
        <f>RIGHT(tblCost[[#This Row],[RequirementID]],1)</f>
        <v>1</v>
      </c>
      <c r="G1852" s="41">
        <v>1</v>
      </c>
      <c r="H1852" t="b">
        <f>COUNTIFS(tblCostChecklist[RequirementID],tblCost[[#This Row],[RequirementID]],tblCostChecklist[PlayerPaid],TRUE)&gt;0</f>
        <v>0</v>
      </c>
      <c r="I1852" s="41">
        <f>COUNTIF(tblCost[TargetID],tblCost[[#This Row],[TargetID]])</f>
        <v>7</v>
      </c>
      <c r="J1852" s="41">
        <f>COUNTIFS(tblCost[TargetID],tblCost[[#This Row],[TargetID]],tblCost[PlayerPaid],TRUE)</f>
        <v>0</v>
      </c>
      <c r="K1852" s="41">
        <f>tblCost[[#This Row],[TargetRequirements]]-tblCost[[#This Row],[CompletedRequirements]]</f>
        <v>7</v>
      </c>
      <c r="L1852" s="41" t="b">
        <f>tblCost[[#This Row],[RemainingRequirements]]=0</f>
        <v>0</v>
      </c>
      <c r="M1852" s="43">
        <f>IF(tblCost[[#This Row],[TargetRequirements]]=0,0,tblCost[[#This Row],[CompletedRequirements]]/tblCost[[#This Row],[TargetRequirements]])</f>
        <v>0</v>
      </c>
    </row>
    <row r="1853" spans="1:13">
      <c r="A1853" s="41" t="s">
        <v>5820</v>
      </c>
      <c r="B1853" s="41" t="str">
        <f>_xlfn.TEXTAFTER(_xlfn.TEXTBEFORE(tblCost[[#This Row],[RequirementID]],".",-2),"cost.")</f>
        <v>quest.ahead_of_time_chapter_1.finished</v>
      </c>
      <c r="C1853" s="41" t="str">
        <f>_xlfn.XLOOKUP(tblCost[[#This Row],[TargetID]],tblTargets[TargetID],tblTargets[DisplayName],"")</f>
        <v>Ahead of Time Chapter 1 Finished</v>
      </c>
      <c r="D1853" s="41" t="str">
        <f>_xlfn.XLOOKUP(tblCost[[#This Row],[TargetID]],tblTargets[TargetID],tblTargets[TargetType],"")</f>
        <v>QUEST</v>
      </c>
      <c r="E1853" s="41" t="s">
        <v>884</v>
      </c>
      <c r="F1853" s="62" t="str">
        <f>RIGHT(tblCost[[#This Row],[RequirementID]],1)</f>
        <v>1</v>
      </c>
      <c r="G1853" s="41">
        <v>1</v>
      </c>
      <c r="H1853" t="b">
        <f>COUNTIFS(tblCostChecklist[RequirementID],tblCost[[#This Row],[RequirementID]],tblCostChecklist[PlayerPaid],TRUE)&gt;0</f>
        <v>0</v>
      </c>
      <c r="I1853" s="41">
        <f>COUNTIF(tblCost[TargetID],tblCost[[#This Row],[TargetID]])</f>
        <v>7</v>
      </c>
      <c r="J1853" s="41">
        <f>COUNTIFS(tblCost[TargetID],tblCost[[#This Row],[TargetID]],tblCost[PlayerPaid],TRUE)</f>
        <v>0</v>
      </c>
      <c r="K1853" s="41">
        <f>tblCost[[#This Row],[TargetRequirements]]-tblCost[[#This Row],[CompletedRequirements]]</f>
        <v>7</v>
      </c>
      <c r="L1853" s="41" t="b">
        <f>tblCost[[#This Row],[RemainingRequirements]]=0</f>
        <v>0</v>
      </c>
      <c r="M1853" s="43">
        <f>IF(tblCost[[#This Row],[TargetRequirements]]=0,0,tblCost[[#This Row],[CompletedRequirements]]/tblCost[[#This Row],[TargetRequirements]])</f>
        <v>0</v>
      </c>
    </row>
    <row r="1854" spans="1:13">
      <c r="A1854" s="41" t="s">
        <v>5821</v>
      </c>
      <c r="B1854" s="41" t="str">
        <f>_xlfn.TEXTAFTER(_xlfn.TEXTBEFORE(tblCost[[#This Row],[RequirementID]],".",-2),"cost.")</f>
        <v>quest.ahead_of_time_chapter_1.finished</v>
      </c>
      <c r="C1854" s="41" t="str">
        <f>_xlfn.XLOOKUP(tblCost[[#This Row],[TargetID]],tblTargets[TargetID],tblTargets[DisplayName],"")</f>
        <v>Ahead of Time Chapter 1 Finished</v>
      </c>
      <c r="D1854" s="41" t="str">
        <f>_xlfn.XLOOKUP(tblCost[[#This Row],[TargetID]],tblTargets[TargetID],tblTargets[TargetType],"")</f>
        <v>QUEST</v>
      </c>
      <c r="E1854" s="41" t="s">
        <v>5822</v>
      </c>
      <c r="F1854" s="62" t="str">
        <f>RIGHT(tblCost[[#This Row],[RequirementID]],1)</f>
        <v>1</v>
      </c>
      <c r="G1854" s="41">
        <v>1</v>
      </c>
      <c r="H1854" t="b">
        <f>COUNTIFS(tblCostChecklist[RequirementID],tblCost[[#This Row],[RequirementID]],tblCostChecklist[PlayerPaid],TRUE)&gt;0</f>
        <v>0</v>
      </c>
      <c r="I1854" s="41">
        <f>COUNTIF(tblCost[TargetID],tblCost[[#This Row],[TargetID]])</f>
        <v>7</v>
      </c>
      <c r="J1854" s="41">
        <f>COUNTIFS(tblCost[TargetID],tblCost[[#This Row],[TargetID]],tblCost[PlayerPaid],TRUE)</f>
        <v>0</v>
      </c>
      <c r="K1854" s="41">
        <f>tblCost[[#This Row],[TargetRequirements]]-tblCost[[#This Row],[CompletedRequirements]]</f>
        <v>7</v>
      </c>
      <c r="L1854" s="41" t="b">
        <f>tblCost[[#This Row],[RemainingRequirements]]=0</f>
        <v>0</v>
      </c>
      <c r="M1854" s="43">
        <f>IF(tblCost[[#This Row],[TargetRequirements]]=0,0,tblCost[[#This Row],[CompletedRequirements]]/tblCost[[#This Row],[TargetRequirements]])</f>
        <v>0</v>
      </c>
    </row>
    <row r="1855" spans="1:13">
      <c r="A1855" s="41" t="s">
        <v>5823</v>
      </c>
      <c r="B1855" s="41" t="str">
        <f>_xlfn.TEXTAFTER(_xlfn.TEXTBEFORE(tblCost[[#This Row],[RequirementID]],".",-2),"cost.")</f>
        <v>quest.ahead_of_time_chapter_1.finished</v>
      </c>
      <c r="C1855" s="41" t="str">
        <f>_xlfn.XLOOKUP(tblCost[[#This Row],[TargetID]],tblTargets[TargetID],tblTargets[DisplayName],"")</f>
        <v>Ahead of Time Chapter 1 Finished</v>
      </c>
      <c r="D1855" s="41" t="str">
        <f>_xlfn.XLOOKUP(tblCost[[#This Row],[TargetID]],tblTargets[TargetID],tblTargets[TargetType],"")</f>
        <v>QUEST</v>
      </c>
      <c r="E1855" s="41" t="s">
        <v>5824</v>
      </c>
      <c r="F1855" s="62" t="str">
        <f>RIGHT(tblCost[[#This Row],[RequirementID]],1)</f>
        <v>1</v>
      </c>
      <c r="G1855" s="41">
        <v>2</v>
      </c>
      <c r="H1855" t="b">
        <f>COUNTIFS(tblCostChecklist[RequirementID],tblCost[[#This Row],[RequirementID]],tblCostChecklist[PlayerPaid],TRUE)&gt;0</f>
        <v>0</v>
      </c>
      <c r="I1855" s="41">
        <f>COUNTIF(tblCost[TargetID],tblCost[[#This Row],[TargetID]])</f>
        <v>7</v>
      </c>
      <c r="J1855" s="41">
        <f>COUNTIFS(tblCost[TargetID],tblCost[[#This Row],[TargetID]],tblCost[PlayerPaid],TRUE)</f>
        <v>0</v>
      </c>
      <c r="K1855" s="41">
        <f>tblCost[[#This Row],[TargetRequirements]]-tblCost[[#This Row],[CompletedRequirements]]</f>
        <v>7</v>
      </c>
      <c r="L1855" s="41" t="b">
        <f>tblCost[[#This Row],[RemainingRequirements]]=0</f>
        <v>0</v>
      </c>
      <c r="M1855" s="43">
        <f>IF(tblCost[[#This Row],[TargetRequirements]]=0,0,tblCost[[#This Row],[CompletedRequirements]]/tblCost[[#This Row],[TargetRequirements]])</f>
        <v>0</v>
      </c>
    </row>
    <row r="1856" spans="1:13">
      <c r="A1856" s="41" t="s">
        <v>5825</v>
      </c>
      <c r="B1856" s="41" t="str">
        <f>_xlfn.TEXTAFTER(_xlfn.TEXTBEFORE(tblCost[[#This Row],[RequirementID]],".",-2),"cost.")</f>
        <v>quest.culinary_battle.finished</v>
      </c>
      <c r="C1856" s="41" t="str">
        <f>_xlfn.XLOOKUP(tblCost[[#This Row],[TargetID]],tblTargets[TargetID],tblTargets[DisplayName],"")</f>
        <v>Culinary Battle Finished</v>
      </c>
      <c r="D1856" s="41" t="str">
        <f>_xlfn.XLOOKUP(tblCost[[#This Row],[TargetID]],tblTargets[TargetID],tblTargets[TargetType],"")</f>
        <v>QUEST</v>
      </c>
      <c r="E1856" s="41" t="s">
        <v>943</v>
      </c>
      <c r="F1856" s="62" t="str">
        <f>RIGHT(tblCost[[#This Row],[RequirementID]],1)</f>
        <v>1</v>
      </c>
      <c r="G1856" s="41">
        <v>2</v>
      </c>
      <c r="H1856" t="b">
        <f>COUNTIFS(tblCostChecklist[RequirementID],tblCost[[#This Row],[RequirementID]],tblCostChecklist[PlayerPaid],TRUE)&gt;0</f>
        <v>0</v>
      </c>
      <c r="I1856" s="41">
        <f>COUNTIF(tblCost[TargetID],tblCost[[#This Row],[TargetID]])</f>
        <v>14</v>
      </c>
      <c r="J1856" s="41">
        <f>COUNTIFS(tblCost[TargetID],tblCost[[#This Row],[TargetID]],tblCost[PlayerPaid],TRUE)</f>
        <v>0</v>
      </c>
      <c r="K1856" s="41">
        <f>tblCost[[#This Row],[TargetRequirements]]-tblCost[[#This Row],[CompletedRequirements]]</f>
        <v>14</v>
      </c>
      <c r="L1856" s="41" t="b">
        <f>tblCost[[#This Row],[RemainingRequirements]]=0</f>
        <v>0</v>
      </c>
      <c r="M1856" s="43">
        <f>IF(tblCost[[#This Row],[TargetRequirements]]=0,0,tblCost[[#This Row],[CompletedRequirements]]/tblCost[[#This Row],[TargetRequirements]])</f>
        <v>0</v>
      </c>
    </row>
    <row r="1857" spans="1:13">
      <c r="A1857" s="41" t="s">
        <v>5826</v>
      </c>
      <c r="B1857" s="41" t="str">
        <f>_xlfn.TEXTAFTER(_xlfn.TEXTBEFORE(tblCost[[#This Row],[RequirementID]],".",-2),"cost.")</f>
        <v>quest.culinary_battle.finished</v>
      </c>
      <c r="C1857" s="41" t="str">
        <f>_xlfn.XLOOKUP(tblCost[[#This Row],[TargetID]],tblTargets[TargetID],tblTargets[DisplayName],"")</f>
        <v>Culinary Battle Finished</v>
      </c>
      <c r="D1857" s="41" t="str">
        <f>_xlfn.XLOOKUP(tblCost[[#This Row],[TargetID]],tblTargets[TargetID],tblTargets[TargetType],"")</f>
        <v>QUEST</v>
      </c>
      <c r="E1857" s="41" t="s">
        <v>933</v>
      </c>
      <c r="F1857" s="62" t="str">
        <f>RIGHT(tblCost[[#This Row],[RequirementID]],1)</f>
        <v>1</v>
      </c>
      <c r="G1857" s="41">
        <v>2</v>
      </c>
      <c r="H1857" t="b">
        <f>COUNTIFS(tblCostChecklist[RequirementID],tblCost[[#This Row],[RequirementID]],tblCostChecklist[PlayerPaid],TRUE)&gt;0</f>
        <v>0</v>
      </c>
      <c r="I1857" s="41">
        <f>COUNTIF(tblCost[TargetID],tblCost[[#This Row],[TargetID]])</f>
        <v>14</v>
      </c>
      <c r="J1857" s="41">
        <f>COUNTIFS(tblCost[TargetID],tblCost[[#This Row],[TargetID]],tblCost[PlayerPaid],TRUE)</f>
        <v>0</v>
      </c>
      <c r="K1857" s="41">
        <f>tblCost[[#This Row],[TargetRequirements]]-tblCost[[#This Row],[CompletedRequirements]]</f>
        <v>14</v>
      </c>
      <c r="L1857" s="41" t="b">
        <f>tblCost[[#This Row],[RemainingRequirements]]=0</f>
        <v>0</v>
      </c>
      <c r="M1857" s="43">
        <f>IF(tblCost[[#This Row],[TargetRequirements]]=0,0,tblCost[[#This Row],[CompletedRequirements]]/tblCost[[#This Row],[TargetRequirements]])</f>
        <v>0</v>
      </c>
    </row>
    <row r="1858" spans="1:13">
      <c r="A1858" s="41" t="s">
        <v>5827</v>
      </c>
      <c r="B1858" s="41" t="str">
        <f>_xlfn.TEXTAFTER(_xlfn.TEXTBEFORE(tblCost[[#This Row],[RequirementID]],".",-2),"cost.")</f>
        <v>quest.culinary_battle.finished</v>
      </c>
      <c r="C1858" s="41" t="str">
        <f>_xlfn.XLOOKUP(tblCost[[#This Row],[TargetID]],tblTargets[TargetID],tblTargets[DisplayName],"")</f>
        <v>Culinary Battle Finished</v>
      </c>
      <c r="D1858" s="41" t="str">
        <f>_xlfn.XLOOKUP(tblCost[[#This Row],[TargetID]],tblTargets[TargetID],tblTargets[TargetType],"")</f>
        <v>QUEST</v>
      </c>
      <c r="E1858" s="41" t="s">
        <v>5828</v>
      </c>
      <c r="F1858" s="62" t="str">
        <f>RIGHT(tblCost[[#This Row],[RequirementID]],1)</f>
        <v>1</v>
      </c>
      <c r="G1858" s="41">
        <v>2</v>
      </c>
      <c r="H1858" t="b">
        <f>COUNTIFS(tblCostChecklist[RequirementID],tblCost[[#This Row],[RequirementID]],tblCostChecklist[PlayerPaid],TRUE)&gt;0</f>
        <v>0</v>
      </c>
      <c r="I1858" s="41">
        <f>COUNTIF(tblCost[TargetID],tblCost[[#This Row],[TargetID]])</f>
        <v>14</v>
      </c>
      <c r="J1858" s="41">
        <f>COUNTIFS(tblCost[TargetID],tblCost[[#This Row],[TargetID]],tblCost[PlayerPaid],TRUE)</f>
        <v>0</v>
      </c>
      <c r="K1858" s="41">
        <f>tblCost[[#This Row],[TargetRequirements]]-tblCost[[#This Row],[CompletedRequirements]]</f>
        <v>14</v>
      </c>
      <c r="L1858" s="41" t="b">
        <f>tblCost[[#This Row],[RemainingRequirements]]=0</f>
        <v>0</v>
      </c>
      <c r="M1858" s="43">
        <f>IF(tblCost[[#This Row],[TargetRequirements]]=0,0,tblCost[[#This Row],[CompletedRequirements]]/tblCost[[#This Row],[TargetRequirements]])</f>
        <v>0</v>
      </c>
    </row>
    <row r="1859" spans="1:13">
      <c r="A1859" s="41" t="s">
        <v>5829</v>
      </c>
      <c r="B1859" s="41" t="str">
        <f>_xlfn.TEXTAFTER(_xlfn.TEXTBEFORE(tblCost[[#This Row],[RequirementID]],".",-2),"cost.")</f>
        <v>quest.culinary_battle.finished</v>
      </c>
      <c r="C1859" s="41" t="str">
        <f>_xlfn.XLOOKUP(tblCost[[#This Row],[TargetID]],tblTargets[TargetID],tblTargets[DisplayName],"")</f>
        <v>Culinary Battle Finished</v>
      </c>
      <c r="D1859" s="41" t="str">
        <f>_xlfn.XLOOKUP(tblCost[[#This Row],[TargetID]],tblTargets[TargetID],tblTargets[TargetType],"")</f>
        <v>QUEST</v>
      </c>
      <c r="E1859" s="41" t="s">
        <v>660</v>
      </c>
      <c r="F1859" s="62" t="str">
        <f>RIGHT(tblCost[[#This Row],[RequirementID]],1)</f>
        <v>1</v>
      </c>
      <c r="G1859" s="41">
        <v>2</v>
      </c>
      <c r="H1859" t="b">
        <f>COUNTIFS(tblCostChecklist[RequirementID],tblCost[[#This Row],[RequirementID]],tblCostChecklist[PlayerPaid],TRUE)&gt;0</f>
        <v>0</v>
      </c>
      <c r="I1859" s="41">
        <f>COUNTIF(tblCost[TargetID],tblCost[[#This Row],[TargetID]])</f>
        <v>14</v>
      </c>
      <c r="J1859" s="41">
        <f>COUNTIFS(tblCost[TargetID],tblCost[[#This Row],[TargetID]],tblCost[PlayerPaid],TRUE)</f>
        <v>0</v>
      </c>
      <c r="K1859" s="41">
        <f>tblCost[[#This Row],[TargetRequirements]]-tblCost[[#This Row],[CompletedRequirements]]</f>
        <v>14</v>
      </c>
      <c r="L1859" s="41" t="b">
        <f>tblCost[[#This Row],[RemainingRequirements]]=0</f>
        <v>0</v>
      </c>
      <c r="M1859" s="43">
        <f>IF(tblCost[[#This Row],[TargetRequirements]]=0,0,tblCost[[#This Row],[CompletedRequirements]]/tblCost[[#This Row],[TargetRequirements]])</f>
        <v>0</v>
      </c>
    </row>
    <row r="1860" spans="1:13">
      <c r="A1860" s="41" t="s">
        <v>5830</v>
      </c>
      <c r="B1860" s="41" t="str">
        <f>_xlfn.TEXTAFTER(_xlfn.TEXTBEFORE(tblCost[[#This Row],[RequirementID]],".",-2),"cost.")</f>
        <v>quest.culinary_battle.finished</v>
      </c>
      <c r="C1860" s="41" t="str">
        <f>_xlfn.XLOOKUP(tblCost[[#This Row],[TargetID]],tblTargets[TargetID],tblTargets[DisplayName],"")</f>
        <v>Culinary Battle Finished</v>
      </c>
      <c r="D1860" s="41" t="str">
        <f>_xlfn.XLOOKUP(tblCost[[#This Row],[TargetID]],tblTargets[TargetID],tblTargets[TargetType],"")</f>
        <v>QUEST</v>
      </c>
      <c r="E1860" s="41" t="s">
        <v>1805</v>
      </c>
      <c r="F1860" s="62" t="str">
        <f>RIGHT(tblCost[[#This Row],[RequirementID]],1)</f>
        <v>1</v>
      </c>
      <c r="G1860" s="41">
        <v>2</v>
      </c>
      <c r="H1860" t="b">
        <f>COUNTIFS(tblCostChecklist[RequirementID],tblCost[[#This Row],[RequirementID]],tblCostChecklist[PlayerPaid],TRUE)&gt;0</f>
        <v>0</v>
      </c>
      <c r="I1860" s="41">
        <f>COUNTIF(tblCost[TargetID],tblCost[[#This Row],[TargetID]])</f>
        <v>14</v>
      </c>
      <c r="J1860" s="41">
        <f>COUNTIFS(tblCost[TargetID],tblCost[[#This Row],[TargetID]],tblCost[PlayerPaid],TRUE)</f>
        <v>0</v>
      </c>
      <c r="K1860" s="41">
        <f>tblCost[[#This Row],[TargetRequirements]]-tblCost[[#This Row],[CompletedRequirements]]</f>
        <v>14</v>
      </c>
      <c r="L1860" s="41" t="b">
        <f>tblCost[[#This Row],[RemainingRequirements]]=0</f>
        <v>0</v>
      </c>
      <c r="M1860" s="43">
        <f>IF(tblCost[[#This Row],[TargetRequirements]]=0,0,tblCost[[#This Row],[CompletedRequirements]]/tblCost[[#This Row],[TargetRequirements]])</f>
        <v>0</v>
      </c>
    </row>
    <row r="1861" spans="1:13">
      <c r="A1861" s="41" t="s">
        <v>5831</v>
      </c>
      <c r="B1861" s="41" t="str">
        <f>_xlfn.TEXTAFTER(_xlfn.TEXTBEFORE(tblCost[[#This Row],[RequirementID]],".",-2),"cost.")</f>
        <v>quest.culinary_battle.finished</v>
      </c>
      <c r="C1861" s="41" t="str">
        <f>_xlfn.XLOOKUP(tblCost[[#This Row],[TargetID]],tblTargets[TargetID],tblTargets[DisplayName],"")</f>
        <v>Culinary Battle Finished</v>
      </c>
      <c r="D1861" s="41" t="str">
        <f>_xlfn.XLOOKUP(tblCost[[#This Row],[TargetID]],tblTargets[TargetID],tblTargets[TargetType],"")</f>
        <v>QUEST</v>
      </c>
      <c r="E1861" s="41" t="s">
        <v>718</v>
      </c>
      <c r="F1861" s="62" t="str">
        <f>RIGHT(tblCost[[#This Row],[RequirementID]],1)</f>
        <v>1</v>
      </c>
      <c r="G1861" s="41">
        <v>2</v>
      </c>
      <c r="H1861" t="b">
        <f>COUNTIFS(tblCostChecklist[RequirementID],tblCost[[#This Row],[RequirementID]],tblCostChecklist[PlayerPaid],TRUE)&gt;0</f>
        <v>0</v>
      </c>
      <c r="I1861" s="41">
        <f>COUNTIF(tblCost[TargetID],tblCost[[#This Row],[TargetID]])</f>
        <v>14</v>
      </c>
      <c r="J1861" s="41">
        <f>COUNTIFS(tblCost[TargetID],tblCost[[#This Row],[TargetID]],tblCost[PlayerPaid],TRUE)</f>
        <v>0</v>
      </c>
      <c r="K1861" s="41">
        <f>tblCost[[#This Row],[TargetRequirements]]-tblCost[[#This Row],[CompletedRequirements]]</f>
        <v>14</v>
      </c>
      <c r="L1861" s="41" t="b">
        <f>tblCost[[#This Row],[RemainingRequirements]]=0</f>
        <v>0</v>
      </c>
      <c r="M1861" s="43">
        <f>IF(tblCost[[#This Row],[TargetRequirements]]=0,0,tblCost[[#This Row],[CompletedRequirements]]/tblCost[[#This Row],[TargetRequirements]])</f>
        <v>0</v>
      </c>
    </row>
    <row r="1862" spans="1:13">
      <c r="A1862" s="41" t="s">
        <v>5832</v>
      </c>
      <c r="B1862" s="41" t="str">
        <f>_xlfn.TEXTAFTER(_xlfn.TEXTBEFORE(tblCost[[#This Row],[RequirementID]],".",-2),"cost.")</f>
        <v>quest.culinary_battle.finished</v>
      </c>
      <c r="C1862" s="41" t="str">
        <f>_xlfn.XLOOKUP(tblCost[[#This Row],[TargetID]],tblTargets[TargetID],tblTargets[DisplayName],"")</f>
        <v>Culinary Battle Finished</v>
      </c>
      <c r="D1862" s="41" t="str">
        <f>_xlfn.XLOOKUP(tblCost[[#This Row],[TargetID]],tblTargets[TargetID],tblTargets[TargetType],"")</f>
        <v>QUEST</v>
      </c>
      <c r="E1862" s="41" t="s">
        <v>704</v>
      </c>
      <c r="F1862" s="62" t="str">
        <f>RIGHT(tblCost[[#This Row],[RequirementID]],1)</f>
        <v>1</v>
      </c>
      <c r="G1862" s="41">
        <v>2</v>
      </c>
      <c r="H1862" t="b">
        <f>COUNTIFS(tblCostChecklist[RequirementID],tblCost[[#This Row],[RequirementID]],tblCostChecklist[PlayerPaid],TRUE)&gt;0</f>
        <v>0</v>
      </c>
      <c r="I1862" s="41">
        <f>COUNTIF(tblCost[TargetID],tblCost[[#This Row],[TargetID]])</f>
        <v>14</v>
      </c>
      <c r="J1862" s="41">
        <f>COUNTIFS(tblCost[TargetID],tblCost[[#This Row],[TargetID]],tblCost[PlayerPaid],TRUE)</f>
        <v>0</v>
      </c>
      <c r="K1862" s="41">
        <f>tblCost[[#This Row],[TargetRequirements]]-tblCost[[#This Row],[CompletedRequirements]]</f>
        <v>14</v>
      </c>
      <c r="L1862" s="41" t="b">
        <f>tblCost[[#This Row],[RemainingRequirements]]=0</f>
        <v>0</v>
      </c>
      <c r="M1862" s="43">
        <f>IF(tblCost[[#This Row],[TargetRequirements]]=0,0,tblCost[[#This Row],[CompletedRequirements]]/tblCost[[#This Row],[TargetRequirements]])</f>
        <v>0</v>
      </c>
    </row>
    <row r="1863" spans="1:13">
      <c r="A1863" s="41" t="s">
        <v>5833</v>
      </c>
      <c r="B1863" s="41" t="str">
        <f>_xlfn.TEXTAFTER(_xlfn.TEXTBEFORE(tblCost[[#This Row],[RequirementID]],".",-2),"cost.")</f>
        <v>quest.culinary_battle.finished</v>
      </c>
      <c r="C1863" s="41" t="str">
        <f>_xlfn.XLOOKUP(tblCost[[#This Row],[TargetID]],tblTargets[TargetID],tblTargets[DisplayName],"")</f>
        <v>Culinary Battle Finished</v>
      </c>
      <c r="D1863" s="41" t="str">
        <f>_xlfn.XLOOKUP(tblCost[[#This Row],[TargetID]],tblTargets[TargetID],tblTargets[TargetType],"")</f>
        <v>QUEST</v>
      </c>
      <c r="E1863" s="41" t="s">
        <v>5834</v>
      </c>
      <c r="F1863" s="62" t="str">
        <f>RIGHT(tblCost[[#This Row],[RequirementID]],1)</f>
        <v>1</v>
      </c>
      <c r="G1863" s="41">
        <v>2</v>
      </c>
      <c r="H1863" t="b">
        <f>COUNTIFS(tblCostChecklist[RequirementID],tblCost[[#This Row],[RequirementID]],tblCostChecklist[PlayerPaid],TRUE)&gt;0</f>
        <v>0</v>
      </c>
      <c r="I1863" s="41">
        <f>COUNTIF(tblCost[TargetID],tblCost[[#This Row],[TargetID]])</f>
        <v>14</v>
      </c>
      <c r="J1863" s="41">
        <f>COUNTIFS(tblCost[TargetID],tblCost[[#This Row],[TargetID]],tblCost[PlayerPaid],TRUE)</f>
        <v>0</v>
      </c>
      <c r="K1863" s="41">
        <f>tblCost[[#This Row],[TargetRequirements]]-tblCost[[#This Row],[CompletedRequirements]]</f>
        <v>14</v>
      </c>
      <c r="L1863" s="41" t="b">
        <f>tblCost[[#This Row],[RemainingRequirements]]=0</f>
        <v>0</v>
      </c>
      <c r="M1863" s="43">
        <f>IF(tblCost[[#This Row],[TargetRequirements]]=0,0,tblCost[[#This Row],[CompletedRequirements]]/tblCost[[#This Row],[TargetRequirements]])</f>
        <v>0</v>
      </c>
    </row>
    <row r="1864" spans="1:13">
      <c r="A1864" s="41" t="s">
        <v>5835</v>
      </c>
      <c r="B1864" s="41" t="str">
        <f>_xlfn.TEXTAFTER(_xlfn.TEXTBEFORE(tblCost[[#This Row],[RequirementID]],".",-2),"cost.")</f>
        <v>quest.culinary_battle.finished</v>
      </c>
      <c r="C1864" s="41" t="str">
        <f>_xlfn.XLOOKUP(tblCost[[#This Row],[TargetID]],tblTargets[TargetID],tblTargets[DisplayName],"")</f>
        <v>Culinary Battle Finished</v>
      </c>
      <c r="D1864" s="41" t="str">
        <f>_xlfn.XLOOKUP(tblCost[[#This Row],[TargetID]],tblTargets[TargetID],tblTargets[TargetType],"")</f>
        <v>QUEST</v>
      </c>
      <c r="E1864" s="41" t="s">
        <v>1793</v>
      </c>
      <c r="F1864" s="62" t="str">
        <f>RIGHT(tblCost[[#This Row],[RequirementID]],1)</f>
        <v>1</v>
      </c>
      <c r="G1864" s="41">
        <v>2</v>
      </c>
      <c r="H1864" t="b">
        <f>COUNTIFS(tblCostChecklist[RequirementID],tblCost[[#This Row],[RequirementID]],tblCostChecklist[PlayerPaid],TRUE)&gt;0</f>
        <v>0</v>
      </c>
      <c r="I1864" s="41">
        <f>COUNTIF(tblCost[TargetID],tblCost[[#This Row],[TargetID]])</f>
        <v>14</v>
      </c>
      <c r="J1864" s="41">
        <f>COUNTIFS(tblCost[TargetID],tblCost[[#This Row],[TargetID]],tblCost[PlayerPaid],TRUE)</f>
        <v>0</v>
      </c>
      <c r="K1864" s="41">
        <f>tblCost[[#This Row],[TargetRequirements]]-tblCost[[#This Row],[CompletedRequirements]]</f>
        <v>14</v>
      </c>
      <c r="L1864" s="41" t="b">
        <f>tblCost[[#This Row],[RemainingRequirements]]=0</f>
        <v>0</v>
      </c>
      <c r="M1864" s="43">
        <f>IF(tblCost[[#This Row],[TargetRequirements]]=0,0,tblCost[[#This Row],[CompletedRequirements]]/tblCost[[#This Row],[TargetRequirements]])</f>
        <v>0</v>
      </c>
    </row>
    <row r="1865" spans="1:13">
      <c r="A1865" s="41" t="s">
        <v>5836</v>
      </c>
      <c r="B1865" s="41" t="str">
        <f>_xlfn.TEXTAFTER(_xlfn.TEXTBEFORE(tblCost[[#This Row],[RequirementID]],".",-2),"cost.")</f>
        <v>quest.culinary_battle.finished</v>
      </c>
      <c r="C1865" s="41" t="str">
        <f>_xlfn.XLOOKUP(tblCost[[#This Row],[TargetID]],tblTargets[TargetID],tblTargets[DisplayName],"")</f>
        <v>Culinary Battle Finished</v>
      </c>
      <c r="D1865" s="41" t="str">
        <f>_xlfn.XLOOKUP(tblCost[[#This Row],[TargetID]],tblTargets[TargetID],tblTargets[TargetType],"")</f>
        <v>QUEST</v>
      </c>
      <c r="E1865" s="41" t="s">
        <v>5837</v>
      </c>
      <c r="F1865" s="62" t="str">
        <f>RIGHT(tblCost[[#This Row],[RequirementID]],1)</f>
        <v>1</v>
      </c>
      <c r="G1865" s="41">
        <v>2</v>
      </c>
      <c r="H1865" t="b">
        <f>COUNTIFS(tblCostChecklist[RequirementID],tblCost[[#This Row],[RequirementID]],tblCostChecklist[PlayerPaid],TRUE)&gt;0</f>
        <v>0</v>
      </c>
      <c r="I1865" s="41">
        <f>COUNTIF(tblCost[TargetID],tblCost[[#This Row],[TargetID]])</f>
        <v>14</v>
      </c>
      <c r="J1865" s="41">
        <f>COUNTIFS(tblCost[TargetID],tblCost[[#This Row],[TargetID]],tblCost[PlayerPaid],TRUE)</f>
        <v>0</v>
      </c>
      <c r="K1865" s="41">
        <f>tblCost[[#This Row],[TargetRequirements]]-tblCost[[#This Row],[CompletedRequirements]]</f>
        <v>14</v>
      </c>
      <c r="L1865" s="41" t="b">
        <f>tblCost[[#This Row],[RemainingRequirements]]=0</f>
        <v>0</v>
      </c>
      <c r="M1865" s="43">
        <f>IF(tblCost[[#This Row],[TargetRequirements]]=0,0,tblCost[[#This Row],[CompletedRequirements]]/tblCost[[#This Row],[TargetRequirements]])</f>
        <v>0</v>
      </c>
    </row>
    <row r="1866" spans="1:13">
      <c r="A1866" s="41" t="s">
        <v>5838</v>
      </c>
      <c r="B1866" s="41" t="str">
        <f>_xlfn.TEXTAFTER(_xlfn.TEXTBEFORE(tblCost[[#This Row],[RequirementID]],".",-2),"cost.")</f>
        <v>quest.culinary_battle.finished</v>
      </c>
      <c r="C1866" s="41" t="str">
        <f>_xlfn.XLOOKUP(tblCost[[#This Row],[TargetID]],tblTargets[TargetID],tblTargets[DisplayName],"")</f>
        <v>Culinary Battle Finished</v>
      </c>
      <c r="D1866" s="41" t="str">
        <f>_xlfn.XLOOKUP(tblCost[[#This Row],[TargetID]],tblTargets[TargetID],tblTargets[TargetType],"")</f>
        <v>QUEST</v>
      </c>
      <c r="E1866" s="41" t="s">
        <v>5839</v>
      </c>
      <c r="F1866" s="62" t="str">
        <f>RIGHT(tblCost[[#This Row],[RequirementID]],1)</f>
        <v>1</v>
      </c>
      <c r="G1866" s="41">
        <v>2</v>
      </c>
      <c r="H1866" t="b">
        <f>COUNTIFS(tblCostChecklist[RequirementID],tblCost[[#This Row],[RequirementID]],tblCostChecklist[PlayerPaid],TRUE)&gt;0</f>
        <v>0</v>
      </c>
      <c r="I1866" s="41">
        <f>COUNTIF(tblCost[TargetID],tblCost[[#This Row],[TargetID]])</f>
        <v>14</v>
      </c>
      <c r="J1866" s="41">
        <f>COUNTIFS(tblCost[TargetID],tblCost[[#This Row],[TargetID]],tblCost[PlayerPaid],TRUE)</f>
        <v>0</v>
      </c>
      <c r="K1866" s="41">
        <f>tblCost[[#This Row],[TargetRequirements]]-tblCost[[#This Row],[CompletedRequirements]]</f>
        <v>14</v>
      </c>
      <c r="L1866" s="41" t="b">
        <f>tblCost[[#This Row],[RemainingRequirements]]=0</f>
        <v>0</v>
      </c>
      <c r="M1866" s="43">
        <f>IF(tblCost[[#This Row],[TargetRequirements]]=0,0,tblCost[[#This Row],[CompletedRequirements]]/tblCost[[#This Row],[TargetRequirements]])</f>
        <v>0</v>
      </c>
    </row>
    <row r="1867" spans="1:13">
      <c r="A1867" s="41" t="s">
        <v>5840</v>
      </c>
      <c r="B1867" s="41" t="str">
        <f>_xlfn.TEXTAFTER(_xlfn.TEXTBEFORE(tblCost[[#This Row],[RequirementID]],".",-2),"cost.")</f>
        <v>quest.culinary_battle.finished</v>
      </c>
      <c r="C1867" s="41" t="str">
        <f>_xlfn.XLOOKUP(tblCost[[#This Row],[TargetID]],tblTargets[TargetID],tblTargets[DisplayName],"")</f>
        <v>Culinary Battle Finished</v>
      </c>
      <c r="D1867" s="41" t="str">
        <f>_xlfn.XLOOKUP(tblCost[[#This Row],[TargetID]],tblTargets[TargetID],tblTargets[TargetType],"")</f>
        <v>QUEST</v>
      </c>
      <c r="E1867" s="41" t="s">
        <v>5841</v>
      </c>
      <c r="F1867" s="62" t="str">
        <f>RIGHT(tblCost[[#This Row],[RequirementID]],1)</f>
        <v>1</v>
      </c>
      <c r="G1867" s="41">
        <v>2</v>
      </c>
      <c r="H1867" t="b">
        <f>COUNTIFS(tblCostChecklist[RequirementID],tblCost[[#This Row],[RequirementID]],tblCostChecklist[PlayerPaid],TRUE)&gt;0</f>
        <v>0</v>
      </c>
      <c r="I1867" s="41">
        <f>COUNTIF(tblCost[TargetID],tblCost[[#This Row],[TargetID]])</f>
        <v>14</v>
      </c>
      <c r="J1867" s="41">
        <f>COUNTIFS(tblCost[TargetID],tblCost[[#This Row],[TargetID]],tblCost[PlayerPaid],TRUE)</f>
        <v>0</v>
      </c>
      <c r="K1867" s="41">
        <f>tblCost[[#This Row],[TargetRequirements]]-tblCost[[#This Row],[CompletedRequirements]]</f>
        <v>14</v>
      </c>
      <c r="L1867" s="41" t="b">
        <f>tblCost[[#This Row],[RemainingRequirements]]=0</f>
        <v>0</v>
      </c>
      <c r="M1867" s="43">
        <f>IF(tblCost[[#This Row],[TargetRequirements]]=0,0,tblCost[[#This Row],[CompletedRequirements]]/tblCost[[#This Row],[TargetRequirements]])</f>
        <v>0</v>
      </c>
    </row>
    <row r="1868" spans="1:13">
      <c r="A1868" s="41" t="s">
        <v>5842</v>
      </c>
      <c r="B1868" s="41" t="str">
        <f>_xlfn.TEXTAFTER(_xlfn.TEXTBEFORE(tblCost[[#This Row],[RequirementID]],".",-2),"cost.")</f>
        <v>quest.culinary_battle.finished</v>
      </c>
      <c r="C1868" s="41" t="str">
        <f>_xlfn.XLOOKUP(tblCost[[#This Row],[TargetID]],tblTargets[TargetID],tblTargets[DisplayName],"")</f>
        <v>Culinary Battle Finished</v>
      </c>
      <c r="D1868" s="41" t="str">
        <f>_xlfn.XLOOKUP(tblCost[[#This Row],[TargetID]],tblTargets[TargetID],tblTargets[TargetType],"")</f>
        <v>QUEST</v>
      </c>
      <c r="E1868" s="41" t="s">
        <v>1848</v>
      </c>
      <c r="F1868" s="62" t="str">
        <f>RIGHT(tblCost[[#This Row],[RequirementID]],1)</f>
        <v>1</v>
      </c>
      <c r="G1868" s="41">
        <v>2</v>
      </c>
      <c r="H1868" t="b">
        <f>COUNTIFS(tblCostChecklist[RequirementID],tblCost[[#This Row],[RequirementID]],tblCostChecklist[PlayerPaid],TRUE)&gt;0</f>
        <v>0</v>
      </c>
      <c r="I1868" s="41">
        <f>COUNTIF(tblCost[TargetID],tblCost[[#This Row],[TargetID]])</f>
        <v>14</v>
      </c>
      <c r="J1868" s="41">
        <f>COUNTIFS(tblCost[TargetID],tblCost[[#This Row],[TargetID]],tblCost[PlayerPaid],TRUE)</f>
        <v>0</v>
      </c>
      <c r="K1868" s="41">
        <f>tblCost[[#This Row],[TargetRequirements]]-tblCost[[#This Row],[CompletedRequirements]]</f>
        <v>14</v>
      </c>
      <c r="L1868" s="41" t="b">
        <f>tblCost[[#This Row],[RemainingRequirements]]=0</f>
        <v>0</v>
      </c>
      <c r="M1868" s="43">
        <f>IF(tblCost[[#This Row],[TargetRequirements]]=0,0,tblCost[[#This Row],[CompletedRequirements]]/tblCost[[#This Row],[TargetRequirements]])</f>
        <v>0</v>
      </c>
    </row>
    <row r="1869" spans="1:13">
      <c r="A1869" s="41" t="s">
        <v>5843</v>
      </c>
      <c r="B1869" s="41" t="str">
        <f>_xlfn.TEXTAFTER(_xlfn.TEXTBEFORE(tblCost[[#This Row],[RequirementID]],".",-2),"cost.")</f>
        <v>quest.culinary_battle.finished</v>
      </c>
      <c r="C1869" s="41" t="str">
        <f>_xlfn.XLOOKUP(tblCost[[#This Row],[TargetID]],tblTargets[TargetID],tblTargets[DisplayName],"")</f>
        <v>Culinary Battle Finished</v>
      </c>
      <c r="D1869" s="41" t="str">
        <f>_xlfn.XLOOKUP(tblCost[[#This Row],[TargetID]],tblTargets[TargetID],tblTargets[TargetType],"")</f>
        <v>QUEST</v>
      </c>
      <c r="E1869" s="41" t="s">
        <v>5844</v>
      </c>
      <c r="F1869" s="62" t="str">
        <f>RIGHT(tblCost[[#This Row],[RequirementID]],1)</f>
        <v>1</v>
      </c>
      <c r="G1869" s="41">
        <v>2</v>
      </c>
      <c r="H1869" t="b">
        <f>COUNTIFS(tblCostChecklist[RequirementID],tblCost[[#This Row],[RequirementID]],tblCostChecklist[PlayerPaid],TRUE)&gt;0</f>
        <v>0</v>
      </c>
      <c r="I1869" s="41">
        <f>COUNTIF(tblCost[TargetID],tblCost[[#This Row],[TargetID]])</f>
        <v>14</v>
      </c>
      <c r="J1869" s="41">
        <f>COUNTIFS(tblCost[TargetID],tblCost[[#This Row],[TargetID]],tblCost[PlayerPaid],TRUE)</f>
        <v>0</v>
      </c>
      <c r="K1869" s="41">
        <f>tblCost[[#This Row],[TargetRequirements]]-tblCost[[#This Row],[CompletedRequirements]]</f>
        <v>14</v>
      </c>
      <c r="L1869" s="41" t="b">
        <f>tblCost[[#This Row],[RemainingRequirements]]=0</f>
        <v>0</v>
      </c>
      <c r="M1869" s="43">
        <f>IF(tblCost[[#This Row],[TargetRequirements]]=0,0,tblCost[[#This Row],[CompletedRequirements]]/tblCost[[#This Row],[TargetRequirements]])</f>
        <v>0</v>
      </c>
    </row>
    <row r="1870" spans="1:13">
      <c r="A1870" s="41" t="s">
        <v>5845</v>
      </c>
      <c r="B1870" s="41" t="str">
        <f>_xlfn.TEXTAFTER(_xlfn.TEXTBEFORE(tblCost[[#This Row],[RequirementID]],".",-2),"cost.")</f>
        <v>quest.festival.finished</v>
      </c>
      <c r="C1870" s="41" t="str">
        <f>_xlfn.XLOOKUP(tblCost[[#This Row],[TargetID]],tblTargets[TargetID],tblTargets[DisplayName],"")</f>
        <v>Festival Finished</v>
      </c>
      <c r="D1870" s="41" t="str">
        <f>_xlfn.XLOOKUP(tblCost[[#This Row],[TargetID]],tblTargets[TargetID],tblTargets[TargetType],"")</f>
        <v>QUEST</v>
      </c>
      <c r="E1870" s="41" t="s">
        <v>682</v>
      </c>
      <c r="F1870" s="62" t="str">
        <f>RIGHT(tblCost[[#This Row],[RequirementID]],1)</f>
        <v>1</v>
      </c>
      <c r="G1870" s="41">
        <v>5</v>
      </c>
      <c r="H1870" t="b">
        <f>COUNTIFS(tblCostChecklist[RequirementID],tblCost[[#This Row],[RequirementID]],tblCostChecklist[PlayerPaid],TRUE)&gt;0</f>
        <v>0</v>
      </c>
      <c r="I1870" s="41">
        <f>COUNTIF(tblCost[TargetID],tblCost[[#This Row],[TargetID]])</f>
        <v>6</v>
      </c>
      <c r="J1870" s="41">
        <f>COUNTIFS(tblCost[TargetID],tblCost[[#This Row],[TargetID]],tblCost[PlayerPaid],TRUE)</f>
        <v>0</v>
      </c>
      <c r="K1870" s="41">
        <f>tblCost[[#This Row],[TargetRequirements]]-tblCost[[#This Row],[CompletedRequirements]]</f>
        <v>6</v>
      </c>
      <c r="L1870" s="41" t="b">
        <f>tblCost[[#This Row],[RemainingRequirements]]=0</f>
        <v>0</v>
      </c>
      <c r="M1870" s="43">
        <f>IF(tblCost[[#This Row],[TargetRequirements]]=0,0,tblCost[[#This Row],[CompletedRequirements]]/tblCost[[#This Row],[TargetRequirements]])</f>
        <v>0</v>
      </c>
    </row>
    <row r="1871" spans="1:13">
      <c r="A1871" s="41" t="s">
        <v>5846</v>
      </c>
      <c r="B1871" s="41" t="str">
        <f>_xlfn.TEXTAFTER(_xlfn.TEXTBEFORE(tblCost[[#This Row],[RequirementID]],".",-2),"cost.")</f>
        <v>quest.festival.finished</v>
      </c>
      <c r="C1871" s="41" t="str">
        <f>_xlfn.XLOOKUP(tblCost[[#This Row],[TargetID]],tblTargets[TargetID],tblTargets[DisplayName],"")</f>
        <v>Festival Finished</v>
      </c>
      <c r="D1871" s="41" t="str">
        <f>_xlfn.XLOOKUP(tblCost[[#This Row],[TargetID]],tblTargets[TargetID],tblTargets[TargetType],"")</f>
        <v>QUEST</v>
      </c>
      <c r="E1871" s="41" t="s">
        <v>1804</v>
      </c>
      <c r="F1871" s="62" t="str">
        <f>RIGHT(tblCost[[#This Row],[RequirementID]],1)</f>
        <v>1</v>
      </c>
      <c r="G1871" s="41">
        <v>10</v>
      </c>
      <c r="H1871" t="b">
        <f>COUNTIFS(tblCostChecklist[RequirementID],tblCost[[#This Row],[RequirementID]],tblCostChecklist[PlayerPaid],TRUE)&gt;0</f>
        <v>0</v>
      </c>
      <c r="I1871" s="41">
        <f>COUNTIF(tblCost[TargetID],tblCost[[#This Row],[TargetID]])</f>
        <v>6</v>
      </c>
      <c r="J1871" s="41">
        <f>COUNTIFS(tblCost[TargetID],tblCost[[#This Row],[TargetID]],tblCost[PlayerPaid],TRUE)</f>
        <v>0</v>
      </c>
      <c r="K1871" s="41">
        <f>tblCost[[#This Row],[TargetRequirements]]-tblCost[[#This Row],[CompletedRequirements]]</f>
        <v>6</v>
      </c>
      <c r="L1871" s="41" t="b">
        <f>tblCost[[#This Row],[RemainingRequirements]]=0</f>
        <v>0</v>
      </c>
      <c r="M1871" s="43">
        <f>IF(tblCost[[#This Row],[TargetRequirements]]=0,0,tblCost[[#This Row],[CompletedRequirements]]/tblCost[[#This Row],[TargetRequirements]])</f>
        <v>0</v>
      </c>
    </row>
    <row r="1872" spans="1:13">
      <c r="A1872" s="41" t="s">
        <v>5847</v>
      </c>
      <c r="B1872" s="41" t="str">
        <f>_xlfn.TEXTAFTER(_xlfn.TEXTBEFORE(tblCost[[#This Row],[RequirementID]],".",-2),"cost.")</f>
        <v>quest.festival.finished</v>
      </c>
      <c r="C1872" s="41" t="str">
        <f>_xlfn.XLOOKUP(tblCost[[#This Row],[TargetID]],tblTargets[TargetID],tblTargets[DisplayName],"")</f>
        <v>Festival Finished</v>
      </c>
      <c r="D1872" s="41" t="str">
        <f>_xlfn.XLOOKUP(tblCost[[#This Row],[TargetID]],tblTargets[TargetID],tblTargets[TargetType],"")</f>
        <v>QUEST</v>
      </c>
      <c r="E1872" s="41" t="s">
        <v>718</v>
      </c>
      <c r="F1872" s="62" t="str">
        <f>RIGHT(tblCost[[#This Row],[RequirementID]],1)</f>
        <v>1</v>
      </c>
      <c r="G1872" s="41">
        <v>10</v>
      </c>
      <c r="H1872" t="b">
        <f>COUNTIFS(tblCostChecklist[RequirementID],tblCost[[#This Row],[RequirementID]],tblCostChecklist[PlayerPaid],TRUE)&gt;0</f>
        <v>0</v>
      </c>
      <c r="I1872" s="41">
        <f>COUNTIF(tblCost[TargetID],tblCost[[#This Row],[TargetID]])</f>
        <v>6</v>
      </c>
      <c r="J1872" s="41">
        <f>COUNTIFS(tblCost[TargetID],tblCost[[#This Row],[TargetID]],tblCost[PlayerPaid],TRUE)</f>
        <v>0</v>
      </c>
      <c r="K1872" s="41">
        <f>tblCost[[#This Row],[TargetRequirements]]-tblCost[[#This Row],[CompletedRequirements]]</f>
        <v>6</v>
      </c>
      <c r="L1872" s="41" t="b">
        <f>tblCost[[#This Row],[RemainingRequirements]]=0</f>
        <v>0</v>
      </c>
      <c r="M1872" s="43">
        <f>IF(tblCost[[#This Row],[TargetRequirements]]=0,0,tblCost[[#This Row],[CompletedRequirements]]/tblCost[[#This Row],[TargetRequirements]])</f>
        <v>0</v>
      </c>
    </row>
    <row r="1873" spans="1:13">
      <c r="A1873" s="41" t="s">
        <v>5848</v>
      </c>
      <c r="B1873" s="41" t="str">
        <f>_xlfn.TEXTAFTER(_xlfn.TEXTBEFORE(tblCost[[#This Row],[RequirementID]],".",-2),"cost.")</f>
        <v>quest.festival.finished</v>
      </c>
      <c r="C1873" s="41" t="str">
        <f>_xlfn.XLOOKUP(tblCost[[#This Row],[TargetID]],tblTargets[TargetID],tblTargets[DisplayName],"")</f>
        <v>Festival Finished</v>
      </c>
      <c r="D1873" s="41" t="str">
        <f>_xlfn.XLOOKUP(tblCost[[#This Row],[TargetID]],tblTargets[TargetID],tblTargets[TargetType],"")</f>
        <v>QUEST</v>
      </c>
      <c r="E1873" s="41" t="s">
        <v>704</v>
      </c>
      <c r="F1873" s="62" t="str">
        <f>RIGHT(tblCost[[#This Row],[RequirementID]],1)</f>
        <v>1</v>
      </c>
      <c r="G1873" s="41">
        <v>5</v>
      </c>
      <c r="H1873" t="b">
        <f>COUNTIFS(tblCostChecklist[RequirementID],tblCost[[#This Row],[RequirementID]],tblCostChecklist[PlayerPaid],TRUE)&gt;0</f>
        <v>0</v>
      </c>
      <c r="I1873" s="41">
        <f>COUNTIF(tblCost[TargetID],tblCost[[#This Row],[TargetID]])</f>
        <v>6</v>
      </c>
      <c r="J1873" s="41">
        <f>COUNTIFS(tblCost[TargetID],tblCost[[#This Row],[TargetID]],tblCost[PlayerPaid],TRUE)</f>
        <v>0</v>
      </c>
      <c r="K1873" s="41">
        <f>tblCost[[#This Row],[TargetRequirements]]-tblCost[[#This Row],[CompletedRequirements]]</f>
        <v>6</v>
      </c>
      <c r="L1873" s="41" t="b">
        <f>tblCost[[#This Row],[RemainingRequirements]]=0</f>
        <v>0</v>
      </c>
      <c r="M1873" s="43">
        <f>IF(tblCost[[#This Row],[TargetRequirements]]=0,0,tblCost[[#This Row],[CompletedRequirements]]/tblCost[[#This Row],[TargetRequirements]])</f>
        <v>0</v>
      </c>
    </row>
    <row r="1874" spans="1:13">
      <c r="A1874" s="41" t="s">
        <v>5849</v>
      </c>
      <c r="B1874" s="41" t="str">
        <f>_xlfn.TEXTAFTER(_xlfn.TEXTBEFORE(tblCost[[#This Row],[RequirementID]],".",-2),"cost.")</f>
        <v>quest.festival.finished</v>
      </c>
      <c r="C1874" s="41" t="str">
        <f>_xlfn.XLOOKUP(tblCost[[#This Row],[TargetID]],tblTargets[TargetID],tblTargets[DisplayName],"")</f>
        <v>Festival Finished</v>
      </c>
      <c r="D1874" s="41" t="str">
        <f>_xlfn.XLOOKUP(tblCost[[#This Row],[TargetID]],tblTargets[TargetID],tblTargets[TargetType],"")</f>
        <v>QUEST</v>
      </c>
      <c r="E1874" s="41" t="s">
        <v>1793</v>
      </c>
      <c r="F1874" s="62" t="str">
        <f>RIGHT(tblCost[[#This Row],[RequirementID]],1)</f>
        <v>1</v>
      </c>
      <c r="G1874" s="41">
        <v>5</v>
      </c>
      <c r="H1874" t="b">
        <f>COUNTIFS(tblCostChecklist[RequirementID],tblCost[[#This Row],[RequirementID]],tblCostChecklist[PlayerPaid],TRUE)&gt;0</f>
        <v>0</v>
      </c>
      <c r="I1874" s="41">
        <f>COUNTIF(tblCost[TargetID],tblCost[[#This Row],[TargetID]])</f>
        <v>6</v>
      </c>
      <c r="J1874" s="41">
        <f>COUNTIFS(tblCost[TargetID],tblCost[[#This Row],[TargetID]],tblCost[PlayerPaid],TRUE)</f>
        <v>0</v>
      </c>
      <c r="K1874" s="41">
        <f>tblCost[[#This Row],[TargetRequirements]]-tblCost[[#This Row],[CompletedRequirements]]</f>
        <v>6</v>
      </c>
      <c r="L1874" s="41" t="b">
        <f>tblCost[[#This Row],[RemainingRequirements]]=0</f>
        <v>0</v>
      </c>
      <c r="M1874" s="43">
        <f>IF(tblCost[[#This Row],[TargetRequirements]]=0,0,tblCost[[#This Row],[CompletedRequirements]]/tblCost[[#This Row],[TargetRequirements]])</f>
        <v>0</v>
      </c>
    </row>
    <row r="1875" spans="1:13">
      <c r="A1875" s="41" t="s">
        <v>5850</v>
      </c>
      <c r="B1875" s="41" t="str">
        <f>_xlfn.TEXTAFTER(_xlfn.TEXTBEFORE(tblCost[[#This Row],[RequirementID]],".",-2),"cost.")</f>
        <v>quest.festival.finished</v>
      </c>
      <c r="C1875" s="41" t="str">
        <f>_xlfn.XLOOKUP(tblCost[[#This Row],[TargetID]],tblTargets[TargetID],tblTargets[DisplayName],"")</f>
        <v>Festival Finished</v>
      </c>
      <c r="D1875" s="41" t="str">
        <f>_xlfn.XLOOKUP(tblCost[[#This Row],[TargetID]],tblTargets[TargetID],tblTargets[TargetType],"")</f>
        <v>QUEST</v>
      </c>
      <c r="E1875" s="41" t="s">
        <v>938</v>
      </c>
      <c r="F1875" s="62" t="str">
        <f>RIGHT(tblCost[[#This Row],[RequirementID]],1)</f>
        <v>1</v>
      </c>
      <c r="G1875" s="41">
        <v>5</v>
      </c>
      <c r="H1875" t="b">
        <f>COUNTIFS(tblCostChecklist[RequirementID],tblCost[[#This Row],[RequirementID]],tblCostChecklist[PlayerPaid],TRUE)&gt;0</f>
        <v>0</v>
      </c>
      <c r="I1875" s="41">
        <f>COUNTIF(tblCost[TargetID],tblCost[[#This Row],[TargetID]])</f>
        <v>6</v>
      </c>
      <c r="J1875" s="41">
        <f>COUNTIFS(tblCost[TargetID],tblCost[[#This Row],[TargetID]],tblCost[PlayerPaid],TRUE)</f>
        <v>0</v>
      </c>
      <c r="K1875" s="41">
        <f>tblCost[[#This Row],[TargetRequirements]]-tblCost[[#This Row],[CompletedRequirements]]</f>
        <v>6</v>
      </c>
      <c r="L1875" s="41" t="b">
        <f>tblCost[[#This Row],[RemainingRequirements]]=0</f>
        <v>0</v>
      </c>
      <c r="M1875" s="43">
        <f>IF(tblCost[[#This Row],[TargetRequirements]]=0,0,tblCost[[#This Row],[CompletedRequirements]]/tblCost[[#This Row],[TargetRequirements]])</f>
        <v>0</v>
      </c>
    </row>
    <row r="1876" spans="1:13">
      <c r="A1876" s="41" t="s">
        <v>5851</v>
      </c>
      <c r="B1876" s="41" t="str">
        <f>_xlfn.TEXTAFTER(_xlfn.TEXTBEFORE(tblCost[[#This Row],[RequirementID]],".",-2),"cost.")</f>
        <v>quest.festival_returns.finished</v>
      </c>
      <c r="C1876" s="41" t="str">
        <f>_xlfn.XLOOKUP(tblCost[[#This Row],[TargetID]],tblTargets[TargetID],tblTargets[DisplayName],"")</f>
        <v>Festival Returns Finished</v>
      </c>
      <c r="D1876" s="41" t="str">
        <f>_xlfn.XLOOKUP(tblCost[[#This Row],[TargetID]],tblTargets[TargetID],tblTargets[TargetType],"")</f>
        <v>QUEST</v>
      </c>
      <c r="E1876" s="41" t="s">
        <v>682</v>
      </c>
      <c r="F1876" s="62" t="str">
        <f>RIGHT(tblCost[[#This Row],[RequirementID]],1)</f>
        <v>1</v>
      </c>
      <c r="G1876" s="41">
        <v>10</v>
      </c>
      <c r="H1876" t="b">
        <f>COUNTIFS(tblCostChecklist[RequirementID],tblCost[[#This Row],[RequirementID]],tblCostChecklist[PlayerPaid],TRUE)&gt;0</f>
        <v>0</v>
      </c>
      <c r="I1876" s="41">
        <f>COUNTIF(tblCost[TargetID],tblCost[[#This Row],[TargetID]])</f>
        <v>9</v>
      </c>
      <c r="J1876" s="41">
        <f>COUNTIFS(tblCost[TargetID],tblCost[[#This Row],[TargetID]],tblCost[PlayerPaid],TRUE)</f>
        <v>0</v>
      </c>
      <c r="K1876" s="41">
        <f>tblCost[[#This Row],[TargetRequirements]]-tblCost[[#This Row],[CompletedRequirements]]</f>
        <v>9</v>
      </c>
      <c r="L1876" s="41" t="b">
        <f>tblCost[[#This Row],[RemainingRequirements]]=0</f>
        <v>0</v>
      </c>
      <c r="M1876" s="43">
        <f>IF(tblCost[[#This Row],[TargetRequirements]]=0,0,tblCost[[#This Row],[CompletedRequirements]]/tblCost[[#This Row],[TargetRequirements]])</f>
        <v>0</v>
      </c>
    </row>
    <row r="1877" spans="1:13">
      <c r="A1877" s="41" t="s">
        <v>5852</v>
      </c>
      <c r="B1877" s="41" t="str">
        <f>_xlfn.TEXTAFTER(_xlfn.TEXTBEFORE(tblCost[[#This Row],[RequirementID]],".",-2),"cost.")</f>
        <v>quest.festival_returns.finished</v>
      </c>
      <c r="C1877" s="41" t="str">
        <f>_xlfn.XLOOKUP(tblCost[[#This Row],[TargetID]],tblTargets[TargetID],tblTargets[DisplayName],"")</f>
        <v>Festival Returns Finished</v>
      </c>
      <c r="D1877" s="41" t="str">
        <f>_xlfn.XLOOKUP(tblCost[[#This Row],[TargetID]],tblTargets[TargetID],tblTargets[TargetType],"")</f>
        <v>QUEST</v>
      </c>
      <c r="E1877" s="41" t="s">
        <v>1804</v>
      </c>
      <c r="F1877" s="62" t="str">
        <f>RIGHT(tblCost[[#This Row],[RequirementID]],1)</f>
        <v>1</v>
      </c>
      <c r="G1877" s="41">
        <v>10</v>
      </c>
      <c r="H1877" t="b">
        <f>COUNTIFS(tblCostChecklist[RequirementID],tblCost[[#This Row],[RequirementID]],tblCostChecklist[PlayerPaid],TRUE)&gt;0</f>
        <v>0</v>
      </c>
      <c r="I1877" s="41">
        <f>COUNTIF(tblCost[TargetID],tblCost[[#This Row],[TargetID]])</f>
        <v>9</v>
      </c>
      <c r="J1877" s="41">
        <f>COUNTIFS(tblCost[TargetID],tblCost[[#This Row],[TargetID]],tblCost[PlayerPaid],TRUE)</f>
        <v>0</v>
      </c>
      <c r="K1877" s="41">
        <f>tblCost[[#This Row],[TargetRequirements]]-tblCost[[#This Row],[CompletedRequirements]]</f>
        <v>9</v>
      </c>
      <c r="L1877" s="41" t="b">
        <f>tblCost[[#This Row],[RemainingRequirements]]=0</f>
        <v>0</v>
      </c>
      <c r="M1877" s="43">
        <f>IF(tblCost[[#This Row],[TargetRequirements]]=0,0,tblCost[[#This Row],[CompletedRequirements]]/tblCost[[#This Row],[TargetRequirements]])</f>
        <v>0</v>
      </c>
    </row>
    <row r="1878" spans="1:13">
      <c r="A1878" s="41" t="s">
        <v>5853</v>
      </c>
      <c r="B1878" s="41" t="str">
        <f>_xlfn.TEXTAFTER(_xlfn.TEXTBEFORE(tblCost[[#This Row],[RequirementID]],".",-2),"cost.")</f>
        <v>quest.festival_returns.finished</v>
      </c>
      <c r="C1878" s="41" t="str">
        <f>_xlfn.XLOOKUP(tblCost[[#This Row],[TargetID]],tblTargets[TargetID],tblTargets[DisplayName],"")</f>
        <v>Festival Returns Finished</v>
      </c>
      <c r="D1878" s="41" t="str">
        <f>_xlfn.XLOOKUP(tblCost[[#This Row],[TargetID]],tblTargets[TargetID],tblTargets[TargetType],"")</f>
        <v>QUEST</v>
      </c>
      <c r="E1878" s="41" t="s">
        <v>668</v>
      </c>
      <c r="F1878" s="62" t="str">
        <f>RIGHT(tblCost[[#This Row],[RequirementID]],1)</f>
        <v>1</v>
      </c>
      <c r="G1878" s="41">
        <v>10</v>
      </c>
      <c r="H1878" t="b">
        <f>COUNTIFS(tblCostChecklist[RequirementID],tblCost[[#This Row],[RequirementID]],tblCostChecklist[PlayerPaid],TRUE)&gt;0</f>
        <v>0</v>
      </c>
      <c r="I1878" s="41">
        <f>COUNTIF(tblCost[TargetID],tblCost[[#This Row],[TargetID]])</f>
        <v>9</v>
      </c>
      <c r="J1878" s="41">
        <f>COUNTIFS(tblCost[TargetID],tblCost[[#This Row],[TargetID]],tblCost[PlayerPaid],TRUE)</f>
        <v>0</v>
      </c>
      <c r="K1878" s="41">
        <f>tblCost[[#This Row],[TargetRequirements]]-tblCost[[#This Row],[CompletedRequirements]]</f>
        <v>9</v>
      </c>
      <c r="L1878" s="41" t="b">
        <f>tblCost[[#This Row],[RemainingRequirements]]=0</f>
        <v>0</v>
      </c>
      <c r="M1878" s="43">
        <f>IF(tblCost[[#This Row],[TargetRequirements]]=0,0,tblCost[[#This Row],[CompletedRequirements]]/tblCost[[#This Row],[TargetRequirements]])</f>
        <v>0</v>
      </c>
    </row>
    <row r="1879" spans="1:13">
      <c r="A1879" s="41" t="s">
        <v>5854</v>
      </c>
      <c r="B1879" s="41" t="str">
        <f>_xlfn.TEXTAFTER(_xlfn.TEXTBEFORE(tblCost[[#This Row],[RequirementID]],".",-2),"cost.")</f>
        <v>quest.festival_returns.finished</v>
      </c>
      <c r="C1879" s="41" t="str">
        <f>_xlfn.XLOOKUP(tblCost[[#This Row],[TargetID]],tblTargets[TargetID],tblTargets[DisplayName],"")</f>
        <v>Festival Returns Finished</v>
      </c>
      <c r="D1879" s="41" t="str">
        <f>_xlfn.XLOOKUP(tblCost[[#This Row],[TargetID]],tblTargets[TargetID],tblTargets[TargetType],"")</f>
        <v>QUEST</v>
      </c>
      <c r="E1879" s="41" t="s">
        <v>943</v>
      </c>
      <c r="F1879" s="62" t="str">
        <f>RIGHT(tblCost[[#This Row],[RequirementID]],1)</f>
        <v>1</v>
      </c>
      <c r="G1879" s="41">
        <v>10</v>
      </c>
      <c r="H1879" t="b">
        <f>COUNTIFS(tblCostChecklist[RequirementID],tblCost[[#This Row],[RequirementID]],tblCostChecklist[PlayerPaid],TRUE)&gt;0</f>
        <v>0</v>
      </c>
      <c r="I1879" s="41">
        <f>COUNTIF(tblCost[TargetID],tblCost[[#This Row],[TargetID]])</f>
        <v>9</v>
      </c>
      <c r="J1879" s="41">
        <f>COUNTIFS(tblCost[TargetID],tblCost[[#This Row],[TargetID]],tblCost[PlayerPaid],TRUE)</f>
        <v>0</v>
      </c>
      <c r="K1879" s="41">
        <f>tblCost[[#This Row],[TargetRequirements]]-tblCost[[#This Row],[CompletedRequirements]]</f>
        <v>9</v>
      </c>
      <c r="L1879" s="41" t="b">
        <f>tblCost[[#This Row],[RemainingRequirements]]=0</f>
        <v>0</v>
      </c>
      <c r="M1879" s="43">
        <f>IF(tblCost[[#This Row],[TargetRequirements]]=0,0,tblCost[[#This Row],[CompletedRequirements]]/tblCost[[#This Row],[TargetRequirements]])</f>
        <v>0</v>
      </c>
    </row>
    <row r="1880" spans="1:13">
      <c r="A1880" s="41" t="s">
        <v>5855</v>
      </c>
      <c r="B1880" s="41" t="str">
        <f>_xlfn.TEXTAFTER(_xlfn.TEXTBEFORE(tblCost[[#This Row],[RequirementID]],".",-2),"cost.")</f>
        <v>quest.festival_returns.finished</v>
      </c>
      <c r="C1880" s="41" t="str">
        <f>_xlfn.XLOOKUP(tblCost[[#This Row],[TargetID]],tblTargets[TargetID],tblTargets[DisplayName],"")</f>
        <v>Festival Returns Finished</v>
      </c>
      <c r="D1880" s="41" t="str">
        <f>_xlfn.XLOOKUP(tblCost[[#This Row],[TargetID]],tblTargets[TargetID],tblTargets[TargetType],"")</f>
        <v>QUEST</v>
      </c>
      <c r="E1880" s="41" t="s">
        <v>5828</v>
      </c>
      <c r="F1880" s="62" t="str">
        <f>RIGHT(tblCost[[#This Row],[RequirementID]],1)</f>
        <v>1</v>
      </c>
      <c r="G1880" s="41">
        <v>10</v>
      </c>
      <c r="H1880" t="b">
        <f>COUNTIFS(tblCostChecklist[RequirementID],tblCost[[#This Row],[RequirementID]],tblCostChecklist[PlayerPaid],TRUE)&gt;0</f>
        <v>0</v>
      </c>
      <c r="I1880" s="41">
        <f>COUNTIF(tblCost[TargetID],tblCost[[#This Row],[TargetID]])</f>
        <v>9</v>
      </c>
      <c r="J1880" s="41">
        <f>COUNTIFS(tblCost[TargetID],tblCost[[#This Row],[TargetID]],tblCost[PlayerPaid],TRUE)</f>
        <v>0</v>
      </c>
      <c r="K1880" s="41">
        <f>tblCost[[#This Row],[TargetRequirements]]-tblCost[[#This Row],[CompletedRequirements]]</f>
        <v>9</v>
      </c>
      <c r="L1880" s="41" t="b">
        <f>tblCost[[#This Row],[RemainingRequirements]]=0</f>
        <v>0</v>
      </c>
      <c r="M1880" s="43">
        <f>IF(tblCost[[#This Row],[TargetRequirements]]=0,0,tblCost[[#This Row],[CompletedRequirements]]/tblCost[[#This Row],[TargetRequirements]])</f>
        <v>0</v>
      </c>
    </row>
    <row r="1881" spans="1:13">
      <c r="A1881" s="41" t="s">
        <v>5856</v>
      </c>
      <c r="B1881" s="41" t="str">
        <f>_xlfn.TEXTAFTER(_xlfn.TEXTBEFORE(tblCost[[#This Row],[RequirementID]],".",-2),"cost.")</f>
        <v>quest.festival_returns.finished</v>
      </c>
      <c r="C1881" s="41" t="str">
        <f>_xlfn.XLOOKUP(tblCost[[#This Row],[TargetID]],tblTargets[TargetID],tblTargets[DisplayName],"")</f>
        <v>Festival Returns Finished</v>
      </c>
      <c r="D1881" s="41" t="str">
        <f>_xlfn.XLOOKUP(tblCost[[#This Row],[TargetID]],tblTargets[TargetID],tblTargets[TargetType],"")</f>
        <v>QUEST</v>
      </c>
      <c r="E1881" s="41" t="s">
        <v>660</v>
      </c>
      <c r="F1881" s="62" t="str">
        <f>RIGHT(tblCost[[#This Row],[RequirementID]],1)</f>
        <v>1</v>
      </c>
      <c r="G1881" s="41">
        <v>10</v>
      </c>
      <c r="H1881" t="b">
        <f>COUNTIFS(tblCostChecklist[RequirementID],tblCost[[#This Row],[RequirementID]],tblCostChecklist[PlayerPaid],TRUE)&gt;0</f>
        <v>0</v>
      </c>
      <c r="I1881" s="41">
        <f>COUNTIF(tblCost[TargetID],tblCost[[#This Row],[TargetID]])</f>
        <v>9</v>
      </c>
      <c r="J1881" s="41">
        <f>COUNTIFS(tblCost[TargetID],tblCost[[#This Row],[TargetID]],tblCost[PlayerPaid],TRUE)</f>
        <v>0</v>
      </c>
      <c r="K1881" s="41">
        <f>tblCost[[#This Row],[TargetRequirements]]-tblCost[[#This Row],[CompletedRequirements]]</f>
        <v>9</v>
      </c>
      <c r="L1881" s="41" t="b">
        <f>tblCost[[#This Row],[RemainingRequirements]]=0</f>
        <v>0</v>
      </c>
      <c r="M1881" s="43">
        <f>IF(tblCost[[#This Row],[TargetRequirements]]=0,0,tblCost[[#This Row],[CompletedRequirements]]/tblCost[[#This Row],[TargetRequirements]])</f>
        <v>0</v>
      </c>
    </row>
    <row r="1882" spans="1:13">
      <c r="A1882" s="41" t="s">
        <v>5857</v>
      </c>
      <c r="B1882" s="41" t="str">
        <f>_xlfn.TEXTAFTER(_xlfn.TEXTBEFORE(tblCost[[#This Row],[RequirementID]],".",-2),"cost.")</f>
        <v>quest.festival_returns.finished</v>
      </c>
      <c r="C1882" s="41" t="str">
        <f>_xlfn.XLOOKUP(tblCost[[#This Row],[TargetID]],tblTargets[TargetID],tblTargets[DisplayName],"")</f>
        <v>Festival Returns Finished</v>
      </c>
      <c r="D1882" s="41" t="str">
        <f>_xlfn.XLOOKUP(tblCost[[#This Row],[TargetID]],tblTargets[TargetID],tblTargets[TargetType],"")</f>
        <v>QUEST</v>
      </c>
      <c r="E1882" s="41" t="s">
        <v>5839</v>
      </c>
      <c r="F1882" s="62" t="str">
        <f>RIGHT(tblCost[[#This Row],[RequirementID]],1)</f>
        <v>1</v>
      </c>
      <c r="G1882" s="41">
        <v>10</v>
      </c>
      <c r="H1882" t="b">
        <f>COUNTIFS(tblCostChecklist[RequirementID],tblCost[[#This Row],[RequirementID]],tblCostChecklist[PlayerPaid],TRUE)&gt;0</f>
        <v>0</v>
      </c>
      <c r="I1882" s="41">
        <f>COUNTIF(tblCost[TargetID],tblCost[[#This Row],[TargetID]])</f>
        <v>9</v>
      </c>
      <c r="J1882" s="41">
        <f>COUNTIFS(tblCost[TargetID],tblCost[[#This Row],[TargetID]],tblCost[PlayerPaid],TRUE)</f>
        <v>0</v>
      </c>
      <c r="K1882" s="41">
        <f>tblCost[[#This Row],[TargetRequirements]]-tblCost[[#This Row],[CompletedRequirements]]</f>
        <v>9</v>
      </c>
      <c r="L1882" s="41" t="b">
        <f>tblCost[[#This Row],[RemainingRequirements]]=0</f>
        <v>0</v>
      </c>
      <c r="M1882" s="43">
        <f>IF(tblCost[[#This Row],[TargetRequirements]]=0,0,tblCost[[#This Row],[CompletedRequirements]]/tblCost[[#This Row],[TargetRequirements]])</f>
        <v>0</v>
      </c>
    </row>
    <row r="1883" spans="1:13">
      <c r="A1883" s="41" t="s">
        <v>5858</v>
      </c>
      <c r="B1883" s="41" t="str">
        <f>_xlfn.TEXTAFTER(_xlfn.TEXTBEFORE(tblCost[[#This Row],[RequirementID]],".",-2),"cost.")</f>
        <v>quest.festival_returns.finished</v>
      </c>
      <c r="C1883" s="41" t="str">
        <f>_xlfn.XLOOKUP(tblCost[[#This Row],[TargetID]],tblTargets[TargetID],tblTargets[DisplayName],"")</f>
        <v>Festival Returns Finished</v>
      </c>
      <c r="D1883" s="41" t="str">
        <f>_xlfn.XLOOKUP(tblCost[[#This Row],[TargetID]],tblTargets[TargetID],tblTargets[TargetType],"")</f>
        <v>QUEST</v>
      </c>
      <c r="E1883" s="41" t="s">
        <v>5837</v>
      </c>
      <c r="F1883" s="62" t="str">
        <f>RIGHT(tblCost[[#This Row],[RequirementID]],1)</f>
        <v>1</v>
      </c>
      <c r="G1883" s="41">
        <v>20</v>
      </c>
      <c r="H1883" t="b">
        <f>COUNTIFS(tblCostChecklist[RequirementID],tblCost[[#This Row],[RequirementID]],tblCostChecklist[PlayerPaid],TRUE)&gt;0</f>
        <v>0</v>
      </c>
      <c r="I1883" s="41">
        <f>COUNTIF(tblCost[TargetID],tblCost[[#This Row],[TargetID]])</f>
        <v>9</v>
      </c>
      <c r="J1883" s="41">
        <f>COUNTIFS(tblCost[TargetID],tblCost[[#This Row],[TargetID]],tblCost[PlayerPaid],TRUE)</f>
        <v>0</v>
      </c>
      <c r="K1883" s="41">
        <f>tblCost[[#This Row],[TargetRequirements]]-tblCost[[#This Row],[CompletedRequirements]]</f>
        <v>9</v>
      </c>
      <c r="L1883" s="41" t="b">
        <f>tblCost[[#This Row],[RemainingRequirements]]=0</f>
        <v>0</v>
      </c>
      <c r="M1883" s="43">
        <f>IF(tblCost[[#This Row],[TargetRequirements]]=0,0,tblCost[[#This Row],[CompletedRequirements]]/tblCost[[#This Row],[TargetRequirements]])</f>
        <v>0</v>
      </c>
    </row>
    <row r="1884" spans="1:13">
      <c r="A1884" s="41" t="s">
        <v>5859</v>
      </c>
      <c r="B1884" s="41" t="str">
        <f>_xlfn.TEXTAFTER(_xlfn.TEXTBEFORE(tblCost[[#This Row],[RequirementID]],".",-2),"cost.")</f>
        <v>quest.festival_returns.finished</v>
      </c>
      <c r="C1884" s="41" t="str">
        <f>_xlfn.XLOOKUP(tblCost[[#This Row],[TargetID]],tblTargets[TargetID],tblTargets[DisplayName],"")</f>
        <v>Festival Returns Finished</v>
      </c>
      <c r="D1884" s="41" t="str">
        <f>_xlfn.XLOOKUP(tblCost[[#This Row],[TargetID]],tblTargets[TargetID],tblTargets[TargetType],"")</f>
        <v>QUEST</v>
      </c>
      <c r="E1884" s="41" t="s">
        <v>712</v>
      </c>
      <c r="F1884" s="62" t="str">
        <f>RIGHT(tblCost[[#This Row],[RequirementID]],1)</f>
        <v>1</v>
      </c>
      <c r="G1884" s="41">
        <v>10</v>
      </c>
      <c r="H1884" t="b">
        <f>COUNTIFS(tblCostChecklist[RequirementID],tblCost[[#This Row],[RequirementID]],tblCostChecklist[PlayerPaid],TRUE)&gt;0</f>
        <v>0</v>
      </c>
      <c r="I1884" s="41">
        <f>COUNTIF(tblCost[TargetID],tblCost[[#This Row],[TargetID]])</f>
        <v>9</v>
      </c>
      <c r="J1884" s="41">
        <f>COUNTIFS(tblCost[TargetID],tblCost[[#This Row],[TargetID]],tblCost[PlayerPaid],TRUE)</f>
        <v>0</v>
      </c>
      <c r="K1884" s="41">
        <f>tblCost[[#This Row],[TargetRequirements]]-tblCost[[#This Row],[CompletedRequirements]]</f>
        <v>9</v>
      </c>
      <c r="L1884" s="41" t="b">
        <f>tblCost[[#This Row],[RemainingRequirements]]=0</f>
        <v>0</v>
      </c>
      <c r="M1884" s="43">
        <f>IF(tblCost[[#This Row],[TargetRequirements]]=0,0,tblCost[[#This Row],[CompletedRequirements]]/tblCost[[#This Row],[TargetRequirements]])</f>
        <v>0</v>
      </c>
    </row>
    <row r="1885" spans="1:13">
      <c r="A1885" s="41" t="s">
        <v>5860</v>
      </c>
      <c r="B1885" s="41" t="str">
        <f>_xlfn.TEXTAFTER(_xlfn.TEXTBEFORE(tblCost[[#This Row],[RequirementID]],".",-2),"cost.")</f>
        <v>quest.festival_of_beans.finished</v>
      </c>
      <c r="C1885" s="41" t="str">
        <f>_xlfn.XLOOKUP(tblCost[[#This Row],[TargetID]],tblTargets[TargetID],tblTargets[DisplayName],"")</f>
        <v>Festival of Beans Finished</v>
      </c>
      <c r="D1885" s="41" t="str">
        <f>_xlfn.XLOOKUP(tblCost[[#This Row],[TargetID]],tblTargets[TargetID],tblTargets[TargetType],"")</f>
        <v>QUEST</v>
      </c>
      <c r="E1885" s="41" t="s">
        <v>714</v>
      </c>
      <c r="F1885" s="62" t="str">
        <f>RIGHT(tblCost[[#This Row],[RequirementID]],1)</f>
        <v>1</v>
      </c>
      <c r="G1885" s="41">
        <v>100</v>
      </c>
      <c r="H1885" t="b">
        <f>COUNTIFS(tblCostChecklist[RequirementID],tblCost[[#This Row],[RequirementID]],tblCostChecklist[PlayerPaid],TRUE)&gt;0</f>
        <v>0</v>
      </c>
      <c r="I1885" s="41">
        <f>COUNTIF(tblCost[TargetID],tblCost[[#This Row],[TargetID]])</f>
        <v>11</v>
      </c>
      <c r="J1885" s="41">
        <f>COUNTIFS(tblCost[TargetID],tblCost[[#This Row],[TargetID]],tblCost[PlayerPaid],TRUE)</f>
        <v>0</v>
      </c>
      <c r="K1885" s="41">
        <f>tblCost[[#This Row],[TargetRequirements]]-tblCost[[#This Row],[CompletedRequirements]]</f>
        <v>11</v>
      </c>
      <c r="L1885" s="41" t="b">
        <f>tblCost[[#This Row],[RemainingRequirements]]=0</f>
        <v>0</v>
      </c>
      <c r="M1885" s="43">
        <f>IF(tblCost[[#This Row],[TargetRequirements]]=0,0,tblCost[[#This Row],[CompletedRequirements]]/tblCost[[#This Row],[TargetRequirements]])</f>
        <v>0</v>
      </c>
    </row>
    <row r="1886" spans="1:13">
      <c r="A1886" s="41" t="s">
        <v>5861</v>
      </c>
      <c r="B1886" s="41" t="str">
        <f>_xlfn.TEXTAFTER(_xlfn.TEXTBEFORE(tblCost[[#This Row],[RequirementID]],".",-2),"cost.")</f>
        <v>quest.festival_of_beans.finished</v>
      </c>
      <c r="C1886" s="41" t="str">
        <f>_xlfn.XLOOKUP(tblCost[[#This Row],[TargetID]],tblTargets[TargetID],tblTargets[DisplayName],"")</f>
        <v>Festival of Beans Finished</v>
      </c>
      <c r="D1886" s="41" t="str">
        <f>_xlfn.XLOOKUP(tblCost[[#This Row],[TargetID]],tblTargets[TargetID],tblTargets[TargetType],"")</f>
        <v>QUEST</v>
      </c>
      <c r="E1886" s="41" t="s">
        <v>682</v>
      </c>
      <c r="F1886" s="62" t="str">
        <f>RIGHT(tblCost[[#This Row],[RequirementID]],1)</f>
        <v>1</v>
      </c>
      <c r="G1886" s="41">
        <v>10</v>
      </c>
      <c r="H1886" t="b">
        <f>COUNTIFS(tblCostChecklist[RequirementID],tblCost[[#This Row],[RequirementID]],tblCostChecklist[PlayerPaid],TRUE)&gt;0</f>
        <v>0</v>
      </c>
      <c r="I1886" s="41">
        <f>COUNTIF(tblCost[TargetID],tblCost[[#This Row],[TargetID]])</f>
        <v>11</v>
      </c>
      <c r="J1886" s="41">
        <f>COUNTIFS(tblCost[TargetID],tblCost[[#This Row],[TargetID]],tblCost[PlayerPaid],TRUE)</f>
        <v>0</v>
      </c>
      <c r="K1886" s="41">
        <f>tblCost[[#This Row],[TargetRequirements]]-tblCost[[#This Row],[CompletedRequirements]]</f>
        <v>11</v>
      </c>
      <c r="L1886" s="41" t="b">
        <f>tblCost[[#This Row],[RemainingRequirements]]=0</f>
        <v>0</v>
      </c>
      <c r="M1886" s="43">
        <f>IF(tblCost[[#This Row],[TargetRequirements]]=0,0,tblCost[[#This Row],[CompletedRequirements]]/tblCost[[#This Row],[TargetRequirements]])</f>
        <v>0</v>
      </c>
    </row>
    <row r="1887" spans="1:13">
      <c r="A1887" s="41" t="s">
        <v>5862</v>
      </c>
      <c r="B1887" s="41" t="str">
        <f>_xlfn.TEXTAFTER(_xlfn.TEXTBEFORE(tblCost[[#This Row],[RequirementID]],".",-2),"cost.")</f>
        <v>quest.festival_of_beans.finished</v>
      </c>
      <c r="C1887" s="41" t="str">
        <f>_xlfn.XLOOKUP(tblCost[[#This Row],[TargetID]],tblTargets[TargetID],tblTargets[DisplayName],"")</f>
        <v>Festival of Beans Finished</v>
      </c>
      <c r="D1887" s="41" t="str">
        <f>_xlfn.XLOOKUP(tblCost[[#This Row],[TargetID]],tblTargets[TargetID],tblTargets[TargetType],"")</f>
        <v>QUEST</v>
      </c>
      <c r="E1887" s="41" t="s">
        <v>1804</v>
      </c>
      <c r="F1887" s="62" t="str">
        <f>RIGHT(tblCost[[#This Row],[RequirementID]],1)</f>
        <v>1</v>
      </c>
      <c r="G1887" s="41">
        <v>10</v>
      </c>
      <c r="H1887" t="b">
        <f>COUNTIFS(tblCostChecklist[RequirementID],tblCost[[#This Row],[RequirementID]],tblCostChecklist[PlayerPaid],TRUE)&gt;0</f>
        <v>0</v>
      </c>
      <c r="I1887" s="41">
        <f>COUNTIF(tblCost[TargetID],tblCost[[#This Row],[TargetID]])</f>
        <v>11</v>
      </c>
      <c r="J1887" s="41">
        <f>COUNTIFS(tblCost[TargetID],tblCost[[#This Row],[TargetID]],tblCost[PlayerPaid],TRUE)</f>
        <v>0</v>
      </c>
      <c r="K1887" s="41">
        <f>tblCost[[#This Row],[TargetRequirements]]-tblCost[[#This Row],[CompletedRequirements]]</f>
        <v>11</v>
      </c>
      <c r="L1887" s="41" t="b">
        <f>tblCost[[#This Row],[RemainingRequirements]]=0</f>
        <v>0</v>
      </c>
      <c r="M1887" s="43">
        <f>IF(tblCost[[#This Row],[TargetRequirements]]=0,0,tblCost[[#This Row],[CompletedRequirements]]/tblCost[[#This Row],[TargetRequirements]])</f>
        <v>0</v>
      </c>
    </row>
    <row r="1888" spans="1:13">
      <c r="A1888" s="41" t="s">
        <v>5863</v>
      </c>
      <c r="B1888" s="41" t="str">
        <f>_xlfn.TEXTAFTER(_xlfn.TEXTBEFORE(tblCost[[#This Row],[RequirementID]],".",-2),"cost.")</f>
        <v>quest.festival_of_beans.finished</v>
      </c>
      <c r="C1888" s="41" t="str">
        <f>_xlfn.XLOOKUP(tblCost[[#This Row],[TargetID]],tblTargets[TargetID],tblTargets[DisplayName],"")</f>
        <v>Festival of Beans Finished</v>
      </c>
      <c r="D1888" s="41" t="str">
        <f>_xlfn.XLOOKUP(tblCost[[#This Row],[TargetID]],tblTargets[TargetID],tblTargets[TargetType],"")</f>
        <v>QUEST</v>
      </c>
      <c r="E1888" s="41" t="s">
        <v>5864</v>
      </c>
      <c r="F1888" s="62" t="str">
        <f>RIGHT(tblCost[[#This Row],[RequirementID]],1)</f>
        <v>1</v>
      </c>
      <c r="G1888" s="41">
        <v>10</v>
      </c>
      <c r="H1888" t="b">
        <f>COUNTIFS(tblCostChecklist[RequirementID],tblCost[[#This Row],[RequirementID]],tblCostChecklist[PlayerPaid],TRUE)&gt;0</f>
        <v>0</v>
      </c>
      <c r="I1888" s="41">
        <f>COUNTIF(tblCost[TargetID],tblCost[[#This Row],[TargetID]])</f>
        <v>11</v>
      </c>
      <c r="J1888" s="41">
        <f>COUNTIFS(tblCost[TargetID],tblCost[[#This Row],[TargetID]],tblCost[PlayerPaid],TRUE)</f>
        <v>0</v>
      </c>
      <c r="K1888" s="41">
        <f>tblCost[[#This Row],[TargetRequirements]]-tblCost[[#This Row],[CompletedRequirements]]</f>
        <v>11</v>
      </c>
      <c r="L1888" s="41" t="b">
        <f>tblCost[[#This Row],[RemainingRequirements]]=0</f>
        <v>0</v>
      </c>
      <c r="M1888" s="43">
        <f>IF(tblCost[[#This Row],[TargetRequirements]]=0,0,tblCost[[#This Row],[CompletedRequirements]]/tblCost[[#This Row],[TargetRequirements]])</f>
        <v>0</v>
      </c>
    </row>
    <row r="1889" spans="1:13">
      <c r="A1889" s="41" t="s">
        <v>5865</v>
      </c>
      <c r="B1889" s="41" t="str">
        <f>_xlfn.TEXTAFTER(_xlfn.TEXTBEFORE(tblCost[[#This Row],[RequirementID]],".",-2),"cost.")</f>
        <v>quest.festival_of_beans.finished</v>
      </c>
      <c r="C1889" s="41" t="str">
        <f>_xlfn.XLOOKUP(tblCost[[#This Row],[TargetID]],tblTargets[TargetID],tblTargets[DisplayName],"")</f>
        <v>Festival of Beans Finished</v>
      </c>
      <c r="D1889" s="41" t="str">
        <f>_xlfn.XLOOKUP(tblCost[[#This Row],[TargetID]],tblTargets[TargetID],tblTargets[TargetType],"")</f>
        <v>QUEST</v>
      </c>
      <c r="E1889" s="41" t="s">
        <v>954</v>
      </c>
      <c r="F1889" s="62" t="str">
        <f>RIGHT(tblCost[[#This Row],[RequirementID]],1)</f>
        <v>1</v>
      </c>
      <c r="G1889" s="41">
        <v>10</v>
      </c>
      <c r="H1889" t="b">
        <f>COUNTIFS(tblCostChecklist[RequirementID],tblCost[[#This Row],[RequirementID]],tblCostChecklist[PlayerPaid],TRUE)&gt;0</f>
        <v>0</v>
      </c>
      <c r="I1889" s="41">
        <f>COUNTIF(tblCost[TargetID],tblCost[[#This Row],[TargetID]])</f>
        <v>11</v>
      </c>
      <c r="J1889" s="41">
        <f>COUNTIFS(tblCost[TargetID],tblCost[[#This Row],[TargetID]],tblCost[PlayerPaid],TRUE)</f>
        <v>0</v>
      </c>
      <c r="K1889" s="41">
        <f>tblCost[[#This Row],[TargetRequirements]]-tblCost[[#This Row],[CompletedRequirements]]</f>
        <v>11</v>
      </c>
      <c r="L1889" s="41" t="b">
        <f>tblCost[[#This Row],[RemainingRequirements]]=0</f>
        <v>0</v>
      </c>
      <c r="M1889" s="43">
        <f>IF(tblCost[[#This Row],[TargetRequirements]]=0,0,tblCost[[#This Row],[CompletedRequirements]]/tblCost[[#This Row],[TargetRequirements]])</f>
        <v>0</v>
      </c>
    </row>
    <row r="1890" spans="1:13">
      <c r="A1890" s="41" t="s">
        <v>5866</v>
      </c>
      <c r="B1890" s="41" t="str">
        <f>_xlfn.TEXTAFTER(_xlfn.TEXTBEFORE(tblCost[[#This Row],[RequirementID]],".",-2),"cost.")</f>
        <v>quest.festival_of_beans.finished</v>
      </c>
      <c r="C1890" s="41" t="str">
        <f>_xlfn.XLOOKUP(tblCost[[#This Row],[TargetID]],tblTargets[TargetID],tblTargets[DisplayName],"")</f>
        <v>Festival of Beans Finished</v>
      </c>
      <c r="D1890" s="41" t="str">
        <f>_xlfn.XLOOKUP(tblCost[[#This Row],[TargetID]],tblTargets[TargetID],tblTargets[TargetType],"")</f>
        <v>QUEST</v>
      </c>
      <c r="E1890" s="41" t="s">
        <v>858</v>
      </c>
      <c r="F1890" s="62" t="str">
        <f>RIGHT(tblCost[[#This Row],[RequirementID]],1)</f>
        <v>1</v>
      </c>
      <c r="G1890" s="41">
        <v>10</v>
      </c>
      <c r="H1890" t="b">
        <f>COUNTIFS(tblCostChecklist[RequirementID],tblCost[[#This Row],[RequirementID]],tblCostChecklist[PlayerPaid],TRUE)&gt;0</f>
        <v>0</v>
      </c>
      <c r="I1890" s="41">
        <f>COUNTIF(tblCost[TargetID],tblCost[[#This Row],[TargetID]])</f>
        <v>11</v>
      </c>
      <c r="J1890" s="41">
        <f>COUNTIFS(tblCost[TargetID],tblCost[[#This Row],[TargetID]],tblCost[PlayerPaid],TRUE)</f>
        <v>0</v>
      </c>
      <c r="K1890" s="41">
        <f>tblCost[[#This Row],[TargetRequirements]]-tblCost[[#This Row],[CompletedRequirements]]</f>
        <v>11</v>
      </c>
      <c r="L1890" s="41" t="b">
        <f>tblCost[[#This Row],[RemainingRequirements]]=0</f>
        <v>0</v>
      </c>
      <c r="M1890" s="43">
        <f>IF(tblCost[[#This Row],[TargetRequirements]]=0,0,tblCost[[#This Row],[CompletedRequirements]]/tblCost[[#This Row],[TargetRequirements]])</f>
        <v>0</v>
      </c>
    </row>
    <row r="1891" spans="1:13">
      <c r="A1891" s="41" t="s">
        <v>5867</v>
      </c>
      <c r="B1891" s="41" t="str">
        <f>_xlfn.TEXTAFTER(_xlfn.TEXTBEFORE(tblCost[[#This Row],[RequirementID]],".",-2),"cost.")</f>
        <v>quest.festival_of_beans.finished</v>
      </c>
      <c r="C1891" s="41" t="str">
        <f>_xlfn.XLOOKUP(tblCost[[#This Row],[TargetID]],tblTargets[TargetID],tblTargets[DisplayName],"")</f>
        <v>Festival of Beans Finished</v>
      </c>
      <c r="D1891" s="41" t="str">
        <f>_xlfn.XLOOKUP(tblCost[[#This Row],[TargetID]],tblTargets[TargetID],tblTargets[TargetType],"")</f>
        <v>QUEST</v>
      </c>
      <c r="E1891" s="41" t="s">
        <v>5822</v>
      </c>
      <c r="F1891" s="62" t="str">
        <f>RIGHT(tblCost[[#This Row],[RequirementID]],1)</f>
        <v>1</v>
      </c>
      <c r="G1891" s="41">
        <v>10</v>
      </c>
      <c r="H1891" t="b">
        <f>COUNTIFS(tblCostChecklist[RequirementID],tblCost[[#This Row],[RequirementID]],tblCostChecklist[PlayerPaid],TRUE)&gt;0</f>
        <v>0</v>
      </c>
      <c r="I1891" s="41">
        <f>COUNTIF(tblCost[TargetID],tblCost[[#This Row],[TargetID]])</f>
        <v>11</v>
      </c>
      <c r="J1891" s="41">
        <f>COUNTIFS(tblCost[TargetID],tblCost[[#This Row],[TargetID]],tblCost[PlayerPaid],TRUE)</f>
        <v>0</v>
      </c>
      <c r="K1891" s="41">
        <f>tblCost[[#This Row],[TargetRequirements]]-tblCost[[#This Row],[CompletedRequirements]]</f>
        <v>11</v>
      </c>
      <c r="L1891" s="41" t="b">
        <f>tblCost[[#This Row],[RemainingRequirements]]=0</f>
        <v>0</v>
      </c>
      <c r="M1891" s="43">
        <f>IF(tblCost[[#This Row],[TargetRequirements]]=0,0,tblCost[[#This Row],[CompletedRequirements]]/tblCost[[#This Row],[TargetRequirements]])</f>
        <v>0</v>
      </c>
    </row>
    <row r="1892" spans="1:13">
      <c r="A1892" s="41" t="s">
        <v>5868</v>
      </c>
      <c r="B1892" s="41" t="str">
        <f>_xlfn.TEXTAFTER(_xlfn.TEXTBEFORE(tblCost[[#This Row],[RequirementID]],".",-2),"cost.")</f>
        <v>quest.festival_of_beans.finished</v>
      </c>
      <c r="C1892" s="41" t="str">
        <f>_xlfn.XLOOKUP(tblCost[[#This Row],[TargetID]],tblTargets[TargetID],tblTargets[DisplayName],"")</f>
        <v>Festival of Beans Finished</v>
      </c>
      <c r="D1892" s="41" t="str">
        <f>_xlfn.XLOOKUP(tblCost[[#This Row],[TargetID]],tblTargets[TargetID],tblTargets[TargetType],"")</f>
        <v>QUEST</v>
      </c>
      <c r="E1892" s="41" t="s">
        <v>713</v>
      </c>
      <c r="F1892" s="62" t="str">
        <f>RIGHT(tblCost[[#This Row],[RequirementID]],1)</f>
        <v>1</v>
      </c>
      <c r="G1892" s="41">
        <v>10</v>
      </c>
      <c r="H1892" t="b">
        <f>COUNTIFS(tblCostChecklist[RequirementID],tblCost[[#This Row],[RequirementID]],tblCostChecklist[PlayerPaid],TRUE)&gt;0</f>
        <v>0</v>
      </c>
      <c r="I1892" s="41">
        <f>COUNTIF(tblCost[TargetID],tblCost[[#This Row],[TargetID]])</f>
        <v>11</v>
      </c>
      <c r="J1892" s="41">
        <f>COUNTIFS(tblCost[TargetID],tblCost[[#This Row],[TargetID]],tblCost[PlayerPaid],TRUE)</f>
        <v>0</v>
      </c>
      <c r="K1892" s="41">
        <f>tblCost[[#This Row],[TargetRequirements]]-tblCost[[#This Row],[CompletedRequirements]]</f>
        <v>11</v>
      </c>
      <c r="L1892" s="41" t="b">
        <f>tblCost[[#This Row],[RemainingRequirements]]=0</f>
        <v>0</v>
      </c>
      <c r="M1892" s="43">
        <f>IF(tblCost[[#This Row],[TargetRequirements]]=0,0,tblCost[[#This Row],[CompletedRequirements]]/tblCost[[#This Row],[TargetRequirements]])</f>
        <v>0</v>
      </c>
    </row>
    <row r="1893" spans="1:13">
      <c r="A1893" s="41" t="s">
        <v>5869</v>
      </c>
      <c r="B1893" s="41" t="str">
        <f>_xlfn.TEXTAFTER(_xlfn.TEXTBEFORE(tblCost[[#This Row],[RequirementID]],".",-2),"cost.")</f>
        <v>quest.festival_of_beans.finished</v>
      </c>
      <c r="C1893" s="41" t="str">
        <f>_xlfn.XLOOKUP(tblCost[[#This Row],[TargetID]],tblTargets[TargetID],tblTargets[DisplayName],"")</f>
        <v>Festival of Beans Finished</v>
      </c>
      <c r="D1893" s="41" t="str">
        <f>_xlfn.XLOOKUP(tblCost[[#This Row],[TargetID]],tblTargets[TargetID],tblTargets[TargetType],"")</f>
        <v>QUEST</v>
      </c>
      <c r="E1893" s="41" t="s">
        <v>5870</v>
      </c>
      <c r="F1893" s="62" t="str">
        <f>RIGHT(tblCost[[#This Row],[RequirementID]],1)</f>
        <v>1</v>
      </c>
      <c r="G1893" s="41">
        <v>10</v>
      </c>
      <c r="H1893" t="b">
        <f>COUNTIFS(tblCostChecklist[RequirementID],tblCost[[#This Row],[RequirementID]],tblCostChecklist[PlayerPaid],TRUE)&gt;0</f>
        <v>0</v>
      </c>
      <c r="I1893" s="41">
        <f>COUNTIF(tblCost[TargetID],tblCost[[#This Row],[TargetID]])</f>
        <v>11</v>
      </c>
      <c r="J1893" s="41">
        <f>COUNTIFS(tblCost[TargetID],tblCost[[#This Row],[TargetID]],tblCost[PlayerPaid],TRUE)</f>
        <v>0</v>
      </c>
      <c r="K1893" s="41">
        <f>tblCost[[#This Row],[TargetRequirements]]-tblCost[[#This Row],[CompletedRequirements]]</f>
        <v>11</v>
      </c>
      <c r="L1893" s="41" t="b">
        <f>tblCost[[#This Row],[RemainingRequirements]]=0</f>
        <v>0</v>
      </c>
      <c r="M1893" s="43">
        <f>IF(tblCost[[#This Row],[TargetRequirements]]=0,0,tblCost[[#This Row],[CompletedRequirements]]/tblCost[[#This Row],[TargetRequirements]])</f>
        <v>0</v>
      </c>
    </row>
    <row r="1894" spans="1:13">
      <c r="A1894" s="41" t="s">
        <v>5871</v>
      </c>
      <c r="B1894" s="41" t="str">
        <f>_xlfn.TEXTAFTER(_xlfn.TEXTBEFORE(tblCost[[#This Row],[RequirementID]],".",-2),"cost.")</f>
        <v>quest.festival_of_beans.finished</v>
      </c>
      <c r="C1894" s="41" t="str">
        <f>_xlfn.XLOOKUP(tblCost[[#This Row],[TargetID]],tblTargets[TargetID],tblTargets[DisplayName],"")</f>
        <v>Festival of Beans Finished</v>
      </c>
      <c r="D1894" s="41" t="str">
        <f>_xlfn.XLOOKUP(tblCost[[#This Row],[TargetID]],tblTargets[TargetID],tblTargets[TargetType],"")</f>
        <v>QUEST</v>
      </c>
      <c r="E1894" s="41" t="s">
        <v>718</v>
      </c>
      <c r="F1894" s="62" t="str">
        <f>RIGHT(tblCost[[#This Row],[RequirementID]],1)</f>
        <v>1</v>
      </c>
      <c r="G1894" s="41">
        <v>10</v>
      </c>
      <c r="H1894" t="b">
        <f>COUNTIFS(tblCostChecklist[RequirementID],tblCost[[#This Row],[RequirementID]],tblCostChecklist[PlayerPaid],TRUE)&gt;0</f>
        <v>0</v>
      </c>
      <c r="I1894" s="41">
        <f>COUNTIF(tblCost[TargetID],tblCost[[#This Row],[TargetID]])</f>
        <v>11</v>
      </c>
      <c r="J1894" s="41">
        <f>COUNTIFS(tblCost[TargetID],tblCost[[#This Row],[TargetID]],tblCost[PlayerPaid],TRUE)</f>
        <v>0</v>
      </c>
      <c r="K1894" s="41">
        <f>tblCost[[#This Row],[TargetRequirements]]-tblCost[[#This Row],[CompletedRequirements]]</f>
        <v>11</v>
      </c>
      <c r="L1894" s="41" t="b">
        <f>tblCost[[#This Row],[RemainingRequirements]]=0</f>
        <v>0</v>
      </c>
      <c r="M1894" s="43">
        <f>IF(tblCost[[#This Row],[TargetRequirements]]=0,0,tblCost[[#This Row],[CompletedRequirements]]/tblCost[[#This Row],[TargetRequirements]])</f>
        <v>0</v>
      </c>
    </row>
    <row r="1895" spans="1:13">
      <c r="A1895" s="41" t="s">
        <v>5872</v>
      </c>
      <c r="B1895" s="41" t="str">
        <f>_xlfn.TEXTAFTER(_xlfn.TEXTBEFORE(tblCost[[#This Row],[RequirementID]],".",-2),"cost.")</f>
        <v>quest.festival_of_beans.finished</v>
      </c>
      <c r="C1895" s="41" t="str">
        <f>_xlfn.XLOOKUP(tblCost[[#This Row],[TargetID]],tblTargets[TargetID],tblTargets[DisplayName],"")</f>
        <v>Festival of Beans Finished</v>
      </c>
      <c r="D1895" s="41" t="str">
        <f>_xlfn.XLOOKUP(tblCost[[#This Row],[TargetID]],tblTargets[TargetID],tblTargets[TargetType],"")</f>
        <v>QUEST</v>
      </c>
      <c r="E1895" s="41" t="s">
        <v>926</v>
      </c>
      <c r="F1895" s="62" t="str">
        <f>RIGHT(tblCost[[#This Row],[RequirementID]],1)</f>
        <v>1</v>
      </c>
      <c r="G1895" s="41">
        <v>20</v>
      </c>
      <c r="H1895" t="b">
        <f>COUNTIFS(tblCostChecklist[RequirementID],tblCost[[#This Row],[RequirementID]],tblCostChecklist[PlayerPaid],TRUE)&gt;0</f>
        <v>0</v>
      </c>
      <c r="I1895" s="41">
        <f>COUNTIF(tblCost[TargetID],tblCost[[#This Row],[TargetID]])</f>
        <v>11</v>
      </c>
      <c r="J1895" s="41">
        <f>COUNTIFS(tblCost[TargetID],tblCost[[#This Row],[TargetID]],tblCost[PlayerPaid],TRUE)</f>
        <v>0</v>
      </c>
      <c r="K1895" s="41">
        <f>tblCost[[#This Row],[TargetRequirements]]-tblCost[[#This Row],[CompletedRequirements]]</f>
        <v>11</v>
      </c>
      <c r="L1895" s="41" t="b">
        <f>tblCost[[#This Row],[RemainingRequirements]]=0</f>
        <v>0</v>
      </c>
      <c r="M1895" s="43">
        <f>IF(tblCost[[#This Row],[TargetRequirements]]=0,0,tblCost[[#This Row],[CompletedRequirements]]/tblCost[[#This Row],[TargetRequirements]])</f>
        <v>0</v>
      </c>
    </row>
    <row r="1896" spans="1:13">
      <c r="A1896" s="41" t="s">
        <v>5873</v>
      </c>
      <c r="B1896" s="41" t="str">
        <f>_xlfn.TEXTAFTER(_xlfn.TEXTBEFORE(tblCost[[#This Row],[RequirementID]],".",-2),"cost.")</f>
        <v>quest.green_potion.finished</v>
      </c>
      <c r="C1896" s="41" t="str">
        <f>_xlfn.XLOOKUP(tblCost[[#This Row],[TargetID]],tblTargets[TargetID],tblTargets[DisplayName],"")</f>
        <v>Green Potion Finished</v>
      </c>
      <c r="D1896" s="41" t="str">
        <f>_xlfn.XLOOKUP(tblCost[[#This Row],[TargetID]],tblTargets[TargetID],tblTargets[TargetType],"")</f>
        <v>QUEST</v>
      </c>
      <c r="E1896" s="41" t="s">
        <v>705</v>
      </c>
      <c r="F1896" s="62" t="str">
        <f>RIGHT(tblCost[[#This Row],[RequirementID]],1)</f>
        <v>1</v>
      </c>
      <c r="G1896" s="41">
        <v>2</v>
      </c>
      <c r="H1896" t="b">
        <f>COUNTIFS(tblCostChecklist[RequirementID],tblCost[[#This Row],[RequirementID]],tblCostChecklist[PlayerPaid],TRUE)&gt;0</f>
        <v>0</v>
      </c>
      <c r="I1896" s="41">
        <f>COUNTIF(tblCost[TargetID],tblCost[[#This Row],[TargetID]])</f>
        <v>1</v>
      </c>
      <c r="J1896" s="41">
        <f>COUNTIFS(tblCost[TargetID],tblCost[[#This Row],[TargetID]],tblCost[PlayerPaid],TRUE)</f>
        <v>0</v>
      </c>
      <c r="K1896" s="41">
        <f>tblCost[[#This Row],[TargetRequirements]]-tblCost[[#This Row],[CompletedRequirements]]</f>
        <v>1</v>
      </c>
      <c r="L1896" s="41" t="b">
        <f>tblCost[[#This Row],[RemainingRequirements]]=0</f>
        <v>0</v>
      </c>
      <c r="M1896" s="43">
        <f>IF(tblCost[[#This Row],[TargetRequirements]]=0,0,tblCost[[#This Row],[CompletedRequirements]]/tblCost[[#This Row],[TargetRequirements]])</f>
        <v>0</v>
      </c>
    </row>
    <row r="1897" spans="1:13">
      <c r="A1897" s="41" t="s">
        <v>5874</v>
      </c>
      <c r="B1897" s="41" t="str">
        <f>_xlfn.TEXTAFTER(_xlfn.TEXTBEFORE(tblCost[[#This Row],[RequirementID]],".",-2),"cost.")</f>
        <v>quest.magic_beans.finished</v>
      </c>
      <c r="C1897" s="41" t="str">
        <f>_xlfn.XLOOKUP(tblCost[[#This Row],[TargetID]],tblTargets[TargetID],tblTargets[DisplayName],"")</f>
        <v>Magic Beans Finished</v>
      </c>
      <c r="D1897" s="41" t="str">
        <f>_xlfn.XLOOKUP(tblCost[[#This Row],[TargetID]],tblTargets[TargetID],tblTargets[TargetType],"")</f>
        <v>QUEST</v>
      </c>
      <c r="E1897" s="41" t="s">
        <v>954</v>
      </c>
      <c r="F1897" s="62" t="str">
        <f>RIGHT(tblCost[[#This Row],[RequirementID]],1)</f>
        <v>1</v>
      </c>
      <c r="G1897" s="41">
        <v>1</v>
      </c>
      <c r="H1897" t="b">
        <f>COUNTIFS(tblCostChecklist[RequirementID],tblCost[[#This Row],[RequirementID]],tblCostChecklist[PlayerPaid],TRUE)&gt;0</f>
        <v>0</v>
      </c>
      <c r="I1897" s="41">
        <f>COUNTIF(tblCost[TargetID],tblCost[[#This Row],[TargetID]])</f>
        <v>3</v>
      </c>
      <c r="J1897" s="41">
        <f>COUNTIFS(tblCost[TargetID],tblCost[[#This Row],[TargetID]],tblCost[PlayerPaid],TRUE)</f>
        <v>0</v>
      </c>
      <c r="K1897" s="41">
        <f>tblCost[[#This Row],[TargetRequirements]]-tblCost[[#This Row],[CompletedRequirements]]</f>
        <v>3</v>
      </c>
      <c r="L1897" s="41" t="b">
        <f>tblCost[[#This Row],[RemainingRequirements]]=0</f>
        <v>0</v>
      </c>
      <c r="M1897" s="43">
        <f>IF(tblCost[[#This Row],[TargetRequirements]]=0,0,tblCost[[#This Row],[CompletedRequirements]]/tblCost[[#This Row],[TargetRequirements]])</f>
        <v>0</v>
      </c>
    </row>
    <row r="1898" spans="1:13">
      <c r="A1898" s="41" t="s">
        <v>5875</v>
      </c>
      <c r="B1898" s="41" t="str">
        <f>_xlfn.TEXTAFTER(_xlfn.TEXTBEFORE(tblCost[[#This Row],[RequirementID]],".",-2),"cost.")</f>
        <v>quest.magic_beans.finished</v>
      </c>
      <c r="C1898" s="41" t="str">
        <f>_xlfn.XLOOKUP(tblCost[[#This Row],[TargetID]],tblTargets[TargetID],tblTargets[DisplayName],"")</f>
        <v>Magic Beans Finished</v>
      </c>
      <c r="D1898" s="41" t="str">
        <f>_xlfn.XLOOKUP(tblCost[[#This Row],[TargetID]],tblTargets[TargetID],tblTargets[TargetType],"")</f>
        <v>QUEST</v>
      </c>
      <c r="E1898" s="41" t="s">
        <v>858</v>
      </c>
      <c r="F1898" s="62" t="str">
        <f>RIGHT(tblCost[[#This Row],[RequirementID]],1)</f>
        <v>1</v>
      </c>
      <c r="G1898" s="41">
        <v>1</v>
      </c>
      <c r="H1898" t="b">
        <f>COUNTIFS(tblCostChecklist[RequirementID],tblCost[[#This Row],[RequirementID]],tblCostChecklist[PlayerPaid],TRUE)&gt;0</f>
        <v>0</v>
      </c>
      <c r="I1898" s="41">
        <f>COUNTIF(tblCost[TargetID],tblCost[[#This Row],[TargetID]])</f>
        <v>3</v>
      </c>
      <c r="J1898" s="41">
        <f>COUNTIFS(tblCost[TargetID],tblCost[[#This Row],[TargetID]],tblCost[PlayerPaid],TRUE)</f>
        <v>0</v>
      </c>
      <c r="K1898" s="41">
        <f>tblCost[[#This Row],[TargetRequirements]]-tblCost[[#This Row],[CompletedRequirements]]</f>
        <v>3</v>
      </c>
      <c r="L1898" s="41" t="b">
        <f>tblCost[[#This Row],[RemainingRequirements]]=0</f>
        <v>0</v>
      </c>
      <c r="M1898" s="43">
        <f>IF(tblCost[[#This Row],[TargetRequirements]]=0,0,tblCost[[#This Row],[CompletedRequirements]]/tblCost[[#This Row],[TargetRequirements]])</f>
        <v>0</v>
      </c>
    </row>
    <row r="1899" spans="1:13">
      <c r="A1899" s="41" t="s">
        <v>5876</v>
      </c>
      <c r="B1899" s="41" t="str">
        <f>_xlfn.TEXTAFTER(_xlfn.TEXTBEFORE(tblCost[[#This Row],[RequirementID]],".",-2),"cost.")</f>
        <v>quest.magic_beans.finished</v>
      </c>
      <c r="C1899" s="41" t="str">
        <f>_xlfn.XLOOKUP(tblCost[[#This Row],[TargetID]],tblTargets[TargetID],tblTargets[DisplayName],"")</f>
        <v>Magic Beans Finished</v>
      </c>
      <c r="D1899" s="41" t="str">
        <f>_xlfn.XLOOKUP(tblCost[[#This Row],[TargetID]],tblTargets[TargetID],tblTargets[TargetType],"")</f>
        <v>QUEST</v>
      </c>
      <c r="E1899" s="41" t="s">
        <v>1848</v>
      </c>
      <c r="F1899" s="62" t="str">
        <f>RIGHT(tblCost[[#This Row],[RequirementID]],1)</f>
        <v>1</v>
      </c>
      <c r="G1899" s="41">
        <v>1</v>
      </c>
      <c r="H1899" t="b">
        <f>COUNTIFS(tblCostChecklist[RequirementID],tblCost[[#This Row],[RequirementID]],tblCostChecklist[PlayerPaid],TRUE)&gt;0</f>
        <v>0</v>
      </c>
      <c r="I1899" s="41">
        <f>COUNTIF(tblCost[TargetID],tblCost[[#This Row],[TargetID]])</f>
        <v>3</v>
      </c>
      <c r="J1899" s="41">
        <f>COUNTIFS(tblCost[TargetID],tblCost[[#This Row],[TargetID]],tblCost[PlayerPaid],TRUE)</f>
        <v>0</v>
      </c>
      <c r="K1899" s="41">
        <f>tblCost[[#This Row],[TargetRequirements]]-tblCost[[#This Row],[CompletedRequirements]]</f>
        <v>3</v>
      </c>
      <c r="L1899" s="41" t="b">
        <f>tblCost[[#This Row],[RemainingRequirements]]=0</f>
        <v>0</v>
      </c>
      <c r="M1899" s="43">
        <f>IF(tblCost[[#This Row],[TargetRequirements]]=0,0,tblCost[[#This Row],[CompletedRequirements]]/tblCost[[#This Row],[TargetRequirements]])</f>
        <v>0</v>
      </c>
    </row>
    <row r="1900" spans="1:13">
      <c r="A1900" s="41" t="s">
        <v>5877</v>
      </c>
      <c r="B1900" s="41" t="str">
        <f>_xlfn.TEXTAFTER(_xlfn.TEXTBEFORE(tblCost[[#This Row],[RequirementID]],".",-2),"cost.")</f>
        <v>quest.once_upon_a_forest_chapter_5.finished</v>
      </c>
      <c r="C1900" s="41" t="str">
        <f>_xlfn.XLOOKUP(tblCost[[#This Row],[TargetID]],tblTargets[TargetID],tblTargets[DisplayName],"")</f>
        <v>Once Upon a Forest Chapter 5 Finished</v>
      </c>
      <c r="D1900" s="41" t="str">
        <f>_xlfn.XLOOKUP(tblCost[[#This Row],[TargetID]],tblTargets[TargetID],tblTargets[TargetType],"")</f>
        <v>QUEST</v>
      </c>
      <c r="E1900" s="41" t="s">
        <v>1801</v>
      </c>
      <c r="F1900" s="62" t="str">
        <f>RIGHT(tblCost[[#This Row],[RequirementID]],1)</f>
        <v>1</v>
      </c>
      <c r="G1900" s="41">
        <v>2</v>
      </c>
      <c r="H1900" t="b">
        <f>COUNTIFS(tblCostChecklist[RequirementID],tblCost[[#This Row],[RequirementID]],tblCostChecklist[PlayerPaid],TRUE)&gt;0</f>
        <v>0</v>
      </c>
      <c r="I1900" s="41">
        <f>COUNTIF(tblCost[TargetID],tblCost[[#This Row],[TargetID]])</f>
        <v>4</v>
      </c>
      <c r="J1900" s="41">
        <f>COUNTIFS(tblCost[TargetID],tblCost[[#This Row],[TargetID]],tblCost[PlayerPaid],TRUE)</f>
        <v>0</v>
      </c>
      <c r="K1900" s="41">
        <f>tblCost[[#This Row],[TargetRequirements]]-tblCost[[#This Row],[CompletedRequirements]]</f>
        <v>4</v>
      </c>
      <c r="L1900" s="41" t="b">
        <f>tblCost[[#This Row],[RemainingRequirements]]=0</f>
        <v>0</v>
      </c>
      <c r="M1900" s="43">
        <f>IF(tblCost[[#This Row],[TargetRequirements]]=0,0,tblCost[[#This Row],[CompletedRequirements]]/tblCost[[#This Row],[TargetRequirements]])</f>
        <v>0</v>
      </c>
    </row>
    <row r="1901" spans="1:13">
      <c r="A1901" s="41" t="s">
        <v>5878</v>
      </c>
      <c r="B1901" s="41" t="str">
        <f>_xlfn.TEXTAFTER(_xlfn.TEXTBEFORE(tblCost[[#This Row],[RequirementID]],".",-2),"cost.")</f>
        <v>quest.once_upon_a_forest_chapter_5.finished</v>
      </c>
      <c r="C1901" s="41" t="str">
        <f>_xlfn.XLOOKUP(tblCost[[#This Row],[TargetID]],tblTargets[TargetID],tblTargets[DisplayName],"")</f>
        <v>Once Upon a Forest Chapter 5 Finished</v>
      </c>
      <c r="D1901" s="41" t="str">
        <f>_xlfn.XLOOKUP(tblCost[[#This Row],[TargetID]],tblTargets[TargetID],tblTargets[TargetType],"")</f>
        <v>QUEST</v>
      </c>
      <c r="E1901" s="41" t="s">
        <v>1839</v>
      </c>
      <c r="F1901" s="62" t="str">
        <f>RIGHT(tblCost[[#This Row],[RequirementID]],1)</f>
        <v>1</v>
      </c>
      <c r="G1901" s="41">
        <v>2</v>
      </c>
      <c r="H1901" t="b">
        <f>COUNTIFS(tblCostChecklist[RequirementID],tblCost[[#This Row],[RequirementID]],tblCostChecklist[PlayerPaid],TRUE)&gt;0</f>
        <v>0</v>
      </c>
      <c r="I1901" s="41">
        <f>COUNTIF(tblCost[TargetID],tblCost[[#This Row],[TargetID]])</f>
        <v>4</v>
      </c>
      <c r="J1901" s="41">
        <f>COUNTIFS(tblCost[TargetID],tblCost[[#This Row],[TargetID]],tblCost[PlayerPaid],TRUE)</f>
        <v>0</v>
      </c>
      <c r="K1901" s="41">
        <f>tblCost[[#This Row],[TargetRequirements]]-tblCost[[#This Row],[CompletedRequirements]]</f>
        <v>4</v>
      </c>
      <c r="L1901" s="41" t="b">
        <f>tblCost[[#This Row],[RemainingRequirements]]=0</f>
        <v>0</v>
      </c>
      <c r="M1901" s="43">
        <f>IF(tblCost[[#This Row],[TargetRequirements]]=0,0,tblCost[[#This Row],[CompletedRequirements]]/tblCost[[#This Row],[TargetRequirements]])</f>
        <v>0</v>
      </c>
    </row>
    <row r="1902" spans="1:13">
      <c r="A1902" s="41" t="s">
        <v>5879</v>
      </c>
      <c r="B1902" s="41" t="str">
        <f>_xlfn.TEXTAFTER(_xlfn.TEXTBEFORE(tblCost[[#This Row],[RequirementID]],".",-2),"cost.")</f>
        <v>quest.once_upon_a_forest_chapter_5.finished</v>
      </c>
      <c r="C1902" s="41" t="str">
        <f>_xlfn.XLOOKUP(tblCost[[#This Row],[TargetID]],tblTargets[TargetID],tblTargets[DisplayName],"")</f>
        <v>Once Upon a Forest Chapter 5 Finished</v>
      </c>
      <c r="D1902" s="41" t="str">
        <f>_xlfn.XLOOKUP(tblCost[[#This Row],[TargetID]],tblTargets[TargetID],tblTargets[TargetType],"")</f>
        <v>QUEST</v>
      </c>
      <c r="E1902" s="41" t="s">
        <v>711</v>
      </c>
      <c r="F1902" s="62" t="str">
        <f>RIGHT(tblCost[[#This Row],[RequirementID]],1)</f>
        <v>1</v>
      </c>
      <c r="G1902" s="41">
        <v>2</v>
      </c>
      <c r="H1902" t="b">
        <f>COUNTIFS(tblCostChecklist[RequirementID],tblCost[[#This Row],[RequirementID]],tblCostChecklist[PlayerPaid],TRUE)&gt;0</f>
        <v>0</v>
      </c>
      <c r="I1902" s="41">
        <f>COUNTIF(tblCost[TargetID],tblCost[[#This Row],[TargetID]])</f>
        <v>4</v>
      </c>
      <c r="J1902" s="41">
        <f>COUNTIFS(tblCost[TargetID],tblCost[[#This Row],[TargetID]],tblCost[PlayerPaid],TRUE)</f>
        <v>0</v>
      </c>
      <c r="K1902" s="41">
        <f>tblCost[[#This Row],[TargetRequirements]]-tblCost[[#This Row],[CompletedRequirements]]</f>
        <v>4</v>
      </c>
      <c r="L1902" s="41" t="b">
        <f>tblCost[[#This Row],[RemainingRequirements]]=0</f>
        <v>0</v>
      </c>
      <c r="M1902" s="43">
        <f>IF(tblCost[[#This Row],[TargetRequirements]]=0,0,tblCost[[#This Row],[CompletedRequirements]]/tblCost[[#This Row],[TargetRequirements]])</f>
        <v>0</v>
      </c>
    </row>
    <row r="1903" spans="1:13">
      <c r="A1903" s="41" t="s">
        <v>5880</v>
      </c>
      <c r="B1903" s="41" t="str">
        <f>_xlfn.TEXTAFTER(_xlfn.TEXTBEFORE(tblCost[[#This Row],[RequirementID]],".",-2),"cost.")</f>
        <v>quest.once_upon_a_forest_chapter_5.finished</v>
      </c>
      <c r="C1903" s="41" t="str">
        <f>_xlfn.XLOOKUP(tblCost[[#This Row],[TargetID]],tblTargets[TargetID],tblTargets[DisplayName],"")</f>
        <v>Once Upon a Forest Chapter 5 Finished</v>
      </c>
      <c r="D1903" s="41" t="str">
        <f>_xlfn.XLOOKUP(tblCost[[#This Row],[TargetID]],tblTargets[TargetID],tblTargets[TargetType],"")</f>
        <v>QUEST</v>
      </c>
      <c r="E1903" s="41" t="s">
        <v>719</v>
      </c>
      <c r="F1903" s="62" t="str">
        <f>RIGHT(tblCost[[#This Row],[RequirementID]],1)</f>
        <v>1</v>
      </c>
      <c r="G1903" s="41">
        <v>4</v>
      </c>
      <c r="H1903" t="b">
        <f>COUNTIFS(tblCostChecklist[RequirementID],tblCost[[#This Row],[RequirementID]],tblCostChecklist[PlayerPaid],TRUE)&gt;0</f>
        <v>0</v>
      </c>
      <c r="I1903" s="41">
        <f>COUNTIF(tblCost[TargetID],tblCost[[#This Row],[TargetID]])</f>
        <v>4</v>
      </c>
      <c r="J1903" s="41">
        <f>COUNTIFS(tblCost[TargetID],tblCost[[#This Row],[TargetID]],tblCost[PlayerPaid],TRUE)</f>
        <v>0</v>
      </c>
      <c r="K1903" s="41">
        <f>tblCost[[#This Row],[TargetRequirements]]-tblCost[[#This Row],[CompletedRequirements]]</f>
        <v>4</v>
      </c>
      <c r="L1903" s="41" t="b">
        <f>tblCost[[#This Row],[RemainingRequirements]]=0</f>
        <v>0</v>
      </c>
      <c r="M1903" s="43">
        <f>IF(tblCost[[#This Row],[TargetRequirements]]=0,0,tblCost[[#This Row],[CompletedRequirements]]/tblCost[[#This Row],[TargetRequirements]])</f>
        <v>0</v>
      </c>
    </row>
    <row r="1904" spans="1:13">
      <c r="A1904" s="41" t="s">
        <v>5881</v>
      </c>
      <c r="B1904" s="41" t="str">
        <f>_xlfn.TEXTAFTER(_xlfn.TEXTBEFORE(tblCost[[#This Row],[RequirementID]],".",-2),"cost.")</f>
        <v>quest.once_upon_a_forest_chapter_8.finished</v>
      </c>
      <c r="C1904" s="41" t="str">
        <f>_xlfn.XLOOKUP(tblCost[[#This Row],[TargetID]],tblTargets[TargetID],tblTargets[DisplayName],"")</f>
        <v>Once Upon a Forest Chapter 8 Finished</v>
      </c>
      <c r="D1904" s="41" t="str">
        <f>_xlfn.XLOOKUP(tblCost[[#This Row],[TargetID]],tblTargets[TargetID],tblTargets[TargetType],"")</f>
        <v>QUEST</v>
      </c>
      <c r="E1904" s="41" t="s">
        <v>722</v>
      </c>
      <c r="F1904" s="62" t="str">
        <f>RIGHT(tblCost[[#This Row],[RequirementID]],1)</f>
        <v>1</v>
      </c>
      <c r="G1904" s="41">
        <v>10</v>
      </c>
      <c r="H1904" t="b">
        <f>COUNTIFS(tblCostChecklist[RequirementID],tblCost[[#This Row],[RequirementID]],tblCostChecklist[PlayerPaid],TRUE)&gt;0</f>
        <v>0</v>
      </c>
      <c r="I1904" s="41">
        <f>COUNTIF(tblCost[TargetID],tblCost[[#This Row],[TargetID]])</f>
        <v>3</v>
      </c>
      <c r="J1904" s="41">
        <f>COUNTIFS(tblCost[TargetID],tblCost[[#This Row],[TargetID]],tblCost[PlayerPaid],TRUE)</f>
        <v>0</v>
      </c>
      <c r="K1904" s="41">
        <f>tblCost[[#This Row],[TargetRequirements]]-tblCost[[#This Row],[CompletedRequirements]]</f>
        <v>3</v>
      </c>
      <c r="L1904" s="41" t="b">
        <f>tblCost[[#This Row],[RemainingRequirements]]=0</f>
        <v>0</v>
      </c>
      <c r="M1904" s="43">
        <f>IF(tblCost[[#This Row],[TargetRequirements]]=0,0,tblCost[[#This Row],[CompletedRequirements]]/tblCost[[#This Row],[TargetRequirements]])</f>
        <v>0</v>
      </c>
    </row>
    <row r="1905" spans="1:13">
      <c r="A1905" s="41" t="s">
        <v>5882</v>
      </c>
      <c r="B1905" s="41" t="str">
        <f>_xlfn.TEXTAFTER(_xlfn.TEXTBEFORE(tblCost[[#This Row],[RequirementID]],".",-2),"cost.")</f>
        <v>quest.once_upon_a_forest_chapter_8.finished</v>
      </c>
      <c r="C1905" s="41" t="str">
        <f>_xlfn.XLOOKUP(tblCost[[#This Row],[TargetID]],tblTargets[TargetID],tblTargets[DisplayName],"")</f>
        <v>Once Upon a Forest Chapter 8 Finished</v>
      </c>
      <c r="D1905" s="41" t="str">
        <f>_xlfn.XLOOKUP(tblCost[[#This Row],[TargetID]],tblTargets[TargetID],tblTargets[TargetType],"")</f>
        <v>QUEST</v>
      </c>
      <c r="E1905" s="41" t="s">
        <v>707</v>
      </c>
      <c r="F1905" s="62" t="str">
        <f>RIGHT(tblCost[[#This Row],[RequirementID]],1)</f>
        <v>1</v>
      </c>
      <c r="G1905" s="41">
        <v>10</v>
      </c>
      <c r="H1905" t="b">
        <f>COUNTIFS(tblCostChecklist[RequirementID],tblCost[[#This Row],[RequirementID]],tblCostChecklist[PlayerPaid],TRUE)&gt;0</f>
        <v>0</v>
      </c>
      <c r="I1905" s="41">
        <f>COUNTIF(tblCost[TargetID],tblCost[[#This Row],[TargetID]])</f>
        <v>3</v>
      </c>
      <c r="J1905" s="41">
        <f>COUNTIFS(tblCost[TargetID],tblCost[[#This Row],[TargetID]],tblCost[PlayerPaid],TRUE)</f>
        <v>0</v>
      </c>
      <c r="K1905" s="41">
        <f>tblCost[[#This Row],[TargetRequirements]]-tblCost[[#This Row],[CompletedRequirements]]</f>
        <v>3</v>
      </c>
      <c r="L1905" s="41" t="b">
        <f>tblCost[[#This Row],[RemainingRequirements]]=0</f>
        <v>0</v>
      </c>
      <c r="M1905" s="43">
        <f>IF(tblCost[[#This Row],[TargetRequirements]]=0,0,tblCost[[#This Row],[CompletedRequirements]]/tblCost[[#This Row],[TargetRequirements]])</f>
        <v>0</v>
      </c>
    </row>
    <row r="1906" spans="1:13">
      <c r="A1906" s="41" t="s">
        <v>5883</v>
      </c>
      <c r="B1906" s="41" t="str">
        <f>_xlfn.TEXTAFTER(_xlfn.TEXTBEFORE(tblCost[[#This Row],[RequirementID]],".",-2),"cost.")</f>
        <v>quest.once_upon_a_forest_chapter_8.finished</v>
      </c>
      <c r="C1906" s="41" t="str">
        <f>_xlfn.XLOOKUP(tblCost[[#This Row],[TargetID]],tblTargets[TargetID],tblTargets[DisplayName],"")</f>
        <v>Once Upon a Forest Chapter 8 Finished</v>
      </c>
      <c r="D1906" s="41" t="str">
        <f>_xlfn.XLOOKUP(tblCost[[#This Row],[TargetID]],tblTargets[TargetID],tblTargets[TargetType],"")</f>
        <v>QUEST</v>
      </c>
      <c r="E1906" s="41" t="s">
        <v>666</v>
      </c>
      <c r="F1906" s="62" t="str">
        <f>RIGHT(tblCost[[#This Row],[RequirementID]],1)</f>
        <v>1</v>
      </c>
      <c r="G1906" s="41">
        <v>1000</v>
      </c>
      <c r="H1906" t="b">
        <f>COUNTIFS(tblCostChecklist[RequirementID],tblCost[[#This Row],[RequirementID]],tblCostChecklist[PlayerPaid],TRUE)&gt;0</f>
        <v>0</v>
      </c>
      <c r="I1906" s="41">
        <f>COUNTIF(tblCost[TargetID],tblCost[[#This Row],[TargetID]])</f>
        <v>3</v>
      </c>
      <c r="J1906" s="41">
        <f>COUNTIFS(tblCost[TargetID],tblCost[[#This Row],[TargetID]],tblCost[PlayerPaid],TRUE)</f>
        <v>0</v>
      </c>
      <c r="K1906" s="41">
        <f>tblCost[[#This Row],[TargetRequirements]]-tblCost[[#This Row],[CompletedRequirements]]</f>
        <v>3</v>
      </c>
      <c r="L1906" s="41" t="b">
        <f>tblCost[[#This Row],[RemainingRequirements]]=0</f>
        <v>0</v>
      </c>
      <c r="M1906" s="43">
        <f>IF(tblCost[[#This Row],[TargetRequirements]]=0,0,tblCost[[#This Row],[CompletedRequirements]]/tblCost[[#This Row],[TargetRequirements]])</f>
        <v>0</v>
      </c>
    </row>
    <row r="1907" spans="1:13">
      <c r="A1907" s="41" t="s">
        <v>5884</v>
      </c>
      <c r="B1907" s="41" t="str">
        <f>_xlfn.TEXTAFTER(_xlfn.TEXTBEFORE(tblCost[[#This Row],[RequirementID]],".",-2),"cost.")</f>
        <v>quest.once_upon_a_forest_chapter_13.finished</v>
      </c>
      <c r="C1907" s="41" t="str">
        <f>_xlfn.XLOOKUP(tblCost[[#This Row],[TargetID]],tblTargets[TargetID],tblTargets[DisplayName],"")</f>
        <v>Once Upon a Forest Chapter 13 Finished</v>
      </c>
      <c r="D1907" s="41" t="str">
        <f>_xlfn.XLOOKUP(tblCost[[#This Row],[TargetID]],tblTargets[TargetID],tblTargets[TargetType],"")</f>
        <v>QUEST</v>
      </c>
      <c r="E1907" s="41" t="s">
        <v>5885</v>
      </c>
      <c r="F1907" s="62" t="str">
        <f>RIGHT(tblCost[[#This Row],[RequirementID]],1)</f>
        <v>1</v>
      </c>
      <c r="G1907" s="41">
        <v>10</v>
      </c>
      <c r="H1907" t="b">
        <f>COUNTIFS(tblCostChecklist[RequirementID],tblCost[[#This Row],[RequirementID]],tblCostChecklist[PlayerPaid],TRUE)&gt;0</f>
        <v>0</v>
      </c>
      <c r="I1907" s="41">
        <f>COUNTIF(tblCost[TargetID],tblCost[[#This Row],[TargetID]])</f>
        <v>6</v>
      </c>
      <c r="J1907" s="41">
        <f>COUNTIFS(tblCost[TargetID],tblCost[[#This Row],[TargetID]],tblCost[PlayerPaid],TRUE)</f>
        <v>0</v>
      </c>
      <c r="K1907" s="41">
        <f>tblCost[[#This Row],[TargetRequirements]]-tblCost[[#This Row],[CompletedRequirements]]</f>
        <v>6</v>
      </c>
      <c r="L1907" s="41" t="b">
        <f>tblCost[[#This Row],[RemainingRequirements]]=0</f>
        <v>0</v>
      </c>
      <c r="M1907" s="43">
        <f>IF(tblCost[[#This Row],[TargetRequirements]]=0,0,tblCost[[#This Row],[CompletedRequirements]]/tblCost[[#This Row],[TargetRequirements]])</f>
        <v>0</v>
      </c>
    </row>
    <row r="1908" spans="1:13">
      <c r="A1908" s="41" t="s">
        <v>5886</v>
      </c>
      <c r="B1908" s="41" t="str">
        <f>_xlfn.TEXTAFTER(_xlfn.TEXTBEFORE(tblCost[[#This Row],[RequirementID]],".",-2),"cost.")</f>
        <v>quest.once_upon_a_forest_chapter_13.finished</v>
      </c>
      <c r="C1908" s="41" t="str">
        <f>_xlfn.XLOOKUP(tblCost[[#This Row],[TargetID]],tblTargets[TargetID],tblTargets[DisplayName],"")</f>
        <v>Once Upon a Forest Chapter 13 Finished</v>
      </c>
      <c r="D1908" s="41" t="str">
        <f>_xlfn.XLOOKUP(tblCost[[#This Row],[TargetID]],tblTargets[TargetID],tblTargets[TargetType],"")</f>
        <v>QUEST</v>
      </c>
      <c r="E1908" s="41" t="s">
        <v>5837</v>
      </c>
      <c r="F1908" s="62" t="str">
        <f>RIGHT(tblCost[[#This Row],[RequirementID]],1)</f>
        <v>1</v>
      </c>
      <c r="G1908" s="41">
        <v>10</v>
      </c>
      <c r="H1908" t="b">
        <f>COUNTIFS(tblCostChecklist[RequirementID],tblCost[[#This Row],[RequirementID]],tblCostChecklist[PlayerPaid],TRUE)&gt;0</f>
        <v>0</v>
      </c>
      <c r="I1908" s="41">
        <f>COUNTIF(tblCost[TargetID],tblCost[[#This Row],[TargetID]])</f>
        <v>6</v>
      </c>
      <c r="J1908" s="41">
        <f>COUNTIFS(tblCost[TargetID],tblCost[[#This Row],[TargetID]],tblCost[PlayerPaid],TRUE)</f>
        <v>0</v>
      </c>
      <c r="K1908" s="41">
        <f>tblCost[[#This Row],[TargetRequirements]]-tblCost[[#This Row],[CompletedRequirements]]</f>
        <v>6</v>
      </c>
      <c r="L1908" s="41" t="b">
        <f>tblCost[[#This Row],[RemainingRequirements]]=0</f>
        <v>0</v>
      </c>
      <c r="M1908" s="43">
        <f>IF(tblCost[[#This Row],[TargetRequirements]]=0,0,tblCost[[#This Row],[CompletedRequirements]]/tblCost[[#This Row],[TargetRequirements]])</f>
        <v>0</v>
      </c>
    </row>
    <row r="1909" spans="1:13">
      <c r="A1909" s="41" t="s">
        <v>5887</v>
      </c>
      <c r="B1909" s="41" t="str">
        <f>_xlfn.TEXTAFTER(_xlfn.TEXTBEFORE(tblCost[[#This Row],[RequirementID]],".",-2),"cost.")</f>
        <v>quest.once_upon_a_forest_chapter_13.finished</v>
      </c>
      <c r="C1909" s="41" t="str">
        <f>_xlfn.XLOOKUP(tblCost[[#This Row],[TargetID]],tblTargets[TargetID],tblTargets[DisplayName],"")</f>
        <v>Once Upon a Forest Chapter 13 Finished</v>
      </c>
      <c r="D1909" s="41" t="str">
        <f>_xlfn.XLOOKUP(tblCost[[#This Row],[TargetID]],tblTargets[TargetID],tblTargets[TargetType],"")</f>
        <v>QUEST</v>
      </c>
      <c r="E1909" s="41" t="s">
        <v>1793</v>
      </c>
      <c r="F1909" s="62" t="str">
        <f>RIGHT(tblCost[[#This Row],[RequirementID]],1)</f>
        <v>1</v>
      </c>
      <c r="G1909" s="41">
        <v>5</v>
      </c>
      <c r="H1909" t="b">
        <f>COUNTIFS(tblCostChecklist[RequirementID],tblCost[[#This Row],[RequirementID]],tblCostChecklist[PlayerPaid],TRUE)&gt;0</f>
        <v>0</v>
      </c>
      <c r="I1909" s="41">
        <f>COUNTIF(tblCost[TargetID],tblCost[[#This Row],[TargetID]])</f>
        <v>6</v>
      </c>
      <c r="J1909" s="41">
        <f>COUNTIFS(tblCost[TargetID],tblCost[[#This Row],[TargetID]],tblCost[PlayerPaid],TRUE)</f>
        <v>0</v>
      </c>
      <c r="K1909" s="41">
        <f>tblCost[[#This Row],[TargetRequirements]]-tblCost[[#This Row],[CompletedRequirements]]</f>
        <v>6</v>
      </c>
      <c r="L1909" s="41" t="b">
        <f>tblCost[[#This Row],[RemainingRequirements]]=0</f>
        <v>0</v>
      </c>
      <c r="M1909" s="43">
        <f>IF(tblCost[[#This Row],[TargetRequirements]]=0,0,tblCost[[#This Row],[CompletedRequirements]]/tblCost[[#This Row],[TargetRequirements]])</f>
        <v>0</v>
      </c>
    </row>
    <row r="1910" spans="1:13">
      <c r="A1910" s="41" t="s">
        <v>5888</v>
      </c>
      <c r="B1910" s="41" t="str">
        <f>_xlfn.TEXTAFTER(_xlfn.TEXTBEFORE(tblCost[[#This Row],[RequirementID]],".",-2),"cost.")</f>
        <v>quest.once_upon_a_forest_chapter_13.finished</v>
      </c>
      <c r="C1910" s="41" t="str">
        <f>_xlfn.XLOOKUP(tblCost[[#This Row],[TargetID]],tblTargets[TargetID],tblTargets[DisplayName],"")</f>
        <v>Once Upon a Forest Chapter 13 Finished</v>
      </c>
      <c r="D1910" s="41" t="str">
        <f>_xlfn.XLOOKUP(tblCost[[#This Row],[TargetID]],tblTargets[TargetID],tblTargets[TargetType],"")</f>
        <v>QUEST</v>
      </c>
      <c r="E1910" s="41" t="s">
        <v>855</v>
      </c>
      <c r="F1910" s="62" t="str">
        <f>RIGHT(tblCost[[#This Row],[RequirementID]],1)</f>
        <v>1</v>
      </c>
      <c r="G1910" s="41">
        <v>5</v>
      </c>
      <c r="H1910" t="b">
        <f>COUNTIFS(tblCostChecklist[RequirementID],tblCost[[#This Row],[RequirementID]],tblCostChecklist[PlayerPaid],TRUE)&gt;0</f>
        <v>0</v>
      </c>
      <c r="I1910" s="41">
        <f>COUNTIF(tblCost[TargetID],tblCost[[#This Row],[TargetID]])</f>
        <v>6</v>
      </c>
      <c r="J1910" s="41">
        <f>COUNTIFS(tblCost[TargetID],tblCost[[#This Row],[TargetID]],tblCost[PlayerPaid],TRUE)</f>
        <v>0</v>
      </c>
      <c r="K1910" s="41">
        <f>tblCost[[#This Row],[TargetRequirements]]-tblCost[[#This Row],[CompletedRequirements]]</f>
        <v>6</v>
      </c>
      <c r="L1910" s="41" t="b">
        <f>tblCost[[#This Row],[RemainingRequirements]]=0</f>
        <v>0</v>
      </c>
      <c r="M1910" s="43">
        <f>IF(tblCost[[#This Row],[TargetRequirements]]=0,0,tblCost[[#This Row],[CompletedRequirements]]/tblCost[[#This Row],[TargetRequirements]])</f>
        <v>0</v>
      </c>
    </row>
    <row r="1911" spans="1:13">
      <c r="A1911" s="41" t="s">
        <v>5889</v>
      </c>
      <c r="B1911" s="41" t="str">
        <f>_xlfn.TEXTAFTER(_xlfn.TEXTBEFORE(tblCost[[#This Row],[RequirementID]],".",-2),"cost.")</f>
        <v>quest.once_upon_a_forest_chapter_13.finished</v>
      </c>
      <c r="C1911" s="41" t="str">
        <f>_xlfn.XLOOKUP(tblCost[[#This Row],[TargetID]],tblTargets[TargetID],tblTargets[DisplayName],"")</f>
        <v>Once Upon a Forest Chapter 13 Finished</v>
      </c>
      <c r="D1911" s="41" t="str">
        <f>_xlfn.XLOOKUP(tblCost[[#This Row],[TargetID]],tblTargets[TargetID],tblTargets[TargetType],"")</f>
        <v>QUEST</v>
      </c>
      <c r="E1911" s="41" t="s">
        <v>938</v>
      </c>
      <c r="F1911" s="62" t="str">
        <f>RIGHT(tblCost[[#This Row],[RequirementID]],1)</f>
        <v>1</v>
      </c>
      <c r="G1911" s="41">
        <v>5</v>
      </c>
      <c r="H1911" t="b">
        <f>COUNTIFS(tblCostChecklist[RequirementID],tblCost[[#This Row],[RequirementID]],tblCostChecklist[PlayerPaid],TRUE)&gt;0</f>
        <v>0</v>
      </c>
      <c r="I1911" s="41">
        <f>COUNTIF(tblCost[TargetID],tblCost[[#This Row],[TargetID]])</f>
        <v>6</v>
      </c>
      <c r="J1911" s="41">
        <f>COUNTIFS(tblCost[TargetID],tblCost[[#This Row],[TargetID]],tblCost[PlayerPaid],TRUE)</f>
        <v>0</v>
      </c>
      <c r="K1911" s="41">
        <f>tblCost[[#This Row],[TargetRequirements]]-tblCost[[#This Row],[CompletedRequirements]]</f>
        <v>6</v>
      </c>
      <c r="L1911" s="41" t="b">
        <f>tblCost[[#This Row],[RemainingRequirements]]=0</f>
        <v>0</v>
      </c>
      <c r="M1911" s="43">
        <f>IF(tblCost[[#This Row],[TargetRequirements]]=0,0,tblCost[[#This Row],[CompletedRequirements]]/tblCost[[#This Row],[TargetRequirements]])</f>
        <v>0</v>
      </c>
    </row>
    <row r="1912" spans="1:13">
      <c r="A1912" s="41" t="s">
        <v>5890</v>
      </c>
      <c r="B1912" s="41" t="str">
        <f>_xlfn.TEXTAFTER(_xlfn.TEXTBEFORE(tblCost[[#This Row],[RequirementID]],".",-2),"cost.")</f>
        <v>quest.once_upon_a_forest_chapter_13.finished</v>
      </c>
      <c r="C1912" s="41" t="str">
        <f>_xlfn.XLOOKUP(tblCost[[#This Row],[TargetID]],tblTargets[TargetID],tblTargets[DisplayName],"")</f>
        <v>Once Upon a Forest Chapter 13 Finished</v>
      </c>
      <c r="D1912" s="41" t="str">
        <f>_xlfn.XLOOKUP(tblCost[[#This Row],[TargetID]],tblTargets[TargetID],tblTargets[TargetType],"")</f>
        <v>QUEST</v>
      </c>
      <c r="E1912" s="41" t="s">
        <v>1814</v>
      </c>
      <c r="F1912" s="62" t="str">
        <f>RIGHT(tblCost[[#This Row],[RequirementID]],1)</f>
        <v>1</v>
      </c>
      <c r="G1912" s="41">
        <v>10</v>
      </c>
      <c r="H1912" t="b">
        <f>COUNTIFS(tblCostChecklist[RequirementID],tblCost[[#This Row],[RequirementID]],tblCostChecklist[PlayerPaid],TRUE)&gt;0</f>
        <v>0</v>
      </c>
      <c r="I1912" s="41">
        <f>COUNTIF(tblCost[TargetID],tblCost[[#This Row],[TargetID]])</f>
        <v>6</v>
      </c>
      <c r="J1912" s="41">
        <f>COUNTIFS(tblCost[TargetID],tblCost[[#This Row],[TargetID]],tblCost[PlayerPaid],TRUE)</f>
        <v>0</v>
      </c>
      <c r="K1912" s="41">
        <f>tblCost[[#This Row],[TargetRequirements]]-tblCost[[#This Row],[CompletedRequirements]]</f>
        <v>6</v>
      </c>
      <c r="L1912" s="41" t="b">
        <f>tblCost[[#This Row],[RemainingRequirements]]=0</f>
        <v>0</v>
      </c>
      <c r="M1912" s="43">
        <f>IF(tblCost[[#This Row],[TargetRequirements]]=0,0,tblCost[[#This Row],[CompletedRequirements]]/tblCost[[#This Row],[TargetRequirements]])</f>
        <v>0</v>
      </c>
    </row>
    <row r="1913" spans="1:13">
      <c r="A1913" s="41" t="s">
        <v>5891</v>
      </c>
      <c r="B1913" s="41" t="str">
        <f>_xlfn.TEXTAFTER(_xlfn.TEXTBEFORE(tblCost[[#This Row],[RequirementID]],".",-2),"cost.")</f>
        <v>quest.shoguns_katana_chapter_1.finished</v>
      </c>
      <c r="C1913" s="41" t="str">
        <f>_xlfn.XLOOKUP(tblCost[[#This Row],[TargetID]],tblTargets[TargetID],tblTargets[DisplayName],"")</f>
        <v>Shogun's Katana Chapter 1 Finished</v>
      </c>
      <c r="D1913" s="41" t="str">
        <f>_xlfn.XLOOKUP(tblCost[[#This Row],[TargetID]],tblTargets[TargetID],tblTargets[TargetType],"")</f>
        <v>QUEST</v>
      </c>
      <c r="E1913" s="41" t="s">
        <v>1812</v>
      </c>
      <c r="F1913" s="62" t="str">
        <f>RIGHT(tblCost[[#This Row],[RequirementID]],1)</f>
        <v>1</v>
      </c>
      <c r="G1913" s="41">
        <v>1</v>
      </c>
      <c r="H1913" t="b">
        <f>COUNTIFS(tblCostChecklist[RequirementID],tblCost[[#This Row],[RequirementID]],tblCostChecklist[PlayerPaid],TRUE)&gt;0</f>
        <v>0</v>
      </c>
      <c r="I1913" s="41">
        <f>COUNTIF(tblCost[TargetID],tblCost[[#This Row],[TargetID]])</f>
        <v>1</v>
      </c>
      <c r="J1913" s="41">
        <f>COUNTIFS(tblCost[TargetID],tblCost[[#This Row],[TargetID]],tblCost[PlayerPaid],TRUE)</f>
        <v>0</v>
      </c>
      <c r="K1913" s="41">
        <f>tblCost[[#This Row],[TargetRequirements]]-tblCost[[#This Row],[CompletedRequirements]]</f>
        <v>1</v>
      </c>
      <c r="L1913" s="41" t="b">
        <f>tblCost[[#This Row],[RemainingRequirements]]=0</f>
        <v>0</v>
      </c>
      <c r="M1913" s="43">
        <f>IF(tblCost[[#This Row],[TargetRequirements]]=0,0,tblCost[[#This Row],[CompletedRequirements]]/tblCost[[#This Row],[TargetRequirements]])</f>
        <v>0</v>
      </c>
    </row>
    <row r="1914" spans="1:13">
      <c r="A1914" s="41" t="s">
        <v>5892</v>
      </c>
      <c r="B1914" s="41" t="str">
        <f>_xlfn.TEXTAFTER(_xlfn.TEXTBEFORE(tblCost[[#This Row],[RequirementID]],".",-2),"cost.")</f>
        <v>quest.shoguns_katana_chapter_2.finished</v>
      </c>
      <c r="C1914" s="41" t="str">
        <f>_xlfn.XLOOKUP(tblCost[[#This Row],[TargetID]],tblTargets[TargetID],tblTargets[DisplayName],"")</f>
        <v>Shogun's Katana Chapter 2 Finished</v>
      </c>
      <c r="D1914" s="41" t="str">
        <f>_xlfn.XLOOKUP(tblCost[[#This Row],[TargetID]],tblTargets[TargetID],tblTargets[TargetType],"")</f>
        <v>QUEST</v>
      </c>
      <c r="E1914" s="41" t="s">
        <v>1813</v>
      </c>
      <c r="F1914" s="62" t="str">
        <f>RIGHT(tblCost[[#This Row],[RequirementID]],1)</f>
        <v>1</v>
      </c>
      <c r="G1914" s="41">
        <v>1</v>
      </c>
      <c r="H1914" t="b">
        <f>COUNTIFS(tblCostChecklist[RequirementID],tblCost[[#This Row],[RequirementID]],tblCostChecklist[PlayerPaid],TRUE)&gt;0</f>
        <v>0</v>
      </c>
      <c r="I1914" s="41">
        <f>COUNTIF(tblCost[TargetID],tblCost[[#This Row],[TargetID]])</f>
        <v>1</v>
      </c>
      <c r="J1914" s="41">
        <f>COUNTIFS(tblCost[TargetID],tblCost[[#This Row],[TargetID]],tblCost[PlayerPaid],TRUE)</f>
        <v>0</v>
      </c>
      <c r="K1914" s="41">
        <f>tblCost[[#This Row],[TargetRequirements]]-tblCost[[#This Row],[CompletedRequirements]]</f>
        <v>1</v>
      </c>
      <c r="L1914" s="41" t="b">
        <f>tblCost[[#This Row],[RemainingRequirements]]=0</f>
        <v>0</v>
      </c>
      <c r="M1914" s="43">
        <f>IF(tblCost[[#This Row],[TargetRequirements]]=0,0,tblCost[[#This Row],[CompletedRequirements]]/tblCost[[#This Row],[TargetRequirements]])</f>
        <v>0</v>
      </c>
    </row>
    <row r="1915" spans="1:13">
      <c r="A1915" s="41" t="s">
        <v>5893</v>
      </c>
      <c r="B1915" s="41" t="str">
        <f>_xlfn.TEXTAFTER(_xlfn.TEXTBEFORE(tblCost[[#This Row],[RequirementID]],".",-2),"cost.")</f>
        <v>quest.shoguns_katana_chapter_3.finished</v>
      </c>
      <c r="C1915" s="41" t="str">
        <f>_xlfn.XLOOKUP(tblCost[[#This Row],[TargetID]],tblTargets[TargetID],tblTargets[DisplayName],"")</f>
        <v>Shogun's Katana Chapter 3 Finished</v>
      </c>
      <c r="D1915" s="41" t="str">
        <f>_xlfn.XLOOKUP(tblCost[[#This Row],[TargetID]],tblTargets[TargetID],tblTargets[TargetType],"")</f>
        <v>QUEST</v>
      </c>
      <c r="E1915" s="41" t="s">
        <v>5894</v>
      </c>
      <c r="F1915" s="62" t="str">
        <f>RIGHT(tblCost[[#This Row],[RequirementID]],1)</f>
        <v>1</v>
      </c>
      <c r="G1915" s="41">
        <v>1</v>
      </c>
      <c r="H1915" t="b">
        <f>COUNTIFS(tblCostChecklist[RequirementID],tblCost[[#This Row],[RequirementID]],tblCostChecklist[PlayerPaid],TRUE)&gt;0</f>
        <v>0</v>
      </c>
      <c r="I1915" s="41">
        <f>COUNTIF(tblCost[TargetID],tblCost[[#This Row],[TargetID]])</f>
        <v>1</v>
      </c>
      <c r="J1915" s="41">
        <f>COUNTIFS(tblCost[TargetID],tblCost[[#This Row],[TargetID]],tblCost[PlayerPaid],TRUE)</f>
        <v>0</v>
      </c>
      <c r="K1915" s="41">
        <f>tblCost[[#This Row],[TargetRequirements]]-tblCost[[#This Row],[CompletedRequirements]]</f>
        <v>1</v>
      </c>
      <c r="L1915" s="41" t="b">
        <f>tblCost[[#This Row],[RemainingRequirements]]=0</f>
        <v>0</v>
      </c>
      <c r="M1915" s="43">
        <f>IF(tblCost[[#This Row],[TargetRequirements]]=0,0,tblCost[[#This Row],[CompletedRequirements]]/tblCost[[#This Row],[TargetRequirements]])</f>
        <v>0</v>
      </c>
    </row>
    <row r="1916" spans="1:13">
      <c r="A1916" s="41" t="s">
        <v>5895</v>
      </c>
      <c r="B1916" s="41" t="str">
        <f>_xlfn.TEXTAFTER(_xlfn.TEXTBEFORE(tblCost[[#This Row],[RequirementID]],".",-2),"cost.")</f>
        <v>quest.shoguns_katana_chapter_4.finished</v>
      </c>
      <c r="C1916" s="41" t="str">
        <f>_xlfn.XLOOKUP(tblCost[[#This Row],[TargetID]],tblTargets[TargetID],tblTargets[DisplayName],"")</f>
        <v>Shogun's Katana Chapter 4 Finished</v>
      </c>
      <c r="D1916" s="41" t="str">
        <f>_xlfn.XLOOKUP(tblCost[[#This Row],[TargetID]],tblTargets[TargetID],tblTargets[TargetType],"")</f>
        <v>QUEST</v>
      </c>
      <c r="E1916" s="41" t="s">
        <v>5894</v>
      </c>
      <c r="F1916" s="62" t="str">
        <f>RIGHT(tblCost[[#This Row],[RequirementID]],1)</f>
        <v>1</v>
      </c>
      <c r="G1916" s="41">
        <v>1</v>
      </c>
      <c r="H1916" t="b">
        <f>COUNTIFS(tblCostChecklist[RequirementID],tblCost[[#This Row],[RequirementID]],tblCostChecklist[PlayerPaid],TRUE)&gt;0</f>
        <v>0</v>
      </c>
      <c r="I1916" s="41">
        <f>COUNTIF(tblCost[TargetID],tblCost[[#This Row],[TargetID]])</f>
        <v>1</v>
      </c>
      <c r="J1916" s="41">
        <f>COUNTIFS(tblCost[TargetID],tblCost[[#This Row],[TargetID]],tblCost[PlayerPaid],TRUE)</f>
        <v>0</v>
      </c>
      <c r="K1916" s="41">
        <f>tblCost[[#This Row],[TargetRequirements]]-tblCost[[#This Row],[CompletedRequirements]]</f>
        <v>1</v>
      </c>
      <c r="L1916" s="41" t="b">
        <f>tblCost[[#This Row],[RemainingRequirements]]=0</f>
        <v>0</v>
      </c>
      <c r="M1916" s="43">
        <f>IF(tblCost[[#This Row],[TargetRequirements]]=0,0,tblCost[[#This Row],[CompletedRequirements]]/tblCost[[#This Row],[TargetRequirements]])</f>
        <v>0</v>
      </c>
    </row>
    <row r="1917" spans="1:13">
      <c r="A1917" s="41" t="s">
        <v>5896</v>
      </c>
      <c r="B1917" s="41" t="str">
        <f>_xlfn.TEXTAFTER(_xlfn.TEXTBEFORE(tblCost[[#This Row],[RequirementID]],".",-2),"cost.")</f>
        <v>quest.shoguns_katana_chapter_5.finished</v>
      </c>
      <c r="C1917" s="41" t="str">
        <f>_xlfn.XLOOKUP(tblCost[[#This Row],[TargetID]],tblTargets[TargetID],tblTargets[DisplayName],"")</f>
        <v>Shogun's Katana Chapter 5 Finished</v>
      </c>
      <c r="D1917" s="41" t="str">
        <f>_xlfn.XLOOKUP(tblCost[[#This Row],[TargetID]],tblTargets[TargetID],tblTargets[TargetType],"")</f>
        <v>QUEST</v>
      </c>
      <c r="E1917" s="41" t="s">
        <v>5894</v>
      </c>
      <c r="F1917" s="62" t="str">
        <f>RIGHT(tblCost[[#This Row],[RequirementID]],1)</f>
        <v>1</v>
      </c>
      <c r="G1917" s="41">
        <v>1</v>
      </c>
      <c r="H1917" t="b">
        <f>COUNTIFS(tblCostChecklist[RequirementID],tblCost[[#This Row],[RequirementID]],tblCostChecklist[PlayerPaid],TRUE)&gt;0</f>
        <v>0</v>
      </c>
      <c r="I1917" s="41">
        <f>COUNTIF(tblCost[TargetID],tblCost[[#This Row],[TargetID]])</f>
        <v>1</v>
      </c>
      <c r="J1917" s="41">
        <f>COUNTIFS(tblCost[TargetID],tblCost[[#This Row],[TargetID]],tblCost[PlayerPaid],TRUE)</f>
        <v>0</v>
      </c>
      <c r="K1917" s="41">
        <f>tblCost[[#This Row],[TargetRequirements]]-tblCost[[#This Row],[CompletedRequirements]]</f>
        <v>1</v>
      </c>
      <c r="L1917" s="41" t="b">
        <f>tblCost[[#This Row],[RemainingRequirements]]=0</f>
        <v>0</v>
      </c>
      <c r="M1917" s="43">
        <f>IF(tblCost[[#This Row],[TargetRequirements]]=0,0,tblCost[[#This Row],[CompletedRequirements]]/tblCost[[#This Row],[TargetRequirements]])</f>
        <v>0</v>
      </c>
    </row>
    <row r="1918" spans="1:13">
      <c r="A1918" s="41" t="s">
        <v>5897</v>
      </c>
      <c r="B1918" s="41" t="str">
        <f>_xlfn.TEXTAFTER(_xlfn.TEXTBEFORE(tblCost[[#This Row],[RequirementID]],".",-2),"cost.")</f>
        <v>quest.shoguns_katana_chapter_6.finished</v>
      </c>
      <c r="C1918" s="41" t="str">
        <f>_xlfn.XLOOKUP(tblCost[[#This Row],[TargetID]],tblTargets[TargetID],tblTargets[DisplayName],"")</f>
        <v>Shogun's Katana Chapter 6 Finished</v>
      </c>
      <c r="D1918" s="41" t="str">
        <f>_xlfn.XLOOKUP(tblCost[[#This Row],[TargetID]],tblTargets[TargetID],tblTargets[TargetType],"")</f>
        <v>QUEST</v>
      </c>
      <c r="E1918" s="41" t="s">
        <v>5898</v>
      </c>
      <c r="F1918" s="62" t="str">
        <f>RIGHT(tblCost[[#This Row],[RequirementID]],1)</f>
        <v>1</v>
      </c>
      <c r="G1918" s="41">
        <v>1</v>
      </c>
      <c r="H1918" t="b">
        <f>COUNTIFS(tblCostChecklist[RequirementID],tblCost[[#This Row],[RequirementID]],tblCostChecklist[PlayerPaid],TRUE)&gt;0</f>
        <v>0</v>
      </c>
      <c r="I1918" s="41">
        <f>COUNTIF(tblCost[TargetID],tblCost[[#This Row],[TargetID]])</f>
        <v>1</v>
      </c>
      <c r="J1918" s="41">
        <f>COUNTIFS(tblCost[TargetID],tblCost[[#This Row],[TargetID]],tblCost[PlayerPaid],TRUE)</f>
        <v>0</v>
      </c>
      <c r="K1918" s="41">
        <f>tblCost[[#This Row],[TargetRequirements]]-tblCost[[#This Row],[CompletedRequirements]]</f>
        <v>1</v>
      </c>
      <c r="L1918" s="41" t="b">
        <f>tblCost[[#This Row],[RemainingRequirements]]=0</f>
        <v>0</v>
      </c>
      <c r="M1918" s="43">
        <f>IF(tblCost[[#This Row],[TargetRequirements]]=0,0,tblCost[[#This Row],[CompletedRequirements]]/tblCost[[#This Row],[TargetRequirements]])</f>
        <v>0</v>
      </c>
    </row>
    <row r="1919" spans="1:13">
      <c r="A1919" s="41" t="s">
        <v>5899</v>
      </c>
      <c r="B1919" s="41" t="str">
        <f>_xlfn.TEXTAFTER(_xlfn.TEXTBEFORE(tblCost[[#This Row],[RequirementID]],".",-2),"cost.")</f>
        <v>quest.shoguns_katana_chapter_7.finished</v>
      </c>
      <c r="C1919" s="41" t="str">
        <f>_xlfn.XLOOKUP(tblCost[[#This Row],[TargetID]],tblTargets[TargetID],tblTargets[DisplayName],"")</f>
        <v>Shogun's Katana Chapter 7 Finished</v>
      </c>
      <c r="D1919" s="41" t="str">
        <f>_xlfn.XLOOKUP(tblCost[[#This Row],[TargetID]],tblTargets[TargetID],tblTargets[TargetType],"")</f>
        <v>QUEST</v>
      </c>
      <c r="E1919" s="41" t="s">
        <v>5898</v>
      </c>
      <c r="F1919" s="62" t="str">
        <f>RIGHT(tblCost[[#This Row],[RequirementID]],1)</f>
        <v>1</v>
      </c>
      <c r="G1919" s="41">
        <v>1</v>
      </c>
      <c r="H1919" t="b">
        <f>COUNTIFS(tblCostChecklist[RequirementID],tblCost[[#This Row],[RequirementID]],tblCostChecklist[PlayerPaid],TRUE)&gt;0</f>
        <v>0</v>
      </c>
      <c r="I1919" s="41">
        <f>COUNTIF(tblCost[TargetID],tblCost[[#This Row],[TargetID]])</f>
        <v>1</v>
      </c>
      <c r="J1919" s="41">
        <f>COUNTIFS(tblCost[TargetID],tblCost[[#This Row],[TargetID]],tblCost[PlayerPaid],TRUE)</f>
        <v>0</v>
      </c>
      <c r="K1919" s="41">
        <f>tblCost[[#This Row],[TargetRequirements]]-tblCost[[#This Row],[CompletedRequirements]]</f>
        <v>1</v>
      </c>
      <c r="L1919" s="41" t="b">
        <f>tblCost[[#This Row],[RemainingRequirements]]=0</f>
        <v>0</v>
      </c>
      <c r="M1919" s="43">
        <f>IF(tblCost[[#This Row],[TargetRequirements]]=0,0,tblCost[[#This Row],[CompletedRequirements]]/tblCost[[#This Row],[TargetRequirements]])</f>
        <v>0</v>
      </c>
    </row>
    <row r="1920" spans="1:13">
      <c r="A1920" s="41" t="s">
        <v>5900</v>
      </c>
      <c r="B1920" s="41" t="str">
        <f>_xlfn.TEXTAFTER(_xlfn.TEXTBEFORE(tblCost[[#This Row],[RequirementID]],".",-2),"cost.")</f>
        <v>quest.the_ordinary_days_of_an_adventurer_chapter_2.finished</v>
      </c>
      <c r="C1920" s="41" t="str">
        <f>_xlfn.XLOOKUP(tblCost[[#This Row],[TargetID]],tblTargets[TargetID],tblTargets[DisplayName],"")</f>
        <v>The Ordinary Days of an Adventurer Chapter 2 Finished</v>
      </c>
      <c r="D1920" s="41" t="str">
        <f>_xlfn.XLOOKUP(tblCost[[#This Row],[TargetID]],tblTargets[TargetID],tblTargets[TargetType],"")</f>
        <v>QUEST</v>
      </c>
      <c r="E1920" s="41" t="s">
        <v>657</v>
      </c>
      <c r="F1920" s="62" t="str">
        <f>RIGHT(tblCost[[#This Row],[RequirementID]],1)</f>
        <v>1</v>
      </c>
      <c r="G1920" s="41">
        <v>25</v>
      </c>
      <c r="H1920" t="b">
        <f>COUNTIFS(tblCostChecklist[RequirementID],tblCost[[#This Row],[RequirementID]],tblCostChecklist[PlayerPaid],TRUE)&gt;0</f>
        <v>0</v>
      </c>
      <c r="I1920" s="41">
        <f>COUNTIF(tblCost[TargetID],tblCost[[#This Row],[TargetID]])</f>
        <v>3</v>
      </c>
      <c r="J1920" s="41">
        <f>COUNTIFS(tblCost[TargetID],tblCost[[#This Row],[TargetID]],tblCost[PlayerPaid],TRUE)</f>
        <v>0</v>
      </c>
      <c r="K1920" s="41">
        <f>tblCost[[#This Row],[TargetRequirements]]-tblCost[[#This Row],[CompletedRequirements]]</f>
        <v>3</v>
      </c>
      <c r="L1920" s="41" t="b">
        <f>tblCost[[#This Row],[RemainingRequirements]]=0</f>
        <v>0</v>
      </c>
      <c r="M1920" s="43">
        <f>IF(tblCost[[#This Row],[TargetRequirements]]=0,0,tblCost[[#This Row],[CompletedRequirements]]/tblCost[[#This Row],[TargetRequirements]])</f>
        <v>0</v>
      </c>
    </row>
    <row r="1921" spans="1:13">
      <c r="A1921" s="41" t="s">
        <v>5901</v>
      </c>
      <c r="B1921" s="41" t="str">
        <f>_xlfn.TEXTAFTER(_xlfn.TEXTBEFORE(tblCost[[#This Row],[RequirementID]],".",-2),"cost.")</f>
        <v>quest.the_ordinary_days_of_an_adventurer_chapter_2.finished</v>
      </c>
      <c r="C1921" s="41" t="str">
        <f>_xlfn.XLOOKUP(tblCost[[#This Row],[TargetID]],tblTargets[TargetID],tblTargets[DisplayName],"")</f>
        <v>The Ordinary Days of an Adventurer Chapter 2 Finished</v>
      </c>
      <c r="D1921" s="41" t="str">
        <f>_xlfn.XLOOKUP(tblCost[[#This Row],[TargetID]],tblTargets[TargetID],tblTargets[TargetType],"")</f>
        <v>QUEST</v>
      </c>
      <c r="E1921" s="41" t="s">
        <v>713</v>
      </c>
      <c r="F1921" s="62" t="str">
        <f>RIGHT(tblCost[[#This Row],[RequirementID]],1)</f>
        <v>1</v>
      </c>
      <c r="G1921" s="41">
        <v>5</v>
      </c>
      <c r="H1921" t="b">
        <f>COUNTIFS(tblCostChecklist[RequirementID],tblCost[[#This Row],[RequirementID]],tblCostChecklist[PlayerPaid],TRUE)&gt;0</f>
        <v>0</v>
      </c>
      <c r="I1921" s="41">
        <f>COUNTIF(tblCost[TargetID],tblCost[[#This Row],[TargetID]])</f>
        <v>3</v>
      </c>
      <c r="J1921" s="41">
        <f>COUNTIFS(tblCost[TargetID],tblCost[[#This Row],[TargetID]],tblCost[PlayerPaid],TRUE)</f>
        <v>0</v>
      </c>
      <c r="K1921" s="41">
        <f>tblCost[[#This Row],[TargetRequirements]]-tblCost[[#This Row],[CompletedRequirements]]</f>
        <v>3</v>
      </c>
      <c r="L1921" s="41" t="b">
        <f>tblCost[[#This Row],[RemainingRequirements]]=0</f>
        <v>0</v>
      </c>
      <c r="M1921" s="43">
        <f>IF(tblCost[[#This Row],[TargetRequirements]]=0,0,tblCost[[#This Row],[CompletedRequirements]]/tblCost[[#This Row],[TargetRequirements]])</f>
        <v>0</v>
      </c>
    </row>
    <row r="1922" spans="1:13">
      <c r="A1922" s="41" t="s">
        <v>5902</v>
      </c>
      <c r="B1922" s="41" t="str">
        <f>_xlfn.TEXTAFTER(_xlfn.TEXTBEFORE(tblCost[[#This Row],[RequirementID]],".",-2),"cost.")</f>
        <v>quest.the_ordinary_days_of_an_adventurer_chapter_2.finished</v>
      </c>
      <c r="C1922" s="41" t="str">
        <f>_xlfn.XLOOKUP(tblCost[[#This Row],[TargetID]],tblTargets[TargetID],tblTargets[DisplayName],"")</f>
        <v>The Ordinary Days of an Adventurer Chapter 2 Finished</v>
      </c>
      <c r="D1922" s="41" t="str">
        <f>_xlfn.XLOOKUP(tblCost[[#This Row],[TargetID]],tblTargets[TargetID],tblTargets[TargetType],"")</f>
        <v>QUEST</v>
      </c>
      <c r="E1922" s="41" t="s">
        <v>858</v>
      </c>
      <c r="F1922" s="62" t="str">
        <f>RIGHT(tblCost[[#This Row],[RequirementID]],1)</f>
        <v>1</v>
      </c>
      <c r="G1922" s="41">
        <v>3</v>
      </c>
      <c r="H1922" t="b">
        <f>COUNTIFS(tblCostChecklist[RequirementID],tblCost[[#This Row],[RequirementID]],tblCostChecklist[PlayerPaid],TRUE)&gt;0</f>
        <v>0</v>
      </c>
      <c r="I1922" s="41">
        <f>COUNTIF(tblCost[TargetID],tblCost[[#This Row],[TargetID]])</f>
        <v>3</v>
      </c>
      <c r="J1922" s="41">
        <f>COUNTIFS(tblCost[TargetID],tblCost[[#This Row],[TargetID]],tblCost[PlayerPaid],TRUE)</f>
        <v>0</v>
      </c>
      <c r="K1922" s="41">
        <f>tblCost[[#This Row],[TargetRequirements]]-tblCost[[#This Row],[CompletedRequirements]]</f>
        <v>3</v>
      </c>
      <c r="L1922" s="41" t="b">
        <f>tblCost[[#This Row],[RemainingRequirements]]=0</f>
        <v>0</v>
      </c>
      <c r="M1922" s="43">
        <f>IF(tblCost[[#This Row],[TargetRequirements]]=0,0,tblCost[[#This Row],[CompletedRequirements]]/tblCost[[#This Row],[TargetRequirements]])</f>
        <v>0</v>
      </c>
    </row>
    <row r="1923" spans="1:13">
      <c r="A1923" s="41" t="s">
        <v>5903</v>
      </c>
      <c r="B1923" s="41" t="str">
        <f>_xlfn.TEXTAFTER(_xlfn.TEXTBEFORE(tblCost[[#This Row],[RequirementID]],".",-2),"cost.")</f>
        <v>quest.the_ordinary_days_of_an_adventurer_chapter_5.finished</v>
      </c>
      <c r="C1923" s="41" t="str">
        <f>_xlfn.XLOOKUP(tblCost[[#This Row],[TargetID]],tblTargets[TargetID],tblTargets[DisplayName],"")</f>
        <v>The Ordinary Days of an Adventurer Chapter 5 Finished</v>
      </c>
      <c r="D1923" s="41" t="str">
        <f>_xlfn.XLOOKUP(tblCost[[#This Row],[TargetID]],tblTargets[TargetID],tblTargets[TargetType],"")</f>
        <v>QUEST</v>
      </c>
      <c r="E1923" s="41" t="s">
        <v>934</v>
      </c>
      <c r="F1923" s="62" t="str">
        <f>RIGHT(tblCost[[#This Row],[RequirementID]],1)</f>
        <v>1</v>
      </c>
      <c r="G1923" s="41">
        <v>150</v>
      </c>
      <c r="H1923" t="b">
        <f>COUNTIFS(tblCostChecklist[RequirementID],tblCost[[#This Row],[RequirementID]],tblCostChecklist[PlayerPaid],TRUE)&gt;0</f>
        <v>0</v>
      </c>
      <c r="I1923" s="41">
        <f>COUNTIF(tblCost[TargetID],tblCost[[#This Row],[TargetID]])</f>
        <v>5</v>
      </c>
      <c r="J1923" s="41">
        <f>COUNTIFS(tblCost[TargetID],tblCost[[#This Row],[TargetID]],tblCost[PlayerPaid],TRUE)</f>
        <v>0</v>
      </c>
      <c r="K1923" s="41">
        <f>tblCost[[#This Row],[TargetRequirements]]-tblCost[[#This Row],[CompletedRequirements]]</f>
        <v>5</v>
      </c>
      <c r="L1923" s="41" t="b">
        <f>tblCost[[#This Row],[RemainingRequirements]]=0</f>
        <v>0</v>
      </c>
      <c r="M1923" s="43">
        <f>IF(tblCost[[#This Row],[TargetRequirements]]=0,0,tblCost[[#This Row],[CompletedRequirements]]/tblCost[[#This Row],[TargetRequirements]])</f>
        <v>0</v>
      </c>
    </row>
    <row r="1924" spans="1:13">
      <c r="A1924" s="41" t="s">
        <v>5904</v>
      </c>
      <c r="B1924" s="41" t="str">
        <f>_xlfn.TEXTAFTER(_xlfn.TEXTBEFORE(tblCost[[#This Row],[RequirementID]],".",-2),"cost.")</f>
        <v>quest.the_ordinary_days_of_an_adventurer_chapter_5.finished</v>
      </c>
      <c r="C1924" s="41" t="str">
        <f>_xlfn.XLOOKUP(tblCost[[#This Row],[TargetID]],tblTargets[TargetID],tblTargets[DisplayName],"")</f>
        <v>The Ordinary Days of an Adventurer Chapter 5 Finished</v>
      </c>
      <c r="D1924" s="41" t="str">
        <f>_xlfn.XLOOKUP(tblCost[[#This Row],[TargetID]],tblTargets[TargetID],tblTargets[TargetType],"")</f>
        <v>QUEST</v>
      </c>
      <c r="E1924" s="41" t="s">
        <v>669</v>
      </c>
      <c r="F1924" s="62" t="str">
        <f>RIGHT(tblCost[[#This Row],[RequirementID]],1)</f>
        <v>1</v>
      </c>
      <c r="G1924" s="41">
        <v>30</v>
      </c>
      <c r="H1924" t="b">
        <f>COUNTIFS(tblCostChecklist[RequirementID],tblCost[[#This Row],[RequirementID]],tblCostChecklist[PlayerPaid],TRUE)&gt;0</f>
        <v>0</v>
      </c>
      <c r="I1924" s="41">
        <f>COUNTIF(tblCost[TargetID],tblCost[[#This Row],[TargetID]])</f>
        <v>5</v>
      </c>
      <c r="J1924" s="41">
        <f>COUNTIFS(tblCost[TargetID],tblCost[[#This Row],[TargetID]],tblCost[PlayerPaid],TRUE)</f>
        <v>0</v>
      </c>
      <c r="K1924" s="41">
        <f>tblCost[[#This Row],[TargetRequirements]]-tblCost[[#This Row],[CompletedRequirements]]</f>
        <v>5</v>
      </c>
      <c r="L1924" s="41" t="b">
        <f>tblCost[[#This Row],[RemainingRequirements]]=0</f>
        <v>0</v>
      </c>
      <c r="M1924" s="43">
        <f>IF(tblCost[[#This Row],[TargetRequirements]]=0,0,tblCost[[#This Row],[CompletedRequirements]]/tblCost[[#This Row],[TargetRequirements]])</f>
        <v>0</v>
      </c>
    </row>
    <row r="1925" spans="1:13">
      <c r="A1925" s="41" t="s">
        <v>5905</v>
      </c>
      <c r="B1925" s="41" t="str">
        <f>_xlfn.TEXTAFTER(_xlfn.TEXTBEFORE(tblCost[[#This Row],[RequirementID]],".",-2),"cost.")</f>
        <v>quest.the_ordinary_days_of_an_adventurer_chapter_5.finished</v>
      </c>
      <c r="C1925" s="41" t="str">
        <f>_xlfn.XLOOKUP(tblCost[[#This Row],[TargetID]],tblTargets[TargetID],tblTargets[DisplayName],"")</f>
        <v>The Ordinary Days of an Adventurer Chapter 5 Finished</v>
      </c>
      <c r="D1925" s="41" t="str">
        <f>_xlfn.XLOOKUP(tblCost[[#This Row],[TargetID]],tblTargets[TargetID],tblTargets[TargetType],"")</f>
        <v>QUEST</v>
      </c>
      <c r="E1925" s="41" t="s">
        <v>948</v>
      </c>
      <c r="F1925" s="62" t="str">
        <f>RIGHT(tblCost[[#This Row],[RequirementID]],1)</f>
        <v>1</v>
      </c>
      <c r="G1925" s="41">
        <v>20</v>
      </c>
      <c r="H1925" t="b">
        <f>COUNTIFS(tblCostChecklist[RequirementID],tblCost[[#This Row],[RequirementID]],tblCostChecklist[PlayerPaid],TRUE)&gt;0</f>
        <v>0</v>
      </c>
      <c r="I1925" s="41">
        <f>COUNTIF(tblCost[TargetID],tblCost[[#This Row],[TargetID]])</f>
        <v>5</v>
      </c>
      <c r="J1925" s="41">
        <f>COUNTIFS(tblCost[TargetID],tblCost[[#This Row],[TargetID]],tblCost[PlayerPaid],TRUE)</f>
        <v>0</v>
      </c>
      <c r="K1925" s="41">
        <f>tblCost[[#This Row],[TargetRequirements]]-tblCost[[#This Row],[CompletedRequirements]]</f>
        <v>5</v>
      </c>
      <c r="L1925" s="41" t="b">
        <f>tblCost[[#This Row],[RemainingRequirements]]=0</f>
        <v>0</v>
      </c>
      <c r="M1925" s="43">
        <f>IF(tblCost[[#This Row],[TargetRequirements]]=0,0,tblCost[[#This Row],[CompletedRequirements]]/tblCost[[#This Row],[TargetRequirements]])</f>
        <v>0</v>
      </c>
    </row>
    <row r="1926" spans="1:13">
      <c r="A1926" s="41" t="s">
        <v>5906</v>
      </c>
      <c r="B1926" s="41" t="str">
        <f>_xlfn.TEXTAFTER(_xlfn.TEXTBEFORE(tblCost[[#This Row],[RequirementID]],".",-2),"cost.")</f>
        <v>quest.the_ordinary_days_of_an_adventurer_chapter_5.finished</v>
      </c>
      <c r="C1926" s="41" t="str">
        <f>_xlfn.XLOOKUP(tblCost[[#This Row],[TargetID]],tblTargets[TargetID],tblTargets[DisplayName],"")</f>
        <v>The Ordinary Days of an Adventurer Chapter 5 Finished</v>
      </c>
      <c r="D1926" s="41" t="str">
        <f>_xlfn.XLOOKUP(tblCost[[#This Row],[TargetID]],tblTargets[TargetID],tblTargets[TargetType],"")</f>
        <v>QUEST</v>
      </c>
      <c r="E1926" s="41" t="s">
        <v>1802</v>
      </c>
      <c r="F1926" s="62" t="str">
        <f>RIGHT(tblCost[[#This Row],[RequirementID]],1)</f>
        <v>1</v>
      </c>
      <c r="G1926" s="41">
        <v>20</v>
      </c>
      <c r="H1926" t="b">
        <f>COUNTIFS(tblCostChecklist[RequirementID],tblCost[[#This Row],[RequirementID]],tblCostChecklist[PlayerPaid],TRUE)&gt;0</f>
        <v>0</v>
      </c>
      <c r="I1926" s="41">
        <f>COUNTIF(tblCost[TargetID],tblCost[[#This Row],[TargetID]])</f>
        <v>5</v>
      </c>
      <c r="J1926" s="41">
        <f>COUNTIFS(tblCost[TargetID],tblCost[[#This Row],[TargetID]],tblCost[PlayerPaid],TRUE)</f>
        <v>0</v>
      </c>
      <c r="K1926" s="41">
        <f>tblCost[[#This Row],[TargetRequirements]]-tblCost[[#This Row],[CompletedRequirements]]</f>
        <v>5</v>
      </c>
      <c r="L1926" s="41" t="b">
        <f>tblCost[[#This Row],[RemainingRequirements]]=0</f>
        <v>0</v>
      </c>
      <c r="M1926" s="43">
        <f>IF(tblCost[[#This Row],[TargetRequirements]]=0,0,tblCost[[#This Row],[CompletedRequirements]]/tblCost[[#This Row],[TargetRequirements]])</f>
        <v>0</v>
      </c>
    </row>
    <row r="1927" spans="1:13">
      <c r="A1927" s="41" t="s">
        <v>5907</v>
      </c>
      <c r="B1927" s="41" t="str">
        <f>_xlfn.TEXTAFTER(_xlfn.TEXTBEFORE(tblCost[[#This Row],[RequirementID]],".",-2),"cost.")</f>
        <v>quest.the_ordinary_days_of_an_adventurer_chapter_5.finished</v>
      </c>
      <c r="C1927" s="41" t="str">
        <f>_xlfn.XLOOKUP(tblCost[[#This Row],[TargetID]],tblTargets[TargetID],tblTargets[DisplayName],"")</f>
        <v>The Ordinary Days of an Adventurer Chapter 5 Finished</v>
      </c>
      <c r="D1927" s="41" t="str">
        <f>_xlfn.XLOOKUP(tblCost[[#This Row],[TargetID]],tblTargets[TargetID],tblTargets[TargetType],"")</f>
        <v>QUEST</v>
      </c>
      <c r="E1927" s="41" t="s">
        <v>695</v>
      </c>
      <c r="F1927" s="62" t="str">
        <f>RIGHT(tblCost[[#This Row],[RequirementID]],1)</f>
        <v>1</v>
      </c>
      <c r="G1927" s="41">
        <v>20</v>
      </c>
      <c r="H1927" t="b">
        <f>COUNTIFS(tblCostChecklist[RequirementID],tblCost[[#This Row],[RequirementID]],tblCostChecklist[PlayerPaid],TRUE)&gt;0</f>
        <v>0</v>
      </c>
      <c r="I1927" s="41">
        <f>COUNTIF(tblCost[TargetID],tblCost[[#This Row],[TargetID]])</f>
        <v>5</v>
      </c>
      <c r="J1927" s="41">
        <f>COUNTIFS(tblCost[TargetID],tblCost[[#This Row],[TargetID]],tblCost[PlayerPaid],TRUE)</f>
        <v>0</v>
      </c>
      <c r="K1927" s="41">
        <f>tblCost[[#This Row],[TargetRequirements]]-tblCost[[#This Row],[CompletedRequirements]]</f>
        <v>5</v>
      </c>
      <c r="L1927" s="41" t="b">
        <f>tblCost[[#This Row],[RemainingRequirements]]=0</f>
        <v>0</v>
      </c>
      <c r="M1927" s="43">
        <f>IF(tblCost[[#This Row],[TargetRequirements]]=0,0,tblCost[[#This Row],[CompletedRequirements]]/tblCost[[#This Row],[TargetRequirements]])</f>
        <v>0</v>
      </c>
    </row>
    <row r="1928" spans="1:13">
      <c r="A1928" s="41" t="s">
        <v>5908</v>
      </c>
      <c r="B1928" s="41" t="str">
        <f>_xlfn.TEXTAFTER(_xlfn.TEXTBEFORE(tblCost[[#This Row],[RequirementID]],".",-2),"cost.")</f>
        <v>quest.the_ordinary_days_of_an_adventurer_chapter_6.finished</v>
      </c>
      <c r="C1928" s="41" t="str">
        <f>_xlfn.XLOOKUP(tblCost[[#This Row],[TargetID]],tblTargets[TargetID],tblTargets[DisplayName],"")</f>
        <v>The Ordinary Days of an Adventurer Chapter 6 Finished</v>
      </c>
      <c r="D1928" s="41" t="str">
        <f>_xlfn.XLOOKUP(tblCost[[#This Row],[TargetID]],tblTargets[TargetID],tblTargets[TargetType],"")</f>
        <v>QUEST</v>
      </c>
      <c r="E1928" s="41" t="s">
        <v>1849</v>
      </c>
      <c r="F1928" s="62" t="str">
        <f>RIGHT(tblCost[[#This Row],[RequirementID]],1)</f>
        <v>1</v>
      </c>
      <c r="G1928" s="41">
        <v>1</v>
      </c>
      <c r="H1928" t="b">
        <f>COUNTIFS(tblCostChecklist[RequirementID],tblCost[[#This Row],[RequirementID]],tblCostChecklist[PlayerPaid],TRUE)&gt;0</f>
        <v>0</v>
      </c>
      <c r="I1928" s="41">
        <f>COUNTIF(tblCost[TargetID],tblCost[[#This Row],[TargetID]])</f>
        <v>1</v>
      </c>
      <c r="J1928" s="41">
        <f>COUNTIFS(tblCost[TargetID],tblCost[[#This Row],[TargetID]],tblCost[PlayerPaid],TRUE)</f>
        <v>0</v>
      </c>
      <c r="K1928" s="41">
        <f>tblCost[[#This Row],[TargetRequirements]]-tblCost[[#This Row],[CompletedRequirements]]</f>
        <v>1</v>
      </c>
      <c r="L1928" s="41" t="b">
        <f>tblCost[[#This Row],[RemainingRequirements]]=0</f>
        <v>0</v>
      </c>
      <c r="M1928" s="43">
        <f>IF(tblCost[[#This Row],[TargetRequirements]]=0,0,tblCost[[#This Row],[CompletedRequirements]]/tblCost[[#This Row],[TargetRequirements]])</f>
        <v>0</v>
      </c>
    </row>
    <row r="1929" spans="1:13">
      <c r="A1929" s="41" t="s">
        <v>5991</v>
      </c>
      <c r="B1929" s="41" t="str">
        <f>_xlfn.TEXTAFTER(_xlfn.TEXTBEFORE(tblCost[[#This Row],[RequirementID]],".",-2),"cost.")</f>
        <v>collection.broken_lever@1</v>
      </c>
      <c r="C1929" s="41" t="str">
        <f>_xlfn.XLOOKUP(tblCost[[#This Row],[TargetID]],tblTargets[TargetID],tblTargets[DisplayName],"")</f>
        <v>Broken Lever</v>
      </c>
      <c r="D1929" s="41" t="str">
        <f>_xlfn.XLOOKUP(tblCost[[#This Row],[TargetID]],tblTargets[TargetID],tblTargets[TargetType],"")</f>
        <v>COLLECTION</v>
      </c>
      <c r="E1929" s="41" t="s">
        <v>686</v>
      </c>
      <c r="F1929" s="62" t="str">
        <f>RIGHT(tblCost[[#This Row],[RequirementID]],1)</f>
        <v>1</v>
      </c>
      <c r="G1929" s="41">
        <v>5</v>
      </c>
      <c r="H1929" t="b">
        <f>COUNTIFS(tblCostChecklist[RequirementID],tblCost[[#This Row],[RequirementID]],tblCostChecklist[PlayerPaid],TRUE)&gt;0</f>
        <v>0</v>
      </c>
      <c r="I1929" s="41">
        <f>COUNTIF(tblCost[TargetID],tblCost[[#This Row],[TargetID]])</f>
        <v>1</v>
      </c>
      <c r="J1929" s="41">
        <f>COUNTIFS(tblCost[TargetID],tblCost[[#This Row],[TargetID]],tblCost[PlayerPaid],TRUE)</f>
        <v>0</v>
      </c>
      <c r="K1929" s="41">
        <f>tblCost[[#This Row],[TargetRequirements]]-tblCost[[#This Row],[CompletedRequirements]]</f>
        <v>1</v>
      </c>
      <c r="L1929" s="41" t="b">
        <f>tblCost[[#This Row],[RemainingRequirements]]=0</f>
        <v>0</v>
      </c>
      <c r="M1929" s="43">
        <f>IF(tblCost[[#This Row],[TargetRequirements]]=0,0,tblCost[[#This Row],[CompletedRequirements]]/tblCost[[#This Row],[TargetRequirements]])</f>
        <v>0</v>
      </c>
    </row>
    <row r="1930" spans="1:13">
      <c r="A1930" s="41" t="s">
        <v>5992</v>
      </c>
      <c r="B1930" s="41" t="str">
        <f>_xlfn.TEXTAFTER(_xlfn.TEXTBEFORE(tblCost[[#This Row],[RequirementID]],".",-2),"cost.")</f>
        <v>collection.collapsed_staircase@1</v>
      </c>
      <c r="C1930" s="41" t="str">
        <f>_xlfn.XLOOKUP(tblCost[[#This Row],[TargetID]],tblTargets[TargetID],tblTargets[DisplayName],"")</f>
        <v>Collapsed Staircase</v>
      </c>
      <c r="D1930" s="41" t="str">
        <f>_xlfn.XLOOKUP(tblCost[[#This Row],[TargetID]],tblTargets[TargetID],tblTargets[TargetType],"")</f>
        <v>COLLECTION</v>
      </c>
      <c r="E1930" s="41" t="s">
        <v>658</v>
      </c>
      <c r="F1930" s="62" t="str">
        <f>RIGHT(tblCost[[#This Row],[RequirementID]],1)</f>
        <v>1</v>
      </c>
      <c r="G1930" s="41">
        <v>50</v>
      </c>
      <c r="H1930" t="b">
        <f>COUNTIFS(tblCostChecklist[RequirementID],tblCost[[#This Row],[RequirementID]],tblCostChecklist[PlayerPaid],TRUE)&gt;0</f>
        <v>0</v>
      </c>
      <c r="I1930" s="41">
        <f>COUNTIF(tblCost[TargetID],tblCost[[#This Row],[TargetID]])</f>
        <v>4</v>
      </c>
      <c r="J1930" s="41">
        <f>COUNTIFS(tblCost[TargetID],tblCost[[#This Row],[TargetID]],tblCost[PlayerPaid],TRUE)</f>
        <v>0</v>
      </c>
      <c r="K1930" s="41">
        <f>tblCost[[#This Row],[TargetRequirements]]-tblCost[[#This Row],[CompletedRequirements]]</f>
        <v>4</v>
      </c>
      <c r="L1930" s="41" t="b">
        <f>tblCost[[#This Row],[RemainingRequirements]]=0</f>
        <v>0</v>
      </c>
      <c r="M1930" s="43">
        <f>IF(tblCost[[#This Row],[TargetRequirements]]=0,0,tblCost[[#This Row],[CompletedRequirements]]/tblCost[[#This Row],[TargetRequirements]])</f>
        <v>0</v>
      </c>
    </row>
    <row r="1931" spans="1:13">
      <c r="A1931" s="41" t="s">
        <v>5993</v>
      </c>
      <c r="B1931" s="41" t="str">
        <f>_xlfn.TEXTAFTER(_xlfn.TEXTBEFORE(tblCost[[#This Row],[RequirementID]],".",-2),"cost.")</f>
        <v>collection.collapsed_staircase@1</v>
      </c>
      <c r="C1931" s="41" t="str">
        <f>_xlfn.XLOOKUP(tblCost[[#This Row],[TargetID]],tblTargets[TargetID],tblTargets[DisplayName],"")</f>
        <v>Collapsed Staircase</v>
      </c>
      <c r="D1931" s="41" t="str">
        <f>_xlfn.XLOOKUP(tblCost[[#This Row],[TargetID]],tblTargets[TargetID],tblTargets[TargetType],"")</f>
        <v>COLLECTION</v>
      </c>
      <c r="E1931" s="41" t="s">
        <v>717</v>
      </c>
      <c r="F1931" s="62" t="str">
        <f>RIGHT(tblCost[[#This Row],[RequirementID]],1)</f>
        <v>1</v>
      </c>
      <c r="G1931" s="41">
        <v>150</v>
      </c>
      <c r="H1931" t="b">
        <f>COUNTIFS(tblCostChecklist[RequirementID],tblCost[[#This Row],[RequirementID]],tblCostChecklist[PlayerPaid],TRUE)&gt;0</f>
        <v>0</v>
      </c>
      <c r="I1931" s="41">
        <f>COUNTIF(tblCost[TargetID],tblCost[[#This Row],[TargetID]])</f>
        <v>4</v>
      </c>
      <c r="J1931" s="41">
        <f>COUNTIFS(tblCost[TargetID],tblCost[[#This Row],[TargetID]],tblCost[PlayerPaid],TRUE)</f>
        <v>0</v>
      </c>
      <c r="K1931" s="41">
        <f>tblCost[[#This Row],[TargetRequirements]]-tblCost[[#This Row],[CompletedRequirements]]</f>
        <v>4</v>
      </c>
      <c r="L1931" s="41" t="b">
        <f>tblCost[[#This Row],[RemainingRequirements]]=0</f>
        <v>0</v>
      </c>
      <c r="M1931" s="43">
        <f>IF(tblCost[[#This Row],[TargetRequirements]]=0,0,tblCost[[#This Row],[CompletedRequirements]]/tblCost[[#This Row],[TargetRequirements]])</f>
        <v>0</v>
      </c>
    </row>
    <row r="1932" spans="1:13">
      <c r="A1932" s="41" t="s">
        <v>5994</v>
      </c>
      <c r="B1932" s="41" t="str">
        <f>_xlfn.TEXTAFTER(_xlfn.TEXTBEFORE(tblCost[[#This Row],[RequirementID]],".",-2),"cost.")</f>
        <v>collection.collapsed_staircase@1</v>
      </c>
      <c r="C1932" s="41" t="str">
        <f>_xlfn.XLOOKUP(tblCost[[#This Row],[TargetID]],tblTargets[TargetID],tblTargets[DisplayName],"")</f>
        <v>Collapsed Staircase</v>
      </c>
      <c r="D1932" s="41" t="str">
        <f>_xlfn.XLOOKUP(tblCost[[#This Row],[TargetID]],tblTargets[TargetID],tblTargets[TargetType],"")</f>
        <v>COLLECTION</v>
      </c>
      <c r="E1932" s="41" t="s">
        <v>5616</v>
      </c>
      <c r="F1932" s="62" t="str">
        <f>RIGHT(tblCost[[#This Row],[RequirementID]],1)</f>
        <v>1</v>
      </c>
      <c r="G1932" s="41">
        <v>10</v>
      </c>
      <c r="H1932" t="b">
        <f>COUNTIFS(tblCostChecklist[RequirementID],tblCost[[#This Row],[RequirementID]],tblCostChecklist[PlayerPaid],TRUE)&gt;0</f>
        <v>0</v>
      </c>
      <c r="I1932" s="41">
        <f>COUNTIF(tblCost[TargetID],tblCost[[#This Row],[TargetID]])</f>
        <v>4</v>
      </c>
      <c r="J1932" s="41">
        <f>COUNTIFS(tblCost[TargetID],tblCost[[#This Row],[TargetID]],tblCost[PlayerPaid],TRUE)</f>
        <v>0</v>
      </c>
      <c r="K1932" s="41">
        <f>tblCost[[#This Row],[TargetRequirements]]-tblCost[[#This Row],[CompletedRequirements]]</f>
        <v>4</v>
      </c>
      <c r="L1932" s="41" t="b">
        <f>tblCost[[#This Row],[RemainingRequirements]]=0</f>
        <v>0</v>
      </c>
      <c r="M1932" s="43">
        <f>IF(tblCost[[#This Row],[TargetRequirements]]=0,0,tblCost[[#This Row],[CompletedRequirements]]/tblCost[[#This Row],[TargetRequirements]])</f>
        <v>0</v>
      </c>
    </row>
    <row r="1933" spans="1:13">
      <c r="A1933" s="41" t="s">
        <v>5995</v>
      </c>
      <c r="B1933" s="41" t="str">
        <f>_xlfn.TEXTAFTER(_xlfn.TEXTBEFORE(tblCost[[#This Row],[RequirementID]],".",-2),"cost.")</f>
        <v>collection.collapsed_staircase@1</v>
      </c>
      <c r="C1933" s="41" t="str">
        <f>_xlfn.XLOOKUP(tblCost[[#This Row],[TargetID]],tblTargets[TargetID],tblTargets[DisplayName],"")</f>
        <v>Collapsed Staircase</v>
      </c>
      <c r="D1933" s="41" t="str">
        <f>_xlfn.XLOOKUP(tblCost[[#This Row],[TargetID]],tblTargets[TargetID],tblTargets[TargetType],"")</f>
        <v>COLLECTION</v>
      </c>
      <c r="E1933" s="41" t="s">
        <v>662</v>
      </c>
      <c r="F1933" s="62" t="str">
        <f>RIGHT(tblCost[[#This Row],[RequirementID]],1)</f>
        <v>1</v>
      </c>
      <c r="G1933" s="41">
        <v>5</v>
      </c>
      <c r="H1933" t="b">
        <f>COUNTIFS(tblCostChecklist[RequirementID],tblCost[[#This Row],[RequirementID]],tblCostChecklist[PlayerPaid],TRUE)&gt;0</f>
        <v>0</v>
      </c>
      <c r="I1933" s="41">
        <f>COUNTIF(tblCost[TargetID],tblCost[[#This Row],[TargetID]])</f>
        <v>4</v>
      </c>
      <c r="J1933" s="41">
        <f>COUNTIFS(tblCost[TargetID],tblCost[[#This Row],[TargetID]],tblCost[PlayerPaid],TRUE)</f>
        <v>0</v>
      </c>
      <c r="K1933" s="41">
        <f>tblCost[[#This Row],[TargetRequirements]]-tblCost[[#This Row],[CompletedRequirements]]</f>
        <v>4</v>
      </c>
      <c r="L1933" s="41" t="b">
        <f>tblCost[[#This Row],[RemainingRequirements]]=0</f>
        <v>0</v>
      </c>
      <c r="M1933" s="43">
        <f>IF(tblCost[[#This Row],[TargetRequirements]]=0,0,tblCost[[#This Row],[CompletedRequirements]]/tblCost[[#This Row],[TargetRequirements]])</f>
        <v>0</v>
      </c>
    </row>
    <row r="1934" spans="1:13">
      <c r="A1934" s="41" t="s">
        <v>5996</v>
      </c>
      <c r="B1934" s="41" t="str">
        <f>_xlfn.TEXTAFTER(_xlfn.TEXTBEFORE(tblCost[[#This Row],[RequirementID]],".",-2),"cost.")</f>
        <v>collection.rotten_ladder@1</v>
      </c>
      <c r="C1934" s="41" t="str">
        <f>_xlfn.XLOOKUP(tblCost[[#This Row],[TargetID]],tblTargets[TargetID],tblTargets[DisplayName],"")</f>
        <v>Rotten Ladder</v>
      </c>
      <c r="D1934" s="41" t="str">
        <f>_xlfn.XLOOKUP(tblCost[[#This Row],[TargetID]],tblTargets[TargetID],tblTargets[TargetType],"")</f>
        <v>COLLECTION</v>
      </c>
      <c r="E1934" s="41" t="s">
        <v>701</v>
      </c>
      <c r="F1934" s="62" t="str">
        <f>RIGHT(tblCost[[#This Row],[RequirementID]],1)</f>
        <v>1</v>
      </c>
      <c r="G1934" s="41">
        <v>200</v>
      </c>
      <c r="H1934" t="b">
        <f>COUNTIFS(tblCostChecklist[RequirementID],tblCost[[#This Row],[RequirementID]],tblCostChecklist[PlayerPaid],TRUE)&gt;0</f>
        <v>0</v>
      </c>
      <c r="I1934" s="41">
        <f>COUNTIF(tblCost[TargetID],tblCost[[#This Row],[TargetID]])</f>
        <v>1</v>
      </c>
      <c r="J1934" s="41">
        <f>COUNTIFS(tblCost[TargetID],tblCost[[#This Row],[TargetID]],tblCost[PlayerPaid],TRUE)</f>
        <v>0</v>
      </c>
      <c r="K1934" s="41">
        <f>tblCost[[#This Row],[TargetRequirements]]-tblCost[[#This Row],[CompletedRequirements]]</f>
        <v>1</v>
      </c>
      <c r="L1934" s="41" t="b">
        <f>tblCost[[#This Row],[RemainingRequirements]]=0</f>
        <v>0</v>
      </c>
      <c r="M1934" s="43">
        <f>IF(tblCost[[#This Row],[TargetRequirements]]=0,0,tblCost[[#This Row],[CompletedRequirements]]/tblCost[[#This Row],[TargetRequirements]])</f>
        <v>0</v>
      </c>
    </row>
    <row r="1935" spans="1:13">
      <c r="A1935" s="41" t="s">
        <v>5997</v>
      </c>
      <c r="B1935" s="41" t="str">
        <f>_xlfn.TEXTAFTER(_xlfn.TEXTBEFORE(tblCost[[#This Row],[RequirementID]],".",-2),"cost.")</f>
        <v>collection.cave_in_bone_dragon@1</v>
      </c>
      <c r="C1935" s="41" t="str">
        <f>_xlfn.XLOOKUP(tblCost[[#This Row],[TargetID]],tblTargets[TargetID],tblTargets[DisplayName],"")</f>
        <v>Cave-in Bone Dragon</v>
      </c>
      <c r="D1935" s="41" t="str">
        <f>_xlfn.XLOOKUP(tblCost[[#This Row],[TargetID]],tblTargets[TargetID],tblTargets[TargetType],"")</f>
        <v>COLLECTION</v>
      </c>
      <c r="E1935" s="41" t="s">
        <v>700</v>
      </c>
      <c r="F1935" s="62" t="str">
        <f>RIGHT(tblCost[[#This Row],[RequirementID]],1)</f>
        <v>1</v>
      </c>
      <c r="G1935" s="41">
        <v>30</v>
      </c>
      <c r="H1935" t="b">
        <f>COUNTIFS(tblCostChecklist[RequirementID],tblCost[[#This Row],[RequirementID]],tblCostChecklist[PlayerPaid],TRUE)&gt;0</f>
        <v>0</v>
      </c>
      <c r="I1935" s="41">
        <f>COUNTIF(tblCost[TargetID],tblCost[[#This Row],[TargetID]])</f>
        <v>1</v>
      </c>
      <c r="J1935" s="41">
        <f>COUNTIFS(tblCost[TargetID],tblCost[[#This Row],[TargetID]],tblCost[PlayerPaid],TRUE)</f>
        <v>0</v>
      </c>
      <c r="K1935" s="41">
        <f>tblCost[[#This Row],[TargetRequirements]]-tblCost[[#This Row],[CompletedRequirements]]</f>
        <v>1</v>
      </c>
      <c r="L1935" s="41" t="b">
        <f>tblCost[[#This Row],[RemainingRequirements]]=0</f>
        <v>0</v>
      </c>
      <c r="M1935" s="43">
        <f>IF(tblCost[[#This Row],[TargetRequirements]]=0,0,tblCost[[#This Row],[CompletedRequirements]]/tblCost[[#This Row],[TargetRequirements]])</f>
        <v>0</v>
      </c>
    </row>
    <row r="1936" spans="1:13">
      <c r="A1936" s="41" t="s">
        <v>5998</v>
      </c>
      <c r="B1936" s="41" t="str">
        <f>_xlfn.TEXTAFTER(_xlfn.TEXTBEFORE(tblCost[[#This Row],[RequirementID]],".",-2),"cost.")</f>
        <v>collection.cave_in_alchemist_hall@1</v>
      </c>
      <c r="C1936" s="41" t="str">
        <f>_xlfn.XLOOKUP(tblCost[[#This Row],[TargetID]],tblTargets[TargetID],tblTargets[DisplayName],"")</f>
        <v>Cave-in Alchemist Hall</v>
      </c>
      <c r="D1936" s="41" t="str">
        <f>_xlfn.XLOOKUP(tblCost[[#This Row],[TargetID]],tblTargets[TargetID],tblTargets[TargetType],"")</f>
        <v>COLLECTION</v>
      </c>
      <c r="E1936" s="41" t="s">
        <v>700</v>
      </c>
      <c r="F1936" s="62" t="str">
        <f>RIGHT(tblCost[[#This Row],[RequirementID]],1)</f>
        <v>1</v>
      </c>
      <c r="G1936" s="41">
        <v>30</v>
      </c>
      <c r="H1936" t="b">
        <f>COUNTIFS(tblCostChecklist[RequirementID],tblCost[[#This Row],[RequirementID]],tblCostChecklist[PlayerPaid],TRUE)&gt;0</f>
        <v>0</v>
      </c>
      <c r="I1936" s="41">
        <f>COUNTIF(tblCost[TargetID],tblCost[[#This Row],[TargetID]])</f>
        <v>1</v>
      </c>
      <c r="J1936" s="41">
        <f>COUNTIFS(tblCost[TargetID],tblCost[[#This Row],[TargetID]],tblCost[PlayerPaid],TRUE)</f>
        <v>0</v>
      </c>
      <c r="K1936" s="41">
        <f>tblCost[[#This Row],[TargetRequirements]]-tblCost[[#This Row],[CompletedRequirements]]</f>
        <v>1</v>
      </c>
      <c r="L1936" s="41" t="b">
        <f>tblCost[[#This Row],[RemainingRequirements]]=0</f>
        <v>0</v>
      </c>
      <c r="M1936" s="43">
        <f>IF(tblCost[[#This Row],[TargetRequirements]]=0,0,tblCost[[#This Row],[CompletedRequirements]]/tblCost[[#This Row],[TargetRequirements]])</f>
        <v>0</v>
      </c>
    </row>
    <row r="1937" spans="1:13">
      <c r="A1937" s="41" t="s">
        <v>5927</v>
      </c>
      <c r="B1937" s="41" t="str">
        <f>_xlfn.TEXTAFTER(_xlfn.TEXTBEFORE(tblCost[[#This Row],[RequirementID]],".",-2),"cost.")</f>
        <v>collection.bone_dragon@1</v>
      </c>
      <c r="C1937" s="41" t="str">
        <f>_xlfn.XLOOKUP(tblCost[[#This Row],[TargetID]],tblTargets[TargetID],tblTargets[DisplayName],"")</f>
        <v>Bone Dragon Lv 1</v>
      </c>
      <c r="D1937" s="41" t="str">
        <f>_xlfn.XLOOKUP(tblCost[[#This Row],[TargetID]],tblTargets[TargetID],tblTargets[TargetType],"")</f>
        <v>COLLECTION</v>
      </c>
      <c r="E1937" s="41" t="s">
        <v>3653</v>
      </c>
      <c r="F1937" s="62" t="str">
        <f>RIGHT(tblCost[[#This Row],[RequirementID]],1)</f>
        <v>1</v>
      </c>
      <c r="G1937" s="41">
        <v>30</v>
      </c>
      <c r="H1937" t="b">
        <f>COUNTIFS(tblCostChecklist[RequirementID],tblCost[[#This Row],[RequirementID]],tblCostChecklist[PlayerPaid],TRUE)&gt;0</f>
        <v>0</v>
      </c>
      <c r="I1937" s="41">
        <f>COUNTIF(tblCost[TargetID],tblCost[[#This Row],[TargetID]])</f>
        <v>11</v>
      </c>
      <c r="J1937" s="41">
        <f>COUNTIFS(tblCost[TargetID],tblCost[[#This Row],[TargetID]],tblCost[PlayerPaid],TRUE)</f>
        <v>0</v>
      </c>
      <c r="K1937" s="41">
        <f>tblCost[[#This Row],[TargetRequirements]]-tblCost[[#This Row],[CompletedRequirements]]</f>
        <v>11</v>
      </c>
      <c r="L1937" s="41" t="b">
        <f>tblCost[[#This Row],[RemainingRequirements]]=0</f>
        <v>0</v>
      </c>
      <c r="M1937" s="43">
        <f>IF(tblCost[[#This Row],[TargetRequirements]]=0,0,tblCost[[#This Row],[CompletedRequirements]]/tblCost[[#This Row],[TargetRequirements]])</f>
        <v>0</v>
      </c>
    </row>
    <row r="1938" spans="1:13">
      <c r="A1938" s="41" t="s">
        <v>5928</v>
      </c>
      <c r="B1938" s="41" t="str">
        <f>_xlfn.TEXTAFTER(_xlfn.TEXTBEFORE(tblCost[[#This Row],[RequirementID]],".",-2),"cost.")</f>
        <v>collection.bone_dragon@1</v>
      </c>
      <c r="C1938" s="41" t="str">
        <f>_xlfn.XLOOKUP(tblCost[[#This Row],[TargetID]],tblTargets[TargetID],tblTargets[DisplayName],"")</f>
        <v>Bone Dragon Lv 1</v>
      </c>
      <c r="D1938" s="41" t="str">
        <f>_xlfn.XLOOKUP(tblCost[[#This Row],[TargetID]],tblTargets[TargetID],tblTargets[TargetType],"")</f>
        <v>COLLECTION</v>
      </c>
      <c r="E1938" s="41" t="s">
        <v>1847</v>
      </c>
      <c r="F1938" s="62" t="str">
        <f>RIGHT(tblCost[[#This Row],[RequirementID]],1)</f>
        <v>1</v>
      </c>
      <c r="G1938" s="41">
        <v>10</v>
      </c>
      <c r="H1938" t="b">
        <f>COUNTIFS(tblCostChecklist[RequirementID],tblCost[[#This Row],[RequirementID]],tblCostChecklist[PlayerPaid],TRUE)&gt;0</f>
        <v>0</v>
      </c>
      <c r="I1938" s="41">
        <f>COUNTIF(tblCost[TargetID],tblCost[[#This Row],[TargetID]])</f>
        <v>11</v>
      </c>
      <c r="J1938" s="41">
        <f>COUNTIFS(tblCost[TargetID],tblCost[[#This Row],[TargetID]],tblCost[PlayerPaid],TRUE)</f>
        <v>0</v>
      </c>
      <c r="K1938" s="41">
        <f>tblCost[[#This Row],[TargetRequirements]]-tblCost[[#This Row],[CompletedRequirements]]</f>
        <v>11</v>
      </c>
      <c r="L1938" s="41" t="b">
        <f>tblCost[[#This Row],[RemainingRequirements]]=0</f>
        <v>0</v>
      </c>
      <c r="M1938" s="43">
        <f>IF(tblCost[[#This Row],[TargetRequirements]]=0,0,tblCost[[#This Row],[CompletedRequirements]]/tblCost[[#This Row],[TargetRequirements]])</f>
        <v>0</v>
      </c>
    </row>
    <row r="1939" spans="1:13">
      <c r="A1939" s="41" t="s">
        <v>5929</v>
      </c>
      <c r="B1939" s="41" t="str">
        <f>_xlfn.TEXTAFTER(_xlfn.TEXTBEFORE(tblCost[[#This Row],[RequirementID]],".",-2),"cost.")</f>
        <v>collection.bone_dragon@1</v>
      </c>
      <c r="C1939" s="41" t="str">
        <f>_xlfn.XLOOKUP(tblCost[[#This Row],[TargetID]],tblTargets[TargetID],tblTargets[DisplayName],"")</f>
        <v>Bone Dragon Lv 1</v>
      </c>
      <c r="D1939" s="41" t="str">
        <f>_xlfn.XLOOKUP(tblCost[[#This Row],[TargetID]],tblTargets[TargetID],tblTargets[TargetType],"")</f>
        <v>COLLECTION</v>
      </c>
      <c r="E1939" s="41" t="s">
        <v>5616</v>
      </c>
      <c r="F1939" s="62" t="str">
        <f>RIGHT(tblCost[[#This Row],[RequirementID]],1)</f>
        <v>1</v>
      </c>
      <c r="G1939" s="41">
        <v>11</v>
      </c>
      <c r="H1939" t="b">
        <f>COUNTIFS(tblCostChecklist[RequirementID],tblCost[[#This Row],[RequirementID]],tblCostChecklist[PlayerPaid],TRUE)&gt;0</f>
        <v>0</v>
      </c>
      <c r="I1939" s="41">
        <f>COUNTIF(tblCost[TargetID],tblCost[[#This Row],[TargetID]])</f>
        <v>11</v>
      </c>
      <c r="J1939" s="41">
        <f>COUNTIFS(tblCost[TargetID],tblCost[[#This Row],[TargetID]],tblCost[PlayerPaid],TRUE)</f>
        <v>0</v>
      </c>
      <c r="K1939" s="41">
        <f>tblCost[[#This Row],[TargetRequirements]]-tblCost[[#This Row],[CompletedRequirements]]</f>
        <v>11</v>
      </c>
      <c r="L1939" s="41" t="b">
        <f>tblCost[[#This Row],[RemainingRequirements]]=0</f>
        <v>0</v>
      </c>
      <c r="M1939" s="43">
        <f>IF(tblCost[[#This Row],[TargetRequirements]]=0,0,tblCost[[#This Row],[CompletedRequirements]]/tblCost[[#This Row],[TargetRequirements]])</f>
        <v>0</v>
      </c>
    </row>
    <row r="1940" spans="1:13">
      <c r="A1940" s="41" t="s">
        <v>5930</v>
      </c>
      <c r="B1940" s="41" t="str">
        <f>_xlfn.TEXTAFTER(_xlfn.TEXTBEFORE(tblCost[[#This Row],[RequirementID]],".",-2),"cost.")</f>
        <v>collection.bone_dragon@1</v>
      </c>
      <c r="C1940" s="41" t="str">
        <f>_xlfn.XLOOKUP(tblCost[[#This Row],[TargetID]],tblTargets[TargetID],tblTargets[DisplayName],"")</f>
        <v>Bone Dragon Lv 1</v>
      </c>
      <c r="D1940" s="41" t="str">
        <f>_xlfn.XLOOKUP(tblCost[[#This Row],[TargetID]],tblTargets[TargetID],tblTargets[TargetType],"")</f>
        <v>COLLECTION</v>
      </c>
      <c r="E1940" s="41" t="s">
        <v>930</v>
      </c>
      <c r="F1940" s="62" t="str">
        <f>RIGHT(tblCost[[#This Row],[RequirementID]],1)</f>
        <v>1</v>
      </c>
      <c r="G1940" s="41">
        <v>2</v>
      </c>
      <c r="H1940" t="b">
        <f>COUNTIFS(tblCostChecklist[RequirementID],tblCost[[#This Row],[RequirementID]],tblCostChecklist[PlayerPaid],TRUE)&gt;0</f>
        <v>0</v>
      </c>
      <c r="I1940" s="41">
        <f>COUNTIF(tblCost[TargetID],tblCost[[#This Row],[TargetID]])</f>
        <v>11</v>
      </c>
      <c r="J1940" s="41">
        <f>COUNTIFS(tblCost[TargetID],tblCost[[#This Row],[TargetID]],tblCost[PlayerPaid],TRUE)</f>
        <v>0</v>
      </c>
      <c r="K1940" s="41">
        <f>tblCost[[#This Row],[TargetRequirements]]-tblCost[[#This Row],[CompletedRequirements]]</f>
        <v>11</v>
      </c>
      <c r="L1940" s="41" t="b">
        <f>tblCost[[#This Row],[RemainingRequirements]]=0</f>
        <v>0</v>
      </c>
      <c r="M1940" s="43">
        <f>IF(tblCost[[#This Row],[TargetRequirements]]=0,0,tblCost[[#This Row],[CompletedRequirements]]/tblCost[[#This Row],[TargetRequirements]])</f>
        <v>0</v>
      </c>
    </row>
    <row r="1941" spans="1:13">
      <c r="A1941" s="41" t="s">
        <v>5931</v>
      </c>
      <c r="B1941" s="41" t="str">
        <f>_xlfn.TEXTAFTER(_xlfn.TEXTBEFORE(tblCost[[#This Row],[RequirementID]],".",-2),"cost.")</f>
        <v>collection.bone_dragon@1</v>
      </c>
      <c r="C1941" s="41" t="str">
        <f>_xlfn.XLOOKUP(tblCost[[#This Row],[TargetID]],tblTargets[TargetID],tblTargets[DisplayName],"")</f>
        <v>Bone Dragon Lv 1</v>
      </c>
      <c r="D1941" s="41" t="str">
        <f>_xlfn.XLOOKUP(tblCost[[#This Row],[TargetID]],tblTargets[TargetID],tblTargets[TargetType],"")</f>
        <v>COLLECTION</v>
      </c>
      <c r="E1941" s="41" t="s">
        <v>3653</v>
      </c>
      <c r="F1941" s="62" t="str">
        <f>RIGHT(tblCost[[#This Row],[RequirementID]],1)</f>
        <v>2</v>
      </c>
      <c r="G1941" s="41">
        <v>150</v>
      </c>
      <c r="H1941" t="b">
        <f>COUNTIFS(tblCostChecklist[RequirementID],tblCost[[#This Row],[RequirementID]],tblCostChecklist[PlayerPaid],TRUE)&gt;0</f>
        <v>0</v>
      </c>
      <c r="I1941" s="41">
        <f>COUNTIF(tblCost[TargetID],tblCost[[#This Row],[TargetID]])</f>
        <v>11</v>
      </c>
      <c r="J1941" s="41">
        <f>COUNTIFS(tblCost[TargetID],tblCost[[#This Row],[TargetID]],tblCost[PlayerPaid],TRUE)</f>
        <v>0</v>
      </c>
      <c r="K1941" s="41">
        <f>tblCost[[#This Row],[TargetRequirements]]-tblCost[[#This Row],[CompletedRequirements]]</f>
        <v>11</v>
      </c>
      <c r="L1941" s="41" t="b">
        <f>tblCost[[#This Row],[RemainingRequirements]]=0</f>
        <v>0</v>
      </c>
      <c r="M1941" s="43">
        <f>IF(tblCost[[#This Row],[TargetRequirements]]=0,0,tblCost[[#This Row],[CompletedRequirements]]/tblCost[[#This Row],[TargetRequirements]])</f>
        <v>0</v>
      </c>
    </row>
    <row r="1942" spans="1:13">
      <c r="A1942" s="41" t="s">
        <v>5932</v>
      </c>
      <c r="B1942" s="41" t="str">
        <f>_xlfn.TEXTAFTER(_xlfn.TEXTBEFORE(tblCost[[#This Row],[RequirementID]],".",-2),"cost.")</f>
        <v>collection.bone_dragon@1</v>
      </c>
      <c r="C1942" s="41" t="str">
        <f>_xlfn.XLOOKUP(tblCost[[#This Row],[TargetID]],tblTargets[TargetID],tblTargets[DisplayName],"")</f>
        <v>Bone Dragon Lv 1</v>
      </c>
      <c r="D1942" s="41" t="str">
        <f>_xlfn.XLOOKUP(tblCost[[#This Row],[TargetID]],tblTargets[TargetID],tblTargets[TargetType],"")</f>
        <v>COLLECTION</v>
      </c>
      <c r="E1942" s="41" t="s">
        <v>3653</v>
      </c>
      <c r="F1942" s="62" t="str">
        <f>RIGHT(tblCost[[#This Row],[RequirementID]],1)</f>
        <v>3</v>
      </c>
      <c r="G1942" s="41">
        <v>30</v>
      </c>
      <c r="H1942" t="b">
        <f>COUNTIFS(tblCostChecklist[RequirementID],tblCost[[#This Row],[RequirementID]],tblCostChecklist[PlayerPaid],TRUE)&gt;0</f>
        <v>0</v>
      </c>
      <c r="I1942" s="41">
        <f>COUNTIF(tblCost[TargetID],tblCost[[#This Row],[TargetID]])</f>
        <v>11</v>
      </c>
      <c r="J1942" s="41">
        <f>COUNTIFS(tblCost[TargetID],tblCost[[#This Row],[TargetID]],tblCost[PlayerPaid],TRUE)</f>
        <v>0</v>
      </c>
      <c r="K1942" s="41">
        <f>tblCost[[#This Row],[TargetRequirements]]-tblCost[[#This Row],[CompletedRequirements]]</f>
        <v>11</v>
      </c>
      <c r="L1942" s="41" t="b">
        <f>tblCost[[#This Row],[RemainingRequirements]]=0</f>
        <v>0</v>
      </c>
      <c r="M1942" s="43">
        <f>IF(tblCost[[#This Row],[TargetRequirements]]=0,0,tblCost[[#This Row],[CompletedRequirements]]/tblCost[[#This Row],[TargetRequirements]])</f>
        <v>0</v>
      </c>
    </row>
    <row r="1943" spans="1:13">
      <c r="A1943" s="41" t="s">
        <v>5933</v>
      </c>
      <c r="B1943" s="41" t="str">
        <f>_xlfn.TEXTAFTER(_xlfn.TEXTBEFORE(tblCost[[#This Row],[RequirementID]],".",-2),"cost.")</f>
        <v>collection.bone_dragon@1</v>
      </c>
      <c r="C1943" s="41" t="str">
        <f>_xlfn.XLOOKUP(tblCost[[#This Row],[TargetID]],tblTargets[TargetID],tblTargets[DisplayName],"")</f>
        <v>Bone Dragon Lv 1</v>
      </c>
      <c r="D1943" s="41" t="str">
        <f>_xlfn.XLOOKUP(tblCost[[#This Row],[TargetID]],tblTargets[TargetID],tblTargets[TargetType],"")</f>
        <v>COLLECTION</v>
      </c>
      <c r="E1943" s="41" t="s">
        <v>3653</v>
      </c>
      <c r="F1943" s="62" t="str">
        <f>RIGHT(tblCost[[#This Row],[RequirementID]],1)</f>
        <v>4</v>
      </c>
      <c r="G1943" s="41">
        <v>30</v>
      </c>
      <c r="H1943" t="b">
        <f>COUNTIFS(tblCostChecklist[RequirementID],tblCost[[#This Row],[RequirementID]],tblCostChecklist[PlayerPaid],TRUE)&gt;0</f>
        <v>0</v>
      </c>
      <c r="I1943" s="41">
        <f>COUNTIF(tblCost[TargetID],tblCost[[#This Row],[TargetID]])</f>
        <v>11</v>
      </c>
      <c r="J1943" s="41">
        <f>COUNTIFS(tblCost[TargetID],tblCost[[#This Row],[TargetID]],tblCost[PlayerPaid],TRUE)</f>
        <v>0</v>
      </c>
      <c r="K1943" s="41">
        <f>tblCost[[#This Row],[TargetRequirements]]-tblCost[[#This Row],[CompletedRequirements]]</f>
        <v>11</v>
      </c>
      <c r="L1943" s="41" t="b">
        <f>tblCost[[#This Row],[RemainingRequirements]]=0</f>
        <v>0</v>
      </c>
      <c r="M1943" s="43">
        <f>IF(tblCost[[#This Row],[TargetRequirements]]=0,0,tblCost[[#This Row],[CompletedRequirements]]/tblCost[[#This Row],[TargetRequirements]])</f>
        <v>0</v>
      </c>
    </row>
    <row r="1944" spans="1:13">
      <c r="A1944" s="41" t="s">
        <v>5934</v>
      </c>
      <c r="B1944" s="41" t="str">
        <f>_xlfn.TEXTAFTER(_xlfn.TEXTBEFORE(tblCost[[#This Row],[RequirementID]],".",-2),"cost.")</f>
        <v>collection.bone_dragon@1</v>
      </c>
      <c r="C1944" s="41" t="str">
        <f>_xlfn.XLOOKUP(tblCost[[#This Row],[TargetID]],tblTargets[TargetID],tblTargets[DisplayName],"")</f>
        <v>Bone Dragon Lv 1</v>
      </c>
      <c r="D1944" s="41" t="str">
        <f>_xlfn.XLOOKUP(tblCost[[#This Row],[TargetID]],tblTargets[TargetID],tblTargets[TargetType],"")</f>
        <v>COLLECTION</v>
      </c>
      <c r="E1944" s="41" t="s">
        <v>3653</v>
      </c>
      <c r="F1944" s="62" t="str">
        <f>RIGHT(tblCost[[#This Row],[RequirementID]],1)</f>
        <v>5</v>
      </c>
      <c r="G1944" s="41">
        <v>30</v>
      </c>
      <c r="H1944" t="b">
        <f>COUNTIFS(tblCostChecklist[RequirementID],tblCost[[#This Row],[RequirementID]],tblCostChecklist[PlayerPaid],TRUE)&gt;0</f>
        <v>0</v>
      </c>
      <c r="I1944" s="41">
        <f>COUNTIF(tblCost[TargetID],tblCost[[#This Row],[TargetID]])</f>
        <v>11</v>
      </c>
      <c r="J1944" s="41">
        <f>COUNTIFS(tblCost[TargetID],tblCost[[#This Row],[TargetID]],tblCost[PlayerPaid],TRUE)</f>
        <v>0</v>
      </c>
      <c r="K1944" s="41">
        <f>tblCost[[#This Row],[TargetRequirements]]-tblCost[[#This Row],[CompletedRequirements]]</f>
        <v>11</v>
      </c>
      <c r="L1944" s="41" t="b">
        <f>tblCost[[#This Row],[RemainingRequirements]]=0</f>
        <v>0</v>
      </c>
      <c r="M1944" s="43">
        <f>IF(tblCost[[#This Row],[TargetRequirements]]=0,0,tblCost[[#This Row],[CompletedRequirements]]/tblCost[[#This Row],[TargetRequirements]])</f>
        <v>0</v>
      </c>
    </row>
    <row r="1945" spans="1:13">
      <c r="A1945" s="41" t="s">
        <v>5935</v>
      </c>
      <c r="B1945" s="41" t="str">
        <f>_xlfn.TEXTAFTER(_xlfn.TEXTBEFORE(tblCost[[#This Row],[RequirementID]],".",-2),"cost.")</f>
        <v>collection.bone_dragon@1</v>
      </c>
      <c r="C1945" s="41" t="str">
        <f>_xlfn.XLOOKUP(tblCost[[#This Row],[TargetID]],tblTargets[TargetID],tblTargets[DisplayName],"")</f>
        <v>Bone Dragon Lv 1</v>
      </c>
      <c r="D1945" s="41" t="str">
        <f>_xlfn.XLOOKUP(tblCost[[#This Row],[TargetID]],tblTargets[TargetID],tblTargets[TargetType],"")</f>
        <v>COLLECTION</v>
      </c>
      <c r="E1945" s="41" t="s">
        <v>3653</v>
      </c>
      <c r="F1945" s="62" t="str">
        <f>RIGHT(tblCost[[#This Row],[RequirementID]],1)</f>
        <v>6</v>
      </c>
      <c r="G1945" s="41">
        <v>30</v>
      </c>
      <c r="H1945" t="b">
        <f>COUNTIFS(tblCostChecklist[RequirementID],tblCost[[#This Row],[RequirementID]],tblCostChecklist[PlayerPaid],TRUE)&gt;0</f>
        <v>0</v>
      </c>
      <c r="I1945" s="41">
        <f>COUNTIF(tblCost[TargetID],tblCost[[#This Row],[TargetID]])</f>
        <v>11</v>
      </c>
      <c r="J1945" s="41">
        <f>COUNTIFS(tblCost[TargetID],tblCost[[#This Row],[TargetID]],tblCost[PlayerPaid],TRUE)</f>
        <v>0</v>
      </c>
      <c r="K1945" s="41">
        <f>tblCost[[#This Row],[TargetRequirements]]-tblCost[[#This Row],[CompletedRequirements]]</f>
        <v>11</v>
      </c>
      <c r="L1945" s="41" t="b">
        <f>tblCost[[#This Row],[RemainingRequirements]]=0</f>
        <v>0</v>
      </c>
      <c r="M1945" s="43">
        <f>IF(tblCost[[#This Row],[TargetRequirements]]=0,0,tblCost[[#This Row],[CompletedRequirements]]/tblCost[[#This Row],[TargetRequirements]])</f>
        <v>0</v>
      </c>
    </row>
    <row r="1946" spans="1:13">
      <c r="A1946" s="41" t="s">
        <v>5936</v>
      </c>
      <c r="B1946" s="41" t="str">
        <f>_xlfn.TEXTAFTER(_xlfn.TEXTBEFORE(tblCost[[#This Row],[RequirementID]],".",-2),"cost.")</f>
        <v>collection.bone_dragon@1</v>
      </c>
      <c r="C1946" s="41" t="str">
        <f>_xlfn.XLOOKUP(tblCost[[#This Row],[TargetID]],tblTargets[TargetID],tblTargets[DisplayName],"")</f>
        <v>Bone Dragon Lv 1</v>
      </c>
      <c r="D1946" s="41" t="str">
        <f>_xlfn.XLOOKUP(tblCost[[#This Row],[TargetID]],tblTargets[TargetID],tblTargets[TargetType],"")</f>
        <v>COLLECTION</v>
      </c>
      <c r="E1946" s="41" t="s">
        <v>667</v>
      </c>
      <c r="F1946" s="62" t="str">
        <f>RIGHT(tblCost[[#This Row],[RequirementID]],1)</f>
        <v>1</v>
      </c>
      <c r="G1946" s="41">
        <v>555</v>
      </c>
      <c r="H1946" t="b">
        <f>COUNTIFS(tblCostChecklist[RequirementID],tblCost[[#This Row],[RequirementID]],tblCostChecklist[PlayerPaid],TRUE)&gt;0</f>
        <v>0</v>
      </c>
      <c r="I1946" s="41">
        <f>COUNTIF(tblCost[TargetID],tblCost[[#This Row],[TargetID]])</f>
        <v>11</v>
      </c>
      <c r="J1946" s="41">
        <f>COUNTIFS(tblCost[TargetID],tblCost[[#This Row],[TargetID]],tblCost[PlayerPaid],TRUE)</f>
        <v>0</v>
      </c>
      <c r="K1946" s="41">
        <f>tblCost[[#This Row],[TargetRequirements]]-tblCost[[#This Row],[CompletedRequirements]]</f>
        <v>11</v>
      </c>
      <c r="L1946" s="41" t="b">
        <f>tblCost[[#This Row],[RemainingRequirements]]=0</f>
        <v>0</v>
      </c>
      <c r="M1946" s="43">
        <f>IF(tblCost[[#This Row],[TargetRequirements]]=0,0,tblCost[[#This Row],[CompletedRequirements]]/tblCost[[#This Row],[TargetRequirements]])</f>
        <v>0</v>
      </c>
    </row>
    <row r="1947" spans="1:13">
      <c r="A1947" s="41" t="s">
        <v>5937</v>
      </c>
      <c r="B1947" s="41" t="str">
        <f>_xlfn.TEXTAFTER(_xlfn.TEXTBEFORE(tblCost[[#This Row],[RequirementID]],".",-2),"cost.")</f>
        <v>collection.bone_dragon@1</v>
      </c>
      <c r="C1947" s="41" t="str">
        <f>_xlfn.XLOOKUP(tblCost[[#This Row],[TargetID]],tblTargets[TargetID],tblTargets[DisplayName],"")</f>
        <v>Bone Dragon Lv 1</v>
      </c>
      <c r="D1947" s="41" t="str">
        <f>_xlfn.XLOOKUP(tblCost[[#This Row],[TargetID]],tblTargets[TargetID],tblTargets[TargetType],"")</f>
        <v>COLLECTION</v>
      </c>
      <c r="E1947" s="41" t="s">
        <v>677</v>
      </c>
      <c r="F1947" s="62" t="str">
        <f>RIGHT(tblCost[[#This Row],[RequirementID]],1)</f>
        <v>1</v>
      </c>
      <c r="G1947" s="41">
        <v>5</v>
      </c>
      <c r="H1947" t="b">
        <f>COUNTIFS(tblCostChecklist[RequirementID],tblCost[[#This Row],[RequirementID]],tblCostChecklist[PlayerPaid],TRUE)&gt;0</f>
        <v>0</v>
      </c>
      <c r="I1947" s="41">
        <f>COUNTIF(tblCost[TargetID],tblCost[[#This Row],[TargetID]])</f>
        <v>11</v>
      </c>
      <c r="J1947" s="41">
        <f>COUNTIFS(tblCost[TargetID],tblCost[[#This Row],[TargetID]],tblCost[PlayerPaid],TRUE)</f>
        <v>0</v>
      </c>
      <c r="K1947" s="41">
        <f>tblCost[[#This Row],[TargetRequirements]]-tblCost[[#This Row],[CompletedRequirements]]</f>
        <v>11</v>
      </c>
      <c r="L1947" s="41" t="b">
        <f>tblCost[[#This Row],[RemainingRequirements]]=0</f>
        <v>0</v>
      </c>
      <c r="M1947" s="43">
        <f>IF(tblCost[[#This Row],[TargetRequirements]]=0,0,tblCost[[#This Row],[CompletedRequirements]]/tblCost[[#This Row],[TargetRequirements]])</f>
        <v>0</v>
      </c>
    </row>
    <row r="1948" spans="1:13">
      <c r="A1948" s="41" t="s">
        <v>5938</v>
      </c>
      <c r="B1948" s="41" t="str">
        <f>_xlfn.TEXTAFTER(_xlfn.TEXTBEFORE(tblCost[[#This Row],[RequirementID]],".",-2),"cost.")</f>
        <v>collection.bone_dragon@2</v>
      </c>
      <c r="C1948" s="41" t="str">
        <f>_xlfn.XLOOKUP(tblCost[[#This Row],[TargetID]],tblTargets[TargetID],tblTargets[DisplayName],"")</f>
        <v>Bone Dragon Lv 2</v>
      </c>
      <c r="D1948" s="41" t="str">
        <f>_xlfn.XLOOKUP(tblCost[[#This Row],[TargetID]],tblTargets[TargetID],tblTargets[TargetType],"")</f>
        <v>COLLECTION</v>
      </c>
      <c r="E1948" s="41" t="s">
        <v>3653</v>
      </c>
      <c r="F1948" s="62" t="str">
        <f>RIGHT(tblCost[[#This Row],[RequirementID]],1)</f>
        <v>1</v>
      </c>
      <c r="G1948" s="41">
        <v>60</v>
      </c>
      <c r="H1948" t="b">
        <f>COUNTIFS(tblCostChecklist[RequirementID],tblCost[[#This Row],[RequirementID]],tblCostChecklist[PlayerPaid],TRUE)&gt;0</f>
        <v>0</v>
      </c>
      <c r="I1948" s="41">
        <f>COUNTIF(tblCost[TargetID],tblCost[[#This Row],[TargetID]])</f>
        <v>11</v>
      </c>
      <c r="J1948" s="41">
        <f>COUNTIFS(tblCost[TargetID],tblCost[[#This Row],[TargetID]],tblCost[PlayerPaid],TRUE)</f>
        <v>0</v>
      </c>
      <c r="K1948" s="41">
        <f>tblCost[[#This Row],[TargetRequirements]]-tblCost[[#This Row],[CompletedRequirements]]</f>
        <v>11</v>
      </c>
      <c r="L1948" s="41" t="b">
        <f>tblCost[[#This Row],[RemainingRequirements]]=0</f>
        <v>0</v>
      </c>
      <c r="M1948" s="43">
        <f>IF(tblCost[[#This Row],[TargetRequirements]]=0,0,tblCost[[#This Row],[CompletedRequirements]]/tblCost[[#This Row],[TargetRequirements]])</f>
        <v>0</v>
      </c>
    </row>
    <row r="1949" spans="1:13">
      <c r="A1949" s="41" t="s">
        <v>5939</v>
      </c>
      <c r="B1949" s="41" t="str">
        <f>_xlfn.TEXTAFTER(_xlfn.TEXTBEFORE(tblCost[[#This Row],[RequirementID]],".",-2),"cost.")</f>
        <v>collection.bone_dragon@2</v>
      </c>
      <c r="C1949" s="41" t="str">
        <f>_xlfn.XLOOKUP(tblCost[[#This Row],[TargetID]],tblTargets[TargetID],tblTargets[DisplayName],"")</f>
        <v>Bone Dragon Lv 2</v>
      </c>
      <c r="D1949" s="41" t="str">
        <f>_xlfn.XLOOKUP(tblCost[[#This Row],[TargetID]],tblTargets[TargetID],tblTargets[TargetType],"")</f>
        <v>COLLECTION</v>
      </c>
      <c r="E1949" s="41" t="s">
        <v>1847</v>
      </c>
      <c r="F1949" s="62" t="str">
        <f>RIGHT(tblCost[[#This Row],[RequirementID]],1)</f>
        <v>1</v>
      </c>
      <c r="G1949" s="41">
        <v>20</v>
      </c>
      <c r="H1949" t="b">
        <f>COUNTIFS(tblCostChecklist[RequirementID],tblCost[[#This Row],[RequirementID]],tblCostChecklist[PlayerPaid],TRUE)&gt;0</f>
        <v>0</v>
      </c>
      <c r="I1949" s="41">
        <f>COUNTIF(tblCost[TargetID],tblCost[[#This Row],[TargetID]])</f>
        <v>11</v>
      </c>
      <c r="J1949" s="41">
        <f>COUNTIFS(tblCost[TargetID],tblCost[[#This Row],[TargetID]],tblCost[PlayerPaid],TRUE)</f>
        <v>0</v>
      </c>
      <c r="K1949" s="41">
        <f>tblCost[[#This Row],[TargetRequirements]]-tblCost[[#This Row],[CompletedRequirements]]</f>
        <v>11</v>
      </c>
      <c r="L1949" s="41" t="b">
        <f>tblCost[[#This Row],[RemainingRequirements]]=0</f>
        <v>0</v>
      </c>
      <c r="M1949" s="43">
        <f>IF(tblCost[[#This Row],[TargetRequirements]]=0,0,tblCost[[#This Row],[CompletedRequirements]]/tblCost[[#This Row],[TargetRequirements]])</f>
        <v>0</v>
      </c>
    </row>
    <row r="1950" spans="1:13">
      <c r="A1950" s="41" t="s">
        <v>5940</v>
      </c>
      <c r="B1950" s="41" t="str">
        <f>_xlfn.TEXTAFTER(_xlfn.TEXTBEFORE(tblCost[[#This Row],[RequirementID]],".",-2),"cost.")</f>
        <v>collection.bone_dragon@2</v>
      </c>
      <c r="C1950" s="41" t="str">
        <f>_xlfn.XLOOKUP(tblCost[[#This Row],[TargetID]],tblTargets[TargetID],tblTargets[DisplayName],"")</f>
        <v>Bone Dragon Lv 2</v>
      </c>
      <c r="D1950" s="41" t="str">
        <f>_xlfn.XLOOKUP(tblCost[[#This Row],[TargetID]],tblTargets[TargetID],tblTargets[TargetType],"")</f>
        <v>COLLECTION</v>
      </c>
      <c r="E1950" s="41" t="s">
        <v>5616</v>
      </c>
      <c r="F1950" s="62" t="str">
        <f>RIGHT(tblCost[[#This Row],[RequirementID]],1)</f>
        <v>1</v>
      </c>
      <c r="G1950" s="41">
        <v>22</v>
      </c>
      <c r="H1950" t="b">
        <f>COUNTIFS(tblCostChecklist[RequirementID],tblCost[[#This Row],[RequirementID]],tblCostChecklist[PlayerPaid],TRUE)&gt;0</f>
        <v>0</v>
      </c>
      <c r="I1950" s="41">
        <f>COUNTIF(tblCost[TargetID],tblCost[[#This Row],[TargetID]])</f>
        <v>11</v>
      </c>
      <c r="J1950" s="41">
        <f>COUNTIFS(tblCost[TargetID],tblCost[[#This Row],[TargetID]],tblCost[PlayerPaid],TRUE)</f>
        <v>0</v>
      </c>
      <c r="K1950" s="41">
        <f>tblCost[[#This Row],[TargetRequirements]]-tblCost[[#This Row],[CompletedRequirements]]</f>
        <v>11</v>
      </c>
      <c r="L1950" s="41" t="b">
        <f>tblCost[[#This Row],[RemainingRequirements]]=0</f>
        <v>0</v>
      </c>
      <c r="M1950" s="43">
        <f>IF(tblCost[[#This Row],[TargetRequirements]]=0,0,tblCost[[#This Row],[CompletedRequirements]]/tblCost[[#This Row],[TargetRequirements]])</f>
        <v>0</v>
      </c>
    </row>
    <row r="1951" spans="1:13">
      <c r="A1951" s="41" t="s">
        <v>5941</v>
      </c>
      <c r="B1951" s="41" t="str">
        <f>_xlfn.TEXTAFTER(_xlfn.TEXTBEFORE(tblCost[[#This Row],[RequirementID]],".",-2),"cost.")</f>
        <v>collection.bone_dragon@2</v>
      </c>
      <c r="C1951" s="41" t="str">
        <f>_xlfn.XLOOKUP(tblCost[[#This Row],[TargetID]],tblTargets[TargetID],tblTargets[DisplayName],"")</f>
        <v>Bone Dragon Lv 2</v>
      </c>
      <c r="D1951" s="41" t="str">
        <f>_xlfn.XLOOKUP(tblCost[[#This Row],[TargetID]],tblTargets[TargetID],tblTargets[TargetType],"")</f>
        <v>COLLECTION</v>
      </c>
      <c r="E1951" s="41" t="s">
        <v>930</v>
      </c>
      <c r="F1951" s="62" t="str">
        <f>RIGHT(tblCost[[#This Row],[RequirementID]],1)</f>
        <v>1</v>
      </c>
      <c r="G1951" s="41">
        <v>4</v>
      </c>
      <c r="H1951" t="b">
        <f>COUNTIFS(tblCostChecklist[RequirementID],tblCost[[#This Row],[RequirementID]],tblCostChecklist[PlayerPaid],TRUE)&gt;0</f>
        <v>0</v>
      </c>
      <c r="I1951" s="41">
        <f>COUNTIF(tblCost[TargetID],tblCost[[#This Row],[TargetID]])</f>
        <v>11</v>
      </c>
      <c r="J1951" s="41">
        <f>COUNTIFS(tblCost[TargetID],tblCost[[#This Row],[TargetID]],tblCost[PlayerPaid],TRUE)</f>
        <v>0</v>
      </c>
      <c r="K1951" s="41">
        <f>tblCost[[#This Row],[TargetRequirements]]-tblCost[[#This Row],[CompletedRequirements]]</f>
        <v>11</v>
      </c>
      <c r="L1951" s="41" t="b">
        <f>tblCost[[#This Row],[RemainingRequirements]]=0</f>
        <v>0</v>
      </c>
      <c r="M1951" s="43">
        <f>IF(tblCost[[#This Row],[TargetRequirements]]=0,0,tblCost[[#This Row],[CompletedRequirements]]/tblCost[[#This Row],[TargetRequirements]])</f>
        <v>0</v>
      </c>
    </row>
    <row r="1952" spans="1:13">
      <c r="A1952" s="41" t="s">
        <v>5942</v>
      </c>
      <c r="B1952" s="41" t="str">
        <f>_xlfn.TEXTAFTER(_xlfn.TEXTBEFORE(tblCost[[#This Row],[RequirementID]],".",-2),"cost.")</f>
        <v>collection.bone_dragon@2</v>
      </c>
      <c r="C1952" s="41" t="str">
        <f>_xlfn.XLOOKUP(tblCost[[#This Row],[TargetID]],tblTargets[TargetID],tblTargets[DisplayName],"")</f>
        <v>Bone Dragon Lv 2</v>
      </c>
      <c r="D1952" s="41" t="str">
        <f>_xlfn.XLOOKUP(tblCost[[#This Row],[TargetID]],tblTargets[TargetID],tblTargets[TargetType],"")</f>
        <v>COLLECTION</v>
      </c>
      <c r="E1952" s="41" t="s">
        <v>3653</v>
      </c>
      <c r="F1952" s="62" t="str">
        <f>RIGHT(tblCost[[#This Row],[RequirementID]],1)</f>
        <v>2</v>
      </c>
      <c r="G1952" s="41">
        <v>300</v>
      </c>
      <c r="H1952" t="b">
        <f>COUNTIFS(tblCostChecklist[RequirementID],tblCost[[#This Row],[RequirementID]],tblCostChecklist[PlayerPaid],TRUE)&gt;0</f>
        <v>0</v>
      </c>
      <c r="I1952" s="41">
        <f>COUNTIF(tblCost[TargetID],tblCost[[#This Row],[TargetID]])</f>
        <v>11</v>
      </c>
      <c r="J1952" s="41">
        <f>COUNTIFS(tblCost[TargetID],tblCost[[#This Row],[TargetID]],tblCost[PlayerPaid],TRUE)</f>
        <v>0</v>
      </c>
      <c r="K1952" s="41">
        <f>tblCost[[#This Row],[TargetRequirements]]-tblCost[[#This Row],[CompletedRequirements]]</f>
        <v>11</v>
      </c>
      <c r="L1952" s="41" t="b">
        <f>tblCost[[#This Row],[RemainingRequirements]]=0</f>
        <v>0</v>
      </c>
      <c r="M1952" s="43">
        <f>IF(tblCost[[#This Row],[TargetRequirements]]=0,0,tblCost[[#This Row],[CompletedRequirements]]/tblCost[[#This Row],[TargetRequirements]])</f>
        <v>0</v>
      </c>
    </row>
    <row r="1953" spans="1:13">
      <c r="A1953" s="41" t="s">
        <v>5943</v>
      </c>
      <c r="B1953" s="41" t="str">
        <f>_xlfn.TEXTAFTER(_xlfn.TEXTBEFORE(tblCost[[#This Row],[RequirementID]],".",-2),"cost.")</f>
        <v>collection.bone_dragon@2</v>
      </c>
      <c r="C1953" s="41" t="str">
        <f>_xlfn.XLOOKUP(tblCost[[#This Row],[TargetID]],tblTargets[TargetID],tblTargets[DisplayName],"")</f>
        <v>Bone Dragon Lv 2</v>
      </c>
      <c r="D1953" s="41" t="str">
        <f>_xlfn.XLOOKUP(tblCost[[#This Row],[TargetID]],tblTargets[TargetID],tblTargets[TargetType],"")</f>
        <v>COLLECTION</v>
      </c>
      <c r="E1953" s="41" t="s">
        <v>3653</v>
      </c>
      <c r="F1953" s="62" t="str">
        <f>RIGHT(tblCost[[#This Row],[RequirementID]],1)</f>
        <v>3</v>
      </c>
      <c r="G1953" s="41">
        <v>60</v>
      </c>
      <c r="H1953" t="b">
        <f>COUNTIFS(tblCostChecklist[RequirementID],tblCost[[#This Row],[RequirementID]],tblCostChecklist[PlayerPaid],TRUE)&gt;0</f>
        <v>0</v>
      </c>
      <c r="I1953" s="41">
        <f>COUNTIF(tblCost[TargetID],tblCost[[#This Row],[TargetID]])</f>
        <v>11</v>
      </c>
      <c r="J1953" s="41">
        <f>COUNTIFS(tblCost[TargetID],tblCost[[#This Row],[TargetID]],tblCost[PlayerPaid],TRUE)</f>
        <v>0</v>
      </c>
      <c r="K1953" s="41">
        <f>tblCost[[#This Row],[TargetRequirements]]-tblCost[[#This Row],[CompletedRequirements]]</f>
        <v>11</v>
      </c>
      <c r="L1953" s="41" t="b">
        <f>tblCost[[#This Row],[RemainingRequirements]]=0</f>
        <v>0</v>
      </c>
      <c r="M1953" s="43">
        <f>IF(tblCost[[#This Row],[TargetRequirements]]=0,0,tblCost[[#This Row],[CompletedRequirements]]/tblCost[[#This Row],[TargetRequirements]])</f>
        <v>0</v>
      </c>
    </row>
    <row r="1954" spans="1:13">
      <c r="A1954" s="41" t="s">
        <v>5944</v>
      </c>
      <c r="B1954" s="41" t="str">
        <f>_xlfn.TEXTAFTER(_xlfn.TEXTBEFORE(tblCost[[#This Row],[RequirementID]],".",-2),"cost.")</f>
        <v>collection.bone_dragon@2</v>
      </c>
      <c r="C1954" s="41" t="str">
        <f>_xlfn.XLOOKUP(tblCost[[#This Row],[TargetID]],tblTargets[TargetID],tblTargets[DisplayName],"")</f>
        <v>Bone Dragon Lv 2</v>
      </c>
      <c r="D1954" s="41" t="str">
        <f>_xlfn.XLOOKUP(tblCost[[#This Row],[TargetID]],tblTargets[TargetID],tblTargets[TargetType],"")</f>
        <v>COLLECTION</v>
      </c>
      <c r="E1954" s="41" t="s">
        <v>3653</v>
      </c>
      <c r="F1954" s="62" t="str">
        <f>RIGHT(tblCost[[#This Row],[RequirementID]],1)</f>
        <v>4</v>
      </c>
      <c r="G1954" s="41">
        <v>60</v>
      </c>
      <c r="H1954" t="b">
        <f>COUNTIFS(tblCostChecklist[RequirementID],tblCost[[#This Row],[RequirementID]],tblCostChecklist[PlayerPaid],TRUE)&gt;0</f>
        <v>0</v>
      </c>
      <c r="I1954" s="41">
        <f>COUNTIF(tblCost[TargetID],tblCost[[#This Row],[TargetID]])</f>
        <v>11</v>
      </c>
      <c r="J1954" s="41">
        <f>COUNTIFS(tblCost[TargetID],tblCost[[#This Row],[TargetID]],tblCost[PlayerPaid],TRUE)</f>
        <v>0</v>
      </c>
      <c r="K1954" s="41">
        <f>tblCost[[#This Row],[TargetRequirements]]-tblCost[[#This Row],[CompletedRequirements]]</f>
        <v>11</v>
      </c>
      <c r="L1954" s="41" t="b">
        <f>tblCost[[#This Row],[RemainingRequirements]]=0</f>
        <v>0</v>
      </c>
      <c r="M1954" s="43">
        <f>IF(tblCost[[#This Row],[TargetRequirements]]=0,0,tblCost[[#This Row],[CompletedRequirements]]/tblCost[[#This Row],[TargetRequirements]])</f>
        <v>0</v>
      </c>
    </row>
    <row r="1955" spans="1:13">
      <c r="A1955" s="41" t="s">
        <v>5945</v>
      </c>
      <c r="B1955" s="41" t="str">
        <f>_xlfn.TEXTAFTER(_xlfn.TEXTBEFORE(tblCost[[#This Row],[RequirementID]],".",-2),"cost.")</f>
        <v>collection.bone_dragon@2</v>
      </c>
      <c r="C1955" s="41" t="str">
        <f>_xlfn.XLOOKUP(tblCost[[#This Row],[TargetID]],tblTargets[TargetID],tblTargets[DisplayName],"")</f>
        <v>Bone Dragon Lv 2</v>
      </c>
      <c r="D1955" s="41" t="str">
        <f>_xlfn.XLOOKUP(tblCost[[#This Row],[TargetID]],tblTargets[TargetID],tblTargets[TargetType],"")</f>
        <v>COLLECTION</v>
      </c>
      <c r="E1955" s="41" t="s">
        <v>3653</v>
      </c>
      <c r="F1955" s="62" t="str">
        <f>RIGHT(tblCost[[#This Row],[RequirementID]],1)</f>
        <v>5</v>
      </c>
      <c r="G1955" s="41">
        <v>60</v>
      </c>
      <c r="H1955" t="b">
        <f>COUNTIFS(tblCostChecklist[RequirementID],tblCost[[#This Row],[RequirementID]],tblCostChecklist[PlayerPaid],TRUE)&gt;0</f>
        <v>0</v>
      </c>
      <c r="I1955" s="41">
        <f>COUNTIF(tblCost[TargetID],tblCost[[#This Row],[TargetID]])</f>
        <v>11</v>
      </c>
      <c r="J1955" s="41">
        <f>COUNTIFS(tblCost[TargetID],tblCost[[#This Row],[TargetID]],tblCost[PlayerPaid],TRUE)</f>
        <v>0</v>
      </c>
      <c r="K1955" s="41">
        <f>tblCost[[#This Row],[TargetRequirements]]-tblCost[[#This Row],[CompletedRequirements]]</f>
        <v>11</v>
      </c>
      <c r="L1955" s="41" t="b">
        <f>tblCost[[#This Row],[RemainingRequirements]]=0</f>
        <v>0</v>
      </c>
      <c r="M1955" s="43">
        <f>IF(tblCost[[#This Row],[TargetRequirements]]=0,0,tblCost[[#This Row],[CompletedRequirements]]/tblCost[[#This Row],[TargetRequirements]])</f>
        <v>0</v>
      </c>
    </row>
    <row r="1956" spans="1:13">
      <c r="A1956" s="41" t="s">
        <v>5946</v>
      </c>
      <c r="B1956" s="41" t="str">
        <f>_xlfn.TEXTAFTER(_xlfn.TEXTBEFORE(tblCost[[#This Row],[RequirementID]],".",-2),"cost.")</f>
        <v>collection.bone_dragon@2</v>
      </c>
      <c r="C1956" s="41" t="str">
        <f>_xlfn.XLOOKUP(tblCost[[#This Row],[TargetID]],tblTargets[TargetID],tblTargets[DisplayName],"")</f>
        <v>Bone Dragon Lv 2</v>
      </c>
      <c r="D1956" s="41" t="str">
        <f>_xlfn.XLOOKUP(tblCost[[#This Row],[TargetID]],tblTargets[TargetID],tblTargets[TargetType],"")</f>
        <v>COLLECTION</v>
      </c>
      <c r="E1956" s="41" t="s">
        <v>3653</v>
      </c>
      <c r="F1956" s="62" t="str">
        <f>RIGHT(tblCost[[#This Row],[RequirementID]],1)</f>
        <v>6</v>
      </c>
      <c r="G1956" s="41">
        <v>60</v>
      </c>
      <c r="H1956" t="b">
        <f>COUNTIFS(tblCostChecklist[RequirementID],tblCost[[#This Row],[RequirementID]],tblCostChecklist[PlayerPaid],TRUE)&gt;0</f>
        <v>0</v>
      </c>
      <c r="I1956" s="41">
        <f>COUNTIF(tblCost[TargetID],tblCost[[#This Row],[TargetID]])</f>
        <v>11</v>
      </c>
      <c r="J1956" s="41">
        <f>COUNTIFS(tblCost[TargetID],tblCost[[#This Row],[TargetID]],tblCost[PlayerPaid],TRUE)</f>
        <v>0</v>
      </c>
      <c r="K1956" s="41">
        <f>tblCost[[#This Row],[TargetRequirements]]-tblCost[[#This Row],[CompletedRequirements]]</f>
        <v>11</v>
      </c>
      <c r="L1956" s="41" t="b">
        <f>tblCost[[#This Row],[RemainingRequirements]]=0</f>
        <v>0</v>
      </c>
      <c r="M1956" s="43">
        <f>IF(tblCost[[#This Row],[TargetRequirements]]=0,0,tblCost[[#This Row],[CompletedRequirements]]/tblCost[[#This Row],[TargetRequirements]])</f>
        <v>0</v>
      </c>
    </row>
    <row r="1957" spans="1:13">
      <c r="A1957" s="41" t="s">
        <v>5947</v>
      </c>
      <c r="B1957" s="41" t="str">
        <f>_xlfn.TEXTAFTER(_xlfn.TEXTBEFORE(tblCost[[#This Row],[RequirementID]],".",-2),"cost.")</f>
        <v>collection.bone_dragon@2</v>
      </c>
      <c r="C1957" s="41" t="str">
        <f>_xlfn.XLOOKUP(tblCost[[#This Row],[TargetID]],tblTargets[TargetID],tblTargets[DisplayName],"")</f>
        <v>Bone Dragon Lv 2</v>
      </c>
      <c r="D1957" s="41" t="str">
        <f>_xlfn.XLOOKUP(tblCost[[#This Row],[TargetID]],tblTargets[TargetID],tblTargets[TargetType],"")</f>
        <v>COLLECTION</v>
      </c>
      <c r="E1957" s="41" t="s">
        <v>667</v>
      </c>
      <c r="F1957" s="62" t="str">
        <f>RIGHT(tblCost[[#This Row],[RequirementID]],1)</f>
        <v>1</v>
      </c>
      <c r="G1957" s="41">
        <v>1110</v>
      </c>
      <c r="H1957" t="b">
        <f>COUNTIFS(tblCostChecklist[RequirementID],tblCost[[#This Row],[RequirementID]],tblCostChecklist[PlayerPaid],TRUE)&gt;0</f>
        <v>0</v>
      </c>
      <c r="I1957" s="41">
        <f>COUNTIF(tblCost[TargetID],tblCost[[#This Row],[TargetID]])</f>
        <v>11</v>
      </c>
      <c r="J1957" s="41">
        <f>COUNTIFS(tblCost[TargetID],tblCost[[#This Row],[TargetID]],tblCost[PlayerPaid],TRUE)</f>
        <v>0</v>
      </c>
      <c r="K1957" s="41">
        <f>tblCost[[#This Row],[TargetRequirements]]-tblCost[[#This Row],[CompletedRequirements]]</f>
        <v>11</v>
      </c>
      <c r="L1957" s="41" t="b">
        <f>tblCost[[#This Row],[RemainingRequirements]]=0</f>
        <v>0</v>
      </c>
      <c r="M1957" s="43">
        <f>IF(tblCost[[#This Row],[TargetRequirements]]=0,0,tblCost[[#This Row],[CompletedRequirements]]/tblCost[[#This Row],[TargetRequirements]])</f>
        <v>0</v>
      </c>
    </row>
    <row r="1958" spans="1:13">
      <c r="A1958" s="41" t="s">
        <v>5948</v>
      </c>
      <c r="B1958" s="41" t="str">
        <f>_xlfn.TEXTAFTER(_xlfn.TEXTBEFORE(tblCost[[#This Row],[RequirementID]],".",-2),"cost.")</f>
        <v>collection.bone_dragon@2</v>
      </c>
      <c r="C1958" s="41" t="str">
        <f>_xlfn.XLOOKUP(tblCost[[#This Row],[TargetID]],tblTargets[TargetID],tblTargets[DisplayName],"")</f>
        <v>Bone Dragon Lv 2</v>
      </c>
      <c r="D1958" s="41" t="str">
        <f>_xlfn.XLOOKUP(tblCost[[#This Row],[TargetID]],tblTargets[TargetID],tblTargets[TargetType],"")</f>
        <v>COLLECTION</v>
      </c>
      <c r="E1958" s="41" t="s">
        <v>677</v>
      </c>
      <c r="F1958" s="62" t="str">
        <f>RIGHT(tblCost[[#This Row],[RequirementID]],1)</f>
        <v>1</v>
      </c>
      <c r="G1958" s="41">
        <v>10</v>
      </c>
      <c r="H1958" t="b">
        <f>COUNTIFS(tblCostChecklist[RequirementID],tblCost[[#This Row],[RequirementID]],tblCostChecklist[PlayerPaid],TRUE)&gt;0</f>
        <v>0</v>
      </c>
      <c r="I1958" s="41">
        <f>COUNTIF(tblCost[TargetID],tblCost[[#This Row],[TargetID]])</f>
        <v>11</v>
      </c>
      <c r="J1958" s="41">
        <f>COUNTIFS(tblCost[TargetID],tblCost[[#This Row],[TargetID]],tblCost[PlayerPaid],TRUE)</f>
        <v>0</v>
      </c>
      <c r="K1958" s="41">
        <f>tblCost[[#This Row],[TargetRequirements]]-tblCost[[#This Row],[CompletedRequirements]]</f>
        <v>11</v>
      </c>
      <c r="L1958" s="41" t="b">
        <f>tblCost[[#This Row],[RemainingRequirements]]=0</f>
        <v>0</v>
      </c>
      <c r="M1958" s="43">
        <f>IF(tblCost[[#This Row],[TargetRequirements]]=0,0,tblCost[[#This Row],[CompletedRequirements]]/tblCost[[#This Row],[TargetRequirements]])</f>
        <v>0</v>
      </c>
    </row>
    <row r="1959" spans="1:13">
      <c r="A1959" s="41" t="s">
        <v>5949</v>
      </c>
      <c r="B1959" s="41" t="str">
        <f>_xlfn.TEXTAFTER(_xlfn.TEXTBEFORE(tblCost[[#This Row],[RequirementID]],".",-2),"cost.")</f>
        <v>collection.alchemist_hall_1@1</v>
      </c>
      <c r="C1959" s="41" t="str">
        <f>_xlfn.XLOOKUP(tblCost[[#This Row],[TargetID]],tblTargets[TargetID],tblTargets[DisplayName],"")</f>
        <v>Alchemist Hall Lv 1</v>
      </c>
      <c r="D1959" s="41" t="str">
        <f>_xlfn.XLOOKUP(tblCost[[#This Row],[TargetID]],tblTargets[TargetID],tblTargets[TargetType],"")</f>
        <v>COLLECTION</v>
      </c>
      <c r="E1959" s="41" t="s">
        <v>1794</v>
      </c>
      <c r="F1959" s="62" t="str">
        <f>RIGHT(tblCost[[#This Row],[RequirementID]],1)</f>
        <v>1</v>
      </c>
      <c r="G1959" s="41">
        <v>20</v>
      </c>
      <c r="H1959" t="b">
        <f>COUNTIFS(tblCostChecklist[RequirementID],tblCost[[#This Row],[RequirementID]],tblCostChecklist[PlayerPaid],TRUE)&gt;0</f>
        <v>0</v>
      </c>
      <c r="I1959" s="41">
        <f>COUNTIF(tblCost[TargetID],tblCost[[#This Row],[TargetID]])</f>
        <v>8</v>
      </c>
      <c r="J1959" s="41">
        <f>COUNTIFS(tblCost[TargetID],tblCost[[#This Row],[TargetID]],tblCost[PlayerPaid],TRUE)</f>
        <v>0</v>
      </c>
      <c r="K1959" s="41">
        <f>tblCost[[#This Row],[TargetRequirements]]-tblCost[[#This Row],[CompletedRequirements]]</f>
        <v>8</v>
      </c>
      <c r="L1959" s="41" t="b">
        <f>tblCost[[#This Row],[RemainingRequirements]]=0</f>
        <v>0</v>
      </c>
      <c r="M1959" s="43">
        <f>IF(tblCost[[#This Row],[TargetRequirements]]=0,0,tblCost[[#This Row],[CompletedRequirements]]/tblCost[[#This Row],[TargetRequirements]])</f>
        <v>0</v>
      </c>
    </row>
    <row r="1960" spans="1:13">
      <c r="A1960" s="41" t="s">
        <v>5950</v>
      </c>
      <c r="B1960" s="41" t="str">
        <f>_xlfn.TEXTAFTER(_xlfn.TEXTBEFORE(tblCost[[#This Row],[RequirementID]],".",-2),"cost.")</f>
        <v>collection.alchemist_hall_1@1</v>
      </c>
      <c r="C1960" s="41" t="str">
        <f>_xlfn.XLOOKUP(tblCost[[#This Row],[TargetID]],tblTargets[TargetID],tblTargets[DisplayName],"")</f>
        <v>Alchemist Hall Lv 1</v>
      </c>
      <c r="D1960" s="41" t="str">
        <f>_xlfn.XLOOKUP(tblCost[[#This Row],[TargetID]],tblTargets[TargetID],tblTargets[TargetType],"")</f>
        <v>COLLECTION</v>
      </c>
      <c r="E1960" s="41" t="s">
        <v>928</v>
      </c>
      <c r="F1960" s="62" t="str">
        <f>RIGHT(tblCost[[#This Row],[RequirementID]],1)</f>
        <v>1</v>
      </c>
      <c r="G1960" s="41">
        <v>20</v>
      </c>
      <c r="H1960" t="b">
        <f>COUNTIFS(tblCostChecklist[RequirementID],tblCost[[#This Row],[RequirementID]],tblCostChecklist[PlayerPaid],TRUE)&gt;0</f>
        <v>0</v>
      </c>
      <c r="I1960" s="41">
        <f>COUNTIF(tblCost[TargetID],tblCost[[#This Row],[TargetID]])</f>
        <v>8</v>
      </c>
      <c r="J1960" s="41">
        <f>COUNTIFS(tblCost[TargetID],tblCost[[#This Row],[TargetID]],tblCost[PlayerPaid],TRUE)</f>
        <v>0</v>
      </c>
      <c r="K1960" s="41">
        <f>tblCost[[#This Row],[TargetRequirements]]-tblCost[[#This Row],[CompletedRequirements]]</f>
        <v>8</v>
      </c>
      <c r="L1960" s="41" t="b">
        <f>tblCost[[#This Row],[RemainingRequirements]]=0</f>
        <v>0</v>
      </c>
      <c r="M1960" s="43">
        <f>IF(tblCost[[#This Row],[TargetRequirements]]=0,0,tblCost[[#This Row],[CompletedRequirements]]/tblCost[[#This Row],[TargetRequirements]])</f>
        <v>0</v>
      </c>
    </row>
    <row r="1961" spans="1:13">
      <c r="A1961" s="41" t="s">
        <v>5951</v>
      </c>
      <c r="B1961" s="41" t="str">
        <f>_xlfn.TEXTAFTER(_xlfn.TEXTBEFORE(tblCost[[#This Row],[RequirementID]],".",-2),"cost.")</f>
        <v>collection.alchemist_hall_1@1</v>
      </c>
      <c r="C1961" s="41" t="str">
        <f>_xlfn.XLOOKUP(tblCost[[#This Row],[TargetID]],tblTargets[TargetID],tblTargets[DisplayName],"")</f>
        <v>Alchemist Hall Lv 1</v>
      </c>
      <c r="D1961" s="41" t="str">
        <f>_xlfn.XLOOKUP(tblCost[[#This Row],[TargetID]],tblTargets[TargetID],tblTargets[TargetType],"")</f>
        <v>COLLECTION</v>
      </c>
      <c r="E1961" s="41" t="s">
        <v>687</v>
      </c>
      <c r="F1961" s="62" t="str">
        <f>RIGHT(tblCost[[#This Row],[RequirementID]],1)</f>
        <v>1</v>
      </c>
      <c r="G1961" s="41">
        <v>20</v>
      </c>
      <c r="H1961" t="b">
        <f>COUNTIFS(tblCostChecklist[RequirementID],tblCost[[#This Row],[RequirementID]],tblCostChecklist[PlayerPaid],TRUE)&gt;0</f>
        <v>0</v>
      </c>
      <c r="I1961" s="41">
        <f>COUNTIF(tblCost[TargetID],tblCost[[#This Row],[TargetID]])</f>
        <v>8</v>
      </c>
      <c r="J1961" s="41">
        <f>COUNTIFS(tblCost[TargetID],tblCost[[#This Row],[TargetID]],tblCost[PlayerPaid],TRUE)</f>
        <v>0</v>
      </c>
      <c r="K1961" s="41">
        <f>tblCost[[#This Row],[TargetRequirements]]-tblCost[[#This Row],[CompletedRequirements]]</f>
        <v>8</v>
      </c>
      <c r="L1961" s="41" t="b">
        <f>tblCost[[#This Row],[RemainingRequirements]]=0</f>
        <v>0</v>
      </c>
      <c r="M1961" s="43">
        <f>IF(tblCost[[#This Row],[TargetRequirements]]=0,0,tblCost[[#This Row],[CompletedRequirements]]/tblCost[[#This Row],[TargetRequirements]])</f>
        <v>0</v>
      </c>
    </row>
    <row r="1962" spans="1:13">
      <c r="A1962" s="41" t="s">
        <v>5952</v>
      </c>
      <c r="B1962" s="41" t="str">
        <f>_xlfn.TEXTAFTER(_xlfn.TEXTBEFORE(tblCost[[#This Row],[RequirementID]],".",-2),"cost.")</f>
        <v>collection.alchemist_hall_1@1</v>
      </c>
      <c r="C1962" s="41" t="str">
        <f>_xlfn.XLOOKUP(tblCost[[#This Row],[TargetID]],tblTargets[TargetID],tblTargets[DisplayName],"")</f>
        <v>Alchemist Hall Lv 1</v>
      </c>
      <c r="D1962" s="41" t="str">
        <f>_xlfn.XLOOKUP(tblCost[[#This Row],[TargetID]],tblTargets[TargetID],tblTargets[TargetType],"")</f>
        <v>COLLECTION</v>
      </c>
      <c r="E1962" s="41" t="s">
        <v>937</v>
      </c>
      <c r="F1962" s="62" t="str">
        <f>RIGHT(tblCost[[#This Row],[RequirementID]],1)</f>
        <v>1</v>
      </c>
      <c r="G1962" s="41">
        <v>10</v>
      </c>
      <c r="H1962" t="b">
        <f>COUNTIFS(tblCostChecklist[RequirementID],tblCost[[#This Row],[RequirementID]],tblCostChecklist[PlayerPaid],TRUE)&gt;0</f>
        <v>0</v>
      </c>
      <c r="I1962" s="41">
        <f>COUNTIF(tblCost[TargetID],tblCost[[#This Row],[TargetID]])</f>
        <v>8</v>
      </c>
      <c r="J1962" s="41">
        <f>COUNTIFS(tblCost[TargetID],tblCost[[#This Row],[TargetID]],tblCost[PlayerPaid],TRUE)</f>
        <v>0</v>
      </c>
      <c r="K1962" s="41">
        <f>tblCost[[#This Row],[TargetRequirements]]-tblCost[[#This Row],[CompletedRequirements]]</f>
        <v>8</v>
      </c>
      <c r="L1962" s="41" t="b">
        <f>tblCost[[#This Row],[RemainingRequirements]]=0</f>
        <v>0</v>
      </c>
      <c r="M1962" s="43">
        <f>IF(tblCost[[#This Row],[TargetRequirements]]=0,0,tblCost[[#This Row],[CompletedRequirements]]/tblCost[[#This Row],[TargetRequirements]])</f>
        <v>0</v>
      </c>
    </row>
    <row r="1963" spans="1:13">
      <c r="A1963" s="41" t="s">
        <v>5953</v>
      </c>
      <c r="B1963" s="41" t="str">
        <f>_xlfn.TEXTAFTER(_xlfn.TEXTBEFORE(tblCost[[#This Row],[RequirementID]],".",-2),"cost.")</f>
        <v>collection.alchemist_hall_1@1</v>
      </c>
      <c r="C1963" s="41" t="str">
        <f>_xlfn.XLOOKUP(tblCost[[#This Row],[TargetID]],tblTargets[TargetID],tblTargets[DisplayName],"")</f>
        <v>Alchemist Hall Lv 1</v>
      </c>
      <c r="D1963" s="41" t="str">
        <f>_xlfn.XLOOKUP(tblCost[[#This Row],[TargetID]],tblTargets[TargetID],tblTargets[TargetType],"")</f>
        <v>COLLECTION</v>
      </c>
      <c r="E1963" s="41" t="s">
        <v>940</v>
      </c>
      <c r="F1963" s="62" t="str">
        <f>RIGHT(tblCost[[#This Row],[RequirementID]],1)</f>
        <v>1</v>
      </c>
      <c r="G1963" s="41">
        <v>20</v>
      </c>
      <c r="H1963" t="b">
        <f>COUNTIFS(tblCostChecklist[RequirementID],tblCost[[#This Row],[RequirementID]],tblCostChecklist[PlayerPaid],TRUE)&gt;0</f>
        <v>0</v>
      </c>
      <c r="I1963" s="41">
        <f>COUNTIF(tblCost[TargetID],tblCost[[#This Row],[TargetID]])</f>
        <v>8</v>
      </c>
      <c r="J1963" s="41">
        <f>COUNTIFS(tblCost[TargetID],tblCost[[#This Row],[TargetID]],tblCost[PlayerPaid],TRUE)</f>
        <v>0</v>
      </c>
      <c r="K1963" s="41">
        <f>tblCost[[#This Row],[TargetRequirements]]-tblCost[[#This Row],[CompletedRequirements]]</f>
        <v>8</v>
      </c>
      <c r="L1963" s="41" t="b">
        <f>tblCost[[#This Row],[RemainingRequirements]]=0</f>
        <v>0</v>
      </c>
      <c r="M1963" s="43">
        <f>IF(tblCost[[#This Row],[TargetRequirements]]=0,0,tblCost[[#This Row],[CompletedRequirements]]/tblCost[[#This Row],[TargetRequirements]])</f>
        <v>0</v>
      </c>
    </row>
    <row r="1964" spans="1:13">
      <c r="A1964" s="41" t="s">
        <v>5954</v>
      </c>
      <c r="B1964" s="41" t="str">
        <f>_xlfn.TEXTAFTER(_xlfn.TEXTBEFORE(tblCost[[#This Row],[RequirementID]],".",-2),"cost.")</f>
        <v>collection.alchemist_hall_1@1</v>
      </c>
      <c r="C1964" s="41" t="str">
        <f>_xlfn.XLOOKUP(tblCost[[#This Row],[TargetID]],tblTargets[TargetID],tblTargets[DisplayName],"")</f>
        <v>Alchemist Hall Lv 1</v>
      </c>
      <c r="D1964" s="41" t="str">
        <f>_xlfn.XLOOKUP(tblCost[[#This Row],[TargetID]],tblTargets[TargetID],tblTargets[TargetType],"")</f>
        <v>COLLECTION</v>
      </c>
      <c r="E1964" s="41" t="s">
        <v>677</v>
      </c>
      <c r="F1964" s="62" t="str">
        <f>RIGHT(tblCost[[#This Row],[RequirementID]],1)</f>
        <v>1</v>
      </c>
      <c r="G1964" s="41">
        <v>5</v>
      </c>
      <c r="H1964" t="b">
        <f>COUNTIFS(tblCostChecklist[RequirementID],tblCost[[#This Row],[RequirementID]],tblCostChecklist[PlayerPaid],TRUE)&gt;0</f>
        <v>0</v>
      </c>
      <c r="I1964" s="41">
        <f>COUNTIF(tblCost[TargetID],tblCost[[#This Row],[TargetID]])</f>
        <v>8</v>
      </c>
      <c r="J1964" s="41">
        <f>COUNTIFS(tblCost[TargetID],tblCost[[#This Row],[TargetID]],tblCost[PlayerPaid],TRUE)</f>
        <v>0</v>
      </c>
      <c r="K1964" s="41">
        <f>tblCost[[#This Row],[TargetRequirements]]-tblCost[[#This Row],[CompletedRequirements]]</f>
        <v>8</v>
      </c>
      <c r="L1964" s="41" t="b">
        <f>tblCost[[#This Row],[RemainingRequirements]]=0</f>
        <v>0</v>
      </c>
      <c r="M1964" s="43">
        <f>IF(tblCost[[#This Row],[TargetRequirements]]=0,0,tblCost[[#This Row],[CompletedRequirements]]/tblCost[[#This Row],[TargetRequirements]])</f>
        <v>0</v>
      </c>
    </row>
    <row r="1965" spans="1:13">
      <c r="A1965" s="41" t="s">
        <v>5955</v>
      </c>
      <c r="B1965" s="41" t="str">
        <f>_xlfn.TEXTAFTER(_xlfn.TEXTBEFORE(tblCost[[#This Row],[RequirementID]],".",-2),"cost.")</f>
        <v>collection.alchemist_hall_1@1</v>
      </c>
      <c r="C1965" s="41" t="str">
        <f>_xlfn.XLOOKUP(tblCost[[#This Row],[TargetID]],tblTargets[TargetID],tblTargets[DisplayName],"")</f>
        <v>Alchemist Hall Lv 1</v>
      </c>
      <c r="D1965" s="41" t="str">
        <f>_xlfn.XLOOKUP(tblCost[[#This Row],[TargetID]],tblTargets[TargetID],tblTargets[TargetType],"")</f>
        <v>COLLECTION</v>
      </c>
      <c r="E1965" s="41" t="s">
        <v>958</v>
      </c>
      <c r="F1965" s="62" t="str">
        <f>RIGHT(tblCost[[#This Row],[RequirementID]],1)</f>
        <v>1</v>
      </c>
      <c r="G1965" s="41">
        <v>10</v>
      </c>
      <c r="H1965" t="b">
        <f>COUNTIFS(tblCostChecklist[RequirementID],tblCost[[#This Row],[RequirementID]],tblCostChecklist[PlayerPaid],TRUE)&gt;0</f>
        <v>0</v>
      </c>
      <c r="I1965" s="41">
        <f>COUNTIF(tblCost[TargetID],tblCost[[#This Row],[TargetID]])</f>
        <v>8</v>
      </c>
      <c r="J1965" s="41">
        <f>COUNTIFS(tblCost[TargetID],tblCost[[#This Row],[TargetID]],tblCost[PlayerPaid],TRUE)</f>
        <v>0</v>
      </c>
      <c r="K1965" s="41">
        <f>tblCost[[#This Row],[TargetRequirements]]-tblCost[[#This Row],[CompletedRequirements]]</f>
        <v>8</v>
      </c>
      <c r="L1965" s="41" t="b">
        <f>tblCost[[#This Row],[RemainingRequirements]]=0</f>
        <v>0</v>
      </c>
      <c r="M1965" s="43">
        <f>IF(tblCost[[#This Row],[TargetRequirements]]=0,0,tblCost[[#This Row],[CompletedRequirements]]/tblCost[[#This Row],[TargetRequirements]])</f>
        <v>0</v>
      </c>
    </row>
    <row r="1966" spans="1:13">
      <c r="A1966" s="41" t="s">
        <v>5956</v>
      </c>
      <c r="B1966" s="41" t="str">
        <f>_xlfn.TEXTAFTER(_xlfn.TEXTBEFORE(tblCost[[#This Row],[RequirementID]],".",-2),"cost.")</f>
        <v>collection.alchemist_hall_1@1</v>
      </c>
      <c r="C1966" s="41" t="str">
        <f>_xlfn.XLOOKUP(tblCost[[#This Row],[TargetID]],tblTargets[TargetID],tblTargets[DisplayName],"")</f>
        <v>Alchemist Hall Lv 1</v>
      </c>
      <c r="D1966" s="41" t="str">
        <f>_xlfn.XLOOKUP(tblCost[[#This Row],[TargetID]],tblTargets[TargetID],tblTargets[TargetType],"")</f>
        <v>COLLECTION</v>
      </c>
      <c r="E1966" s="41" t="s">
        <v>705</v>
      </c>
      <c r="F1966" s="62" t="str">
        <f>RIGHT(tblCost[[#This Row],[RequirementID]],1)</f>
        <v>1</v>
      </c>
      <c r="G1966" s="41">
        <v>111</v>
      </c>
      <c r="H1966" t="b">
        <f>COUNTIFS(tblCostChecklist[RequirementID],tblCost[[#This Row],[RequirementID]],tblCostChecklist[PlayerPaid],TRUE)&gt;0</f>
        <v>0</v>
      </c>
      <c r="I1966" s="41">
        <f>COUNTIF(tblCost[TargetID],tblCost[[#This Row],[TargetID]])</f>
        <v>8</v>
      </c>
      <c r="J1966" s="41">
        <f>COUNTIFS(tblCost[TargetID],tblCost[[#This Row],[TargetID]],tblCost[PlayerPaid],TRUE)</f>
        <v>0</v>
      </c>
      <c r="K1966" s="41">
        <f>tblCost[[#This Row],[TargetRequirements]]-tblCost[[#This Row],[CompletedRequirements]]</f>
        <v>8</v>
      </c>
      <c r="L1966" s="41" t="b">
        <f>tblCost[[#This Row],[RemainingRequirements]]=0</f>
        <v>0</v>
      </c>
      <c r="M1966" s="43">
        <f>IF(tblCost[[#This Row],[TargetRequirements]]=0,0,tblCost[[#This Row],[CompletedRequirements]]/tblCost[[#This Row],[TargetRequirements]])</f>
        <v>0</v>
      </c>
    </row>
    <row r="1967" spans="1:13">
      <c r="A1967" s="41" t="s">
        <v>5957</v>
      </c>
      <c r="B1967" s="41" t="str">
        <f>_xlfn.TEXTAFTER(_xlfn.TEXTBEFORE(tblCost[[#This Row],[RequirementID]],".",-2),"cost.")</f>
        <v>collection.alchemist_hall_1@2</v>
      </c>
      <c r="C1967" s="41" t="str">
        <f>_xlfn.XLOOKUP(tblCost[[#This Row],[TargetID]],tblTargets[TargetID],tblTargets[DisplayName],"")</f>
        <v>Alchemist Hall Lv 2</v>
      </c>
      <c r="D1967" s="41" t="str">
        <f>_xlfn.XLOOKUP(tblCost[[#This Row],[TargetID]],tblTargets[TargetID],tblTargets[TargetType],"")</f>
        <v>COLLECTION</v>
      </c>
      <c r="E1967" s="41" t="s">
        <v>1794</v>
      </c>
      <c r="F1967" s="62" t="str">
        <f>RIGHT(tblCost[[#This Row],[RequirementID]],1)</f>
        <v>1</v>
      </c>
      <c r="G1967" s="41">
        <v>40</v>
      </c>
      <c r="H1967" t="b">
        <f>COUNTIFS(tblCostChecklist[RequirementID],tblCost[[#This Row],[RequirementID]],tblCostChecklist[PlayerPaid],TRUE)&gt;0</f>
        <v>0</v>
      </c>
      <c r="I1967" s="41">
        <f>COUNTIF(tblCost[TargetID],tblCost[[#This Row],[TargetID]])</f>
        <v>8</v>
      </c>
      <c r="J1967" s="41">
        <f>COUNTIFS(tblCost[TargetID],tblCost[[#This Row],[TargetID]],tblCost[PlayerPaid],TRUE)</f>
        <v>0</v>
      </c>
      <c r="K1967" s="41">
        <f>tblCost[[#This Row],[TargetRequirements]]-tblCost[[#This Row],[CompletedRequirements]]</f>
        <v>8</v>
      </c>
      <c r="L1967" s="41" t="b">
        <f>tblCost[[#This Row],[RemainingRequirements]]=0</f>
        <v>0</v>
      </c>
      <c r="M1967" s="43">
        <f>IF(tblCost[[#This Row],[TargetRequirements]]=0,0,tblCost[[#This Row],[CompletedRequirements]]/tblCost[[#This Row],[TargetRequirements]])</f>
        <v>0</v>
      </c>
    </row>
    <row r="1968" spans="1:13">
      <c r="A1968" s="41" t="s">
        <v>5958</v>
      </c>
      <c r="B1968" s="41" t="str">
        <f>_xlfn.TEXTAFTER(_xlfn.TEXTBEFORE(tblCost[[#This Row],[RequirementID]],".",-2),"cost.")</f>
        <v>collection.alchemist_hall_1@2</v>
      </c>
      <c r="C1968" s="41" t="str">
        <f>_xlfn.XLOOKUP(tblCost[[#This Row],[TargetID]],tblTargets[TargetID],tblTargets[DisplayName],"")</f>
        <v>Alchemist Hall Lv 2</v>
      </c>
      <c r="D1968" s="41" t="str">
        <f>_xlfn.XLOOKUP(tblCost[[#This Row],[TargetID]],tblTargets[TargetID],tblTargets[TargetType],"")</f>
        <v>COLLECTION</v>
      </c>
      <c r="E1968" s="41" t="s">
        <v>928</v>
      </c>
      <c r="F1968" s="62" t="str">
        <f>RIGHT(tblCost[[#This Row],[RequirementID]],1)</f>
        <v>1</v>
      </c>
      <c r="G1968" s="41">
        <v>40</v>
      </c>
      <c r="H1968" t="b">
        <f>COUNTIFS(tblCostChecklist[RequirementID],tblCost[[#This Row],[RequirementID]],tblCostChecklist[PlayerPaid],TRUE)&gt;0</f>
        <v>0</v>
      </c>
      <c r="I1968" s="41">
        <f>COUNTIF(tblCost[TargetID],tblCost[[#This Row],[TargetID]])</f>
        <v>8</v>
      </c>
      <c r="J1968" s="41">
        <f>COUNTIFS(tblCost[TargetID],tblCost[[#This Row],[TargetID]],tblCost[PlayerPaid],TRUE)</f>
        <v>0</v>
      </c>
      <c r="K1968" s="41">
        <f>tblCost[[#This Row],[TargetRequirements]]-tblCost[[#This Row],[CompletedRequirements]]</f>
        <v>8</v>
      </c>
      <c r="L1968" s="41" t="b">
        <f>tblCost[[#This Row],[RemainingRequirements]]=0</f>
        <v>0</v>
      </c>
      <c r="M1968" s="43">
        <f>IF(tblCost[[#This Row],[TargetRequirements]]=0,0,tblCost[[#This Row],[CompletedRequirements]]/tblCost[[#This Row],[TargetRequirements]])</f>
        <v>0</v>
      </c>
    </row>
    <row r="1969" spans="1:13">
      <c r="A1969" s="41" t="s">
        <v>5959</v>
      </c>
      <c r="B1969" s="41" t="str">
        <f>_xlfn.TEXTAFTER(_xlfn.TEXTBEFORE(tblCost[[#This Row],[RequirementID]],".",-2),"cost.")</f>
        <v>collection.alchemist_hall_1@2</v>
      </c>
      <c r="C1969" s="41" t="str">
        <f>_xlfn.XLOOKUP(tblCost[[#This Row],[TargetID]],tblTargets[TargetID],tblTargets[DisplayName],"")</f>
        <v>Alchemist Hall Lv 2</v>
      </c>
      <c r="D1969" s="41" t="str">
        <f>_xlfn.XLOOKUP(tblCost[[#This Row],[TargetID]],tblTargets[TargetID],tblTargets[TargetType],"")</f>
        <v>COLLECTION</v>
      </c>
      <c r="E1969" s="41" t="s">
        <v>687</v>
      </c>
      <c r="F1969" s="62" t="str">
        <f>RIGHT(tblCost[[#This Row],[RequirementID]],1)</f>
        <v>1</v>
      </c>
      <c r="G1969" s="41">
        <v>40</v>
      </c>
      <c r="H1969" t="b">
        <f>COUNTIFS(tblCostChecklist[RequirementID],tblCost[[#This Row],[RequirementID]],tblCostChecklist[PlayerPaid],TRUE)&gt;0</f>
        <v>0</v>
      </c>
      <c r="I1969" s="41">
        <f>COUNTIF(tblCost[TargetID],tblCost[[#This Row],[TargetID]])</f>
        <v>8</v>
      </c>
      <c r="J1969" s="41">
        <f>COUNTIFS(tblCost[TargetID],tblCost[[#This Row],[TargetID]],tblCost[PlayerPaid],TRUE)</f>
        <v>0</v>
      </c>
      <c r="K1969" s="41">
        <f>tblCost[[#This Row],[TargetRequirements]]-tblCost[[#This Row],[CompletedRequirements]]</f>
        <v>8</v>
      </c>
      <c r="L1969" s="41" t="b">
        <f>tblCost[[#This Row],[RemainingRequirements]]=0</f>
        <v>0</v>
      </c>
      <c r="M1969" s="43">
        <f>IF(tblCost[[#This Row],[TargetRequirements]]=0,0,tblCost[[#This Row],[CompletedRequirements]]/tblCost[[#This Row],[TargetRequirements]])</f>
        <v>0</v>
      </c>
    </row>
    <row r="1970" spans="1:13">
      <c r="A1970" s="41" t="s">
        <v>5960</v>
      </c>
      <c r="B1970" s="41" t="str">
        <f>_xlfn.TEXTAFTER(_xlfn.TEXTBEFORE(tblCost[[#This Row],[RequirementID]],".",-2),"cost.")</f>
        <v>collection.alchemist_hall_1@2</v>
      </c>
      <c r="C1970" s="41" t="str">
        <f>_xlfn.XLOOKUP(tblCost[[#This Row],[TargetID]],tblTargets[TargetID],tblTargets[DisplayName],"")</f>
        <v>Alchemist Hall Lv 2</v>
      </c>
      <c r="D1970" s="41" t="str">
        <f>_xlfn.XLOOKUP(tblCost[[#This Row],[TargetID]],tblTargets[TargetID],tblTargets[TargetType],"")</f>
        <v>COLLECTION</v>
      </c>
      <c r="E1970" s="41" t="s">
        <v>937</v>
      </c>
      <c r="F1970" s="62" t="str">
        <f>RIGHT(tblCost[[#This Row],[RequirementID]],1)</f>
        <v>1</v>
      </c>
      <c r="G1970" s="41">
        <v>20</v>
      </c>
      <c r="H1970" t="b">
        <f>COUNTIFS(tblCostChecklist[RequirementID],tblCost[[#This Row],[RequirementID]],tblCostChecklist[PlayerPaid],TRUE)&gt;0</f>
        <v>0</v>
      </c>
      <c r="I1970" s="41">
        <f>COUNTIF(tblCost[TargetID],tblCost[[#This Row],[TargetID]])</f>
        <v>8</v>
      </c>
      <c r="J1970" s="41">
        <f>COUNTIFS(tblCost[TargetID],tblCost[[#This Row],[TargetID]],tblCost[PlayerPaid],TRUE)</f>
        <v>0</v>
      </c>
      <c r="K1970" s="41">
        <f>tblCost[[#This Row],[TargetRequirements]]-tblCost[[#This Row],[CompletedRequirements]]</f>
        <v>8</v>
      </c>
      <c r="L1970" s="41" t="b">
        <f>tblCost[[#This Row],[RemainingRequirements]]=0</f>
        <v>0</v>
      </c>
      <c r="M1970" s="43">
        <f>IF(tblCost[[#This Row],[TargetRequirements]]=0,0,tblCost[[#This Row],[CompletedRequirements]]/tblCost[[#This Row],[TargetRequirements]])</f>
        <v>0</v>
      </c>
    </row>
    <row r="1971" spans="1:13">
      <c r="A1971" s="41" t="s">
        <v>5961</v>
      </c>
      <c r="B1971" s="41" t="str">
        <f>_xlfn.TEXTAFTER(_xlfn.TEXTBEFORE(tblCost[[#This Row],[RequirementID]],".",-2),"cost.")</f>
        <v>collection.alchemist_hall_1@2</v>
      </c>
      <c r="C1971" s="41" t="str">
        <f>_xlfn.XLOOKUP(tblCost[[#This Row],[TargetID]],tblTargets[TargetID],tblTargets[DisplayName],"")</f>
        <v>Alchemist Hall Lv 2</v>
      </c>
      <c r="D1971" s="41" t="str">
        <f>_xlfn.XLOOKUP(tblCost[[#This Row],[TargetID]],tblTargets[TargetID],tblTargets[TargetType],"")</f>
        <v>COLLECTION</v>
      </c>
      <c r="E1971" s="41" t="s">
        <v>940</v>
      </c>
      <c r="F1971" s="62" t="str">
        <f>RIGHT(tblCost[[#This Row],[RequirementID]],1)</f>
        <v>1</v>
      </c>
      <c r="G1971" s="41">
        <v>40</v>
      </c>
      <c r="H1971" t="b">
        <f>COUNTIFS(tblCostChecklist[RequirementID],tblCost[[#This Row],[RequirementID]],tblCostChecklist[PlayerPaid],TRUE)&gt;0</f>
        <v>0</v>
      </c>
      <c r="I1971" s="41">
        <f>COUNTIF(tblCost[TargetID],tblCost[[#This Row],[TargetID]])</f>
        <v>8</v>
      </c>
      <c r="J1971" s="41">
        <f>COUNTIFS(tblCost[TargetID],tblCost[[#This Row],[TargetID]],tblCost[PlayerPaid],TRUE)</f>
        <v>0</v>
      </c>
      <c r="K1971" s="41">
        <f>tblCost[[#This Row],[TargetRequirements]]-tblCost[[#This Row],[CompletedRequirements]]</f>
        <v>8</v>
      </c>
      <c r="L1971" s="41" t="b">
        <f>tblCost[[#This Row],[RemainingRequirements]]=0</f>
        <v>0</v>
      </c>
      <c r="M1971" s="43">
        <f>IF(tblCost[[#This Row],[TargetRequirements]]=0,0,tblCost[[#This Row],[CompletedRequirements]]/tblCost[[#This Row],[TargetRequirements]])</f>
        <v>0</v>
      </c>
    </row>
    <row r="1972" spans="1:13">
      <c r="A1972" s="41" t="s">
        <v>5962</v>
      </c>
      <c r="B1972" s="41" t="str">
        <f>_xlfn.TEXTAFTER(_xlfn.TEXTBEFORE(tblCost[[#This Row],[RequirementID]],".",-2),"cost.")</f>
        <v>collection.alchemist_hall_1@2</v>
      </c>
      <c r="C1972" s="41" t="str">
        <f>_xlfn.XLOOKUP(tblCost[[#This Row],[TargetID]],tblTargets[TargetID],tblTargets[DisplayName],"")</f>
        <v>Alchemist Hall Lv 2</v>
      </c>
      <c r="D1972" s="41" t="str">
        <f>_xlfn.XLOOKUP(tblCost[[#This Row],[TargetID]],tblTargets[TargetID],tblTargets[TargetType],"")</f>
        <v>COLLECTION</v>
      </c>
      <c r="E1972" s="41" t="s">
        <v>677</v>
      </c>
      <c r="F1972" s="62" t="str">
        <f>RIGHT(tblCost[[#This Row],[RequirementID]],1)</f>
        <v>1</v>
      </c>
      <c r="G1972" s="41">
        <v>10</v>
      </c>
      <c r="H1972" t="b">
        <f>COUNTIFS(tblCostChecklist[RequirementID],tblCost[[#This Row],[RequirementID]],tblCostChecklist[PlayerPaid],TRUE)&gt;0</f>
        <v>0</v>
      </c>
      <c r="I1972" s="41">
        <f>COUNTIF(tblCost[TargetID],tblCost[[#This Row],[TargetID]])</f>
        <v>8</v>
      </c>
      <c r="J1972" s="41">
        <f>COUNTIFS(tblCost[TargetID],tblCost[[#This Row],[TargetID]],tblCost[PlayerPaid],TRUE)</f>
        <v>0</v>
      </c>
      <c r="K1972" s="41">
        <f>tblCost[[#This Row],[TargetRequirements]]-tblCost[[#This Row],[CompletedRequirements]]</f>
        <v>8</v>
      </c>
      <c r="L1972" s="41" t="b">
        <f>tblCost[[#This Row],[RemainingRequirements]]=0</f>
        <v>0</v>
      </c>
      <c r="M1972" s="43">
        <f>IF(tblCost[[#This Row],[TargetRequirements]]=0,0,tblCost[[#This Row],[CompletedRequirements]]/tblCost[[#This Row],[TargetRequirements]])</f>
        <v>0</v>
      </c>
    </row>
    <row r="1973" spans="1:13">
      <c r="A1973" s="41" t="s">
        <v>5963</v>
      </c>
      <c r="B1973" s="41" t="str">
        <f>_xlfn.TEXTAFTER(_xlfn.TEXTBEFORE(tblCost[[#This Row],[RequirementID]],".",-2),"cost.")</f>
        <v>collection.alchemist_hall_1@2</v>
      </c>
      <c r="C1973" s="41" t="str">
        <f>_xlfn.XLOOKUP(tblCost[[#This Row],[TargetID]],tblTargets[TargetID],tblTargets[DisplayName],"")</f>
        <v>Alchemist Hall Lv 2</v>
      </c>
      <c r="D1973" s="41" t="str">
        <f>_xlfn.XLOOKUP(tblCost[[#This Row],[TargetID]],tblTargets[TargetID],tblTargets[TargetType],"")</f>
        <v>COLLECTION</v>
      </c>
      <c r="E1973" s="41" t="s">
        <v>958</v>
      </c>
      <c r="F1973" s="62" t="str">
        <f>RIGHT(tblCost[[#This Row],[RequirementID]],1)</f>
        <v>1</v>
      </c>
      <c r="G1973" s="41">
        <v>20</v>
      </c>
      <c r="H1973" t="b">
        <f>COUNTIFS(tblCostChecklist[RequirementID],tblCost[[#This Row],[RequirementID]],tblCostChecklist[PlayerPaid],TRUE)&gt;0</f>
        <v>0</v>
      </c>
      <c r="I1973" s="41">
        <f>COUNTIF(tblCost[TargetID],tblCost[[#This Row],[TargetID]])</f>
        <v>8</v>
      </c>
      <c r="J1973" s="41">
        <f>COUNTIFS(tblCost[TargetID],tblCost[[#This Row],[TargetID]],tblCost[PlayerPaid],TRUE)</f>
        <v>0</v>
      </c>
      <c r="K1973" s="41">
        <f>tblCost[[#This Row],[TargetRequirements]]-tblCost[[#This Row],[CompletedRequirements]]</f>
        <v>8</v>
      </c>
      <c r="L1973" s="41" t="b">
        <f>tblCost[[#This Row],[RemainingRequirements]]=0</f>
        <v>0</v>
      </c>
      <c r="M1973" s="43">
        <f>IF(tblCost[[#This Row],[TargetRequirements]]=0,0,tblCost[[#This Row],[CompletedRequirements]]/tblCost[[#This Row],[TargetRequirements]])</f>
        <v>0</v>
      </c>
    </row>
    <row r="1974" spans="1:13">
      <c r="A1974" s="41" t="s">
        <v>5964</v>
      </c>
      <c r="B1974" s="41" t="str">
        <f>_xlfn.TEXTAFTER(_xlfn.TEXTBEFORE(tblCost[[#This Row],[RequirementID]],".",-2),"cost.")</f>
        <v>collection.alchemist_hall_1@2</v>
      </c>
      <c r="C1974" s="41" t="str">
        <f>_xlfn.XLOOKUP(tblCost[[#This Row],[TargetID]],tblTargets[TargetID],tblTargets[DisplayName],"")</f>
        <v>Alchemist Hall Lv 2</v>
      </c>
      <c r="D1974" s="41" t="str">
        <f>_xlfn.XLOOKUP(tblCost[[#This Row],[TargetID]],tblTargets[TargetID],tblTargets[TargetType],"")</f>
        <v>COLLECTION</v>
      </c>
      <c r="E1974" s="41" t="s">
        <v>705</v>
      </c>
      <c r="F1974" s="62" t="str">
        <f>RIGHT(tblCost[[#This Row],[RequirementID]],1)</f>
        <v>1</v>
      </c>
      <c r="G1974" s="41">
        <v>222</v>
      </c>
      <c r="H1974" t="b">
        <f>COUNTIFS(tblCostChecklist[RequirementID],tblCost[[#This Row],[RequirementID]],tblCostChecklist[PlayerPaid],TRUE)&gt;0</f>
        <v>0</v>
      </c>
      <c r="I1974" s="41">
        <f>COUNTIF(tblCost[TargetID],tblCost[[#This Row],[TargetID]])</f>
        <v>8</v>
      </c>
      <c r="J1974" s="41">
        <f>COUNTIFS(tblCost[TargetID],tblCost[[#This Row],[TargetID]],tblCost[PlayerPaid],TRUE)</f>
        <v>0</v>
      </c>
      <c r="K1974" s="41">
        <f>tblCost[[#This Row],[TargetRequirements]]-tblCost[[#This Row],[CompletedRequirements]]</f>
        <v>8</v>
      </c>
      <c r="L1974" s="41" t="b">
        <f>tblCost[[#This Row],[RemainingRequirements]]=0</f>
        <v>0</v>
      </c>
      <c r="M1974" s="43">
        <f>IF(tblCost[[#This Row],[TargetRequirements]]=0,0,tblCost[[#This Row],[CompletedRequirements]]/tblCost[[#This Row],[TargetRequirements]])</f>
        <v>0</v>
      </c>
    </row>
    <row r="1975" spans="1:13">
      <c r="A1975" s="41" t="s">
        <v>5965</v>
      </c>
      <c r="B1975" s="41" t="str">
        <f>_xlfn.TEXTAFTER(_xlfn.TEXTBEFORE(tblCost[[#This Row],[RequirementID]],".",-2),"cost.")</f>
        <v>collection.alchemist_hall_2@1</v>
      </c>
      <c r="C1975" s="41" t="str">
        <f>_xlfn.XLOOKUP(tblCost[[#This Row],[TargetID]],tblTargets[TargetID],tblTargets[DisplayName],"")</f>
        <v>Alchemist Hall Lv 1</v>
      </c>
      <c r="D1975" s="41" t="str">
        <f>_xlfn.XLOOKUP(tblCost[[#This Row],[TargetID]],tblTargets[TargetID],tblTargets[TargetType],"")</f>
        <v>COLLECTION</v>
      </c>
      <c r="E1975" s="41" t="s">
        <v>679</v>
      </c>
      <c r="F1975" s="62" t="str">
        <f>RIGHT(tblCost[[#This Row],[RequirementID]],1)</f>
        <v>1</v>
      </c>
      <c r="G1975" s="41">
        <v>10</v>
      </c>
      <c r="H1975" t="b">
        <f>COUNTIFS(tblCostChecklist[RequirementID],tblCost[[#This Row],[RequirementID]],tblCostChecklist[PlayerPaid],TRUE)&gt;0</f>
        <v>0</v>
      </c>
      <c r="I1975" s="41">
        <f>COUNTIF(tblCost[TargetID],tblCost[[#This Row],[TargetID]])</f>
        <v>8</v>
      </c>
      <c r="J1975" s="41">
        <f>COUNTIFS(tblCost[TargetID],tblCost[[#This Row],[TargetID]],tblCost[PlayerPaid],TRUE)</f>
        <v>0</v>
      </c>
      <c r="K1975" s="41">
        <f>tblCost[[#This Row],[TargetRequirements]]-tblCost[[#This Row],[CompletedRequirements]]</f>
        <v>8</v>
      </c>
      <c r="L1975" s="41" t="b">
        <f>tblCost[[#This Row],[RemainingRequirements]]=0</f>
        <v>0</v>
      </c>
      <c r="M1975" s="43">
        <f>IF(tblCost[[#This Row],[TargetRequirements]]=0,0,tblCost[[#This Row],[CompletedRequirements]]/tblCost[[#This Row],[TargetRequirements]])</f>
        <v>0</v>
      </c>
    </row>
    <row r="1976" spans="1:13">
      <c r="A1976" s="41" t="s">
        <v>5966</v>
      </c>
      <c r="B1976" s="41" t="str">
        <f>_xlfn.TEXTAFTER(_xlfn.TEXTBEFORE(tblCost[[#This Row],[RequirementID]],".",-2),"cost.")</f>
        <v>collection.alchemist_hall_2@1</v>
      </c>
      <c r="C1976" s="41" t="str">
        <f>_xlfn.XLOOKUP(tblCost[[#This Row],[TargetID]],tblTargets[TargetID],tblTargets[DisplayName],"")</f>
        <v>Alchemist Hall Lv 1</v>
      </c>
      <c r="D1976" s="41" t="str">
        <f>_xlfn.XLOOKUP(tblCost[[#This Row],[TargetID]],tblTargets[TargetID],tblTargets[TargetType],"")</f>
        <v>COLLECTION</v>
      </c>
      <c r="E1976" s="41" t="s">
        <v>679</v>
      </c>
      <c r="F1976" s="62" t="str">
        <f>RIGHT(tblCost[[#This Row],[RequirementID]],1)</f>
        <v>2</v>
      </c>
      <c r="G1976" s="41">
        <v>10</v>
      </c>
      <c r="H1976" t="b">
        <f>COUNTIFS(tblCostChecklist[RequirementID],tblCost[[#This Row],[RequirementID]],tblCostChecklist[PlayerPaid],TRUE)&gt;0</f>
        <v>0</v>
      </c>
      <c r="I1976" s="41">
        <f>COUNTIF(tblCost[TargetID],tblCost[[#This Row],[TargetID]])</f>
        <v>8</v>
      </c>
      <c r="J1976" s="41">
        <f>COUNTIFS(tblCost[TargetID],tblCost[[#This Row],[TargetID]],tblCost[PlayerPaid],TRUE)</f>
        <v>0</v>
      </c>
      <c r="K1976" s="41">
        <f>tblCost[[#This Row],[TargetRequirements]]-tblCost[[#This Row],[CompletedRequirements]]</f>
        <v>8</v>
      </c>
      <c r="L1976" s="41" t="b">
        <f>tblCost[[#This Row],[RemainingRequirements]]=0</f>
        <v>0</v>
      </c>
      <c r="M1976" s="43">
        <f>IF(tblCost[[#This Row],[TargetRequirements]]=0,0,tblCost[[#This Row],[CompletedRequirements]]/tblCost[[#This Row],[TargetRequirements]])</f>
        <v>0</v>
      </c>
    </row>
    <row r="1977" spans="1:13">
      <c r="A1977" s="41" t="s">
        <v>5967</v>
      </c>
      <c r="B1977" s="41" t="str">
        <f>_xlfn.TEXTAFTER(_xlfn.TEXTBEFORE(tblCost[[#This Row],[RequirementID]],".",-2),"cost.")</f>
        <v>collection.alchemist_hall_2@1</v>
      </c>
      <c r="C1977" s="41" t="str">
        <f>_xlfn.XLOOKUP(tblCost[[#This Row],[TargetID]],tblTargets[TargetID],tblTargets[DisplayName],"")</f>
        <v>Alchemist Hall Lv 1</v>
      </c>
      <c r="D1977" s="41" t="str">
        <f>_xlfn.XLOOKUP(tblCost[[#This Row],[TargetID]],tblTargets[TargetID],tblTargets[TargetType],"")</f>
        <v>COLLECTION</v>
      </c>
      <c r="E1977" s="41" t="s">
        <v>1815</v>
      </c>
      <c r="F1977" s="62" t="str">
        <f>RIGHT(tblCost[[#This Row],[RequirementID]],1)</f>
        <v>1</v>
      </c>
      <c r="G1977" s="41">
        <v>20</v>
      </c>
      <c r="H1977" t="b">
        <f>COUNTIFS(tblCostChecklist[RequirementID],tblCost[[#This Row],[RequirementID]],tblCostChecklist[PlayerPaid],TRUE)&gt;0</f>
        <v>0</v>
      </c>
      <c r="I1977" s="41">
        <f>COUNTIF(tblCost[TargetID],tblCost[[#This Row],[TargetID]])</f>
        <v>8</v>
      </c>
      <c r="J1977" s="41">
        <f>COUNTIFS(tblCost[TargetID],tblCost[[#This Row],[TargetID]],tblCost[PlayerPaid],TRUE)</f>
        <v>0</v>
      </c>
      <c r="K1977" s="41">
        <f>tblCost[[#This Row],[TargetRequirements]]-tblCost[[#This Row],[CompletedRequirements]]</f>
        <v>8</v>
      </c>
      <c r="L1977" s="41" t="b">
        <f>tblCost[[#This Row],[RemainingRequirements]]=0</f>
        <v>0</v>
      </c>
      <c r="M1977" s="43">
        <f>IF(tblCost[[#This Row],[TargetRequirements]]=0,0,tblCost[[#This Row],[CompletedRequirements]]/tblCost[[#This Row],[TargetRequirements]])</f>
        <v>0</v>
      </c>
    </row>
    <row r="1978" spans="1:13">
      <c r="A1978" s="41" t="s">
        <v>5968</v>
      </c>
      <c r="B1978" s="41" t="str">
        <f>_xlfn.TEXTAFTER(_xlfn.TEXTBEFORE(tblCost[[#This Row],[RequirementID]],".",-2),"cost.")</f>
        <v>collection.alchemist_hall_2@1</v>
      </c>
      <c r="C1978" s="41" t="str">
        <f>_xlfn.XLOOKUP(tblCost[[#This Row],[TargetID]],tblTargets[TargetID],tblTargets[DisplayName],"")</f>
        <v>Alchemist Hall Lv 1</v>
      </c>
      <c r="D1978" s="41" t="str">
        <f>_xlfn.XLOOKUP(tblCost[[#This Row],[TargetID]],tblTargets[TargetID],tblTargets[TargetType],"")</f>
        <v>COLLECTION</v>
      </c>
      <c r="E1978" s="41" t="s">
        <v>3653</v>
      </c>
      <c r="F1978" s="62" t="str">
        <f>RIGHT(tblCost[[#This Row],[RequirementID]],1)</f>
        <v>1</v>
      </c>
      <c r="G1978" s="41">
        <v>24</v>
      </c>
      <c r="H1978" t="b">
        <f>COUNTIFS(tblCostChecklist[RequirementID],tblCost[[#This Row],[RequirementID]],tblCostChecklist[PlayerPaid],TRUE)&gt;0</f>
        <v>0</v>
      </c>
      <c r="I1978" s="41">
        <f>COUNTIF(tblCost[TargetID],tblCost[[#This Row],[TargetID]])</f>
        <v>8</v>
      </c>
      <c r="J1978" s="41">
        <f>COUNTIFS(tblCost[TargetID],tblCost[[#This Row],[TargetID]],tblCost[PlayerPaid],TRUE)</f>
        <v>0</v>
      </c>
      <c r="K1978" s="41">
        <f>tblCost[[#This Row],[TargetRequirements]]-tblCost[[#This Row],[CompletedRequirements]]</f>
        <v>8</v>
      </c>
      <c r="L1978" s="41" t="b">
        <f>tblCost[[#This Row],[RemainingRequirements]]=0</f>
        <v>0</v>
      </c>
      <c r="M1978" s="43">
        <f>IF(tblCost[[#This Row],[TargetRequirements]]=0,0,tblCost[[#This Row],[CompletedRequirements]]/tblCost[[#This Row],[TargetRequirements]])</f>
        <v>0</v>
      </c>
    </row>
    <row r="1979" spans="1:13">
      <c r="A1979" s="41" t="s">
        <v>5969</v>
      </c>
      <c r="B1979" s="41" t="str">
        <f>_xlfn.TEXTAFTER(_xlfn.TEXTBEFORE(tblCost[[#This Row],[RequirementID]],".",-2),"cost.")</f>
        <v>collection.alchemist_hall_2@1</v>
      </c>
      <c r="C1979" s="41" t="str">
        <f>_xlfn.XLOOKUP(tblCost[[#This Row],[TargetID]],tblTargets[TargetID],tblTargets[DisplayName],"")</f>
        <v>Alchemist Hall Lv 1</v>
      </c>
      <c r="D1979" s="41" t="str">
        <f>_xlfn.XLOOKUP(tblCost[[#This Row],[TargetID]],tblTargets[TargetID],tblTargets[TargetType],"")</f>
        <v>COLLECTION</v>
      </c>
      <c r="E1979" s="41" t="s">
        <v>3653</v>
      </c>
      <c r="F1979" s="62" t="str">
        <f>RIGHT(tblCost[[#This Row],[RequirementID]],1)</f>
        <v>2</v>
      </c>
      <c r="G1979" s="41">
        <v>24</v>
      </c>
      <c r="H1979" t="b">
        <f>COUNTIFS(tblCostChecklist[RequirementID],tblCost[[#This Row],[RequirementID]],tblCostChecklist[PlayerPaid],TRUE)&gt;0</f>
        <v>0</v>
      </c>
      <c r="I1979" s="41">
        <f>COUNTIF(tblCost[TargetID],tblCost[[#This Row],[TargetID]])</f>
        <v>8</v>
      </c>
      <c r="J1979" s="41">
        <f>COUNTIFS(tblCost[TargetID],tblCost[[#This Row],[TargetID]],tblCost[PlayerPaid],TRUE)</f>
        <v>0</v>
      </c>
      <c r="K1979" s="41">
        <f>tblCost[[#This Row],[TargetRequirements]]-tblCost[[#This Row],[CompletedRequirements]]</f>
        <v>8</v>
      </c>
      <c r="L1979" s="41" t="b">
        <f>tblCost[[#This Row],[RemainingRequirements]]=0</f>
        <v>0</v>
      </c>
      <c r="M1979" s="43">
        <f>IF(tblCost[[#This Row],[TargetRequirements]]=0,0,tblCost[[#This Row],[CompletedRequirements]]/tblCost[[#This Row],[TargetRequirements]])</f>
        <v>0</v>
      </c>
    </row>
    <row r="1980" spans="1:13">
      <c r="A1980" s="41" t="s">
        <v>5970</v>
      </c>
      <c r="B1980" s="41" t="str">
        <f>_xlfn.TEXTAFTER(_xlfn.TEXTBEFORE(tblCost[[#This Row],[RequirementID]],".",-2),"cost.")</f>
        <v>collection.alchemist_hall_2@1</v>
      </c>
      <c r="C1980" s="41" t="str">
        <f>_xlfn.XLOOKUP(tblCost[[#This Row],[TargetID]],tblTargets[TargetID],tblTargets[DisplayName],"")</f>
        <v>Alchemist Hall Lv 1</v>
      </c>
      <c r="D1980" s="41" t="str">
        <f>_xlfn.XLOOKUP(tblCost[[#This Row],[TargetID]],tblTargets[TargetID],tblTargets[TargetType],"")</f>
        <v>COLLECTION</v>
      </c>
      <c r="E1980" s="41" t="s">
        <v>696</v>
      </c>
      <c r="F1980" s="62" t="str">
        <f>RIGHT(tblCost[[#This Row],[RequirementID]],1)</f>
        <v>1</v>
      </c>
      <c r="G1980" s="41">
        <v>20</v>
      </c>
      <c r="H1980" t="b">
        <f>COUNTIFS(tblCostChecklist[RequirementID],tblCost[[#This Row],[RequirementID]],tblCostChecklist[PlayerPaid],TRUE)&gt;0</f>
        <v>0</v>
      </c>
      <c r="I1980" s="41">
        <f>COUNTIF(tblCost[TargetID],tblCost[[#This Row],[TargetID]])</f>
        <v>8</v>
      </c>
      <c r="J1980" s="41">
        <f>COUNTIFS(tblCost[TargetID],tblCost[[#This Row],[TargetID]],tblCost[PlayerPaid],TRUE)</f>
        <v>0</v>
      </c>
      <c r="K1980" s="41">
        <f>tblCost[[#This Row],[TargetRequirements]]-tblCost[[#This Row],[CompletedRequirements]]</f>
        <v>8</v>
      </c>
      <c r="L1980" s="41" t="b">
        <f>tblCost[[#This Row],[RemainingRequirements]]=0</f>
        <v>0</v>
      </c>
      <c r="M1980" s="43">
        <f>IF(tblCost[[#This Row],[TargetRequirements]]=0,0,tblCost[[#This Row],[CompletedRequirements]]/tblCost[[#This Row],[TargetRequirements]])</f>
        <v>0</v>
      </c>
    </row>
    <row r="1981" spans="1:13">
      <c r="A1981" s="41" t="s">
        <v>5971</v>
      </c>
      <c r="B1981" s="41" t="str">
        <f>_xlfn.TEXTAFTER(_xlfn.TEXTBEFORE(tblCost[[#This Row],[RequirementID]],".",-2),"cost.")</f>
        <v>collection.alchemist_hall_2@1</v>
      </c>
      <c r="C1981" s="41" t="str">
        <f>_xlfn.XLOOKUP(tblCost[[#This Row],[TargetID]],tblTargets[TargetID],tblTargets[DisplayName],"")</f>
        <v>Alchemist Hall Lv 1</v>
      </c>
      <c r="D1981" s="41" t="str">
        <f>_xlfn.XLOOKUP(tblCost[[#This Row],[TargetID]],tblTargets[TargetID],tblTargets[TargetType],"")</f>
        <v>COLLECTION</v>
      </c>
      <c r="E1981" s="41" t="s">
        <v>710</v>
      </c>
      <c r="F1981" s="62" t="str">
        <f>RIGHT(tblCost[[#This Row],[RequirementID]],1)</f>
        <v>1</v>
      </c>
      <c r="G1981" s="41">
        <v>1</v>
      </c>
      <c r="H1981" t="b">
        <f>COUNTIFS(tblCostChecklist[RequirementID],tblCost[[#This Row],[RequirementID]],tblCostChecklist[PlayerPaid],TRUE)&gt;0</f>
        <v>0</v>
      </c>
      <c r="I1981" s="41">
        <f>COUNTIF(tblCost[TargetID],tblCost[[#This Row],[TargetID]])</f>
        <v>8</v>
      </c>
      <c r="J1981" s="41">
        <f>COUNTIFS(tblCost[TargetID],tblCost[[#This Row],[TargetID]],tblCost[PlayerPaid],TRUE)</f>
        <v>0</v>
      </c>
      <c r="K1981" s="41">
        <f>tblCost[[#This Row],[TargetRequirements]]-tblCost[[#This Row],[CompletedRequirements]]</f>
        <v>8</v>
      </c>
      <c r="L1981" s="41" t="b">
        <f>tblCost[[#This Row],[RemainingRequirements]]=0</f>
        <v>0</v>
      </c>
      <c r="M1981" s="43">
        <f>IF(tblCost[[#This Row],[TargetRequirements]]=0,0,tblCost[[#This Row],[CompletedRequirements]]/tblCost[[#This Row],[TargetRequirements]])</f>
        <v>0</v>
      </c>
    </row>
    <row r="1982" spans="1:13">
      <c r="A1982" s="41" t="s">
        <v>5972</v>
      </c>
      <c r="B1982" s="41" t="str">
        <f>_xlfn.TEXTAFTER(_xlfn.TEXTBEFORE(tblCost[[#This Row],[RequirementID]],".",-2),"cost.")</f>
        <v>collection.alchemist_hall_2@1</v>
      </c>
      <c r="C1982" s="41" t="str">
        <f>_xlfn.XLOOKUP(tblCost[[#This Row],[TargetID]],tblTargets[TargetID],tblTargets[DisplayName],"")</f>
        <v>Alchemist Hall Lv 1</v>
      </c>
      <c r="D1982" s="41" t="str">
        <f>_xlfn.XLOOKUP(tblCost[[#This Row],[TargetID]],tblTargets[TargetID],tblTargets[TargetType],"")</f>
        <v>COLLECTION</v>
      </c>
      <c r="E1982" s="41" t="s">
        <v>703</v>
      </c>
      <c r="F1982" s="62" t="str">
        <f>RIGHT(tblCost[[#This Row],[RequirementID]],1)</f>
        <v>1</v>
      </c>
      <c r="G1982" s="41">
        <v>10</v>
      </c>
      <c r="H1982" t="b">
        <f>COUNTIFS(tblCostChecklist[RequirementID],tblCost[[#This Row],[RequirementID]],tblCostChecklist[PlayerPaid],TRUE)&gt;0</f>
        <v>0</v>
      </c>
      <c r="I1982" s="41">
        <f>COUNTIF(tblCost[TargetID],tblCost[[#This Row],[TargetID]])</f>
        <v>8</v>
      </c>
      <c r="J1982" s="41">
        <f>COUNTIFS(tblCost[TargetID],tblCost[[#This Row],[TargetID]],tblCost[PlayerPaid],TRUE)</f>
        <v>0</v>
      </c>
      <c r="K1982" s="41">
        <f>tblCost[[#This Row],[TargetRequirements]]-tblCost[[#This Row],[CompletedRequirements]]</f>
        <v>8</v>
      </c>
      <c r="L1982" s="41" t="b">
        <f>tblCost[[#This Row],[RemainingRequirements]]=0</f>
        <v>0</v>
      </c>
      <c r="M1982" s="43">
        <f>IF(tblCost[[#This Row],[TargetRequirements]]=0,0,tblCost[[#This Row],[CompletedRequirements]]/tblCost[[#This Row],[TargetRequirements]])</f>
        <v>0</v>
      </c>
    </row>
    <row r="1983" spans="1:13">
      <c r="A1983" s="41" t="s">
        <v>5973</v>
      </c>
      <c r="B1983" s="41" t="str">
        <f>_xlfn.TEXTAFTER(_xlfn.TEXTBEFORE(tblCost[[#This Row],[RequirementID]],".",-2),"cost.")</f>
        <v>collection.alchemist_hall_2@2</v>
      </c>
      <c r="C1983" s="41" t="str">
        <f>_xlfn.XLOOKUP(tblCost[[#This Row],[TargetID]],tblTargets[TargetID],tblTargets[DisplayName],"")</f>
        <v>Alchemist Hall Lv 2</v>
      </c>
      <c r="D1983" s="41" t="str">
        <f>_xlfn.XLOOKUP(tblCost[[#This Row],[TargetID]],tblTargets[TargetID],tblTargets[TargetType],"")</f>
        <v>COLLECTION</v>
      </c>
      <c r="E1983" s="41" t="s">
        <v>679</v>
      </c>
      <c r="F1983" s="62" t="str">
        <f>RIGHT(tblCost[[#This Row],[RequirementID]],1)</f>
        <v>1</v>
      </c>
      <c r="G1983" s="41">
        <v>20</v>
      </c>
      <c r="H1983" t="b">
        <f>COUNTIFS(tblCostChecklist[RequirementID],tblCost[[#This Row],[RequirementID]],tblCostChecklist[PlayerPaid],TRUE)&gt;0</f>
        <v>0</v>
      </c>
      <c r="I1983" s="41">
        <f>COUNTIF(tblCost[TargetID],tblCost[[#This Row],[TargetID]])</f>
        <v>8</v>
      </c>
      <c r="J1983" s="41">
        <f>COUNTIFS(tblCost[TargetID],tblCost[[#This Row],[TargetID]],tblCost[PlayerPaid],TRUE)</f>
        <v>0</v>
      </c>
      <c r="K1983" s="41">
        <f>tblCost[[#This Row],[TargetRequirements]]-tblCost[[#This Row],[CompletedRequirements]]</f>
        <v>8</v>
      </c>
      <c r="L1983" s="41" t="b">
        <f>tblCost[[#This Row],[RemainingRequirements]]=0</f>
        <v>0</v>
      </c>
      <c r="M1983" s="43">
        <f>IF(tblCost[[#This Row],[TargetRequirements]]=0,0,tblCost[[#This Row],[CompletedRequirements]]/tblCost[[#This Row],[TargetRequirements]])</f>
        <v>0</v>
      </c>
    </row>
    <row r="1984" spans="1:13">
      <c r="A1984" s="41" t="s">
        <v>5974</v>
      </c>
      <c r="B1984" s="41" t="str">
        <f>_xlfn.TEXTAFTER(_xlfn.TEXTBEFORE(tblCost[[#This Row],[RequirementID]],".",-2),"cost.")</f>
        <v>collection.alchemist_hall_2@2</v>
      </c>
      <c r="C1984" s="41" t="str">
        <f>_xlfn.XLOOKUP(tblCost[[#This Row],[TargetID]],tblTargets[TargetID],tblTargets[DisplayName],"")</f>
        <v>Alchemist Hall Lv 2</v>
      </c>
      <c r="D1984" s="41" t="str">
        <f>_xlfn.XLOOKUP(tblCost[[#This Row],[TargetID]],tblTargets[TargetID],tblTargets[TargetType],"")</f>
        <v>COLLECTION</v>
      </c>
      <c r="E1984" s="41" t="s">
        <v>679</v>
      </c>
      <c r="F1984" s="62" t="str">
        <f>RIGHT(tblCost[[#This Row],[RequirementID]],1)</f>
        <v>2</v>
      </c>
      <c r="G1984" s="41">
        <v>20</v>
      </c>
      <c r="H1984" t="b">
        <f>COUNTIFS(tblCostChecklist[RequirementID],tblCost[[#This Row],[RequirementID]],tblCostChecklist[PlayerPaid],TRUE)&gt;0</f>
        <v>0</v>
      </c>
      <c r="I1984" s="41">
        <f>COUNTIF(tblCost[TargetID],tblCost[[#This Row],[TargetID]])</f>
        <v>8</v>
      </c>
      <c r="J1984" s="41">
        <f>COUNTIFS(tblCost[TargetID],tblCost[[#This Row],[TargetID]],tblCost[PlayerPaid],TRUE)</f>
        <v>0</v>
      </c>
      <c r="K1984" s="41">
        <f>tblCost[[#This Row],[TargetRequirements]]-tblCost[[#This Row],[CompletedRequirements]]</f>
        <v>8</v>
      </c>
      <c r="L1984" s="41" t="b">
        <f>tblCost[[#This Row],[RemainingRequirements]]=0</f>
        <v>0</v>
      </c>
      <c r="M1984" s="43">
        <f>IF(tblCost[[#This Row],[TargetRequirements]]=0,0,tblCost[[#This Row],[CompletedRequirements]]/tblCost[[#This Row],[TargetRequirements]])</f>
        <v>0</v>
      </c>
    </row>
    <row r="1985" spans="1:13">
      <c r="A1985" s="41" t="s">
        <v>5975</v>
      </c>
      <c r="B1985" s="41" t="str">
        <f>_xlfn.TEXTAFTER(_xlfn.TEXTBEFORE(tblCost[[#This Row],[RequirementID]],".",-2),"cost.")</f>
        <v>collection.alchemist_hall_2@2</v>
      </c>
      <c r="C1985" s="41" t="str">
        <f>_xlfn.XLOOKUP(tblCost[[#This Row],[TargetID]],tblTargets[TargetID],tblTargets[DisplayName],"")</f>
        <v>Alchemist Hall Lv 2</v>
      </c>
      <c r="D1985" s="41" t="str">
        <f>_xlfn.XLOOKUP(tblCost[[#This Row],[TargetID]],tblTargets[TargetID],tblTargets[TargetType],"")</f>
        <v>COLLECTION</v>
      </c>
      <c r="E1985" s="41" t="s">
        <v>1815</v>
      </c>
      <c r="F1985" s="62" t="str">
        <f>RIGHT(tblCost[[#This Row],[RequirementID]],1)</f>
        <v>1</v>
      </c>
      <c r="G1985" s="41">
        <v>40</v>
      </c>
      <c r="H1985" t="b">
        <f>COUNTIFS(tblCostChecklist[RequirementID],tblCost[[#This Row],[RequirementID]],tblCostChecklist[PlayerPaid],TRUE)&gt;0</f>
        <v>0</v>
      </c>
      <c r="I1985" s="41">
        <f>COUNTIF(tblCost[TargetID],tblCost[[#This Row],[TargetID]])</f>
        <v>8</v>
      </c>
      <c r="J1985" s="41">
        <f>COUNTIFS(tblCost[TargetID],tblCost[[#This Row],[TargetID]],tblCost[PlayerPaid],TRUE)</f>
        <v>0</v>
      </c>
      <c r="K1985" s="41">
        <f>tblCost[[#This Row],[TargetRequirements]]-tblCost[[#This Row],[CompletedRequirements]]</f>
        <v>8</v>
      </c>
      <c r="L1985" s="41" t="b">
        <f>tblCost[[#This Row],[RemainingRequirements]]=0</f>
        <v>0</v>
      </c>
      <c r="M1985" s="43">
        <f>IF(tblCost[[#This Row],[TargetRequirements]]=0,0,tblCost[[#This Row],[CompletedRequirements]]/tblCost[[#This Row],[TargetRequirements]])</f>
        <v>0</v>
      </c>
    </row>
    <row r="1986" spans="1:13">
      <c r="A1986" s="41" t="s">
        <v>5976</v>
      </c>
      <c r="B1986" s="41" t="str">
        <f>_xlfn.TEXTAFTER(_xlfn.TEXTBEFORE(tblCost[[#This Row],[RequirementID]],".",-2),"cost.")</f>
        <v>collection.alchemist_hall_2@2</v>
      </c>
      <c r="C1986" s="41" t="str">
        <f>_xlfn.XLOOKUP(tblCost[[#This Row],[TargetID]],tblTargets[TargetID],tblTargets[DisplayName],"")</f>
        <v>Alchemist Hall Lv 2</v>
      </c>
      <c r="D1986" s="41" t="str">
        <f>_xlfn.XLOOKUP(tblCost[[#This Row],[TargetID]],tblTargets[TargetID],tblTargets[TargetType],"")</f>
        <v>COLLECTION</v>
      </c>
      <c r="E1986" s="41" t="s">
        <v>3653</v>
      </c>
      <c r="F1986" s="62" t="str">
        <f>RIGHT(tblCost[[#This Row],[RequirementID]],1)</f>
        <v>1</v>
      </c>
      <c r="G1986" s="41">
        <v>48</v>
      </c>
      <c r="H1986" t="b">
        <f>COUNTIFS(tblCostChecklist[RequirementID],tblCost[[#This Row],[RequirementID]],tblCostChecklist[PlayerPaid],TRUE)&gt;0</f>
        <v>0</v>
      </c>
      <c r="I1986" s="41">
        <f>COUNTIF(tblCost[TargetID],tblCost[[#This Row],[TargetID]])</f>
        <v>8</v>
      </c>
      <c r="J1986" s="41">
        <f>COUNTIFS(tblCost[TargetID],tblCost[[#This Row],[TargetID]],tblCost[PlayerPaid],TRUE)</f>
        <v>0</v>
      </c>
      <c r="K1986" s="41">
        <f>tblCost[[#This Row],[TargetRequirements]]-tblCost[[#This Row],[CompletedRequirements]]</f>
        <v>8</v>
      </c>
      <c r="L1986" s="41" t="b">
        <f>tblCost[[#This Row],[RemainingRequirements]]=0</f>
        <v>0</v>
      </c>
      <c r="M1986" s="43">
        <f>IF(tblCost[[#This Row],[TargetRequirements]]=0,0,tblCost[[#This Row],[CompletedRequirements]]/tblCost[[#This Row],[TargetRequirements]])</f>
        <v>0</v>
      </c>
    </row>
    <row r="1987" spans="1:13">
      <c r="A1987" s="41" t="s">
        <v>5977</v>
      </c>
      <c r="B1987" s="41" t="str">
        <f>_xlfn.TEXTAFTER(_xlfn.TEXTBEFORE(tblCost[[#This Row],[RequirementID]],".",-2),"cost.")</f>
        <v>collection.alchemist_hall_2@2</v>
      </c>
      <c r="C1987" s="41" t="str">
        <f>_xlfn.XLOOKUP(tblCost[[#This Row],[TargetID]],tblTargets[TargetID],tblTargets[DisplayName],"")</f>
        <v>Alchemist Hall Lv 2</v>
      </c>
      <c r="D1987" s="41" t="str">
        <f>_xlfn.XLOOKUP(tblCost[[#This Row],[TargetID]],tblTargets[TargetID],tblTargets[TargetType],"")</f>
        <v>COLLECTION</v>
      </c>
      <c r="E1987" s="41" t="s">
        <v>3653</v>
      </c>
      <c r="F1987" s="62" t="str">
        <f>RIGHT(tblCost[[#This Row],[RequirementID]],1)</f>
        <v>2</v>
      </c>
      <c r="G1987" s="41">
        <v>48</v>
      </c>
      <c r="H1987" t="b">
        <f>COUNTIFS(tblCostChecklist[RequirementID],tblCost[[#This Row],[RequirementID]],tblCostChecklist[PlayerPaid],TRUE)&gt;0</f>
        <v>0</v>
      </c>
      <c r="I1987" s="41">
        <f>COUNTIF(tblCost[TargetID],tblCost[[#This Row],[TargetID]])</f>
        <v>8</v>
      </c>
      <c r="J1987" s="41">
        <f>COUNTIFS(tblCost[TargetID],tblCost[[#This Row],[TargetID]],tblCost[PlayerPaid],TRUE)</f>
        <v>0</v>
      </c>
      <c r="K1987" s="41">
        <f>tblCost[[#This Row],[TargetRequirements]]-tblCost[[#This Row],[CompletedRequirements]]</f>
        <v>8</v>
      </c>
      <c r="L1987" s="41" t="b">
        <f>tblCost[[#This Row],[RemainingRequirements]]=0</f>
        <v>0</v>
      </c>
      <c r="M1987" s="43">
        <f>IF(tblCost[[#This Row],[TargetRequirements]]=0,0,tblCost[[#This Row],[CompletedRequirements]]/tblCost[[#This Row],[TargetRequirements]])</f>
        <v>0</v>
      </c>
    </row>
    <row r="1988" spans="1:13">
      <c r="A1988" s="41" t="s">
        <v>5978</v>
      </c>
      <c r="B1988" s="41" t="str">
        <f>_xlfn.TEXTAFTER(_xlfn.TEXTBEFORE(tblCost[[#This Row],[RequirementID]],".",-2),"cost.")</f>
        <v>collection.alchemist_hall_2@2</v>
      </c>
      <c r="C1988" s="41" t="str">
        <f>_xlfn.XLOOKUP(tblCost[[#This Row],[TargetID]],tblTargets[TargetID],tblTargets[DisplayName],"")</f>
        <v>Alchemist Hall Lv 2</v>
      </c>
      <c r="D1988" s="41" t="str">
        <f>_xlfn.XLOOKUP(tblCost[[#This Row],[TargetID]],tblTargets[TargetID],tblTargets[TargetType],"")</f>
        <v>COLLECTION</v>
      </c>
      <c r="E1988" s="41" t="s">
        <v>696</v>
      </c>
      <c r="F1988" s="62" t="str">
        <f>RIGHT(tblCost[[#This Row],[RequirementID]],1)</f>
        <v>1</v>
      </c>
      <c r="G1988" s="41">
        <v>40</v>
      </c>
      <c r="H1988" t="b">
        <f>COUNTIFS(tblCostChecklist[RequirementID],tblCost[[#This Row],[RequirementID]],tblCostChecklist[PlayerPaid],TRUE)&gt;0</f>
        <v>0</v>
      </c>
      <c r="I1988" s="41">
        <f>COUNTIF(tblCost[TargetID],tblCost[[#This Row],[TargetID]])</f>
        <v>8</v>
      </c>
      <c r="J1988" s="41">
        <f>COUNTIFS(tblCost[TargetID],tblCost[[#This Row],[TargetID]],tblCost[PlayerPaid],TRUE)</f>
        <v>0</v>
      </c>
      <c r="K1988" s="41">
        <f>tblCost[[#This Row],[TargetRequirements]]-tblCost[[#This Row],[CompletedRequirements]]</f>
        <v>8</v>
      </c>
      <c r="L1988" s="41" t="b">
        <f>tblCost[[#This Row],[RemainingRequirements]]=0</f>
        <v>0</v>
      </c>
      <c r="M1988" s="43">
        <f>IF(tblCost[[#This Row],[TargetRequirements]]=0,0,tblCost[[#This Row],[CompletedRequirements]]/tblCost[[#This Row],[TargetRequirements]])</f>
        <v>0</v>
      </c>
    </row>
    <row r="1989" spans="1:13">
      <c r="A1989" s="41" t="s">
        <v>5979</v>
      </c>
      <c r="B1989" s="41" t="str">
        <f>_xlfn.TEXTAFTER(_xlfn.TEXTBEFORE(tblCost[[#This Row],[RequirementID]],".",-2),"cost.")</f>
        <v>collection.alchemist_hall_2@2</v>
      </c>
      <c r="C1989" s="41" t="str">
        <f>_xlfn.XLOOKUP(tblCost[[#This Row],[TargetID]],tblTargets[TargetID],tblTargets[DisplayName],"")</f>
        <v>Alchemist Hall Lv 2</v>
      </c>
      <c r="D1989" s="41" t="str">
        <f>_xlfn.XLOOKUP(tblCost[[#This Row],[TargetID]],tblTargets[TargetID],tblTargets[TargetType],"")</f>
        <v>COLLECTION</v>
      </c>
      <c r="E1989" s="41" t="s">
        <v>710</v>
      </c>
      <c r="F1989" s="62" t="str">
        <f>RIGHT(tblCost[[#This Row],[RequirementID]],1)</f>
        <v>1</v>
      </c>
      <c r="G1989" s="41">
        <v>2</v>
      </c>
      <c r="H1989" t="b">
        <f>COUNTIFS(tblCostChecklist[RequirementID],tblCost[[#This Row],[RequirementID]],tblCostChecklist[PlayerPaid],TRUE)&gt;0</f>
        <v>0</v>
      </c>
      <c r="I1989" s="41">
        <f>COUNTIF(tblCost[TargetID],tblCost[[#This Row],[TargetID]])</f>
        <v>8</v>
      </c>
      <c r="J1989" s="41">
        <f>COUNTIFS(tblCost[TargetID],tblCost[[#This Row],[TargetID]],tblCost[PlayerPaid],TRUE)</f>
        <v>0</v>
      </c>
      <c r="K1989" s="41">
        <f>tblCost[[#This Row],[TargetRequirements]]-tblCost[[#This Row],[CompletedRequirements]]</f>
        <v>8</v>
      </c>
      <c r="L1989" s="41" t="b">
        <f>tblCost[[#This Row],[RemainingRequirements]]=0</f>
        <v>0</v>
      </c>
      <c r="M1989" s="43">
        <f>IF(tblCost[[#This Row],[TargetRequirements]]=0,0,tblCost[[#This Row],[CompletedRequirements]]/tblCost[[#This Row],[TargetRequirements]])</f>
        <v>0</v>
      </c>
    </row>
    <row r="1990" spans="1:13">
      <c r="A1990" s="41" t="s">
        <v>5980</v>
      </c>
      <c r="B1990" s="41" t="str">
        <f>_xlfn.TEXTAFTER(_xlfn.TEXTBEFORE(tblCost[[#This Row],[RequirementID]],".",-2),"cost.")</f>
        <v>collection.alchemist_hall_2@2</v>
      </c>
      <c r="C1990" s="41" t="str">
        <f>_xlfn.XLOOKUP(tblCost[[#This Row],[TargetID]],tblTargets[TargetID],tblTargets[DisplayName],"")</f>
        <v>Alchemist Hall Lv 2</v>
      </c>
      <c r="D1990" s="41" t="str">
        <f>_xlfn.XLOOKUP(tblCost[[#This Row],[TargetID]],tblTargets[TargetID],tblTargets[TargetType],"")</f>
        <v>COLLECTION</v>
      </c>
      <c r="E1990" s="41" t="s">
        <v>703</v>
      </c>
      <c r="F1990" s="62" t="str">
        <f>RIGHT(tblCost[[#This Row],[RequirementID]],1)</f>
        <v>1</v>
      </c>
      <c r="G1990" s="41">
        <v>20</v>
      </c>
      <c r="H1990" t="b">
        <f>COUNTIFS(tblCostChecklist[RequirementID],tblCost[[#This Row],[RequirementID]],tblCostChecklist[PlayerPaid],TRUE)&gt;0</f>
        <v>0</v>
      </c>
      <c r="I1990" s="41">
        <f>COUNTIF(tblCost[TargetID],tblCost[[#This Row],[TargetID]])</f>
        <v>8</v>
      </c>
      <c r="J1990" s="41">
        <f>COUNTIFS(tblCost[TargetID],tblCost[[#This Row],[TargetID]],tblCost[PlayerPaid],TRUE)</f>
        <v>0</v>
      </c>
      <c r="K1990" s="41">
        <f>tblCost[[#This Row],[TargetRequirements]]-tblCost[[#This Row],[CompletedRequirements]]</f>
        <v>8</v>
      </c>
      <c r="L1990" s="41" t="b">
        <f>tblCost[[#This Row],[RemainingRequirements]]=0</f>
        <v>0</v>
      </c>
      <c r="M1990" s="43">
        <f>IF(tblCost[[#This Row],[TargetRequirements]]=0,0,tblCost[[#This Row],[CompletedRequirements]]/tblCost[[#This Row],[TargetRequirements]])</f>
        <v>0</v>
      </c>
    </row>
    <row r="1991" spans="1:13">
      <c r="A1991" s="41" t="s">
        <v>5981</v>
      </c>
      <c r="B1991" s="41" t="str">
        <f>_xlfn.TEXTAFTER(_xlfn.TEXTBEFORE(tblCost[[#This Row],[RequirementID]],".",-2),"cost.")</f>
        <v>collection.alchemist_hall_3@1</v>
      </c>
      <c r="C1991" s="41" t="str">
        <f>_xlfn.XLOOKUP(tblCost[[#This Row],[TargetID]],tblTargets[TargetID],tblTargets[DisplayName],"")</f>
        <v>Alchemist Hall Lv 1</v>
      </c>
      <c r="D1991" s="41" t="str">
        <f>_xlfn.XLOOKUP(tblCost[[#This Row],[TargetID]],tblTargets[TargetID],tblTargets[TargetType],"")</f>
        <v>COLLECTION</v>
      </c>
      <c r="E1991" s="41" t="s">
        <v>5616</v>
      </c>
      <c r="F1991" s="62" t="str">
        <f>RIGHT(tblCost[[#This Row],[RequirementID]],1)</f>
        <v>1</v>
      </c>
      <c r="G1991" s="41">
        <v>12</v>
      </c>
      <c r="H1991" t="b">
        <f>COUNTIFS(tblCostChecklist[RequirementID],tblCost[[#This Row],[RequirementID]],tblCostChecklist[PlayerPaid],TRUE)&gt;0</f>
        <v>0</v>
      </c>
      <c r="I1991" s="41">
        <f>COUNTIF(tblCost[TargetID],tblCost[[#This Row],[TargetID]])</f>
        <v>5</v>
      </c>
      <c r="J1991" s="41">
        <f>COUNTIFS(tblCost[TargetID],tblCost[[#This Row],[TargetID]],tblCost[PlayerPaid],TRUE)</f>
        <v>0</v>
      </c>
      <c r="K1991" s="41">
        <f>tblCost[[#This Row],[TargetRequirements]]-tblCost[[#This Row],[CompletedRequirements]]</f>
        <v>5</v>
      </c>
      <c r="L1991" s="41" t="b">
        <f>tblCost[[#This Row],[RemainingRequirements]]=0</f>
        <v>0</v>
      </c>
      <c r="M1991" s="43">
        <f>IF(tblCost[[#This Row],[TargetRequirements]]=0,0,tblCost[[#This Row],[CompletedRequirements]]/tblCost[[#This Row],[TargetRequirements]])</f>
        <v>0</v>
      </c>
    </row>
    <row r="1992" spans="1:13">
      <c r="A1992" s="41" t="s">
        <v>5982</v>
      </c>
      <c r="B1992" s="41" t="str">
        <f>_xlfn.TEXTAFTER(_xlfn.TEXTBEFORE(tblCost[[#This Row],[RequirementID]],".",-2),"cost.")</f>
        <v>collection.alchemist_hall_3@1</v>
      </c>
      <c r="C1992" s="41" t="str">
        <f>_xlfn.XLOOKUP(tblCost[[#This Row],[TargetID]],tblTargets[TargetID],tblTargets[DisplayName],"")</f>
        <v>Alchemist Hall Lv 1</v>
      </c>
      <c r="D1992" s="41" t="str">
        <f>_xlfn.XLOOKUP(tblCost[[#This Row],[TargetID]],tblTargets[TargetID],tblTargets[TargetType],"")</f>
        <v>COLLECTION</v>
      </c>
      <c r="E1992" s="41" t="s">
        <v>935</v>
      </c>
      <c r="F1992" s="62" t="str">
        <f>RIGHT(tblCost[[#This Row],[RequirementID]],1)</f>
        <v>1</v>
      </c>
      <c r="G1992" s="41">
        <v>24</v>
      </c>
      <c r="H1992" t="b">
        <f>COUNTIFS(tblCostChecklist[RequirementID],tblCost[[#This Row],[RequirementID]],tblCostChecklist[PlayerPaid],TRUE)&gt;0</f>
        <v>0</v>
      </c>
      <c r="I1992" s="41">
        <f>COUNTIF(tblCost[TargetID],tblCost[[#This Row],[TargetID]])</f>
        <v>5</v>
      </c>
      <c r="J1992" s="41">
        <f>COUNTIFS(tblCost[TargetID],tblCost[[#This Row],[TargetID]],tblCost[PlayerPaid],TRUE)</f>
        <v>0</v>
      </c>
      <c r="K1992" s="41">
        <f>tblCost[[#This Row],[TargetRequirements]]-tblCost[[#This Row],[CompletedRequirements]]</f>
        <v>5</v>
      </c>
      <c r="L1992" s="41" t="b">
        <f>tblCost[[#This Row],[RemainingRequirements]]=0</f>
        <v>0</v>
      </c>
      <c r="M1992" s="43">
        <f>IF(tblCost[[#This Row],[TargetRequirements]]=0,0,tblCost[[#This Row],[CompletedRequirements]]/tblCost[[#This Row],[TargetRequirements]])</f>
        <v>0</v>
      </c>
    </row>
    <row r="1993" spans="1:13">
      <c r="A1993" s="41" t="s">
        <v>5983</v>
      </c>
      <c r="B1993" s="41" t="str">
        <f>_xlfn.TEXTAFTER(_xlfn.TEXTBEFORE(tblCost[[#This Row],[RequirementID]],".",-2),"cost.")</f>
        <v>collection.alchemist_hall_3@1</v>
      </c>
      <c r="C1993" s="41" t="str">
        <f>_xlfn.XLOOKUP(tblCost[[#This Row],[TargetID]],tblTargets[TargetID],tblTargets[DisplayName],"")</f>
        <v>Alchemist Hall Lv 1</v>
      </c>
      <c r="D1993" s="41" t="str">
        <f>_xlfn.XLOOKUP(tblCost[[#This Row],[TargetID]],tblTargets[TargetID],tblTargets[TargetType],"")</f>
        <v>COLLECTION</v>
      </c>
      <c r="E1993" s="41" t="s">
        <v>935</v>
      </c>
      <c r="F1993" s="62" t="str">
        <f>RIGHT(tblCost[[#This Row],[RequirementID]],1)</f>
        <v>2</v>
      </c>
      <c r="G1993" s="41">
        <v>24</v>
      </c>
      <c r="H1993" t="b">
        <f>COUNTIFS(tblCostChecklist[RequirementID],tblCost[[#This Row],[RequirementID]],tblCostChecklist[PlayerPaid],TRUE)&gt;0</f>
        <v>0</v>
      </c>
      <c r="I1993" s="41">
        <f>COUNTIF(tblCost[TargetID],tblCost[[#This Row],[TargetID]])</f>
        <v>5</v>
      </c>
      <c r="J1993" s="41">
        <f>COUNTIFS(tblCost[TargetID],tblCost[[#This Row],[TargetID]],tblCost[PlayerPaid],TRUE)</f>
        <v>0</v>
      </c>
      <c r="K1993" s="41">
        <f>tblCost[[#This Row],[TargetRequirements]]-tblCost[[#This Row],[CompletedRequirements]]</f>
        <v>5</v>
      </c>
      <c r="L1993" s="41" t="b">
        <f>tblCost[[#This Row],[RemainingRequirements]]=0</f>
        <v>0</v>
      </c>
      <c r="M1993" s="43">
        <f>IF(tblCost[[#This Row],[TargetRequirements]]=0,0,tblCost[[#This Row],[CompletedRequirements]]/tblCost[[#This Row],[TargetRequirements]])</f>
        <v>0</v>
      </c>
    </row>
    <row r="1994" spans="1:13">
      <c r="A1994" s="41" t="s">
        <v>5984</v>
      </c>
      <c r="B1994" s="41" t="str">
        <f>_xlfn.TEXTAFTER(_xlfn.TEXTBEFORE(tblCost[[#This Row],[RequirementID]],".",-2),"cost.")</f>
        <v>collection.alchemist_hall_3@1</v>
      </c>
      <c r="C1994" s="41" t="str">
        <f>_xlfn.XLOOKUP(tblCost[[#This Row],[TargetID]],tblTargets[TargetID],tblTargets[DisplayName],"")</f>
        <v>Alchemist Hall Lv 1</v>
      </c>
      <c r="D1994" s="41" t="str">
        <f>_xlfn.XLOOKUP(tblCost[[#This Row],[TargetID]],tblTargets[TargetID],tblTargets[TargetType],"")</f>
        <v>COLLECTION</v>
      </c>
      <c r="E1994" s="41" t="s">
        <v>677</v>
      </c>
      <c r="F1994" s="62" t="str">
        <f>RIGHT(tblCost[[#This Row],[RequirementID]],1)</f>
        <v>1</v>
      </c>
      <c r="G1994" s="41">
        <v>10</v>
      </c>
      <c r="H1994" t="b">
        <f>COUNTIFS(tblCostChecklist[RequirementID],tblCost[[#This Row],[RequirementID]],tblCostChecklist[PlayerPaid],TRUE)&gt;0</f>
        <v>0</v>
      </c>
      <c r="I1994" s="41">
        <f>COUNTIF(tblCost[TargetID],tblCost[[#This Row],[TargetID]])</f>
        <v>5</v>
      </c>
      <c r="J1994" s="41">
        <f>COUNTIFS(tblCost[TargetID],tblCost[[#This Row],[TargetID]],tblCost[PlayerPaid],TRUE)</f>
        <v>0</v>
      </c>
      <c r="K1994" s="41">
        <f>tblCost[[#This Row],[TargetRequirements]]-tblCost[[#This Row],[CompletedRequirements]]</f>
        <v>5</v>
      </c>
      <c r="L1994" s="41" t="b">
        <f>tblCost[[#This Row],[RemainingRequirements]]=0</f>
        <v>0</v>
      </c>
      <c r="M1994" s="43">
        <f>IF(tblCost[[#This Row],[TargetRequirements]]=0,0,tblCost[[#This Row],[CompletedRequirements]]/tblCost[[#This Row],[TargetRequirements]])</f>
        <v>0</v>
      </c>
    </row>
    <row r="1995" spans="1:13">
      <c r="A1995" s="41" t="s">
        <v>5985</v>
      </c>
      <c r="B1995" s="41" t="str">
        <f>_xlfn.TEXTAFTER(_xlfn.TEXTBEFORE(tblCost[[#This Row],[RequirementID]],".",-2),"cost.")</f>
        <v>collection.alchemist_hall_3@1</v>
      </c>
      <c r="C1995" s="41" t="str">
        <f>_xlfn.XLOOKUP(tblCost[[#This Row],[TargetID]],tblTargets[TargetID],tblTargets[DisplayName],"")</f>
        <v>Alchemist Hall Lv 1</v>
      </c>
      <c r="D1995" s="41" t="str">
        <f>_xlfn.XLOOKUP(tblCost[[#This Row],[TargetID]],tblTargets[TargetID],tblTargets[TargetType],"")</f>
        <v>COLLECTION</v>
      </c>
      <c r="E1995" s="41" t="s">
        <v>661</v>
      </c>
      <c r="F1995" s="62" t="str">
        <f>RIGHT(tblCost[[#This Row],[RequirementID]],1)</f>
        <v>1</v>
      </c>
      <c r="G1995" s="41">
        <v>10</v>
      </c>
      <c r="H1995" t="b">
        <f>COUNTIFS(tblCostChecklist[RequirementID],tblCost[[#This Row],[RequirementID]],tblCostChecklist[PlayerPaid],TRUE)&gt;0</f>
        <v>0</v>
      </c>
      <c r="I1995" s="41">
        <f>COUNTIF(tblCost[TargetID],tblCost[[#This Row],[TargetID]])</f>
        <v>5</v>
      </c>
      <c r="J1995" s="41">
        <f>COUNTIFS(tblCost[TargetID],tblCost[[#This Row],[TargetID]],tblCost[PlayerPaid],TRUE)</f>
        <v>0</v>
      </c>
      <c r="K1995" s="41">
        <f>tblCost[[#This Row],[TargetRequirements]]-tblCost[[#This Row],[CompletedRequirements]]</f>
        <v>5</v>
      </c>
      <c r="L1995" s="41" t="b">
        <f>tblCost[[#This Row],[RemainingRequirements]]=0</f>
        <v>0</v>
      </c>
      <c r="M1995" s="43">
        <f>IF(tblCost[[#This Row],[TargetRequirements]]=0,0,tblCost[[#This Row],[CompletedRequirements]]/tblCost[[#This Row],[TargetRequirements]])</f>
        <v>0</v>
      </c>
    </row>
    <row r="1996" spans="1:13">
      <c r="A1996" s="41" t="s">
        <v>5986</v>
      </c>
      <c r="B1996" s="41" t="str">
        <f>_xlfn.TEXTAFTER(_xlfn.TEXTBEFORE(tblCost[[#This Row],[RequirementID]],".",-2),"cost.")</f>
        <v>collection.alchemist_hall_3@2</v>
      </c>
      <c r="C1996" s="41" t="str">
        <f>_xlfn.XLOOKUP(tblCost[[#This Row],[TargetID]],tblTargets[TargetID],tblTargets[DisplayName],"")</f>
        <v>Alchemist Hall Lv 2</v>
      </c>
      <c r="D1996" s="41" t="str">
        <f>_xlfn.XLOOKUP(tblCost[[#This Row],[TargetID]],tblTargets[TargetID],tblTargets[TargetType],"")</f>
        <v>COLLECTION</v>
      </c>
      <c r="E1996" s="41" t="s">
        <v>5616</v>
      </c>
      <c r="F1996" s="62" t="str">
        <f>RIGHT(tblCost[[#This Row],[RequirementID]],1)</f>
        <v>1</v>
      </c>
      <c r="G1996" s="41">
        <v>24</v>
      </c>
      <c r="H1996" t="b">
        <f>COUNTIFS(tblCostChecklist[RequirementID],tblCost[[#This Row],[RequirementID]],tblCostChecklist[PlayerPaid],TRUE)&gt;0</f>
        <v>0</v>
      </c>
      <c r="I1996" s="41">
        <f>COUNTIF(tblCost[TargetID],tblCost[[#This Row],[TargetID]])</f>
        <v>5</v>
      </c>
      <c r="J1996" s="41">
        <f>COUNTIFS(tblCost[TargetID],tblCost[[#This Row],[TargetID]],tblCost[PlayerPaid],TRUE)</f>
        <v>0</v>
      </c>
      <c r="K1996" s="41">
        <f>tblCost[[#This Row],[TargetRequirements]]-tblCost[[#This Row],[CompletedRequirements]]</f>
        <v>5</v>
      </c>
      <c r="L1996" s="41" t="b">
        <f>tblCost[[#This Row],[RemainingRequirements]]=0</f>
        <v>0</v>
      </c>
      <c r="M1996" s="43">
        <f>IF(tblCost[[#This Row],[TargetRequirements]]=0,0,tblCost[[#This Row],[CompletedRequirements]]/tblCost[[#This Row],[TargetRequirements]])</f>
        <v>0</v>
      </c>
    </row>
    <row r="1997" spans="1:13">
      <c r="A1997" s="41" t="s">
        <v>5987</v>
      </c>
      <c r="B1997" s="41" t="str">
        <f>_xlfn.TEXTAFTER(_xlfn.TEXTBEFORE(tblCost[[#This Row],[RequirementID]],".",-2),"cost.")</f>
        <v>collection.alchemist_hall_3@2</v>
      </c>
      <c r="C1997" s="41" t="str">
        <f>_xlfn.XLOOKUP(tblCost[[#This Row],[TargetID]],tblTargets[TargetID],tblTargets[DisplayName],"")</f>
        <v>Alchemist Hall Lv 2</v>
      </c>
      <c r="D1997" s="41" t="str">
        <f>_xlfn.XLOOKUP(tblCost[[#This Row],[TargetID]],tblTargets[TargetID],tblTargets[TargetType],"")</f>
        <v>COLLECTION</v>
      </c>
      <c r="E1997" s="41" t="s">
        <v>935</v>
      </c>
      <c r="F1997" s="62" t="str">
        <f>RIGHT(tblCost[[#This Row],[RequirementID]],1)</f>
        <v>1</v>
      </c>
      <c r="G1997" s="41">
        <v>48</v>
      </c>
      <c r="H1997" t="b">
        <f>COUNTIFS(tblCostChecklist[RequirementID],tblCost[[#This Row],[RequirementID]],tblCostChecklist[PlayerPaid],TRUE)&gt;0</f>
        <v>0</v>
      </c>
      <c r="I1997" s="41">
        <f>COUNTIF(tblCost[TargetID],tblCost[[#This Row],[TargetID]])</f>
        <v>5</v>
      </c>
      <c r="J1997" s="41">
        <f>COUNTIFS(tblCost[TargetID],tblCost[[#This Row],[TargetID]],tblCost[PlayerPaid],TRUE)</f>
        <v>0</v>
      </c>
      <c r="K1997" s="41">
        <f>tblCost[[#This Row],[TargetRequirements]]-tblCost[[#This Row],[CompletedRequirements]]</f>
        <v>5</v>
      </c>
      <c r="L1997" s="41" t="b">
        <f>tblCost[[#This Row],[RemainingRequirements]]=0</f>
        <v>0</v>
      </c>
      <c r="M1997" s="43">
        <f>IF(tblCost[[#This Row],[TargetRequirements]]=0,0,tblCost[[#This Row],[CompletedRequirements]]/tblCost[[#This Row],[TargetRequirements]])</f>
        <v>0</v>
      </c>
    </row>
    <row r="1998" spans="1:13">
      <c r="A1998" s="41" t="s">
        <v>5988</v>
      </c>
      <c r="B1998" s="41" t="str">
        <f>_xlfn.TEXTAFTER(_xlfn.TEXTBEFORE(tblCost[[#This Row],[RequirementID]],".",-2),"cost.")</f>
        <v>collection.alchemist_hall_3@2</v>
      </c>
      <c r="C1998" s="41" t="str">
        <f>_xlfn.XLOOKUP(tblCost[[#This Row],[TargetID]],tblTargets[TargetID],tblTargets[DisplayName],"")</f>
        <v>Alchemist Hall Lv 2</v>
      </c>
      <c r="D1998" s="41" t="str">
        <f>_xlfn.XLOOKUP(tblCost[[#This Row],[TargetID]],tblTargets[TargetID],tblTargets[TargetType],"")</f>
        <v>COLLECTION</v>
      </c>
      <c r="E1998" s="41" t="s">
        <v>935</v>
      </c>
      <c r="F1998" s="62" t="str">
        <f>RIGHT(tblCost[[#This Row],[RequirementID]],1)</f>
        <v>2</v>
      </c>
      <c r="G1998" s="41">
        <v>48</v>
      </c>
      <c r="H1998" t="b">
        <f>COUNTIFS(tblCostChecklist[RequirementID],tblCost[[#This Row],[RequirementID]],tblCostChecklist[PlayerPaid],TRUE)&gt;0</f>
        <v>0</v>
      </c>
      <c r="I1998" s="41">
        <f>COUNTIF(tblCost[TargetID],tblCost[[#This Row],[TargetID]])</f>
        <v>5</v>
      </c>
      <c r="J1998" s="41">
        <f>COUNTIFS(tblCost[TargetID],tblCost[[#This Row],[TargetID]],tblCost[PlayerPaid],TRUE)</f>
        <v>0</v>
      </c>
      <c r="K1998" s="41">
        <f>tblCost[[#This Row],[TargetRequirements]]-tblCost[[#This Row],[CompletedRequirements]]</f>
        <v>5</v>
      </c>
      <c r="L1998" s="41" t="b">
        <f>tblCost[[#This Row],[RemainingRequirements]]=0</f>
        <v>0</v>
      </c>
      <c r="M1998" s="43">
        <f>IF(tblCost[[#This Row],[TargetRequirements]]=0,0,tblCost[[#This Row],[CompletedRequirements]]/tblCost[[#This Row],[TargetRequirements]])</f>
        <v>0</v>
      </c>
    </row>
    <row r="1999" spans="1:13">
      <c r="A1999" s="41" t="s">
        <v>5989</v>
      </c>
      <c r="B1999" s="41" t="str">
        <f>_xlfn.TEXTAFTER(_xlfn.TEXTBEFORE(tblCost[[#This Row],[RequirementID]],".",-2),"cost.")</f>
        <v>collection.alchemist_hall_3@2</v>
      </c>
      <c r="C1999" s="41" t="str">
        <f>_xlfn.XLOOKUP(tblCost[[#This Row],[TargetID]],tblTargets[TargetID],tblTargets[DisplayName],"")</f>
        <v>Alchemist Hall Lv 2</v>
      </c>
      <c r="D1999" s="41" t="str">
        <f>_xlfn.XLOOKUP(tblCost[[#This Row],[TargetID]],tblTargets[TargetID],tblTargets[TargetType],"")</f>
        <v>COLLECTION</v>
      </c>
      <c r="E1999" s="41" t="s">
        <v>677</v>
      </c>
      <c r="F1999" s="62" t="str">
        <f>RIGHT(tblCost[[#This Row],[RequirementID]],1)</f>
        <v>1</v>
      </c>
      <c r="G1999" s="41">
        <v>20</v>
      </c>
      <c r="H1999" t="b">
        <f>COUNTIFS(tblCostChecklist[RequirementID],tblCost[[#This Row],[RequirementID]],tblCostChecklist[PlayerPaid],TRUE)&gt;0</f>
        <v>0</v>
      </c>
      <c r="I1999" s="41">
        <f>COUNTIF(tblCost[TargetID],tblCost[[#This Row],[TargetID]])</f>
        <v>5</v>
      </c>
      <c r="J1999" s="41">
        <f>COUNTIFS(tblCost[TargetID],tblCost[[#This Row],[TargetID]],tblCost[PlayerPaid],TRUE)</f>
        <v>0</v>
      </c>
      <c r="K1999" s="41">
        <f>tblCost[[#This Row],[TargetRequirements]]-tblCost[[#This Row],[CompletedRequirements]]</f>
        <v>5</v>
      </c>
      <c r="L1999" s="41" t="b">
        <f>tblCost[[#This Row],[RemainingRequirements]]=0</f>
        <v>0</v>
      </c>
      <c r="M1999" s="43">
        <f>IF(tblCost[[#This Row],[TargetRequirements]]=0,0,tblCost[[#This Row],[CompletedRequirements]]/tblCost[[#This Row],[TargetRequirements]])</f>
        <v>0</v>
      </c>
    </row>
    <row r="2000" spans="1:13">
      <c r="A2000" s="41" t="s">
        <v>5990</v>
      </c>
      <c r="B2000" s="41" t="str">
        <f>_xlfn.TEXTAFTER(_xlfn.TEXTBEFORE(tblCost[[#This Row],[RequirementID]],".",-2),"cost.")</f>
        <v>collection.alchemist_hall_3@2</v>
      </c>
      <c r="C2000" s="41" t="str">
        <f>_xlfn.XLOOKUP(tblCost[[#This Row],[TargetID]],tblTargets[TargetID],tblTargets[DisplayName],"")</f>
        <v>Alchemist Hall Lv 2</v>
      </c>
      <c r="D2000" s="41" t="str">
        <f>_xlfn.XLOOKUP(tblCost[[#This Row],[TargetID]],tblTargets[TargetID],tblTargets[TargetType],"")</f>
        <v>COLLECTION</v>
      </c>
      <c r="E2000" s="41" t="s">
        <v>661</v>
      </c>
      <c r="F2000" s="62" t="str">
        <f>RIGHT(tblCost[[#This Row],[RequirementID]],1)</f>
        <v>1</v>
      </c>
      <c r="G2000" s="41">
        <v>20</v>
      </c>
      <c r="H2000" t="b">
        <f>COUNTIFS(tblCostChecklist[RequirementID],tblCost[[#This Row],[RequirementID]],tblCostChecklist[PlayerPaid],TRUE)&gt;0</f>
        <v>0</v>
      </c>
      <c r="I2000" s="41">
        <f>COUNTIF(tblCost[TargetID],tblCost[[#This Row],[TargetID]])</f>
        <v>5</v>
      </c>
      <c r="J2000" s="41">
        <f>COUNTIFS(tblCost[TargetID],tblCost[[#This Row],[TargetID]],tblCost[PlayerPaid],TRUE)</f>
        <v>0</v>
      </c>
      <c r="K2000" s="41">
        <f>tblCost[[#This Row],[TargetRequirements]]-tblCost[[#This Row],[CompletedRequirements]]</f>
        <v>5</v>
      </c>
      <c r="L2000" s="41" t="b">
        <f>tblCost[[#This Row],[RemainingRequirements]]=0</f>
        <v>0</v>
      </c>
      <c r="M2000" s="43">
        <f>IF(tblCost[[#This Row],[TargetRequirements]]=0,0,tblCost[[#This Row],[CompletedRequirements]]/tblCost[[#This Row],[TargetRequirements]])</f>
        <v>0</v>
      </c>
    </row>
    <row r="2001" spans="1:13">
      <c r="A2001" s="41" t="s">
        <v>6053</v>
      </c>
      <c r="B2001" s="41" t="str">
        <f>_xlfn.TEXTAFTER(_xlfn.TEXTBEFORE(tblCost[[#This Row],[RequirementID]],".",-2),"cost.")</f>
        <v>collection.broken_minecart@1</v>
      </c>
      <c r="C2001" s="41" t="str">
        <f>_xlfn.XLOOKUP(tblCost[[#This Row],[TargetID]],tblTargets[TargetID],tblTargets[DisplayName],"")</f>
        <v>Broken Minecart</v>
      </c>
      <c r="D2001" s="41" t="str">
        <f>_xlfn.XLOOKUP(tblCost[[#This Row],[TargetID]],tblTargets[TargetID],tblTargets[TargetType],"")</f>
        <v>COLLECTION</v>
      </c>
      <c r="E2001" s="41" t="s">
        <v>693</v>
      </c>
      <c r="F2001" s="62" t="str">
        <f>RIGHT(tblCost[[#This Row],[RequirementID]],1)</f>
        <v>1</v>
      </c>
      <c r="G2001" s="41">
        <v>20</v>
      </c>
      <c r="H2001" t="b">
        <f>COUNTIFS(tblCostChecklist[RequirementID],tblCost[[#This Row],[RequirementID]],tblCostChecklist[PlayerPaid],TRUE)&gt;0</f>
        <v>0</v>
      </c>
      <c r="I2001" s="41">
        <f>COUNTIF(tblCost[TargetID],tblCost[[#This Row],[TargetID]])</f>
        <v>1</v>
      </c>
      <c r="J2001" s="41">
        <f>COUNTIFS(tblCost[TargetID],tblCost[[#This Row],[TargetID]],tblCost[PlayerPaid],TRUE)</f>
        <v>0</v>
      </c>
      <c r="K2001" s="41">
        <f>tblCost[[#This Row],[TargetRequirements]]-tblCost[[#This Row],[CompletedRequirements]]</f>
        <v>1</v>
      </c>
      <c r="L2001" s="41" t="b">
        <f>tblCost[[#This Row],[RemainingRequirements]]=0</f>
        <v>0</v>
      </c>
      <c r="M2001" s="43">
        <f>IF(tblCost[[#This Row],[TargetRequirements]]=0,0,tblCost[[#This Row],[CompletedRequirements]]/tblCost[[#This Row],[TargetRequirements]])</f>
        <v>0</v>
      </c>
    </row>
    <row r="2002" spans="1:13">
      <c r="A2002" s="41" t="s">
        <v>5999</v>
      </c>
      <c r="B2002" s="41" t="str">
        <f>_xlfn.TEXTAFTER(_xlfn.TEXTBEFORE(tblCost[[#This Row],[RequirementID]],".",-2),"cost.")</f>
        <v>collection.crystal_cave@1</v>
      </c>
      <c r="C2002" s="41" t="str">
        <f>_xlfn.XLOOKUP(tblCost[[#This Row],[TargetID]],tblTargets[TargetID],tblTargets[DisplayName],"")</f>
        <v>Crystal Cave</v>
      </c>
      <c r="D2002" s="41" t="str">
        <f>_xlfn.XLOOKUP(tblCost[[#This Row],[TargetID]],tblTargets[TargetID],tblTargets[TargetType],"")</f>
        <v>COLLECTION</v>
      </c>
      <c r="E2002" s="41" t="s">
        <v>703</v>
      </c>
      <c r="F2002" s="62" t="str">
        <f>RIGHT(tblCost[[#This Row],[RequirementID]],1)</f>
        <v>1</v>
      </c>
      <c r="G2002" s="41">
        <v>20</v>
      </c>
      <c r="H2002" t="b">
        <f>COUNTIFS(tblCostChecklist[RequirementID],tblCost[[#This Row],[RequirementID]],tblCostChecklist[PlayerPaid],TRUE)&gt;0</f>
        <v>0</v>
      </c>
      <c r="I2002" s="41">
        <f>COUNTIF(tblCost[TargetID],tblCost[[#This Row],[TargetID]])</f>
        <v>5</v>
      </c>
      <c r="J2002" s="41">
        <f>COUNTIFS(tblCost[TargetID],tblCost[[#This Row],[TargetID]],tblCost[PlayerPaid],TRUE)</f>
        <v>0</v>
      </c>
      <c r="K2002" s="41">
        <f>tblCost[[#This Row],[TargetRequirements]]-tblCost[[#This Row],[CompletedRequirements]]</f>
        <v>5</v>
      </c>
      <c r="L2002" s="41" t="b">
        <f>tblCost[[#This Row],[RemainingRequirements]]=0</f>
        <v>0</v>
      </c>
      <c r="M2002" s="43">
        <f>IF(tblCost[[#This Row],[TargetRequirements]]=0,0,tblCost[[#This Row],[CompletedRequirements]]/tblCost[[#This Row],[TargetRequirements]])</f>
        <v>0</v>
      </c>
    </row>
    <row r="2003" spans="1:13">
      <c r="A2003" s="41" t="s">
        <v>6000</v>
      </c>
      <c r="B2003" s="41" t="str">
        <f>_xlfn.TEXTAFTER(_xlfn.TEXTBEFORE(tblCost[[#This Row],[RequirementID]],".",-2),"cost.")</f>
        <v>collection.crystal_cave@1</v>
      </c>
      <c r="C2003" s="41" t="str">
        <f>_xlfn.XLOOKUP(tblCost[[#This Row],[TargetID]],tblTargets[TargetID],tblTargets[DisplayName],"")</f>
        <v>Crystal Cave</v>
      </c>
      <c r="D2003" s="41" t="str">
        <f>_xlfn.XLOOKUP(tblCost[[#This Row],[TargetID]],tblTargets[TargetID],tblTargets[TargetType],"")</f>
        <v>COLLECTION</v>
      </c>
      <c r="E2003" s="41" t="s">
        <v>661</v>
      </c>
      <c r="F2003" s="62" t="str">
        <f>RIGHT(tblCost[[#This Row],[RequirementID]],1)</f>
        <v>1</v>
      </c>
      <c r="G2003" s="41">
        <v>20</v>
      </c>
      <c r="H2003" t="b">
        <f>COUNTIFS(tblCostChecklist[RequirementID],tblCost[[#This Row],[RequirementID]],tblCostChecklist[PlayerPaid],TRUE)&gt;0</f>
        <v>0</v>
      </c>
      <c r="I2003" s="41">
        <f>COUNTIF(tblCost[TargetID],tblCost[[#This Row],[TargetID]])</f>
        <v>5</v>
      </c>
      <c r="J2003" s="41">
        <f>COUNTIFS(tblCost[TargetID],tblCost[[#This Row],[TargetID]],tblCost[PlayerPaid],TRUE)</f>
        <v>0</v>
      </c>
      <c r="K2003" s="41">
        <f>tblCost[[#This Row],[TargetRequirements]]-tblCost[[#This Row],[CompletedRequirements]]</f>
        <v>5</v>
      </c>
      <c r="L2003" s="41" t="b">
        <f>tblCost[[#This Row],[RemainingRequirements]]=0</f>
        <v>0</v>
      </c>
      <c r="M2003" s="43">
        <f>IF(tblCost[[#This Row],[TargetRequirements]]=0,0,tblCost[[#This Row],[CompletedRequirements]]/tblCost[[#This Row],[TargetRequirements]])</f>
        <v>0</v>
      </c>
    </row>
    <row r="2004" spans="1:13">
      <c r="A2004" s="41" t="s">
        <v>6001</v>
      </c>
      <c r="B2004" s="41" t="str">
        <f>_xlfn.TEXTAFTER(_xlfn.TEXTBEFORE(tblCost[[#This Row],[RequirementID]],".",-2),"cost.")</f>
        <v>collection.crystal_cave@1</v>
      </c>
      <c r="C2004" s="41" t="str">
        <f>_xlfn.XLOOKUP(tblCost[[#This Row],[TargetID]],tblTargets[TargetID],tblTargets[DisplayName],"")</f>
        <v>Crystal Cave</v>
      </c>
      <c r="D2004" s="41" t="str">
        <f>_xlfn.XLOOKUP(tblCost[[#This Row],[TargetID]],tblTargets[TargetID],tblTargets[TargetType],"")</f>
        <v>COLLECTION</v>
      </c>
      <c r="E2004" s="41" t="s">
        <v>676</v>
      </c>
      <c r="F2004" s="62" t="str">
        <f>RIGHT(tblCost[[#This Row],[RequirementID]],1)</f>
        <v>1</v>
      </c>
      <c r="G2004" s="41">
        <v>20</v>
      </c>
      <c r="H2004" t="b">
        <f>COUNTIFS(tblCostChecklist[RequirementID],tblCost[[#This Row],[RequirementID]],tblCostChecklist[PlayerPaid],TRUE)&gt;0</f>
        <v>0</v>
      </c>
      <c r="I2004" s="41">
        <f>COUNTIF(tblCost[TargetID],tblCost[[#This Row],[TargetID]])</f>
        <v>5</v>
      </c>
      <c r="J2004" s="41">
        <f>COUNTIFS(tblCost[TargetID],tblCost[[#This Row],[TargetID]],tblCost[PlayerPaid],TRUE)</f>
        <v>0</v>
      </c>
      <c r="K2004" s="41">
        <f>tblCost[[#This Row],[TargetRequirements]]-tblCost[[#This Row],[CompletedRequirements]]</f>
        <v>5</v>
      </c>
      <c r="L2004" s="41" t="b">
        <f>tblCost[[#This Row],[RemainingRequirements]]=0</f>
        <v>0</v>
      </c>
      <c r="M2004" s="43">
        <f>IF(tblCost[[#This Row],[TargetRequirements]]=0,0,tblCost[[#This Row],[CompletedRequirements]]/tblCost[[#This Row],[TargetRequirements]])</f>
        <v>0</v>
      </c>
    </row>
    <row r="2005" spans="1:13">
      <c r="A2005" s="41" t="s">
        <v>6002</v>
      </c>
      <c r="B2005" s="41" t="str">
        <f>_xlfn.TEXTAFTER(_xlfn.TEXTBEFORE(tblCost[[#This Row],[RequirementID]],".",-2),"cost.")</f>
        <v>collection.crystal_cave@1</v>
      </c>
      <c r="C2005" s="41" t="str">
        <f>_xlfn.XLOOKUP(tblCost[[#This Row],[TargetID]],tblTargets[TargetID],tblTargets[DisplayName],"")</f>
        <v>Crystal Cave</v>
      </c>
      <c r="D2005" s="41" t="str">
        <f>_xlfn.XLOOKUP(tblCost[[#This Row],[TargetID]],tblTargets[TargetID],tblTargets[TargetType],"")</f>
        <v>COLLECTION</v>
      </c>
      <c r="E2005" s="41" t="s">
        <v>706</v>
      </c>
      <c r="F2005" s="62" t="str">
        <f>RIGHT(tblCost[[#This Row],[RequirementID]],1)</f>
        <v>1</v>
      </c>
      <c r="G2005" s="41">
        <v>20</v>
      </c>
      <c r="H2005" t="b">
        <f>COUNTIFS(tblCostChecklist[RequirementID],tblCost[[#This Row],[RequirementID]],tblCostChecklist[PlayerPaid],TRUE)&gt;0</f>
        <v>0</v>
      </c>
      <c r="I2005" s="41">
        <f>COUNTIF(tblCost[TargetID],tblCost[[#This Row],[TargetID]])</f>
        <v>5</v>
      </c>
      <c r="J2005" s="41">
        <f>COUNTIFS(tblCost[TargetID],tblCost[[#This Row],[TargetID]],tblCost[PlayerPaid],TRUE)</f>
        <v>0</v>
      </c>
      <c r="K2005" s="41">
        <f>tblCost[[#This Row],[TargetRequirements]]-tblCost[[#This Row],[CompletedRequirements]]</f>
        <v>5</v>
      </c>
      <c r="L2005" s="41" t="b">
        <f>tblCost[[#This Row],[RemainingRequirements]]=0</f>
        <v>0</v>
      </c>
      <c r="M2005" s="43">
        <f>IF(tblCost[[#This Row],[TargetRequirements]]=0,0,tblCost[[#This Row],[CompletedRequirements]]/tblCost[[#This Row],[TargetRequirements]])</f>
        <v>0</v>
      </c>
    </row>
    <row r="2006" spans="1:13">
      <c r="A2006" s="41" t="s">
        <v>6003</v>
      </c>
      <c r="B2006" s="41" t="str">
        <f>_xlfn.TEXTAFTER(_xlfn.TEXTBEFORE(tblCost[[#This Row],[RequirementID]],".",-2),"cost.")</f>
        <v>collection.crystal_cave@1</v>
      </c>
      <c r="C2006" s="41" t="str">
        <f>_xlfn.XLOOKUP(tblCost[[#This Row],[TargetID]],tblTargets[TargetID],tblTargets[DisplayName],"")</f>
        <v>Crystal Cave</v>
      </c>
      <c r="D2006" s="41" t="str">
        <f>_xlfn.XLOOKUP(tblCost[[#This Row],[TargetID]],tblTargets[TargetID],tblTargets[TargetType],"")</f>
        <v>COLLECTION</v>
      </c>
      <c r="E2006" s="41" t="s">
        <v>958</v>
      </c>
      <c r="F2006" s="62" t="str">
        <f>RIGHT(tblCost[[#This Row],[RequirementID]],1)</f>
        <v>1</v>
      </c>
      <c r="G2006" s="41">
        <v>20</v>
      </c>
      <c r="H2006" t="b">
        <f>COUNTIFS(tblCostChecklist[RequirementID],tblCost[[#This Row],[RequirementID]],tblCostChecklist[PlayerPaid],TRUE)&gt;0</f>
        <v>0</v>
      </c>
      <c r="I2006" s="41">
        <f>COUNTIF(tblCost[TargetID],tblCost[[#This Row],[TargetID]])</f>
        <v>5</v>
      </c>
      <c r="J2006" s="41">
        <f>COUNTIFS(tblCost[TargetID],tblCost[[#This Row],[TargetID]],tblCost[PlayerPaid],TRUE)</f>
        <v>0</v>
      </c>
      <c r="K2006" s="41">
        <f>tblCost[[#This Row],[TargetRequirements]]-tblCost[[#This Row],[CompletedRequirements]]</f>
        <v>5</v>
      </c>
      <c r="L2006" s="41" t="b">
        <f>tblCost[[#This Row],[RemainingRequirements]]=0</f>
        <v>0</v>
      </c>
      <c r="M2006" s="43">
        <f>IF(tblCost[[#This Row],[TargetRequirements]]=0,0,tblCost[[#This Row],[CompletedRequirements]]/tblCost[[#This Row],[TargetRequirements]])</f>
        <v>0</v>
      </c>
    </row>
    <row r="2007" spans="1:13">
      <c r="A2007" s="41" t="s">
        <v>6004</v>
      </c>
      <c r="B2007" s="41" t="str">
        <f>_xlfn.TEXTAFTER(_xlfn.TEXTBEFORE(tblCost[[#This Row],[RequirementID]],".",-2),"cost.")</f>
        <v>collection.staircase@1</v>
      </c>
      <c r="C2007" s="41" t="str">
        <f>_xlfn.XLOOKUP(tblCost[[#This Row],[TargetID]],tblTargets[TargetID],tblTargets[DisplayName],"")</f>
        <v>Collection Staircase</v>
      </c>
      <c r="D2007" s="41" t="str">
        <f>_xlfn.XLOOKUP(tblCost[[#This Row],[TargetID]],tblTargets[TargetID],tblTargets[TargetType],"")</f>
        <v>COLLECTION</v>
      </c>
      <c r="E2007" s="41" t="s">
        <v>658</v>
      </c>
      <c r="F2007" s="62" t="str">
        <f>RIGHT(tblCost[[#This Row],[RequirementID]],1)</f>
        <v>1</v>
      </c>
      <c r="G2007" s="41">
        <v>50</v>
      </c>
      <c r="H2007" t="b">
        <f>COUNTIFS(tblCostChecklist[RequirementID],tblCost[[#This Row],[RequirementID]],tblCostChecklist[PlayerPaid],TRUE)&gt;0</f>
        <v>0</v>
      </c>
      <c r="I2007" s="41">
        <f>COUNTIF(tblCost[TargetID],tblCost[[#This Row],[TargetID]])</f>
        <v>4</v>
      </c>
      <c r="J2007" s="41">
        <f>COUNTIFS(tblCost[TargetID],tblCost[[#This Row],[TargetID]],tblCost[PlayerPaid],TRUE)</f>
        <v>0</v>
      </c>
      <c r="K2007" s="41">
        <f>tblCost[[#This Row],[TargetRequirements]]-tblCost[[#This Row],[CompletedRequirements]]</f>
        <v>4</v>
      </c>
      <c r="L2007" s="41" t="b">
        <f>tblCost[[#This Row],[RemainingRequirements]]=0</f>
        <v>0</v>
      </c>
      <c r="M2007" s="43">
        <f>IF(tblCost[[#This Row],[TargetRequirements]]=0,0,tblCost[[#This Row],[CompletedRequirements]]/tblCost[[#This Row],[TargetRequirements]])</f>
        <v>0</v>
      </c>
    </row>
    <row r="2008" spans="1:13">
      <c r="A2008" s="41" t="s">
        <v>6005</v>
      </c>
      <c r="B2008" s="41" t="str">
        <f>_xlfn.TEXTAFTER(_xlfn.TEXTBEFORE(tblCost[[#This Row],[RequirementID]],".",-2),"cost.")</f>
        <v>collection.staircase@1</v>
      </c>
      <c r="C2008" s="41" t="str">
        <f>_xlfn.XLOOKUP(tblCost[[#This Row],[TargetID]],tblTargets[TargetID],tblTargets[DisplayName],"")</f>
        <v>Collection Staircase</v>
      </c>
      <c r="D2008" s="41" t="str">
        <f>_xlfn.XLOOKUP(tblCost[[#This Row],[TargetID]],tblTargets[TargetID],tblTargets[TargetType],"")</f>
        <v>COLLECTION</v>
      </c>
      <c r="E2008" s="41" t="s">
        <v>717</v>
      </c>
      <c r="F2008" s="62" t="str">
        <f>RIGHT(tblCost[[#This Row],[RequirementID]],1)</f>
        <v>1</v>
      </c>
      <c r="G2008" s="41">
        <v>150</v>
      </c>
      <c r="H2008" t="b">
        <f>COUNTIFS(tblCostChecklist[RequirementID],tblCost[[#This Row],[RequirementID]],tblCostChecklist[PlayerPaid],TRUE)&gt;0</f>
        <v>0</v>
      </c>
      <c r="I2008" s="41">
        <f>COUNTIF(tblCost[TargetID],tblCost[[#This Row],[TargetID]])</f>
        <v>4</v>
      </c>
      <c r="J2008" s="41">
        <f>COUNTIFS(tblCost[TargetID],tblCost[[#This Row],[TargetID]],tblCost[PlayerPaid],TRUE)</f>
        <v>0</v>
      </c>
      <c r="K2008" s="41">
        <f>tblCost[[#This Row],[TargetRequirements]]-tblCost[[#This Row],[CompletedRequirements]]</f>
        <v>4</v>
      </c>
      <c r="L2008" s="41" t="b">
        <f>tblCost[[#This Row],[RemainingRequirements]]=0</f>
        <v>0</v>
      </c>
      <c r="M2008" s="43">
        <f>IF(tblCost[[#This Row],[TargetRequirements]]=0,0,tblCost[[#This Row],[CompletedRequirements]]/tblCost[[#This Row],[TargetRequirements]])</f>
        <v>0</v>
      </c>
    </row>
    <row r="2009" spans="1:13">
      <c r="A2009" s="41" t="s">
        <v>6006</v>
      </c>
      <c r="B2009" s="41" t="str">
        <f>_xlfn.TEXTAFTER(_xlfn.TEXTBEFORE(tblCost[[#This Row],[RequirementID]],".",-2),"cost.")</f>
        <v>collection.staircase@1</v>
      </c>
      <c r="C2009" s="41" t="str">
        <f>_xlfn.XLOOKUP(tblCost[[#This Row],[TargetID]],tblTargets[TargetID],tblTargets[DisplayName],"")</f>
        <v>Collection Staircase</v>
      </c>
      <c r="D2009" s="41" t="str">
        <f>_xlfn.XLOOKUP(tblCost[[#This Row],[TargetID]],tblTargets[TargetID],tblTargets[TargetType],"")</f>
        <v>COLLECTION</v>
      </c>
      <c r="E2009" s="41" t="s">
        <v>5616</v>
      </c>
      <c r="F2009" s="62" t="str">
        <f>RIGHT(tblCost[[#This Row],[RequirementID]],1)</f>
        <v>1</v>
      </c>
      <c r="G2009" s="41">
        <v>10</v>
      </c>
      <c r="H2009" t="b">
        <f>COUNTIFS(tblCostChecklist[RequirementID],tblCost[[#This Row],[RequirementID]],tblCostChecklist[PlayerPaid],TRUE)&gt;0</f>
        <v>0</v>
      </c>
      <c r="I2009" s="41">
        <f>COUNTIF(tblCost[TargetID],tblCost[[#This Row],[TargetID]])</f>
        <v>4</v>
      </c>
      <c r="J2009" s="41">
        <f>COUNTIFS(tblCost[TargetID],tblCost[[#This Row],[TargetID]],tblCost[PlayerPaid],TRUE)</f>
        <v>0</v>
      </c>
      <c r="K2009" s="41">
        <f>tblCost[[#This Row],[TargetRequirements]]-tblCost[[#This Row],[CompletedRequirements]]</f>
        <v>4</v>
      </c>
      <c r="L2009" s="41" t="b">
        <f>tblCost[[#This Row],[RemainingRequirements]]=0</f>
        <v>0</v>
      </c>
      <c r="M2009" s="43">
        <f>IF(tblCost[[#This Row],[TargetRequirements]]=0,0,tblCost[[#This Row],[CompletedRequirements]]/tblCost[[#This Row],[TargetRequirements]])</f>
        <v>0</v>
      </c>
    </row>
    <row r="2010" spans="1:13">
      <c r="A2010" s="41" t="s">
        <v>6007</v>
      </c>
      <c r="B2010" s="41" t="str">
        <f>_xlfn.TEXTAFTER(_xlfn.TEXTBEFORE(tblCost[[#This Row],[RequirementID]],".",-2),"cost.")</f>
        <v>collection.staircase@1</v>
      </c>
      <c r="C2010" s="41" t="str">
        <f>_xlfn.XLOOKUP(tblCost[[#This Row],[TargetID]],tblTargets[TargetID],tblTargets[DisplayName],"")</f>
        <v>Collection Staircase</v>
      </c>
      <c r="D2010" s="41" t="str">
        <f>_xlfn.XLOOKUP(tblCost[[#This Row],[TargetID]],tblTargets[TargetID],tblTargets[TargetType],"")</f>
        <v>COLLECTION</v>
      </c>
      <c r="E2010" s="41" t="s">
        <v>662</v>
      </c>
      <c r="F2010" s="62" t="str">
        <f>RIGHT(tblCost[[#This Row],[RequirementID]],1)</f>
        <v>1</v>
      </c>
      <c r="G2010" s="41">
        <v>5</v>
      </c>
      <c r="H2010" t="b">
        <f>COUNTIFS(tblCostChecklist[RequirementID],tblCost[[#This Row],[RequirementID]],tblCostChecklist[PlayerPaid],TRUE)&gt;0</f>
        <v>0</v>
      </c>
      <c r="I2010" s="41">
        <f>COUNTIF(tblCost[TargetID],tblCost[[#This Row],[TargetID]])</f>
        <v>4</v>
      </c>
      <c r="J2010" s="41">
        <f>COUNTIFS(tblCost[TargetID],tblCost[[#This Row],[TargetID]],tblCost[PlayerPaid],TRUE)</f>
        <v>0</v>
      </c>
      <c r="K2010" s="41">
        <f>tblCost[[#This Row],[TargetRequirements]]-tblCost[[#This Row],[CompletedRequirements]]</f>
        <v>4</v>
      </c>
      <c r="L2010" s="41" t="b">
        <f>tblCost[[#This Row],[RemainingRequirements]]=0</f>
        <v>0</v>
      </c>
      <c r="M2010" s="43">
        <f>IF(tblCost[[#This Row],[TargetRequirements]]=0,0,tblCost[[#This Row],[CompletedRequirements]]/tblCost[[#This Row],[TargetRequirements]])</f>
        <v>0</v>
      </c>
    </row>
    <row r="2011" spans="1:13">
      <c r="A2011" s="41" t="s">
        <v>4685</v>
      </c>
      <c r="B2011" s="41" t="str">
        <f>_xlfn.TEXTAFTER(_xlfn.TEXTBEFORE(tblCost[[#This Row],[RequirementID]],".",-2),"cost.")</f>
        <v>tech.tailor.armor_for_a_hero_lvl_4+</v>
      </c>
      <c r="C2011" s="41" t="str">
        <f>_xlfn.XLOOKUP(tblCost[[#This Row],[TargetID]],tblTargets[TargetID],tblTargets[DisplayName],"")</f>
        <v>Tailor - Armor For A Hero Lvl 4+</v>
      </c>
      <c r="D2011" s="41" t="str">
        <f>_xlfn.XLOOKUP(tblCost[[#This Row],[TargetID]],tblTargets[TargetID],tblTargets[TargetType],"")</f>
        <v>TECH</v>
      </c>
      <c r="E2011" s="41" t="s">
        <v>927</v>
      </c>
      <c r="F2011" s="62" t="str">
        <f>RIGHT(tblCost[[#This Row],[RequirementID]],1)</f>
        <v>1</v>
      </c>
      <c r="G2011" s="41">
        <v>1</v>
      </c>
      <c r="H2011" t="b">
        <f>COUNTIFS(tblCostChecklist[RequirementID],tblCost[[#This Row],[RequirementID]],tblCostChecklist[PlayerPaid],TRUE)&gt;0</f>
        <v>0</v>
      </c>
      <c r="I2011" s="41">
        <f>COUNTIF(tblCost[TargetID],tblCost[[#This Row],[TargetID]])</f>
        <v>11</v>
      </c>
      <c r="J2011" s="41">
        <f>COUNTIFS(tblCost[TargetID],tblCost[[#This Row],[TargetID]],tblCost[PlayerPaid],TRUE)</f>
        <v>0</v>
      </c>
      <c r="K2011" s="41">
        <f>tblCost[[#This Row],[TargetRequirements]]-tblCost[[#This Row],[CompletedRequirements]]</f>
        <v>11</v>
      </c>
      <c r="L2011" s="41" t="b">
        <f>tblCost[[#This Row],[RemainingRequirements]]=0</f>
        <v>0</v>
      </c>
      <c r="M2011" s="43">
        <f>IF(tblCost[[#This Row],[TargetRequirements]]=0,0,tblCost[[#This Row],[CompletedRequirements]]/tblCost[[#This Row],[TargetRequirements]])</f>
        <v>0</v>
      </c>
    </row>
    <row r="2012" spans="1:13">
      <c r="A2012" s="41" t="s">
        <v>6235</v>
      </c>
      <c r="B2012" s="122" t="str">
        <f>_xlfn.TEXTAFTER(_xlfn.TEXTBEFORE(tblCost[[#This Row],[RequirementID]],".",-2),"cost.")</f>
        <v>tech.tailor.armor_for_a_hero_lvl_4+</v>
      </c>
      <c r="C2012" s="41" t="str">
        <f>_xlfn.XLOOKUP(tblCost[[#This Row],[TargetID]],tblTargets[TargetID],tblTargets[DisplayName],"")</f>
        <v>Tailor - Armor For A Hero Lvl 4+</v>
      </c>
      <c r="D2012" s="41" t="str">
        <f>_xlfn.XLOOKUP(tblCost[[#This Row],[TargetID]],tblTargets[TargetID],tblTargets[TargetType],"")</f>
        <v>TECH</v>
      </c>
      <c r="E2012" s="41" t="s">
        <v>655</v>
      </c>
      <c r="F2012" s="62" t="str">
        <f>RIGHT(tblCost[[#This Row],[RequirementID]],1)</f>
        <v>1</v>
      </c>
      <c r="G2012" s="41">
        <v>1</v>
      </c>
      <c r="H2012" t="b">
        <f>COUNTIFS(tblCostChecklist[RequirementID],tblCost[[#This Row],[RequirementID]],tblCostChecklist[PlayerPaid],TRUE)&gt;0</f>
        <v>0</v>
      </c>
      <c r="I2012" s="122">
        <f>COUNTIF(tblCost[TargetID],tblCost[[#This Row],[TargetID]])</f>
        <v>11</v>
      </c>
      <c r="J2012" s="122">
        <f>COUNTIFS(tblCost[TargetID],tblCost[[#This Row],[TargetID]],tblCost[PlayerPaid],TRUE)</f>
        <v>0</v>
      </c>
      <c r="K2012" s="122">
        <f>tblCost[[#This Row],[TargetRequirements]]-tblCost[[#This Row],[CompletedRequirements]]</f>
        <v>11</v>
      </c>
      <c r="L2012" s="122" t="b">
        <f>tblCost[[#This Row],[RemainingRequirements]]=0</f>
        <v>0</v>
      </c>
      <c r="M2012" s="43">
        <f>IF(tblCost[[#This Row],[TargetRequirements]]=0,0,tblCost[[#This Row],[CompletedRequirements]]/tblCost[[#This Row],[TargetRequirements]])</f>
        <v>0</v>
      </c>
    </row>
  </sheetData>
  <phoneticPr fontId="4"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C6FF1-EA06-4326-B748-468B15571417}">
  <sheetPr>
    <tabColor rgb="FFFFC000"/>
  </sheetPr>
  <dimension ref="A1:B798"/>
  <sheetViews>
    <sheetView topLeftCell="A769" workbookViewId="0">
      <selection activeCell="A805" sqref="A805"/>
    </sheetView>
  </sheetViews>
  <sheetFormatPr defaultRowHeight="14.5"/>
  <cols>
    <col min="1" max="2" width="55.453125" bestFit="1" customWidth="1"/>
  </cols>
  <sheetData>
    <row r="1" spans="1:2">
      <c r="A1" s="57" t="s">
        <v>2090</v>
      </c>
      <c r="B1" t="s">
        <v>2700</v>
      </c>
    </row>
    <row r="2" spans="1:2">
      <c r="A2" t="s">
        <v>2671</v>
      </c>
      <c r="B2" t="s">
        <v>15</v>
      </c>
    </row>
    <row r="3" spans="1:2">
      <c r="A3" t="s">
        <v>13</v>
      </c>
      <c r="B3" t="s">
        <v>27</v>
      </c>
    </row>
    <row r="4" spans="1:2">
      <c r="A4" t="s">
        <v>13</v>
      </c>
      <c r="B4" t="s">
        <v>3296</v>
      </c>
    </row>
    <row r="5" spans="1:2">
      <c r="A5" t="s">
        <v>15</v>
      </c>
      <c r="B5" t="s">
        <v>3296</v>
      </c>
    </row>
    <row r="6" spans="1:2">
      <c r="A6" t="s">
        <v>15</v>
      </c>
      <c r="B6" t="s">
        <v>13</v>
      </c>
    </row>
    <row r="7" spans="1:2">
      <c r="A7" t="s">
        <v>2672</v>
      </c>
      <c r="B7" t="s">
        <v>23</v>
      </c>
    </row>
    <row r="8" spans="1:2">
      <c r="A8" t="s">
        <v>16</v>
      </c>
      <c r="B8" t="s">
        <v>3297</v>
      </c>
    </row>
    <row r="9" spans="1:2">
      <c r="A9" t="s">
        <v>19</v>
      </c>
      <c r="B9" t="s">
        <v>73</v>
      </c>
    </row>
    <row r="10" spans="1:2">
      <c r="A10" t="s">
        <v>19</v>
      </c>
      <c r="B10" t="s">
        <v>16</v>
      </c>
    </row>
    <row r="11" spans="1:2">
      <c r="A11" t="s">
        <v>20</v>
      </c>
      <c r="B11" t="s">
        <v>74</v>
      </c>
    </row>
    <row r="12" spans="1:2">
      <c r="A12" t="s">
        <v>20</v>
      </c>
      <c r="B12" t="s">
        <v>19</v>
      </c>
    </row>
    <row r="13" spans="1:2">
      <c r="A13" t="s">
        <v>21</v>
      </c>
      <c r="B13" t="s">
        <v>75</v>
      </c>
    </row>
    <row r="14" spans="1:2">
      <c r="A14" t="s">
        <v>21</v>
      </c>
      <c r="B14" t="s">
        <v>20</v>
      </c>
    </row>
    <row r="15" spans="1:2">
      <c r="A15" t="s">
        <v>21</v>
      </c>
      <c r="B15" t="s">
        <v>74</v>
      </c>
    </row>
    <row r="16" spans="1:2">
      <c r="A16" t="s">
        <v>22</v>
      </c>
      <c r="B16" t="s">
        <v>76</v>
      </c>
    </row>
    <row r="17" spans="1:2">
      <c r="A17" t="s">
        <v>22</v>
      </c>
      <c r="B17" t="s">
        <v>21</v>
      </c>
    </row>
    <row r="18" spans="1:2">
      <c r="A18" t="s">
        <v>23</v>
      </c>
      <c r="B18" t="s">
        <v>22</v>
      </c>
    </row>
    <row r="19" spans="1:2">
      <c r="A19" t="s">
        <v>23</v>
      </c>
      <c r="B19" t="s">
        <v>3303</v>
      </c>
    </row>
    <row r="20" spans="1:2">
      <c r="A20" t="s">
        <v>24</v>
      </c>
      <c r="B20" t="s">
        <v>3304</v>
      </c>
    </row>
    <row r="21" spans="1:2">
      <c r="A21" t="s">
        <v>26</v>
      </c>
      <c r="B21" t="s">
        <v>24</v>
      </c>
    </row>
    <row r="22" spans="1:2">
      <c r="A22" t="s">
        <v>2673</v>
      </c>
      <c r="B22" t="s">
        <v>27</v>
      </c>
    </row>
    <row r="23" spans="1:2">
      <c r="A23" t="s">
        <v>27</v>
      </c>
      <c r="B23" t="s">
        <v>3305</v>
      </c>
    </row>
    <row r="24" spans="1:2">
      <c r="A24" t="s">
        <v>29</v>
      </c>
      <c r="B24" t="s">
        <v>27</v>
      </c>
    </row>
    <row r="25" spans="1:2">
      <c r="A25" t="s">
        <v>29</v>
      </c>
      <c r="B25" t="s">
        <v>3305</v>
      </c>
    </row>
    <row r="26" spans="1:2">
      <c r="A26" t="s">
        <v>31</v>
      </c>
      <c r="B26" t="s">
        <v>29</v>
      </c>
    </row>
    <row r="27" spans="1:2">
      <c r="A27" t="s">
        <v>32</v>
      </c>
      <c r="B27" t="s">
        <v>31</v>
      </c>
    </row>
    <row r="28" spans="1:2">
      <c r="A28" t="s">
        <v>33</v>
      </c>
      <c r="B28" t="s">
        <v>32</v>
      </c>
    </row>
    <row r="29" spans="1:2">
      <c r="A29" t="s">
        <v>34</v>
      </c>
      <c r="B29" t="s">
        <v>3306</v>
      </c>
    </row>
    <row r="30" spans="1:2">
      <c r="A30" t="s">
        <v>36</v>
      </c>
      <c r="B30" t="s">
        <v>34</v>
      </c>
    </row>
    <row r="31" spans="1:2">
      <c r="A31" t="s">
        <v>2674</v>
      </c>
      <c r="B31" t="s">
        <v>39</v>
      </c>
    </row>
    <row r="32" spans="1:2">
      <c r="A32" t="s">
        <v>37</v>
      </c>
      <c r="B32" t="s">
        <v>3306</v>
      </c>
    </row>
    <row r="33" spans="1:2">
      <c r="A33" t="s">
        <v>37</v>
      </c>
      <c r="B33" t="s">
        <v>2548</v>
      </c>
    </row>
    <row r="34" spans="1:2">
      <c r="A34" t="s">
        <v>39</v>
      </c>
      <c r="B34" t="s">
        <v>37</v>
      </c>
    </row>
    <row r="35" spans="1:2">
      <c r="A35" t="s">
        <v>2675</v>
      </c>
      <c r="B35" t="s">
        <v>45</v>
      </c>
    </row>
    <row r="36" spans="1:2">
      <c r="A36" t="s">
        <v>40</v>
      </c>
      <c r="B36" t="s">
        <v>3311</v>
      </c>
    </row>
    <row r="37" spans="1:2">
      <c r="A37" t="s">
        <v>42</v>
      </c>
      <c r="B37" t="s">
        <v>40</v>
      </c>
    </row>
    <row r="38" spans="1:2">
      <c r="A38" t="s">
        <v>42</v>
      </c>
      <c r="B38" t="s">
        <v>3312</v>
      </c>
    </row>
    <row r="39" spans="1:2">
      <c r="A39" t="s">
        <v>43</v>
      </c>
      <c r="B39" t="s">
        <v>42</v>
      </c>
    </row>
    <row r="40" spans="1:2">
      <c r="A40" t="s">
        <v>43</v>
      </c>
      <c r="B40" t="s">
        <v>3305</v>
      </c>
    </row>
    <row r="41" spans="1:2">
      <c r="A41" t="s">
        <v>44</v>
      </c>
      <c r="B41" t="s">
        <v>43</v>
      </c>
    </row>
    <row r="42" spans="1:2">
      <c r="A42" t="s">
        <v>44</v>
      </c>
      <c r="B42" t="s">
        <v>3296</v>
      </c>
    </row>
    <row r="43" spans="1:2">
      <c r="A43" t="s">
        <v>45</v>
      </c>
      <c r="B43" t="s">
        <v>44</v>
      </c>
    </row>
    <row r="44" spans="1:2">
      <c r="A44" t="s">
        <v>45</v>
      </c>
      <c r="B44" t="s">
        <v>3313</v>
      </c>
    </row>
    <row r="45" spans="1:2">
      <c r="A45" t="s">
        <v>6037</v>
      </c>
      <c r="B45" s="5" t="s">
        <v>45</v>
      </c>
    </row>
    <row r="46" spans="1:2">
      <c r="A46" t="s">
        <v>6037</v>
      </c>
      <c r="B46" t="s">
        <v>2417</v>
      </c>
    </row>
    <row r="47" spans="1:2">
      <c r="A47" t="s">
        <v>2676</v>
      </c>
      <c r="B47" t="s">
        <v>52</v>
      </c>
    </row>
    <row r="48" spans="1:2">
      <c r="A48" t="s">
        <v>46</v>
      </c>
      <c r="B48" t="s">
        <v>2480</v>
      </c>
    </row>
    <row r="49" spans="1:2">
      <c r="A49" t="s">
        <v>46</v>
      </c>
      <c r="B49" t="s">
        <v>3315</v>
      </c>
    </row>
    <row r="50" spans="1:2">
      <c r="A50" t="s">
        <v>48</v>
      </c>
      <c r="B50" t="s">
        <v>46</v>
      </c>
    </row>
    <row r="51" spans="1:2">
      <c r="A51" t="s">
        <v>49</v>
      </c>
      <c r="B51" t="s">
        <v>48</v>
      </c>
    </row>
    <row r="52" spans="1:2">
      <c r="A52" t="s">
        <v>50</v>
      </c>
      <c r="B52" t="s">
        <v>49</v>
      </c>
    </row>
    <row r="53" spans="1:2">
      <c r="A53" t="s">
        <v>51</v>
      </c>
      <c r="B53" t="s">
        <v>50</v>
      </c>
    </row>
    <row r="54" spans="1:2">
      <c r="A54" t="s">
        <v>52</v>
      </c>
      <c r="B54" t="s">
        <v>51</v>
      </c>
    </row>
    <row r="55" spans="1:2">
      <c r="A55" t="s">
        <v>2677</v>
      </c>
      <c r="B55" t="s">
        <v>55</v>
      </c>
    </row>
    <row r="56" spans="1:2">
      <c r="A56" t="s">
        <v>53</v>
      </c>
      <c r="B56" t="s">
        <v>3316</v>
      </c>
    </row>
    <row r="57" spans="1:2">
      <c r="A57" t="s">
        <v>55</v>
      </c>
      <c r="B57" t="s">
        <v>53</v>
      </c>
    </row>
    <row r="58" spans="1:2">
      <c r="A58" t="s">
        <v>2678</v>
      </c>
      <c r="B58" t="s">
        <v>60</v>
      </c>
    </row>
    <row r="59" spans="1:2">
      <c r="A59" t="s">
        <v>56</v>
      </c>
      <c r="B59" t="s">
        <v>3317</v>
      </c>
    </row>
    <row r="60" spans="1:2">
      <c r="A60" t="s">
        <v>59</v>
      </c>
      <c r="B60" t="s">
        <v>73</v>
      </c>
    </row>
    <row r="61" spans="1:2">
      <c r="A61" t="s">
        <v>59</v>
      </c>
      <c r="B61" t="s">
        <v>56</v>
      </c>
    </row>
    <row r="62" spans="1:2">
      <c r="A62" t="s">
        <v>59</v>
      </c>
      <c r="B62" t="s">
        <v>3319</v>
      </c>
    </row>
    <row r="63" spans="1:2">
      <c r="A63" t="s">
        <v>60</v>
      </c>
      <c r="B63" t="s">
        <v>59</v>
      </c>
    </row>
    <row r="64" spans="1:2">
      <c r="A64" t="s">
        <v>2679</v>
      </c>
      <c r="B64" t="s">
        <v>64</v>
      </c>
    </row>
    <row r="65" spans="1:2">
      <c r="A65" t="s">
        <v>61</v>
      </c>
      <c r="B65" t="s">
        <v>3317</v>
      </c>
    </row>
    <row r="66" spans="1:2">
      <c r="A66" t="s">
        <v>63</v>
      </c>
      <c r="B66" t="s">
        <v>61</v>
      </c>
    </row>
    <row r="67" spans="1:2">
      <c r="A67" t="s">
        <v>64</v>
      </c>
      <c r="B67" t="s">
        <v>63</v>
      </c>
    </row>
    <row r="68" spans="1:2">
      <c r="A68" t="s">
        <v>2680</v>
      </c>
      <c r="B68" t="s">
        <v>68</v>
      </c>
    </row>
    <row r="69" spans="1:2">
      <c r="A69" t="s">
        <v>65</v>
      </c>
      <c r="B69" t="s">
        <v>3321</v>
      </c>
    </row>
    <row r="70" spans="1:2">
      <c r="A70" t="s">
        <v>67</v>
      </c>
      <c r="B70" t="s">
        <v>65</v>
      </c>
    </row>
    <row r="71" spans="1:2">
      <c r="A71" t="s">
        <v>68</v>
      </c>
      <c r="B71" t="s">
        <v>67</v>
      </c>
    </row>
    <row r="72" spans="1:2">
      <c r="A72" t="s">
        <v>69</v>
      </c>
      <c r="B72" t="s">
        <v>3311</v>
      </c>
    </row>
    <row r="73" spans="1:2">
      <c r="A73" t="s">
        <v>73</v>
      </c>
      <c r="B73" t="s">
        <v>71</v>
      </c>
    </row>
    <row r="74" spans="1:2">
      <c r="A74" t="s">
        <v>74</v>
      </c>
      <c r="B74" t="s">
        <v>73</v>
      </c>
    </row>
    <row r="75" spans="1:2">
      <c r="A75" t="s">
        <v>75</v>
      </c>
      <c r="B75" t="s">
        <v>74</v>
      </c>
    </row>
    <row r="76" spans="1:2">
      <c r="A76" t="s">
        <v>76</v>
      </c>
      <c r="B76" t="s">
        <v>75</v>
      </c>
    </row>
    <row r="77" spans="1:2">
      <c r="A77" t="s">
        <v>77</v>
      </c>
      <c r="B77" t="s">
        <v>2456</v>
      </c>
    </row>
    <row r="78" spans="1:2">
      <c r="A78" t="s">
        <v>77</v>
      </c>
      <c r="B78" t="s">
        <v>2458</v>
      </c>
    </row>
    <row r="79" spans="1:2">
      <c r="A79" t="s">
        <v>2681</v>
      </c>
      <c r="B79" t="s">
        <v>86</v>
      </c>
    </row>
    <row r="80" spans="1:2">
      <c r="A80" t="s">
        <v>80</v>
      </c>
      <c r="B80" t="s">
        <v>2281</v>
      </c>
    </row>
    <row r="81" spans="1:2">
      <c r="A81" t="s">
        <v>80</v>
      </c>
      <c r="B81" t="s">
        <v>2668</v>
      </c>
    </row>
    <row r="82" spans="1:2">
      <c r="A82" t="s">
        <v>80</v>
      </c>
      <c r="B82" t="s">
        <v>2667</v>
      </c>
    </row>
    <row r="83" spans="1:2">
      <c r="A83" t="s">
        <v>80</v>
      </c>
      <c r="B83" t="s">
        <v>3328</v>
      </c>
    </row>
    <row r="84" spans="1:2">
      <c r="A84" t="s">
        <v>83</v>
      </c>
      <c r="B84" t="s">
        <v>80</v>
      </c>
    </row>
    <row r="85" spans="1:2">
      <c r="A85" t="s">
        <v>84</v>
      </c>
      <c r="B85" t="s">
        <v>83</v>
      </c>
    </row>
    <row r="86" spans="1:2">
      <c r="A86" t="s">
        <v>85</v>
      </c>
      <c r="B86" t="s">
        <v>84</v>
      </c>
    </row>
    <row r="87" spans="1:2">
      <c r="A87" t="s">
        <v>86</v>
      </c>
      <c r="B87" t="s">
        <v>85</v>
      </c>
    </row>
    <row r="88" spans="1:2">
      <c r="A88" t="s">
        <v>3175</v>
      </c>
      <c r="B88" t="s">
        <v>87</v>
      </c>
    </row>
    <row r="89" spans="1:2">
      <c r="A89" t="s">
        <v>87</v>
      </c>
      <c r="B89" t="s">
        <v>2681</v>
      </c>
    </row>
    <row r="90" spans="1:2">
      <c r="A90" t="s">
        <v>87</v>
      </c>
      <c r="B90" t="s">
        <v>2294</v>
      </c>
    </row>
    <row r="91" spans="1:2">
      <c r="A91" t="s">
        <v>90</v>
      </c>
      <c r="B91" t="s">
        <v>3333</v>
      </c>
    </row>
    <row r="92" spans="1:2">
      <c r="A92" t="s">
        <v>92</v>
      </c>
      <c r="B92" t="s">
        <v>90</v>
      </c>
    </row>
    <row r="93" spans="1:2">
      <c r="A93" t="s">
        <v>93</v>
      </c>
      <c r="B93" t="s">
        <v>92</v>
      </c>
    </row>
    <row r="94" spans="1:2">
      <c r="A94" t="s">
        <v>94</v>
      </c>
      <c r="B94" t="s">
        <v>3312</v>
      </c>
    </row>
    <row r="95" spans="1:2">
      <c r="A95" t="s">
        <v>96</v>
      </c>
      <c r="B95" t="s">
        <v>94</v>
      </c>
    </row>
    <row r="96" spans="1:2">
      <c r="A96" t="s">
        <v>2682</v>
      </c>
      <c r="B96" t="s">
        <v>100</v>
      </c>
    </row>
    <row r="97" spans="1:2">
      <c r="A97" t="s">
        <v>97</v>
      </c>
      <c r="B97" t="s">
        <v>27</v>
      </c>
    </row>
    <row r="98" spans="1:2">
      <c r="A98" t="s">
        <v>97</v>
      </c>
      <c r="B98" t="s">
        <v>3334</v>
      </c>
    </row>
    <row r="99" spans="1:2">
      <c r="A99" t="s">
        <v>99</v>
      </c>
      <c r="B99" t="s">
        <v>97</v>
      </c>
    </row>
    <row r="100" spans="1:2">
      <c r="A100" t="s">
        <v>100</v>
      </c>
      <c r="B100" t="s">
        <v>99</v>
      </c>
    </row>
    <row r="101" spans="1:2">
      <c r="A101" t="s">
        <v>101</v>
      </c>
      <c r="B101" t="s">
        <v>3335</v>
      </c>
    </row>
    <row r="102" spans="1:2">
      <c r="A102" t="s">
        <v>103</v>
      </c>
      <c r="B102" t="s">
        <v>101</v>
      </c>
    </row>
    <row r="103" spans="1:2">
      <c r="A103" t="s">
        <v>103</v>
      </c>
      <c r="B103" t="s">
        <v>3316</v>
      </c>
    </row>
    <row r="104" spans="1:2">
      <c r="A104" t="s">
        <v>104</v>
      </c>
      <c r="B104" t="s">
        <v>103</v>
      </c>
    </row>
    <row r="105" spans="1:2">
      <c r="A105" t="s">
        <v>104</v>
      </c>
      <c r="B105" t="s">
        <v>3311</v>
      </c>
    </row>
    <row r="106" spans="1:2">
      <c r="A106" t="s">
        <v>105</v>
      </c>
      <c r="B106" t="s">
        <v>104</v>
      </c>
    </row>
    <row r="107" spans="1:2">
      <c r="A107" t="s">
        <v>105</v>
      </c>
      <c r="B107" t="s">
        <v>3336</v>
      </c>
    </row>
    <row r="108" spans="1:2">
      <c r="A108" t="s">
        <v>106</v>
      </c>
      <c r="B108" t="s">
        <v>105</v>
      </c>
    </row>
    <row r="109" spans="1:2">
      <c r="A109" t="s">
        <v>106</v>
      </c>
      <c r="B109" t="s">
        <v>3337</v>
      </c>
    </row>
    <row r="110" spans="1:2">
      <c r="A110" t="s">
        <v>107</v>
      </c>
      <c r="B110" t="s">
        <v>106</v>
      </c>
    </row>
    <row r="111" spans="1:2">
      <c r="A111" t="s">
        <v>107</v>
      </c>
      <c r="B111" t="s">
        <v>3338</v>
      </c>
    </row>
    <row r="112" spans="1:2">
      <c r="A112" t="s">
        <v>108</v>
      </c>
      <c r="B112" t="s">
        <v>107</v>
      </c>
    </row>
    <row r="113" spans="1:2">
      <c r="A113" t="s">
        <v>108</v>
      </c>
      <c r="B113" t="s">
        <v>3339</v>
      </c>
    </row>
    <row r="114" spans="1:2">
      <c r="A114" t="s">
        <v>109</v>
      </c>
      <c r="B114" t="s">
        <v>146</v>
      </c>
    </row>
    <row r="115" spans="1:2">
      <c r="A115" t="s">
        <v>109</v>
      </c>
      <c r="B115" t="s">
        <v>3340</v>
      </c>
    </row>
    <row r="116" spans="1:2">
      <c r="A116" t="s">
        <v>2683</v>
      </c>
      <c r="B116" t="s">
        <v>115</v>
      </c>
    </row>
    <row r="117" spans="1:2">
      <c r="A117" t="s">
        <v>111</v>
      </c>
      <c r="B117" t="s">
        <v>3341</v>
      </c>
    </row>
    <row r="118" spans="1:2">
      <c r="A118" t="s">
        <v>114</v>
      </c>
      <c r="B118" t="s">
        <v>111</v>
      </c>
    </row>
    <row r="119" spans="1:2">
      <c r="A119" t="s">
        <v>115</v>
      </c>
      <c r="B119" t="s">
        <v>114</v>
      </c>
    </row>
    <row r="120" spans="1:2">
      <c r="A120" t="s">
        <v>116</v>
      </c>
      <c r="B120" t="s">
        <v>109</v>
      </c>
    </row>
    <row r="121" spans="1:2">
      <c r="A121" t="s">
        <v>116</v>
      </c>
      <c r="B121" t="s">
        <v>3340</v>
      </c>
    </row>
    <row r="122" spans="1:2">
      <c r="A122" t="s">
        <v>118</v>
      </c>
      <c r="B122" t="s">
        <v>116</v>
      </c>
    </row>
    <row r="123" spans="1:2">
      <c r="A123" t="s">
        <v>119</v>
      </c>
      <c r="B123" t="s">
        <v>118</v>
      </c>
    </row>
    <row r="124" spans="1:2">
      <c r="A124" t="s">
        <v>120</v>
      </c>
      <c r="B124" t="s">
        <v>119</v>
      </c>
    </row>
    <row r="125" spans="1:2">
      <c r="A125" t="s">
        <v>2684</v>
      </c>
      <c r="B125" t="s">
        <v>124</v>
      </c>
    </row>
    <row r="126" spans="1:2">
      <c r="A126" t="s">
        <v>121</v>
      </c>
      <c r="B126" t="s">
        <v>3345</v>
      </c>
    </row>
    <row r="127" spans="1:2">
      <c r="A127" t="s">
        <v>123</v>
      </c>
      <c r="B127" t="s">
        <v>121</v>
      </c>
    </row>
    <row r="128" spans="1:2">
      <c r="A128" t="s">
        <v>124</v>
      </c>
      <c r="B128" t="s">
        <v>123</v>
      </c>
    </row>
    <row r="129" spans="1:2">
      <c r="A129" t="s">
        <v>2685</v>
      </c>
      <c r="B129" t="s">
        <v>128</v>
      </c>
    </row>
    <row r="130" spans="1:2">
      <c r="A130" t="s">
        <v>125</v>
      </c>
      <c r="B130" t="s">
        <v>3346</v>
      </c>
    </row>
    <row r="131" spans="1:2">
      <c r="A131" t="s">
        <v>127</v>
      </c>
      <c r="B131" t="s">
        <v>125</v>
      </c>
    </row>
    <row r="132" spans="1:2">
      <c r="A132" t="s">
        <v>128</v>
      </c>
      <c r="B132" t="s">
        <v>127</v>
      </c>
    </row>
    <row r="133" spans="1:2">
      <c r="A133" t="s">
        <v>129</v>
      </c>
      <c r="B133" t="s">
        <v>3313</v>
      </c>
    </row>
    <row r="134" spans="1:2">
      <c r="A134" t="s">
        <v>129</v>
      </c>
      <c r="B134" t="s">
        <v>27</v>
      </c>
    </row>
    <row r="135" spans="1:2">
      <c r="A135" t="s">
        <v>2686</v>
      </c>
      <c r="B135" t="s">
        <v>134</v>
      </c>
    </row>
    <row r="136" spans="1:2">
      <c r="A136" t="s">
        <v>131</v>
      </c>
      <c r="B136" t="s">
        <v>27</v>
      </c>
    </row>
    <row r="137" spans="1:2">
      <c r="A137" t="s">
        <v>131</v>
      </c>
      <c r="B137" t="s">
        <v>3303</v>
      </c>
    </row>
    <row r="138" spans="1:2">
      <c r="A138" t="s">
        <v>133</v>
      </c>
      <c r="B138" t="s">
        <v>131</v>
      </c>
    </row>
    <row r="139" spans="1:2">
      <c r="A139" t="s">
        <v>134</v>
      </c>
      <c r="B139" t="s">
        <v>133</v>
      </c>
    </row>
    <row r="140" spans="1:2">
      <c r="A140" t="s">
        <v>2687</v>
      </c>
      <c r="B140" t="s">
        <v>137</v>
      </c>
    </row>
    <row r="141" spans="1:2">
      <c r="A141" t="s">
        <v>135</v>
      </c>
      <c r="B141" t="s">
        <v>129</v>
      </c>
    </row>
    <row r="142" spans="1:2">
      <c r="A142" t="s">
        <v>135</v>
      </c>
      <c r="B142" t="s">
        <v>3313</v>
      </c>
    </row>
    <row r="143" spans="1:2">
      <c r="A143" t="s">
        <v>137</v>
      </c>
      <c r="B143" t="s">
        <v>135</v>
      </c>
    </row>
    <row r="144" spans="1:2">
      <c r="A144" t="s">
        <v>137</v>
      </c>
      <c r="B144" t="s">
        <v>5668</v>
      </c>
    </row>
    <row r="145" spans="1:2">
      <c r="A145" t="s">
        <v>138</v>
      </c>
      <c r="B145" t="s">
        <v>135</v>
      </c>
    </row>
    <row r="146" spans="1:2">
      <c r="A146" t="s">
        <v>141</v>
      </c>
      <c r="B146" t="s">
        <v>138</v>
      </c>
    </row>
    <row r="147" spans="1:2">
      <c r="A147" t="s">
        <v>142</v>
      </c>
      <c r="B147" t="s">
        <v>135</v>
      </c>
    </row>
    <row r="148" spans="1:2">
      <c r="A148" t="s">
        <v>145</v>
      </c>
      <c r="B148" t="s">
        <v>142</v>
      </c>
    </row>
    <row r="149" spans="1:2">
      <c r="A149" t="s">
        <v>2688</v>
      </c>
      <c r="B149" t="s">
        <v>153</v>
      </c>
    </row>
    <row r="150" spans="1:2">
      <c r="A150" t="s">
        <v>146</v>
      </c>
      <c r="B150" t="s">
        <v>3350</v>
      </c>
    </row>
    <row r="151" spans="1:2">
      <c r="A151" t="s">
        <v>148</v>
      </c>
      <c r="B151" t="s">
        <v>73</v>
      </c>
    </row>
    <row r="152" spans="1:2">
      <c r="A152" t="s">
        <v>148</v>
      </c>
      <c r="B152" t="s">
        <v>146</v>
      </c>
    </row>
    <row r="153" spans="1:2">
      <c r="A153" t="s">
        <v>149</v>
      </c>
      <c r="B153" t="s">
        <v>74</v>
      </c>
    </row>
    <row r="154" spans="1:2">
      <c r="A154" t="s">
        <v>149</v>
      </c>
      <c r="B154" t="s">
        <v>148</v>
      </c>
    </row>
    <row r="155" spans="1:2">
      <c r="A155" t="s">
        <v>150</v>
      </c>
      <c r="B155" t="s">
        <v>75</v>
      </c>
    </row>
    <row r="156" spans="1:2">
      <c r="A156" t="s">
        <v>150</v>
      </c>
      <c r="B156" t="s">
        <v>149</v>
      </c>
    </row>
    <row r="157" spans="1:2">
      <c r="A157" t="s">
        <v>151</v>
      </c>
      <c r="B157" t="s">
        <v>76</v>
      </c>
    </row>
    <row r="158" spans="1:2">
      <c r="A158" t="s">
        <v>151</v>
      </c>
      <c r="B158" t="s">
        <v>150</v>
      </c>
    </row>
    <row r="159" spans="1:2">
      <c r="A159" t="s">
        <v>152</v>
      </c>
      <c r="B159" t="s">
        <v>151</v>
      </c>
    </row>
    <row r="160" spans="1:2">
      <c r="A160" t="s">
        <v>153</v>
      </c>
      <c r="B160" t="s">
        <v>152</v>
      </c>
    </row>
    <row r="161" spans="1:2">
      <c r="A161" t="s">
        <v>2690</v>
      </c>
      <c r="B161" t="s">
        <v>156</v>
      </c>
    </row>
    <row r="162" spans="1:2">
      <c r="A162" t="s">
        <v>154</v>
      </c>
      <c r="B162" t="s">
        <v>3346</v>
      </c>
    </row>
    <row r="163" spans="1:2">
      <c r="A163" t="s">
        <v>156</v>
      </c>
      <c r="B163" t="s">
        <v>154</v>
      </c>
    </row>
    <row r="164" spans="1:2">
      <c r="A164" t="s">
        <v>2689</v>
      </c>
      <c r="B164" t="s">
        <v>162</v>
      </c>
    </row>
    <row r="165" spans="1:2">
      <c r="A165" t="s">
        <v>157</v>
      </c>
      <c r="B165" t="s">
        <v>3351</v>
      </c>
    </row>
    <row r="166" spans="1:2">
      <c r="A166" t="s">
        <v>159</v>
      </c>
      <c r="B166" t="s">
        <v>157</v>
      </c>
    </row>
    <row r="167" spans="1:2">
      <c r="A167" t="s">
        <v>160</v>
      </c>
      <c r="B167" t="s">
        <v>159</v>
      </c>
    </row>
    <row r="168" spans="1:2">
      <c r="A168" t="s">
        <v>161</v>
      </c>
      <c r="B168" t="s">
        <v>160</v>
      </c>
    </row>
    <row r="169" spans="1:2">
      <c r="A169" t="s">
        <v>162</v>
      </c>
      <c r="B169" t="s">
        <v>161</v>
      </c>
    </row>
    <row r="170" spans="1:2">
      <c r="A170" t="s">
        <v>2562</v>
      </c>
      <c r="B170" t="s">
        <v>2138</v>
      </c>
    </row>
    <row r="171" spans="1:2">
      <c r="A171" t="s">
        <v>2562</v>
      </c>
      <c r="B171" t="s">
        <v>2510</v>
      </c>
    </row>
    <row r="172" spans="1:2">
      <c r="A172" t="s">
        <v>2564</v>
      </c>
      <c r="B172" t="s">
        <v>2138</v>
      </c>
    </row>
    <row r="173" spans="1:2">
      <c r="A173" t="s">
        <v>2564</v>
      </c>
      <c r="B173" t="s">
        <v>45</v>
      </c>
    </row>
    <row r="174" spans="1:2">
      <c r="A174" t="s">
        <v>2565</v>
      </c>
      <c r="B174" t="s">
        <v>2568</v>
      </c>
    </row>
    <row r="175" spans="1:2">
      <c r="A175" t="s">
        <v>2565</v>
      </c>
      <c r="B175" t="s">
        <v>2432</v>
      </c>
    </row>
    <row r="176" spans="1:2">
      <c r="A176" t="s">
        <v>2566</v>
      </c>
      <c r="B176" t="s">
        <v>2568</v>
      </c>
    </row>
    <row r="177" spans="1:2">
      <c r="A177" t="s">
        <v>2566</v>
      </c>
      <c r="B177" t="s">
        <v>45</v>
      </c>
    </row>
    <row r="178" spans="1:2">
      <c r="A178" s="5" t="s">
        <v>2566</v>
      </c>
      <c r="B178" t="s">
        <v>2484</v>
      </c>
    </row>
    <row r="179" spans="1:2">
      <c r="A179" t="s">
        <v>2567</v>
      </c>
      <c r="B179" t="s">
        <v>2138</v>
      </c>
    </row>
    <row r="180" spans="1:2">
      <c r="A180" t="s">
        <v>2567</v>
      </c>
      <c r="B180" t="s">
        <v>2510</v>
      </c>
    </row>
    <row r="181" spans="1:2">
      <c r="A181" t="s">
        <v>2568</v>
      </c>
      <c r="B181" t="s">
        <v>43</v>
      </c>
    </row>
    <row r="182" spans="1:2">
      <c r="A182" t="s">
        <v>2569</v>
      </c>
      <c r="B182" t="s">
        <v>2138</v>
      </c>
    </row>
    <row r="183" spans="1:2">
      <c r="A183" t="s">
        <v>2569</v>
      </c>
      <c r="B183" t="s">
        <v>44</v>
      </c>
    </row>
    <row r="184" spans="1:2">
      <c r="A184" t="s">
        <v>2570</v>
      </c>
      <c r="B184" t="s">
        <v>2138</v>
      </c>
    </row>
    <row r="185" spans="1:2">
      <c r="A185" t="s">
        <v>2570</v>
      </c>
      <c r="B185" t="s">
        <v>45</v>
      </c>
    </row>
    <row r="186" spans="1:2">
      <c r="A186" t="s">
        <v>2570</v>
      </c>
      <c r="B186" t="s">
        <v>6099</v>
      </c>
    </row>
    <row r="187" spans="1:2">
      <c r="A187" t="s">
        <v>2571</v>
      </c>
      <c r="B187" t="s">
        <v>2570</v>
      </c>
    </row>
    <row r="188" spans="1:2">
      <c r="A188" t="s">
        <v>2572</v>
      </c>
      <c r="B188" t="s">
        <v>2138</v>
      </c>
    </row>
    <row r="189" spans="1:2">
      <c r="A189" t="s">
        <v>2573</v>
      </c>
      <c r="B189" t="s">
        <v>2138</v>
      </c>
    </row>
    <row r="190" spans="1:2">
      <c r="A190" t="s">
        <v>2574</v>
      </c>
      <c r="B190" t="s">
        <v>2138</v>
      </c>
    </row>
    <row r="191" spans="1:2">
      <c r="A191" t="s">
        <v>2574</v>
      </c>
      <c r="B191" t="s">
        <v>44</v>
      </c>
    </row>
    <row r="192" spans="1:2">
      <c r="A192" t="s">
        <v>2575</v>
      </c>
      <c r="B192" t="s">
        <v>2138</v>
      </c>
    </row>
    <row r="193" spans="1:2">
      <c r="A193" t="s">
        <v>2575</v>
      </c>
      <c r="B193" t="s">
        <v>45</v>
      </c>
    </row>
    <row r="194" spans="1:2">
      <c r="A194" t="s">
        <v>2576</v>
      </c>
      <c r="B194" t="s">
        <v>2138</v>
      </c>
    </row>
    <row r="195" spans="1:2">
      <c r="A195" t="s">
        <v>2576</v>
      </c>
      <c r="B195" t="s">
        <v>2510</v>
      </c>
    </row>
    <row r="196" spans="1:2">
      <c r="A196" t="s">
        <v>6264</v>
      </c>
      <c r="B196" s="83" t="s">
        <v>2288</v>
      </c>
    </row>
    <row r="197" spans="1:2">
      <c r="A197" t="s">
        <v>6058</v>
      </c>
      <c r="B197" t="s">
        <v>2285</v>
      </c>
    </row>
    <row r="198" spans="1:2">
      <c r="A198" s="5" t="s">
        <v>5749</v>
      </c>
      <c r="B198" s="5" t="s">
        <v>5767</v>
      </c>
    </row>
    <row r="199" spans="1:2">
      <c r="A199" s="5" t="s">
        <v>5750</v>
      </c>
      <c r="B199" s="5" t="s">
        <v>5749</v>
      </c>
    </row>
    <row r="200" spans="1:2">
      <c r="A200" s="5" t="s">
        <v>5751</v>
      </c>
      <c r="B200" s="5" t="s">
        <v>5767</v>
      </c>
    </row>
    <row r="201" spans="1:2">
      <c r="A201" s="5" t="s">
        <v>5752</v>
      </c>
      <c r="B201" s="5" t="s">
        <v>5751</v>
      </c>
    </row>
    <row r="202" spans="1:2">
      <c r="A202" s="5" t="s">
        <v>5753</v>
      </c>
      <c r="B202" s="5" t="s">
        <v>5767</v>
      </c>
    </row>
    <row r="203" spans="1:2">
      <c r="A203" s="5" t="s">
        <v>5754</v>
      </c>
      <c r="B203" s="5" t="s">
        <v>5753</v>
      </c>
    </row>
    <row r="204" spans="1:2">
      <c r="A204" t="s">
        <v>2577</v>
      </c>
      <c r="B204" t="s">
        <v>2562</v>
      </c>
    </row>
    <row r="205" spans="1:2">
      <c r="A205" t="s">
        <v>2579</v>
      </c>
      <c r="B205" t="s">
        <v>2577</v>
      </c>
    </row>
    <row r="206" spans="1:2">
      <c r="A206" t="s">
        <v>2580</v>
      </c>
      <c r="B206" t="s">
        <v>2579</v>
      </c>
    </row>
    <row r="207" spans="1:2">
      <c r="A207" t="s">
        <v>2581</v>
      </c>
      <c r="B207" t="s">
        <v>2552</v>
      </c>
    </row>
    <row r="208" spans="1:2">
      <c r="A208" t="s">
        <v>2582</v>
      </c>
      <c r="B208" t="s">
        <v>2564</v>
      </c>
    </row>
    <row r="209" spans="1:2">
      <c r="A209" t="s">
        <v>2583</v>
      </c>
      <c r="B209" t="s">
        <v>2582</v>
      </c>
    </row>
    <row r="210" spans="1:2">
      <c r="A210" t="s">
        <v>2584</v>
      </c>
      <c r="B210" t="s">
        <v>2583</v>
      </c>
    </row>
    <row r="211" spans="1:2">
      <c r="A211" t="s">
        <v>2585</v>
      </c>
      <c r="B211" t="s">
        <v>2584</v>
      </c>
    </row>
    <row r="212" spans="1:2">
      <c r="A212" t="s">
        <v>2586</v>
      </c>
      <c r="B212" t="s">
        <v>2585</v>
      </c>
    </row>
    <row r="213" spans="1:2">
      <c r="A213" t="s">
        <v>5631</v>
      </c>
      <c r="B213" s="5" t="s">
        <v>5654</v>
      </c>
    </row>
    <row r="214" spans="1:2">
      <c r="A214" t="s">
        <v>5632</v>
      </c>
      <c r="B214" t="s">
        <v>5631</v>
      </c>
    </row>
    <row r="215" spans="1:2">
      <c r="A215" s="5" t="s">
        <v>5573</v>
      </c>
      <c r="B215" t="s">
        <v>5588</v>
      </c>
    </row>
    <row r="216" spans="1:2">
      <c r="A216" s="5" t="s">
        <v>5655</v>
      </c>
      <c r="B216" s="5" t="s">
        <v>5653</v>
      </c>
    </row>
    <row r="217" spans="1:2">
      <c r="A217" s="5" t="s">
        <v>5767</v>
      </c>
      <c r="B217" s="5" t="s">
        <v>5652</v>
      </c>
    </row>
    <row r="218" spans="1:2">
      <c r="A218" s="5" t="s">
        <v>5654</v>
      </c>
      <c r="B218" s="5" t="s">
        <v>5652</v>
      </c>
    </row>
    <row r="219" spans="1:2">
      <c r="A219" s="5" t="s">
        <v>5652</v>
      </c>
      <c r="B219" s="5" t="s">
        <v>5573</v>
      </c>
    </row>
    <row r="220" spans="1:2">
      <c r="A220" t="s">
        <v>2587</v>
      </c>
      <c r="B220" t="s">
        <v>2566</v>
      </c>
    </row>
    <row r="221" spans="1:2">
      <c r="A221" t="s">
        <v>2587</v>
      </c>
      <c r="B221" t="s">
        <v>2552</v>
      </c>
    </row>
    <row r="222" spans="1:2">
      <c r="A222" t="s">
        <v>2588</v>
      </c>
      <c r="B222" t="s">
        <v>2587</v>
      </c>
    </row>
    <row r="223" spans="1:2">
      <c r="A223" t="s">
        <v>2589</v>
      </c>
      <c r="B223" t="s">
        <v>2566</v>
      </c>
    </row>
    <row r="224" spans="1:2">
      <c r="A224" t="s">
        <v>2589</v>
      </c>
      <c r="B224" t="s">
        <v>2552</v>
      </c>
    </row>
    <row r="225" spans="1:2">
      <c r="A225" s="5" t="s">
        <v>5926</v>
      </c>
      <c r="B225" s="5" t="s">
        <v>5655</v>
      </c>
    </row>
    <row r="226" spans="1:2">
      <c r="A226" t="s">
        <v>2590</v>
      </c>
      <c r="B226" t="s">
        <v>2567</v>
      </c>
    </row>
    <row r="227" spans="1:2">
      <c r="A227" t="s">
        <v>2591</v>
      </c>
      <c r="B227" t="s">
        <v>2590</v>
      </c>
    </row>
    <row r="228" spans="1:2">
      <c r="A228" t="s">
        <v>2592</v>
      </c>
      <c r="B228" t="s">
        <v>2591</v>
      </c>
    </row>
    <row r="229" spans="1:2">
      <c r="A229" t="s">
        <v>2593</v>
      </c>
      <c r="B229" t="s">
        <v>2592</v>
      </c>
    </row>
    <row r="230" spans="1:2">
      <c r="A230" t="s">
        <v>2594</v>
      </c>
      <c r="B230" t="s">
        <v>2593</v>
      </c>
    </row>
    <row r="231" spans="1:2">
      <c r="A231" t="s">
        <v>2595</v>
      </c>
      <c r="B231" t="s">
        <v>2567</v>
      </c>
    </row>
    <row r="232" spans="1:2">
      <c r="A232" t="s">
        <v>2596</v>
      </c>
      <c r="B232" t="s">
        <v>2595</v>
      </c>
    </row>
    <row r="233" spans="1:2">
      <c r="A233" t="s">
        <v>2597</v>
      </c>
      <c r="B233" t="s">
        <v>2596</v>
      </c>
    </row>
    <row r="234" spans="1:2">
      <c r="A234" t="s">
        <v>2598</v>
      </c>
      <c r="B234" t="s">
        <v>2597</v>
      </c>
    </row>
    <row r="235" spans="1:2">
      <c r="A235" t="s">
        <v>2599</v>
      </c>
      <c r="B235" t="s">
        <v>2598</v>
      </c>
    </row>
    <row r="236" spans="1:2">
      <c r="A236" t="s">
        <v>2600</v>
      </c>
      <c r="B236" t="s">
        <v>2567</v>
      </c>
    </row>
    <row r="237" spans="1:2">
      <c r="A237" t="s">
        <v>2600</v>
      </c>
      <c r="B237" t="s">
        <v>2552</v>
      </c>
    </row>
    <row r="238" spans="1:2">
      <c r="A238" t="s">
        <v>2601</v>
      </c>
      <c r="B238" t="s">
        <v>2600</v>
      </c>
    </row>
    <row r="239" spans="1:2">
      <c r="A239" t="s">
        <v>2602</v>
      </c>
      <c r="B239" t="s">
        <v>2601</v>
      </c>
    </row>
    <row r="240" spans="1:2">
      <c r="A240" t="s">
        <v>2603</v>
      </c>
      <c r="B240" t="s">
        <v>2602</v>
      </c>
    </row>
    <row r="241" spans="1:2">
      <c r="A241" t="s">
        <v>2604</v>
      </c>
      <c r="B241" t="s">
        <v>2603</v>
      </c>
    </row>
    <row r="242" spans="1:2">
      <c r="A242" t="s">
        <v>2605</v>
      </c>
      <c r="B242" t="s">
        <v>2568</v>
      </c>
    </row>
    <row r="243" spans="1:2">
      <c r="A243" t="s">
        <v>2605</v>
      </c>
      <c r="B243" t="s">
        <v>2662</v>
      </c>
    </row>
    <row r="244" spans="1:2">
      <c r="A244" t="s">
        <v>2606</v>
      </c>
      <c r="B244" t="s">
        <v>2605</v>
      </c>
    </row>
    <row r="245" spans="1:2">
      <c r="A245" t="s">
        <v>2607</v>
      </c>
      <c r="B245" t="s">
        <v>2606</v>
      </c>
    </row>
    <row r="246" spans="1:2">
      <c r="A246" t="s">
        <v>2608</v>
      </c>
      <c r="B246" t="s">
        <v>2568</v>
      </c>
    </row>
    <row r="247" spans="1:2">
      <c r="A247" t="s">
        <v>2609</v>
      </c>
      <c r="B247" t="s">
        <v>2608</v>
      </c>
    </row>
    <row r="248" spans="1:2">
      <c r="A248" t="s">
        <v>2610</v>
      </c>
      <c r="B248" t="s">
        <v>2609</v>
      </c>
    </row>
    <row r="249" spans="1:2">
      <c r="A249" t="s">
        <v>2611</v>
      </c>
      <c r="B249" t="s">
        <v>2568</v>
      </c>
    </row>
    <row r="250" spans="1:2">
      <c r="A250" t="s">
        <v>2611</v>
      </c>
      <c r="B250" t="s">
        <v>2484</v>
      </c>
    </row>
    <row r="251" spans="1:2">
      <c r="A251" t="s">
        <v>2612</v>
      </c>
      <c r="B251" t="s">
        <v>2569</v>
      </c>
    </row>
    <row r="252" spans="1:2">
      <c r="A252" t="s">
        <v>2613</v>
      </c>
      <c r="B252" t="s">
        <v>2612</v>
      </c>
    </row>
    <row r="253" spans="1:2">
      <c r="A253" t="s">
        <v>2614</v>
      </c>
      <c r="B253" t="s">
        <v>2613</v>
      </c>
    </row>
    <row r="254" spans="1:2">
      <c r="A254" t="s">
        <v>2615</v>
      </c>
      <c r="B254" t="s">
        <v>2614</v>
      </c>
    </row>
    <row r="255" spans="1:2">
      <c r="A255" t="s">
        <v>2616</v>
      </c>
      <c r="B255" t="s">
        <v>2615</v>
      </c>
    </row>
    <row r="256" spans="1:2">
      <c r="A256" t="s">
        <v>2617</v>
      </c>
      <c r="B256" t="s">
        <v>2569</v>
      </c>
    </row>
    <row r="257" spans="1:2">
      <c r="A257" t="s">
        <v>2618</v>
      </c>
      <c r="B257" t="s">
        <v>2572</v>
      </c>
    </row>
    <row r="258" spans="1:2">
      <c r="A258" t="s">
        <v>2619</v>
      </c>
      <c r="B258" t="s">
        <v>2618</v>
      </c>
    </row>
    <row r="259" spans="1:2">
      <c r="A259" t="s">
        <v>2620</v>
      </c>
      <c r="B259" t="s">
        <v>2573</v>
      </c>
    </row>
    <row r="260" spans="1:2">
      <c r="A260" t="s">
        <v>2621</v>
      </c>
      <c r="B260" t="s">
        <v>2620</v>
      </c>
    </row>
    <row r="261" spans="1:2">
      <c r="A261" t="s">
        <v>2622</v>
      </c>
      <c r="B261" t="s">
        <v>2574</v>
      </c>
    </row>
    <row r="262" spans="1:2">
      <c r="A262" t="s">
        <v>2623</v>
      </c>
      <c r="B262" t="s">
        <v>2622</v>
      </c>
    </row>
    <row r="263" spans="1:2">
      <c r="A263" t="s">
        <v>2624</v>
      </c>
      <c r="B263" t="s">
        <v>2623</v>
      </c>
    </row>
    <row r="264" spans="1:2">
      <c r="A264" t="s">
        <v>2625</v>
      </c>
      <c r="B264" t="s">
        <v>2624</v>
      </c>
    </row>
    <row r="265" spans="1:2">
      <c r="A265" t="s">
        <v>2626</v>
      </c>
      <c r="B265" t="s">
        <v>2625</v>
      </c>
    </row>
    <row r="266" spans="1:2">
      <c r="A266" t="s">
        <v>2627</v>
      </c>
      <c r="B266" t="s">
        <v>2574</v>
      </c>
    </row>
    <row r="267" spans="1:2">
      <c r="A267" t="s">
        <v>2628</v>
      </c>
      <c r="B267" t="s">
        <v>2627</v>
      </c>
    </row>
    <row r="268" spans="1:2">
      <c r="A268" t="s">
        <v>2629</v>
      </c>
      <c r="B268" t="s">
        <v>2628</v>
      </c>
    </row>
    <row r="269" spans="1:2">
      <c r="A269" t="s">
        <v>2630</v>
      </c>
      <c r="B269" t="s">
        <v>2629</v>
      </c>
    </row>
    <row r="270" spans="1:2">
      <c r="A270" t="s">
        <v>2631</v>
      </c>
      <c r="B270" t="s">
        <v>2630</v>
      </c>
    </row>
    <row r="271" spans="1:2">
      <c r="A271" t="s">
        <v>2632</v>
      </c>
      <c r="B271" t="s">
        <v>2574</v>
      </c>
    </row>
    <row r="272" spans="1:2">
      <c r="A272" t="s">
        <v>2633</v>
      </c>
      <c r="B272" t="s">
        <v>2632</v>
      </c>
    </row>
    <row r="273" spans="1:2">
      <c r="A273" t="s">
        <v>2634</v>
      </c>
      <c r="B273" t="s">
        <v>2633</v>
      </c>
    </row>
    <row r="274" spans="1:2">
      <c r="A274" t="s">
        <v>2635</v>
      </c>
      <c r="B274" t="s">
        <v>2634</v>
      </c>
    </row>
    <row r="275" spans="1:2">
      <c r="A275" t="s">
        <v>2636</v>
      </c>
      <c r="B275" t="s">
        <v>2635</v>
      </c>
    </row>
    <row r="276" spans="1:2">
      <c r="A276" t="s">
        <v>2637</v>
      </c>
      <c r="B276" t="s">
        <v>2574</v>
      </c>
    </row>
    <row r="277" spans="1:2">
      <c r="A277" t="s">
        <v>2637</v>
      </c>
      <c r="B277" t="s">
        <v>2552</v>
      </c>
    </row>
    <row r="278" spans="1:2">
      <c r="A278" s="5" t="s">
        <v>5653</v>
      </c>
      <c r="B278" s="5" t="s">
        <v>5652</v>
      </c>
    </row>
    <row r="279" spans="1:2">
      <c r="A279" s="5" t="s">
        <v>5925</v>
      </c>
      <c r="B279" s="5" t="s">
        <v>5652</v>
      </c>
    </row>
    <row r="280" spans="1:2">
      <c r="A280" t="s">
        <v>2638</v>
      </c>
      <c r="B280" t="s">
        <v>2568</v>
      </c>
    </row>
    <row r="281" spans="1:2">
      <c r="A281" t="s">
        <v>2639</v>
      </c>
      <c r="B281" t="s">
        <v>2575</v>
      </c>
    </row>
    <row r="282" spans="1:2">
      <c r="A282" t="s">
        <v>2640</v>
      </c>
      <c r="B282" t="s">
        <v>2639</v>
      </c>
    </row>
    <row r="283" spans="1:2">
      <c r="A283" t="s">
        <v>2641</v>
      </c>
      <c r="B283" t="s">
        <v>2576</v>
      </c>
    </row>
    <row r="284" spans="1:2">
      <c r="A284" t="s">
        <v>2642</v>
      </c>
      <c r="B284" t="s">
        <v>2641</v>
      </c>
    </row>
    <row r="285" spans="1:2">
      <c r="A285" t="s">
        <v>2643</v>
      </c>
      <c r="B285" t="s">
        <v>2642</v>
      </c>
    </row>
    <row r="286" spans="1:2">
      <c r="A286" t="s">
        <v>2644</v>
      </c>
      <c r="B286" t="s">
        <v>2643</v>
      </c>
    </row>
    <row r="287" spans="1:2">
      <c r="A287" t="s">
        <v>2645</v>
      </c>
      <c r="B287" t="s">
        <v>2644</v>
      </c>
    </row>
    <row r="288" spans="1:2">
      <c r="A288" t="s">
        <v>2646</v>
      </c>
      <c r="B288" t="s">
        <v>2576</v>
      </c>
    </row>
    <row r="289" spans="1:2">
      <c r="A289" t="s">
        <v>2647</v>
      </c>
      <c r="B289" t="s">
        <v>2646</v>
      </c>
    </row>
    <row r="290" spans="1:2">
      <c r="A290" t="s">
        <v>2648</v>
      </c>
      <c r="B290" t="s">
        <v>2647</v>
      </c>
    </row>
    <row r="291" spans="1:2">
      <c r="A291" t="s">
        <v>2649</v>
      </c>
      <c r="B291" t="s">
        <v>2576</v>
      </c>
    </row>
    <row r="292" spans="1:2">
      <c r="A292" t="s">
        <v>2649</v>
      </c>
      <c r="B292" t="s">
        <v>2552</v>
      </c>
    </row>
    <row r="293" spans="1:2">
      <c r="A293" t="s">
        <v>2650</v>
      </c>
      <c r="B293" t="s">
        <v>120</v>
      </c>
    </row>
    <row r="294" spans="1:2">
      <c r="A294" t="s">
        <v>2650</v>
      </c>
      <c r="B294" t="s">
        <v>13</v>
      </c>
    </row>
    <row r="295" spans="1:2">
      <c r="A295" t="s">
        <v>2652</v>
      </c>
      <c r="B295" t="s">
        <v>162</v>
      </c>
    </row>
    <row r="296" spans="1:2">
      <c r="A296" s="5" t="s">
        <v>2652</v>
      </c>
      <c r="B296" t="s">
        <v>2494</v>
      </c>
    </row>
    <row r="297" spans="1:2">
      <c r="A297" t="s">
        <v>2653</v>
      </c>
      <c r="B297" t="s">
        <v>162</v>
      </c>
    </row>
    <row r="298" spans="1:2">
      <c r="A298" t="s">
        <v>2653</v>
      </c>
      <c r="B298" t="s">
        <v>13</v>
      </c>
    </row>
    <row r="299" spans="1:2">
      <c r="A299" t="s">
        <v>2654</v>
      </c>
      <c r="B299" t="s">
        <v>128</v>
      </c>
    </row>
    <row r="300" spans="1:2">
      <c r="A300" t="s">
        <v>2654</v>
      </c>
      <c r="B300" t="s">
        <v>13</v>
      </c>
    </row>
    <row r="301" spans="1:2">
      <c r="A301" t="s">
        <v>2655</v>
      </c>
      <c r="B301" t="s">
        <v>76</v>
      </c>
    </row>
    <row r="302" spans="1:2">
      <c r="A302" t="s">
        <v>2655</v>
      </c>
      <c r="B302" t="s">
        <v>40</v>
      </c>
    </row>
    <row r="303" spans="1:2">
      <c r="A303" t="s">
        <v>2656</v>
      </c>
      <c r="B303" t="s">
        <v>23</v>
      </c>
    </row>
    <row r="304" spans="1:2">
      <c r="A304" t="s">
        <v>2656</v>
      </c>
      <c r="B304" t="s">
        <v>2502</v>
      </c>
    </row>
    <row r="305" spans="1:2">
      <c r="A305" t="s">
        <v>2657</v>
      </c>
      <c r="B305" t="s">
        <v>133</v>
      </c>
    </row>
    <row r="306" spans="1:2">
      <c r="A306" t="s">
        <v>2657</v>
      </c>
      <c r="B306" t="s">
        <v>27</v>
      </c>
    </row>
    <row r="307" spans="1:2">
      <c r="A307" t="s">
        <v>2658</v>
      </c>
      <c r="B307" t="s">
        <v>76</v>
      </c>
    </row>
    <row r="308" spans="1:2">
      <c r="A308" t="s">
        <v>2658</v>
      </c>
      <c r="B308" t="s">
        <v>27</v>
      </c>
    </row>
    <row r="309" spans="1:2">
      <c r="A309" t="s">
        <v>2659</v>
      </c>
      <c r="B309" t="s">
        <v>60</v>
      </c>
    </row>
    <row r="310" spans="1:2">
      <c r="A310" t="s">
        <v>2659</v>
      </c>
      <c r="B310" t="s">
        <v>27</v>
      </c>
    </row>
    <row r="311" spans="1:2">
      <c r="A311" t="s">
        <v>2660</v>
      </c>
      <c r="B311" t="s">
        <v>134</v>
      </c>
    </row>
    <row r="312" spans="1:2">
      <c r="A312" t="s">
        <v>2660</v>
      </c>
      <c r="B312" t="s">
        <v>2500</v>
      </c>
    </row>
    <row r="313" spans="1:2">
      <c r="A313" t="s">
        <v>2661</v>
      </c>
      <c r="B313" t="s">
        <v>134</v>
      </c>
    </row>
    <row r="314" spans="1:2">
      <c r="A314" t="s">
        <v>2661</v>
      </c>
      <c r="B314" t="s">
        <v>13</v>
      </c>
    </row>
    <row r="315" spans="1:2">
      <c r="A315" t="s">
        <v>2662</v>
      </c>
      <c r="B315" t="s">
        <v>76</v>
      </c>
    </row>
    <row r="316" spans="1:2">
      <c r="A316" t="s">
        <v>2662</v>
      </c>
      <c r="B316" t="s">
        <v>40</v>
      </c>
    </row>
    <row r="317" spans="1:2">
      <c r="A317" t="s">
        <v>2663</v>
      </c>
      <c r="B317" t="s">
        <v>64</v>
      </c>
    </row>
    <row r="318" spans="1:2">
      <c r="A318" t="s">
        <v>2664</v>
      </c>
      <c r="B318" t="s">
        <v>45</v>
      </c>
    </row>
    <row r="319" spans="1:2">
      <c r="A319" t="s">
        <v>2664</v>
      </c>
      <c r="B319" t="s">
        <v>2502</v>
      </c>
    </row>
    <row r="320" spans="1:2">
      <c r="A320" t="s">
        <v>2665</v>
      </c>
      <c r="B320" t="s">
        <v>162</v>
      </c>
    </row>
    <row r="321" spans="1:2">
      <c r="A321" t="s">
        <v>2665</v>
      </c>
      <c r="B321" t="s">
        <v>116</v>
      </c>
    </row>
    <row r="322" spans="1:2">
      <c r="A322" t="s">
        <v>2666</v>
      </c>
      <c r="B322" t="s">
        <v>162</v>
      </c>
    </row>
    <row r="323" spans="1:2">
      <c r="A323" t="s">
        <v>2666</v>
      </c>
      <c r="B323" t="s">
        <v>13</v>
      </c>
    </row>
    <row r="324" spans="1:2">
      <c r="A324" t="s">
        <v>2667</v>
      </c>
      <c r="B324" t="s">
        <v>162</v>
      </c>
    </row>
    <row r="325" spans="1:2">
      <c r="A325" t="s">
        <v>2667</v>
      </c>
      <c r="B325" t="s">
        <v>2486</v>
      </c>
    </row>
    <row r="326" spans="1:2">
      <c r="A326" t="s">
        <v>2668</v>
      </c>
      <c r="B326" t="s">
        <v>162</v>
      </c>
    </row>
    <row r="327" spans="1:2">
      <c r="A327" t="s">
        <v>2668</v>
      </c>
      <c r="B327" t="s">
        <v>13</v>
      </c>
    </row>
    <row r="328" spans="1:2">
      <c r="A328" t="s">
        <v>2669</v>
      </c>
      <c r="B328" t="s">
        <v>23</v>
      </c>
    </row>
    <row r="329" spans="1:2">
      <c r="A329" t="s">
        <v>2669</v>
      </c>
      <c r="B329" t="s">
        <v>13</v>
      </c>
    </row>
    <row r="330" spans="1:2">
      <c r="A330" t="s">
        <v>2670</v>
      </c>
      <c r="B330" t="s">
        <v>76</v>
      </c>
    </row>
    <row r="331" spans="1:2">
      <c r="A331" t="s">
        <v>2670</v>
      </c>
      <c r="B331" t="s">
        <v>40</v>
      </c>
    </row>
    <row r="332" spans="1:2">
      <c r="A332" t="s">
        <v>2281</v>
      </c>
      <c r="B332" t="s">
        <v>2480</v>
      </c>
    </row>
    <row r="333" spans="1:2">
      <c r="A333" t="s">
        <v>2281</v>
      </c>
      <c r="B333" t="s">
        <v>5798</v>
      </c>
    </row>
    <row r="334" spans="1:2">
      <c r="A334" t="s">
        <v>2281</v>
      </c>
      <c r="B334" t="s">
        <v>2498</v>
      </c>
    </row>
    <row r="335" spans="1:2">
      <c r="A335" t="s">
        <v>2281</v>
      </c>
      <c r="B335" t="s">
        <v>2667</v>
      </c>
    </row>
    <row r="336" spans="1:2">
      <c r="A336" s="5" t="s">
        <v>2281</v>
      </c>
      <c r="B336" t="s">
        <v>5755</v>
      </c>
    </row>
    <row r="337" spans="1:2">
      <c r="A337" t="s">
        <v>2450</v>
      </c>
      <c r="B337" t="s">
        <v>2281</v>
      </c>
    </row>
    <row r="338" spans="1:2">
      <c r="A338" t="s">
        <v>2285</v>
      </c>
      <c r="B338" t="s">
        <v>2450</v>
      </c>
    </row>
    <row r="339" spans="1:2">
      <c r="A339" t="s">
        <v>2285</v>
      </c>
      <c r="B339" t="s">
        <v>3434</v>
      </c>
    </row>
    <row r="340" spans="1:2">
      <c r="A340" t="s">
        <v>2285</v>
      </c>
      <c r="B340" t="s">
        <v>2478</v>
      </c>
    </row>
    <row r="341" spans="1:2">
      <c r="A341" t="s">
        <v>2452</v>
      </c>
      <c r="B341" t="s">
        <v>2285</v>
      </c>
    </row>
    <row r="342" spans="1:2">
      <c r="A342" t="s">
        <v>2288</v>
      </c>
      <c r="B342" t="s">
        <v>2452</v>
      </c>
    </row>
    <row r="343" spans="1:2">
      <c r="A343" t="s">
        <v>2454</v>
      </c>
      <c r="B343" t="s">
        <v>2288</v>
      </c>
    </row>
    <row r="344" spans="1:2">
      <c r="A344" t="s">
        <v>2291</v>
      </c>
      <c r="B344" t="s">
        <v>2454</v>
      </c>
    </row>
    <row r="345" spans="1:2">
      <c r="A345" t="s">
        <v>2456</v>
      </c>
      <c r="B345" t="s">
        <v>2291</v>
      </c>
    </row>
    <row r="346" spans="1:2">
      <c r="A346" t="s">
        <v>2294</v>
      </c>
      <c r="B346" t="s">
        <v>2456</v>
      </c>
    </row>
    <row r="347" spans="1:2">
      <c r="A347" t="s">
        <v>2458</v>
      </c>
      <c r="B347" t="s">
        <v>2294</v>
      </c>
    </row>
    <row r="348" spans="1:2">
      <c r="A348" t="s">
        <v>2460</v>
      </c>
      <c r="B348" t="s">
        <v>2297</v>
      </c>
    </row>
    <row r="349" spans="1:2">
      <c r="A349" t="s">
        <v>2462</v>
      </c>
      <c r="B349" t="s">
        <v>2300</v>
      </c>
    </row>
    <row r="350" spans="1:2">
      <c r="A350" t="s">
        <v>2303</v>
      </c>
      <c r="B350" t="s">
        <v>3438</v>
      </c>
    </row>
    <row r="351" spans="1:2">
      <c r="A351" t="s">
        <v>2303</v>
      </c>
      <c r="B351" t="s">
        <v>44</v>
      </c>
    </row>
    <row r="352" spans="1:2">
      <c r="A352" t="s">
        <v>2464</v>
      </c>
      <c r="B352" t="s">
        <v>2303</v>
      </c>
    </row>
    <row r="353" spans="1:2">
      <c r="A353" t="s">
        <v>2306</v>
      </c>
      <c r="B353" t="s">
        <v>3440</v>
      </c>
    </row>
    <row r="354" spans="1:2">
      <c r="A354" t="s">
        <v>2306</v>
      </c>
      <c r="B354" t="s">
        <v>44</v>
      </c>
    </row>
    <row r="355" spans="1:2">
      <c r="A355" t="s">
        <v>2466</v>
      </c>
      <c r="B355" t="s">
        <v>2306</v>
      </c>
    </row>
    <row r="356" spans="1:2">
      <c r="A356" t="s">
        <v>2309</v>
      </c>
      <c r="B356" t="s">
        <v>27</v>
      </c>
    </row>
    <row r="357" spans="1:2">
      <c r="A357" t="s">
        <v>2468</v>
      </c>
      <c r="B357" t="s">
        <v>2309</v>
      </c>
    </row>
    <row r="358" spans="1:2">
      <c r="A358" t="s">
        <v>2315</v>
      </c>
      <c r="B358" t="s">
        <v>52</v>
      </c>
    </row>
    <row r="359" spans="1:2">
      <c r="A359" t="s">
        <v>2315</v>
      </c>
      <c r="B359" t="s">
        <v>2470</v>
      </c>
    </row>
    <row r="360" spans="1:2">
      <c r="A360" t="s">
        <v>2472</v>
      </c>
      <c r="B360" t="s">
        <v>2315</v>
      </c>
    </row>
    <row r="361" spans="1:2">
      <c r="A361" t="s">
        <v>2312</v>
      </c>
      <c r="B361" t="s">
        <v>13</v>
      </c>
    </row>
    <row r="362" spans="1:2">
      <c r="A362" t="s">
        <v>2312</v>
      </c>
      <c r="B362" t="s">
        <v>2468</v>
      </c>
    </row>
    <row r="363" spans="1:2">
      <c r="A363" t="s">
        <v>2470</v>
      </c>
      <c r="B363" t="s">
        <v>2312</v>
      </c>
    </row>
    <row r="364" spans="1:2">
      <c r="A364" t="s">
        <v>2318</v>
      </c>
      <c r="B364" t="s">
        <v>5756</v>
      </c>
    </row>
    <row r="365" spans="1:2">
      <c r="A365" t="s">
        <v>2474</v>
      </c>
      <c r="B365" t="s">
        <v>2318</v>
      </c>
    </row>
    <row r="366" spans="1:2">
      <c r="A366" t="s">
        <v>2321</v>
      </c>
      <c r="B366" t="s">
        <v>27</v>
      </c>
    </row>
    <row r="367" spans="1:2">
      <c r="A367" t="s">
        <v>2476</v>
      </c>
      <c r="B367" t="s">
        <v>2321</v>
      </c>
    </row>
    <row r="368" spans="1:2">
      <c r="A368" t="s">
        <v>2324</v>
      </c>
      <c r="B368" t="s">
        <v>129</v>
      </c>
    </row>
    <row r="369" spans="1:2">
      <c r="A369" t="s">
        <v>2478</v>
      </c>
      <c r="B369" t="s">
        <v>2324</v>
      </c>
    </row>
    <row r="370" spans="1:2">
      <c r="A370" s="5" t="s">
        <v>5588</v>
      </c>
      <c r="B370" t="s">
        <v>2550</v>
      </c>
    </row>
    <row r="371" spans="1:2">
      <c r="A371" t="s">
        <v>5587</v>
      </c>
      <c r="B371" t="s">
        <v>5588</v>
      </c>
    </row>
    <row r="372" spans="1:2">
      <c r="A372" t="s">
        <v>2327</v>
      </c>
      <c r="B372" t="s">
        <v>2556</v>
      </c>
    </row>
    <row r="373" spans="1:2">
      <c r="A373" t="s">
        <v>2327</v>
      </c>
      <c r="B373" t="s">
        <v>45</v>
      </c>
    </row>
    <row r="374" spans="1:2">
      <c r="A374" t="s">
        <v>2327</v>
      </c>
      <c r="B374" t="s">
        <v>3446</v>
      </c>
    </row>
    <row r="375" spans="1:2">
      <c r="A375" t="s">
        <v>2480</v>
      </c>
      <c r="B375" t="s">
        <v>2327</v>
      </c>
    </row>
    <row r="376" spans="1:2">
      <c r="A376" t="s">
        <v>2330</v>
      </c>
      <c r="B376" t="s">
        <v>3448</v>
      </c>
    </row>
    <row r="377" spans="1:2">
      <c r="A377" t="s">
        <v>2482</v>
      </c>
      <c r="B377" t="s">
        <v>2330</v>
      </c>
    </row>
    <row r="378" spans="1:2">
      <c r="A378" t="s">
        <v>2357</v>
      </c>
      <c r="B378" t="s">
        <v>2354</v>
      </c>
    </row>
    <row r="379" spans="1:2">
      <c r="A379" t="s">
        <v>2357</v>
      </c>
      <c r="B379" t="s">
        <v>6105</v>
      </c>
    </row>
    <row r="380" spans="1:2">
      <c r="A380" t="s">
        <v>2500</v>
      </c>
      <c r="B380" t="s">
        <v>2357</v>
      </c>
    </row>
    <row r="381" spans="1:2">
      <c r="A381" t="s">
        <v>2360</v>
      </c>
      <c r="B381" t="s">
        <v>2357</v>
      </c>
    </row>
    <row r="382" spans="1:2">
      <c r="A382" t="s">
        <v>2360</v>
      </c>
      <c r="B382" t="s">
        <v>3468</v>
      </c>
    </row>
    <row r="383" spans="1:2">
      <c r="A383" t="s">
        <v>2502</v>
      </c>
      <c r="B383" t="s">
        <v>2360</v>
      </c>
    </row>
    <row r="384" spans="1:2">
      <c r="A384" t="s">
        <v>2363</v>
      </c>
      <c r="B384" t="s">
        <v>2486</v>
      </c>
    </row>
    <row r="385" spans="1:2">
      <c r="A385" t="s">
        <v>2363</v>
      </c>
      <c r="B385" t="s">
        <v>2360</v>
      </c>
    </row>
    <row r="386" spans="1:2">
      <c r="A386" t="s">
        <v>2363</v>
      </c>
      <c r="B386" t="s">
        <v>3471</v>
      </c>
    </row>
    <row r="387" spans="1:2">
      <c r="A387" t="s">
        <v>2504</v>
      </c>
      <c r="B387" t="s">
        <v>2363</v>
      </c>
    </row>
    <row r="388" spans="1:2">
      <c r="A388" t="s">
        <v>2366</v>
      </c>
      <c r="B388" t="s">
        <v>2363</v>
      </c>
    </row>
    <row r="389" spans="1:2">
      <c r="A389" t="s">
        <v>2366</v>
      </c>
      <c r="B389" t="s">
        <v>3474</v>
      </c>
    </row>
    <row r="390" spans="1:2">
      <c r="A390" t="s">
        <v>2506</v>
      </c>
      <c r="B390" t="s">
        <v>2366</v>
      </c>
    </row>
    <row r="391" spans="1:2">
      <c r="A391" t="s">
        <v>2369</v>
      </c>
      <c r="B391" t="s">
        <v>2504</v>
      </c>
    </row>
    <row r="392" spans="1:2">
      <c r="A392" t="s">
        <v>2508</v>
      </c>
      <c r="B392" t="s">
        <v>2369</v>
      </c>
    </row>
    <row r="393" spans="1:2">
      <c r="A393" t="s">
        <v>2372</v>
      </c>
      <c r="B393" t="s">
        <v>2508</v>
      </c>
    </row>
    <row r="394" spans="1:2">
      <c r="A394" t="s">
        <v>2372</v>
      </c>
      <c r="B394" t="s">
        <v>2506</v>
      </c>
    </row>
    <row r="395" spans="1:2">
      <c r="A395" t="s">
        <v>2372</v>
      </c>
      <c r="B395" t="s">
        <v>6104</v>
      </c>
    </row>
    <row r="396" spans="1:2">
      <c r="A396" t="s">
        <v>2372</v>
      </c>
      <c r="B396" t="s">
        <v>2490</v>
      </c>
    </row>
    <row r="397" spans="1:2">
      <c r="A397" t="s">
        <v>2372</v>
      </c>
      <c r="B397" t="s">
        <v>2498</v>
      </c>
    </row>
    <row r="398" spans="1:2">
      <c r="A398" t="s">
        <v>2510</v>
      </c>
      <c r="B398" t="s">
        <v>2372</v>
      </c>
    </row>
    <row r="399" spans="1:2">
      <c r="A399" t="s">
        <v>2333</v>
      </c>
      <c r="B399" t="s">
        <v>2482</v>
      </c>
    </row>
    <row r="400" spans="1:2">
      <c r="A400" t="s">
        <v>2333</v>
      </c>
      <c r="B400" t="s">
        <v>6040</v>
      </c>
    </row>
    <row r="401" spans="1:2">
      <c r="A401" t="s">
        <v>2484</v>
      </c>
      <c r="B401" t="s">
        <v>2333</v>
      </c>
    </row>
    <row r="402" spans="1:2">
      <c r="A402" t="s">
        <v>2336</v>
      </c>
      <c r="B402" t="s">
        <v>5692</v>
      </c>
    </row>
    <row r="403" spans="1:2">
      <c r="A403" t="s">
        <v>2336</v>
      </c>
      <c r="B403" t="s">
        <v>2484</v>
      </c>
    </row>
    <row r="404" spans="1:2">
      <c r="A404" t="s">
        <v>2486</v>
      </c>
      <c r="B404" t="s">
        <v>2336</v>
      </c>
    </row>
    <row r="405" spans="1:2">
      <c r="A405" t="s">
        <v>2339</v>
      </c>
      <c r="B405" t="s">
        <v>6103</v>
      </c>
    </row>
    <row r="406" spans="1:2">
      <c r="A406" t="s">
        <v>2488</v>
      </c>
      <c r="B406" t="s">
        <v>2339</v>
      </c>
    </row>
    <row r="407" spans="1:2">
      <c r="A407" t="s">
        <v>2342</v>
      </c>
      <c r="B407" t="s">
        <v>2488</v>
      </c>
    </row>
    <row r="408" spans="1:2">
      <c r="A408" t="s">
        <v>2342</v>
      </c>
      <c r="B408" t="s">
        <v>3456</v>
      </c>
    </row>
    <row r="409" spans="1:2">
      <c r="A409" t="s">
        <v>2490</v>
      </c>
      <c r="B409" t="s">
        <v>2342</v>
      </c>
    </row>
    <row r="410" spans="1:2">
      <c r="A410" t="s">
        <v>2345</v>
      </c>
      <c r="B410" t="s">
        <v>2342</v>
      </c>
    </row>
    <row r="411" spans="1:2">
      <c r="A411" t="s">
        <v>2345</v>
      </c>
      <c r="B411" t="s">
        <v>6039</v>
      </c>
    </row>
    <row r="412" spans="1:2">
      <c r="A412" t="s">
        <v>2492</v>
      </c>
      <c r="B412" t="s">
        <v>2345</v>
      </c>
    </row>
    <row r="413" spans="1:2">
      <c r="A413" t="s">
        <v>2348</v>
      </c>
      <c r="B413" t="s">
        <v>2492</v>
      </c>
    </row>
    <row r="414" spans="1:2">
      <c r="A414" t="s">
        <v>2348</v>
      </c>
      <c r="B414" t="s">
        <v>3460</v>
      </c>
    </row>
    <row r="415" spans="1:2">
      <c r="A415" t="s">
        <v>2494</v>
      </c>
      <c r="B415" t="s">
        <v>2348</v>
      </c>
    </row>
    <row r="416" spans="1:2">
      <c r="A416" t="s">
        <v>2351</v>
      </c>
      <c r="B416" t="s">
        <v>2494</v>
      </c>
    </row>
    <row r="417" spans="1:2">
      <c r="A417" t="s">
        <v>2351</v>
      </c>
      <c r="B417" t="s">
        <v>3463</v>
      </c>
    </row>
    <row r="418" spans="1:2">
      <c r="A418" t="s">
        <v>2496</v>
      </c>
      <c r="B418" t="s">
        <v>2351</v>
      </c>
    </row>
    <row r="419" spans="1:2">
      <c r="A419" t="s">
        <v>2354</v>
      </c>
      <c r="B419" t="s">
        <v>2496</v>
      </c>
    </row>
    <row r="420" spans="1:2">
      <c r="A420" t="s">
        <v>2354</v>
      </c>
      <c r="B420" t="s">
        <v>3453</v>
      </c>
    </row>
    <row r="421" spans="1:2">
      <c r="A421" t="s">
        <v>2498</v>
      </c>
      <c r="B421" t="s">
        <v>2354</v>
      </c>
    </row>
    <row r="422" spans="1:2">
      <c r="A422" t="s">
        <v>2375</v>
      </c>
      <c r="B422" t="s">
        <v>40</v>
      </c>
    </row>
    <row r="423" spans="1:2">
      <c r="A423" t="s">
        <v>2512</v>
      </c>
      <c r="B423" t="s">
        <v>2375</v>
      </c>
    </row>
    <row r="424" spans="1:2">
      <c r="A424" t="s">
        <v>2378</v>
      </c>
      <c r="B424" t="s">
        <v>2512</v>
      </c>
    </row>
    <row r="425" spans="1:2">
      <c r="A425" t="s">
        <v>2514</v>
      </c>
      <c r="B425" t="s">
        <v>2378</v>
      </c>
    </row>
    <row r="426" spans="1:2">
      <c r="A426" t="s">
        <v>2381</v>
      </c>
      <c r="B426" t="s">
        <v>2512</v>
      </c>
    </row>
    <row r="427" spans="1:2">
      <c r="A427" t="s">
        <v>2516</v>
      </c>
      <c r="B427" t="s">
        <v>2381</v>
      </c>
    </row>
    <row r="428" spans="1:2">
      <c r="A428" t="s">
        <v>2384</v>
      </c>
      <c r="B428" t="s">
        <v>6038</v>
      </c>
    </row>
    <row r="429" spans="1:2">
      <c r="A429" t="s">
        <v>2518</v>
      </c>
      <c r="B429" t="s">
        <v>2384</v>
      </c>
    </row>
    <row r="430" spans="1:2">
      <c r="A430" t="s">
        <v>2387</v>
      </c>
      <c r="B430" t="s">
        <v>13</v>
      </c>
    </row>
    <row r="431" spans="1:2">
      <c r="A431" t="s">
        <v>2520</v>
      </c>
      <c r="B431" t="s">
        <v>2387</v>
      </c>
    </row>
    <row r="432" spans="1:2">
      <c r="A432" t="s">
        <v>2390</v>
      </c>
      <c r="B432" t="s">
        <v>3479</v>
      </c>
    </row>
    <row r="433" spans="1:2">
      <c r="A433" t="s">
        <v>2522</v>
      </c>
      <c r="B433" t="s">
        <v>2390</v>
      </c>
    </row>
    <row r="434" spans="1:2">
      <c r="A434" t="s">
        <v>2393</v>
      </c>
      <c r="B434" t="s">
        <v>2522</v>
      </c>
    </row>
    <row r="435" spans="1:2">
      <c r="A435" t="s">
        <v>2524</v>
      </c>
      <c r="B435" t="s">
        <v>2393</v>
      </c>
    </row>
    <row r="436" spans="1:2">
      <c r="A436" t="s">
        <v>2396</v>
      </c>
      <c r="B436" t="s">
        <v>2524</v>
      </c>
    </row>
    <row r="437" spans="1:2">
      <c r="A437" t="s">
        <v>2526</v>
      </c>
      <c r="B437" t="s">
        <v>2396</v>
      </c>
    </row>
    <row r="438" spans="1:2">
      <c r="A438" t="s">
        <v>2399</v>
      </c>
      <c r="B438" t="s">
        <v>2526</v>
      </c>
    </row>
    <row r="439" spans="1:2">
      <c r="A439" t="s">
        <v>2528</v>
      </c>
      <c r="B439" t="s">
        <v>2399</v>
      </c>
    </row>
    <row r="440" spans="1:2">
      <c r="A440" t="s">
        <v>2402</v>
      </c>
      <c r="B440" t="s">
        <v>2526</v>
      </c>
    </row>
    <row r="441" spans="1:2">
      <c r="A441" t="s">
        <v>2530</v>
      </c>
      <c r="B441" t="s">
        <v>2402</v>
      </c>
    </row>
    <row r="442" spans="1:2">
      <c r="A442" t="s">
        <v>2405</v>
      </c>
      <c r="B442" t="s">
        <v>2528</v>
      </c>
    </row>
    <row r="443" spans="1:2">
      <c r="A443" t="s">
        <v>2532</v>
      </c>
      <c r="B443" t="s">
        <v>2405</v>
      </c>
    </row>
    <row r="444" spans="1:2">
      <c r="A444" t="s">
        <v>2408</v>
      </c>
      <c r="B444" t="s">
        <v>2530</v>
      </c>
    </row>
    <row r="445" spans="1:2">
      <c r="A445" t="s">
        <v>2408</v>
      </c>
      <c r="B445" t="s">
        <v>2532</v>
      </c>
    </row>
    <row r="446" spans="1:2">
      <c r="A446" t="s">
        <v>2534</v>
      </c>
      <c r="B446" t="s">
        <v>2408</v>
      </c>
    </row>
    <row r="447" spans="1:2">
      <c r="A447" t="s">
        <v>2411</v>
      </c>
      <c r="B447" t="s">
        <v>27</v>
      </c>
    </row>
    <row r="448" spans="1:2">
      <c r="A448" t="s">
        <v>2536</v>
      </c>
      <c r="B448" t="s">
        <v>2411</v>
      </c>
    </row>
    <row r="449" spans="1:2">
      <c r="A449" t="s">
        <v>2414</v>
      </c>
      <c r="B449" t="s">
        <v>116</v>
      </c>
    </row>
    <row r="450" spans="1:2">
      <c r="A450" t="s">
        <v>2538</v>
      </c>
      <c r="B450" t="s">
        <v>2414</v>
      </c>
    </row>
    <row r="451" spans="1:2">
      <c r="A451" t="s">
        <v>2417</v>
      </c>
      <c r="B451" t="s">
        <v>2204</v>
      </c>
    </row>
    <row r="452" spans="1:2">
      <c r="A452" t="s">
        <v>2417</v>
      </c>
      <c r="B452" t="s">
        <v>2260</v>
      </c>
    </row>
    <row r="453" spans="1:2">
      <c r="A453" t="s">
        <v>2417</v>
      </c>
      <c r="B453" t="s">
        <v>2226</v>
      </c>
    </row>
    <row r="454" spans="1:2">
      <c r="A454" t="s">
        <v>2417</v>
      </c>
      <c r="B454" t="s">
        <v>2504</v>
      </c>
    </row>
    <row r="455" spans="1:2">
      <c r="A455" t="s">
        <v>2417</v>
      </c>
      <c r="B455" t="s">
        <v>3489</v>
      </c>
    </row>
    <row r="456" spans="1:2">
      <c r="A456" t="s">
        <v>2540</v>
      </c>
      <c r="B456" t="s">
        <v>2417</v>
      </c>
    </row>
    <row r="457" spans="1:2">
      <c r="A457" t="s">
        <v>2420</v>
      </c>
      <c r="B457" t="s">
        <v>2504</v>
      </c>
    </row>
    <row r="458" spans="1:2">
      <c r="A458" t="s">
        <v>2420</v>
      </c>
      <c r="B458" t="s">
        <v>3491</v>
      </c>
    </row>
    <row r="459" spans="1:2">
      <c r="A459" t="s">
        <v>2542</v>
      </c>
      <c r="B459" t="s">
        <v>2420</v>
      </c>
    </row>
    <row r="460" spans="1:2">
      <c r="A460" t="s">
        <v>2423</v>
      </c>
      <c r="B460" t="s">
        <v>2542</v>
      </c>
    </row>
    <row r="461" spans="1:2">
      <c r="A461" t="s">
        <v>2423</v>
      </c>
      <c r="B461" t="s">
        <v>3494</v>
      </c>
    </row>
    <row r="462" spans="1:2">
      <c r="A462" t="s">
        <v>2544</v>
      </c>
      <c r="B462" t="s">
        <v>2423</v>
      </c>
    </row>
    <row r="463" spans="1:2">
      <c r="A463" t="s">
        <v>2426</v>
      </c>
      <c r="B463" t="s">
        <v>2544</v>
      </c>
    </row>
    <row r="464" spans="1:2">
      <c r="A464" t="s">
        <v>2426</v>
      </c>
      <c r="B464" t="s">
        <v>3497</v>
      </c>
    </row>
    <row r="465" spans="1:2">
      <c r="A465" t="s">
        <v>2546</v>
      </c>
      <c r="B465" t="s">
        <v>2426</v>
      </c>
    </row>
    <row r="466" spans="1:2">
      <c r="A466" t="s">
        <v>2429</v>
      </c>
      <c r="B466" t="s">
        <v>2426</v>
      </c>
    </row>
    <row r="467" spans="1:2">
      <c r="A467" t="s">
        <v>2429</v>
      </c>
      <c r="B467" t="s">
        <v>3500</v>
      </c>
    </row>
    <row r="468" spans="1:2">
      <c r="A468" t="s">
        <v>2548</v>
      </c>
      <c r="B468" t="s">
        <v>2429</v>
      </c>
    </row>
    <row r="469" spans="1:2">
      <c r="A469" t="s">
        <v>2432</v>
      </c>
      <c r="B469" t="s">
        <v>39</v>
      </c>
    </row>
    <row r="470" spans="1:2">
      <c r="A470" t="s">
        <v>2432</v>
      </c>
      <c r="B470" t="s">
        <v>6266</v>
      </c>
    </row>
    <row r="471" spans="1:2">
      <c r="A471" t="s">
        <v>2550</v>
      </c>
      <c r="B471" t="s">
        <v>2432</v>
      </c>
    </row>
    <row r="472" spans="1:2">
      <c r="A472" t="s">
        <v>2435</v>
      </c>
      <c r="B472" t="s">
        <v>2546</v>
      </c>
    </row>
    <row r="473" spans="1:2">
      <c r="A473" t="s">
        <v>2552</v>
      </c>
      <c r="B473" t="s">
        <v>2435</v>
      </c>
    </row>
    <row r="474" spans="1:2">
      <c r="A474" t="s">
        <v>2438</v>
      </c>
      <c r="B474" t="s">
        <v>2552</v>
      </c>
    </row>
    <row r="476" spans="1:2">
      <c r="A476" t="s">
        <v>2554</v>
      </c>
      <c r="B476" t="s">
        <v>2438</v>
      </c>
    </row>
    <row r="477" spans="1:2">
      <c r="A477" t="s">
        <v>2441</v>
      </c>
      <c r="B477" t="s">
        <v>2466</v>
      </c>
    </row>
    <row r="478" spans="1:2">
      <c r="A478" t="s">
        <v>2441</v>
      </c>
      <c r="B478" t="s">
        <v>3504</v>
      </c>
    </row>
    <row r="479" spans="1:2">
      <c r="A479" t="s">
        <v>2556</v>
      </c>
      <c r="B479" t="s">
        <v>2441</v>
      </c>
    </row>
    <row r="480" spans="1:2">
      <c r="A480" t="s">
        <v>2444</v>
      </c>
      <c r="B480" t="s">
        <v>2528</v>
      </c>
    </row>
    <row r="481" spans="1:2">
      <c r="A481" t="s">
        <v>2444</v>
      </c>
      <c r="B481" t="s">
        <v>2538</v>
      </c>
    </row>
    <row r="482" spans="1:2">
      <c r="A482" t="s">
        <v>2444</v>
      </c>
      <c r="B482" t="s">
        <v>3508</v>
      </c>
    </row>
    <row r="483" spans="1:2">
      <c r="A483" t="s">
        <v>2558</v>
      </c>
      <c r="B483" t="s">
        <v>2444</v>
      </c>
    </row>
    <row r="484" spans="1:2">
      <c r="A484" t="s">
        <v>2447</v>
      </c>
      <c r="B484" t="s">
        <v>2466</v>
      </c>
    </row>
    <row r="485" spans="1:2">
      <c r="A485" t="s">
        <v>2447</v>
      </c>
      <c r="B485" t="s">
        <v>3512</v>
      </c>
    </row>
    <row r="486" spans="1:2">
      <c r="A486" t="s">
        <v>2447</v>
      </c>
      <c r="B486" t="s">
        <v>6042</v>
      </c>
    </row>
    <row r="487" spans="1:2">
      <c r="A487" t="s">
        <v>2560</v>
      </c>
      <c r="B487" t="s">
        <v>2447</v>
      </c>
    </row>
    <row r="488" spans="1:2">
      <c r="A488" t="s">
        <v>6098</v>
      </c>
      <c r="B488" s="5" t="s">
        <v>2306</v>
      </c>
    </row>
    <row r="489" spans="1:2">
      <c r="A489" t="s">
        <v>3500</v>
      </c>
      <c r="B489" t="s">
        <v>2426</v>
      </c>
    </row>
    <row r="490" spans="1:2">
      <c r="A490" t="s">
        <v>5668</v>
      </c>
      <c r="B490" t="s">
        <v>6058</v>
      </c>
    </row>
    <row r="491" spans="1:2">
      <c r="A491" t="s">
        <v>6099</v>
      </c>
      <c r="B491" t="s">
        <v>2568</v>
      </c>
    </row>
    <row r="492" spans="1:2">
      <c r="A492" t="s">
        <v>6099</v>
      </c>
      <c r="B492" t="s">
        <v>45</v>
      </c>
    </row>
    <row r="493" spans="1:2">
      <c r="A493" t="s">
        <v>3512</v>
      </c>
      <c r="B493" t="s">
        <v>2466</v>
      </c>
    </row>
    <row r="494" spans="1:2">
      <c r="A494" t="s">
        <v>3512</v>
      </c>
      <c r="B494" t="s">
        <v>45</v>
      </c>
    </row>
    <row r="495" spans="1:2">
      <c r="A495" t="s">
        <v>5685</v>
      </c>
      <c r="B495" t="s">
        <v>2435</v>
      </c>
    </row>
    <row r="496" spans="1:2">
      <c r="A496" t="s">
        <v>5685</v>
      </c>
      <c r="B496" t="s">
        <v>6037</v>
      </c>
    </row>
    <row r="497" spans="1:2">
      <c r="A497" t="s">
        <v>5774</v>
      </c>
      <c r="B497" t="s">
        <v>2333</v>
      </c>
    </row>
    <row r="498" spans="1:2">
      <c r="A498" t="s">
        <v>5775</v>
      </c>
      <c r="B498" t="s">
        <v>2363</v>
      </c>
    </row>
    <row r="499" spans="1:2">
      <c r="A499" t="s">
        <v>5776</v>
      </c>
      <c r="B499" t="s">
        <v>2363</v>
      </c>
    </row>
    <row r="500" spans="1:2">
      <c r="A500" t="s">
        <v>5777</v>
      </c>
      <c r="B500" t="s">
        <v>2363</v>
      </c>
    </row>
    <row r="501" spans="1:2">
      <c r="A501" t="s">
        <v>5778</v>
      </c>
      <c r="B501" t="s">
        <v>2363</v>
      </c>
    </row>
    <row r="502" spans="1:2">
      <c r="A502" t="s">
        <v>5798</v>
      </c>
      <c r="B502" t="s">
        <v>2498</v>
      </c>
    </row>
    <row r="503" spans="1:2">
      <c r="A503" t="s">
        <v>5805</v>
      </c>
      <c r="B503" t="s">
        <v>2348</v>
      </c>
    </row>
    <row r="504" spans="1:2">
      <c r="A504" t="s">
        <v>5771</v>
      </c>
      <c r="B504" t="s">
        <v>2357</v>
      </c>
    </row>
    <row r="505" spans="1:2">
      <c r="A505" t="s">
        <v>5923</v>
      </c>
      <c r="B505" t="s">
        <v>2281</v>
      </c>
    </row>
    <row r="506" spans="1:2">
      <c r="A506" t="s">
        <v>5680</v>
      </c>
      <c r="B506" s="2" t="s">
        <v>2432</v>
      </c>
    </row>
    <row r="507" spans="1:2">
      <c r="A507" t="s">
        <v>5800</v>
      </c>
      <c r="B507" t="s">
        <v>2281</v>
      </c>
    </row>
    <row r="508" spans="1:2">
      <c r="A508" t="s">
        <v>5768</v>
      </c>
      <c r="B508" s="5" t="s">
        <v>2327</v>
      </c>
    </row>
    <row r="509" spans="1:2">
      <c r="A509" t="s">
        <v>5801</v>
      </c>
      <c r="B509" t="s">
        <v>2281</v>
      </c>
    </row>
    <row r="510" spans="1:2">
      <c r="A510" t="s">
        <v>5802</v>
      </c>
      <c r="B510" t="s">
        <v>2281</v>
      </c>
    </row>
    <row r="511" spans="1:2">
      <c r="A511" t="s">
        <v>5803</v>
      </c>
      <c r="B511" t="s">
        <v>2281</v>
      </c>
    </row>
    <row r="512" spans="1:2">
      <c r="A512" t="s">
        <v>5804</v>
      </c>
      <c r="B512" t="s">
        <v>2281</v>
      </c>
    </row>
    <row r="513" spans="1:2">
      <c r="A513" t="s">
        <v>5782</v>
      </c>
      <c r="B513" t="s">
        <v>2281</v>
      </c>
    </row>
    <row r="514" spans="1:2">
      <c r="A514" t="s">
        <v>5921</v>
      </c>
      <c r="B514" t="s">
        <v>2345</v>
      </c>
    </row>
    <row r="515" spans="1:2">
      <c r="A515" t="s">
        <v>6097</v>
      </c>
      <c r="B515" s="5" t="s">
        <v>2441</v>
      </c>
    </row>
    <row r="516" spans="1:2">
      <c r="A516" t="s">
        <v>5769</v>
      </c>
      <c r="B516" s="5" t="s">
        <v>2327</v>
      </c>
    </row>
    <row r="517" spans="1:2">
      <c r="A517" t="s">
        <v>5770</v>
      </c>
      <c r="B517" s="5" t="s">
        <v>2327</v>
      </c>
    </row>
    <row r="518" spans="1:2">
      <c r="A518" t="s">
        <v>5757</v>
      </c>
      <c r="B518" t="s">
        <v>2281</v>
      </c>
    </row>
    <row r="519" spans="1:2">
      <c r="A519" t="s">
        <v>6100</v>
      </c>
      <c r="B519" t="s">
        <v>2339</v>
      </c>
    </row>
    <row r="520" spans="1:2">
      <c r="A520" t="s">
        <v>6101</v>
      </c>
      <c r="B520" t="s">
        <v>2339</v>
      </c>
    </row>
    <row r="521" spans="1:2">
      <c r="A521" t="s">
        <v>6102</v>
      </c>
      <c r="B521" t="s">
        <v>2339</v>
      </c>
    </row>
    <row r="522" spans="1:2">
      <c r="A522" t="s">
        <v>5772</v>
      </c>
      <c r="B522" t="s">
        <v>2417</v>
      </c>
    </row>
    <row r="523" spans="1:2">
      <c r="A523" t="s">
        <v>5690</v>
      </c>
      <c r="B523" t="s">
        <v>2330</v>
      </c>
    </row>
    <row r="524" spans="1:2">
      <c r="A524" t="s">
        <v>5758</v>
      </c>
      <c r="B524" t="s">
        <v>2288</v>
      </c>
    </row>
    <row r="525" spans="1:2">
      <c r="A525" t="s">
        <v>3504</v>
      </c>
      <c r="B525" t="s">
        <v>2466</v>
      </c>
    </row>
    <row r="526" spans="1:2">
      <c r="A526" t="s">
        <v>3494</v>
      </c>
      <c r="B526" t="s">
        <v>2542</v>
      </c>
    </row>
    <row r="527" spans="1:2">
      <c r="A527" t="s">
        <v>3497</v>
      </c>
      <c r="B527" t="s">
        <v>2544</v>
      </c>
    </row>
    <row r="528" spans="1:2">
      <c r="A528" t="s">
        <v>3460</v>
      </c>
      <c r="B528" t="s">
        <v>2492</v>
      </c>
    </row>
    <row r="529" spans="1:2">
      <c r="A529" t="s">
        <v>5759</v>
      </c>
      <c r="B529" t="s">
        <v>2288</v>
      </c>
    </row>
    <row r="530" spans="1:2">
      <c r="A530" t="s">
        <v>3438</v>
      </c>
      <c r="B530" t="s">
        <v>44</v>
      </c>
    </row>
    <row r="531" spans="1:2">
      <c r="A531" t="s">
        <v>3474</v>
      </c>
      <c r="B531" t="s">
        <v>2363</v>
      </c>
    </row>
    <row r="532" spans="1:2">
      <c r="A532" t="s">
        <v>6039</v>
      </c>
      <c r="B532" t="s">
        <v>2342</v>
      </c>
    </row>
    <row r="533" spans="1:2">
      <c r="A533" t="s">
        <v>6105</v>
      </c>
      <c r="B533" t="s">
        <v>2354</v>
      </c>
    </row>
    <row r="534" spans="1:2">
      <c r="A534" t="s">
        <v>3453</v>
      </c>
      <c r="B534" t="s">
        <v>2496</v>
      </c>
    </row>
    <row r="535" spans="1:2">
      <c r="A535" t="s">
        <v>3448</v>
      </c>
      <c r="B535" t="s">
        <v>42</v>
      </c>
    </row>
    <row r="536" spans="1:2">
      <c r="A536" t="s">
        <v>5755</v>
      </c>
      <c r="B536" t="s">
        <v>2480</v>
      </c>
    </row>
    <row r="537" spans="1:2">
      <c r="A537" t="s">
        <v>5692</v>
      </c>
      <c r="B537" t="s">
        <v>2484</v>
      </c>
    </row>
    <row r="538" spans="1:2">
      <c r="A538" t="s">
        <v>3489</v>
      </c>
      <c r="B538" t="s">
        <v>2504</v>
      </c>
    </row>
    <row r="539" spans="1:2">
      <c r="A539" t="s">
        <v>3471</v>
      </c>
      <c r="B539" t="s">
        <v>2360</v>
      </c>
    </row>
    <row r="540" spans="1:2">
      <c r="A540" t="s">
        <v>3471</v>
      </c>
      <c r="B540" t="s">
        <v>2486</v>
      </c>
    </row>
    <row r="541" spans="1:2">
      <c r="A541" t="s">
        <v>3456</v>
      </c>
      <c r="B541" t="s">
        <v>2488</v>
      </c>
    </row>
    <row r="542" spans="1:2">
      <c r="A542" t="s">
        <v>3440</v>
      </c>
      <c r="B542" t="s">
        <v>44</v>
      </c>
    </row>
    <row r="543" spans="1:2">
      <c r="A543" t="s">
        <v>3468</v>
      </c>
      <c r="B543" t="s">
        <v>2357</v>
      </c>
    </row>
    <row r="544" spans="1:2">
      <c r="A544" t="s">
        <v>3508</v>
      </c>
      <c r="B544" t="s">
        <v>2528</v>
      </c>
    </row>
    <row r="545" spans="1:2">
      <c r="A545" t="s">
        <v>3508</v>
      </c>
      <c r="B545" t="s">
        <v>2538</v>
      </c>
    </row>
    <row r="546" spans="1:2">
      <c r="A546" t="s">
        <v>6040</v>
      </c>
      <c r="B546" t="s">
        <v>2482</v>
      </c>
    </row>
    <row r="547" spans="1:2">
      <c r="A547" t="s">
        <v>6103</v>
      </c>
      <c r="B547" t="s">
        <v>2486</v>
      </c>
    </row>
    <row r="548" spans="1:2">
      <c r="A548" t="s">
        <v>6104</v>
      </c>
      <c r="B548" t="s">
        <v>2508</v>
      </c>
    </row>
    <row r="549" spans="1:2">
      <c r="A549" t="s">
        <v>6104</v>
      </c>
      <c r="B549" t="s">
        <v>2506</v>
      </c>
    </row>
    <row r="550" spans="1:2">
      <c r="A550" t="s">
        <v>5920</v>
      </c>
      <c r="B550" t="s">
        <v>2372</v>
      </c>
    </row>
    <row r="551" spans="1:2">
      <c r="A551" t="s">
        <v>3463</v>
      </c>
      <c r="B551" t="s">
        <v>2494</v>
      </c>
    </row>
    <row r="552" spans="1:2">
      <c r="A552" t="s">
        <v>3491</v>
      </c>
      <c r="B552" t="s">
        <v>2504</v>
      </c>
    </row>
    <row r="553" spans="1:2">
      <c r="A553" t="s">
        <v>5756</v>
      </c>
      <c r="B553" t="s">
        <v>40</v>
      </c>
    </row>
    <row r="554" spans="1:2">
      <c r="A554" t="s">
        <v>5691</v>
      </c>
      <c r="B554" t="s">
        <v>2336</v>
      </c>
    </row>
    <row r="555" spans="1:2">
      <c r="A555" t="s">
        <v>5712</v>
      </c>
      <c r="B555" s="5" t="s">
        <v>2381</v>
      </c>
    </row>
    <row r="556" spans="1:2">
      <c r="A556" t="s">
        <v>3479</v>
      </c>
      <c r="B556" t="s">
        <v>116</v>
      </c>
    </row>
    <row r="557" spans="1:2">
      <c r="A557" t="s">
        <v>5780</v>
      </c>
      <c r="B557" s="5" t="s">
        <v>2226</v>
      </c>
    </row>
    <row r="558" spans="1:2">
      <c r="A558" t="s">
        <v>5679</v>
      </c>
      <c r="B558" s="5" t="s">
        <v>2228</v>
      </c>
    </row>
    <row r="559" spans="1:2">
      <c r="A559" t="s">
        <v>5641</v>
      </c>
      <c r="B559" s="5" t="s">
        <v>2324</v>
      </c>
    </row>
    <row r="560" spans="1:2">
      <c r="A560" t="s">
        <v>5700</v>
      </c>
      <c r="B560" t="s">
        <v>2354</v>
      </c>
    </row>
    <row r="561" spans="1:2">
      <c r="A561" t="s">
        <v>5720</v>
      </c>
      <c r="B561" s="5" t="s">
        <v>2390</v>
      </c>
    </row>
    <row r="562" spans="1:2">
      <c r="A562" t="s">
        <v>5719</v>
      </c>
      <c r="B562" s="5" t="s">
        <v>2390</v>
      </c>
    </row>
    <row r="563" spans="1:2">
      <c r="A563" t="s">
        <v>5721</v>
      </c>
      <c r="B563" s="5" t="s">
        <v>2393</v>
      </c>
    </row>
    <row r="564" spans="1:2">
      <c r="A564" t="s">
        <v>6038</v>
      </c>
      <c r="B564" t="s">
        <v>2516</v>
      </c>
    </row>
    <row r="565" spans="1:2">
      <c r="A565" t="s">
        <v>5727</v>
      </c>
      <c r="B565" s="5" t="s">
        <v>2405</v>
      </c>
    </row>
    <row r="566" spans="1:2">
      <c r="A566" t="s">
        <v>5729</v>
      </c>
      <c r="B566" s="5" t="s">
        <v>2408</v>
      </c>
    </row>
    <row r="567" spans="1:2">
      <c r="A567" t="s">
        <v>5714</v>
      </c>
      <c r="B567" s="5" t="s">
        <v>2387</v>
      </c>
    </row>
    <row r="568" spans="1:2">
      <c r="A568" t="s">
        <v>5697</v>
      </c>
      <c r="B568" t="s">
        <v>2345</v>
      </c>
    </row>
    <row r="569" spans="1:2">
      <c r="A569" t="s">
        <v>5722</v>
      </c>
      <c r="B569" s="5" t="s">
        <v>2318</v>
      </c>
    </row>
    <row r="570" spans="1:2">
      <c r="A570" t="s">
        <v>5671</v>
      </c>
      <c r="B570" s="2" t="s">
        <v>2423</v>
      </c>
    </row>
    <row r="571" spans="1:2">
      <c r="A571" t="s">
        <v>5672</v>
      </c>
      <c r="B571" s="2" t="s">
        <v>2423</v>
      </c>
    </row>
    <row r="572" spans="1:2">
      <c r="A572" t="s">
        <v>5673</v>
      </c>
      <c r="B572" s="2" t="s">
        <v>2423</v>
      </c>
    </row>
    <row r="573" spans="1:2">
      <c r="A573" t="s">
        <v>5678</v>
      </c>
      <c r="B573" t="s">
        <v>2262</v>
      </c>
    </row>
    <row r="574" spans="1:2">
      <c r="A574" t="s">
        <v>5723</v>
      </c>
      <c r="B574" t="s">
        <v>2399</v>
      </c>
    </row>
    <row r="575" spans="1:2">
      <c r="A575" t="s">
        <v>5731</v>
      </c>
      <c r="B575" s="5" t="s">
        <v>2534</v>
      </c>
    </row>
    <row r="576" spans="1:2">
      <c r="A576" t="s">
        <v>5725</v>
      </c>
      <c r="B576" s="5" t="s">
        <v>2399</v>
      </c>
    </row>
    <row r="577" spans="1:2">
      <c r="A577" t="s">
        <v>5724</v>
      </c>
      <c r="B577" s="5" t="s">
        <v>2396</v>
      </c>
    </row>
    <row r="578" spans="1:2">
      <c r="A578" t="s">
        <v>5726</v>
      </c>
      <c r="B578" s="5" t="s">
        <v>2402</v>
      </c>
    </row>
    <row r="579" spans="1:2">
      <c r="A579" t="s">
        <v>5630</v>
      </c>
      <c r="B579" s="5" t="s">
        <v>2414</v>
      </c>
    </row>
    <row r="580" spans="1:2">
      <c r="A580" t="s">
        <v>5715</v>
      </c>
      <c r="B580" s="5" t="s">
        <v>2387</v>
      </c>
    </row>
    <row r="581" spans="1:2">
      <c r="A581" t="s">
        <v>5794</v>
      </c>
      <c r="B581" t="s">
        <v>5690</v>
      </c>
    </row>
    <row r="582" spans="1:2">
      <c r="A582" t="s">
        <v>5638</v>
      </c>
      <c r="B582" t="s">
        <v>2204</v>
      </c>
    </row>
    <row r="583" spans="1:2">
      <c r="A583" t="s">
        <v>5677</v>
      </c>
      <c r="B583" s="2" t="s">
        <v>2206</v>
      </c>
    </row>
    <row r="584" spans="1:2">
      <c r="A584" t="s">
        <v>5701</v>
      </c>
      <c r="B584" t="s">
        <v>2354</v>
      </c>
    </row>
    <row r="585" spans="1:2">
      <c r="A585" t="s">
        <v>3510</v>
      </c>
      <c r="B585" t="s">
        <v>2444</v>
      </c>
    </row>
    <row r="586" spans="1:2">
      <c r="A586" t="s">
        <v>5760</v>
      </c>
      <c r="B586" s="5" t="s">
        <v>2324</v>
      </c>
    </row>
    <row r="587" spans="1:2">
      <c r="A587" t="s">
        <v>5741</v>
      </c>
      <c r="B587" s="5" t="s">
        <v>2411</v>
      </c>
    </row>
    <row r="588" spans="1:2">
      <c r="A588" t="s">
        <v>5742</v>
      </c>
      <c r="B588" s="5" t="s">
        <v>2411</v>
      </c>
    </row>
    <row r="589" spans="1:2">
      <c r="A589" t="s">
        <v>5743</v>
      </c>
      <c r="B589" s="5" t="s">
        <v>2411</v>
      </c>
    </row>
    <row r="590" spans="1:2">
      <c r="A590" t="s">
        <v>5744</v>
      </c>
      <c r="B590" s="5" t="s">
        <v>2411</v>
      </c>
    </row>
    <row r="591" spans="1:2">
      <c r="A591" t="s">
        <v>5745</v>
      </c>
      <c r="B591" s="5" t="s">
        <v>2411</v>
      </c>
    </row>
    <row r="592" spans="1:2">
      <c r="A592" t="s">
        <v>3446</v>
      </c>
      <c r="B592" s="5" t="s">
        <v>2556</v>
      </c>
    </row>
    <row r="593" spans="1:2">
      <c r="A593" t="s">
        <v>6042</v>
      </c>
      <c r="B593" t="s">
        <v>2466</v>
      </c>
    </row>
    <row r="594" spans="1:2">
      <c r="A594" t="s">
        <v>6042</v>
      </c>
      <c r="B594" t="s">
        <v>3512</v>
      </c>
    </row>
    <row r="595" spans="1:2">
      <c r="A595" t="s">
        <v>3434</v>
      </c>
      <c r="B595" t="s">
        <v>2450</v>
      </c>
    </row>
    <row r="596" spans="1:2">
      <c r="A596" t="s">
        <v>6266</v>
      </c>
      <c r="B596" t="s">
        <v>39</v>
      </c>
    </row>
    <row r="597" spans="1:2">
      <c r="A597" t="s">
        <v>5761</v>
      </c>
      <c r="B597" s="5" t="s">
        <v>2324</v>
      </c>
    </row>
    <row r="598" spans="1:2">
      <c r="A598" t="s">
        <v>5746</v>
      </c>
      <c r="B598" s="5" t="s">
        <v>2411</v>
      </c>
    </row>
    <row r="599" spans="1:2">
      <c r="A599" t="s">
        <v>5762</v>
      </c>
      <c r="B599" s="5" t="s">
        <v>2324</v>
      </c>
    </row>
    <row r="600" spans="1:2">
      <c r="A600" t="s">
        <v>5705</v>
      </c>
      <c r="B600" t="s">
        <v>2360</v>
      </c>
    </row>
    <row r="601" spans="1:2">
      <c r="A601" t="s">
        <v>5763</v>
      </c>
      <c r="B601" s="5" t="s">
        <v>2324</v>
      </c>
    </row>
    <row r="602" spans="1:2">
      <c r="A602" t="s">
        <v>5764</v>
      </c>
      <c r="B602" s="5" t="s">
        <v>2324</v>
      </c>
    </row>
    <row r="603" spans="1:2">
      <c r="A603" t="s">
        <v>5688</v>
      </c>
      <c r="B603" t="s">
        <v>2438</v>
      </c>
    </row>
    <row r="604" spans="1:2">
      <c r="A604" t="s">
        <v>5747</v>
      </c>
      <c r="B604" s="5" t="s">
        <v>2411</v>
      </c>
    </row>
    <row r="605" spans="1:2">
      <c r="A605" t="s">
        <v>5765</v>
      </c>
      <c r="B605" s="5" t="s">
        <v>2324</v>
      </c>
    </row>
    <row r="606" spans="1:2">
      <c r="A606" t="s">
        <v>5766</v>
      </c>
      <c r="B606" s="5" t="s">
        <v>2324</v>
      </c>
    </row>
    <row r="607" spans="1:2">
      <c r="A607" t="s">
        <v>5748</v>
      </c>
      <c r="B607" s="5" t="s">
        <v>2411</v>
      </c>
    </row>
    <row r="608" spans="1:2">
      <c r="A608" t="s">
        <v>2093</v>
      </c>
      <c r="B608" t="s">
        <v>2164</v>
      </c>
    </row>
    <row r="609" spans="1:2">
      <c r="A609" t="s">
        <v>2093</v>
      </c>
      <c r="B609" t="s">
        <v>2502</v>
      </c>
    </row>
    <row r="610" spans="1:2">
      <c r="A610" t="s">
        <v>2093</v>
      </c>
      <c r="B610" t="s">
        <v>2671</v>
      </c>
    </row>
    <row r="611" spans="1:2">
      <c r="A611" t="s">
        <v>2128</v>
      </c>
      <c r="B611" t="s">
        <v>2098</v>
      </c>
    </row>
    <row r="612" spans="1:2">
      <c r="A612" t="s">
        <v>2128</v>
      </c>
      <c r="B612" t="s">
        <v>2480</v>
      </c>
    </row>
    <row r="613" spans="1:2">
      <c r="A613" t="s">
        <v>2100</v>
      </c>
      <c r="B613" t="s">
        <v>2345</v>
      </c>
    </row>
    <row r="614" spans="1:2">
      <c r="A614" t="s">
        <v>2100</v>
      </c>
      <c r="B614" t="s">
        <v>2672</v>
      </c>
    </row>
    <row r="615" spans="1:2">
      <c r="A615" t="s">
        <v>2120</v>
      </c>
      <c r="B615" t="s">
        <v>2672</v>
      </c>
    </row>
    <row r="616" spans="1:2">
      <c r="A616" t="s">
        <v>2120</v>
      </c>
      <c r="B616" t="s">
        <v>2689</v>
      </c>
    </row>
    <row r="617" spans="1:2">
      <c r="A617" t="s">
        <v>2122</v>
      </c>
      <c r="B617" t="s">
        <v>2120</v>
      </c>
    </row>
    <row r="618" spans="1:2">
      <c r="A618" t="s">
        <v>2124</v>
      </c>
      <c r="B618" t="s">
        <v>2672</v>
      </c>
    </row>
    <row r="619" spans="1:2">
      <c r="A619" t="s">
        <v>2106</v>
      </c>
      <c r="B619" t="s">
        <v>2104</v>
      </c>
    </row>
    <row r="620" spans="1:2">
      <c r="A620" t="s">
        <v>2106</v>
      </c>
      <c r="B620" t="s">
        <v>2494</v>
      </c>
    </row>
    <row r="621" spans="1:2">
      <c r="A621" t="s">
        <v>2096</v>
      </c>
      <c r="B621" t="s">
        <v>2672</v>
      </c>
    </row>
    <row r="622" spans="1:2">
      <c r="A622" t="s">
        <v>2108</v>
      </c>
      <c r="B622" t="s">
        <v>2104</v>
      </c>
    </row>
    <row r="623" spans="1:2">
      <c r="A623" t="s">
        <v>2108</v>
      </c>
      <c r="B623" t="s">
        <v>2494</v>
      </c>
    </row>
    <row r="624" spans="1:2">
      <c r="A624" t="s">
        <v>2104</v>
      </c>
      <c r="B624" t="s">
        <v>2492</v>
      </c>
    </row>
    <row r="625" spans="1:2">
      <c r="A625" t="s">
        <v>2104</v>
      </c>
      <c r="B625" t="s">
        <v>2672</v>
      </c>
    </row>
    <row r="626" spans="1:2">
      <c r="A626" s="5" t="s">
        <v>2104</v>
      </c>
      <c r="B626" t="s">
        <v>2494</v>
      </c>
    </row>
    <row r="627" spans="1:2">
      <c r="A627" t="s">
        <v>2126</v>
      </c>
      <c r="B627" t="s">
        <v>2104</v>
      </c>
    </row>
    <row r="628" spans="1:2">
      <c r="A628" t="s">
        <v>2126</v>
      </c>
      <c r="B628" t="s">
        <v>2494</v>
      </c>
    </row>
    <row r="629" spans="1:2">
      <c r="A629" s="5" t="s">
        <v>3608</v>
      </c>
      <c r="B629" t="s">
        <v>2281</v>
      </c>
    </row>
    <row r="630" spans="1:2">
      <c r="A630" t="s">
        <v>2118</v>
      </c>
      <c r="B630" t="s">
        <v>2114</v>
      </c>
    </row>
    <row r="631" spans="1:2">
      <c r="A631" t="s">
        <v>2118</v>
      </c>
      <c r="B631" t="s">
        <v>2116</v>
      </c>
    </row>
    <row r="632" spans="1:2">
      <c r="A632" t="s">
        <v>2118</v>
      </c>
      <c r="B632" t="s">
        <v>2672</v>
      </c>
    </row>
    <row r="633" spans="1:2">
      <c r="A633" t="s">
        <v>2114</v>
      </c>
      <c r="B633" t="s">
        <v>2672</v>
      </c>
    </row>
    <row r="634" spans="1:2">
      <c r="A634" t="s">
        <v>2112</v>
      </c>
      <c r="B634" t="s">
        <v>2672</v>
      </c>
    </row>
    <row r="635" spans="1:2">
      <c r="A635" t="s">
        <v>2110</v>
      </c>
      <c r="B635" t="s">
        <v>2672</v>
      </c>
    </row>
    <row r="636" spans="1:2">
      <c r="A636" t="s">
        <v>2116</v>
      </c>
      <c r="B636" t="s">
        <v>2110</v>
      </c>
    </row>
    <row r="637" spans="1:2">
      <c r="A637" t="s">
        <v>2102</v>
      </c>
      <c r="B637" t="s">
        <v>2345</v>
      </c>
    </row>
    <row r="638" spans="1:2">
      <c r="A638" t="s">
        <v>2102</v>
      </c>
      <c r="B638" t="s">
        <v>2672</v>
      </c>
    </row>
    <row r="639" spans="1:2">
      <c r="A639" t="s">
        <v>2098</v>
      </c>
      <c r="B639" t="s">
        <v>2672</v>
      </c>
    </row>
    <row r="640" spans="1:2">
      <c r="A640" t="s">
        <v>2130</v>
      </c>
      <c r="B640" t="s">
        <v>2673</v>
      </c>
    </row>
    <row r="641" spans="1:2">
      <c r="A641" t="s">
        <v>2132</v>
      </c>
      <c r="B641" t="s">
        <v>2673</v>
      </c>
    </row>
    <row r="642" spans="1:2">
      <c r="A642" t="s">
        <v>2136</v>
      </c>
      <c r="B642" t="s">
        <v>2134</v>
      </c>
    </row>
    <row r="643" spans="1:2">
      <c r="A643" t="s">
        <v>2134</v>
      </c>
      <c r="B643" t="s">
        <v>2552</v>
      </c>
    </row>
    <row r="644" spans="1:2">
      <c r="A644" t="s">
        <v>2134</v>
      </c>
      <c r="B644" t="s">
        <v>2674</v>
      </c>
    </row>
    <row r="645" spans="1:2">
      <c r="A645" t="s">
        <v>2138</v>
      </c>
      <c r="B645" t="s">
        <v>43</v>
      </c>
    </row>
    <row r="646" spans="1:2">
      <c r="A646" t="s">
        <v>2140</v>
      </c>
      <c r="B646" t="s">
        <v>2676</v>
      </c>
    </row>
    <row r="647" spans="1:2">
      <c r="A647" t="s">
        <v>2144</v>
      </c>
      <c r="B647" t="s">
        <v>2272</v>
      </c>
    </row>
    <row r="648" spans="1:2">
      <c r="A648" t="s">
        <v>2144</v>
      </c>
      <c r="B648" t="s">
        <v>2142</v>
      </c>
    </row>
    <row r="649" spans="1:2">
      <c r="A649" t="s">
        <v>2142</v>
      </c>
      <c r="B649" t="s">
        <v>2266</v>
      </c>
    </row>
    <row r="650" spans="1:2">
      <c r="A650" t="s">
        <v>2142</v>
      </c>
      <c r="B650" t="s">
        <v>2677</v>
      </c>
    </row>
    <row r="651" spans="1:2">
      <c r="A651" t="s">
        <v>2146</v>
      </c>
      <c r="B651" t="s">
        <v>2480</v>
      </c>
    </row>
    <row r="652" spans="1:2">
      <c r="A652" t="s">
        <v>2146</v>
      </c>
      <c r="B652" t="s">
        <v>2677</v>
      </c>
    </row>
    <row r="653" spans="1:2">
      <c r="A653" t="s">
        <v>2158</v>
      </c>
      <c r="B653" t="s">
        <v>2678</v>
      </c>
    </row>
    <row r="654" spans="1:2">
      <c r="A654" t="s">
        <v>2156</v>
      </c>
      <c r="B654" t="s">
        <v>6089</v>
      </c>
    </row>
    <row r="655" spans="1:2">
      <c r="A655" t="s">
        <v>2156</v>
      </c>
      <c r="B655" t="s">
        <v>2678</v>
      </c>
    </row>
    <row r="656" spans="1:2">
      <c r="A656" t="s">
        <v>2150</v>
      </c>
      <c r="B656" t="s">
        <v>5794</v>
      </c>
    </row>
    <row r="657" spans="1:2">
      <c r="A657" t="s">
        <v>2150</v>
      </c>
      <c r="B657" t="s">
        <v>2678</v>
      </c>
    </row>
    <row r="658" spans="1:2">
      <c r="A658" t="s">
        <v>2154</v>
      </c>
      <c r="B658" t="s">
        <v>2678</v>
      </c>
    </row>
    <row r="659" spans="1:2">
      <c r="A659" t="s">
        <v>2152</v>
      </c>
      <c r="B659" t="s">
        <v>2678</v>
      </c>
    </row>
    <row r="660" spans="1:2">
      <c r="A660" t="s">
        <v>2160</v>
      </c>
      <c r="B660" t="s">
        <v>2678</v>
      </c>
    </row>
    <row r="661" spans="1:2">
      <c r="A661" s="5" t="s">
        <v>2160</v>
      </c>
      <c r="B661" t="s">
        <v>2480</v>
      </c>
    </row>
    <row r="662" spans="1:2">
      <c r="A662" t="s">
        <v>2148</v>
      </c>
      <c r="B662" t="s">
        <v>2678</v>
      </c>
    </row>
    <row r="663" spans="1:2">
      <c r="A663" t="s">
        <v>2168</v>
      </c>
      <c r="B663" t="s">
        <v>2679</v>
      </c>
    </row>
    <row r="664" spans="1:2">
      <c r="A664" t="s">
        <v>2166</v>
      </c>
      <c r="B664" t="s">
        <v>2546</v>
      </c>
    </row>
    <row r="665" spans="1:2">
      <c r="A665" t="s">
        <v>2166</v>
      </c>
      <c r="B665" t="s">
        <v>2679</v>
      </c>
    </row>
    <row r="666" spans="1:2">
      <c r="A666" t="s">
        <v>2162</v>
      </c>
      <c r="B666" t="s">
        <v>2679</v>
      </c>
    </row>
    <row r="667" spans="1:2">
      <c r="A667" t="s">
        <v>2164</v>
      </c>
      <c r="B667" t="s">
        <v>2502</v>
      </c>
    </row>
    <row r="668" spans="1:2">
      <c r="A668" t="s">
        <v>2164</v>
      </c>
      <c r="B668" t="s">
        <v>2679</v>
      </c>
    </row>
    <row r="669" spans="1:2">
      <c r="A669" t="s">
        <v>2170</v>
      </c>
      <c r="B669" t="s">
        <v>2680</v>
      </c>
    </row>
    <row r="670" spans="1:2">
      <c r="A670" t="s">
        <v>2174</v>
      </c>
      <c r="B670" t="s">
        <v>3175</v>
      </c>
    </row>
    <row r="671" spans="1:2">
      <c r="A671" t="s">
        <v>2174</v>
      </c>
      <c r="B671" t="s">
        <v>2681</v>
      </c>
    </row>
    <row r="672" spans="1:2">
      <c r="A672" t="s">
        <v>2176</v>
      </c>
      <c r="B672" t="s">
        <v>2172</v>
      </c>
    </row>
    <row r="673" spans="1:2">
      <c r="A673" t="s">
        <v>2176</v>
      </c>
      <c r="B673" t="s">
        <v>2681</v>
      </c>
    </row>
    <row r="674" spans="1:2">
      <c r="A674" t="s">
        <v>2172</v>
      </c>
      <c r="B674" t="s">
        <v>3175</v>
      </c>
    </row>
    <row r="675" spans="1:2">
      <c r="A675" t="s">
        <v>2172</v>
      </c>
      <c r="B675" t="s">
        <v>2681</v>
      </c>
    </row>
    <row r="676" spans="1:2">
      <c r="A676" t="s">
        <v>2180</v>
      </c>
      <c r="B676" t="s">
        <v>2682</v>
      </c>
    </row>
    <row r="677" spans="1:2">
      <c r="A677" t="s">
        <v>2182</v>
      </c>
      <c r="B677" t="s">
        <v>2180</v>
      </c>
    </row>
    <row r="678" spans="1:2">
      <c r="A678" t="s">
        <v>2182</v>
      </c>
      <c r="B678" t="s">
        <v>2682</v>
      </c>
    </row>
    <row r="679" spans="1:2">
      <c r="A679" t="s">
        <v>2186</v>
      </c>
      <c r="B679" t="s">
        <v>2184</v>
      </c>
    </row>
    <row r="680" spans="1:2">
      <c r="A680" t="s">
        <v>2186</v>
      </c>
      <c r="B680" t="s">
        <v>2682</v>
      </c>
    </row>
    <row r="681" spans="1:2">
      <c r="A681" t="s">
        <v>2184</v>
      </c>
      <c r="B681" t="s">
        <v>2682</v>
      </c>
    </row>
    <row r="682" spans="1:2">
      <c r="A682" t="s">
        <v>2178</v>
      </c>
      <c r="B682" t="s">
        <v>2682</v>
      </c>
    </row>
    <row r="683" spans="1:2">
      <c r="A683" t="s">
        <v>2188</v>
      </c>
      <c r="B683" t="s">
        <v>2456</v>
      </c>
    </row>
    <row r="684" spans="1:2">
      <c r="A684" t="s">
        <v>2188</v>
      </c>
      <c r="B684" t="s">
        <v>2458</v>
      </c>
    </row>
    <row r="685" spans="1:2">
      <c r="A685" t="s">
        <v>2188</v>
      </c>
      <c r="B685" t="s">
        <v>2682</v>
      </c>
    </row>
    <row r="686" spans="1:2">
      <c r="A686" t="s">
        <v>2190</v>
      </c>
      <c r="B686" t="s">
        <v>2683</v>
      </c>
    </row>
    <row r="687" spans="1:2">
      <c r="A687" t="s">
        <v>2194</v>
      </c>
      <c r="B687" t="s">
        <v>2684</v>
      </c>
    </row>
    <row r="688" spans="1:2">
      <c r="A688" t="s">
        <v>2192</v>
      </c>
      <c r="B688" t="s">
        <v>2684</v>
      </c>
    </row>
    <row r="689" spans="1:2">
      <c r="A689" t="s">
        <v>2210</v>
      </c>
      <c r="B689" t="s">
        <v>2685</v>
      </c>
    </row>
    <row r="690" spans="1:2">
      <c r="A690" t="s">
        <v>2198</v>
      </c>
      <c r="B690" t="s">
        <v>2685</v>
      </c>
    </row>
    <row r="691" spans="1:2">
      <c r="A691" t="s">
        <v>2200</v>
      </c>
      <c r="B691" t="s">
        <v>2198</v>
      </c>
    </row>
    <row r="692" spans="1:2">
      <c r="A692" t="s">
        <v>2200</v>
      </c>
      <c r="B692" t="s">
        <v>2685</v>
      </c>
    </row>
    <row r="693" spans="1:2">
      <c r="A693" t="s">
        <v>2202</v>
      </c>
      <c r="B693" t="s">
        <v>2200</v>
      </c>
    </row>
    <row r="694" spans="1:2">
      <c r="A694" t="s">
        <v>2202</v>
      </c>
      <c r="B694" t="s">
        <v>2685</v>
      </c>
    </row>
    <row r="695" spans="1:2">
      <c r="A695" t="s">
        <v>2204</v>
      </c>
      <c r="B695" t="s">
        <v>2202</v>
      </c>
    </row>
    <row r="696" spans="1:2">
      <c r="A696" t="s">
        <v>2204</v>
      </c>
      <c r="B696" t="s">
        <v>2685</v>
      </c>
    </row>
    <row r="697" spans="1:2">
      <c r="A697" t="s">
        <v>2206</v>
      </c>
      <c r="B697" t="s">
        <v>2204</v>
      </c>
    </row>
    <row r="698" spans="1:2">
      <c r="A698" t="s">
        <v>2206</v>
      </c>
      <c r="B698" t="s">
        <v>2504</v>
      </c>
    </row>
    <row r="699" spans="1:2">
      <c r="A699" t="s">
        <v>2206</v>
      </c>
      <c r="B699" t="s">
        <v>2542</v>
      </c>
    </row>
    <row r="700" spans="1:2">
      <c r="A700" t="s">
        <v>2206</v>
      </c>
      <c r="B700" t="s">
        <v>2685</v>
      </c>
    </row>
    <row r="701" spans="1:2">
      <c r="A701" t="s">
        <v>2196</v>
      </c>
      <c r="B701" t="s">
        <v>2685</v>
      </c>
    </row>
    <row r="702" spans="1:2">
      <c r="A702" t="s">
        <v>2212</v>
      </c>
      <c r="B702" t="s">
        <v>2544</v>
      </c>
    </row>
    <row r="703" spans="1:2">
      <c r="A703" t="s">
        <v>2212</v>
      </c>
      <c r="B703" t="s">
        <v>2685</v>
      </c>
    </row>
    <row r="704" spans="1:2">
      <c r="A704" t="s">
        <v>2208</v>
      </c>
      <c r="B704" t="s">
        <v>2198</v>
      </c>
    </row>
    <row r="705" spans="1:2">
      <c r="A705" t="s">
        <v>2208</v>
      </c>
      <c r="B705" t="s">
        <v>2685</v>
      </c>
    </row>
    <row r="706" spans="1:2">
      <c r="A706" t="s">
        <v>2214</v>
      </c>
      <c r="B706" t="s">
        <v>133</v>
      </c>
    </row>
    <row r="707" spans="1:2">
      <c r="A707" t="s">
        <v>2214</v>
      </c>
      <c r="B707" t="s">
        <v>2686</v>
      </c>
    </row>
    <row r="708" spans="1:2">
      <c r="A708" t="s">
        <v>2220</v>
      </c>
      <c r="B708" t="s">
        <v>133</v>
      </c>
    </row>
    <row r="709" spans="1:2">
      <c r="A709" t="s">
        <v>2220</v>
      </c>
      <c r="B709" t="s">
        <v>2686</v>
      </c>
    </row>
    <row r="710" spans="1:2">
      <c r="A710" t="s">
        <v>2222</v>
      </c>
      <c r="B710" t="s">
        <v>2220</v>
      </c>
    </row>
    <row r="711" spans="1:2">
      <c r="A711" t="s">
        <v>2222</v>
      </c>
      <c r="B711" t="s">
        <v>2686</v>
      </c>
    </row>
    <row r="712" spans="1:2">
      <c r="A712" t="s">
        <v>2224</v>
      </c>
      <c r="B712" t="s">
        <v>2222</v>
      </c>
    </row>
    <row r="713" spans="1:2">
      <c r="A713" t="s">
        <v>2224</v>
      </c>
      <c r="B713" t="s">
        <v>2686</v>
      </c>
    </row>
    <row r="714" spans="1:2">
      <c r="A714" t="s">
        <v>2226</v>
      </c>
      <c r="B714" t="s">
        <v>2218</v>
      </c>
    </row>
    <row r="715" spans="1:2">
      <c r="A715" t="s">
        <v>2226</v>
      </c>
      <c r="B715" t="s">
        <v>2164</v>
      </c>
    </row>
    <row r="716" spans="1:2">
      <c r="A716" t="s">
        <v>2226</v>
      </c>
      <c r="B716" t="s">
        <v>2354</v>
      </c>
    </row>
    <row r="717" spans="1:2">
      <c r="A717" t="s">
        <v>2226</v>
      </c>
      <c r="B717" t="s">
        <v>2686</v>
      </c>
    </row>
    <row r="718" spans="1:2">
      <c r="A718" t="s">
        <v>2228</v>
      </c>
      <c r="B718" s="24" t="s">
        <v>2226</v>
      </c>
    </row>
    <row r="719" spans="1:2">
      <c r="A719" t="s">
        <v>2228</v>
      </c>
      <c r="B719" s="24" t="s">
        <v>2426</v>
      </c>
    </row>
    <row r="720" spans="1:2">
      <c r="A720" t="s">
        <v>2228</v>
      </c>
      <c r="B720" t="s">
        <v>2686</v>
      </c>
    </row>
    <row r="721" spans="1:2">
      <c r="A721" t="s">
        <v>2216</v>
      </c>
      <c r="B721" t="s">
        <v>2490</v>
      </c>
    </row>
    <row r="722" spans="1:2">
      <c r="A722" t="s">
        <v>2216</v>
      </c>
      <c r="B722" t="s">
        <v>2686</v>
      </c>
    </row>
    <row r="723" spans="1:2">
      <c r="A723" t="s">
        <v>2234</v>
      </c>
      <c r="B723" t="s">
        <v>133</v>
      </c>
    </row>
    <row r="724" spans="1:2">
      <c r="A724" t="s">
        <v>2234</v>
      </c>
      <c r="B724" t="s">
        <v>2686</v>
      </c>
    </row>
    <row r="725" spans="1:2">
      <c r="A725" t="s">
        <v>2218</v>
      </c>
      <c r="B725" t="s">
        <v>2500</v>
      </c>
    </row>
    <row r="726" spans="1:2">
      <c r="A726" t="s">
        <v>2218</v>
      </c>
      <c r="B726" t="s">
        <v>2686</v>
      </c>
    </row>
    <row r="727" spans="1:2">
      <c r="A727" t="s">
        <v>2232</v>
      </c>
      <c r="B727" t="s">
        <v>2220</v>
      </c>
    </row>
    <row r="728" spans="1:2">
      <c r="A728" t="s">
        <v>2232</v>
      </c>
      <c r="B728" t="s">
        <v>2686</v>
      </c>
    </row>
    <row r="729" spans="1:2">
      <c r="A729" t="s">
        <v>2230</v>
      </c>
      <c r="B729" t="s">
        <v>133</v>
      </c>
    </row>
    <row r="730" spans="1:2">
      <c r="A730" t="s">
        <v>2230</v>
      </c>
      <c r="B730" t="s">
        <v>2686</v>
      </c>
    </row>
    <row r="731" spans="1:2">
      <c r="A731" t="s">
        <v>2240</v>
      </c>
      <c r="B731" t="s">
        <v>135</v>
      </c>
    </row>
    <row r="732" spans="1:2">
      <c r="A732" t="s">
        <v>2240</v>
      </c>
      <c r="B732" t="s">
        <v>2687</v>
      </c>
    </row>
    <row r="733" spans="1:2">
      <c r="A733" t="s">
        <v>2236</v>
      </c>
      <c r="B733" t="s">
        <v>135</v>
      </c>
    </row>
    <row r="734" spans="1:2">
      <c r="A734" t="s">
        <v>2236</v>
      </c>
      <c r="B734" t="s">
        <v>2687</v>
      </c>
    </row>
    <row r="735" spans="1:2">
      <c r="A735" t="s">
        <v>2244</v>
      </c>
      <c r="B735" t="s">
        <v>2458</v>
      </c>
    </row>
    <row r="736" spans="1:2">
      <c r="A736" t="s">
        <v>2244</v>
      </c>
      <c r="B736" t="s">
        <v>2687</v>
      </c>
    </row>
    <row r="737" spans="1:2">
      <c r="A737" t="s">
        <v>2238</v>
      </c>
      <c r="B737" t="s">
        <v>135</v>
      </c>
    </row>
    <row r="738" spans="1:2">
      <c r="A738" t="s">
        <v>2238</v>
      </c>
      <c r="B738" t="s">
        <v>2687</v>
      </c>
    </row>
    <row r="739" spans="1:2">
      <c r="A739" t="s">
        <v>2242</v>
      </c>
      <c r="B739" t="s">
        <v>2502</v>
      </c>
    </row>
    <row r="740" spans="1:2">
      <c r="A740" t="s">
        <v>2242</v>
      </c>
      <c r="B740" t="s">
        <v>2687</v>
      </c>
    </row>
    <row r="741" spans="1:2">
      <c r="A741" t="s">
        <v>2246</v>
      </c>
      <c r="B741" t="s">
        <v>2688</v>
      </c>
    </row>
    <row r="742" spans="1:2">
      <c r="A742" t="s">
        <v>2248</v>
      </c>
      <c r="B742" t="s">
        <v>2246</v>
      </c>
    </row>
    <row r="743" spans="1:2">
      <c r="A743" t="s">
        <v>2248</v>
      </c>
      <c r="B743" t="s">
        <v>2688</v>
      </c>
    </row>
    <row r="744" spans="1:2">
      <c r="A744" t="s">
        <v>2250</v>
      </c>
      <c r="B744" t="s">
        <v>2248</v>
      </c>
    </row>
    <row r="745" spans="1:2">
      <c r="A745" t="s">
        <v>2250</v>
      </c>
      <c r="B745" t="s">
        <v>2688</v>
      </c>
    </row>
    <row r="746" spans="1:2">
      <c r="A746" t="s">
        <v>5773</v>
      </c>
      <c r="B746" t="s">
        <v>2690</v>
      </c>
    </row>
    <row r="747" spans="1:2">
      <c r="A747" t="s">
        <v>2276</v>
      </c>
      <c r="B747" t="s">
        <v>2689</v>
      </c>
    </row>
    <row r="748" spans="1:2">
      <c r="A748" t="s">
        <v>2278</v>
      </c>
      <c r="B748" t="s">
        <v>2276</v>
      </c>
    </row>
    <row r="749" spans="1:2">
      <c r="A749" t="s">
        <v>2270</v>
      </c>
      <c r="B749" t="s">
        <v>2268</v>
      </c>
    </row>
    <row r="750" spans="1:2">
      <c r="A750" t="s">
        <v>2270</v>
      </c>
      <c r="B750" t="s">
        <v>2689</v>
      </c>
    </row>
    <row r="751" spans="1:2">
      <c r="A751" t="s">
        <v>2268</v>
      </c>
      <c r="B751" t="s">
        <v>2266</v>
      </c>
    </row>
    <row r="752" spans="1:2">
      <c r="A752" t="s">
        <v>2268</v>
      </c>
      <c r="B752" t="s">
        <v>2689</v>
      </c>
    </row>
    <row r="753" spans="1:2">
      <c r="A753" t="s">
        <v>2266</v>
      </c>
      <c r="B753" t="s">
        <v>2689</v>
      </c>
    </row>
    <row r="754" spans="1:2">
      <c r="A754" t="s">
        <v>2254</v>
      </c>
      <c r="B754" t="s">
        <v>2689</v>
      </c>
    </row>
    <row r="755" spans="1:2">
      <c r="A755" t="s">
        <v>2256</v>
      </c>
      <c r="B755" t="s">
        <v>2254</v>
      </c>
    </row>
    <row r="756" spans="1:2">
      <c r="A756" t="s">
        <v>2256</v>
      </c>
      <c r="B756" t="s">
        <v>2689</v>
      </c>
    </row>
    <row r="757" spans="1:2">
      <c r="A757" t="s">
        <v>2258</v>
      </c>
      <c r="B757" t="s">
        <v>2256</v>
      </c>
    </row>
    <row r="758" spans="1:2">
      <c r="A758" t="s">
        <v>2258</v>
      </c>
      <c r="B758" t="s">
        <v>2689</v>
      </c>
    </row>
    <row r="759" spans="1:2">
      <c r="A759" t="s">
        <v>2260</v>
      </c>
      <c r="B759" t="s">
        <v>2258</v>
      </c>
    </row>
    <row r="760" spans="1:2">
      <c r="A760" t="s">
        <v>2260</v>
      </c>
      <c r="B760" t="s">
        <v>2556</v>
      </c>
    </row>
    <row r="761" spans="1:2">
      <c r="A761" t="s">
        <v>2260</v>
      </c>
      <c r="B761" t="s">
        <v>2689</v>
      </c>
    </row>
    <row r="762" spans="1:2">
      <c r="A762" t="s">
        <v>2262</v>
      </c>
      <c r="B762" t="s">
        <v>2260</v>
      </c>
    </row>
    <row r="763" spans="1:2">
      <c r="A763" t="s">
        <v>2262</v>
      </c>
      <c r="B763" t="s">
        <v>2423</v>
      </c>
    </row>
    <row r="764" spans="1:2">
      <c r="A764" t="s">
        <v>2262</v>
      </c>
      <c r="B764" t="s">
        <v>2689</v>
      </c>
    </row>
    <row r="765" spans="1:2">
      <c r="A765" t="s">
        <v>2272</v>
      </c>
      <c r="B765" t="s">
        <v>2266</v>
      </c>
    </row>
    <row r="766" spans="1:2">
      <c r="A766" t="s">
        <v>2272</v>
      </c>
      <c r="B766" t="s">
        <v>2689</v>
      </c>
    </row>
    <row r="767" spans="1:2">
      <c r="A767" t="s">
        <v>2264</v>
      </c>
      <c r="B767" t="s">
        <v>2254</v>
      </c>
    </row>
    <row r="768" spans="1:2">
      <c r="A768" t="s">
        <v>2264</v>
      </c>
      <c r="B768" t="s">
        <v>2689</v>
      </c>
    </row>
    <row r="769" spans="1:2">
      <c r="A769" t="s">
        <v>2252</v>
      </c>
      <c r="B769" t="s">
        <v>2689</v>
      </c>
    </row>
    <row r="770" spans="1:2">
      <c r="A770" t="s">
        <v>2274</v>
      </c>
      <c r="B770" t="s">
        <v>2542</v>
      </c>
    </row>
    <row r="771" spans="1:2">
      <c r="A771" t="s">
        <v>2274</v>
      </c>
      <c r="B771" t="s">
        <v>2689</v>
      </c>
    </row>
    <row r="772" spans="1:2">
      <c r="A772" t="s">
        <v>5755</v>
      </c>
      <c r="B772" t="s">
        <v>2510</v>
      </c>
    </row>
    <row r="773" spans="1:2">
      <c r="A773" t="s">
        <v>6251</v>
      </c>
      <c r="B773" t="s">
        <v>2447</v>
      </c>
    </row>
    <row r="774" spans="1:2">
      <c r="A774" t="s">
        <v>6259</v>
      </c>
      <c r="B774" t="s">
        <v>5724</v>
      </c>
    </row>
    <row r="775" spans="1:2">
      <c r="A775" t="s">
        <v>6260</v>
      </c>
      <c r="B775" t="s">
        <v>5726</v>
      </c>
    </row>
    <row r="776" spans="1:2">
      <c r="A776" t="s">
        <v>6261</v>
      </c>
      <c r="B776" t="s">
        <v>5727</v>
      </c>
    </row>
    <row r="777" spans="1:2">
      <c r="A777" t="s">
        <v>6262</v>
      </c>
      <c r="B777" t="s">
        <v>40</v>
      </c>
    </row>
    <row r="778" spans="1:2">
      <c r="A778" t="s">
        <v>5755</v>
      </c>
      <c r="B778" t="s">
        <v>2667</v>
      </c>
    </row>
    <row r="779" spans="1:2">
      <c r="A779" t="s">
        <v>5755</v>
      </c>
      <c r="B779" t="s">
        <v>5798</v>
      </c>
    </row>
    <row r="780" spans="1:2">
      <c r="A780" s="5" t="s">
        <v>5668</v>
      </c>
      <c r="B780" t="s">
        <v>2291</v>
      </c>
    </row>
    <row r="781" spans="1:2">
      <c r="A781" t="s">
        <v>2174</v>
      </c>
      <c r="B781" t="s">
        <v>2294</v>
      </c>
    </row>
    <row r="782" spans="1:2">
      <c r="A782" t="s">
        <v>2176</v>
      </c>
      <c r="B782" t="s">
        <v>2294</v>
      </c>
    </row>
    <row r="783" spans="1:2">
      <c r="A783" t="s">
        <v>2172</v>
      </c>
      <c r="B783" t="s">
        <v>2294</v>
      </c>
    </row>
    <row r="784" spans="1:2">
      <c r="A784" t="s">
        <v>6267</v>
      </c>
      <c r="B784" t="s">
        <v>2552</v>
      </c>
    </row>
    <row r="785" spans="1:2">
      <c r="A785" t="s">
        <v>5697</v>
      </c>
      <c r="B785" t="s">
        <v>2102</v>
      </c>
    </row>
    <row r="786" spans="1:2">
      <c r="A786" t="s">
        <v>5775</v>
      </c>
      <c r="B786" t="s">
        <v>2366</v>
      </c>
    </row>
    <row r="787" spans="1:2">
      <c r="A787" t="s">
        <v>5776</v>
      </c>
      <c r="B787" t="s">
        <v>2366</v>
      </c>
    </row>
    <row r="788" spans="1:2">
      <c r="A788" t="s">
        <v>5777</v>
      </c>
      <c r="B788" t="s">
        <v>2366</v>
      </c>
    </row>
    <row r="789" spans="1:2">
      <c r="A789" t="s">
        <v>5778</v>
      </c>
      <c r="B789" t="s">
        <v>2366</v>
      </c>
    </row>
    <row r="790" spans="1:2">
      <c r="A790" s="5" t="s">
        <v>2438</v>
      </c>
      <c r="B790" t="s">
        <v>6267</v>
      </c>
    </row>
    <row r="791" spans="1:2">
      <c r="A791" t="s">
        <v>5760</v>
      </c>
      <c r="B791" t="s">
        <v>137</v>
      </c>
    </row>
    <row r="792" spans="1:2">
      <c r="A792" t="s">
        <v>5761</v>
      </c>
      <c r="B792" t="s">
        <v>137</v>
      </c>
    </row>
    <row r="793" spans="1:2">
      <c r="A793" t="s">
        <v>5762</v>
      </c>
      <c r="B793" t="s">
        <v>135</v>
      </c>
    </row>
    <row r="794" spans="1:2">
      <c r="A794" t="s">
        <v>5763</v>
      </c>
      <c r="B794" t="s">
        <v>135</v>
      </c>
    </row>
    <row r="795" spans="1:2">
      <c r="A795" t="s">
        <v>5764</v>
      </c>
      <c r="B795" t="s">
        <v>135</v>
      </c>
    </row>
    <row r="796" spans="1:2">
      <c r="A796" t="s">
        <v>5765</v>
      </c>
      <c r="B796" t="s">
        <v>137</v>
      </c>
    </row>
    <row r="797" spans="1:2">
      <c r="A797" t="s">
        <v>5766</v>
      </c>
      <c r="B797" t="s">
        <v>135</v>
      </c>
    </row>
    <row r="798" spans="1:2">
      <c r="A798" t="s">
        <v>2285</v>
      </c>
      <c r="B798" t="s">
        <v>2554</v>
      </c>
    </row>
  </sheetData>
  <phoneticPr fontId="4" type="noConversion"/>
  <conditionalFormatting sqref="B196">
    <cfRule type="expression" dxfId="1" priority="1">
      <formula>B196&lt;&gt;""</formula>
    </cfRule>
    <cfRule type="expression" dxfId="0" priority="2">
      <formula>AND(B196&lt;&gt;"",B197="")</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37873BB5-3780-4993-A41C-58C3F123348F}">
          <x14:formula1>
            <xm:f>TargetStatus!$A$2:$A$700</xm:f>
          </x14:formula1>
          <xm:sqref>B196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6520-B15A-4710-BE7A-21348544975F}">
  <sheetPr>
    <tabColor rgb="FFFFC000"/>
  </sheetPr>
  <dimension ref="A1:AD148"/>
  <sheetViews>
    <sheetView workbookViewId="0">
      <selection activeCell="B90" sqref="B90"/>
    </sheetView>
  </sheetViews>
  <sheetFormatPr defaultColWidth="8.7265625" defaultRowHeight="14.5"/>
  <cols>
    <col min="1" max="1" width="54.453125" style="2" bestFit="1" customWidth="1"/>
    <col min="2" max="2" width="18.81640625" style="2" bestFit="1" customWidth="1"/>
    <col min="3" max="3" width="15.36328125" style="2" bestFit="1" customWidth="1"/>
    <col min="4" max="4" width="15.90625" style="2" bestFit="1" customWidth="1"/>
    <col min="5" max="5" width="39.90625" style="2" bestFit="1" customWidth="1"/>
    <col min="6" max="6" width="8.453125" style="2" bestFit="1" customWidth="1"/>
    <col min="7" max="7" width="13.26953125" style="2" bestFit="1" customWidth="1"/>
    <col min="8" max="8" width="38.1796875" style="2" bestFit="1" customWidth="1"/>
    <col min="9" max="9" width="70.90625" style="2" bestFit="1" customWidth="1"/>
    <col min="10" max="10" width="19.26953125" style="2" customWidth="1"/>
    <col min="11" max="11" width="14.90625" style="2" customWidth="1"/>
    <col min="12" max="12" width="23.6328125" style="2" customWidth="1"/>
    <col min="13" max="13" width="17.08984375" style="2" customWidth="1"/>
    <col min="14" max="18" width="8.7265625" style="2"/>
    <col min="19" max="20" width="14.08984375" style="2" bestFit="1" customWidth="1"/>
    <col min="21" max="21" width="11.81640625" style="2" bestFit="1" customWidth="1"/>
    <col min="22" max="22" width="16.36328125" style="2" bestFit="1" customWidth="1"/>
    <col min="23" max="23" width="18.7265625" style="2" bestFit="1" customWidth="1"/>
    <col min="24" max="24" width="60.36328125" style="2" customWidth="1"/>
    <col min="25" max="25" width="18.7265625" style="2" bestFit="1" customWidth="1"/>
    <col min="26" max="26" width="29.6328125" style="2" bestFit="1" customWidth="1"/>
    <col min="27" max="27" width="24.7265625" style="2" bestFit="1" customWidth="1"/>
    <col min="28" max="28" width="21.08984375" style="2" bestFit="1" customWidth="1"/>
    <col min="29" max="29" width="16.36328125" style="2" bestFit="1" customWidth="1"/>
    <col min="30" max="30" width="24.7265625" style="2" bestFit="1" customWidth="1"/>
    <col min="31" max="31" width="21" style="2" bestFit="1" customWidth="1"/>
    <col min="32" max="16384" width="8.7265625" style="2"/>
  </cols>
  <sheetData>
    <row r="1" spans="1:30" ht="29">
      <c r="A1" s="2" t="s">
        <v>6109</v>
      </c>
      <c r="B1" s="2" t="s">
        <v>5569</v>
      </c>
      <c r="C1" s="2" t="s">
        <v>6246</v>
      </c>
      <c r="D1" s="2" t="s">
        <v>5570</v>
      </c>
      <c r="E1" s="2" t="s">
        <v>6110</v>
      </c>
      <c r="F1" s="2" t="s">
        <v>6243</v>
      </c>
      <c r="G1" s="2" t="s">
        <v>6244</v>
      </c>
      <c r="H1" t="s">
        <v>6245</v>
      </c>
    </row>
    <row r="2" spans="1:30" hidden="1">
      <c r="A2" s="5" t="s">
        <v>2460</v>
      </c>
      <c r="C2" s="2" t="str">
        <f>_xlfn.XLOOKUP(
tblQuestObjectives[[#This Row],[ObjectiveID]],
tblTargetStatus[TargetID],
tblTargetStatus[DisplayName],
""
)</f>
        <v>Guild Lv 5</v>
      </c>
      <c r="D2" s="2" t="str">
        <f>_xlfn.XLOOKUP(tblQuestObjectives[[#This Row],[ObjectiveID]],tblTargets[TargetID],tblTargets[TargetType],"")</f>
        <v>BUILDING</v>
      </c>
      <c r="E2" s="5" t="s">
        <v>76</v>
      </c>
      <c r="F2" s="2" t="b">
        <f>NOT(
    _xlfn.XLOOKUP(
        tblQuestObjectives[[#This Row],[ObjectiveID]],
        tblTargetStatus[TargetID],
        tblTargetStatus[PlayerCompleted],
        FALSE
    )
)</f>
        <v>1</v>
      </c>
      <c r="G2" s="2" t="b">
        <f>_xlfn.LET(
_xlpm.acceptedID,_xlfn.TEXTBEFORE(tblQuestObjectives[[#This Row],[QuestTargetID]],".finished")&amp;".accepted",
_xlfn.XLOOKUP(
_xlpm.acceptedID,
tblTargetStatus[TargetID],
tblTargetStatus[PlayerCompleted],
FALSE
)
)</f>
        <v>0</v>
      </c>
      <c r="H2" s="2" t="str">
        <f>_xlfn.LET(
    _xlpm.name,
    _xlfn.XLOOKUP(
        tblQuestObjectives[[#This Row],[QuestTargetID]],
        tblTargetStatus[TargetID],
        tblTargetStatus[DisplayName],
        ""
    ),
    SUBSTITUTE(
        SUBSTITUTE(_xlpm.name," Accepted",""),
        " Finished",""
    )
)</f>
        <v>Build the Guild</v>
      </c>
    </row>
    <row r="3" spans="1:30" hidden="1">
      <c r="A3" s="5" t="s">
        <v>2462</v>
      </c>
      <c r="C3" s="2" t="str">
        <f>_xlfn.XLOOKUP(
tblQuestObjectives[[#This Row],[ObjectiveID]],
tblTargetStatus[TargetID],
tblTargetStatus[DisplayName],
""
)</f>
        <v>Pagoda Lv 7</v>
      </c>
      <c r="D3" s="2" t="str">
        <f>_xlfn.XLOOKUP(tblQuestObjectives[[#This Row],[ObjectiveID]],tblTargets[TargetID],tblTargets[TargetType],"")</f>
        <v>BUILDING</v>
      </c>
      <c r="E3" s="5" t="s">
        <v>108</v>
      </c>
      <c r="F3" s="2" t="b">
        <f>NOT(
    _xlfn.XLOOKUP(
        tblQuestObjectives[[#This Row],[ObjectiveID]],
        tblTargetStatus[TargetID],
        tblTargetStatus[PlayerCompleted],
        FALSE
    )
)</f>
        <v>1</v>
      </c>
      <c r="G3" s="2" t="b">
        <f>_xlfn.LET(
_xlpm.acceptedID,_xlfn.TEXTBEFORE(tblQuestObjectives[[#This Row],[QuestTargetID]],".finished")&amp;".accepted",
_xlfn.XLOOKUP(
_xlpm.acceptedID,
tblTargetStatus[TargetID],
tblTargetStatus[PlayerCompleted],
FALSE
)
)</f>
        <v>0</v>
      </c>
      <c r="H3" s="2" t="str">
        <f>_xlfn.LET(
    _xlpm.name,
    _xlfn.XLOOKUP(
        tblQuestObjectives[[#This Row],[QuestTargetID]],
        tblTargetStatus[TargetID],
        tblTargetStatus[DisplayName],
        ""
    ),
    SUBSTITUTE(
        SUBSTITUTE(_xlpm.name," Accepted",""),
        " Finished",""
    )
)</f>
        <v>Build the Pagoda</v>
      </c>
    </row>
    <row r="4" spans="1:30" ht="43.5" hidden="1">
      <c r="A4" s="5" t="s">
        <v>2464</v>
      </c>
      <c r="C4" s="2" t="str">
        <f>_xlfn.XLOOKUP(
tblQuestObjectives[[#This Row],[ObjectiveID]],
tblTargetStatus[TargetID],
tblTargetStatus[DisplayName],
""
)</f>
        <v>Food Stall - Quintessence Of Taste</v>
      </c>
      <c r="D4" s="2" t="str">
        <f>_xlfn.XLOOKUP(tblQuestObjectives[[#This Row],[ObjectiveID]],tblTargets[TargetID],tblTargets[TargetType],"")</f>
        <v>TECH</v>
      </c>
      <c r="E4" t="s">
        <v>2148</v>
      </c>
      <c r="F4" s="2" t="b">
        <f>NOT(
    _xlfn.XLOOKUP(
        tblQuestObjectives[[#This Row],[ObjectiveID]],
        tblTargetStatus[TargetID],
        tblTargetStatus[PlayerCompleted],
        FALSE
    )
)</f>
        <v>1</v>
      </c>
      <c r="G4" s="2" t="b">
        <f>_xlfn.LET(
_xlpm.acceptedID,_xlfn.TEXTBEFORE(tblQuestObjectives[[#This Row],[QuestTargetID]],".finished")&amp;".accepted",
_xlfn.XLOOKUP(
_xlpm.acceptedID,
tblTargetStatus[TargetID],
tblTargetStatus[PlayerCompleted],
FALSE
)
)</f>
        <v>0</v>
      </c>
      <c r="H4" s="2" t="str">
        <f>_xlfn.LET(
    _xlpm.name,
    _xlfn.XLOOKUP(
        tblQuestObjectives[[#This Row],[QuestTargetID]],
        tblTargetStatus[TargetID],
        tblTargetStatus[DisplayName],
        ""
    ),
    SUBSTITUTE(
        SUBSTITUTE(_xlpm.name," Accepted",""),
        " Finished",""
    )
)</f>
        <v>Culinary Battle</v>
      </c>
    </row>
    <row r="5" spans="1:30" ht="29" hidden="1">
      <c r="A5" s="5" t="s">
        <v>2464</v>
      </c>
      <c r="C5" s="2" t="str">
        <f>_xlfn.XLOOKUP(
tblQuestObjectives[[#This Row],[ObjectiveID]],
tblTargetStatus[TargetID],
tblTargetStatus[DisplayName],
""
)</f>
        <v>Food Stall - Mayonnaise</v>
      </c>
      <c r="D5" s="2" t="str">
        <f>_xlfn.XLOOKUP(tblQuestObjectives[[#This Row],[ObjectiveID]],tblTargets[TargetID],tblTargets[TargetType],"")</f>
        <v>TECH</v>
      </c>
      <c r="E5" s="5" t="s">
        <v>2152</v>
      </c>
      <c r="F5" s="2" t="b">
        <f>NOT(
    _xlfn.XLOOKUP(
        tblQuestObjectives[[#This Row],[ObjectiveID]],
        tblTargetStatus[TargetID],
        tblTargetStatus[PlayerCompleted],
        FALSE
    )
)</f>
        <v>1</v>
      </c>
      <c r="G5" s="2" t="b">
        <f>_xlfn.LET(
_xlpm.acceptedID,_xlfn.TEXTBEFORE(tblQuestObjectives[[#This Row],[QuestTargetID]],".finished")&amp;".accepted",
_xlfn.XLOOKUP(
_xlpm.acceptedID,
tblTargetStatus[TargetID],
tblTargetStatus[PlayerCompleted],
FALSE
)
)</f>
        <v>0</v>
      </c>
      <c r="H5" s="2" t="str">
        <f>_xlfn.LET(
    _xlpm.name,
    _xlfn.XLOOKUP(
        tblQuestObjectives[[#This Row],[QuestTargetID]],
        tblTargetStatus[TargetID],
        tblTargetStatus[DisplayName],
        ""
    ),
    SUBSTITUTE(
        SUBSTITUTE(_xlpm.name," Accepted",""),
        " Finished",""
    )
)</f>
        <v>Culinary Battle</v>
      </c>
      <c r="R5" s="5"/>
      <c r="S5" s="5"/>
      <c r="T5" s="5"/>
      <c r="U5" s="5"/>
      <c r="V5" s="5"/>
      <c r="W5" s="5"/>
      <c r="X5" s="5"/>
      <c r="Y5" s="5"/>
      <c r="Z5" s="5"/>
      <c r="AA5" s="5"/>
      <c r="AB5" s="5"/>
      <c r="AC5" s="5"/>
      <c r="AD5" s="5"/>
    </row>
    <row r="6" spans="1:30" ht="29" hidden="1">
      <c r="A6" s="5" t="s">
        <v>2464</v>
      </c>
      <c r="C6" s="2" t="str">
        <f>_xlfn.XLOOKUP(
tblQuestObjectives[[#This Row],[ObjectiveID]],
tblTargetStatus[TargetID],
tblTargetStatus[DisplayName],
""
)</f>
        <v>Attain level 13 cooking skill</v>
      </c>
      <c r="D6" s="2" t="str">
        <f>_xlfn.XLOOKUP(tblQuestObjectives[[#This Row],[ObjectiveID]],tblTargets[TargetID],tblTargets[TargetType],"")</f>
        <v>STATE</v>
      </c>
      <c r="E6" s="5" t="s">
        <v>6089</v>
      </c>
      <c r="F6" s="2" t="b">
        <f>NOT(
    _xlfn.XLOOKUP(
        tblQuestObjectives[[#This Row],[ObjectiveID]],
        tblTargetStatus[TargetID],
        tblTargetStatus[PlayerCompleted],
        FALSE
    )
)</f>
        <v>1</v>
      </c>
      <c r="G6" s="2" t="b">
        <f>_xlfn.LET(
_xlpm.acceptedID,_xlfn.TEXTBEFORE(tblQuestObjectives[[#This Row],[QuestTargetID]],".finished")&amp;".accepted",
_xlfn.XLOOKUP(
_xlpm.acceptedID,
tblTargetStatus[TargetID],
tblTargetStatus[PlayerCompleted],
FALSE
)
)</f>
        <v>0</v>
      </c>
      <c r="H6" s="2" t="str">
        <f>_xlfn.LET(
    _xlpm.name,
    _xlfn.XLOOKUP(
        tblQuestObjectives[[#This Row],[QuestTargetID]],
        tblTargetStatus[TargetID],
        tblTargetStatus[DisplayName],
        ""
    ),
    SUBSTITUTE(
        SUBSTITUTE(_xlpm.name," Accepted",""),
        " Finished",""
    )
)</f>
        <v>Culinary Battle</v>
      </c>
      <c r="R6" s="5"/>
      <c r="S6" s="5"/>
      <c r="T6" s="5"/>
      <c r="V6" s="5"/>
      <c r="W6" s="5"/>
      <c r="AA6" s="5"/>
      <c r="AB6" s="5"/>
    </row>
    <row r="7" spans="1:30" ht="29" hidden="1">
      <c r="A7" s="5" t="s">
        <v>2466</v>
      </c>
      <c r="C7" s="2" t="str">
        <f>_xlfn.XLOOKUP(
tblQuestObjectives[[#This Row],[ObjectiveID]],
tblTargetStatus[TargetID],
tblTargetStatus[DisplayName],
""
)</f>
        <v>Defeat Bone Dragon in 4C</v>
      </c>
      <c r="D7" s="2" t="str">
        <f>_xlfn.XLOOKUP(tblQuestObjectives[[#This Row],[ObjectiveID]],tblTargets[TargetID],tblTargets[TargetType],"")</f>
        <v>STATE</v>
      </c>
      <c r="E7" t="s">
        <v>6098</v>
      </c>
      <c r="F7" s="2" t="b">
        <f>NOT(
    _xlfn.XLOOKUP(
        tblQuestObjectives[[#This Row],[ObjectiveID]],
        tblTargetStatus[TargetID],
        tblTargetStatus[PlayerCompleted],
        FALSE
    )
)</f>
        <v>1</v>
      </c>
      <c r="G7" s="2" t="b">
        <f>_xlfn.LET(
_xlpm.acceptedID,_xlfn.TEXTBEFORE(tblQuestObjectives[[#This Row],[QuestTargetID]],".finished")&amp;".accepted",
_xlfn.XLOOKUP(
_xlpm.acceptedID,
tblTargetStatus[TargetID],
tblTargetStatus[PlayerCompleted],
FALSE
)
)</f>
        <v>0</v>
      </c>
      <c r="H7" s="2" t="str">
        <f>_xlfn.LET(
    _xlpm.name,
    _xlfn.XLOOKUP(
        tblQuestObjectives[[#This Row],[QuestTargetID]],
        tblTargetStatus[TargetID],
        tblTargetStatus[DisplayName],
        ""
    ),
    SUBSTITUTE(
        SUBSTITUTE(_xlpm.name," Accepted",""),
        " Finished",""
    )
)</f>
        <v>Dragon teeth</v>
      </c>
      <c r="R7" s="5"/>
      <c r="S7" s="5"/>
      <c r="T7" s="5"/>
      <c r="V7" s="5"/>
      <c r="W7" s="5"/>
      <c r="AA7" s="5"/>
      <c r="AB7" s="5"/>
      <c r="AD7" s="5"/>
    </row>
    <row r="8" spans="1:30" ht="29" hidden="1">
      <c r="A8" s="5" t="s">
        <v>2466</v>
      </c>
      <c r="C8" s="2" t="str">
        <f>_xlfn.XLOOKUP(
tblQuestObjectives[[#This Row],[ObjectiveID]],
tblTargetStatus[TargetID],
tblTargetStatus[DisplayName],
""
)</f>
        <v>Smithy - Sword For A Hero Lvl 4</v>
      </c>
      <c r="D8" s="2" t="str">
        <f>_xlfn.XLOOKUP(tblQuestObjectives[[#This Row],[ObjectiveID]],tblTargets[TargetID],tblTargets[TargetType],"")</f>
        <v>TECH</v>
      </c>
      <c r="E8" t="s">
        <v>2204</v>
      </c>
      <c r="F8" s="2" t="b">
        <f>NOT(
    _xlfn.XLOOKUP(
        tblQuestObjectives[[#This Row],[ObjectiveID]],
        tblTargetStatus[TargetID],
        tblTargetStatus[PlayerCompleted],
        FALSE
    )
)</f>
        <v>1</v>
      </c>
      <c r="G8" s="2" t="b">
        <f>_xlfn.LET(
_xlpm.acceptedID,_xlfn.TEXTBEFORE(tblQuestObjectives[[#This Row],[QuestTargetID]],".finished")&amp;".accepted",
_xlfn.XLOOKUP(
_xlpm.acceptedID,
tblTargetStatus[TargetID],
tblTargetStatus[PlayerCompleted],
FALSE
)
)</f>
        <v>0</v>
      </c>
      <c r="H8" s="2" t="str">
        <f>_xlfn.LET(
    _xlpm.name,
    _xlfn.XLOOKUP(
        tblQuestObjectives[[#This Row],[QuestTargetID]],
        tblTargetStatus[TargetID],
        tblTargetStatus[DisplayName],
        ""
    ),
    SUBSTITUTE(
        SUBSTITUTE(_xlpm.name," Accepted",""),
        " Finished",""
    )
)</f>
        <v>Dragon teeth</v>
      </c>
      <c r="R8" s="5"/>
      <c r="S8" s="5"/>
      <c r="T8" s="5"/>
      <c r="V8" s="5"/>
      <c r="W8" s="5"/>
      <c r="AA8" s="5"/>
      <c r="AB8" s="5"/>
    </row>
    <row r="9" spans="1:30" ht="29" hidden="1">
      <c r="A9" s="5" t="s">
        <v>2466</v>
      </c>
      <c r="C9" s="2" t="str">
        <f>_xlfn.XLOOKUP(
tblQuestObjectives[[#This Row],[ObjectiveID]],
tblTargetStatus[TargetID],
tblTargetStatus[DisplayName],
""
)</f>
        <v>Craft Sword for a Hero Lvl 4</v>
      </c>
      <c r="D9" s="2" t="str">
        <f>_xlfn.XLOOKUP(tblQuestObjectives[[#This Row],[ObjectiveID]],tblTargets[TargetID],tblTargets[TargetType],"")</f>
        <v>STATE</v>
      </c>
      <c r="E9" s="5" t="s">
        <v>5638</v>
      </c>
      <c r="F9" s="2" t="b">
        <f>NOT(
    _xlfn.XLOOKUP(
        tblQuestObjectives[[#This Row],[ObjectiveID]],
        tblTargetStatus[TargetID],
        tblTargetStatus[PlayerCompleted],
        FALSE
    )
)</f>
        <v>1</v>
      </c>
      <c r="G9" s="2" t="b">
        <f>_xlfn.LET(
_xlpm.acceptedID,_xlfn.TEXTBEFORE(tblQuestObjectives[[#This Row],[QuestTargetID]],".finished")&amp;".accepted",
_xlfn.XLOOKUP(
_xlpm.acceptedID,
tblTargetStatus[TargetID],
tblTargetStatus[PlayerCompleted],
FALSE
)
)</f>
        <v>0</v>
      </c>
      <c r="H9" s="2" t="str">
        <f>_xlfn.LET(
    _xlpm.name,
    _xlfn.XLOOKUP(
        tblQuestObjectives[[#This Row],[QuestTargetID]],
        tblTargetStatus[TargetID],
        tblTargetStatus[DisplayName],
        ""
    ),
    SUBSTITUTE(
        SUBSTITUTE(_xlpm.name," Accepted",""),
        " Finished",""
    )
)</f>
        <v>Dragon teeth</v>
      </c>
      <c r="R9" s="5"/>
      <c r="S9" s="5"/>
      <c r="T9" s="5"/>
      <c r="V9" s="5"/>
      <c r="W9" s="5"/>
      <c r="AA9" s="5"/>
      <c r="AB9" s="5"/>
      <c r="AD9" s="5"/>
    </row>
    <row r="10" spans="1:30" ht="29" hidden="1">
      <c r="A10" s="5" t="s">
        <v>2474</v>
      </c>
      <c r="C10" s="2" t="str">
        <f>_xlfn.XLOOKUP(
tblQuestObjectives[[#This Row],[ObjectiveID]],
tblTargetStatus[TargetID],
tblTargetStatus[DisplayName],
""
)</f>
        <v>Smithy - Throwing Knife</v>
      </c>
      <c r="D10" s="2" t="str">
        <f>_xlfn.XLOOKUP(tblQuestObjectives[[#This Row],[ObjectiveID]],tblTargets[TargetID],tblTargets[TargetType],"")</f>
        <v>TECH</v>
      </c>
      <c r="E10" t="s">
        <v>2196</v>
      </c>
      <c r="F10" s="2" t="b">
        <f>NOT(
    _xlfn.XLOOKUP(
        tblQuestObjectives[[#This Row],[ObjectiveID]],
        tblTargetStatus[TargetID],
        tblTargetStatus[PlayerCompleted],
        FALSE
    )
)</f>
        <v>1</v>
      </c>
      <c r="G10" s="2" t="b">
        <f>_xlfn.LET(
_xlpm.acceptedID,_xlfn.TEXTBEFORE(tblQuestObjectives[[#This Row],[QuestTargetID]],".finished")&amp;".accepted",
_xlfn.XLOOKUP(
_xlpm.acceptedID,
tblTargetStatus[TargetID],
tblTargetStatus[PlayerCompleted],
FALSE
)
)</f>
        <v>0</v>
      </c>
      <c r="H10" s="2" t="str">
        <f>_xlfn.LET(
    _xlpm.name,
    _xlfn.XLOOKUP(
        tblQuestObjectives[[#This Row],[QuestTargetID]],
        tblTargetStatus[TargetID],
        tblTargetStatus[DisplayName],
        ""
    ),
    SUBSTITUTE(
        SUBSTITUTE(_xlpm.name," Accepted",""),
        " Finished",""
    )
)</f>
        <v>Green Potion</v>
      </c>
      <c r="R10" s="5"/>
      <c r="S10" s="5"/>
      <c r="T10" s="5"/>
      <c r="U10" s="5"/>
      <c r="V10" s="5"/>
      <c r="W10" s="5"/>
      <c r="X10" s="5"/>
      <c r="AA10" s="5"/>
      <c r="AB10" s="5"/>
      <c r="AD10" s="5"/>
    </row>
    <row r="11" spans="1:30" hidden="1">
      <c r="A11" s="5" t="s">
        <v>2474</v>
      </c>
      <c r="C11" s="2" t="str">
        <f>_xlfn.XLOOKUP(
tblQuestObjectives[[#This Row],[ObjectiveID]],
tblTargetStatus[TargetID],
tblTargetStatus[DisplayName],
""
)</f>
        <v>Dungeon Lv 3</v>
      </c>
      <c r="D11" s="2" t="str">
        <f>_xlfn.XLOOKUP(tblQuestObjectives[[#This Row],[ObjectiveID]],tblTargets[TargetID],tblTargets[TargetType],"")</f>
        <v>BUILDING</v>
      </c>
      <c r="E11" s="5" t="s">
        <v>43</v>
      </c>
      <c r="F11" s="2" t="b">
        <f>NOT(
    _xlfn.XLOOKUP(
        tblQuestObjectives[[#This Row],[ObjectiveID]],
        tblTargetStatus[TargetID],
        tblTargetStatus[PlayerCompleted],
        FALSE
    )
)</f>
        <v>1</v>
      </c>
      <c r="G11" s="2" t="b">
        <f>_xlfn.LET(
_xlpm.acceptedID,_xlfn.TEXTBEFORE(tblQuestObjectives[[#This Row],[QuestTargetID]],".finished")&amp;".accepted",
_xlfn.XLOOKUP(
_xlpm.acceptedID,
tblTargetStatus[TargetID],
tblTargetStatus[PlayerCompleted],
FALSE
)
)</f>
        <v>0</v>
      </c>
      <c r="H11" s="2" t="str">
        <f>_xlfn.LET(
    _xlpm.name,
    _xlfn.XLOOKUP(
        tblQuestObjectives[[#This Row],[QuestTargetID]],
        tblTargetStatus[TargetID],
        tblTargetStatus[DisplayName],
        ""
    ),
    SUBSTITUTE(
        SUBSTITUTE(_xlpm.name," Accepted",""),
        " Finished",""
    )
)</f>
        <v>Green Potion</v>
      </c>
      <c r="R11" s="5"/>
      <c r="S11" s="5"/>
      <c r="T11" s="5"/>
      <c r="V11" s="5"/>
      <c r="W11" s="5"/>
      <c r="AA11" s="5"/>
      <c r="AB11" s="5"/>
    </row>
    <row r="12" spans="1:30" hidden="1">
      <c r="A12" s="5" t="s">
        <v>2476</v>
      </c>
      <c r="C12" s="2" t="str">
        <f>_xlfn.XLOOKUP(
tblQuestObjectives[[#This Row],[ObjectiveID]],
tblTargetStatus[TargetID],
tblTargetStatus[DisplayName],
""
)</f>
        <v>Guild Codex</v>
      </c>
      <c r="D12" s="2" t="str">
        <f>_xlfn.XLOOKUP(tblQuestObjectives[[#This Row],[ObjectiveID]],tblTargets[TargetID],tblTargets[TargetType],"")</f>
        <v>CRAFTIFACT</v>
      </c>
      <c r="E12" s="5" t="s">
        <v>2658</v>
      </c>
      <c r="F12" s="2" t="b">
        <f>NOT(
    _xlfn.XLOOKUP(
        tblQuestObjectives[[#This Row],[ObjectiveID]],
        tblTargetStatus[TargetID],
        tblTargetStatus[PlayerCompleted],
        FALSE
    )
)</f>
        <v>1</v>
      </c>
      <c r="G12" s="2" t="b">
        <f>_xlfn.LET(
_xlpm.acceptedID,_xlfn.TEXTBEFORE(tblQuestObjectives[[#This Row],[QuestTargetID]],".finished")&amp;".accepted",
_xlfn.XLOOKUP(
_xlpm.acceptedID,
tblTargetStatus[TargetID],
tblTargetStatus[PlayerCompleted],
FALSE
)
)</f>
        <v>0</v>
      </c>
      <c r="H12" s="2" t="str">
        <f>_xlfn.LET(
    _xlpm.name,
    _xlfn.XLOOKUP(
        tblQuestObjectives[[#This Row],[QuestTargetID]],
        tblTargetStatus[TargetID],
        tblTargetStatus[DisplayName],
        ""
    ),
    SUBSTITUTE(
        SUBSTITUTE(_xlpm.name," Accepted",""),
        " Finished",""
    )
)</f>
        <v>Honor, Glory, Sushi</v>
      </c>
      <c r="R12" s="5"/>
      <c r="S12" s="5"/>
      <c r="T12" s="5"/>
      <c r="U12" s="5"/>
      <c r="V12" s="5"/>
      <c r="W12" s="5"/>
      <c r="X12" s="5"/>
      <c r="AA12" s="5"/>
      <c r="AB12" s="5"/>
    </row>
    <row r="13" spans="1:30" hidden="1">
      <c r="A13" s="5" t="s">
        <v>2476</v>
      </c>
      <c r="C13" s="2" t="str">
        <f>_xlfn.XLOOKUP(
tblQuestObjectives[[#This Row],[ObjectiveID]],
tblTargetStatus[TargetID],
tblTargetStatus[DisplayName],
""
)</f>
        <v>Guild Banner</v>
      </c>
      <c r="D13" s="2" t="str">
        <f>_xlfn.XLOOKUP(tblQuestObjectives[[#This Row],[ObjectiveID]],tblTargets[TargetID],tblTargets[TargetType],"")</f>
        <v>CRAFTIFACT</v>
      </c>
      <c r="E13" s="5" t="s">
        <v>2657</v>
      </c>
      <c r="F13" s="2" t="b">
        <f>NOT(
    _xlfn.XLOOKUP(
        tblQuestObjectives[[#This Row],[ObjectiveID]],
        tblTargetStatus[TargetID],
        tblTargetStatus[PlayerCompleted],
        FALSE
    )
)</f>
        <v>1</v>
      </c>
      <c r="G13" s="2" t="b">
        <f>_xlfn.LET(
_xlpm.acceptedID,_xlfn.TEXTBEFORE(tblQuestObjectives[[#This Row],[QuestTargetID]],".finished")&amp;".accepted",
_xlfn.XLOOKUP(
_xlpm.acceptedID,
tblTargetStatus[TargetID],
tblTargetStatus[PlayerCompleted],
FALSE
)
)</f>
        <v>0</v>
      </c>
      <c r="H13" s="2" t="str">
        <f>_xlfn.LET(
    _xlpm.name,
    _xlfn.XLOOKUP(
        tblQuestObjectives[[#This Row],[QuestTargetID]],
        tblTargetStatus[TargetID],
        tblTargetStatus[DisplayName],
        ""
    ),
    SUBSTITUTE(
        SUBSTITUTE(_xlpm.name," Accepted",""),
        " Finished",""
    )
)</f>
        <v>Honor, Glory, Sushi</v>
      </c>
      <c r="R13" s="5"/>
      <c r="S13" s="5"/>
      <c r="T13" s="5"/>
      <c r="V13" s="5"/>
      <c r="W13" s="5"/>
      <c r="AA13" s="5"/>
      <c r="AB13" s="5"/>
      <c r="AD13" s="5"/>
    </row>
    <row r="14" spans="1:30" hidden="1">
      <c r="A14" s="5" t="s">
        <v>2476</v>
      </c>
      <c r="C14" s="2" t="str">
        <f>_xlfn.XLOOKUP(
tblQuestObjectives[[#This Row],[ObjectiveID]],
tblTargetStatus[TargetID],
tblTargetStatus[DisplayName],
""
)</f>
        <v>Guild Supplies</v>
      </c>
      <c r="D14" s="2" t="str">
        <f>_xlfn.XLOOKUP(tblQuestObjectives[[#This Row],[ObjectiveID]],tblTargets[TargetID],tblTargets[TargetType],"")</f>
        <v>CRAFTIFACT</v>
      </c>
      <c r="E14" s="5" t="s">
        <v>2659</v>
      </c>
      <c r="F14" s="2" t="b">
        <f>NOT(
    _xlfn.XLOOKUP(
        tblQuestObjectives[[#This Row],[ObjectiveID]],
        tblTargetStatus[TargetID],
        tblTargetStatus[PlayerCompleted],
        FALSE
    )
)</f>
        <v>1</v>
      </c>
      <c r="G14" s="2" t="b">
        <f>_xlfn.LET(
_xlpm.acceptedID,_xlfn.TEXTBEFORE(tblQuestObjectives[[#This Row],[QuestTargetID]],".finished")&amp;".accepted",
_xlfn.XLOOKUP(
_xlpm.acceptedID,
tblTargetStatus[TargetID],
tblTargetStatus[PlayerCompleted],
FALSE
)
)</f>
        <v>0</v>
      </c>
      <c r="H14" s="2" t="str">
        <f>_xlfn.LET(
    _xlpm.name,
    _xlfn.XLOOKUP(
        tblQuestObjectives[[#This Row],[QuestTargetID]],
        tblTargetStatus[TargetID],
        tblTargetStatus[DisplayName],
        ""
    ),
    SUBSTITUTE(
        SUBSTITUTE(_xlpm.name," Accepted",""),
        " Finished",""
    )
)</f>
        <v>Honor, Glory, Sushi</v>
      </c>
      <c r="R14" s="5"/>
      <c r="S14" s="5"/>
      <c r="T14" s="5"/>
      <c r="V14" s="5"/>
      <c r="W14" s="5"/>
      <c r="AA14" s="5"/>
      <c r="AB14" s="5"/>
    </row>
    <row r="15" spans="1:30" hidden="1">
      <c r="A15" s="5" t="s">
        <v>2476</v>
      </c>
      <c r="C15" s="2" t="str">
        <f>_xlfn.XLOOKUP(
tblQuestObjectives[[#This Row],[ObjectiveID]],
tblTargetStatus[TargetID],
tblTargetStatus[DisplayName],
""
)</f>
        <v>Outpost Lv 3</v>
      </c>
      <c r="D15" s="2" t="str">
        <f>_xlfn.XLOOKUP(tblQuestObjectives[[#This Row],[ObjectiveID]],tblTargets[TargetID],tblTargets[TargetType],"")</f>
        <v>BUILDING</v>
      </c>
      <c r="E15" s="5" t="s">
        <v>100</v>
      </c>
      <c r="F15" s="2" t="b">
        <f>NOT(
    _xlfn.XLOOKUP(
        tblQuestObjectives[[#This Row],[ObjectiveID]],
        tblTargetStatus[TargetID],
        tblTargetStatus[PlayerCompleted],
        FALSE
    )
)</f>
        <v>1</v>
      </c>
      <c r="G15" s="2" t="b">
        <f>_xlfn.LET(
_xlpm.acceptedID,_xlfn.TEXTBEFORE(tblQuestObjectives[[#This Row],[QuestTargetID]],".finished")&amp;".accepted",
_xlfn.XLOOKUP(
_xlpm.acceptedID,
tblTargetStatus[TargetID],
tblTargetStatus[PlayerCompleted],
FALSE
)
)</f>
        <v>0</v>
      </c>
      <c r="H15" s="2" t="str">
        <f>_xlfn.LET(
    _xlpm.name,
    _xlfn.XLOOKUP(
        tblQuestObjectives[[#This Row],[QuestTargetID]],
        tblTargetStatus[TargetID],
        tblTargetStatus[DisplayName],
        ""
    ),
    SUBSTITUTE(
        SUBSTITUTE(_xlpm.name," Accepted",""),
        " Finished",""
    )
)</f>
        <v>Honor, Glory, Sushi</v>
      </c>
      <c r="R15" s="5"/>
      <c r="S15" s="5"/>
      <c r="T15" s="5"/>
      <c r="U15" s="5"/>
      <c r="V15" s="5"/>
      <c r="W15" s="5"/>
      <c r="X15" s="5"/>
      <c r="AA15" s="5"/>
      <c r="AB15" s="5"/>
    </row>
    <row r="16" spans="1:30" hidden="1">
      <c r="A16" s="5" t="s">
        <v>2478</v>
      </c>
      <c r="C16" s="2" t="str">
        <f>_xlfn.XLOOKUP(
tblQuestObjectives[[#This Row],[ObjectiveID]],
tblTargetStatus[TargetID],
tblTargetStatus[DisplayName],
""
)</f>
        <v>Obtain Blueprint</v>
      </c>
      <c r="D16" s="2" t="str">
        <f>_xlfn.XLOOKUP(tblQuestObjectives[[#This Row],[ObjectiveID]],tblTargets[TargetID],tblTargets[TargetType],"")</f>
        <v>STATE</v>
      </c>
      <c r="E16" t="s">
        <v>5641</v>
      </c>
      <c r="F16" s="2" t="b">
        <f>NOT(
    _xlfn.XLOOKUP(
        tblQuestObjectives[[#This Row],[ObjectiveID]],
        tblTargetStatus[TargetID],
        tblTargetStatus[PlayerCompleted],
        FALSE
    )
)</f>
        <v>1</v>
      </c>
      <c r="G16" s="2" t="b">
        <f>_xlfn.LET(
_xlpm.acceptedID,_xlfn.TEXTBEFORE(tblQuestObjectives[[#This Row],[QuestTargetID]],".finished")&amp;".accepted",
_xlfn.XLOOKUP(
_xlpm.acceptedID,
tblTargetStatus[TargetID],
tblTargetStatus[PlayerCompleted],
FALSE
)
)</f>
        <v>0</v>
      </c>
      <c r="H16" s="2" t="str">
        <f>_xlfn.LET(
    _xlpm.name,
    _xlfn.XLOOKUP(
        tblQuestObjectives[[#This Row],[QuestTargetID]],
        tblTargetStatus[TargetID],
        tblTargetStatus[DisplayName],
        ""
    ),
    SUBSTITUTE(
        SUBSTITUTE(_xlpm.name," Accepted",""),
        " Finished",""
    )
)</f>
        <v>Journey Through Japan By Train</v>
      </c>
      <c r="R16" s="5"/>
      <c r="S16" s="5"/>
      <c r="T16" s="5"/>
      <c r="U16" s="5"/>
      <c r="V16" s="5"/>
      <c r="W16" s="5"/>
      <c r="X16" s="5"/>
      <c r="AA16" s="5"/>
      <c r="AB16" s="5"/>
    </row>
    <row r="17" spans="1:30" hidden="1">
      <c r="A17" s="5" t="s">
        <v>2478</v>
      </c>
      <c r="C17" s="2" t="str">
        <f>_xlfn.XLOOKUP(
tblQuestObjectives[[#This Row],[ObjectiveID]],
tblTargetStatus[TargetID],
tblTargetStatus[DisplayName],
""
)</f>
        <v>Station Lv 1</v>
      </c>
      <c r="D17" s="2" t="str">
        <f>_xlfn.XLOOKUP(tblQuestObjectives[[#This Row],[ObjectiveID]],tblTargets[TargetID],tblTargets[TargetType],"")</f>
        <v>BUILDING</v>
      </c>
      <c r="E17" t="s">
        <v>129</v>
      </c>
      <c r="F17" s="2" t="b">
        <f>NOT(
    _xlfn.XLOOKUP(
        tblQuestObjectives[[#This Row],[ObjectiveID]],
        tblTargetStatus[TargetID],
        tblTargetStatus[PlayerCompleted],
        FALSE
    )
)</f>
        <v>1</v>
      </c>
      <c r="G17" s="2" t="b">
        <f>_xlfn.LET(
_xlpm.acceptedID,_xlfn.TEXTBEFORE(tblQuestObjectives[[#This Row],[QuestTargetID]],".finished")&amp;".accepted",
_xlfn.XLOOKUP(
_xlpm.acceptedID,
tblTargetStatus[TargetID],
tblTargetStatus[PlayerCompleted],
FALSE
)
)</f>
        <v>0</v>
      </c>
      <c r="H17" s="2" t="str">
        <f>_xlfn.LET(
    _xlpm.name,
    _xlfn.XLOOKUP(
        tblQuestObjectives[[#This Row],[QuestTargetID]],
        tblTargetStatus[TargetID],
        tblTargetStatus[DisplayName],
        ""
    ),
    SUBSTITUTE(
        SUBSTITUTE(_xlpm.name," Accepted",""),
        " Finished",""
    )
)</f>
        <v>Journey Through Japan By Train</v>
      </c>
      <c r="R17" s="5"/>
      <c r="S17" s="5"/>
      <c r="T17" s="5"/>
      <c r="U17" s="5"/>
      <c r="V17" s="5"/>
      <c r="W17" s="5"/>
      <c r="X17" s="5"/>
      <c r="AA17" s="5"/>
      <c r="AB17" s="5"/>
    </row>
    <row r="18" spans="1:30" hidden="1">
      <c r="A18" s="5" t="s">
        <v>2478</v>
      </c>
      <c r="C18" s="2" t="str">
        <f>_xlfn.XLOOKUP(
tblQuestObjectives[[#This Row],[ObjectiveID]],
tblTargetStatus[TargetID],
tblTargetStatus[DisplayName],
""
)</f>
        <v>Train Lv 1</v>
      </c>
      <c r="D18" s="2" t="str">
        <f>_xlfn.XLOOKUP(tblQuestObjectives[[#This Row],[ObjectiveID]],tblTargets[TargetID],tblTargets[TargetType],"")</f>
        <v>BUILDING</v>
      </c>
      <c r="E18" s="5" t="s">
        <v>135</v>
      </c>
      <c r="F18" s="2" t="b">
        <f>NOT(
    _xlfn.XLOOKUP(
        tblQuestObjectives[[#This Row],[ObjectiveID]],
        tblTargetStatus[TargetID],
        tblTargetStatus[PlayerCompleted],
        FALSE
    )
)</f>
        <v>1</v>
      </c>
      <c r="G18" s="2" t="b">
        <f>_xlfn.LET(
_xlpm.acceptedID,_xlfn.TEXTBEFORE(tblQuestObjectives[[#This Row],[QuestTargetID]],".finished")&amp;".accepted",
_xlfn.XLOOKUP(
_xlpm.acceptedID,
tblTargetStatus[TargetID],
tblTargetStatus[PlayerCompleted],
FALSE
)
)</f>
        <v>0</v>
      </c>
      <c r="H18" s="2" t="str">
        <f>_xlfn.LET(
    _xlpm.name,
    _xlfn.XLOOKUP(
        tblQuestObjectives[[#This Row],[QuestTargetID]],
        tblTargetStatus[TargetID],
        tblTargetStatus[DisplayName],
        ""
    ),
    SUBSTITUTE(
        SUBSTITUTE(_xlpm.name," Accepted",""),
        " Finished",""
    )
)</f>
        <v>Journey Through Japan By Train</v>
      </c>
      <c r="R18" s="5"/>
      <c r="S18" s="5"/>
      <c r="T18" s="5"/>
      <c r="U18" s="5"/>
      <c r="V18" s="5"/>
      <c r="W18" s="5"/>
      <c r="X18" s="5"/>
      <c r="AA18" s="5"/>
      <c r="AB18" s="5"/>
    </row>
    <row r="19" spans="1:30" ht="29" hidden="1">
      <c r="A19" s="5" t="s">
        <v>2478</v>
      </c>
      <c r="C19" s="2" t="str">
        <f>_xlfn.XLOOKUP(
tblQuestObjectives[[#This Row],[ObjectiveID]],
tblTargetStatus[TargetID],
tblTargetStatus[DisplayName],
""
)</f>
        <v>Train: Passenger Carriage Lv 1</v>
      </c>
      <c r="D19" s="2" t="str">
        <f>_xlfn.XLOOKUP(tblQuestObjectives[[#This Row],[ObjectiveID]],tblTargets[TargetID],tblTargets[TargetType],"")</f>
        <v>BUILDING</v>
      </c>
      <c r="E19" t="s">
        <v>142</v>
      </c>
      <c r="F19" s="2" t="b">
        <f>NOT(
    _xlfn.XLOOKUP(
        tblQuestObjectives[[#This Row],[ObjectiveID]],
        tblTargetStatus[TargetID],
        tblTargetStatus[PlayerCompleted],
        FALSE
    )
)</f>
        <v>1</v>
      </c>
      <c r="G19" s="2" t="b">
        <f>_xlfn.LET(
_xlpm.acceptedID,_xlfn.TEXTBEFORE(tblQuestObjectives[[#This Row],[QuestTargetID]],".finished")&amp;".accepted",
_xlfn.XLOOKUP(
_xlpm.acceptedID,
tblTargetStatus[TargetID],
tblTargetStatus[PlayerCompleted],
FALSE
)
)</f>
        <v>0</v>
      </c>
      <c r="H19" s="2" t="str">
        <f>_xlfn.LET(
    _xlpm.name,
    _xlfn.XLOOKUP(
        tblQuestObjectives[[#This Row],[QuestTargetID]],
        tblTargetStatus[TargetID],
        tblTargetStatus[DisplayName],
        ""
    ),
    SUBSTITUTE(
        SUBSTITUTE(_xlpm.name," Accepted",""),
        " Finished",""
    )
)</f>
        <v>Journey Through Japan By Train</v>
      </c>
      <c r="R19" s="5"/>
      <c r="S19" s="5"/>
      <c r="T19" s="5"/>
      <c r="U19" s="5"/>
      <c r="V19" s="5"/>
      <c r="W19" s="5"/>
      <c r="X19" s="5"/>
      <c r="AA19" s="5"/>
      <c r="AB19" s="5"/>
    </row>
    <row r="20" spans="1:30" hidden="1">
      <c r="A20" s="5" t="s">
        <v>2478</v>
      </c>
      <c r="C20" s="2" t="str">
        <f>_xlfn.XLOOKUP(
tblQuestObjectives[[#This Row],[ObjectiveID]],
tblTargetStatus[TargetID],
tblTargetStatus[DisplayName],
""
)</f>
        <v>Visit Nagasaki</v>
      </c>
      <c r="D20" s="2" t="str">
        <f>_xlfn.XLOOKUP(tblQuestObjectives[[#This Row],[ObjectiveID]],tblTargets[TargetID],tblTargets[TargetType],"")</f>
        <v>STATE</v>
      </c>
      <c r="E20" s="2" t="s">
        <v>5763</v>
      </c>
      <c r="F20" s="2" t="b">
        <f>NOT(
    _xlfn.XLOOKUP(
        tblQuestObjectives[[#This Row],[ObjectiveID]],
        tblTargetStatus[TargetID],
        tblTargetStatus[PlayerCompleted],
        FALSE
    )
)</f>
        <v>1</v>
      </c>
      <c r="G20" s="2" t="b">
        <f>_xlfn.LET(
_xlpm.acceptedID,_xlfn.TEXTBEFORE(tblQuestObjectives[[#This Row],[QuestTargetID]],".finished")&amp;".accepted",
_xlfn.XLOOKUP(
_xlpm.acceptedID,
tblTargetStatus[TargetID],
tblTargetStatus[PlayerCompleted],
FALSE
)
)</f>
        <v>0</v>
      </c>
      <c r="H20" s="2" t="str">
        <f>_xlfn.LET(
    _xlpm.name,
    _xlfn.XLOOKUP(
        tblQuestObjectives[[#This Row],[QuestTargetID]],
        tblTargetStatus[TargetID],
        tblTargetStatus[DisplayName],
        ""
    ),
    SUBSTITUTE(
        SUBSTITUTE(_xlpm.name," Accepted",""),
        " Finished",""
    )
)</f>
        <v>Journey Through Japan By Train</v>
      </c>
      <c r="R20" s="5"/>
      <c r="S20" s="5"/>
      <c r="T20" s="5"/>
      <c r="U20" s="5"/>
      <c r="V20" s="5"/>
      <c r="W20" s="5"/>
      <c r="X20" s="5"/>
      <c r="AA20" s="5"/>
      <c r="AB20" s="5"/>
    </row>
    <row r="21" spans="1:30" hidden="1">
      <c r="A21" s="5" t="s">
        <v>2478</v>
      </c>
      <c r="C21" s="2" t="str">
        <f>_xlfn.XLOOKUP(
tblQuestObjectives[[#This Row],[ObjectiveID]],
tblTargetStatus[TargetID],
tblTargetStatus[DisplayName],
""
)</f>
        <v>Visit Osaka</v>
      </c>
      <c r="D21" s="2" t="str">
        <f>_xlfn.XLOOKUP(tblQuestObjectives[[#This Row],[ObjectiveID]],tblTargets[TargetID],tblTargets[TargetType],"")</f>
        <v>STATE</v>
      </c>
      <c r="E21" s="2" t="s">
        <v>5764</v>
      </c>
      <c r="F21" s="2" t="b">
        <f>NOT(
    _xlfn.XLOOKUP(
        tblQuestObjectives[[#This Row],[ObjectiveID]],
        tblTargetStatus[TargetID],
        tblTargetStatus[PlayerCompleted],
        FALSE
    )
)</f>
        <v>1</v>
      </c>
      <c r="G21" s="2" t="b">
        <f>_xlfn.LET(
_xlpm.acceptedID,_xlfn.TEXTBEFORE(tblQuestObjectives[[#This Row],[QuestTargetID]],".finished")&amp;".accepted",
_xlfn.XLOOKUP(
_xlpm.acceptedID,
tblTargetStatus[TargetID],
tblTargetStatus[PlayerCompleted],
FALSE
)
)</f>
        <v>0</v>
      </c>
      <c r="H21" s="2" t="str">
        <f>_xlfn.LET(
    _xlpm.name,
    _xlfn.XLOOKUP(
        tblQuestObjectives[[#This Row],[QuestTargetID]],
        tblTargetStatus[TargetID],
        tblTargetStatus[DisplayName],
        ""
    ),
    SUBSTITUTE(
        SUBSTITUTE(_xlpm.name," Accepted",""),
        " Finished",""
    )
)</f>
        <v>Journey Through Japan By Train</v>
      </c>
      <c r="R21" s="5"/>
      <c r="S21" s="5"/>
      <c r="T21" s="5"/>
      <c r="U21" s="5"/>
      <c r="V21" s="5"/>
      <c r="W21" s="5"/>
      <c r="X21" s="5"/>
      <c r="AA21" s="5"/>
      <c r="AB21" s="5"/>
    </row>
    <row r="22" spans="1:30" hidden="1">
      <c r="A22" s="5" t="s">
        <v>2478</v>
      </c>
      <c r="C22" s="2" t="str">
        <f>_xlfn.XLOOKUP(
tblQuestObjectives[[#This Row],[ObjectiveID]],
tblTargetStatus[TargetID],
tblTargetStatus[DisplayName],
""
)</f>
        <v>Visit Wakayama</v>
      </c>
      <c r="D22" s="2" t="str">
        <f>_xlfn.XLOOKUP(tblQuestObjectives[[#This Row],[ObjectiveID]],tblTargets[TargetID],tblTargets[TargetType],"")</f>
        <v>STATE</v>
      </c>
      <c r="E22" s="2" t="s">
        <v>5766</v>
      </c>
      <c r="F22" s="2" t="b">
        <f>NOT(
    _xlfn.XLOOKUP(
        tblQuestObjectives[[#This Row],[ObjectiveID]],
        tblTargetStatus[TargetID],
        tblTargetStatus[PlayerCompleted],
        FALSE
    )
)</f>
        <v>1</v>
      </c>
      <c r="G22" s="2" t="b">
        <f>_xlfn.LET(
_xlpm.acceptedID,_xlfn.TEXTBEFORE(tblQuestObjectives[[#This Row],[QuestTargetID]],".finished")&amp;".accepted",
_xlfn.XLOOKUP(
_xlpm.acceptedID,
tblTargetStatus[TargetID],
tblTargetStatus[PlayerCompleted],
FALSE
)
)</f>
        <v>0</v>
      </c>
      <c r="H22" s="2" t="str">
        <f>_xlfn.LET(
    _xlpm.name,
    _xlfn.XLOOKUP(
        tblQuestObjectives[[#This Row],[QuestTargetID]],
        tblTargetStatus[TargetID],
        tblTargetStatus[DisplayName],
        ""
    ),
    SUBSTITUTE(
        SUBSTITUTE(_xlpm.name," Accepted",""),
        " Finished",""
    )
)</f>
        <v>Journey Through Japan By Train</v>
      </c>
      <c r="R22" s="5"/>
      <c r="S22" s="5"/>
      <c r="T22" s="5"/>
      <c r="U22" s="5"/>
      <c r="V22" s="5"/>
      <c r="W22" s="5"/>
      <c r="X22" s="5"/>
      <c r="AA22" s="5"/>
      <c r="AB22" s="5"/>
    </row>
    <row r="23" spans="1:30" hidden="1">
      <c r="A23" s="5" t="s">
        <v>2478</v>
      </c>
      <c r="C23" s="2" t="str">
        <f>_xlfn.XLOOKUP(
tblQuestObjectives[[#This Row],[ObjectiveID]],
tblTargetStatus[TargetID],
tblTargetStatus[DisplayName],
""
)</f>
        <v>Visit Kyoto</v>
      </c>
      <c r="D23" s="2" t="str">
        <f>_xlfn.XLOOKUP(tblQuestObjectives[[#This Row],[ObjectiveID]],tblTargets[TargetID],tblTargets[TargetType],"")</f>
        <v>STATE</v>
      </c>
      <c r="E23" s="2" t="s">
        <v>5762</v>
      </c>
      <c r="F23" s="2" t="b">
        <f>NOT(
    _xlfn.XLOOKUP(
        tblQuestObjectives[[#This Row],[ObjectiveID]],
        tblTargetStatus[TargetID],
        tblTargetStatus[PlayerCompleted],
        FALSE
    )
)</f>
        <v>1</v>
      </c>
      <c r="G23" s="2" t="b">
        <f>_xlfn.LET(
_xlpm.acceptedID,_xlfn.TEXTBEFORE(tblQuestObjectives[[#This Row],[QuestTargetID]],".finished")&amp;".accepted",
_xlfn.XLOOKUP(
_xlpm.acceptedID,
tblTargetStatus[TargetID],
tblTargetStatus[PlayerCompleted],
FALSE
)
)</f>
        <v>0</v>
      </c>
      <c r="H23" s="2" t="str">
        <f>_xlfn.LET(
    _xlpm.name,
    _xlfn.XLOOKUP(
        tblQuestObjectives[[#This Row],[QuestTargetID]],
        tblTargetStatus[TargetID],
        tblTargetStatus[DisplayName],
        ""
    ),
    SUBSTITUTE(
        SUBSTITUTE(_xlpm.name," Accepted",""),
        " Finished",""
    )
)</f>
        <v>Journey Through Japan By Train</v>
      </c>
      <c r="R23" s="5"/>
      <c r="S23" s="5"/>
      <c r="T23" s="5"/>
      <c r="V23" s="5"/>
      <c r="W23" s="5"/>
      <c r="AA23" s="5"/>
      <c r="AB23" s="5"/>
      <c r="AD23" s="5"/>
    </row>
    <row r="24" spans="1:30" hidden="1">
      <c r="A24" s="5" t="s">
        <v>2478</v>
      </c>
      <c r="C24" s="2" t="str">
        <f>_xlfn.XLOOKUP(
tblQuestObjectives[[#This Row],[ObjectiveID]],
tblTargetStatus[TargetID],
tblTargetStatus[DisplayName],
""
)</f>
        <v>Train Lv 2</v>
      </c>
      <c r="D24" s="2" t="str">
        <f>_xlfn.XLOOKUP(tblQuestObjectives[[#This Row],[ObjectiveID]],tblTargets[TargetID],tblTargets[TargetType],"")</f>
        <v>BUILDING</v>
      </c>
      <c r="E24" s="5" t="s">
        <v>137</v>
      </c>
      <c r="F24" s="2" t="b">
        <f>NOT(
    _xlfn.XLOOKUP(
        tblQuestObjectives[[#This Row],[ObjectiveID]],
        tblTargetStatus[TargetID],
        tblTargetStatus[PlayerCompleted],
        FALSE
    )
)</f>
        <v>1</v>
      </c>
      <c r="G24" s="2" t="b">
        <f>_xlfn.LET(
_xlpm.acceptedID,_xlfn.TEXTBEFORE(tblQuestObjectives[[#This Row],[QuestTargetID]],".finished")&amp;".accepted",
_xlfn.XLOOKUP(
_xlpm.acceptedID,
tblTargetStatus[TargetID],
tblTargetStatus[PlayerCompleted],
FALSE
)
)</f>
        <v>0</v>
      </c>
      <c r="H24" s="2" t="str">
        <f>_xlfn.LET(
    _xlpm.name,
    _xlfn.XLOOKUP(
        tblQuestObjectives[[#This Row],[QuestTargetID]],
        tblTargetStatus[TargetID],
        tblTargetStatus[DisplayName],
        ""
    ),
    SUBSTITUTE(
        SUBSTITUTE(_xlpm.name," Accepted",""),
        " Finished",""
    )
)</f>
        <v>Journey Through Japan By Train</v>
      </c>
      <c r="R24" s="5"/>
      <c r="S24" s="5"/>
      <c r="T24" s="5"/>
      <c r="V24" s="5"/>
      <c r="W24" s="5"/>
      <c r="AA24" s="5"/>
      <c r="AB24" s="5"/>
    </row>
    <row r="25" spans="1:30" hidden="1">
      <c r="A25" s="5" t="s">
        <v>2478</v>
      </c>
      <c r="C25" s="2" t="str">
        <f>_xlfn.XLOOKUP(
tblQuestObjectives[[#This Row],[ObjectiveID]],
tblTargetStatus[TargetID],
tblTargetStatus[DisplayName],
""
)</f>
        <v>Visit Tokyo</v>
      </c>
      <c r="D25" s="2" t="str">
        <f>_xlfn.XLOOKUP(tblQuestObjectives[[#This Row],[ObjectiveID]],tblTargets[TargetID],tblTargets[TargetType],"")</f>
        <v>STATE</v>
      </c>
      <c r="E25" s="2" t="s">
        <v>5765</v>
      </c>
      <c r="F25" s="2" t="b">
        <f>NOT(
    _xlfn.XLOOKUP(
        tblQuestObjectives[[#This Row],[ObjectiveID]],
        tblTargetStatus[TargetID],
        tblTargetStatus[PlayerCompleted],
        FALSE
    )
)</f>
        <v>1</v>
      </c>
      <c r="G25" s="2" t="b">
        <f>_xlfn.LET(
_xlpm.acceptedID,_xlfn.TEXTBEFORE(tblQuestObjectives[[#This Row],[QuestTargetID]],".finished")&amp;".accepted",
_xlfn.XLOOKUP(
_xlpm.acceptedID,
tblTargetStatus[TargetID],
tblTargetStatus[PlayerCompleted],
FALSE
)
)</f>
        <v>0</v>
      </c>
      <c r="H25" s="2" t="str">
        <f>_xlfn.LET(
    _xlpm.name,
    _xlfn.XLOOKUP(
        tblQuestObjectives[[#This Row],[QuestTargetID]],
        tblTargetStatus[TargetID],
        tblTargetStatus[DisplayName],
        ""
    ),
    SUBSTITUTE(
        SUBSTITUTE(_xlpm.name," Accepted",""),
        " Finished",""
    )
)</f>
        <v>Journey Through Japan By Train</v>
      </c>
      <c r="R25" s="5"/>
      <c r="S25" s="5"/>
      <c r="T25" s="5"/>
      <c r="V25" s="5"/>
      <c r="W25" s="5"/>
      <c r="AA25" s="5"/>
      <c r="AB25" s="5"/>
      <c r="AD25" s="5"/>
    </row>
    <row r="26" spans="1:30" hidden="1">
      <c r="A26" s="5" t="s">
        <v>2478</v>
      </c>
      <c r="C26" s="2" t="str">
        <f>_xlfn.XLOOKUP(
tblQuestObjectives[[#This Row],[ObjectiveID]],
tblTargetStatus[TargetID],
tblTargetStatus[DisplayName],
""
)</f>
        <v>Visit Fukushima</v>
      </c>
      <c r="D26" s="2" t="str">
        <f>_xlfn.XLOOKUP(tblQuestObjectives[[#This Row],[ObjectiveID]],tblTargets[TargetID],tblTargets[TargetType],"")</f>
        <v>STATE</v>
      </c>
      <c r="E26" s="2" t="s">
        <v>5761</v>
      </c>
      <c r="F26" s="2" t="b">
        <f>NOT(
    _xlfn.XLOOKUP(
        tblQuestObjectives[[#This Row],[ObjectiveID]],
        tblTargetStatus[TargetID],
        tblTargetStatus[PlayerCompleted],
        FALSE
    )
)</f>
        <v>1</v>
      </c>
      <c r="G26" s="2" t="b">
        <f>_xlfn.LET(
_xlpm.acceptedID,_xlfn.TEXTBEFORE(tblQuestObjectives[[#This Row],[QuestTargetID]],".finished")&amp;".accepted",
_xlfn.XLOOKUP(
_xlpm.acceptedID,
tblTargetStatus[TargetID],
tblTargetStatus[PlayerCompleted],
FALSE
)
)</f>
        <v>0</v>
      </c>
      <c r="H26" s="2" t="str">
        <f>_xlfn.LET(
    _xlpm.name,
    _xlfn.XLOOKUP(
        tblQuestObjectives[[#This Row],[QuestTargetID]],
        tblTargetStatus[TargetID],
        tblTargetStatus[DisplayName],
        ""
    ),
    SUBSTITUTE(
        SUBSTITUTE(_xlpm.name," Accepted",""),
        " Finished",""
    )
)</f>
        <v>Journey Through Japan By Train</v>
      </c>
      <c r="R26" s="5"/>
      <c r="S26" s="5"/>
      <c r="T26" s="5"/>
      <c r="V26" s="5"/>
      <c r="W26" s="5"/>
      <c r="AA26" s="5"/>
      <c r="AB26" s="5"/>
    </row>
    <row r="27" spans="1:30" hidden="1">
      <c r="A27" s="5" t="s">
        <v>2478</v>
      </c>
      <c r="C27" s="2" t="str">
        <f>_xlfn.XLOOKUP(
tblQuestObjectives[[#This Row],[ObjectiveID]],
tblTargetStatus[TargetID],
tblTargetStatus[DisplayName],
""
)</f>
        <v>Visit Aomori</v>
      </c>
      <c r="D27" s="2" t="str">
        <f>_xlfn.XLOOKUP(tblQuestObjectives[[#This Row],[ObjectiveID]],tblTargets[TargetID],tblTargets[TargetType],"")</f>
        <v>STATE</v>
      </c>
      <c r="E27" s="2" t="s">
        <v>5760</v>
      </c>
      <c r="F27" s="2" t="b">
        <f>NOT(
    _xlfn.XLOOKUP(
        tblQuestObjectives[[#This Row],[ObjectiveID]],
        tblTargetStatus[TargetID],
        tblTargetStatus[PlayerCompleted],
        FALSE
    )
)</f>
        <v>1</v>
      </c>
      <c r="G27" s="2" t="b">
        <f>_xlfn.LET(
_xlpm.acceptedID,_xlfn.TEXTBEFORE(tblQuestObjectives[[#This Row],[QuestTargetID]],".finished")&amp;".accepted",
_xlfn.XLOOKUP(
_xlpm.acceptedID,
tblTargetStatus[TargetID],
tblTargetStatus[PlayerCompleted],
FALSE
)
)</f>
        <v>0</v>
      </c>
      <c r="H27" s="2" t="str">
        <f>_xlfn.LET(
    _xlpm.name,
    _xlfn.XLOOKUP(
        tblQuestObjectives[[#This Row],[QuestTargetID]],
        tblTargetStatus[TargetID],
        tblTargetStatus[DisplayName],
        ""
    ),
    SUBSTITUTE(
        SUBSTITUTE(_xlpm.name," Accepted",""),
        " Finished",""
    )
)</f>
        <v>Journey Through Japan By Train</v>
      </c>
      <c r="R27" s="5"/>
      <c r="S27" s="5"/>
      <c r="T27" s="5"/>
      <c r="V27" s="5"/>
      <c r="W27" s="5"/>
      <c r="AA27" s="5"/>
      <c r="AB27" s="5"/>
    </row>
    <row r="28" spans="1:30" hidden="1">
      <c r="A28" s="5" t="s">
        <v>5587</v>
      </c>
      <c r="C28" s="2" t="str">
        <f>_xlfn.XLOOKUP(
tblQuestObjectives[[#This Row],[ObjectiveID]],
tblTargetStatus[TargetID],
tblTargetStatus[DisplayName],
""
)</f>
        <v>Broken Lever</v>
      </c>
      <c r="D28" s="2" t="str">
        <f>_xlfn.XLOOKUP(tblQuestObjectives[[#This Row],[ObjectiveID]],tblTargets[TargetID],tblTargets[TargetType],"")</f>
        <v>COLLECTION</v>
      </c>
      <c r="E28" t="s">
        <v>5573</v>
      </c>
      <c r="F28" s="2" t="b">
        <f>NOT(
    _xlfn.XLOOKUP(
        tblQuestObjectives[[#This Row],[ObjectiveID]],
        tblTargetStatus[TargetID],
        tblTargetStatus[PlayerCompleted],
        FALSE
    )
)</f>
        <v>1</v>
      </c>
      <c r="G28" s="2" t="b">
        <f>_xlfn.LET(
_xlpm.acceptedID,_xlfn.TEXTBEFORE(tblQuestObjectives[[#This Row],[QuestTargetID]],".finished")&amp;".accepted",
_xlfn.XLOOKUP(
_xlpm.acceptedID,
tblTargetStatus[TargetID],
tblTargetStatus[PlayerCompleted],
FALSE
)
)</f>
        <v>0</v>
      </c>
      <c r="H28" s="2" t="str">
        <f>_xlfn.LET(
    _xlpm.name,
    _xlfn.XLOOKUP(
        tblQuestObjectives[[#This Row],[QuestTargetID]],
        tblTargetStatus[TargetID],
        tblTargetStatus[DisplayName],
        ""
    ),
    SUBSTITUTE(
        SUBSTITUTE(_xlpm.name," Accepted",""),
        " Finished",""
    )
)</f>
        <v>Letter from the Dark Lady</v>
      </c>
      <c r="R28" s="5"/>
      <c r="S28" s="5"/>
      <c r="T28" s="5"/>
      <c r="V28" s="5"/>
      <c r="W28" s="5"/>
      <c r="AA28" s="5"/>
      <c r="AB28" s="5"/>
    </row>
    <row r="29" spans="1:30" ht="29" hidden="1">
      <c r="A29" s="5" t="s">
        <v>5587</v>
      </c>
      <c r="C29" s="2" t="str">
        <f>_xlfn.XLOOKUP(
tblQuestObjectives[[#This Row],[ObjectiveID]],
tblTargetStatus[TargetID],
tblTargetStatus[DisplayName],
""
)</f>
        <v>Collapsed Staircase</v>
      </c>
      <c r="D29" s="2" t="str">
        <f>_xlfn.XLOOKUP(tblQuestObjectives[[#This Row],[ObjectiveID]],tblTargets[TargetID],tblTargets[TargetType],"")</f>
        <v>COLLECTION</v>
      </c>
      <c r="E29" s="5" t="s">
        <v>5652</v>
      </c>
      <c r="F29" s="2" t="b">
        <f>NOT(
    _xlfn.XLOOKUP(
        tblQuestObjectives[[#This Row],[ObjectiveID]],
        tblTargetStatus[TargetID],
        tblTargetStatus[PlayerCompleted],
        FALSE
    )
)</f>
        <v>1</v>
      </c>
      <c r="G29" s="2" t="b">
        <f>_xlfn.LET(
_xlpm.acceptedID,_xlfn.TEXTBEFORE(tblQuestObjectives[[#This Row],[QuestTargetID]],".finished")&amp;".accepted",
_xlfn.XLOOKUP(
_xlpm.acceptedID,
tblTargetStatus[TargetID],
tblTargetStatus[PlayerCompleted],
FALSE
)
)</f>
        <v>0</v>
      </c>
      <c r="H29" s="2" t="str">
        <f>_xlfn.LET(
    _xlpm.name,
    _xlfn.XLOOKUP(
        tblQuestObjectives[[#This Row],[QuestTargetID]],
        tblTargetStatus[TargetID],
        tblTargetStatus[DisplayName],
        ""
    ),
    SUBSTITUTE(
        SUBSTITUTE(_xlpm.name," Accepted",""),
        " Finished",""
    )
)</f>
        <v>Letter from the Dark Lady</v>
      </c>
      <c r="R29" s="5"/>
      <c r="S29" s="5"/>
      <c r="T29" s="5"/>
      <c r="U29" s="5"/>
      <c r="V29" s="5"/>
      <c r="W29" s="5"/>
      <c r="X29" s="5"/>
      <c r="AA29" s="5"/>
      <c r="AB29" s="5"/>
    </row>
    <row r="30" spans="1:30" hidden="1">
      <c r="A30" s="5" t="s">
        <v>5587</v>
      </c>
      <c r="C30" s="2" t="str">
        <f>_xlfn.XLOOKUP(
tblQuestObjectives[[#This Row],[ObjectiveID]],
tblTargetStatus[TargetID],
tblTargetStatus[DisplayName],
""
)</f>
        <v>Rotten Ladder</v>
      </c>
      <c r="D30" s="2" t="str">
        <f>_xlfn.XLOOKUP(tblQuestObjectives[[#This Row],[ObjectiveID]],tblTargets[TargetID],tblTargets[TargetType],"")</f>
        <v>COLLECTION</v>
      </c>
      <c r="E30" s="5" t="s">
        <v>5653</v>
      </c>
      <c r="F30" s="2" t="b">
        <f>NOT(
    _xlfn.XLOOKUP(
        tblQuestObjectives[[#This Row],[ObjectiveID]],
        tblTargetStatus[TargetID],
        tblTargetStatus[PlayerCompleted],
        FALSE
    )
)</f>
        <v>1</v>
      </c>
      <c r="G30" s="2" t="b">
        <f>_xlfn.LET(
_xlpm.acceptedID,_xlfn.TEXTBEFORE(tblQuestObjectives[[#This Row],[QuestTargetID]],".finished")&amp;".accepted",
_xlfn.XLOOKUP(
_xlpm.acceptedID,
tblTargetStatus[TargetID],
tblTargetStatus[PlayerCompleted],
FALSE
)
)</f>
        <v>0</v>
      </c>
      <c r="H30" s="2" t="str">
        <f>_xlfn.LET(
    _xlpm.name,
    _xlfn.XLOOKUP(
        tblQuestObjectives[[#This Row],[QuestTargetID]],
        tblTargetStatus[TargetID],
        tblTargetStatus[DisplayName],
        ""
    ),
    SUBSTITUTE(
        SUBSTITUTE(_xlpm.name," Accepted",""),
        " Finished",""
    )
)</f>
        <v>Letter from the Dark Lady</v>
      </c>
      <c r="R30" s="5"/>
      <c r="S30" s="5"/>
      <c r="T30" s="5"/>
      <c r="V30" s="5"/>
      <c r="W30" s="5"/>
      <c r="AA30" s="5"/>
      <c r="AB30" s="5"/>
      <c r="AD30" s="5"/>
    </row>
    <row r="31" spans="1:30" ht="29" hidden="1">
      <c r="A31" s="5" t="s">
        <v>5587</v>
      </c>
      <c r="C31" s="2" t="str">
        <f>_xlfn.XLOOKUP(
tblQuestObjectives[[#This Row],[ObjectiveID]],
tblTargetStatus[TargetID],
tblTargetStatus[DisplayName],
""
)</f>
        <v>Cave-in Bone Dragon</v>
      </c>
      <c r="D31" s="2" t="str">
        <f>_xlfn.XLOOKUP(tblQuestObjectives[[#This Row],[ObjectiveID]],tblTargets[TargetID],tblTargets[TargetType],"")</f>
        <v>COLLECTION</v>
      </c>
      <c r="E31" s="5" t="s">
        <v>5654</v>
      </c>
      <c r="F31" s="2" t="b">
        <f>NOT(
    _xlfn.XLOOKUP(
        tblQuestObjectives[[#This Row],[ObjectiveID]],
        tblTargetStatus[TargetID],
        tblTargetStatus[PlayerCompleted],
        FALSE
    )
)</f>
        <v>1</v>
      </c>
      <c r="G31" s="2" t="b">
        <f>_xlfn.LET(
_xlpm.acceptedID,_xlfn.TEXTBEFORE(tblQuestObjectives[[#This Row],[QuestTargetID]],".finished")&amp;".accepted",
_xlfn.XLOOKUP(
_xlpm.acceptedID,
tblTargetStatus[TargetID],
tblTargetStatus[PlayerCompleted],
FALSE
)
)</f>
        <v>0</v>
      </c>
      <c r="H31" s="2" t="str">
        <f>_xlfn.LET(
    _xlpm.name,
    _xlfn.XLOOKUP(
        tblQuestObjectives[[#This Row],[QuestTargetID]],
        tblTargetStatus[TargetID],
        tblTargetStatus[DisplayName],
        ""
    ),
    SUBSTITUTE(
        SUBSTITUTE(_xlpm.name," Accepted",""),
        " Finished",""
    )
)</f>
        <v>Letter from the Dark Lady</v>
      </c>
      <c r="R31" s="5"/>
      <c r="S31" s="5"/>
      <c r="T31" s="5"/>
      <c r="U31" s="5"/>
      <c r="V31" s="5"/>
      <c r="W31" s="5"/>
      <c r="X31" s="5"/>
      <c r="AA31" s="5"/>
      <c r="AB31" s="5"/>
      <c r="AD31" s="5"/>
    </row>
    <row r="32" spans="1:30" ht="29" hidden="1">
      <c r="A32" s="5" t="s">
        <v>5587</v>
      </c>
      <c r="C32" s="2" t="str">
        <f>_xlfn.XLOOKUP(
tblQuestObjectives[[#This Row],[ObjectiveID]],
tblTargetStatus[TargetID],
tblTargetStatus[DisplayName],
""
)</f>
        <v>Cave-in Alchemist Hall</v>
      </c>
      <c r="D32" s="2" t="str">
        <f>_xlfn.XLOOKUP(tblQuestObjectives[[#This Row],[ObjectiveID]],tblTargets[TargetID],tblTargets[TargetType],"")</f>
        <v>COLLECTION</v>
      </c>
      <c r="E32" s="5" t="s">
        <v>5767</v>
      </c>
      <c r="F32" s="2" t="b">
        <f>NOT(
    _xlfn.XLOOKUP(
        tblQuestObjectives[[#This Row],[ObjectiveID]],
        tblTargetStatus[TargetID],
        tblTargetStatus[PlayerCompleted],
        FALSE
    )
)</f>
        <v>1</v>
      </c>
      <c r="G32" s="2" t="b">
        <f>_xlfn.LET(
_xlpm.acceptedID,_xlfn.TEXTBEFORE(tblQuestObjectives[[#This Row],[QuestTargetID]],".finished")&amp;".accepted",
_xlfn.XLOOKUP(
_xlpm.acceptedID,
tblTargetStatus[TargetID],
tblTargetStatus[PlayerCompleted],
FALSE
)
)</f>
        <v>0</v>
      </c>
      <c r="H32" s="2" t="str">
        <f>_xlfn.LET(
    _xlpm.name,
    _xlfn.XLOOKUP(
        tblQuestObjectives[[#This Row],[QuestTargetID]],
        tblTargetStatus[TargetID],
        tblTargetStatus[DisplayName],
        ""
    ),
    SUBSTITUTE(
        SUBSTITUTE(_xlpm.name," Accepted",""),
        " Finished",""
    )
)</f>
        <v>Letter from the Dark Lady</v>
      </c>
      <c r="R32" s="5"/>
      <c r="S32" s="5"/>
      <c r="T32" s="5"/>
      <c r="V32" s="5"/>
      <c r="W32" s="5"/>
      <c r="AA32" s="5"/>
      <c r="AB32" s="5"/>
    </row>
    <row r="33" spans="1:30" hidden="1">
      <c r="A33" s="5" t="s">
        <v>5587</v>
      </c>
      <c r="C33" s="2" t="str">
        <f>_xlfn.XLOOKUP(
tblQuestObjectives[[#This Row],[ObjectiveID]],
tblTargetStatus[TargetID],
tblTargetStatus[DisplayName],
""
)</f>
        <v>Bone Dragon Lv 1</v>
      </c>
      <c r="D33" s="2" t="str">
        <f>_xlfn.XLOOKUP(tblQuestObjectives[[#This Row],[ObjectiveID]],tblTargets[TargetID],tblTargets[TargetType],"")</f>
        <v>COLLECTION</v>
      </c>
      <c r="E33" s="5" t="s">
        <v>5631</v>
      </c>
      <c r="F33" s="2" t="b">
        <f>NOT(
    _xlfn.XLOOKUP(
        tblQuestObjectives[[#This Row],[ObjectiveID]],
        tblTargetStatus[TargetID],
        tblTargetStatus[PlayerCompleted],
        FALSE
    )
)</f>
        <v>1</v>
      </c>
      <c r="G33" s="2" t="b">
        <f>_xlfn.LET(
_xlpm.acceptedID,_xlfn.TEXTBEFORE(tblQuestObjectives[[#This Row],[QuestTargetID]],".finished")&amp;".accepted",
_xlfn.XLOOKUP(
_xlpm.acceptedID,
tblTargetStatus[TargetID],
tblTargetStatus[PlayerCompleted],
FALSE
)
)</f>
        <v>0</v>
      </c>
      <c r="H33" s="2" t="str">
        <f>_xlfn.LET(
    _xlpm.name,
    _xlfn.XLOOKUP(
        tblQuestObjectives[[#This Row],[QuestTargetID]],
        tblTargetStatus[TargetID],
        tblTargetStatus[DisplayName],
        ""
    ),
    SUBSTITUTE(
        SUBSTITUTE(_xlpm.name," Accepted",""),
        " Finished",""
    )
)</f>
        <v>Letter from the Dark Lady</v>
      </c>
      <c r="R33" s="5"/>
      <c r="S33" s="5"/>
      <c r="T33" s="5"/>
      <c r="U33" s="5"/>
      <c r="V33" s="5"/>
      <c r="W33" s="5"/>
      <c r="X33" s="5"/>
      <c r="AA33" s="5"/>
      <c r="AB33" s="5"/>
    </row>
    <row r="34" spans="1:30" ht="29" hidden="1">
      <c r="A34" s="5" t="s">
        <v>5587</v>
      </c>
      <c r="C34" s="2" t="str">
        <f>_xlfn.XLOOKUP(
tblQuestObjectives[[#This Row],[ObjectiveID]],
tblTargetStatus[TargetID],
tblTargetStatus[DisplayName],
""
)</f>
        <v>Alchemist Hall Lv 1</v>
      </c>
      <c r="D34" s="2" t="str">
        <f>_xlfn.XLOOKUP(tblQuestObjectives[[#This Row],[ObjectiveID]],tblTargets[TargetID],tblTargets[TargetType],"")</f>
        <v>COLLECTION</v>
      </c>
      <c r="E34" s="5" t="s">
        <v>5749</v>
      </c>
      <c r="F34" s="2" t="b">
        <f>NOT(
    _xlfn.XLOOKUP(
        tblQuestObjectives[[#This Row],[ObjectiveID]],
        tblTargetStatus[TargetID],
        tblTargetStatus[PlayerCompleted],
        FALSE
    )
)</f>
        <v>1</v>
      </c>
      <c r="G34" s="2" t="b">
        <f>_xlfn.LET(
_xlpm.acceptedID,_xlfn.TEXTBEFORE(tblQuestObjectives[[#This Row],[QuestTargetID]],".finished")&amp;".accepted",
_xlfn.XLOOKUP(
_xlpm.acceptedID,
tblTargetStatus[TargetID],
tblTargetStatus[PlayerCompleted],
FALSE
)
)</f>
        <v>0</v>
      </c>
      <c r="H34" s="2" t="str">
        <f>_xlfn.LET(
    _xlpm.name,
    _xlfn.XLOOKUP(
        tblQuestObjectives[[#This Row],[QuestTargetID]],
        tblTargetStatus[TargetID],
        tblTargetStatus[DisplayName],
        ""
    ),
    SUBSTITUTE(
        SUBSTITUTE(_xlpm.name," Accepted",""),
        " Finished",""
    )
)</f>
        <v>Letter from the Dark Lady</v>
      </c>
      <c r="R34" s="5"/>
      <c r="S34" s="5"/>
      <c r="T34" s="5"/>
      <c r="V34" s="5"/>
      <c r="W34" s="5"/>
      <c r="AA34" s="5"/>
      <c r="AB34" s="5"/>
      <c r="AD34" s="5"/>
    </row>
    <row r="35" spans="1:30" ht="29" hidden="1">
      <c r="A35" s="5" t="s">
        <v>5587</v>
      </c>
      <c r="C35" s="2" t="str">
        <f>_xlfn.XLOOKUP(
tblQuestObjectives[[#This Row],[ObjectiveID]],
tblTargetStatus[TargetID],
tblTargetStatus[DisplayName],
""
)</f>
        <v>Alchemist Hall Lv 1</v>
      </c>
      <c r="D35" s="2" t="str">
        <f>_xlfn.XLOOKUP(tblQuestObjectives[[#This Row],[ObjectiveID]],tblTargets[TargetID],tblTargets[TargetType],"")</f>
        <v>COLLECTION</v>
      </c>
      <c r="E35" s="5" t="s">
        <v>5751</v>
      </c>
      <c r="F35" s="2" t="b">
        <f>NOT(
    _xlfn.XLOOKUP(
        tblQuestObjectives[[#This Row],[ObjectiveID]],
        tblTargetStatus[TargetID],
        tblTargetStatus[PlayerCompleted],
        FALSE
    )
)</f>
        <v>1</v>
      </c>
      <c r="G35" s="2" t="b">
        <f>_xlfn.LET(
_xlpm.acceptedID,_xlfn.TEXTBEFORE(tblQuestObjectives[[#This Row],[QuestTargetID]],".finished")&amp;".accepted",
_xlfn.XLOOKUP(
_xlpm.acceptedID,
tblTargetStatus[TargetID],
tblTargetStatus[PlayerCompleted],
FALSE
)
)</f>
        <v>0</v>
      </c>
      <c r="H35" s="2" t="str">
        <f>_xlfn.LET(
    _xlpm.name,
    _xlfn.XLOOKUP(
        tblQuestObjectives[[#This Row],[QuestTargetID]],
        tblTargetStatus[TargetID],
        tblTargetStatus[DisplayName],
        ""
    ),
    SUBSTITUTE(
        SUBSTITUTE(_xlpm.name," Accepted",""),
        " Finished",""
    )
)</f>
        <v>Letter from the Dark Lady</v>
      </c>
      <c r="R35" s="5"/>
      <c r="S35" s="5"/>
      <c r="T35" s="5"/>
      <c r="V35" s="5"/>
      <c r="W35" s="5"/>
      <c r="AA35" s="5"/>
      <c r="AB35" s="5"/>
      <c r="AD35" s="5"/>
    </row>
    <row r="36" spans="1:30" ht="29" hidden="1">
      <c r="A36" s="5" t="s">
        <v>5587</v>
      </c>
      <c r="C36" s="2" t="str">
        <f>_xlfn.XLOOKUP(
tblQuestObjectives[[#This Row],[ObjectiveID]],
tblTargetStatus[TargetID],
tblTargetStatus[DisplayName],
""
)</f>
        <v>Alchemist Hall Lv 1</v>
      </c>
      <c r="D36" s="2" t="str">
        <f>_xlfn.XLOOKUP(tblQuestObjectives[[#This Row],[ObjectiveID]],tblTargets[TargetID],tblTargets[TargetType],"")</f>
        <v>COLLECTION</v>
      </c>
      <c r="E36" s="5" t="s">
        <v>5753</v>
      </c>
      <c r="F36" s="2" t="b">
        <f>NOT(
    _xlfn.XLOOKUP(
        tblQuestObjectives[[#This Row],[ObjectiveID]],
        tblTargetStatus[TargetID],
        tblTargetStatus[PlayerCompleted],
        FALSE
    )
)</f>
        <v>1</v>
      </c>
      <c r="G36" s="2" t="b">
        <f>_xlfn.LET(
_xlpm.acceptedID,_xlfn.TEXTBEFORE(tblQuestObjectives[[#This Row],[QuestTargetID]],".finished")&amp;".accepted",
_xlfn.XLOOKUP(
_xlpm.acceptedID,
tblTargetStatus[TargetID],
tblTargetStatus[PlayerCompleted],
FALSE
)
)</f>
        <v>0</v>
      </c>
      <c r="H36" s="2" t="str">
        <f>_xlfn.LET(
    _xlpm.name,
    _xlfn.XLOOKUP(
        tblQuestObjectives[[#This Row],[QuestTargetID]],
        tblTargetStatus[TargetID],
        tblTargetStatus[DisplayName],
        ""
    ),
    SUBSTITUTE(
        SUBSTITUTE(_xlpm.name," Accepted",""),
        " Finished",""
    )
)</f>
        <v>Letter from the Dark Lady</v>
      </c>
      <c r="R36" s="5"/>
      <c r="S36" s="5"/>
      <c r="T36" s="5"/>
      <c r="V36" s="5"/>
      <c r="W36" s="5"/>
      <c r="AA36" s="5"/>
      <c r="AB36" s="5"/>
    </row>
    <row r="37" spans="1:30" hidden="1">
      <c r="A37" s="5" t="s">
        <v>5587</v>
      </c>
      <c r="C37" s="2" t="str">
        <f>_xlfn.XLOOKUP(
tblQuestObjectives[[#This Row],[ObjectiveID]],
tblTargetStatus[TargetID],
tblTargetStatus[DisplayName],
""
)</f>
        <v>Broken Minecart</v>
      </c>
      <c r="D37" s="2" t="str">
        <f>_xlfn.XLOOKUP(tblQuestObjectives[[#This Row],[ObjectiveID]],tblTargets[TargetID],tblTargets[TargetType],"")</f>
        <v>COLLECTION</v>
      </c>
      <c r="E37" s="5" t="s">
        <v>5655</v>
      </c>
      <c r="F37" s="2" t="b">
        <f>NOT(
    _xlfn.XLOOKUP(
        tblQuestObjectives[[#This Row],[ObjectiveID]],
        tblTargetStatus[TargetID],
        tblTargetStatus[PlayerCompleted],
        FALSE
    )
)</f>
        <v>1</v>
      </c>
      <c r="G37" s="2" t="b">
        <f>_xlfn.LET(
_xlpm.acceptedID,_xlfn.TEXTBEFORE(tblQuestObjectives[[#This Row],[QuestTargetID]],".finished")&amp;".accepted",
_xlfn.XLOOKUP(
_xlpm.acceptedID,
tblTargetStatus[TargetID],
tblTargetStatus[PlayerCompleted],
FALSE
)
)</f>
        <v>0</v>
      </c>
      <c r="H37" s="2" t="str">
        <f>_xlfn.LET(
    _xlpm.name,
    _xlfn.XLOOKUP(
        tblQuestObjectives[[#This Row],[QuestTargetID]],
        tblTargetStatus[TargetID],
        tblTargetStatus[DisplayName],
        ""
    ),
    SUBSTITUTE(
        SUBSTITUTE(_xlpm.name," Accepted",""),
        " Finished",""
    )
)</f>
        <v>Letter from the Dark Lady</v>
      </c>
      <c r="R37" s="5"/>
      <c r="S37" s="5"/>
      <c r="T37" s="5"/>
      <c r="U37" s="5"/>
      <c r="V37" s="5"/>
      <c r="W37" s="5"/>
      <c r="X37" s="5"/>
      <c r="AA37" s="5"/>
      <c r="AB37" s="5"/>
    </row>
    <row r="38" spans="1:30" hidden="1">
      <c r="A38" s="5" t="s">
        <v>2480</v>
      </c>
      <c r="C38" s="2" t="str">
        <f>_xlfn.XLOOKUP(
tblQuestObjectives[[#This Row],[ObjectiveID]],
tblTargetStatus[TargetID],
tblTargetStatus[DisplayName],
""
)</f>
        <v>Deliver Tofu to 4A</v>
      </c>
      <c r="D38" s="2" t="str">
        <f>_xlfn.XLOOKUP(tblQuestObjectives[[#This Row],[ObjectiveID]],tblTargets[TargetID],tblTargets[TargetType],"")</f>
        <v>STATE</v>
      </c>
      <c r="E38" t="s">
        <v>5770</v>
      </c>
      <c r="F38" s="2" t="b">
        <f>NOT(
    _xlfn.XLOOKUP(
        tblQuestObjectives[[#This Row],[ObjectiveID]],
        tblTargetStatus[TargetID],
        tblTargetStatus[PlayerCompleted],
        FALSE
    )
)</f>
        <v>1</v>
      </c>
      <c r="G38" s="2" t="b">
        <f>_xlfn.LET(
_xlpm.acceptedID,_xlfn.TEXTBEFORE(tblQuestObjectives[[#This Row],[QuestTargetID]],".finished")&amp;".accepted",
_xlfn.XLOOKUP(
_xlpm.acceptedID,
tblTargetStatus[TargetID],
tblTargetStatus[PlayerCompleted],
FALSE
)
)</f>
        <v>0</v>
      </c>
      <c r="H38" s="2" t="str">
        <f>_xlfn.LET(
    _xlpm.name,
    _xlfn.XLOOKUP(
        tblQuestObjectives[[#This Row],[QuestTargetID]],
        tblTargetStatus[TargetID],
        tblTargetStatus[DisplayName],
        ""
    ),
    SUBSTITUTE(
        SUBSTITUTE(_xlpm.name," Accepted",""),
        " Finished",""
    )
)</f>
        <v>Magic Beans</v>
      </c>
      <c r="R38" s="5"/>
      <c r="S38" s="5"/>
      <c r="T38" s="5"/>
      <c r="U38" s="5"/>
      <c r="V38" s="5"/>
      <c r="W38" s="5"/>
      <c r="X38" s="5"/>
      <c r="AA38" s="5"/>
      <c r="AB38" s="5"/>
    </row>
    <row r="39" spans="1:30" ht="29" hidden="1">
      <c r="A39" s="5" t="s">
        <v>2480</v>
      </c>
      <c r="C39" s="2" t="str">
        <f>_xlfn.XLOOKUP(
tblQuestObjectives[[#This Row],[ObjectiveID]],
tblTargetStatus[TargetID],
tblTargetStatus[DisplayName],
""
)</f>
        <v>Deliver Inarizushi to 4B</v>
      </c>
      <c r="D39" s="2" t="str">
        <f>_xlfn.XLOOKUP(tblQuestObjectives[[#This Row],[ObjectiveID]],tblTargets[TargetID],tblTargets[TargetType],"")</f>
        <v>STATE</v>
      </c>
      <c r="E39" t="s">
        <v>5768</v>
      </c>
      <c r="F39" s="2" t="b">
        <f>NOT(
    _xlfn.XLOOKUP(
        tblQuestObjectives[[#This Row],[ObjectiveID]],
        tblTargetStatus[TargetID],
        tblTargetStatus[PlayerCompleted],
        FALSE
    )
)</f>
        <v>1</v>
      </c>
      <c r="G39" s="2" t="b">
        <f>_xlfn.LET(
_xlpm.acceptedID,_xlfn.TEXTBEFORE(tblQuestObjectives[[#This Row],[QuestTargetID]],".finished")&amp;".accepted",
_xlfn.XLOOKUP(
_xlpm.acceptedID,
tblTargetStatus[TargetID],
tblTargetStatus[PlayerCompleted],
FALSE
)
)</f>
        <v>0</v>
      </c>
      <c r="H39" s="2" t="str">
        <f>_xlfn.LET(
    _xlpm.name,
    _xlfn.XLOOKUP(
        tblQuestObjectives[[#This Row],[QuestTargetID]],
        tblTargetStatus[TargetID],
        tblTargetStatus[DisplayName],
        ""
    ),
    SUBSTITUTE(
        SUBSTITUTE(_xlpm.name," Accepted",""),
        " Finished",""
    )
)</f>
        <v>Magic Beans</v>
      </c>
      <c r="R39" s="5"/>
      <c r="S39" s="5"/>
      <c r="T39" s="5"/>
      <c r="V39" s="5"/>
      <c r="W39" s="5"/>
      <c r="AA39" s="5"/>
      <c r="AB39" s="5"/>
      <c r="AD39" s="5"/>
    </row>
    <row r="40" spans="1:30" ht="29" hidden="1">
      <c r="A40" s="5" t="s">
        <v>2480</v>
      </c>
      <c r="C40" s="2" t="str">
        <f>_xlfn.XLOOKUP(
tblQuestObjectives[[#This Row],[ObjectiveID]],
tblTargetStatus[TargetID],
tblTargetStatus[DisplayName],
""
)</f>
        <v>Deliver Teriyaki Salmon to 4C</v>
      </c>
      <c r="D40" s="2" t="str">
        <f>_xlfn.XLOOKUP(tblQuestObjectives[[#This Row],[ObjectiveID]],tblTargets[TargetID],tblTargets[TargetType],"")</f>
        <v>STATE</v>
      </c>
      <c r="E40" t="s">
        <v>5769</v>
      </c>
      <c r="F40" s="2" t="b">
        <f>NOT(
    _xlfn.XLOOKUP(
        tblQuestObjectives[[#This Row],[ObjectiveID]],
        tblTargetStatus[TargetID],
        tblTargetStatus[PlayerCompleted],
        FALSE
    )
)</f>
        <v>1</v>
      </c>
      <c r="G40" s="2" t="b">
        <f>_xlfn.LET(
_xlpm.acceptedID,_xlfn.TEXTBEFORE(tblQuestObjectives[[#This Row],[QuestTargetID]],".finished")&amp;".accepted",
_xlfn.XLOOKUP(
_xlpm.acceptedID,
tblTargetStatus[TargetID],
tblTargetStatus[PlayerCompleted],
FALSE
)
)</f>
        <v>0</v>
      </c>
      <c r="H40" s="2" t="str">
        <f>_xlfn.LET(
    _xlpm.name,
    _xlfn.XLOOKUP(
        tblQuestObjectives[[#This Row],[QuestTargetID]],
        tblTargetStatus[TargetID],
        tblTargetStatus[DisplayName],
        ""
    ),
    SUBSTITUTE(
        SUBSTITUTE(_xlpm.name," Accepted",""),
        " Finished",""
    )
)</f>
        <v>Magic Beans</v>
      </c>
      <c r="R40" s="5"/>
      <c r="S40" s="5"/>
      <c r="T40" s="5"/>
      <c r="V40" s="5"/>
      <c r="W40" s="5"/>
      <c r="AA40" s="5"/>
      <c r="AB40" s="5"/>
    </row>
    <row r="41" spans="1:30" hidden="1">
      <c r="A41" s="5" t="s">
        <v>2536</v>
      </c>
      <c r="C41" s="2" t="str">
        <f>_xlfn.XLOOKUP(
tblQuestObjectives[[#This Row],[ObjectiveID]],
tblTargetStatus[TargetID],
tblTargetStatus[DisplayName],
""
)</f>
        <v>Visit Beijing</v>
      </c>
      <c r="D41" s="2" t="str">
        <f>_xlfn.XLOOKUP(tblQuestObjectives[[#This Row],[ObjectiveID]],tblTargets[TargetID],tblTargets[TargetType],"")</f>
        <v>STATE</v>
      </c>
      <c r="E41" s="5" t="s">
        <v>5743</v>
      </c>
      <c r="F41" s="2" t="b">
        <f>NOT(
    _xlfn.XLOOKUP(
        tblQuestObjectives[[#This Row],[ObjectiveID]],
        tblTargetStatus[TargetID],
        tblTargetStatus[PlayerCompleted],
        FALSE
    )
)</f>
        <v>1</v>
      </c>
      <c r="G41" s="2" t="b">
        <f>_xlfn.LET(
_xlpm.acceptedID,_xlfn.TEXTBEFORE(tblQuestObjectives[[#This Row],[QuestTargetID]],".finished")&amp;".accepted",
_xlfn.XLOOKUP(
_xlpm.acceptedID,
tblTargetStatus[TargetID],
tblTargetStatus[PlayerCompleted],
FALSE
)
)</f>
        <v>0</v>
      </c>
      <c r="H41" s="2" t="str">
        <f>_xlfn.LET(
    _xlpm.name,
    _xlfn.XLOOKUP(
        tblQuestObjectives[[#This Row],[QuestTargetID]],
        tblTargetStatus[TargetID],
        tblTargetStatus[DisplayName],
        ""
    ),
    SUBSTITUTE(
        SUBSTITUTE(_xlpm.name," Accepted",""),
        " Finished",""
    )
)</f>
        <v>Silk Road</v>
      </c>
      <c r="R41" s="5"/>
      <c r="S41" s="5"/>
      <c r="T41" s="5"/>
      <c r="V41" s="5"/>
      <c r="W41" s="5"/>
      <c r="AA41" s="5"/>
      <c r="AB41" s="5"/>
      <c r="AD41" s="5"/>
    </row>
    <row r="42" spans="1:30" hidden="1">
      <c r="A42" s="5" t="s">
        <v>2536</v>
      </c>
      <c r="C42" s="2" t="str">
        <f>_xlfn.XLOOKUP(
tblQuestObjectives[[#This Row],[ObjectiveID]],
tblTargetStatus[TargetID],
tblTargetStatus[DisplayName],
""
)</f>
        <v>Visit Xian</v>
      </c>
      <c r="D42" s="2" t="str">
        <f>_xlfn.XLOOKUP(tblQuestObjectives[[#This Row],[ObjectiveID]],tblTargets[TargetID],tblTargets[TargetType],"")</f>
        <v>STATE</v>
      </c>
      <c r="E42" s="5" t="s">
        <v>5748</v>
      </c>
      <c r="F42" s="2" t="b">
        <f>NOT(
    _xlfn.XLOOKUP(
        tblQuestObjectives[[#This Row],[ObjectiveID]],
        tblTargetStatus[TargetID],
        tblTargetStatus[PlayerCompleted],
        FALSE
    )
)</f>
        <v>1</v>
      </c>
      <c r="G42" s="2" t="b">
        <f>_xlfn.LET(
_xlpm.acceptedID,_xlfn.TEXTBEFORE(tblQuestObjectives[[#This Row],[QuestTargetID]],".finished")&amp;".accepted",
_xlfn.XLOOKUP(
_xlpm.acceptedID,
tblTargetStatus[TargetID],
tblTargetStatus[PlayerCompleted],
FALSE
)
)</f>
        <v>0</v>
      </c>
      <c r="H42" s="2" t="str">
        <f>_xlfn.LET(
    _xlpm.name,
    _xlfn.XLOOKUP(
        tblQuestObjectives[[#This Row],[QuestTargetID]],
        tblTargetStatus[TargetID],
        tblTargetStatus[DisplayName],
        ""
    ),
    SUBSTITUTE(
        SUBSTITUTE(_xlpm.name," Accepted",""),
        " Finished",""
    )
)</f>
        <v>Silk Road</v>
      </c>
      <c r="R42" s="5"/>
      <c r="S42" s="5"/>
      <c r="T42" s="5"/>
      <c r="U42" s="5"/>
      <c r="V42" s="5"/>
      <c r="W42" s="5"/>
      <c r="X42" s="5"/>
      <c r="AA42" s="5"/>
      <c r="AB42" s="5"/>
    </row>
    <row r="43" spans="1:30" hidden="1">
      <c r="A43" s="5" t="s">
        <v>2536</v>
      </c>
      <c r="C43" s="2" t="str">
        <f>_xlfn.XLOOKUP(
tblQuestObjectives[[#This Row],[ObjectiveID]],
tblTargetStatus[TargetID],
tblTargetStatus[DisplayName],
""
)</f>
        <v>Visit Delhi</v>
      </c>
      <c r="D43" s="2" t="str">
        <f>_xlfn.XLOOKUP(tblQuestObjectives[[#This Row],[ObjectiveID]],tblTargets[TargetID],tblTargets[TargetType],"")</f>
        <v>STATE</v>
      </c>
      <c r="E43" s="5" t="s">
        <v>5745</v>
      </c>
      <c r="F43" s="2" t="b">
        <f>NOT(
    _xlfn.XLOOKUP(
        tblQuestObjectives[[#This Row],[ObjectiveID]],
        tblTargetStatus[TargetID],
        tblTargetStatus[PlayerCompleted],
        FALSE
    )
)</f>
        <v>1</v>
      </c>
      <c r="G43" s="2" t="b">
        <f>_xlfn.LET(
_xlpm.acceptedID,_xlfn.TEXTBEFORE(tblQuestObjectives[[#This Row],[QuestTargetID]],".finished")&amp;".accepted",
_xlfn.XLOOKUP(
_xlpm.acceptedID,
tblTargetStatus[TargetID],
tblTargetStatus[PlayerCompleted],
FALSE
)
)</f>
        <v>0</v>
      </c>
      <c r="H43" s="2" t="str">
        <f>_xlfn.LET(
    _xlpm.name,
    _xlfn.XLOOKUP(
        tblQuestObjectives[[#This Row],[QuestTargetID]],
        tblTargetStatus[TargetID],
        tblTargetStatus[DisplayName],
        ""
    ),
    SUBSTITUTE(
        SUBSTITUTE(_xlpm.name," Accepted",""),
        " Finished",""
    )
)</f>
        <v>Silk Road</v>
      </c>
      <c r="R43" s="5"/>
      <c r="S43" s="5"/>
      <c r="T43" s="5"/>
      <c r="V43" s="5"/>
      <c r="W43" s="5"/>
      <c r="AA43" s="5"/>
      <c r="AB43" s="5"/>
      <c r="AD43" s="5"/>
    </row>
    <row r="44" spans="1:30" hidden="1">
      <c r="A44" s="5" t="s">
        <v>2536</v>
      </c>
      <c r="C44" s="2" t="str">
        <f>_xlfn.XLOOKUP(
tblQuestObjectives[[#This Row],[ObjectiveID]],
tblTargetStatus[TargetID],
tblTargetStatus[DisplayName],
""
)</f>
        <v>Visit Baghdad</v>
      </c>
      <c r="D44" s="2" t="str">
        <f>_xlfn.XLOOKUP(tblQuestObjectives[[#This Row],[ObjectiveID]],tblTargets[TargetID],tblTargets[TargetType],"")</f>
        <v>STATE</v>
      </c>
      <c r="E44" s="5" t="s">
        <v>5742</v>
      </c>
      <c r="F44" s="2" t="b">
        <f>NOT(
    _xlfn.XLOOKUP(
        tblQuestObjectives[[#This Row],[ObjectiveID]],
        tblTargetStatus[TargetID],
        tblTargetStatus[PlayerCompleted],
        FALSE
    )
)</f>
        <v>1</v>
      </c>
      <c r="G44" s="2" t="b">
        <f>_xlfn.LET(
_xlpm.acceptedID,_xlfn.TEXTBEFORE(tblQuestObjectives[[#This Row],[QuestTargetID]],".finished")&amp;".accepted",
_xlfn.XLOOKUP(
_xlpm.acceptedID,
tblTargetStatus[TargetID],
tblTargetStatus[PlayerCompleted],
FALSE
)
)</f>
        <v>0</v>
      </c>
      <c r="H44" s="2" t="str">
        <f>_xlfn.LET(
    _xlpm.name,
    _xlfn.XLOOKUP(
        tblQuestObjectives[[#This Row],[QuestTargetID]],
        tblTargetStatus[TargetID],
        tblTargetStatus[DisplayName],
        ""
    ),
    SUBSTITUTE(
        SUBSTITUTE(_xlpm.name," Accepted",""),
        " Finished",""
    )
)</f>
        <v>Silk Road</v>
      </c>
      <c r="R44" s="5"/>
      <c r="S44" s="5"/>
      <c r="T44" s="5"/>
      <c r="V44" s="5"/>
      <c r="W44" s="5"/>
      <c r="AA44" s="5"/>
      <c r="AB44" s="5"/>
    </row>
    <row r="45" spans="1:30" hidden="1">
      <c r="A45" s="5" t="s">
        <v>2536</v>
      </c>
      <c r="C45" s="2" t="str">
        <f>_xlfn.XLOOKUP(
tblQuestObjectives[[#This Row],[ObjectiveID]],
tblTargetStatus[TargetID],
tblTargetStatus[DisplayName],
""
)</f>
        <v>Visit Cairo</v>
      </c>
      <c r="D45" s="2" t="str">
        <f>_xlfn.XLOOKUP(tblQuestObjectives[[#This Row],[ObjectiveID]],tblTargets[TargetID],tblTargets[TargetType],"")</f>
        <v>STATE</v>
      </c>
      <c r="E45" s="5" t="s">
        <v>5744</v>
      </c>
      <c r="F45" s="2" t="b">
        <f>NOT(
    _xlfn.XLOOKUP(
        tblQuestObjectives[[#This Row],[ObjectiveID]],
        tblTargetStatus[TargetID],
        tblTargetStatus[PlayerCompleted],
        FALSE
    )
)</f>
        <v>1</v>
      </c>
      <c r="G45" s="2" t="b">
        <f>_xlfn.LET(
_xlpm.acceptedID,_xlfn.TEXTBEFORE(tblQuestObjectives[[#This Row],[QuestTargetID]],".finished")&amp;".accepted",
_xlfn.XLOOKUP(
_xlpm.acceptedID,
tblTargetStatus[TargetID],
tblTargetStatus[PlayerCompleted],
FALSE
)
)</f>
        <v>0</v>
      </c>
      <c r="H45" s="2" t="str">
        <f>_xlfn.LET(
    _xlpm.name,
    _xlfn.XLOOKUP(
        tblQuestObjectives[[#This Row],[QuestTargetID]],
        tblTargetStatus[TargetID],
        tblTargetStatus[DisplayName],
        ""
    ),
    SUBSTITUTE(
        SUBSTITUTE(_xlpm.name," Accepted",""),
        " Finished",""
    )
)</f>
        <v>Silk Road</v>
      </c>
      <c r="R45" s="5"/>
      <c r="S45" s="5"/>
      <c r="T45" s="5"/>
      <c r="V45" s="5"/>
      <c r="W45" s="5"/>
      <c r="AA45" s="5"/>
      <c r="AB45" s="5"/>
      <c r="AD45" s="5"/>
    </row>
    <row r="46" spans="1:30" hidden="1">
      <c r="A46" s="5" t="s">
        <v>2536</v>
      </c>
      <c r="C46" s="2" t="str">
        <f>_xlfn.XLOOKUP(
tblQuestObjectives[[#This Row],[ObjectiveID]],
tblTargetStatus[TargetID],
tblTargetStatus[DisplayName],
""
)</f>
        <v>Visit Athens</v>
      </c>
      <c r="D46" s="2" t="str">
        <f>_xlfn.XLOOKUP(tblQuestObjectives[[#This Row],[ObjectiveID]],tblTargets[TargetID],tblTargets[TargetType],"")</f>
        <v>STATE</v>
      </c>
      <c r="E46" s="5" t="s">
        <v>5741</v>
      </c>
      <c r="F46" s="2" t="b">
        <f>NOT(
    _xlfn.XLOOKUP(
        tblQuestObjectives[[#This Row],[ObjectiveID]],
        tblTargetStatus[TargetID],
        tblTargetStatus[PlayerCompleted],
        FALSE
    )
)</f>
        <v>1</v>
      </c>
      <c r="G46" s="2" t="b">
        <f>_xlfn.LET(
_xlpm.acceptedID,_xlfn.TEXTBEFORE(tblQuestObjectives[[#This Row],[QuestTargetID]],".finished")&amp;".accepted",
_xlfn.XLOOKUP(
_xlpm.acceptedID,
tblTargetStatus[TargetID],
tblTargetStatus[PlayerCompleted],
FALSE
)
)</f>
        <v>0</v>
      </c>
      <c r="H46" s="2" t="str">
        <f>_xlfn.LET(
    _xlpm.name,
    _xlfn.XLOOKUP(
        tblQuestObjectives[[#This Row],[QuestTargetID]],
        tblTargetStatus[TargetID],
        tblTargetStatus[DisplayName],
        ""
    ),
    SUBSTITUTE(
        SUBSTITUTE(_xlpm.name," Accepted",""),
        " Finished",""
    )
)</f>
        <v>Silk Road</v>
      </c>
      <c r="R46" s="5"/>
      <c r="S46" s="5"/>
      <c r="T46" s="5"/>
      <c r="U46" s="5"/>
      <c r="V46" s="5"/>
      <c r="W46" s="5"/>
      <c r="X46" s="5"/>
      <c r="AA46" s="5"/>
      <c r="AB46" s="5"/>
    </row>
    <row r="47" spans="1:30" hidden="1">
      <c r="A47" s="5" t="s">
        <v>2536</v>
      </c>
      <c r="C47" s="2" t="str">
        <f>_xlfn.XLOOKUP(
tblQuestObjectives[[#This Row],[ObjectiveID]],
tblTargetStatus[TargetID],
tblTargetStatus[DisplayName],
""
)</f>
        <v>Visit Rome</v>
      </c>
      <c r="D47" s="2" t="str">
        <f>_xlfn.XLOOKUP(tblQuestObjectives[[#This Row],[ObjectiveID]],tblTargets[TargetID],tblTargets[TargetType],"")</f>
        <v>STATE</v>
      </c>
      <c r="E47" s="5" t="s">
        <v>5747</v>
      </c>
      <c r="F47" s="2" t="b">
        <f>NOT(
    _xlfn.XLOOKUP(
        tblQuestObjectives[[#This Row],[ObjectiveID]],
        tblTargetStatus[TargetID],
        tblTargetStatus[PlayerCompleted],
        FALSE
    )
)</f>
        <v>1</v>
      </c>
      <c r="G47" s="2" t="b">
        <f>_xlfn.LET(
_xlpm.acceptedID,_xlfn.TEXTBEFORE(tblQuestObjectives[[#This Row],[QuestTargetID]],".finished")&amp;".accepted",
_xlfn.XLOOKUP(
_xlpm.acceptedID,
tblTargetStatus[TargetID],
tblTargetStatus[PlayerCompleted],
FALSE
)
)</f>
        <v>0</v>
      </c>
      <c r="H47" s="2" t="str">
        <f>_xlfn.LET(
    _xlpm.name,
    _xlfn.XLOOKUP(
        tblQuestObjectives[[#This Row],[QuestTargetID]],
        tblTargetStatus[TargetID],
        tblTargetStatus[DisplayName],
        ""
    ),
    SUBSTITUTE(
        SUBSTITUTE(_xlpm.name," Accepted",""),
        " Finished",""
    )
)</f>
        <v>Silk Road</v>
      </c>
      <c r="R47" s="5"/>
      <c r="S47" s="5"/>
      <c r="T47" s="5"/>
      <c r="V47" s="5"/>
      <c r="W47" s="5"/>
      <c r="AA47" s="5"/>
      <c r="AB47" s="5"/>
      <c r="AD47" s="5"/>
    </row>
    <row r="48" spans="1:30" hidden="1">
      <c r="A48" s="5" t="s">
        <v>2536</v>
      </c>
      <c r="C48" s="2" t="str">
        <f>_xlfn.XLOOKUP(
tblQuestObjectives[[#This Row],[ObjectiveID]],
tblTargetStatus[TargetID],
tblTargetStatus[DisplayName],
""
)</f>
        <v>Visit Kyiv</v>
      </c>
      <c r="D48" s="2" t="str">
        <f>_xlfn.XLOOKUP(tblQuestObjectives[[#This Row],[ObjectiveID]],tblTargets[TargetID],tblTargets[TargetType],"")</f>
        <v>STATE</v>
      </c>
      <c r="E48" s="5" t="s">
        <v>5746</v>
      </c>
      <c r="F48" s="2" t="b">
        <f>NOT(
    _xlfn.XLOOKUP(
        tblQuestObjectives[[#This Row],[ObjectiveID]],
        tblTargetStatus[TargetID],
        tblTargetStatus[PlayerCompleted],
        FALSE
    )
)</f>
        <v>1</v>
      </c>
      <c r="G48" s="2" t="b">
        <f>_xlfn.LET(
_xlpm.acceptedID,_xlfn.TEXTBEFORE(tblQuestObjectives[[#This Row],[QuestTargetID]],".finished")&amp;".accepted",
_xlfn.XLOOKUP(
_xlpm.acceptedID,
tblTargetStatus[TargetID],
tblTargetStatus[PlayerCompleted],
FALSE
)
)</f>
        <v>0</v>
      </c>
      <c r="H48" s="2" t="str">
        <f>_xlfn.LET(
    _xlpm.name,
    _xlfn.XLOOKUP(
        tblQuestObjectives[[#This Row],[QuestTargetID]],
        tblTargetStatus[TargetID],
        tblTargetStatus[DisplayName],
        ""
    ),
    SUBSTITUTE(
        SUBSTITUTE(_xlpm.name," Accepted",""),
        " Finished",""
    )
)</f>
        <v>Silk Road</v>
      </c>
      <c r="R48" s="5"/>
      <c r="S48" s="5"/>
      <c r="T48" s="5"/>
      <c r="V48" s="5"/>
      <c r="W48" s="5"/>
      <c r="AA48" s="5"/>
      <c r="AB48" s="5"/>
    </row>
    <row r="49" spans="1:30" hidden="1">
      <c r="A49" s="5" t="s">
        <v>2538</v>
      </c>
      <c r="C49" s="2" t="str">
        <f>_xlfn.XLOOKUP(
tblQuestObjectives[[#This Row],[ObjectiveID]],
tblTargetStatus[TargetID],
tblTargetStatus[DisplayName],
""
)</f>
        <v>Ship Lv 4</v>
      </c>
      <c r="D49" s="2" t="str">
        <f>_xlfn.XLOOKUP(tblQuestObjectives[[#This Row],[ObjectiveID]],tblTargets[TargetID],tblTargets[TargetType],"")</f>
        <v>BUILDING</v>
      </c>
      <c r="E49" s="5" t="s">
        <v>120</v>
      </c>
      <c r="F49" s="2" t="b">
        <f>NOT(
    _xlfn.XLOOKUP(
        tblQuestObjectives[[#This Row],[ObjectiveID]],
        tblTargetStatus[TargetID],
        tblTargetStatus[PlayerCompleted],
        FALSE
    )
)</f>
        <v>1</v>
      </c>
      <c r="G49" s="2" t="b">
        <f>_xlfn.LET(
_xlpm.acceptedID,_xlfn.TEXTBEFORE(tblQuestObjectives[[#This Row],[QuestTargetID]],".finished")&amp;".accepted",
_xlfn.XLOOKUP(
_xlpm.acceptedID,
tblTargetStatus[TargetID],
tblTargetStatus[PlayerCompleted],
FALSE
)
)</f>
        <v>0</v>
      </c>
      <c r="H49" s="2" t="str">
        <f>_xlfn.LET(
    _xlpm.name,
    _xlfn.XLOOKUP(
        tblQuestObjectives[[#This Row],[QuestTargetID]],
        tblTargetStatus[TargetID],
        tblTargetStatus[DisplayName],
        ""
    ),
    SUBSTITUTE(
        SUBSTITUTE(_xlpm.name," Accepted",""),
        " Finished",""
    )
)</f>
        <v>Spicy Odyssey</v>
      </c>
      <c r="R49" s="5"/>
      <c r="S49" s="5"/>
      <c r="T49" s="5"/>
      <c r="U49" s="5"/>
      <c r="V49" s="5"/>
      <c r="W49" s="5"/>
      <c r="X49" s="5"/>
      <c r="AA49" s="5"/>
      <c r="AB49" s="5"/>
    </row>
    <row r="50" spans="1:30" ht="29" hidden="1">
      <c r="A50" s="5" t="s">
        <v>2538</v>
      </c>
      <c r="C50" s="2" t="str">
        <f>_xlfn.XLOOKUP(
tblQuestObjectives[[#This Row],[ObjectiveID]],
tblTargetStatus[TargetID],
tblTargetStatus[DisplayName],
""
)</f>
        <v>Obtain Spices from Spice Island</v>
      </c>
      <c r="D50" s="2" t="str">
        <f>_xlfn.XLOOKUP(tblQuestObjectives[[#This Row],[ObjectiveID]],tblTargets[TargetID],tblTargets[TargetType],"")</f>
        <v>STATE</v>
      </c>
      <c r="E50" t="s">
        <v>5630</v>
      </c>
      <c r="F50" s="2" t="b">
        <f>NOT(
    _xlfn.XLOOKUP(
        tblQuestObjectives[[#This Row],[ObjectiveID]],
        tblTargetStatus[TargetID],
        tblTargetStatus[PlayerCompleted],
        FALSE
    )
)</f>
        <v>1</v>
      </c>
      <c r="G50" s="2" t="b">
        <f>_xlfn.LET(
_xlpm.acceptedID,_xlfn.TEXTBEFORE(tblQuestObjectives[[#This Row],[QuestTargetID]],".finished")&amp;".accepted",
_xlfn.XLOOKUP(
_xlpm.acceptedID,
tblTargetStatus[TargetID],
tblTargetStatus[PlayerCompleted],
FALSE
)
)</f>
        <v>0</v>
      </c>
      <c r="H50" s="2" t="str">
        <f>_xlfn.LET(
    _xlpm.name,
    _xlfn.XLOOKUP(
        tblQuestObjectives[[#This Row],[QuestTargetID]],
        tblTargetStatus[TargetID],
        tblTargetStatus[DisplayName],
        ""
    ),
    SUBSTITUTE(
        SUBSTITUTE(_xlpm.name," Accepted",""),
        " Finished",""
    )
)</f>
        <v>Spicy Odyssey</v>
      </c>
      <c r="R50" s="5"/>
      <c r="S50" s="5"/>
      <c r="T50" s="5"/>
      <c r="U50" s="5"/>
      <c r="V50" s="5"/>
      <c r="W50" s="5"/>
      <c r="X50" s="5"/>
      <c r="AA50" s="5"/>
      <c r="AB50" s="5"/>
    </row>
    <row r="51" spans="1:30" hidden="1">
      <c r="A51" s="5" t="s">
        <v>2556</v>
      </c>
      <c r="C51" s="2" t="str">
        <f>_xlfn.XLOOKUP(
tblQuestObjectives[[#This Row],[ObjectiveID]],
tblTargetStatus[TargetID],
tblTargetStatus[DisplayName],
""
)</f>
        <v>Return the ring</v>
      </c>
      <c r="D51" s="2" t="str">
        <f>_xlfn.XLOOKUP(tblQuestObjectives[[#This Row],[ObjectiveID]],tblTargets[TargetID],tblTargets[TargetType],"")</f>
        <v>STATE</v>
      </c>
      <c r="E51" t="s">
        <v>6097</v>
      </c>
      <c r="F51" s="2" t="b">
        <f>NOT(
    _xlfn.XLOOKUP(
        tblQuestObjectives[[#This Row],[ObjectiveID]],
        tblTargetStatus[TargetID],
        tblTargetStatus[PlayerCompleted],
        FALSE
    )
)</f>
        <v>1</v>
      </c>
      <c r="G51" s="2" t="b">
        <f>_xlfn.LET(
_xlpm.acceptedID,_xlfn.TEXTBEFORE(tblQuestObjectives[[#This Row],[QuestTargetID]],".finished")&amp;".accepted",
_xlfn.XLOOKUP(
_xlpm.acceptedID,
tblTargetStatus[TargetID],
tblTargetStatus[PlayerCompleted],
FALSE
)
)</f>
        <v>0</v>
      </c>
      <c r="H51" s="2" t="str">
        <f>_xlfn.LET(
    _xlpm.name,
    _xlfn.XLOOKUP(
        tblQuestObjectives[[#This Row],[QuestTargetID]],
        tblTargetStatus[TargetID],
        tblTargetStatus[DisplayName],
        ""
    ),
    SUBSTITUTE(
        SUBSTITUTE(_xlpm.name," Accepted",""),
        " Finished",""
    )
)</f>
        <v>The Ring of the Dark Lady</v>
      </c>
      <c r="R51" s="5"/>
      <c r="S51" s="5"/>
      <c r="T51" s="5"/>
      <c r="V51" s="5"/>
      <c r="W51" s="5"/>
      <c r="AA51" s="5"/>
      <c r="AB51" s="5"/>
      <c r="AD51" s="5"/>
    </row>
    <row r="52" spans="1:30" hidden="1">
      <c r="A52" s="5" t="s">
        <v>2558</v>
      </c>
      <c r="C52" s="2" t="str">
        <f>_xlfn.XLOOKUP(
tblQuestObjectives[[#This Row],[ObjectiveID]],
tblTargetStatus[TargetID],
tblTargetStatus[DisplayName],
""
)</f>
        <v>Obtain Treasure</v>
      </c>
      <c r="D52" s="2" t="str">
        <f>_xlfn.XLOOKUP(tblQuestObjectives[[#This Row],[ObjectiveID]],tblTargets[TargetID],tblTargets[TargetType],"")</f>
        <v>STATE</v>
      </c>
      <c r="E52" t="s">
        <v>3510</v>
      </c>
      <c r="F52" s="2" t="b">
        <f>NOT(
    _xlfn.XLOOKUP(
        tblQuestObjectives[[#This Row],[ObjectiveID]],
        tblTargetStatus[TargetID],
        tblTargetStatus[PlayerCompleted],
        FALSE
    )
)</f>
        <v>1</v>
      </c>
      <c r="G52" s="2" t="b">
        <f>_xlfn.LET(
_xlpm.acceptedID,_xlfn.TEXTBEFORE(tblQuestObjectives[[#This Row],[QuestTargetID]],".finished")&amp;".accepted",
_xlfn.XLOOKUP(
_xlpm.acceptedID,
tblTargetStatus[TargetID],
tblTargetStatus[PlayerCompleted],
FALSE
)
)</f>
        <v>0</v>
      </c>
      <c r="H52" s="2" t="str">
        <f>_xlfn.LET(
    _xlpm.name,
    _xlfn.XLOOKUP(
        tblQuestObjectives[[#This Row],[QuestTargetID]],
        tblTargetStatus[TargetID],
        tblTargetStatus[DisplayName],
        ""
    ),
    SUBSTITUTE(
        SUBSTITUTE(_xlpm.name," Accepted",""),
        " Finished",""
    )
)</f>
        <v>Treasure Island</v>
      </c>
      <c r="R52" s="5"/>
      <c r="S52" s="5"/>
      <c r="T52" s="5"/>
      <c r="V52" s="5"/>
      <c r="W52" s="5"/>
      <c r="AA52" s="5"/>
      <c r="AB52" s="5"/>
      <c r="AD52" s="5"/>
    </row>
    <row r="53" spans="1:30" ht="29" hidden="1">
      <c r="A53" s="5" t="s">
        <v>2560</v>
      </c>
      <c r="C53" s="2" t="str">
        <f>_xlfn.XLOOKUP(
tblQuestObjectives[[#This Row],[ObjectiveID]],
tblTargetStatus[TargetID],
tblTargetStatus[DisplayName],
""
)</f>
        <v>Complete Dungeon 5C</v>
      </c>
      <c r="D53" s="2" t="str">
        <f>_xlfn.XLOOKUP(tblQuestObjectives[[#This Row],[ObjectiveID]],tblTargets[TargetID],tblTargets[TargetType],"")</f>
        <v>STATE</v>
      </c>
      <c r="E53" s="5" t="s">
        <v>3512</v>
      </c>
      <c r="F53" s="2" t="b">
        <f>NOT(
    _xlfn.XLOOKUP(
        tblQuestObjectives[[#This Row],[ObjectiveID]],
        tblTargetStatus[TargetID],
        tblTargetStatus[PlayerCompleted],
        FALSE
    )
)</f>
        <v>1</v>
      </c>
      <c r="G53" s="2" t="b">
        <f>_xlfn.LET(
_xlpm.acceptedID,_xlfn.TEXTBEFORE(tblQuestObjectives[[#This Row],[QuestTargetID]],".finished")&amp;".accepted",
_xlfn.XLOOKUP(
_xlpm.acceptedID,
tblTargetStatus[TargetID],
tblTargetStatus[PlayerCompleted],
FALSE
)
)</f>
        <v>0</v>
      </c>
      <c r="H53" s="2" t="str">
        <f>_xlfn.LET(
    _xlpm.name,
    _xlfn.XLOOKUP(
        tblQuestObjectives[[#This Row],[QuestTargetID]],
        tblTargetStatus[TargetID],
        tblTargetStatus[DisplayName],
        ""
    ),
    SUBSTITUTE(
        SUBSTITUTE(_xlpm.name," Accepted",""),
        " Finished",""
    )
)</f>
        <v>Undead Revenge</v>
      </c>
      <c r="R53" s="5"/>
      <c r="S53" s="5"/>
      <c r="T53" s="5"/>
      <c r="V53" s="5"/>
      <c r="W53" s="5"/>
      <c r="AA53" s="5"/>
      <c r="AB53" s="5"/>
    </row>
    <row r="54" spans="1:30" hidden="1">
      <c r="A54" t="s">
        <v>2450</v>
      </c>
      <c r="C54" s="2" t="str">
        <f>_xlfn.XLOOKUP(
tblQuestObjectives[[#This Row],[ObjectiveID]],
tblTargetStatus[TargetID],
tblTargetStatus[DisplayName],
""
)</f>
        <v>Laboratory Lv 5</v>
      </c>
      <c r="D54" s="2" t="str">
        <f>_xlfn.XLOOKUP(tblQuestObjectives[[#This Row],[ObjectiveID]],tblTargets[TargetID],tblTargets[TargetType],"")</f>
        <v>BUILDING</v>
      </c>
      <c r="E54" s="5" t="s">
        <v>86</v>
      </c>
      <c r="F54" s="2" t="b">
        <f>NOT(
    _xlfn.XLOOKUP(
        tblQuestObjectives[[#This Row],[ObjectiveID]],
        tblTargetStatus[TargetID],
        tblTargetStatus[PlayerCompleted],
        FALSE
    )
)</f>
        <v>1</v>
      </c>
      <c r="G54" s="2" t="b">
        <f>_xlfn.LET(
_xlpm.acceptedID,_xlfn.TEXTBEFORE(tblQuestObjectives[[#This Row],[QuestTargetID]],".finished")&amp;".accepted",
_xlfn.XLOOKUP(
_xlpm.acceptedID,
tblTargetStatus[TargetID],
tblTargetStatus[PlayerCompleted],
FALSE
)
)</f>
        <v>0</v>
      </c>
      <c r="H54" s="2" t="str">
        <f>_xlfn.LET(
    _xlpm.name,
    _xlfn.XLOOKUP(
        tblQuestObjectives[[#This Row],[QuestTargetID]],
        tblTargetStatus[TargetID],
        tblTargetStatus[DisplayName],
        ""
    ),
    SUBSTITUTE(
        SUBSTITUTE(_xlpm.name," Accepted",""),
        " Finished",""
    )
)</f>
        <v>Ahead of Time Chapter 1</v>
      </c>
      <c r="R54" s="5"/>
      <c r="S54" s="5"/>
      <c r="T54" s="5"/>
      <c r="V54" s="5"/>
      <c r="W54" s="5"/>
      <c r="AA54" s="5"/>
      <c r="AB54" s="5"/>
      <c r="AD54" s="5"/>
    </row>
    <row r="55" spans="1:30" hidden="1">
      <c r="A55" t="s">
        <v>2450</v>
      </c>
      <c r="C55" s="2" t="str">
        <f>_xlfn.XLOOKUP(
tblQuestObjectives[[#This Row],[ObjectiveID]],
tblTargetStatus[TargetID],
tblTargetStatus[DisplayName],
""
)</f>
        <v>Deliver Bedroll to  4B </v>
      </c>
      <c r="D55" s="2" t="str">
        <f>_xlfn.XLOOKUP(tblQuestObjectives[[#This Row],[ObjectiveID]],tblTargets[TargetID],tblTargets[TargetType],"")</f>
        <v>STATE</v>
      </c>
      <c r="E55" t="s">
        <v>5923</v>
      </c>
      <c r="F55" s="2" t="b">
        <f>NOT(
    _xlfn.XLOOKUP(
        tblQuestObjectives[[#This Row],[ObjectiveID]],
        tblTargetStatus[TargetID],
        tblTargetStatus[PlayerCompleted],
        FALSE
    )
)</f>
        <v>1</v>
      </c>
      <c r="G55" s="2" t="b">
        <f>_xlfn.LET(
_xlpm.acceptedID,_xlfn.TEXTBEFORE(tblQuestObjectives[[#This Row],[QuestTargetID]],".finished")&amp;".accepted",
_xlfn.XLOOKUP(
_xlpm.acceptedID,
tblTargetStatus[TargetID],
tblTargetStatus[PlayerCompleted],
FALSE
)
)</f>
        <v>0</v>
      </c>
      <c r="H55" s="2" t="str">
        <f>_xlfn.LET(
    _xlpm.name,
    _xlfn.XLOOKUP(
        tblQuestObjectives[[#This Row],[QuestTargetID]],
        tblTargetStatus[TargetID],
        tblTargetStatus[DisplayName],
        ""
    ),
    SUBSTITUTE(
        SUBSTITUTE(_xlpm.name," Accepted",""),
        " Finished",""
    )
)</f>
        <v>Ahead of Time Chapter 1</v>
      </c>
      <c r="R55" s="5"/>
      <c r="S55" s="5"/>
      <c r="T55" s="5"/>
      <c r="U55" s="5"/>
      <c r="V55" s="5"/>
      <c r="W55" s="5"/>
      <c r="X55" s="5"/>
      <c r="AA55" s="5"/>
      <c r="AB55" s="5"/>
    </row>
    <row r="56" spans="1:30" hidden="1">
      <c r="A56" t="s">
        <v>2450</v>
      </c>
      <c r="C56" s="2" t="str">
        <f>_xlfn.XLOOKUP(
tblQuestObjectives[[#This Row],[ObjectiveID]],
tblTargetStatus[TargetID],
tblTargetStatus[DisplayName],
""
)</f>
        <v>Deliver Horn to  2C </v>
      </c>
      <c r="D56" s="2" t="str">
        <f>_xlfn.XLOOKUP(tblQuestObjectives[[#This Row],[ObjectiveID]],tblTargets[TargetID],tblTargets[TargetType],"")</f>
        <v>STATE</v>
      </c>
      <c r="E56" t="s">
        <v>5800</v>
      </c>
      <c r="F56" s="2" t="b">
        <f>NOT(
    _xlfn.XLOOKUP(
        tblQuestObjectives[[#This Row],[ObjectiveID]],
        tblTargetStatus[TargetID],
        tblTargetStatus[PlayerCompleted],
        FALSE
    )
)</f>
        <v>1</v>
      </c>
      <c r="G56" s="2" t="b">
        <f>_xlfn.LET(
_xlpm.acceptedID,_xlfn.TEXTBEFORE(tblQuestObjectives[[#This Row],[QuestTargetID]],".finished")&amp;".accepted",
_xlfn.XLOOKUP(
_xlpm.acceptedID,
tblTargetStatus[TargetID],
tblTargetStatus[PlayerCompleted],
FALSE
)
)</f>
        <v>0</v>
      </c>
      <c r="H56" s="2" t="str">
        <f>_xlfn.LET(
    _xlpm.name,
    _xlfn.XLOOKUP(
        tblQuestObjectives[[#This Row],[QuestTargetID]],
        tblTargetStatus[TargetID],
        tblTargetStatus[DisplayName],
        ""
    ),
    SUBSTITUTE(
        SUBSTITUTE(_xlpm.name," Accepted",""),
        " Finished",""
    )
)</f>
        <v>Ahead of Time Chapter 1</v>
      </c>
      <c r="R56" s="5"/>
      <c r="S56" s="5"/>
      <c r="T56" s="5"/>
      <c r="V56" s="5"/>
      <c r="W56" s="5"/>
      <c r="AA56" s="5"/>
      <c r="AB56" s="5"/>
      <c r="AD56" s="5"/>
    </row>
    <row r="57" spans="1:30" hidden="1">
      <c r="A57" t="s">
        <v>2450</v>
      </c>
      <c r="C57" s="2" t="str">
        <f>_xlfn.XLOOKUP(
tblQuestObjectives[[#This Row],[ObjectiveID]],
tblTargetStatus[TargetID],
tblTargetStatus[DisplayName],
""
)</f>
        <v>Deliver Pizza Diavola to  5B </v>
      </c>
      <c r="D57" s="2" t="str">
        <f>_xlfn.XLOOKUP(tblQuestObjectives[[#This Row],[ObjectiveID]],tblTargets[TargetID],tblTargets[TargetType],"")</f>
        <v>STATE</v>
      </c>
      <c r="E57" t="s">
        <v>5801</v>
      </c>
      <c r="F57" s="2" t="b">
        <f>NOT(
    _xlfn.XLOOKUP(
        tblQuestObjectives[[#This Row],[ObjectiveID]],
        tblTargetStatus[TargetID],
        tblTargetStatus[PlayerCompleted],
        FALSE
    )
)</f>
        <v>1</v>
      </c>
      <c r="G57" s="2" t="b">
        <f>_xlfn.LET(
_xlpm.acceptedID,_xlfn.TEXTBEFORE(tblQuestObjectives[[#This Row],[QuestTargetID]],".finished")&amp;".accepted",
_xlfn.XLOOKUP(
_xlpm.acceptedID,
tblTargetStatus[TargetID],
tblTargetStatus[PlayerCompleted],
FALSE
)
)</f>
        <v>0</v>
      </c>
      <c r="H57" s="2" t="str">
        <f>_xlfn.LET(
    _xlpm.name,
    _xlfn.XLOOKUP(
        tblQuestObjectives[[#This Row],[QuestTargetID]],
        tblTargetStatus[TargetID],
        tblTargetStatus[DisplayName],
        ""
    ),
    SUBSTITUTE(
        SUBSTITUTE(_xlpm.name," Accepted",""),
        " Finished",""
    )
)</f>
        <v>Ahead of Time Chapter 1</v>
      </c>
      <c r="R57" s="5"/>
      <c r="S57" s="5"/>
      <c r="T57" s="5"/>
      <c r="U57" s="5"/>
      <c r="V57" s="5"/>
      <c r="W57" s="5"/>
      <c r="X57" s="5"/>
      <c r="AA57" s="5"/>
      <c r="AB57" s="5"/>
      <c r="AD57" s="5"/>
    </row>
    <row r="58" spans="1:30" hidden="1">
      <c r="A58" t="s">
        <v>2450</v>
      </c>
      <c r="C58" s="2" t="str">
        <f>_xlfn.XLOOKUP(
tblQuestObjectives[[#This Row],[ObjectiveID]],
tblTargetStatus[TargetID],
tblTargetStatus[DisplayName],
""
)</f>
        <v>Deliver Pizza Diavola to  5C </v>
      </c>
      <c r="D58" s="2" t="str">
        <f>_xlfn.XLOOKUP(tblQuestObjectives[[#This Row],[ObjectiveID]],tblTargets[TargetID],tblTargets[TargetType],"")</f>
        <v>STATE</v>
      </c>
      <c r="E58" t="s">
        <v>5802</v>
      </c>
      <c r="F58" s="2" t="b">
        <f>NOT(
    _xlfn.XLOOKUP(
        tblQuestObjectives[[#This Row],[ObjectiveID]],
        tblTargetStatus[TargetID],
        tblTargetStatus[PlayerCompleted],
        FALSE
    )
)</f>
        <v>1</v>
      </c>
      <c r="G58" s="2" t="b">
        <f>_xlfn.LET(
_xlpm.acceptedID,_xlfn.TEXTBEFORE(tblQuestObjectives[[#This Row],[QuestTargetID]],".finished")&amp;".accepted",
_xlfn.XLOOKUP(
_xlpm.acceptedID,
tblTargetStatus[TargetID],
tblTargetStatus[PlayerCompleted],
FALSE
)
)</f>
        <v>0</v>
      </c>
      <c r="H58" s="2" t="str">
        <f>_xlfn.LET(
    _xlpm.name,
    _xlfn.XLOOKUP(
        tblQuestObjectives[[#This Row],[QuestTargetID]],
        tblTargetStatus[TargetID],
        tblTargetStatus[DisplayName],
        ""
    ),
    SUBSTITUTE(
        SUBSTITUTE(_xlpm.name," Accepted",""),
        " Finished",""
    )
)</f>
        <v>Ahead of Time Chapter 1</v>
      </c>
      <c r="R58" s="5"/>
      <c r="S58" s="5"/>
      <c r="T58" s="5"/>
      <c r="U58" s="5"/>
      <c r="V58" s="5"/>
      <c r="W58" s="5"/>
      <c r="X58" s="5"/>
      <c r="AA58" s="5"/>
      <c r="AB58" s="5"/>
      <c r="AD58" s="5"/>
    </row>
    <row r="59" spans="1:30" hidden="1">
      <c r="A59" t="s">
        <v>2450</v>
      </c>
      <c r="C59" s="2" t="str">
        <f>_xlfn.XLOOKUP(
tblQuestObjectives[[#This Row],[ObjectiveID]],
tblTargetStatus[TargetID],
tblTargetStatus[DisplayName],
""
)</f>
        <v>Deliver Porcini pasta to  3C </v>
      </c>
      <c r="D59" s="2" t="str">
        <f>_xlfn.XLOOKUP(tblQuestObjectives[[#This Row],[ObjectiveID]],tblTargets[TargetID],tblTargets[TargetType],"")</f>
        <v>STATE</v>
      </c>
      <c r="E59" t="s">
        <v>5803</v>
      </c>
      <c r="F59" s="2" t="b">
        <f>NOT(
    _xlfn.XLOOKUP(
        tblQuestObjectives[[#This Row],[ObjectiveID]],
        tblTargetStatus[TargetID],
        tblTargetStatus[PlayerCompleted],
        FALSE
    )
)</f>
        <v>1</v>
      </c>
      <c r="G59" s="2" t="b">
        <f>_xlfn.LET(
_xlpm.acceptedID,_xlfn.TEXTBEFORE(tblQuestObjectives[[#This Row],[QuestTargetID]],".finished")&amp;".accepted",
_xlfn.XLOOKUP(
_xlpm.acceptedID,
tblTargetStatus[TargetID],
tblTargetStatus[PlayerCompleted],
FALSE
)
)</f>
        <v>0</v>
      </c>
      <c r="H59" s="2" t="str">
        <f>_xlfn.LET(
    _xlpm.name,
    _xlfn.XLOOKUP(
        tblQuestObjectives[[#This Row],[QuestTargetID]],
        tblTargetStatus[TargetID],
        tblTargetStatus[DisplayName],
        ""
    ),
    SUBSTITUTE(
        SUBSTITUTE(_xlpm.name," Accepted",""),
        " Finished",""
    )
)</f>
        <v>Ahead of Time Chapter 1</v>
      </c>
      <c r="R59" s="5"/>
      <c r="S59" s="5"/>
      <c r="T59" s="5"/>
      <c r="V59" s="5"/>
      <c r="W59" s="5"/>
      <c r="AA59" s="5"/>
      <c r="AB59" s="5"/>
    </row>
    <row r="60" spans="1:30" hidden="1">
      <c r="A60" t="s">
        <v>2450</v>
      </c>
      <c r="C60" s="2" t="str">
        <f>_xlfn.XLOOKUP(
tblQuestObjectives[[#This Row],[ObjectiveID]],
tblTargetStatus[TargetID],
tblTargetStatus[DisplayName],
""
)</f>
        <v>Deliver Potion Ambrosia to  3B </v>
      </c>
      <c r="D60" s="2" t="str">
        <f>_xlfn.XLOOKUP(tblQuestObjectives[[#This Row],[ObjectiveID]],tblTargets[TargetID],tblTargets[TargetType],"")</f>
        <v>STATE</v>
      </c>
      <c r="E60" t="s">
        <v>5804</v>
      </c>
      <c r="F60" s="2" t="b">
        <f>NOT(
    _xlfn.XLOOKUP(
        tblQuestObjectives[[#This Row],[ObjectiveID]],
        tblTargetStatus[TargetID],
        tblTargetStatus[PlayerCompleted],
        FALSE
    )
)</f>
        <v>1</v>
      </c>
      <c r="G60" s="2" t="b">
        <f>_xlfn.LET(
_xlpm.acceptedID,_xlfn.TEXTBEFORE(tblQuestObjectives[[#This Row],[QuestTargetID]],".finished")&amp;".accepted",
_xlfn.XLOOKUP(
_xlpm.acceptedID,
tblTargetStatus[TargetID],
tblTargetStatus[PlayerCompleted],
FALSE
)
)</f>
        <v>0</v>
      </c>
      <c r="H60" s="2" t="str">
        <f>_xlfn.LET(
    _xlpm.name,
    _xlfn.XLOOKUP(
        tblQuestObjectives[[#This Row],[QuestTargetID]],
        tblTargetStatus[TargetID],
        tblTargetStatus[DisplayName],
        ""
    ),
    SUBSTITUTE(
        SUBSTITUTE(_xlpm.name," Accepted",""),
        " Finished",""
    )
)</f>
        <v>Ahead of Time Chapter 1</v>
      </c>
      <c r="R60" s="5"/>
      <c r="S60" s="5"/>
      <c r="T60" s="5"/>
      <c r="U60" s="5"/>
      <c r="V60" s="5"/>
      <c r="W60" s="5"/>
      <c r="X60" s="5"/>
      <c r="AA60" s="5"/>
      <c r="AB60" s="5"/>
    </row>
    <row r="61" spans="1:30" hidden="1">
      <c r="A61" t="s">
        <v>2450</v>
      </c>
      <c r="C61" s="2" t="str">
        <f>_xlfn.XLOOKUP(
tblQuestObjectives[[#This Row],[ObjectiveID]],
tblTargetStatus[TargetID],
tblTargetStatus[DisplayName],
""
)</f>
        <v>Deliver Potion Berserker rage to  1C </v>
      </c>
      <c r="D61" s="2" t="str">
        <f>_xlfn.XLOOKUP(tblQuestObjectives[[#This Row],[ObjectiveID]],tblTargets[TargetID],tblTargets[TargetType],"")</f>
        <v>STATE</v>
      </c>
      <c r="E61" t="s">
        <v>5782</v>
      </c>
      <c r="F61" s="2" t="b">
        <f>NOT(
    _xlfn.XLOOKUP(
        tblQuestObjectives[[#This Row],[ObjectiveID]],
        tblTargetStatus[TargetID],
        tblTargetStatus[PlayerCompleted],
        FALSE
    )
)</f>
        <v>1</v>
      </c>
      <c r="G61" s="2" t="b">
        <f>_xlfn.LET(
_xlpm.acceptedID,_xlfn.TEXTBEFORE(tblQuestObjectives[[#This Row],[QuestTargetID]],".finished")&amp;".accepted",
_xlfn.XLOOKUP(
_xlpm.acceptedID,
tblTargetStatus[TargetID],
tblTargetStatus[PlayerCompleted],
FALSE
)
)</f>
        <v>0</v>
      </c>
      <c r="H61" s="2" t="str">
        <f>_xlfn.LET(
    _xlpm.name,
    _xlfn.XLOOKUP(
        tblQuestObjectives[[#This Row],[QuestTargetID]],
        tblTargetStatus[TargetID],
        tblTargetStatus[DisplayName],
        ""
    ),
    SUBSTITUTE(
        SUBSTITUTE(_xlpm.name," Accepted",""),
        " Finished",""
    )
)</f>
        <v>Ahead of Time Chapter 1</v>
      </c>
      <c r="R61" s="5"/>
      <c r="S61" s="5"/>
      <c r="T61" s="5"/>
      <c r="U61" s="5"/>
      <c r="V61" s="5"/>
      <c r="W61" s="5"/>
      <c r="X61" s="5"/>
      <c r="AA61" s="5"/>
      <c r="AB61" s="5"/>
    </row>
    <row r="62" spans="1:30" hidden="1">
      <c r="A62" t="s">
        <v>2450</v>
      </c>
      <c r="C62" s="2" t="str">
        <f>_xlfn.XLOOKUP(
tblQuestObjectives[[#This Row],[ObjectiveID]],
tblTargetStatus[TargetID],
tblTargetStatus[DisplayName],
""
)</f>
        <v>Deliver Yuba to  4C </v>
      </c>
      <c r="D62" s="2" t="str">
        <f>_xlfn.XLOOKUP(tblQuestObjectives[[#This Row],[ObjectiveID]],tblTargets[TargetID],tblTargets[TargetType],"")</f>
        <v>STATE</v>
      </c>
      <c r="E62" t="s">
        <v>5757</v>
      </c>
      <c r="F62" s="2" t="b">
        <f>NOT(
    _xlfn.XLOOKUP(
        tblQuestObjectives[[#This Row],[ObjectiveID]],
        tblTargetStatus[TargetID],
        tblTargetStatus[PlayerCompleted],
        FALSE
    )
)</f>
        <v>1</v>
      </c>
      <c r="G62" s="2" t="b">
        <f>_xlfn.LET(
_xlpm.acceptedID,_xlfn.TEXTBEFORE(tblQuestObjectives[[#This Row],[QuestTargetID]],".finished")&amp;".accepted",
_xlfn.XLOOKUP(
_xlpm.acceptedID,
tblTargetStatus[TargetID],
tblTargetStatus[PlayerCompleted],
FALSE
)
)</f>
        <v>0</v>
      </c>
      <c r="H62" s="2" t="str">
        <f>_xlfn.LET(
    _xlpm.name,
    _xlfn.XLOOKUP(
        tblQuestObjectives[[#This Row],[QuestTargetID]],
        tblTargetStatus[TargetID],
        tblTargetStatus[DisplayName],
        ""
    ),
    SUBSTITUTE(
        SUBSTITUTE(_xlpm.name," Accepted",""),
        " Finished",""
    )
)</f>
        <v>Ahead of Time Chapter 1</v>
      </c>
      <c r="R62" s="5"/>
      <c r="S62" s="5"/>
      <c r="T62" s="5"/>
      <c r="U62" s="5"/>
      <c r="V62" s="5"/>
      <c r="W62" s="5"/>
      <c r="X62" s="5"/>
      <c r="AA62" s="5"/>
      <c r="AB62" s="5"/>
    </row>
    <row r="63" spans="1:30" hidden="1">
      <c r="A63" t="s">
        <v>2452</v>
      </c>
      <c r="C63" s="2" t="str">
        <f>_xlfn.XLOOKUP(
tblQuestObjectives[[#This Row],[ObjectiveID]],
tblTargetStatus[TargetID],
tblTargetStatus[DisplayName],
""
)</f>
        <v>Tunnel</v>
      </c>
      <c r="D63" s="2" t="str">
        <f>_xlfn.XLOOKUP(tblQuestObjectives[[#This Row],[ObjectiveID]],tblTargets[TargetID],tblTargets[TargetType],"")</f>
        <v>CITADEL</v>
      </c>
      <c r="E63" s="5" t="s">
        <v>6058</v>
      </c>
      <c r="F63" s="2" t="b">
        <f>NOT(
    _xlfn.XLOOKUP(
        tblQuestObjectives[[#This Row],[ObjectiveID]],
        tblTargetStatus[TargetID],
        tblTargetStatus[PlayerCompleted],
        FALSE
    )
)</f>
        <v>1</v>
      </c>
      <c r="G63" s="2" t="b">
        <f>_xlfn.LET(
_xlpm.acceptedID,_xlfn.TEXTBEFORE(tblQuestObjectives[[#This Row],[QuestTargetID]],".finished")&amp;".accepted",
_xlfn.XLOOKUP(
_xlpm.acceptedID,
tblTargetStatus[TargetID],
tblTargetStatus[PlayerCompleted],
FALSE
)
)</f>
        <v>0</v>
      </c>
      <c r="H63" s="2" t="str">
        <f>_xlfn.LET(
    _xlpm.name,
    _xlfn.XLOOKUP(
        tblQuestObjectives[[#This Row],[QuestTargetID]],
        tblTargetStatus[TargetID],
        tblTargetStatus[DisplayName],
        ""
    ),
    SUBSTITUTE(
        SUBSTITUTE(_xlpm.name," Accepted",""),
        " Finished",""
    )
)</f>
        <v>Ahead of Time Chapter 2</v>
      </c>
      <c r="R63" s="5"/>
      <c r="S63" s="5"/>
      <c r="T63" s="5"/>
      <c r="U63" s="5"/>
      <c r="V63" s="5"/>
      <c r="W63" s="5"/>
      <c r="X63" s="5"/>
      <c r="AA63" s="5"/>
      <c r="AB63" s="5"/>
    </row>
    <row r="64" spans="1:30" hidden="1">
      <c r="A64" t="s">
        <v>2454</v>
      </c>
      <c r="C64" s="2" t="str">
        <f>_xlfn.XLOOKUP(
tblQuestObjectives[[#This Row],[ObjectiveID]],
tblTargetStatus[TargetID],
tblTargetStatus[DisplayName],
""
)</f>
        <v>Meet Dark Lady in 6D</v>
      </c>
      <c r="D64" s="2" t="str">
        <f>_xlfn.XLOOKUP(tblQuestObjectives[[#This Row],[ObjectiveID]],tblTargets[TargetID],tblTargets[TargetType],"")</f>
        <v>STATE</v>
      </c>
      <c r="E64" s="5" t="s">
        <v>5759</v>
      </c>
      <c r="F64" s="2" t="b">
        <f>NOT(
    _xlfn.XLOOKUP(
        tblQuestObjectives[[#This Row],[ObjectiveID]],
        tblTargetStatus[TargetID],
        tblTargetStatus[PlayerCompleted],
        FALSE
    )
)</f>
        <v>1</v>
      </c>
      <c r="G64" s="2" t="b">
        <f>_xlfn.LET(
_xlpm.acceptedID,_xlfn.TEXTBEFORE(tblQuestObjectives[[#This Row],[QuestTargetID]],".finished")&amp;".accepted",
_xlfn.XLOOKUP(
_xlpm.acceptedID,
tblTargetStatus[TargetID],
tblTargetStatus[PlayerCompleted],
FALSE
)
)</f>
        <v>0</v>
      </c>
      <c r="H64" s="2" t="str">
        <f>_xlfn.LET(
    _xlpm.name,
    _xlfn.XLOOKUP(
        tblQuestObjectives[[#This Row],[QuestTargetID]],
        tblTargetStatus[TargetID],
        tblTargetStatus[DisplayName],
        ""
    ),
    SUBSTITUTE(
        SUBSTITUTE(_xlpm.name," Accepted",""),
        " Finished",""
    )
)</f>
        <v>Ahead of Time Chapter 3</v>
      </c>
      <c r="R64" s="5"/>
      <c r="S64" s="5"/>
      <c r="T64" s="5"/>
      <c r="U64" s="5"/>
      <c r="V64" s="5"/>
      <c r="W64" s="5"/>
      <c r="X64" s="5"/>
      <c r="AA64" s="5"/>
      <c r="AB64" s="5"/>
    </row>
    <row r="65" spans="1:30" hidden="1">
      <c r="A65" t="s">
        <v>2454</v>
      </c>
      <c r="C65" s="2" t="str">
        <f>_xlfn.XLOOKUP(
tblQuestObjectives[[#This Row],[ObjectiveID]],
tblTargetStatus[TargetID],
tblTargetStatus[DisplayName],
""
)</f>
        <v>Meet Alchemist in 6D</v>
      </c>
      <c r="D65" s="2" t="str">
        <f>_xlfn.XLOOKUP(tblQuestObjectives[[#This Row],[ObjectiveID]],tblTargets[TargetID],tblTargets[TargetType],"")</f>
        <v>STATE</v>
      </c>
      <c r="E65" s="5" t="s">
        <v>5758</v>
      </c>
      <c r="F65" s="2" t="b">
        <f>NOT(
    _xlfn.XLOOKUP(
        tblQuestObjectives[[#This Row],[ObjectiveID]],
        tblTargetStatus[TargetID],
        tblTargetStatus[PlayerCompleted],
        FALSE
    )
)</f>
        <v>1</v>
      </c>
      <c r="G65" s="2" t="b">
        <f>_xlfn.LET(
_xlpm.acceptedID,_xlfn.TEXTBEFORE(tblQuestObjectives[[#This Row],[QuestTargetID]],".finished")&amp;".accepted",
_xlfn.XLOOKUP(
_xlpm.acceptedID,
tblTargetStatus[TargetID],
tblTargetStatus[PlayerCompleted],
FALSE
)
)</f>
        <v>0</v>
      </c>
      <c r="H65" s="2" t="str">
        <f>_xlfn.LET(
    _xlpm.name,
    _xlfn.XLOOKUP(
        tblQuestObjectives[[#This Row],[QuestTargetID]],
        tblTargetStatus[TargetID],
        tblTargetStatus[DisplayName],
        ""
    ),
    SUBSTITUTE(
        SUBSTITUTE(_xlpm.name," Accepted",""),
        " Finished",""
    )
)</f>
        <v>Ahead of Time Chapter 3</v>
      </c>
      <c r="R65" s="5"/>
      <c r="S65" s="5"/>
      <c r="T65" s="5"/>
      <c r="U65" s="5"/>
      <c r="V65" s="5"/>
      <c r="W65" s="5"/>
      <c r="X65" s="5"/>
      <c r="AA65" s="5"/>
      <c r="AB65" s="5"/>
    </row>
    <row r="66" spans="1:30" hidden="1">
      <c r="A66" t="s">
        <v>2456</v>
      </c>
      <c r="C66" s="2" t="str">
        <f>_xlfn.XLOOKUP(
tblQuestObjectives[[#This Row],[ObjectiveID]],
tblTargetStatus[TargetID],
tblTargetStatus[DisplayName],
""
)</f>
        <v>Send Train to Sapporo</v>
      </c>
      <c r="D66" s="2" t="str">
        <f>_xlfn.XLOOKUP(tblQuestObjectives[[#This Row],[ObjectiveID]],tblTargets[TargetID],tblTargets[TargetType],"")</f>
        <v>STATE</v>
      </c>
      <c r="E66" s="5" t="s">
        <v>5668</v>
      </c>
      <c r="F66" s="2" t="b">
        <f>NOT(
    _xlfn.XLOOKUP(
        tblQuestObjectives[[#This Row],[ObjectiveID]],
        tblTargetStatus[TargetID],
        tblTargetStatus[PlayerCompleted],
        FALSE
    )
)</f>
        <v>1</v>
      </c>
      <c r="G66" s="2" t="b">
        <f>_xlfn.LET(
_xlpm.acceptedID,_xlfn.TEXTBEFORE(tblQuestObjectives[[#This Row],[QuestTargetID]],".finished")&amp;".accepted",
_xlfn.XLOOKUP(
_xlpm.acceptedID,
tblTargetStatus[TargetID],
tblTargetStatus[PlayerCompleted],
FALSE
)
)</f>
        <v>0</v>
      </c>
      <c r="H66" s="2" t="str">
        <f>_xlfn.LET(
    _xlpm.name,
    _xlfn.XLOOKUP(
        tblQuestObjectives[[#This Row],[QuestTargetID]],
        tblTargetStatus[TargetID],
        tblTargetStatus[DisplayName],
        ""
    ),
    SUBSTITUTE(
        SUBSTITUTE(_xlpm.name," Accepted",""),
        " Finished",""
    )
)</f>
        <v>Ahead of Time Chapter 4</v>
      </c>
      <c r="R66" s="5"/>
      <c r="S66" s="5"/>
      <c r="T66" s="5"/>
      <c r="U66" s="5"/>
      <c r="V66" s="5"/>
      <c r="W66" s="5"/>
      <c r="X66" s="5"/>
      <c r="AA66" s="5"/>
      <c r="AB66" s="5"/>
    </row>
    <row r="67" spans="1:30" hidden="1">
      <c r="A67" t="s">
        <v>2458</v>
      </c>
      <c r="C67" s="2" t="str">
        <f>_xlfn.XLOOKUP(
tblQuestObjectives[[#This Row],[ObjectiveID]],
tblTargetStatus[TargetID],
tblTargetStatus[DisplayName],
""
)</f>
        <v>Laboratory: Data Center Lv 1</v>
      </c>
      <c r="D67" s="2" t="str">
        <f>_xlfn.XLOOKUP(tblQuestObjectives[[#This Row],[ObjectiveID]],tblTargets[TargetID],tblTargets[TargetType],"")</f>
        <v>BUILDING</v>
      </c>
      <c r="E67" s="5" t="s">
        <v>87</v>
      </c>
      <c r="F67" s="2" t="b">
        <f>NOT(
    _xlfn.XLOOKUP(
        tblQuestObjectives[[#This Row],[ObjectiveID]],
        tblTargetStatus[TargetID],
        tblTargetStatus[PlayerCompleted],
        FALSE
    )
)</f>
        <v>1</v>
      </c>
      <c r="G67" s="2" t="b">
        <f>_xlfn.LET(
_xlpm.acceptedID,_xlfn.TEXTBEFORE(tblQuestObjectives[[#This Row],[QuestTargetID]],".finished")&amp;".accepted",
_xlfn.XLOOKUP(
_xlpm.acceptedID,
tblTargetStatus[TargetID],
tblTargetStatus[PlayerCompleted],
FALSE
)
)</f>
        <v>0</v>
      </c>
      <c r="H67" s="2" t="str">
        <f>_xlfn.LET(
    _xlpm.name,
    _xlfn.XLOOKUP(
        tblQuestObjectives[[#This Row],[QuestTargetID]],
        tblTargetStatus[TargetID],
        tblTargetStatus[DisplayName],
        ""
    ),
    SUBSTITUTE(
        SUBSTITUTE(_xlpm.name," Accepted",""),
        " Finished",""
    )
)</f>
        <v>Ahead of Time Chapter 5</v>
      </c>
      <c r="R67" s="5"/>
      <c r="S67" s="5"/>
      <c r="T67" s="5"/>
      <c r="U67" s="5"/>
      <c r="V67" s="5"/>
      <c r="W67" s="5"/>
      <c r="X67" s="5"/>
      <c r="AA67" s="5"/>
      <c r="AB67" s="5"/>
    </row>
    <row r="68" spans="1:30" hidden="1">
      <c r="A68" t="s">
        <v>2458</v>
      </c>
      <c r="C68" s="2" t="str">
        <f>_xlfn.XLOOKUP(
tblQuestObjectives[[#This Row],[ObjectiveID]],
tblTargetStatus[TargetID],
tblTargetStatus[DisplayName],
""
)</f>
        <v>Laboratory - Digitization</v>
      </c>
      <c r="D68" s="2" t="str">
        <f>_xlfn.XLOOKUP(tblQuestObjectives[[#This Row],[ObjectiveID]],tblTargets[TargetID],tblTargets[TargetType],"")</f>
        <v>TECH</v>
      </c>
      <c r="E68" s="5" t="s">
        <v>2174</v>
      </c>
      <c r="F68" s="2" t="b">
        <f>NOT(
    _xlfn.XLOOKUP(
        tblQuestObjectives[[#This Row],[ObjectiveID]],
        tblTargetStatus[TargetID],
        tblTargetStatus[PlayerCompleted],
        FALSE
    )
)</f>
        <v>1</v>
      </c>
      <c r="G68" s="2" t="b">
        <f>_xlfn.LET(
_xlpm.acceptedID,_xlfn.TEXTBEFORE(tblQuestObjectives[[#This Row],[QuestTargetID]],".finished")&amp;".accepted",
_xlfn.XLOOKUP(
_xlpm.acceptedID,
tblTargetStatus[TargetID],
tblTargetStatus[PlayerCompleted],
FALSE
)
)</f>
        <v>0</v>
      </c>
      <c r="H68" s="2" t="str">
        <f>_xlfn.LET(
    _xlpm.name,
    _xlfn.XLOOKUP(
        tblQuestObjectives[[#This Row],[QuestTargetID]],
        tblTargetStatus[TargetID],
        tblTargetStatus[DisplayName],
        ""
    ),
    SUBSTITUTE(
        SUBSTITUTE(_xlpm.name," Accepted",""),
        " Finished",""
    )
)</f>
        <v>Ahead of Time Chapter 5</v>
      </c>
      <c r="R68" s="5"/>
      <c r="S68" s="5"/>
      <c r="T68" s="5"/>
      <c r="U68" s="5"/>
      <c r="V68" s="5"/>
      <c r="W68" s="5"/>
      <c r="X68" s="5"/>
      <c r="AA68" s="5"/>
      <c r="AB68" s="5"/>
    </row>
    <row r="69" spans="1:30" hidden="1">
      <c r="A69" t="s">
        <v>2458</v>
      </c>
      <c r="C69" s="2" t="str">
        <f>_xlfn.XLOOKUP(
tblQuestObjectives[[#This Row],[ObjectiveID]],
tblTargetStatus[TargetID],
tblTargetStatus[DisplayName],
""
)</f>
        <v>Laboratory - Experiments</v>
      </c>
      <c r="D69" s="2" t="str">
        <f>_xlfn.XLOOKUP(tblQuestObjectives[[#This Row],[ObjectiveID]],tblTargets[TargetID],tblTargets[TargetType],"")</f>
        <v>TECH</v>
      </c>
      <c r="E69" s="5" t="s">
        <v>2176</v>
      </c>
      <c r="F69" s="2" t="b">
        <f>NOT(
    _xlfn.XLOOKUP(
        tblQuestObjectives[[#This Row],[ObjectiveID]],
        tblTargetStatus[TargetID],
        tblTargetStatus[PlayerCompleted],
        FALSE
    )
)</f>
        <v>1</v>
      </c>
      <c r="G69" s="2" t="b">
        <f>_xlfn.LET(
_xlpm.acceptedID,_xlfn.TEXTBEFORE(tblQuestObjectives[[#This Row],[QuestTargetID]],".finished")&amp;".accepted",
_xlfn.XLOOKUP(
_xlpm.acceptedID,
tblTargetStatus[TargetID],
tblTargetStatus[PlayerCompleted],
FALSE
)
)</f>
        <v>0</v>
      </c>
      <c r="H69" s="2" t="str">
        <f>_xlfn.LET(
    _xlpm.name,
    _xlfn.XLOOKUP(
        tblQuestObjectives[[#This Row],[QuestTargetID]],
        tblTargetStatus[TargetID],
        tblTargetStatus[DisplayName],
        ""
    ),
    SUBSTITUTE(
        SUBSTITUTE(_xlpm.name," Accepted",""),
        " Finished",""
    )
)</f>
        <v>Ahead of Time Chapter 5</v>
      </c>
      <c r="R69" s="5"/>
      <c r="S69" s="5"/>
      <c r="T69" s="5"/>
      <c r="U69" s="5"/>
      <c r="V69" s="5"/>
      <c r="W69" s="5"/>
      <c r="X69" s="5"/>
      <c r="AA69" s="5"/>
      <c r="AB69" s="5"/>
    </row>
    <row r="70" spans="1:30" hidden="1">
      <c r="A70" t="s">
        <v>2458</v>
      </c>
      <c r="C70" s="2" t="str">
        <f>_xlfn.XLOOKUP(
tblQuestObjectives[[#This Row],[ObjectiveID]],
tblTargetStatus[TargetID],
tblTargetStatus[DisplayName],
""
)</f>
        <v>Laboratory - Research And Development</v>
      </c>
      <c r="D70" s="2" t="str">
        <f>_xlfn.XLOOKUP(tblQuestObjectives[[#This Row],[ObjectiveID]],tblTargets[TargetID],tblTargets[TargetType],"")</f>
        <v>TECH</v>
      </c>
      <c r="E70" s="5" t="s">
        <v>2172</v>
      </c>
      <c r="F70" s="2" t="b">
        <f>NOT(
    _xlfn.XLOOKUP(
        tblQuestObjectives[[#This Row],[ObjectiveID]],
        tblTargetStatus[TargetID],
        tblTargetStatus[PlayerCompleted],
        FALSE
    )
)</f>
        <v>1</v>
      </c>
      <c r="G70" s="2" t="b">
        <f>_xlfn.LET(
_xlpm.acceptedID,_xlfn.TEXTBEFORE(tblQuestObjectives[[#This Row],[QuestTargetID]],".finished")&amp;".accepted",
_xlfn.XLOOKUP(
_xlpm.acceptedID,
tblTargetStatus[TargetID],
tblTargetStatus[PlayerCompleted],
FALSE
)
)</f>
        <v>0</v>
      </c>
      <c r="H70" s="2" t="str">
        <f>_xlfn.LET(
    _xlpm.name,
    _xlfn.XLOOKUP(
        tblQuestObjectives[[#This Row],[QuestTargetID]],
        tblTargetStatus[TargetID],
        tblTargetStatus[DisplayName],
        ""
    ),
    SUBSTITUTE(
        SUBSTITUTE(_xlpm.name," Accepted",""),
        " Finished",""
    )
)</f>
        <v>Ahead of Time Chapter 5</v>
      </c>
      <c r="R70" s="5"/>
      <c r="S70" s="5"/>
      <c r="T70" s="5"/>
      <c r="V70" s="5"/>
      <c r="W70" s="5"/>
      <c r="AA70" s="5"/>
      <c r="AB70" s="5"/>
      <c r="AD70" s="5"/>
    </row>
    <row r="71" spans="1:30" hidden="1">
      <c r="A71" t="s">
        <v>2540</v>
      </c>
      <c r="C71" s="2" t="str">
        <f>_xlfn.XLOOKUP(
tblQuestObjectives[[#This Row],[ObjectiveID]],
tblTargetStatus[TargetID],
tblTargetStatus[DisplayName],
""
)</f>
        <v>Find Goat in 6B</v>
      </c>
      <c r="D71" s="2" t="str">
        <f>_xlfn.XLOOKUP(tblQuestObjectives[[#This Row],[ObjectiveID]],tblTargets[TargetID],tblTargets[TargetType],"")</f>
        <v>STATE</v>
      </c>
      <c r="E71" s="5" t="s">
        <v>5772</v>
      </c>
      <c r="F71" s="2" t="b">
        <f>NOT(
    _xlfn.XLOOKUP(
        tblQuestObjectives[[#This Row],[ObjectiveID]],
        tblTargetStatus[TargetID],
        tblTargetStatus[PlayerCompleted],
        FALSE
    )
)</f>
        <v>1</v>
      </c>
      <c r="G71" s="2" t="b">
        <f>_xlfn.LET(
_xlpm.acceptedID,_xlfn.TEXTBEFORE(tblQuestObjectives[[#This Row],[QuestTargetID]],".finished")&amp;".accepted",
_xlfn.XLOOKUP(
_xlpm.acceptedID,
tblTargetStatus[TargetID],
tblTargetStatus[PlayerCompleted],
FALSE
)
)</f>
        <v>0</v>
      </c>
      <c r="H71" s="2" t="str">
        <f>_xlfn.LET(
    _xlpm.name,
    _xlfn.XLOOKUP(
        tblQuestObjectives[[#This Row],[QuestTargetID]],
        tblTargetStatus[TargetID],
        tblTargetStatus[DisplayName],
        ""
    ),
    SUBSTITUTE(
        SUBSTITUTE(_xlpm.name," Accepted",""),
        " Finished",""
    )
)</f>
        <v>The Ordinary Days of an Adventurer Chapter 1</v>
      </c>
      <c r="R71" s="5"/>
      <c r="S71" s="5"/>
      <c r="T71" s="5"/>
      <c r="V71" s="5"/>
      <c r="W71" s="5"/>
      <c r="AA71" s="5"/>
      <c r="AB71" s="5"/>
    </row>
    <row r="72" spans="1:30" ht="29" hidden="1">
      <c r="A72" s="2" t="s">
        <v>2544</v>
      </c>
      <c r="C72" s="2" t="str">
        <f>_xlfn.XLOOKUP(
tblQuestObjectives[[#This Row],[ObjectiveID]],
tblTargetStatus[TargetID],
tblTargetStatus[DisplayName],
""
)</f>
        <v>Obtain the Red Diamond in 6A</v>
      </c>
      <c r="D72" s="2" t="str">
        <f>_xlfn.XLOOKUP(tblQuestObjectives[[#This Row],[ObjectiveID]],tblTargets[TargetID],tblTargets[TargetType],"")</f>
        <v>STATE</v>
      </c>
      <c r="E72" s="5" t="s">
        <v>5671</v>
      </c>
      <c r="F72" s="2" t="b">
        <f>NOT(
    _xlfn.XLOOKUP(
        tblQuestObjectives[[#This Row],[ObjectiveID]],
        tblTargetStatus[TargetID],
        tblTargetStatus[PlayerCompleted],
        FALSE
    )
)</f>
        <v>1</v>
      </c>
      <c r="G72" s="2" t="b">
        <f>_xlfn.LET(
_xlpm.acceptedID,_xlfn.TEXTBEFORE(tblQuestObjectives[[#This Row],[QuestTargetID]],".finished")&amp;".accepted",
_xlfn.XLOOKUP(
_xlpm.acceptedID,
tblTargetStatus[TargetID],
tblTargetStatus[PlayerCompleted],
FALSE
)
)</f>
        <v>0</v>
      </c>
      <c r="H72" s="2" t="str">
        <f>_xlfn.LET(
    _xlpm.name,
    _xlfn.XLOOKUP(
        tblQuestObjectives[[#This Row],[QuestTargetID]],
        tblTargetStatus[TargetID],
        tblTargetStatus[DisplayName],
        ""
    ),
    SUBSTITUTE(
        SUBSTITUTE(_xlpm.name," Accepted",""),
        " Finished",""
    )
)</f>
        <v>The Ordinary Days of an Adventurer Chapter 3</v>
      </c>
      <c r="R72" s="5"/>
      <c r="S72" s="5"/>
      <c r="T72" s="5"/>
      <c r="V72" s="5"/>
      <c r="W72" s="5"/>
      <c r="AA72" s="5"/>
      <c r="AB72" s="5"/>
      <c r="AD72" s="5"/>
    </row>
    <row r="73" spans="1:30" ht="29" hidden="1">
      <c r="A73" s="2" t="s">
        <v>2544</v>
      </c>
      <c r="C73" s="2" t="str">
        <f>_xlfn.XLOOKUP(
tblQuestObjectives[[#This Row],[ObjectiveID]],
tblTargetStatus[TargetID],
tblTargetStatus[DisplayName],
""
)</f>
        <v>Obtain the Red Diamond in 6B</v>
      </c>
      <c r="D73" s="2" t="str">
        <f>_xlfn.XLOOKUP(tblQuestObjectives[[#This Row],[ObjectiveID]],tblTargets[TargetID],tblTargets[TargetType],"")</f>
        <v>STATE</v>
      </c>
      <c r="E73" s="5" t="s">
        <v>5672</v>
      </c>
      <c r="F73" s="2" t="b">
        <f>NOT(
    _xlfn.XLOOKUP(
        tblQuestObjectives[[#This Row],[ObjectiveID]],
        tblTargetStatus[TargetID],
        tblTargetStatus[PlayerCompleted],
        FALSE
    )
)</f>
        <v>1</v>
      </c>
      <c r="G73" s="2" t="b">
        <f>_xlfn.LET(
_xlpm.acceptedID,_xlfn.TEXTBEFORE(tblQuestObjectives[[#This Row],[QuestTargetID]],".finished")&amp;".accepted",
_xlfn.XLOOKUP(
_xlpm.acceptedID,
tblTargetStatus[TargetID],
tblTargetStatus[PlayerCompleted],
FALSE
)
)</f>
        <v>0</v>
      </c>
      <c r="H73" s="2" t="str">
        <f>_xlfn.LET(
    _xlpm.name,
    _xlfn.XLOOKUP(
        tblQuestObjectives[[#This Row],[QuestTargetID]],
        tblTargetStatus[TargetID],
        tblTargetStatus[DisplayName],
        ""
    ),
    SUBSTITUTE(
        SUBSTITUTE(_xlpm.name," Accepted",""),
        " Finished",""
    )
)</f>
        <v>The Ordinary Days of an Adventurer Chapter 3</v>
      </c>
      <c r="R73" s="5"/>
      <c r="S73" s="5"/>
      <c r="T73" s="5"/>
      <c r="U73" s="5"/>
      <c r="V73" s="5"/>
      <c r="W73" s="5"/>
      <c r="X73" s="5"/>
      <c r="AA73" s="5"/>
      <c r="AB73" s="5"/>
    </row>
    <row r="74" spans="1:30" ht="29" hidden="1">
      <c r="A74" s="2" t="s">
        <v>2544</v>
      </c>
      <c r="C74" s="2" t="str">
        <f>_xlfn.XLOOKUP(
tblQuestObjectives[[#This Row],[ObjectiveID]],
tblTargetStatus[TargetID],
tblTargetStatus[DisplayName],
""
)</f>
        <v>Obtain the Red Diamond in 6C</v>
      </c>
      <c r="D74" s="2" t="str">
        <f>_xlfn.XLOOKUP(tblQuestObjectives[[#This Row],[ObjectiveID]],tblTargets[TargetID],tblTargets[TargetType],"")</f>
        <v>STATE</v>
      </c>
      <c r="E74" s="5" t="s">
        <v>5673</v>
      </c>
      <c r="F74" s="2" t="b">
        <f>NOT(
    _xlfn.XLOOKUP(
        tblQuestObjectives[[#This Row],[ObjectiveID]],
        tblTargetStatus[TargetID],
        tblTargetStatus[PlayerCompleted],
        FALSE
    )
)</f>
        <v>1</v>
      </c>
      <c r="G74" s="2" t="b">
        <f>_xlfn.LET(
_xlpm.acceptedID,_xlfn.TEXTBEFORE(tblQuestObjectives[[#This Row],[QuestTargetID]],".finished")&amp;".accepted",
_xlfn.XLOOKUP(
_xlpm.acceptedID,
tblTargetStatus[TargetID],
tblTargetStatus[PlayerCompleted],
FALSE
)
)</f>
        <v>0</v>
      </c>
      <c r="H74" s="2" t="str">
        <f>_xlfn.LET(
    _xlpm.name,
    _xlfn.XLOOKUP(
        tblQuestObjectives[[#This Row],[QuestTargetID]],
        tblTargetStatus[TargetID],
        tblTargetStatus[DisplayName],
        ""
    ),
    SUBSTITUTE(
        SUBSTITUTE(_xlpm.name," Accepted",""),
        " Finished",""
    )
)</f>
        <v>The Ordinary Days of an Adventurer Chapter 3</v>
      </c>
      <c r="R74" s="5"/>
      <c r="S74" s="5"/>
      <c r="T74" s="5"/>
      <c r="U74" s="5"/>
      <c r="V74" s="5"/>
      <c r="W74" s="5"/>
      <c r="X74" s="5"/>
      <c r="AA74" s="5"/>
      <c r="AB74" s="5"/>
    </row>
    <row r="75" spans="1:30" hidden="1">
      <c r="A75" s="2" t="s">
        <v>2546</v>
      </c>
      <c r="C75" s="2" t="str">
        <f>_xlfn.XLOOKUP(
tblQuestObjectives[[#This Row],[ObjectiveID]],
tblTargetStatus[TargetID],
tblTargetStatus[DisplayName],
""
)</f>
        <v>Craft sword 4+</v>
      </c>
      <c r="D75" s="2" t="str">
        <f>_xlfn.XLOOKUP(tblQuestObjectives[[#This Row],[ObjectiveID]],tblTargets[TargetID],tblTargets[TargetType],"")</f>
        <v>STATE</v>
      </c>
      <c r="E75" s="5" t="s">
        <v>5677</v>
      </c>
      <c r="F75" s="2" t="b">
        <f>NOT(
    _xlfn.XLOOKUP(
        tblQuestObjectives[[#This Row],[ObjectiveID]],
        tblTargetStatus[TargetID],
        tblTargetStatus[PlayerCompleted],
        FALSE
    )
)</f>
        <v>1</v>
      </c>
      <c r="G75" s="2" t="b">
        <f>_xlfn.LET(
_xlpm.acceptedID,_xlfn.TEXTBEFORE(tblQuestObjectives[[#This Row],[QuestTargetID]],".finished")&amp;".accepted",
_xlfn.XLOOKUP(
_xlpm.acceptedID,
tblTargetStatus[TargetID],
tblTargetStatus[PlayerCompleted],
FALSE
)
)</f>
        <v>0</v>
      </c>
      <c r="H75" s="2" t="str">
        <f>_xlfn.LET(
    _xlpm.name,
    _xlfn.XLOOKUP(
        tblQuestObjectives[[#This Row],[QuestTargetID]],
        tblTargetStatus[TargetID],
        tblTargetStatus[DisplayName],
        ""
    ),
    SUBSTITUTE(
        SUBSTITUTE(_xlpm.name," Accepted",""),
        " Finished",""
    )
)</f>
        <v>The Ordinary Days of an Adventurer Chapter 4</v>
      </c>
      <c r="R75" s="5"/>
      <c r="S75" s="5"/>
      <c r="T75" s="5"/>
      <c r="U75" s="5"/>
      <c r="V75" s="5"/>
      <c r="W75" s="5"/>
      <c r="X75" s="5"/>
      <c r="AA75" s="5"/>
      <c r="AB75" s="5"/>
    </row>
    <row r="76" spans="1:30" hidden="1">
      <c r="A76" s="2" t="s">
        <v>2546</v>
      </c>
      <c r="C76" s="2" t="str">
        <f>_xlfn.XLOOKUP(
tblQuestObjectives[[#This Row],[ObjectiveID]],
tblTargetStatus[TargetID],
tblTargetStatus[DisplayName],
""
)</f>
        <v>Craft Shield 4+</v>
      </c>
      <c r="D76" s="2" t="str">
        <f>_xlfn.XLOOKUP(tblQuestObjectives[[#This Row],[ObjectiveID]],tblTargets[TargetID],tblTargets[TargetType],"")</f>
        <v>STATE</v>
      </c>
      <c r="E76" s="5" t="s">
        <v>5678</v>
      </c>
      <c r="F76" s="2" t="b">
        <f>NOT(
    _xlfn.XLOOKUP(
        tblQuestObjectives[[#This Row],[ObjectiveID]],
        tblTargetStatus[TargetID],
        tblTargetStatus[PlayerCompleted],
        FALSE
    )
)</f>
        <v>1</v>
      </c>
      <c r="G76" s="2" t="b">
        <f>_xlfn.LET(
_xlpm.acceptedID,_xlfn.TEXTBEFORE(tblQuestObjectives[[#This Row],[QuestTargetID]],".finished")&amp;".accepted",
_xlfn.XLOOKUP(
_xlpm.acceptedID,
tblTargetStatus[TargetID],
tblTargetStatus[PlayerCompleted],
FALSE
)
)</f>
        <v>0</v>
      </c>
      <c r="H76" s="2" t="str">
        <f>_xlfn.LET(
    _xlpm.name,
    _xlfn.XLOOKUP(
        tblQuestObjectives[[#This Row],[QuestTargetID]],
        tblTargetStatus[TargetID],
        tblTargetStatus[DisplayName],
        ""
    ),
    SUBSTITUTE(
        SUBSTITUTE(_xlpm.name," Accepted",""),
        " Finished",""
    )
)</f>
        <v>The Ordinary Days of an Adventurer Chapter 4</v>
      </c>
      <c r="R76" s="5"/>
      <c r="S76" s="5"/>
      <c r="T76" s="5"/>
      <c r="U76" s="5"/>
      <c r="V76" s="5"/>
      <c r="W76" s="5"/>
      <c r="X76" s="5"/>
      <c r="AA76" s="5"/>
      <c r="AB76" s="5"/>
    </row>
    <row r="77" spans="1:30" hidden="1">
      <c r="A77" s="2" t="s">
        <v>2546</v>
      </c>
      <c r="C77" s="2" t="str">
        <f>_xlfn.XLOOKUP(
tblQuestObjectives[[#This Row],[ObjectiveID]],
tblTargetStatus[TargetID],
tblTargetStatus[DisplayName],
""
)</f>
        <v>Craft Armor 4+</v>
      </c>
      <c r="D77" s="2" t="str">
        <f>_xlfn.XLOOKUP(tblQuestObjectives[[#This Row],[ObjectiveID]],tblTargets[TargetID],tblTargets[TargetType],"")</f>
        <v>STATE</v>
      </c>
      <c r="E77" s="5" t="s">
        <v>5679</v>
      </c>
      <c r="F77" s="2" t="b">
        <f>NOT(
    _xlfn.XLOOKUP(
        tblQuestObjectives[[#This Row],[ObjectiveID]],
        tblTargetStatus[TargetID],
        tblTargetStatus[PlayerCompleted],
        FALSE
    )
)</f>
        <v>1</v>
      </c>
      <c r="G77" s="2" t="b">
        <f>_xlfn.LET(
_xlpm.acceptedID,_xlfn.TEXTBEFORE(tblQuestObjectives[[#This Row],[QuestTargetID]],".finished")&amp;".accepted",
_xlfn.XLOOKUP(
_xlpm.acceptedID,
tblTargetStatus[TargetID],
tblTargetStatus[PlayerCompleted],
FALSE
)
)</f>
        <v>0</v>
      </c>
      <c r="H77" s="2" t="str">
        <f>_xlfn.LET(
    _xlpm.name,
    _xlfn.XLOOKUP(
        tblQuestObjectives[[#This Row],[QuestTargetID]],
        tblTargetStatus[TargetID],
        tblTargetStatus[DisplayName],
        ""
    ),
    SUBSTITUTE(
        SUBSTITUTE(_xlpm.name," Accepted",""),
        " Finished",""
    )
)</f>
        <v>The Ordinary Days of an Adventurer Chapter 4</v>
      </c>
      <c r="R77" s="5"/>
      <c r="S77" s="5"/>
      <c r="T77" s="5"/>
      <c r="U77" s="5"/>
      <c r="V77" s="5"/>
      <c r="W77" s="5"/>
      <c r="X77" s="5"/>
      <c r="AA77" s="5"/>
      <c r="AB77" s="5"/>
    </row>
    <row r="78" spans="1:30" ht="29" hidden="1">
      <c r="A78" s="2" t="s">
        <v>2550</v>
      </c>
      <c r="C78" s="2" t="str">
        <f>_xlfn.XLOOKUP(
tblQuestObjectives[[#This Row],[ObjectiveID]],
tblTargetStatus[TargetID],
tblTargetStatus[DisplayName],
""
)</f>
        <v>Deliver Cheese to Rat in 6B</v>
      </c>
      <c r="D78" s="2" t="str">
        <f>_xlfn.XLOOKUP(tblQuestObjectives[[#This Row],[ObjectiveID]],tblTargets[TargetID],tblTargets[TargetType],"")</f>
        <v>STATE</v>
      </c>
      <c r="E78" s="5" t="s">
        <v>5680</v>
      </c>
      <c r="F78" s="2" t="b">
        <f>NOT(
    _xlfn.XLOOKUP(
        tblQuestObjectives[[#This Row],[ObjectiveID]],
        tblTargetStatus[TargetID],
        tblTargetStatus[PlayerCompleted],
        FALSE
    )
)</f>
        <v>1</v>
      </c>
      <c r="G78" s="2" t="b">
        <f>_xlfn.LET(
_xlpm.acceptedID,_xlfn.TEXTBEFORE(tblQuestObjectives[[#This Row],[QuestTargetID]],".finished")&amp;".accepted",
_xlfn.XLOOKUP(
_xlpm.acceptedID,
tblTargetStatus[TargetID],
tblTargetStatus[PlayerCompleted],
FALSE
)
)</f>
        <v>0</v>
      </c>
      <c r="H78" s="2" t="str">
        <f>_xlfn.LET(
    _xlpm.name,
    _xlfn.XLOOKUP(
        tblQuestObjectives[[#This Row],[QuestTargetID]],
        tblTargetStatus[TargetID],
        tblTargetStatus[DisplayName],
        ""
    ),
    SUBSTITUTE(
        SUBSTITUTE(_xlpm.name," Accepted",""),
        " Finished",""
    )
)</f>
        <v>The Ordinary Days of an Adventurer Chapter 6</v>
      </c>
      <c r="R78" s="5"/>
      <c r="S78" s="5"/>
      <c r="T78" s="5"/>
      <c r="U78" s="5"/>
      <c r="V78" s="5"/>
      <c r="W78" s="5"/>
      <c r="X78" s="5"/>
      <c r="AA78" s="5"/>
      <c r="AB78" s="5"/>
    </row>
    <row r="79" spans="1:30" ht="29" hidden="1">
      <c r="A79" s="2" t="s">
        <v>2552</v>
      </c>
      <c r="C79" s="2" t="str">
        <f>_xlfn.XLOOKUP(
tblQuestObjectives[[#This Row],[ObjectiveID]],
tblTargetStatus[TargetID],
tblTargetStatus[DisplayName],
""
)</f>
        <v>Complete Dungeon 6C</v>
      </c>
      <c r="D79" s="2" t="str">
        <f>_xlfn.XLOOKUP(tblQuestObjectives[[#This Row],[ObjectiveID]],tblTargets[TargetID],tblTargets[TargetType],"")</f>
        <v>STATE</v>
      </c>
      <c r="E79" t="s">
        <v>5685</v>
      </c>
      <c r="F79" s="2" t="b">
        <f>NOT(
    _xlfn.XLOOKUP(
        tblQuestObjectives[[#This Row],[ObjectiveID]],
        tblTargetStatus[TargetID],
        tblTargetStatus[PlayerCompleted],
        FALSE
    )
)</f>
        <v>1</v>
      </c>
      <c r="G79" s="2" t="b">
        <f>_xlfn.LET(
_xlpm.acceptedID,_xlfn.TEXTBEFORE(tblQuestObjectives[[#This Row],[QuestTargetID]],".finished")&amp;".accepted",
_xlfn.XLOOKUP(
_xlpm.acceptedID,
tblTargetStatus[TargetID],
tblTargetStatus[PlayerCompleted],
FALSE
)
)</f>
        <v>0</v>
      </c>
      <c r="H79" s="2" t="str">
        <f>_xlfn.LET(
    _xlpm.name,
    _xlfn.XLOOKUP(
        tblQuestObjectives[[#This Row],[QuestTargetID]],
        tblTargetStatus[TargetID],
        tblTargetStatus[DisplayName],
        ""
    ),
    SUBSTITUTE(
        SUBSTITUTE(_xlpm.name," Accepted",""),
        " Finished",""
    )
)</f>
        <v>The Ordinary Days of an Adventurer Chapter 7</v>
      </c>
      <c r="R79" s="5"/>
      <c r="S79" s="5"/>
      <c r="T79" s="5"/>
      <c r="V79" s="5"/>
      <c r="W79" s="5"/>
      <c r="AA79" s="5"/>
      <c r="AB79" s="5"/>
      <c r="AD79" s="5"/>
    </row>
    <row r="80" spans="1:30" ht="29" hidden="1">
      <c r="A80" s="2" t="s">
        <v>2554</v>
      </c>
      <c r="C80" s="2" t="str">
        <f>_xlfn.XLOOKUP(
tblQuestObjectives[[#This Row],[ObjectiveID]],
tblTargetStatus[TargetID],
tblTargetStatus[DisplayName],
""
)</f>
        <v>Visit Paris in the Airship</v>
      </c>
      <c r="D80" s="2" t="str">
        <f>_xlfn.XLOOKUP(tblQuestObjectives[[#This Row],[ObjectiveID]],tblTargets[TargetID],tblTargets[TargetType],"")</f>
        <v>STATE</v>
      </c>
      <c r="E80" s="56" t="s">
        <v>5688</v>
      </c>
      <c r="F80" s="2" t="b">
        <f>NOT(
    _xlfn.XLOOKUP(
        tblQuestObjectives[[#This Row],[ObjectiveID]],
        tblTargetStatus[TargetID],
        tblTargetStatus[PlayerCompleted],
        FALSE
    )
)</f>
        <v>1</v>
      </c>
      <c r="G80" s="2" t="b">
        <f>_xlfn.LET(
_xlpm.acceptedID,_xlfn.TEXTBEFORE(tblQuestObjectives[[#This Row],[QuestTargetID]],".finished")&amp;".accepted",
_xlfn.XLOOKUP(
_xlpm.acceptedID,
tblTargetStatus[TargetID],
tblTargetStatus[PlayerCompleted],
FALSE
)
)</f>
        <v>0</v>
      </c>
      <c r="H80" s="2" t="str">
        <f>_xlfn.LET(
    _xlpm.name,
    _xlfn.XLOOKUP(
        tblQuestObjectives[[#This Row],[QuestTargetID]],
        tblTargetStatus[TargetID],
        tblTargetStatus[DisplayName],
        ""
    ),
    SUBSTITUTE(
        SUBSTITUTE(_xlpm.name," Accepted",""),
        " Finished",""
    )
)</f>
        <v>The Ordinary Days of an Adventurer Chapter 8</v>
      </c>
      <c r="R80" s="5"/>
      <c r="S80" s="5"/>
      <c r="T80" s="5"/>
      <c r="U80" s="5"/>
      <c r="V80" s="5"/>
      <c r="W80" s="5"/>
      <c r="X80" s="5"/>
      <c r="AA80" s="5"/>
      <c r="AB80" s="5"/>
      <c r="AD80" s="5"/>
    </row>
    <row r="81" spans="1:30">
      <c r="A81" t="s">
        <v>2482</v>
      </c>
      <c r="C81" s="2" t="str">
        <f>_xlfn.XLOOKUP(
tblQuestObjectives[[#This Row],[ObjectiveID]],
tblTargetStatus[TargetID],
tblTargetStatus[DisplayName],
""
)</f>
        <v>Find Jade Gate in 2C</v>
      </c>
      <c r="D81" s="2" t="str">
        <f>_xlfn.XLOOKUP(tblQuestObjectives[[#This Row],[ObjectiveID]],tblTargets[TargetID],tblTargets[TargetType],"")</f>
        <v>STATE</v>
      </c>
      <c r="E81" s="56" t="s">
        <v>5690</v>
      </c>
      <c r="F81" s="2" t="b">
        <f>NOT(
    _xlfn.XLOOKUP(
        tblQuestObjectives[[#This Row],[ObjectiveID]],
        tblTargetStatus[TargetID],
        tblTargetStatus[PlayerCompleted],
        FALSE
    )
)</f>
        <v>1</v>
      </c>
      <c r="G81" s="2" t="b">
        <f>_xlfn.LET(
_xlpm.acceptedID,_xlfn.TEXTBEFORE(tblQuestObjectives[[#This Row],[QuestTargetID]],".finished")&amp;".accepted",
_xlfn.XLOOKUP(
_xlpm.acceptedID,
tblTargetStatus[TargetID],
tblTargetStatus[PlayerCompleted],
FALSE
)
)</f>
        <v>0</v>
      </c>
      <c r="H81" s="2" t="str">
        <f>_xlfn.LET(
    _xlpm.name,
    _xlfn.XLOOKUP(
        tblQuestObjectives[[#This Row],[QuestTargetID]],
        tblTargetStatus[TargetID],
        tblTargetStatus[DisplayName],
        ""
    ),
    SUBSTITUTE(
        SUBSTITUTE(_xlpm.name," Accepted",""),
        " Finished",""
    )
)</f>
        <v>Once Upon a Forest Chapter 1</v>
      </c>
      <c r="R81" s="5"/>
      <c r="S81" s="5"/>
      <c r="T81" s="5"/>
      <c r="V81" s="5"/>
      <c r="W81" s="5"/>
      <c r="AA81" s="5"/>
      <c r="AB81" s="5"/>
    </row>
    <row r="82" spans="1:30">
      <c r="A82" t="s">
        <v>2484</v>
      </c>
      <c r="C82" s="2" t="str">
        <f>_xlfn.XLOOKUP(
tblQuestObjectives[[#This Row],[ObjectiveID]],
tblTargetStatus[TargetID],
tblTargetStatus[DisplayName],
""
)</f>
        <v>Complete F1 for the first time</v>
      </c>
      <c r="D82" s="2" t="str">
        <f>_xlfn.XLOOKUP(tblQuestObjectives[[#This Row],[ObjectiveID]],tblTargets[TargetID],tblTargets[TargetType],"")</f>
        <v>STATE</v>
      </c>
      <c r="E82" t="s">
        <v>5774</v>
      </c>
      <c r="F82" s="2" t="b">
        <f>NOT(
    _xlfn.XLOOKUP(
        tblQuestObjectives[[#This Row],[ObjectiveID]],
        tblTargetStatus[TargetID],
        tblTargetStatus[PlayerCompleted],
        FALSE
    )
)</f>
        <v>1</v>
      </c>
      <c r="G82" s="2" t="b">
        <f>_xlfn.LET(
_xlpm.acceptedID,_xlfn.TEXTBEFORE(tblQuestObjectives[[#This Row],[QuestTargetID]],".finished")&amp;".accepted",
_xlfn.XLOOKUP(
_xlpm.acceptedID,
tblTargetStatus[TargetID],
tblTargetStatus[PlayerCompleted],
FALSE
)
)</f>
        <v>0</v>
      </c>
      <c r="H82" s="2" t="str">
        <f>_xlfn.LET(
    _xlpm.name,
    _xlfn.XLOOKUP(
        tblQuestObjectives[[#This Row],[QuestTargetID]],
        tblTargetStatus[TargetID],
        tblTargetStatus[DisplayName],
        ""
    ),
    SUBSTITUTE(
        SUBSTITUTE(_xlpm.name," Accepted",""),
        " Finished",""
    )
)</f>
        <v>Once Upon a Forest Chapter 2</v>
      </c>
      <c r="R82" s="5"/>
      <c r="S82" s="5"/>
      <c r="T82" s="5"/>
      <c r="U82" s="5"/>
      <c r="V82" s="5"/>
      <c r="W82" s="5"/>
      <c r="X82" s="5"/>
      <c r="AA82" s="5"/>
      <c r="AB82" s="5"/>
    </row>
    <row r="83" spans="1:30">
      <c r="A83" t="s">
        <v>2486</v>
      </c>
      <c r="C83" s="2" t="str">
        <f>_xlfn.XLOOKUP(
tblQuestObjectives[[#This Row],[ObjectiveID]],
tblTargetStatus[TargetID],
tblTargetStatus[DisplayName],
""
)</f>
        <v>Obtain 8 MALU</v>
      </c>
      <c r="D83" s="2" t="str">
        <f>_xlfn.XLOOKUP(tblQuestObjectives[[#This Row],[ObjectiveID]],tblTargets[TargetID],tblTargets[TargetType],"")</f>
        <v>STATE</v>
      </c>
      <c r="E83" t="s">
        <v>5691</v>
      </c>
      <c r="F83" s="2" t="b">
        <f>NOT(
    _xlfn.XLOOKUP(
        tblQuestObjectives[[#This Row],[ObjectiveID]],
        tblTargetStatus[TargetID],
        tblTargetStatus[PlayerCompleted],
        FALSE
    )
)</f>
        <v>1</v>
      </c>
      <c r="G83" s="2" t="b">
        <f>_xlfn.LET(
_xlpm.acceptedID,_xlfn.TEXTBEFORE(tblQuestObjectives[[#This Row],[QuestTargetID]],".finished")&amp;".accepted",
_xlfn.XLOOKUP(
_xlpm.acceptedID,
tblTargetStatus[TargetID],
tblTargetStatus[PlayerCompleted],
FALSE
)
)</f>
        <v>0</v>
      </c>
      <c r="H83" s="2" t="str">
        <f>_xlfn.LET(
    _xlpm.name,
    _xlfn.XLOOKUP(
        tblQuestObjectives[[#This Row],[QuestTargetID]],
        tblTargetStatus[TargetID],
        tblTargetStatus[DisplayName],
        ""
    ),
    SUBSTITUTE(
        SUBSTITUTE(_xlpm.name," Accepted",""),
        " Finished",""
    )
)</f>
        <v>Once Upon a Forest Chapter 3</v>
      </c>
      <c r="R83" s="5"/>
      <c r="S83" s="5"/>
      <c r="T83" s="5"/>
      <c r="V83" s="5"/>
      <c r="W83" s="5"/>
      <c r="AA83" s="5"/>
      <c r="AB83" s="5"/>
      <c r="AD83" s="5"/>
    </row>
    <row r="84" spans="1:30">
      <c r="A84" t="s">
        <v>2488</v>
      </c>
      <c r="C84" s="2" t="str">
        <f>_xlfn.XLOOKUP(
tblQuestObjectives[[#This Row],[ObjectiveID]],
tblTargetStatus[TargetID],
tblTargetStatus[DisplayName],
""
)</f>
        <v>Discover the gate in 3C to F2</v>
      </c>
      <c r="D84" s="2" t="str">
        <f>_xlfn.XLOOKUP(tblQuestObjectives[[#This Row],[ObjectiveID]],tblTargets[TargetID],tblTargets[TargetType],"")</f>
        <v>STATE</v>
      </c>
      <c r="E84" s="5" t="s">
        <v>6100</v>
      </c>
      <c r="F84" s="2" t="b">
        <f>NOT(
    _xlfn.XLOOKUP(
        tblQuestObjectives[[#This Row],[ObjectiveID]],
        tblTargetStatus[TargetID],
        tblTargetStatus[PlayerCompleted],
        FALSE
    )
)</f>
        <v>1</v>
      </c>
      <c r="G84" s="2" t="b">
        <f>_xlfn.LET(
_xlpm.acceptedID,_xlfn.TEXTBEFORE(tblQuestObjectives[[#This Row],[QuestTargetID]],".finished")&amp;".accepted",
_xlfn.XLOOKUP(
_xlpm.acceptedID,
tblTargetStatus[TargetID],
tblTargetStatus[PlayerCompleted],
FALSE
)
)</f>
        <v>0</v>
      </c>
      <c r="H84" s="2" t="str">
        <f>_xlfn.LET(
    _xlpm.name,
    _xlfn.XLOOKUP(
        tblQuestObjectives[[#This Row],[QuestTargetID]],
        tblTargetStatus[TargetID],
        tblTargetStatus[DisplayName],
        ""
    ),
    SUBSTITUTE(
        SUBSTITUTE(_xlpm.name," Accepted",""),
        " Finished",""
    )
)</f>
        <v>Once Upon a Forest Chapter 4</v>
      </c>
      <c r="R84" s="5"/>
      <c r="S84" s="5"/>
      <c r="T84" s="5"/>
      <c r="V84" s="5"/>
      <c r="W84" s="5"/>
      <c r="AA84" s="5"/>
      <c r="AB84" s="5"/>
      <c r="AD84" s="5"/>
    </row>
    <row r="85" spans="1:30">
      <c r="A85" t="s">
        <v>2488</v>
      </c>
      <c r="C85" s="2" t="str">
        <f>_xlfn.XLOOKUP(
tblQuestObjectives[[#This Row],[ObjectiveID]],
tblTargetStatus[TargetID],
tblTargetStatus[DisplayName],
""
)</f>
        <v>Discover the gate in 4C to F3</v>
      </c>
      <c r="D85" s="2" t="str">
        <f>_xlfn.XLOOKUP(tblQuestObjectives[[#This Row],[ObjectiveID]],tblTargets[TargetID],tblTargets[TargetType],"")</f>
        <v>STATE</v>
      </c>
      <c r="E85" s="5" t="s">
        <v>6101</v>
      </c>
      <c r="F85" s="2" t="b">
        <f>NOT(
    _xlfn.XLOOKUP(
        tblQuestObjectives[[#This Row],[ObjectiveID]],
        tblTargetStatus[TargetID],
        tblTargetStatus[PlayerCompleted],
        FALSE
    )
)</f>
        <v>1</v>
      </c>
      <c r="G85" s="2" t="b">
        <f>_xlfn.LET(
_xlpm.acceptedID,_xlfn.TEXTBEFORE(tblQuestObjectives[[#This Row],[QuestTargetID]],".finished")&amp;".accepted",
_xlfn.XLOOKUP(
_xlpm.acceptedID,
tblTargetStatus[TargetID],
tblTargetStatus[PlayerCompleted],
FALSE
)
)</f>
        <v>0</v>
      </c>
      <c r="H85" s="2" t="str">
        <f>_xlfn.LET(
    _xlpm.name,
    _xlfn.XLOOKUP(
        tblQuestObjectives[[#This Row],[QuestTargetID]],
        tblTargetStatus[TargetID],
        tblTargetStatus[DisplayName],
        ""
    ),
    SUBSTITUTE(
        SUBSTITUTE(_xlpm.name," Accepted",""),
        " Finished",""
    )
)</f>
        <v>Once Upon a Forest Chapter 4</v>
      </c>
      <c r="R85" s="5"/>
      <c r="S85" s="5"/>
      <c r="T85" s="5"/>
      <c r="V85" s="5"/>
      <c r="W85" s="5"/>
      <c r="X85" s="5"/>
      <c r="Y85" s="5"/>
      <c r="Z85" s="5"/>
      <c r="AA85" s="5"/>
      <c r="AB85" s="5"/>
      <c r="AD85" s="5"/>
    </row>
    <row r="86" spans="1:30">
      <c r="A86" t="s">
        <v>2488</v>
      </c>
      <c r="C86" s="2" t="str">
        <f>_xlfn.XLOOKUP(
tblQuestObjectives[[#This Row],[ObjectiveID]],
tblTargetStatus[TargetID],
tblTargetStatus[DisplayName],
""
)</f>
        <v>Discover the gate in 5C to F4</v>
      </c>
      <c r="D86" s="2" t="str">
        <f>_xlfn.XLOOKUP(tblQuestObjectives[[#This Row],[ObjectiveID]],tblTargets[TargetID],tblTargets[TargetType],"")</f>
        <v>STATE</v>
      </c>
      <c r="E86" s="5" t="s">
        <v>6102</v>
      </c>
      <c r="F86" s="2" t="b">
        <f>NOT(
    _xlfn.XLOOKUP(
        tblQuestObjectives[[#This Row],[ObjectiveID]],
        tblTargetStatus[TargetID],
        tblTargetStatus[PlayerCompleted],
        FALSE
    )
)</f>
        <v>1</v>
      </c>
      <c r="G86" s="2" t="b">
        <f>_xlfn.LET(
_xlpm.acceptedID,_xlfn.TEXTBEFORE(tblQuestObjectives[[#This Row],[QuestTargetID]],".finished")&amp;".accepted",
_xlfn.XLOOKUP(
_xlpm.acceptedID,
tblTargetStatus[TargetID],
tblTargetStatus[PlayerCompleted],
FALSE
)
)</f>
        <v>0</v>
      </c>
      <c r="H86" s="2" t="str">
        <f>_xlfn.LET(
    _xlpm.name,
    _xlfn.XLOOKUP(
        tblQuestObjectives[[#This Row],[QuestTargetID]],
        tblTargetStatus[TargetID],
        tblTargetStatus[DisplayName],
        ""
    ),
    SUBSTITUTE(
        SUBSTITUTE(_xlpm.name," Accepted",""),
        " Finished",""
    )
)</f>
        <v>Once Upon a Forest Chapter 4</v>
      </c>
      <c r="R86" s="5"/>
      <c r="S86" s="5"/>
      <c r="T86" s="5"/>
      <c r="V86" s="5"/>
      <c r="W86" s="5"/>
      <c r="X86" s="5"/>
      <c r="AA86" s="5"/>
      <c r="AB86" s="5"/>
      <c r="AD86" s="5"/>
    </row>
    <row r="87" spans="1:30">
      <c r="A87" t="s">
        <v>2492</v>
      </c>
      <c r="C87" s="2" t="str">
        <f>_xlfn.XLOOKUP(
tblQuestObjectives[[#This Row],[ObjectiveID]],
tblTargetStatus[TargetID],
tblTargetStatus[DisplayName],
""
)</f>
        <v>Alchemists Hut - Potion Of Mental Power</v>
      </c>
      <c r="D87" s="2" t="str">
        <f>_xlfn.XLOOKUP(tblQuestObjectives[[#This Row],[ObjectiveID]],tblTargets[TargetID],tblTargets[TargetType],"")</f>
        <v>TECH</v>
      </c>
      <c r="E87" t="s">
        <v>2102</v>
      </c>
      <c r="F87" s="2" t="b">
        <f>NOT(
    _xlfn.XLOOKUP(
        tblQuestObjectives[[#This Row],[ObjectiveID]],
        tblTargetStatus[TargetID],
        tblTargetStatus[PlayerCompleted],
        FALSE
    )
)</f>
        <v>1</v>
      </c>
      <c r="G87" s="2" t="b">
        <f>_xlfn.LET(
_xlpm.acceptedID,_xlfn.TEXTBEFORE(tblQuestObjectives[[#This Row],[QuestTargetID]],".finished")&amp;".accepted",
_xlfn.XLOOKUP(
_xlpm.acceptedID,
tblTargetStatus[TargetID],
tblTargetStatus[PlayerCompleted],
FALSE
)
)</f>
        <v>0</v>
      </c>
      <c r="H87" s="2" t="str">
        <f>_xlfn.LET(
    _xlpm.name,
    _xlfn.XLOOKUP(
        tblQuestObjectives[[#This Row],[QuestTargetID]],
        tblTargetStatus[TargetID],
        tblTargetStatus[DisplayName],
        ""
    ),
    SUBSTITUTE(
        SUBSTITUTE(_xlpm.name," Accepted",""),
        " Finished",""
    )
)</f>
        <v>Once Upon a Forest Chapter 6</v>
      </c>
      <c r="R87" s="5"/>
      <c r="S87" s="5"/>
      <c r="T87" s="5"/>
      <c r="V87" s="5"/>
      <c r="W87" s="5"/>
      <c r="X87" s="5"/>
      <c r="AA87" s="5"/>
      <c r="AB87" s="5"/>
      <c r="AD87" s="5"/>
    </row>
    <row r="88" spans="1:30">
      <c r="A88" t="s">
        <v>2492</v>
      </c>
      <c r="C88" s="2" t="str">
        <f>_xlfn.XLOOKUP(
tblQuestObjectives[[#This Row],[ObjectiveID]],
tblTargetStatus[TargetID],
tblTargetStatus[DisplayName],
""
)</f>
        <v>Craft Potion of Mental Power</v>
      </c>
      <c r="D88" s="2" t="str">
        <f>_xlfn.XLOOKUP(tblQuestObjectives[[#This Row],[ObjectiveID]],tblTargets[TargetID],tblTargets[TargetType],"")</f>
        <v>STATE</v>
      </c>
      <c r="E88" s="5" t="s">
        <v>5697</v>
      </c>
      <c r="F88" s="2" t="b">
        <f>NOT(
    _xlfn.XLOOKUP(
        tblQuestObjectives[[#This Row],[ObjectiveID]],
        tblTargetStatus[TargetID],
        tblTargetStatus[PlayerCompleted],
        FALSE
    )
)</f>
        <v>1</v>
      </c>
      <c r="G88" s="2" t="b">
        <f>_xlfn.LET(
_xlpm.acceptedID,_xlfn.TEXTBEFORE(tblQuestObjectives[[#This Row],[QuestTargetID]],".finished")&amp;".accepted",
_xlfn.XLOOKUP(
_xlpm.acceptedID,
tblTargetStatus[TargetID],
tblTargetStatus[PlayerCompleted],
FALSE
)
)</f>
        <v>0</v>
      </c>
      <c r="H88" s="2" t="str">
        <f>_xlfn.LET(
    _xlpm.name,
    _xlfn.XLOOKUP(
        tblQuestObjectives[[#This Row],[QuestTargetID]],
        tblTargetStatus[TargetID],
        tblTargetStatus[DisplayName],
        ""
    ),
    SUBSTITUTE(
        SUBSTITUTE(_xlpm.name," Accepted",""),
        " Finished",""
    )
)</f>
        <v>Once Upon a Forest Chapter 6</v>
      </c>
      <c r="R88" s="5"/>
      <c r="S88" s="5"/>
      <c r="T88" s="5"/>
      <c r="V88" s="5"/>
      <c r="W88" s="5"/>
      <c r="X88" s="5"/>
      <c r="AA88" s="5"/>
      <c r="AB88" s="5"/>
      <c r="AD88" s="5"/>
    </row>
    <row r="89" spans="1:30">
      <c r="A89" t="s">
        <v>2492</v>
      </c>
      <c r="C89" s="2" t="str">
        <f>_xlfn.XLOOKUP(
tblQuestObjectives[[#This Row],[ObjectiveID]],
tblTargetStatus[TargetID],
tblTargetStatus[DisplayName],
""
)</f>
        <v>Deliver Potion of Mental Power to F2</v>
      </c>
      <c r="D89" s="2" t="str">
        <f>_xlfn.XLOOKUP(tblQuestObjectives[[#This Row],[ObjectiveID]],tblTargets[TargetID],tblTargets[TargetType],"")</f>
        <v>STATE</v>
      </c>
      <c r="E89" s="5" t="s">
        <v>5922</v>
      </c>
      <c r="F89" s="2" t="b">
        <f>NOT(
    _xlfn.XLOOKUP(
        tblQuestObjectives[[#This Row],[ObjectiveID]],
        tblTargetStatus[TargetID],
        tblTargetStatus[PlayerCompleted],
        FALSE
    )
)</f>
        <v>1</v>
      </c>
      <c r="G89" s="2" t="b">
        <f>_xlfn.LET(
_xlpm.acceptedID,_xlfn.TEXTBEFORE(tblQuestObjectives[[#This Row],[QuestTargetID]],".finished")&amp;".accepted",
_xlfn.XLOOKUP(
_xlpm.acceptedID,
tblTargetStatus[TargetID],
tblTargetStatus[PlayerCompleted],
FALSE
)
)</f>
        <v>0</v>
      </c>
      <c r="H89" s="2" t="str">
        <f>_xlfn.LET(
    _xlpm.name,
    _xlfn.XLOOKUP(
        tblQuestObjectives[[#This Row],[QuestTargetID]],
        tblTargetStatus[TargetID],
        tblTargetStatus[DisplayName],
        ""
    ),
    SUBSTITUTE(
        SUBSTITUTE(_xlpm.name," Accepted",""),
        " Finished",""
    )
)</f>
        <v>Once Upon a Forest Chapter 6</v>
      </c>
      <c r="R89" s="5"/>
      <c r="S89" s="5"/>
      <c r="T89" s="5"/>
      <c r="V89" s="5"/>
      <c r="W89" s="5"/>
      <c r="X89" s="5"/>
      <c r="AA89" s="5"/>
      <c r="AB89" s="5"/>
      <c r="AD89" s="5"/>
    </row>
    <row r="90" spans="1:30">
      <c r="A90" t="s">
        <v>2498</v>
      </c>
      <c r="C90" s="2" t="str">
        <f>_xlfn.XLOOKUP(
tblQuestObjectives[[#This Row],[ObjectiveID]],
tblTargetStatus[TargetID],
tblTargetStatus[DisplayName],
""
)</f>
        <v>Obtain Hide</v>
      </c>
      <c r="D90" s="2" t="str">
        <f>_xlfn.XLOOKUP(tblQuestObjectives[[#This Row],[ObjectiveID]],tblTargets[TargetID],tblTargets[TargetType],"")</f>
        <v>STATE</v>
      </c>
      <c r="E90" s="5" t="s">
        <v>5700</v>
      </c>
      <c r="F90" s="2" t="b">
        <f>NOT(
    _xlfn.XLOOKUP(
        tblQuestObjectives[[#This Row],[ObjectiveID]],
        tblTargetStatus[TargetID],
        tblTargetStatus[PlayerCompleted],
        FALSE
    )
)</f>
        <v>1</v>
      </c>
      <c r="G90" s="2" t="b">
        <f>_xlfn.LET(
_xlpm.acceptedID,_xlfn.TEXTBEFORE(tblQuestObjectives[[#This Row],[QuestTargetID]],".finished")&amp;".accepted",
_xlfn.XLOOKUP(
_xlpm.acceptedID,
tblTargetStatus[TargetID],
tblTargetStatus[PlayerCompleted],
FALSE
)
)</f>
        <v>0</v>
      </c>
      <c r="H90" s="2" t="str">
        <f>_xlfn.LET(
    _xlpm.name,
    _xlfn.XLOOKUP(
        tblQuestObjectives[[#This Row],[QuestTargetID]],
        tblTargetStatus[TargetID],
        tblTargetStatus[DisplayName],
        ""
    ),
    SUBSTITUTE(
        SUBSTITUTE(_xlpm.name," Accepted",""),
        " Finished",""
    )
)</f>
        <v>Once Upon a Forest Chapter 9</v>
      </c>
      <c r="R90" s="5"/>
      <c r="S90" s="5"/>
      <c r="T90" s="5"/>
      <c r="V90" s="5"/>
      <c r="W90" s="5"/>
      <c r="X90" s="5"/>
      <c r="AA90" s="5"/>
      <c r="AB90" s="5"/>
      <c r="AD90" s="5"/>
    </row>
    <row r="91" spans="1:30">
      <c r="A91" t="s">
        <v>2498</v>
      </c>
      <c r="C91" s="2" t="str">
        <f>_xlfn.XLOOKUP(
tblQuestObjectives[[#This Row],[ObjectiveID]],
tblTargetStatus[TargetID],
tblTargetStatus[DisplayName],
""
)</f>
        <v>Obtain Titanium</v>
      </c>
      <c r="D91" s="2" t="str">
        <f>_xlfn.XLOOKUP(tblQuestObjectives[[#This Row],[ObjectiveID]],tblTargets[TargetID],tblTargets[TargetType],"")</f>
        <v>STATE</v>
      </c>
      <c r="E91" s="5" t="s">
        <v>5701</v>
      </c>
      <c r="F91" s="2" t="b">
        <f>NOT(
    _xlfn.XLOOKUP(
        tblQuestObjectives[[#This Row],[ObjectiveID]],
        tblTargetStatus[TargetID],
        tblTargetStatus[PlayerCompleted],
        FALSE
    )
)</f>
        <v>1</v>
      </c>
      <c r="G91" s="2" t="b">
        <f>_xlfn.LET(
_xlpm.acceptedID,_xlfn.TEXTBEFORE(tblQuestObjectives[[#This Row],[QuestTargetID]],".finished")&amp;".accepted",
_xlfn.XLOOKUP(
_xlpm.acceptedID,
tblTargetStatus[TargetID],
tblTargetStatus[PlayerCompleted],
FALSE
)
)</f>
        <v>0</v>
      </c>
      <c r="H91" s="2" t="str">
        <f>_xlfn.LET(
    _xlpm.name,
    _xlfn.XLOOKUP(
        tblQuestObjectives[[#This Row],[QuestTargetID]],
        tblTargetStatus[TargetID],
        tblTargetStatus[DisplayName],
        ""
    ),
    SUBSTITUTE(
        SUBSTITUTE(_xlpm.name," Accepted",""),
        " Finished",""
    )
)</f>
        <v>Once Upon a Forest Chapter 9</v>
      </c>
      <c r="R91" s="5"/>
      <c r="S91" s="5"/>
      <c r="T91" s="5"/>
      <c r="V91" s="5"/>
      <c r="W91" s="5"/>
      <c r="X91" s="5"/>
      <c r="AA91" s="5"/>
      <c r="AB91" s="5"/>
      <c r="AD91" s="5"/>
    </row>
    <row r="92" spans="1:30">
      <c r="A92" t="s">
        <v>2498</v>
      </c>
      <c r="C92" s="2" t="str">
        <f>_xlfn.XLOOKUP(
tblQuestObjectives[[#This Row],[ObjectiveID]],
tblTargetStatus[TargetID],
tblTargetStatus[DisplayName],
""
)</f>
        <v>Craft Armor 4</v>
      </c>
      <c r="D92" s="2" t="str">
        <f>_xlfn.XLOOKUP(tblQuestObjectives[[#This Row],[ObjectiveID]],tblTargets[TargetID],tblTargets[TargetType],"")</f>
        <v>STATE</v>
      </c>
      <c r="E92" s="5" t="s">
        <v>5780</v>
      </c>
      <c r="F92" s="2" t="b">
        <f>NOT(
    _xlfn.XLOOKUP(
        tblQuestObjectives[[#This Row],[ObjectiveID]],
        tblTargetStatus[TargetID],
        tblTargetStatus[PlayerCompleted],
        FALSE
    )
)</f>
        <v>1</v>
      </c>
      <c r="G92" s="2" t="b">
        <f>_xlfn.LET(
_xlpm.acceptedID,_xlfn.TEXTBEFORE(tblQuestObjectives[[#This Row],[QuestTargetID]],".finished")&amp;".accepted",
_xlfn.XLOOKUP(
_xlpm.acceptedID,
tblTargetStatus[TargetID],
tblTargetStatus[PlayerCompleted],
FALSE
)
)</f>
        <v>0</v>
      </c>
      <c r="H92" s="2" t="str">
        <f>_xlfn.LET(
    _xlpm.name,
    _xlfn.XLOOKUP(
        tblQuestObjectives[[#This Row],[QuestTargetID]],
        tblTargetStatus[TargetID],
        tblTargetStatus[DisplayName],
        ""
    ),
    SUBSTITUTE(
        SUBSTITUTE(_xlpm.name," Accepted",""),
        " Finished",""
    )
)</f>
        <v>Once Upon a Forest Chapter 9</v>
      </c>
    </row>
    <row r="93" spans="1:30">
      <c r="A93" t="s">
        <v>2498</v>
      </c>
      <c r="C93" s="2" t="str">
        <f>_xlfn.XLOOKUP(
tblQuestObjectives[[#This Row],[ObjectiveID]],
tblTargetStatus[TargetID],
tblTargetStatus[DisplayName],
""
)</f>
        <v>Tailor - Armor For A Hero Lvl 4</v>
      </c>
      <c r="D93" s="2" t="str">
        <f>_xlfn.XLOOKUP(tblQuestObjectives[[#This Row],[ObjectiveID]],tblTargets[TargetID],tblTargets[TargetType],"")</f>
        <v>TECH</v>
      </c>
      <c r="E93" s="56" t="s">
        <v>2226</v>
      </c>
      <c r="F93" s="2" t="b">
        <f>NOT(
    _xlfn.XLOOKUP(
        tblQuestObjectives[[#This Row],[ObjectiveID]],
        tblTargetStatus[TargetID],
        tblTargetStatus[PlayerCompleted],
        FALSE
    )
)</f>
        <v>1</v>
      </c>
      <c r="G93" s="2" t="b">
        <f>_xlfn.LET(
_xlpm.acceptedID,_xlfn.TEXTBEFORE(tblQuestObjectives[[#This Row],[QuestTargetID]],".finished")&amp;".accepted",
_xlfn.XLOOKUP(
_xlpm.acceptedID,
tblTargetStatus[TargetID],
tblTargetStatus[PlayerCompleted],
FALSE
)
)</f>
        <v>0</v>
      </c>
      <c r="H93" s="2" t="str">
        <f>_xlfn.LET(
    _xlpm.name,
    _xlfn.XLOOKUP(
        tblQuestObjectives[[#This Row],[QuestTargetID]],
        tblTargetStatus[TargetID],
        tblTargetStatus[DisplayName],
        ""
    ),
    SUBSTITUTE(
        SUBSTITUTE(_xlpm.name," Accepted",""),
        " Finished",""
    )
)</f>
        <v>Once Upon a Forest Chapter 9</v>
      </c>
    </row>
    <row r="94" spans="1:30">
      <c r="A94" t="s">
        <v>2500</v>
      </c>
      <c r="C94" s="2" t="str">
        <f>_xlfn.XLOOKUP(
tblQuestObjectives[[#This Row],[ObjectiveID]],
tblTargetStatus[TargetID],
tblTargetStatus[DisplayName],
""
)</f>
        <v>Deliver Balm To Hunter @F2</v>
      </c>
      <c r="D94" s="2" t="str">
        <f>_xlfn.XLOOKUP(tblQuestObjectives[[#This Row],[ObjectiveID]],tblTargets[TargetID],tblTargets[TargetType],"")</f>
        <v>STATE</v>
      </c>
      <c r="E94" s="5" t="s">
        <v>5771</v>
      </c>
      <c r="F94" s="2" t="b">
        <f>NOT(
    _xlfn.XLOOKUP(
        tblQuestObjectives[[#This Row],[ObjectiveID]],
        tblTargetStatus[TargetID],
        tblTargetStatus[PlayerCompleted],
        FALSE
    )
)</f>
        <v>1</v>
      </c>
      <c r="G94" s="2" t="b">
        <f>_xlfn.LET(
_xlpm.acceptedID,_xlfn.TEXTBEFORE(tblQuestObjectives[[#This Row],[QuestTargetID]],".finished")&amp;".accepted",
_xlfn.XLOOKUP(
_xlpm.acceptedID,
tblTargetStatus[TargetID],
tblTargetStatus[PlayerCompleted],
FALSE
)
)</f>
        <v>0</v>
      </c>
      <c r="H94" s="2" t="str">
        <f>_xlfn.LET(
    _xlpm.name,
    _xlfn.XLOOKUP(
        tblQuestObjectives[[#This Row],[QuestTargetID]],
        tblTargetStatus[TargetID],
        tblTargetStatus[DisplayName],
        ""
    ),
    SUBSTITUTE(
        SUBSTITUTE(_xlpm.name," Accepted",""),
        " Finished",""
    )
)</f>
        <v>Once Upon a Forest Chapter 10</v>
      </c>
    </row>
    <row r="95" spans="1:30">
      <c r="A95" t="s">
        <v>2502</v>
      </c>
      <c r="C95" s="2" t="str">
        <f>_xlfn.XLOOKUP(
tblQuestObjectives[[#This Row],[ObjectiveID]],
tblTargetStatus[TargetID],
tblTargetStatus[DisplayName],
""
)</f>
        <v>Visit Melbourne in Airship</v>
      </c>
      <c r="D95" s="2" t="str">
        <f>_xlfn.XLOOKUP(tblQuestObjectives[[#This Row],[ObjectiveID]],tblTargets[TargetID],tblTargets[TargetType],"")</f>
        <v>STATE</v>
      </c>
      <c r="E95" s="5" t="s">
        <v>5705</v>
      </c>
      <c r="F95" s="2" t="b">
        <f>NOT(
    _xlfn.XLOOKUP(
        tblQuestObjectives[[#This Row],[ObjectiveID]],
        tblTargetStatus[TargetID],
        tblTargetStatus[PlayerCompleted],
        FALSE
    )
)</f>
        <v>1</v>
      </c>
      <c r="G95" s="2" t="b">
        <f>_xlfn.LET(
_xlpm.acceptedID,_xlfn.TEXTBEFORE(tblQuestObjectives[[#This Row],[QuestTargetID]],".finished")&amp;".accepted",
_xlfn.XLOOKUP(
_xlpm.acceptedID,
tblTargetStatus[TargetID],
tblTargetStatus[PlayerCompleted],
FALSE
)
)</f>
        <v>0</v>
      </c>
      <c r="H95" s="2" t="str">
        <f>_xlfn.LET(
    _xlpm.name,
    _xlfn.XLOOKUP(
        tblQuestObjectives[[#This Row],[QuestTargetID]],
        tblTargetStatus[TargetID],
        tblTargetStatus[DisplayName],
        ""
    ),
    SUBSTITUTE(
        SUBSTITUTE(_xlpm.name," Accepted",""),
        " Finished",""
    )
)</f>
        <v>Once Upon a Forest Chapter 11</v>
      </c>
    </row>
    <row r="96" spans="1:30">
      <c r="A96" t="s">
        <v>2504</v>
      </c>
      <c r="C96" s="2" t="str">
        <f>_xlfn.XLOOKUP(
tblQuestObjectives[[#This Row],[ObjectiveID]],
tblTargetStatus[TargetID],
tblTargetStatus[DisplayName],
""
)</f>
        <v>Meet Foodie Demon@F2</v>
      </c>
      <c r="D96" s="2" t="str">
        <f>_xlfn.XLOOKUP(tblQuestObjectives[[#This Row],[ObjectiveID]],tblTargets[TargetID],tblTargets[TargetType],"")</f>
        <v>STATE</v>
      </c>
      <c r="E96" s="5" t="s">
        <v>3474</v>
      </c>
      <c r="F96" s="2" t="b">
        <f>NOT(
    _xlfn.XLOOKUP(
        tblQuestObjectives[[#This Row],[ObjectiveID]],
        tblTargetStatus[TargetID],
        tblTargetStatus[PlayerCompleted],
        FALSE
    )
)</f>
        <v>1</v>
      </c>
      <c r="G96" s="2" t="b">
        <f>_xlfn.LET(
_xlpm.acceptedID,_xlfn.TEXTBEFORE(tblQuestObjectives[[#This Row],[QuestTargetID]],".finished")&amp;".accepted",
_xlfn.XLOOKUP(
_xlpm.acceptedID,
tblTargetStatus[TargetID],
tblTargetStatus[PlayerCompleted],
FALSE
)
)</f>
        <v>0</v>
      </c>
      <c r="H96" s="2" t="str">
        <f>_xlfn.LET(
    _xlpm.name,
    _xlfn.XLOOKUP(
        tblQuestObjectives[[#This Row],[QuestTargetID]],
        tblTargetStatus[TargetID],
        tblTargetStatus[DisplayName],
        ""
    ),
    SUBSTITUTE(
        SUBSTITUTE(_xlpm.name," Accepted",""),
        " Finished",""
    )
)</f>
        <v>Once Upon a Forest Chapter 12</v>
      </c>
    </row>
    <row r="97" spans="1:8">
      <c r="A97" t="s">
        <v>2504</v>
      </c>
      <c r="C97" s="2" t="str">
        <f>_xlfn.XLOOKUP(
tblQuestObjectives[[#This Row],[ObjectiveID]],
tblTargetStatus[TargetID],
tblTargetStatus[DisplayName],
""
)</f>
        <v>Escort Mr and Mrs Diligance through F1</v>
      </c>
      <c r="D97" s="2" t="str">
        <f>_xlfn.XLOOKUP(tblQuestObjectives[[#This Row],[ObjectiveID]],tblTargets[TargetID],tblTargets[TargetType],"")</f>
        <v>STATE</v>
      </c>
      <c r="E97" s="5" t="s">
        <v>5775</v>
      </c>
      <c r="F97" s="2" t="b">
        <f>NOT(
    _xlfn.XLOOKUP(
        tblQuestObjectives[[#This Row],[ObjectiveID]],
        tblTargetStatus[TargetID],
        tblTargetStatus[PlayerCompleted],
        FALSE
    )
)</f>
        <v>1</v>
      </c>
      <c r="G97" s="2" t="b">
        <f>_xlfn.LET(
_xlpm.acceptedID,_xlfn.TEXTBEFORE(tblQuestObjectives[[#This Row],[QuestTargetID]],".finished")&amp;".accepted",
_xlfn.XLOOKUP(
_xlpm.acceptedID,
tblTargetStatus[TargetID],
tblTargetStatus[PlayerCompleted],
FALSE
)
)</f>
        <v>0</v>
      </c>
      <c r="H97" s="2" t="str">
        <f>_xlfn.LET(
    _xlpm.name,
    _xlfn.XLOOKUP(
        tblQuestObjectives[[#This Row],[QuestTargetID]],
        tblTargetStatus[TargetID],
        tblTargetStatus[DisplayName],
        ""
    ),
    SUBSTITUTE(
        SUBSTITUTE(_xlpm.name," Accepted",""),
        " Finished",""
    )
)</f>
        <v>Once Upon a Forest Chapter 12</v>
      </c>
    </row>
    <row r="98" spans="1:8">
      <c r="A98" t="s">
        <v>2504</v>
      </c>
      <c r="C98" s="2" t="str">
        <f>_xlfn.XLOOKUP(
tblQuestObjectives[[#This Row],[ObjectiveID]],
tblTargetStatus[TargetID],
tblTargetStatus[DisplayName],
""
)</f>
        <v>Escort Mr and Mrs Diligance through F2</v>
      </c>
      <c r="D98" s="2" t="str">
        <f>_xlfn.XLOOKUP(tblQuestObjectives[[#This Row],[ObjectiveID]],tblTargets[TargetID],tblTargets[TargetType],"")</f>
        <v>STATE</v>
      </c>
      <c r="E98" s="5" t="s">
        <v>5776</v>
      </c>
      <c r="F98" s="2" t="b">
        <f>NOT(
    _xlfn.XLOOKUP(
        tblQuestObjectives[[#This Row],[ObjectiveID]],
        tblTargetStatus[TargetID],
        tblTargetStatus[PlayerCompleted],
        FALSE
    )
)</f>
        <v>1</v>
      </c>
      <c r="G98" s="2" t="b">
        <f>_xlfn.LET(
_xlpm.acceptedID,_xlfn.TEXTBEFORE(tblQuestObjectives[[#This Row],[QuestTargetID]],".finished")&amp;".accepted",
_xlfn.XLOOKUP(
_xlpm.acceptedID,
tblTargetStatus[TargetID],
tblTargetStatus[PlayerCompleted],
FALSE
)
)</f>
        <v>0</v>
      </c>
      <c r="H98" s="2" t="str">
        <f>_xlfn.LET(
    _xlpm.name,
    _xlfn.XLOOKUP(
        tblQuestObjectives[[#This Row],[QuestTargetID]],
        tblTargetStatus[TargetID],
        tblTargetStatus[DisplayName],
        ""
    ),
    SUBSTITUTE(
        SUBSTITUTE(_xlpm.name," Accepted",""),
        " Finished",""
    )
)</f>
        <v>Once Upon a Forest Chapter 12</v>
      </c>
    </row>
    <row r="99" spans="1:8">
      <c r="A99" t="s">
        <v>2504</v>
      </c>
      <c r="C99" s="2" t="str">
        <f>_xlfn.XLOOKUP(
tblQuestObjectives[[#This Row],[ObjectiveID]],
tblTargetStatus[TargetID],
tblTargetStatus[DisplayName],
""
)</f>
        <v>Escort Mr and Mrs Diligance through F3</v>
      </c>
      <c r="D99" s="2" t="str">
        <f>_xlfn.XLOOKUP(tblQuestObjectives[[#This Row],[ObjectiveID]],tblTargets[TargetID],tblTargets[TargetType],"")</f>
        <v>STATE</v>
      </c>
      <c r="E99" s="5" t="s">
        <v>5777</v>
      </c>
      <c r="F99" s="2" t="b">
        <f>NOT(
    _xlfn.XLOOKUP(
        tblQuestObjectives[[#This Row],[ObjectiveID]],
        tblTargetStatus[TargetID],
        tblTargetStatus[PlayerCompleted],
        FALSE
    )
)</f>
        <v>1</v>
      </c>
      <c r="G99" s="2" t="b">
        <f>_xlfn.LET(
_xlpm.acceptedID,_xlfn.TEXTBEFORE(tblQuestObjectives[[#This Row],[QuestTargetID]],".finished")&amp;".accepted",
_xlfn.XLOOKUP(
_xlpm.acceptedID,
tblTargetStatus[TargetID],
tblTargetStatus[PlayerCompleted],
FALSE
)
)</f>
        <v>0</v>
      </c>
      <c r="H99" s="2" t="str">
        <f>_xlfn.LET(
    _xlpm.name,
    _xlfn.XLOOKUP(
        tblQuestObjectives[[#This Row],[QuestTargetID]],
        tblTargetStatus[TargetID],
        tblTargetStatus[DisplayName],
        ""
    ),
    SUBSTITUTE(
        SUBSTITUTE(_xlpm.name," Accepted",""),
        " Finished",""
    )
)</f>
        <v>Once Upon a Forest Chapter 12</v>
      </c>
    </row>
    <row r="100" spans="1:8">
      <c r="A100" t="s">
        <v>2504</v>
      </c>
      <c r="C100" s="2" t="str">
        <f>_xlfn.XLOOKUP(
tblQuestObjectives[[#This Row],[ObjectiveID]],
tblTargetStatus[TargetID],
tblTargetStatus[DisplayName],
""
)</f>
        <v>Escort Mr and Mrs Diligance through F4</v>
      </c>
      <c r="D100" s="2" t="str">
        <f>_xlfn.XLOOKUP(tblQuestObjectives[[#This Row],[ObjectiveID]],tblTargets[TargetID],tblTargets[TargetType],"")</f>
        <v>STATE</v>
      </c>
      <c r="E100" s="5" t="s">
        <v>5778</v>
      </c>
      <c r="F100" s="2" t="b">
        <f>NOT(
    _xlfn.XLOOKUP(
        tblQuestObjectives[[#This Row],[ObjectiveID]],
        tblTargetStatus[TargetID],
        tblTargetStatus[PlayerCompleted],
        FALSE
    )
)</f>
        <v>1</v>
      </c>
      <c r="G100" s="2" t="b">
        <f>_xlfn.LET(
_xlpm.acceptedID,_xlfn.TEXTBEFORE(tblQuestObjectives[[#This Row],[QuestTargetID]],".finished")&amp;".accepted",
_xlfn.XLOOKUP(
_xlpm.acceptedID,
tblTargetStatus[TargetID],
tblTargetStatus[PlayerCompleted],
FALSE
)
)</f>
        <v>0</v>
      </c>
      <c r="H100" s="2" t="str">
        <f>_xlfn.LET(
    _xlpm.name,
    _xlfn.XLOOKUP(
        tblQuestObjectives[[#This Row],[QuestTargetID]],
        tblTargetStatus[TargetID],
        tblTargetStatus[DisplayName],
        ""
    ),
    SUBSTITUTE(
        SUBSTITUTE(_xlpm.name," Accepted",""),
        " Finished",""
    )
)</f>
        <v>Once Upon a Forest Chapter 12</v>
      </c>
    </row>
    <row r="101" spans="1:8">
      <c r="A101" t="s">
        <v>2506</v>
      </c>
      <c r="C101" s="2" t="str">
        <f>_xlfn.XLOOKUP(
tblQuestObjectives[[#This Row],[ObjectiveID]],
tblTargetStatus[TargetID],
tblTargetStatus[DisplayName],
""
)</f>
        <v>Food Stall - Jam</v>
      </c>
      <c r="D101" s="2" t="str">
        <f>_xlfn.XLOOKUP(tblQuestObjectives[[#This Row],[ObjectiveID]],tblTargets[TargetID],tblTargets[TargetType],"")</f>
        <v>TECH</v>
      </c>
      <c r="E101" t="s">
        <v>2150</v>
      </c>
      <c r="F101" s="2" t="b">
        <f>NOT(
    _xlfn.XLOOKUP(
        tblQuestObjectives[[#This Row],[ObjectiveID]],
        tblTargetStatus[TargetID],
        tblTargetStatus[PlayerCompleted],
        FALSE
    )
)</f>
        <v>1</v>
      </c>
      <c r="G101" s="2" t="b">
        <f>_xlfn.LET(
_xlpm.acceptedID,_xlfn.TEXTBEFORE(tblQuestObjectives[[#This Row],[QuestTargetID]],".finished")&amp;".accepted",
_xlfn.XLOOKUP(
_xlpm.acceptedID,
tblTargetStatus[TargetID],
tblTargetStatus[PlayerCompleted],
FALSE
)
)</f>
        <v>0</v>
      </c>
      <c r="H101" s="2" t="str">
        <f>_xlfn.LET(
    _xlpm.name,
    _xlfn.XLOOKUP(
        tblQuestObjectives[[#This Row],[QuestTargetID]],
        tblTargetStatus[TargetID],
        tblTargetStatus[DisplayName],
        ""
    ),
    SUBSTITUTE(
        SUBSTITUTE(_xlpm.name," Accepted",""),
        " Finished",""
    )
)</f>
        <v>Once Upon a Forest Chapter 13</v>
      </c>
    </row>
    <row r="102" spans="1:8">
      <c r="A102" t="s">
        <v>2506</v>
      </c>
      <c r="C102" s="2" t="str">
        <f>_xlfn.XLOOKUP(
tblQuestObjectives[[#This Row],[ObjectiveID]],
tblTargetStatus[TargetID],
tblTargetStatus[DisplayName],
""
)</f>
        <v>Food Stall - Mandra Cola</v>
      </c>
      <c r="D102" s="2" t="str">
        <f>_xlfn.XLOOKUP(tblQuestObjectives[[#This Row],[ObjectiveID]],tblTargets[TargetID],tblTargets[TargetType],"")</f>
        <v>TECH</v>
      </c>
      <c r="E102" t="s">
        <v>2154</v>
      </c>
      <c r="F102" s="2" t="b">
        <f>NOT(
    _xlfn.XLOOKUP(
        tblQuestObjectives[[#This Row],[ObjectiveID]],
        tblTargetStatus[TargetID],
        tblTargetStatus[PlayerCompleted],
        FALSE
    )
)</f>
        <v>1</v>
      </c>
      <c r="G102" s="2" t="b">
        <f>_xlfn.LET(
_xlpm.acceptedID,_xlfn.TEXTBEFORE(tblQuestObjectives[[#This Row],[QuestTargetID]],".finished")&amp;".accepted",
_xlfn.XLOOKUP(
_xlpm.acceptedID,
tblTargetStatus[TargetID],
tblTargetStatus[PlayerCompleted],
FALSE
)
)</f>
        <v>0</v>
      </c>
      <c r="H102" s="2" t="str">
        <f>_xlfn.LET(
    _xlpm.name,
    _xlfn.XLOOKUP(
        tblQuestObjectives[[#This Row],[QuestTargetID]],
        tblTargetStatus[TargetID],
        tblTargetStatus[DisplayName],
        ""
    ),
    SUBSTITUTE(
        SUBSTITUTE(_xlpm.name," Accepted",""),
        " Finished",""
    )
)</f>
        <v>Once Upon a Forest Chapter 13</v>
      </c>
    </row>
    <row r="103" spans="1:8">
      <c r="A103" t="s">
        <v>2508</v>
      </c>
      <c r="C103" s="2" t="str">
        <f>_xlfn.XLOOKUP(
tblQuestObjectives[[#This Row],[ObjectiveID]],
tblTargetStatus[TargetID],
tblTargetStatus[DisplayName],
""
)</f>
        <v>Solver 1 Prototype</v>
      </c>
      <c r="D103" s="2" t="str">
        <f>_xlfn.XLOOKUP(tblQuestObjectives[[#This Row],[ObjectiveID]],tblTargets[TargetID],tblTargets[TargetType],"")</f>
        <v>CRAFTIFACT</v>
      </c>
      <c r="E103" s="5" t="s">
        <v>2667</v>
      </c>
      <c r="F103" s="2" t="b">
        <f>NOT(
    _xlfn.XLOOKUP(
        tblQuestObjectives[[#This Row],[ObjectiveID]],
        tblTargetStatus[TargetID],
        tblTargetStatus[PlayerCompleted],
        FALSE
    )
)</f>
        <v>1</v>
      </c>
      <c r="G103" s="2" t="b">
        <f>_xlfn.LET(
_xlpm.acceptedID,_xlfn.TEXTBEFORE(tblQuestObjectives[[#This Row],[QuestTargetID]],".finished")&amp;".accepted",
_xlfn.XLOOKUP(
_xlpm.acceptedID,
tblTargetStatus[TargetID],
tblTargetStatus[PlayerCompleted],
FALSE
)
)</f>
        <v>0</v>
      </c>
      <c r="H103" s="2" t="str">
        <f>_xlfn.LET(
    _xlpm.name,
    _xlfn.XLOOKUP(
        tblQuestObjectives[[#This Row],[QuestTargetID]],
        tblTargetStatus[TargetID],
        tblTargetStatus[DisplayName],
        ""
    ),
    SUBSTITUTE(
        SUBSTITUTE(_xlpm.name," Accepted",""),
        " Finished",""
    )
)</f>
        <v>Once Upon a Forest Chapter 14</v>
      </c>
    </row>
    <row r="104" spans="1:8">
      <c r="A104" t="s">
        <v>2510</v>
      </c>
      <c r="C104" s="2" t="str">
        <f>_xlfn.XLOOKUP(
tblQuestObjectives[[#This Row],[ObjectiveID]],
tblTargetStatus[TargetID],
tblTargetStatus[DisplayName],
""
)</f>
        <v>Meet the raven in F2</v>
      </c>
      <c r="D104" s="2" t="str">
        <f>_xlfn.XLOOKUP(tblQuestObjectives[[#This Row],[ObjectiveID]],tblTargets[TargetID],tblTargets[TargetType],"")</f>
        <v>STATE</v>
      </c>
      <c r="E104" t="s">
        <v>5920</v>
      </c>
      <c r="F104" s="2" t="b">
        <f>NOT(
    _xlfn.XLOOKUP(
        tblQuestObjectives[[#This Row],[ObjectiveID]],
        tblTargetStatus[TargetID],
        tblTargetStatus[PlayerCompleted],
        FALSE
    )
)</f>
        <v>1</v>
      </c>
      <c r="G104" s="2" t="b">
        <f>_xlfn.LET(
_xlpm.acceptedID,_xlfn.TEXTBEFORE(tblQuestObjectives[[#This Row],[QuestTargetID]],".finished")&amp;".accepted",
_xlfn.XLOOKUP(
_xlpm.acceptedID,
tblTargetStatus[TargetID],
tblTargetStatus[PlayerCompleted],
FALSE
)
)</f>
        <v>0</v>
      </c>
      <c r="H104" s="2" t="str">
        <f>_xlfn.LET(
    _xlpm.name,
    _xlfn.XLOOKUP(
        tblQuestObjectives[[#This Row],[QuestTargetID]],
        tblTargetStatus[TargetID],
        tblTargetStatus[DisplayName],
        ""
    ),
    SUBSTITUTE(
        SUBSTITUTE(_xlpm.name," Accepted",""),
        " Finished",""
    )
)</f>
        <v>Once Upon a Forest Chapter 15</v>
      </c>
    </row>
    <row r="105" spans="1:8" hidden="1">
      <c r="A105" s="5" t="s">
        <v>2512</v>
      </c>
      <c r="C105" s="2" t="str">
        <f>_xlfn.XLOOKUP(
tblQuestObjectives[[#This Row],[ObjectiveID]],
tblTargetStatus[TargetID],
tblTargetStatus[DisplayName],
""
)</f>
        <v>Food Stall Lv 1</v>
      </c>
      <c r="D105" s="2" t="str">
        <f>_xlfn.XLOOKUP(tblQuestObjectives[[#This Row],[ObjectiveID]],tblTargets[TargetID],tblTargets[TargetType],"")</f>
        <v>BUILDING</v>
      </c>
      <c r="E105" t="s">
        <v>56</v>
      </c>
      <c r="F105" s="2" t="b">
        <f>NOT(
    _xlfn.XLOOKUP(
        tblQuestObjectives[[#This Row],[ObjectiveID]],
        tblTargetStatus[TargetID],
        tblTargetStatus[PlayerCompleted],
        FALSE
    )
)</f>
        <v>1</v>
      </c>
      <c r="G105" s="2" t="b">
        <f>_xlfn.LET(
_xlpm.acceptedID,_xlfn.TEXTBEFORE(tblQuestObjectives[[#This Row],[QuestTargetID]],".finished")&amp;".accepted",
_xlfn.XLOOKUP(
_xlpm.acceptedID,
tblTargetStatus[TargetID],
tblTargetStatus[PlayerCompleted],
FALSE
)
)</f>
        <v>0</v>
      </c>
      <c r="H105" s="2" t="str">
        <f>_xlfn.LET(
    _xlpm.name,
    _xlfn.XLOOKUP(
        tblQuestObjectives[[#This Row],[QuestTargetID]],
        tblTargetStatus[TargetID],
        tblTargetStatus[DisplayName],
        ""
    ),
    SUBSTITUTE(
        SUBSTITUTE(_xlpm.name," Accepted",""),
        " Finished",""
    )
)</f>
        <v>Quest for Knowledge Chapter 1</v>
      </c>
    </row>
    <row r="106" spans="1:8" hidden="1">
      <c r="A106" s="5" t="s">
        <v>2512</v>
      </c>
      <c r="C106" s="2" t="str">
        <f>_xlfn.XLOOKUP(
tblQuestObjectives[[#This Row],[ObjectiveID]],
tblTargetStatus[TargetID],
tblTargetStatus[DisplayName],
""
)</f>
        <v>Field Lv 1</v>
      </c>
      <c r="D106" s="2" t="str">
        <f>_xlfn.XLOOKUP(tblQuestObjectives[[#This Row],[ObjectiveID]],tblTargets[TargetID],tblTargets[TargetType],"")</f>
        <v>BUILDING</v>
      </c>
      <c r="E106" t="s">
        <v>53</v>
      </c>
      <c r="F106" s="2" t="b">
        <f>NOT(
    _xlfn.XLOOKUP(
        tblQuestObjectives[[#This Row],[ObjectiveID]],
        tblTargetStatus[TargetID],
        tblTargetStatus[PlayerCompleted],
        FALSE
    )
)</f>
        <v>1</v>
      </c>
      <c r="G106" s="2" t="b">
        <f>_xlfn.LET(
_xlpm.acceptedID,_xlfn.TEXTBEFORE(tblQuestObjectives[[#This Row],[QuestTargetID]],".finished")&amp;".accepted",
_xlfn.XLOOKUP(
_xlpm.acceptedID,
tblTargetStatus[TargetID],
tblTargetStatus[PlayerCompleted],
FALSE
)
)</f>
        <v>0</v>
      </c>
      <c r="H106" s="2" t="str">
        <f>_xlfn.LET(
    _xlpm.name,
    _xlfn.XLOOKUP(
        tblQuestObjectives[[#This Row],[QuestTargetID]],
        tblTargetStatus[TargetID],
        tblTargetStatus[DisplayName],
        ""
    ),
    SUBSTITUTE(
        SUBSTITUTE(_xlpm.name," Accepted",""),
        " Finished",""
    )
)</f>
        <v>Quest for Knowledge Chapter 1</v>
      </c>
    </row>
    <row r="107" spans="1:8" hidden="1">
      <c r="A107" s="5" t="s">
        <v>2514</v>
      </c>
      <c r="C107" s="2" t="str">
        <f>_xlfn.XLOOKUP(
tblQuestObjectives[[#This Row],[ObjectiveID]],
tblTargetStatus[TargetID],
tblTargetStatus[DisplayName],
""
)</f>
        <v>Trigonometry</v>
      </c>
      <c r="D107" s="2" t="str">
        <f>_xlfn.XLOOKUP(tblQuestObjectives[[#This Row],[ObjectiveID]],tblTargets[TargetID],tblTargets[TargetType],"")</f>
        <v>CRAFTIFACT</v>
      </c>
      <c r="E107" s="5" t="s">
        <v>2670</v>
      </c>
      <c r="F107" s="2" t="b">
        <f>NOT(
    _xlfn.XLOOKUP(
        tblQuestObjectives[[#This Row],[ObjectiveID]],
        tblTargetStatus[TargetID],
        tblTargetStatus[PlayerCompleted],
        FALSE
    )
)</f>
        <v>1</v>
      </c>
      <c r="G107" s="2" t="b">
        <f>_xlfn.LET(
_xlpm.acceptedID,_xlfn.TEXTBEFORE(tblQuestObjectives[[#This Row],[QuestTargetID]],".finished")&amp;".accepted",
_xlfn.XLOOKUP(
_xlpm.acceptedID,
tblTargetStatus[TargetID],
tblTargetStatus[PlayerCompleted],
FALSE
)
)</f>
        <v>0</v>
      </c>
      <c r="H107" s="2" t="str">
        <f>_xlfn.LET(
    _xlpm.name,
    _xlfn.XLOOKUP(
        tblQuestObjectives[[#This Row],[QuestTargetID]],
        tblTargetStatus[TargetID],
        tblTargetStatus[DisplayName],
        ""
    ),
    SUBSTITUTE(
        SUBSTITUTE(_xlpm.name," Accepted",""),
        " Finished",""
    )
)</f>
        <v>Quest for Knowledge Chapter 2</v>
      </c>
    </row>
    <row r="108" spans="1:8" hidden="1">
      <c r="A108" s="5" t="s">
        <v>2516</v>
      </c>
      <c r="C108" s="2" t="str">
        <f>_xlfn.XLOOKUP(
tblQuestObjectives[[#This Row],[ObjectiveID]],
tblTargetStatus[TargetID],
tblTargetStatus[DisplayName],
""
)</f>
        <v>Emerald Tablet</v>
      </c>
      <c r="D108" s="2" t="str">
        <f>_xlfn.XLOOKUP(tblQuestObjectives[[#This Row],[ObjectiveID]],tblTargets[TargetID],tblTargets[TargetType],"")</f>
        <v>CRAFTIFACT</v>
      </c>
      <c r="E108" t="s">
        <v>2655</v>
      </c>
      <c r="F108" s="2" t="b">
        <f>NOT(
    _xlfn.XLOOKUP(
        tblQuestObjectives[[#This Row],[ObjectiveID]],
        tblTargetStatus[TargetID],
        tblTargetStatus[PlayerCompleted],
        FALSE
    )
)</f>
        <v>1</v>
      </c>
      <c r="G108" s="2" t="b">
        <f>_xlfn.LET(
_xlpm.acceptedID,_xlfn.TEXTBEFORE(tblQuestObjectives[[#This Row],[QuestTargetID]],".finished")&amp;".accepted",
_xlfn.XLOOKUP(
_xlpm.acceptedID,
tblTargetStatus[TargetID],
tblTargetStatus[PlayerCompleted],
FALSE
)
)</f>
        <v>0</v>
      </c>
      <c r="H108" s="2" t="str">
        <f>_xlfn.LET(
    _xlpm.name,
    _xlfn.XLOOKUP(
        tblQuestObjectives[[#This Row],[QuestTargetID]],
        tblTargetStatus[TargetID],
        tblTargetStatus[DisplayName],
        ""
    ),
    SUBSTITUTE(
        SUBSTITUTE(_xlpm.name," Accepted",""),
        " Finished",""
    )
)</f>
        <v>Quest for Knowledge Chapter 3</v>
      </c>
    </row>
    <row r="109" spans="1:8" ht="29" hidden="1">
      <c r="A109" s="5" t="s">
        <v>2516</v>
      </c>
      <c r="C109" s="2" t="str">
        <f>_xlfn.XLOOKUP(
tblQuestObjectives[[#This Row],[ObjectiveID]],
tblTargetStatus[TargetID],
tblTargetStatus[DisplayName],
""
)</f>
        <v>Obtain all emerald shards</v>
      </c>
      <c r="D109" s="2" t="str">
        <f>_xlfn.XLOOKUP(tblQuestObjectives[[#This Row],[ObjectiveID]],tblTargets[TargetID],tblTargets[TargetType],"")</f>
        <v>STATE</v>
      </c>
      <c r="E109" s="5" t="s">
        <v>5712</v>
      </c>
      <c r="F109" s="2" t="b">
        <f>NOT(
    _xlfn.XLOOKUP(
        tblQuestObjectives[[#This Row],[ObjectiveID]],
        tblTargetStatus[TargetID],
        tblTargetStatus[PlayerCompleted],
        FALSE
    )
)</f>
        <v>1</v>
      </c>
      <c r="G109" s="2" t="b">
        <f>_xlfn.LET(
_xlpm.acceptedID,_xlfn.TEXTBEFORE(tblQuestObjectives[[#This Row],[QuestTargetID]],".finished")&amp;".accepted",
_xlfn.XLOOKUP(
_xlpm.acceptedID,
tblTargetStatus[TargetID],
tblTargetStatus[PlayerCompleted],
FALSE
)
)</f>
        <v>0</v>
      </c>
      <c r="H109" s="2" t="str">
        <f>_xlfn.LET(
    _xlpm.name,
    _xlfn.XLOOKUP(
        tblQuestObjectives[[#This Row],[QuestTargetID]],
        tblTargetStatus[TargetID],
        tblTargetStatus[DisplayName],
        ""
    ),
    SUBSTITUTE(
        SUBSTITUTE(_xlpm.name," Accepted",""),
        " Finished",""
    )
)</f>
        <v>Quest for Knowledge Chapter 3</v>
      </c>
    </row>
    <row r="110" spans="1:8" hidden="1">
      <c r="A110" s="5" t="s">
        <v>2518</v>
      </c>
      <c r="C110" s="2" t="str">
        <f>_xlfn.XLOOKUP(
tblQuestObjectives[[#This Row],[ObjectiveID]],
tblTargetStatus[TargetID],
tblTargetStatus[DisplayName],
""
)</f>
        <v>Historical Library</v>
      </c>
      <c r="D110" s="2" t="str">
        <f>_xlfn.XLOOKUP(tblQuestObjectives[[#This Row],[ObjectiveID]],tblTargets[TargetID],tblTargets[TargetType],"")</f>
        <v>CRAFTIFACT</v>
      </c>
      <c r="E110" s="5" t="s">
        <v>2662</v>
      </c>
      <c r="F110" s="2" t="b">
        <f>NOT(
    _xlfn.XLOOKUP(
        tblQuestObjectives[[#This Row],[ObjectiveID]],
        tblTargetStatus[TargetID],
        tblTargetStatus[PlayerCompleted],
        FALSE
    )
)</f>
        <v>1</v>
      </c>
      <c r="G110" s="2" t="b">
        <f>_xlfn.LET(
_xlpm.acceptedID,_xlfn.TEXTBEFORE(tblQuestObjectives[[#This Row],[QuestTargetID]],".finished")&amp;".accepted",
_xlfn.XLOOKUP(
_xlpm.acceptedID,
tblTargetStatus[TargetID],
tblTargetStatus[PlayerCompleted],
FALSE
)
)</f>
        <v>0</v>
      </c>
      <c r="H110" s="2" t="str">
        <f>_xlfn.LET(
    _xlpm.name,
    _xlfn.XLOOKUP(
        tblQuestObjectives[[#This Row],[QuestTargetID]],
        tblTargetStatus[TargetID],
        tblTargetStatus[DisplayName],
        ""
    ),
    SUBSTITUTE(
        SUBSTITUTE(_xlpm.name," Accepted",""),
        " Finished",""
    )
)</f>
        <v>Quest for Knowledge Chapter 4</v>
      </c>
    </row>
    <row r="111" spans="1:8" hidden="1">
      <c r="A111" s="5" t="s">
        <v>2520</v>
      </c>
      <c r="C111" s="2" t="str">
        <f>_xlfn.XLOOKUP(
tblQuestObjectives[[#This Row],[ObjectiveID]],
tblTargetStatus[TargetID],
tblTargetStatus[DisplayName],
""
)</f>
        <v>Craft mechanism</v>
      </c>
      <c r="D111" s="2" t="str">
        <f>_xlfn.XLOOKUP(tblQuestObjectives[[#This Row],[ObjectiveID]],tblTargets[TargetID],tblTargets[TargetType],"")</f>
        <v>STATE</v>
      </c>
      <c r="E111" s="5" t="s">
        <v>5714</v>
      </c>
      <c r="F111" s="2" t="b">
        <f>NOT(
    _xlfn.XLOOKUP(
        tblQuestObjectives[[#This Row],[ObjectiveID]],
        tblTargetStatus[TargetID],
        tblTargetStatus[PlayerCompleted],
        FALSE
    )
)</f>
        <v>1</v>
      </c>
      <c r="G111" s="2" t="b">
        <f>_xlfn.LET(
_xlpm.acceptedID,_xlfn.TEXTBEFORE(tblQuestObjectives[[#This Row],[QuestTargetID]],".finished")&amp;".accepted",
_xlfn.XLOOKUP(
_xlpm.acceptedID,
tblTargetStatus[TargetID],
tblTargetStatus[PlayerCompleted],
FALSE
)
)</f>
        <v>0</v>
      </c>
      <c r="H111" s="2" t="str">
        <f>_xlfn.LET(
    _xlpm.name,
    _xlfn.XLOOKUP(
        tblQuestObjectives[[#This Row],[QuestTargetID]],
        tblTargetStatus[TargetID],
        tblTargetStatus[DisplayName],
        ""
    ),
    SUBSTITUTE(
        SUBSTITUTE(_xlpm.name," Accepted",""),
        " Finished",""
    )
)</f>
        <v>Quest for Knowledge Chapter 5</v>
      </c>
    </row>
    <row r="112" spans="1:8" hidden="1">
      <c r="A112" s="5" t="s">
        <v>2520</v>
      </c>
      <c r="C112" s="2" t="str">
        <f>_xlfn.XLOOKUP(
tblQuestObjectives[[#This Row],[ObjectiveID]],
tblTargetStatus[TargetID],
tblTargetStatus[DisplayName],
""
)</f>
        <v>Craft steamobile</v>
      </c>
      <c r="D112" s="2" t="str">
        <f>_xlfn.XLOOKUP(tblQuestObjectives[[#This Row],[ObjectiveID]],tblTargets[TargetID],tblTargets[TargetType],"")</f>
        <v>STATE</v>
      </c>
      <c r="E112" s="5" t="s">
        <v>5715</v>
      </c>
      <c r="F112" s="2" t="b">
        <f>NOT(
    _xlfn.XLOOKUP(
        tblQuestObjectives[[#This Row],[ObjectiveID]],
        tblTargetStatus[TargetID],
        tblTargetStatus[PlayerCompleted],
        FALSE
    )
)</f>
        <v>1</v>
      </c>
      <c r="G112" s="2" t="b">
        <f>_xlfn.LET(
_xlpm.acceptedID,_xlfn.TEXTBEFORE(tblQuestObjectives[[#This Row],[QuestTargetID]],".finished")&amp;".accepted",
_xlfn.XLOOKUP(
_xlpm.acceptedID,
tblTargetStatus[TargetID],
tblTargetStatus[PlayerCompleted],
FALSE
)
)</f>
        <v>0</v>
      </c>
      <c r="H112" s="2" t="str">
        <f>_xlfn.LET(
    _xlpm.name,
    _xlfn.XLOOKUP(
        tblQuestObjectives[[#This Row],[QuestTargetID]],
        tblTargetStatus[TargetID],
        tblTargetStatus[DisplayName],
        ""
    ),
    SUBSTITUTE(
        SUBSTITUTE(_xlpm.name," Accepted",""),
        " Finished",""
    )
)</f>
        <v>Quest for Knowledge Chapter 5</v>
      </c>
    </row>
    <row r="113" spans="1:8" hidden="1">
      <c r="A113" s="5" t="s">
        <v>2520</v>
      </c>
      <c r="C113" s="2" t="str">
        <f>_xlfn.XLOOKUP(
tblQuestObjectives[[#This Row],[ObjectiveID]],
tblTargetStatus[TargetID],
tblTargetStatus[DisplayName],
""
)</f>
        <v>Telescope</v>
      </c>
      <c r="D113" s="2" t="str">
        <f>_xlfn.XLOOKUP(tblQuestObjectives[[#This Row],[ObjectiveID]],tblTargets[TargetID],tblTargets[TargetType],"")</f>
        <v>CRAFTIFACT</v>
      </c>
      <c r="E113" t="s">
        <v>2668</v>
      </c>
      <c r="F113" s="2" t="b">
        <f>NOT(
    _xlfn.XLOOKUP(
        tblQuestObjectives[[#This Row],[ObjectiveID]],
        tblTargetStatus[TargetID],
        tblTargetStatus[PlayerCompleted],
        FALSE
    )
)</f>
        <v>1</v>
      </c>
      <c r="G113" s="2" t="b">
        <f>_xlfn.LET(
_xlpm.acceptedID,_xlfn.TEXTBEFORE(tblQuestObjectives[[#This Row],[QuestTargetID]],".finished")&amp;".accepted",
_xlfn.XLOOKUP(
_xlpm.acceptedID,
tblTargetStatus[TargetID],
tblTargetStatus[PlayerCompleted],
FALSE
)
)</f>
        <v>0</v>
      </c>
      <c r="H113" s="2" t="str">
        <f>_xlfn.LET(
    _xlpm.name,
    _xlfn.XLOOKUP(
        tblQuestObjectives[[#This Row],[QuestTargetID]],
        tblTargetStatus[TargetID],
        tblTargetStatus[DisplayName],
        ""
    ),
    SUBSTITUTE(
        SUBSTITUTE(_xlpm.name," Accepted",""),
        " Finished",""
    )
)</f>
        <v>Quest for Knowledge Chapter 5</v>
      </c>
    </row>
    <row r="114" spans="1:8" hidden="1">
      <c r="A114" s="5" t="s">
        <v>2522</v>
      </c>
      <c r="C114" s="2" t="str">
        <f>_xlfn.XLOOKUP(
tblQuestObjectives[[#This Row],[ObjectiveID]],
tblTargetStatus[TargetID],
tblTargetStatus[DisplayName],
""
)</f>
        <v>Furnace Lv 1</v>
      </c>
      <c r="D114" s="2" t="str">
        <f>_xlfn.XLOOKUP(tblQuestObjectives[[#This Row],[ObjectiveID]],tblTargets[TargetID],tblTargets[TargetType],"")</f>
        <v>BUILDING</v>
      </c>
      <c r="E114" t="s">
        <v>61</v>
      </c>
      <c r="F114" s="2" t="b">
        <f>NOT(
    _xlfn.XLOOKUP(
        tblQuestObjectives[[#This Row],[ObjectiveID]],
        tblTargetStatus[TargetID],
        tblTargetStatus[PlayerCompleted],
        FALSE
    )
)</f>
        <v>1</v>
      </c>
      <c r="G114" s="2" t="b">
        <f>_xlfn.LET(
_xlpm.acceptedID,_xlfn.TEXTBEFORE(tblQuestObjectives[[#This Row],[QuestTargetID]],".finished")&amp;".accepted",
_xlfn.XLOOKUP(
_xlpm.acceptedID,
tblTargetStatus[TargetID],
tblTargetStatus[PlayerCompleted],
FALSE
)
)</f>
        <v>0</v>
      </c>
      <c r="H114" s="2" t="str">
        <f>_xlfn.LET(
    _xlpm.name,
    _xlfn.XLOOKUP(
        tblQuestObjectives[[#This Row],[QuestTargetID]],
        tblTargetStatus[TargetID],
        tblTargetStatus[DisplayName],
        ""
    ),
    SUBSTITUTE(
        SUBSTITUTE(_xlpm.name," Accepted",""),
        " Finished",""
    )
)</f>
        <v>Shogun's Katana Chapter 1</v>
      </c>
    </row>
    <row r="115" spans="1:8" ht="43.5" hidden="1">
      <c r="A115" s="5" t="s">
        <v>2522</v>
      </c>
      <c r="C115" s="2" t="str">
        <f>_xlfn.XLOOKUP(
tblQuestObjectives[[#This Row],[ObjectiveID]],
tblTargetStatus[TargetID],
tblTargetStatus[DisplayName],
""
)</f>
        <v>Learn character skill cartographer lvl 2</v>
      </c>
      <c r="D115" s="2" t="str">
        <f>_xlfn.XLOOKUP(tblQuestObjectives[[#This Row],[ObjectiveID]],tblTargets[TargetID],tblTargets[TargetType],"")</f>
        <v>STATE</v>
      </c>
      <c r="E115" s="5" t="s">
        <v>6086</v>
      </c>
      <c r="F115" s="2" t="b">
        <f>NOT(
    _xlfn.XLOOKUP(
        tblQuestObjectives[[#This Row],[ObjectiveID]],
        tblTargetStatus[TargetID],
        tblTargetStatus[PlayerCompleted],
        FALSE
    )
)</f>
        <v>1</v>
      </c>
      <c r="G115" s="2" t="b">
        <f>_xlfn.LET(
_xlpm.acceptedID,_xlfn.TEXTBEFORE(tblQuestObjectives[[#This Row],[QuestTargetID]],".finished")&amp;".accepted",
_xlfn.XLOOKUP(
_xlpm.acceptedID,
tblTargetStatus[TargetID],
tblTargetStatus[PlayerCompleted],
FALSE
)
)</f>
        <v>0</v>
      </c>
      <c r="H115" s="2" t="str">
        <f>_xlfn.LET(
    _xlpm.name,
    _xlfn.XLOOKUP(
        tblQuestObjectives[[#This Row],[QuestTargetID]],
        tblTargetStatus[TargetID],
        tblTargetStatus[DisplayName],
        ""
    ),
    SUBSTITUTE(
        SUBSTITUTE(_xlpm.name," Accepted",""),
        " Finished",""
    )
)</f>
        <v>Shogun's Katana Chapter 1</v>
      </c>
    </row>
    <row r="116" spans="1:8" hidden="1">
      <c r="A116" s="5" t="s">
        <v>2522</v>
      </c>
      <c r="C116" s="2" t="str">
        <f>_xlfn.XLOOKUP(
tblQuestObjectives[[#This Row],[ObjectiveID]],
tblTargetStatus[TargetID],
tblTargetStatus[DisplayName],
""
)</f>
        <v>Craft level 2 map</v>
      </c>
      <c r="D116" s="2" t="str">
        <f>_xlfn.XLOOKUP(tblQuestObjectives[[#This Row],[ObjectiveID]],tblTargets[TargetID],tblTargets[TargetType],"")</f>
        <v>STATE</v>
      </c>
      <c r="E116" s="5" t="s">
        <v>5719</v>
      </c>
      <c r="F116" s="2" t="b">
        <f>NOT(
    _xlfn.XLOOKUP(
        tblQuestObjectives[[#This Row],[ObjectiveID]],
        tblTargetStatus[TargetID],
        tblTargetStatus[PlayerCompleted],
        FALSE
    )
)</f>
        <v>1</v>
      </c>
      <c r="G116" s="2" t="b">
        <f>_xlfn.LET(
_xlpm.acceptedID,_xlfn.TEXTBEFORE(tblQuestObjectives[[#This Row],[QuestTargetID]],".finished")&amp;".accepted",
_xlfn.XLOOKUP(
_xlpm.acceptedID,
tblTargetStatus[TargetID],
tblTargetStatus[PlayerCompleted],
FALSE
)
)</f>
        <v>0</v>
      </c>
      <c r="H116" s="2" t="str">
        <f>_xlfn.LET(
    _xlpm.name,
    _xlfn.XLOOKUP(
        tblQuestObjectives[[#This Row],[QuestTargetID]],
        tblTargetStatus[TargetID],
        tblTargetStatus[DisplayName],
        ""
    ),
    SUBSTITUTE(
        SUBSTITUTE(_xlpm.name," Accepted",""),
        " Finished",""
    )
)</f>
        <v>Shogun's Katana Chapter 1</v>
      </c>
    </row>
    <row r="117" spans="1:8" ht="29" hidden="1">
      <c r="A117" s="5" t="s">
        <v>2522</v>
      </c>
      <c r="C117" s="2" t="str">
        <f>_xlfn.XLOOKUP(
tblQuestObjectives[[#This Row],[ObjectiveID]],
tblTargetStatus[TargetID],
tblTargetStatus[DisplayName],
""
)</f>
        <v>Obtain level 2 artifact</v>
      </c>
      <c r="D117" s="2" t="str">
        <f>_xlfn.XLOOKUP(tblQuestObjectives[[#This Row],[ObjectiveID]],tblTargets[TargetID],tblTargets[TargetType],"")</f>
        <v>STATE</v>
      </c>
      <c r="E117" s="5" t="s">
        <v>5720</v>
      </c>
      <c r="F117" s="2" t="b">
        <f>NOT(
    _xlfn.XLOOKUP(
        tblQuestObjectives[[#This Row],[ObjectiveID]],
        tblTargetStatus[TargetID],
        tblTargetStatus[PlayerCompleted],
        FALSE
    )
)</f>
        <v>1</v>
      </c>
      <c r="G117" s="2" t="b">
        <f>_xlfn.LET(
_xlpm.acceptedID,_xlfn.TEXTBEFORE(tblQuestObjectives[[#This Row],[QuestTargetID]],".finished")&amp;".accepted",
_xlfn.XLOOKUP(
_xlpm.acceptedID,
tblTargetStatus[TargetID],
tblTargetStatus[PlayerCompleted],
FALSE
)
)</f>
        <v>0</v>
      </c>
      <c r="H117" s="2" t="str">
        <f>_xlfn.LET(
    _xlpm.name,
    _xlfn.XLOOKUP(
        tblQuestObjectives[[#This Row],[QuestTargetID]],
        tblTargetStatus[TargetID],
        tblTargetStatus[DisplayName],
        ""
    ),
    SUBSTITUTE(
        SUBSTITUTE(_xlpm.name," Accepted",""),
        " Finished",""
    )
)</f>
        <v>Shogun's Katana Chapter 1</v>
      </c>
    </row>
    <row r="118" spans="1:8" hidden="1">
      <c r="A118" s="5" t="s">
        <v>2524</v>
      </c>
      <c r="C118" s="2" t="str">
        <f>_xlfn.XLOOKUP(
tblQuestObjectives[[#This Row],[ObjectiveID]],
tblTargetStatus[TargetID],
tblTargetStatus[DisplayName],
""
)</f>
        <v>Pier Lv 1</v>
      </c>
      <c r="D118" s="2" t="str">
        <f>_xlfn.XLOOKUP(tblQuestObjectives[[#This Row],[ObjectiveID]],tblTargets[TargetID],tblTargets[TargetType],"")</f>
        <v>BUILDING</v>
      </c>
      <c r="E118" t="s">
        <v>109</v>
      </c>
      <c r="F118" s="2" t="b">
        <f>NOT(
    _xlfn.XLOOKUP(
        tblQuestObjectives[[#This Row],[ObjectiveID]],
        tblTargetStatus[TargetID],
        tblTargetStatus[PlayerCompleted],
        FALSE
    )
)</f>
        <v>1</v>
      </c>
      <c r="G118" s="2" t="b">
        <f>_xlfn.LET(
_xlpm.acceptedID,_xlfn.TEXTBEFORE(tblQuestObjectives[[#This Row],[QuestTargetID]],".finished")&amp;".accepted",
_xlfn.XLOOKUP(
_xlpm.acceptedID,
tblTargetStatus[TargetID],
tblTargetStatus[PlayerCompleted],
FALSE
)
)</f>
        <v>0</v>
      </c>
      <c r="H118" s="2" t="str">
        <f>_xlfn.LET(
    _xlpm.name,
    _xlfn.XLOOKUP(
        tblQuestObjectives[[#This Row],[QuestTargetID]],
        tblTargetStatus[TargetID],
        tblTargetStatus[DisplayName],
        ""
    ),
    SUBSTITUTE(
        SUBSTITUTE(_xlpm.name," Accepted",""),
        " Finished",""
    )
)</f>
        <v>Shogun's Katana Chapter 2</v>
      </c>
    </row>
    <row r="119" spans="1:8" hidden="1">
      <c r="A119" s="5" t="s">
        <v>2524</v>
      </c>
      <c r="C119" s="2" t="str">
        <f>_xlfn.XLOOKUP(
tblQuestObjectives[[#This Row],[ObjectiveID]],
tblTargetStatus[TargetID],
tblTargetStatus[DisplayName],
""
)</f>
        <v>Warehouse Lv 1</v>
      </c>
      <c r="D119" s="2" t="str">
        <f>_xlfn.XLOOKUP(tblQuestObjectives[[#This Row],[ObjectiveID]],tblTargets[TargetID],tblTargets[TargetType],"")</f>
        <v>BUILDING</v>
      </c>
      <c r="E119" t="s">
        <v>146</v>
      </c>
      <c r="F119" s="2" t="b">
        <f>NOT(
    _xlfn.XLOOKUP(
        tblQuestObjectives[[#This Row],[ObjectiveID]],
        tblTargetStatus[TargetID],
        tblTargetStatus[PlayerCompleted],
        FALSE
    )
)</f>
        <v>1</v>
      </c>
      <c r="G119" s="2" t="b">
        <f>_xlfn.LET(
_xlpm.acceptedID,_xlfn.TEXTBEFORE(tblQuestObjectives[[#This Row],[QuestTargetID]],".finished")&amp;".accepted",
_xlfn.XLOOKUP(
_xlpm.acceptedID,
tblTargetStatus[TargetID],
tblTargetStatus[PlayerCompleted],
FALSE
)
)</f>
        <v>0</v>
      </c>
      <c r="H119" s="2" t="str">
        <f>_xlfn.LET(
    _xlpm.name,
    _xlfn.XLOOKUP(
        tblQuestObjectives[[#This Row],[QuestTargetID]],
        tblTargetStatus[TargetID],
        tblTargetStatus[DisplayName],
        ""
    ),
    SUBSTITUTE(
        SUBSTITUTE(_xlpm.name," Accepted",""),
        " Finished",""
    )
)</f>
        <v>Shogun's Katana Chapter 2</v>
      </c>
    </row>
    <row r="120" spans="1:8" hidden="1">
      <c r="A120" s="5" t="s">
        <v>2524</v>
      </c>
      <c r="C120" s="2" t="str">
        <f>_xlfn.XLOOKUP(
tblQuestObjectives[[#This Row],[ObjectiveID]],
tblTargetStatus[TargetID],
tblTargetStatus[DisplayName],
""
)</f>
        <v>Lumber Lv 3</v>
      </c>
      <c r="D120" s="2" t="str">
        <f>_xlfn.XLOOKUP(tblQuestObjectives[[#This Row],[ObjectiveID]],tblTargets[TargetID],tblTargets[TargetType],"")</f>
        <v>BUILDING</v>
      </c>
      <c r="E120" t="s">
        <v>93</v>
      </c>
      <c r="F120" s="2" t="b">
        <f>NOT(
    _xlfn.XLOOKUP(
        tblQuestObjectives[[#This Row],[ObjectiveID]],
        tblTargetStatus[TargetID],
        tblTargetStatus[PlayerCompleted],
        FALSE
    )
)</f>
        <v>1</v>
      </c>
      <c r="G120" s="2" t="b">
        <f>_xlfn.LET(
_xlpm.acceptedID,_xlfn.TEXTBEFORE(tblQuestObjectives[[#This Row],[QuestTargetID]],".finished")&amp;".accepted",
_xlfn.XLOOKUP(
_xlpm.acceptedID,
tblTargetStatus[TargetID],
tblTargetStatus[PlayerCompleted],
FALSE
)
)</f>
        <v>0</v>
      </c>
      <c r="H120" s="2" t="str">
        <f>_xlfn.LET(
    _xlpm.name,
    _xlfn.XLOOKUP(
        tblQuestObjectives[[#This Row],[QuestTargetID]],
        tblTargetStatus[TargetID],
        tblTargetStatus[DisplayName],
        ""
    ),
    SUBSTITUTE(
        SUBSTITUTE(_xlpm.name," Accepted",""),
        " Finished",""
    )
)</f>
        <v>Shogun's Katana Chapter 2</v>
      </c>
    </row>
    <row r="121" spans="1:8" ht="29" hidden="1">
      <c r="A121" s="5" t="s">
        <v>2524</v>
      </c>
      <c r="C121" s="2" t="str">
        <f>_xlfn.XLOOKUP(
tblQuestObjectives[[#This Row],[ObjectiveID]],
tblTargetStatus[TargetID],
tblTargetStatus[DisplayName],
""
)</f>
        <v>Obtain level 3 artifact</v>
      </c>
      <c r="D121" s="2" t="str">
        <f>_xlfn.XLOOKUP(tblQuestObjectives[[#This Row],[ObjectiveID]],tblTargets[TargetID],tblTargets[TargetType],"")</f>
        <v>STATE</v>
      </c>
      <c r="E121" t="s">
        <v>5721</v>
      </c>
      <c r="F121" s="2" t="b">
        <f>NOT(
    _xlfn.XLOOKUP(
        tblQuestObjectives[[#This Row],[ObjectiveID]],
        tblTargetStatus[TargetID],
        tblTargetStatus[PlayerCompleted],
        FALSE
    )
)</f>
        <v>1</v>
      </c>
      <c r="G121" s="2" t="b">
        <f>_xlfn.LET(
_xlpm.acceptedID,_xlfn.TEXTBEFORE(tblQuestObjectives[[#This Row],[QuestTargetID]],".finished")&amp;".accepted",
_xlfn.XLOOKUP(
_xlpm.acceptedID,
tblTargetStatus[TargetID],
tblTargetStatus[PlayerCompleted],
FALSE
)
)</f>
        <v>0</v>
      </c>
      <c r="H121" s="2" t="str">
        <f>_xlfn.LET(
    _xlpm.name,
    _xlfn.XLOOKUP(
        tblQuestObjectives[[#This Row],[QuestTargetID]],
        tblTargetStatus[TargetID],
        tblTargetStatus[DisplayName],
        ""
    ),
    SUBSTITUTE(
        SUBSTITUTE(_xlpm.name," Accepted",""),
        " Finished",""
    )
)</f>
        <v>Shogun's Katana Chapter 2</v>
      </c>
    </row>
    <row r="122" spans="1:8" ht="29" hidden="1">
      <c r="A122" s="5" t="s">
        <v>2524</v>
      </c>
      <c r="C122" s="2" t="str">
        <f>_xlfn.XLOOKUP(
tblQuestObjectives[[#This Row],[ObjectiveID]],
tblTargetStatus[TargetID],
tblTargetStatus[DisplayName],
""
)</f>
        <v>Character Level@22</v>
      </c>
      <c r="D122" s="2" t="str">
        <f>_xlfn.XLOOKUP(tblQuestObjectives[[#This Row],[ObjectiveID]],tblTargets[TargetID],tblTargets[TargetType],"")</f>
        <v>STATE</v>
      </c>
      <c r="E122" t="s">
        <v>3340</v>
      </c>
      <c r="F122" s="2" t="b">
        <f>NOT(
    _xlfn.XLOOKUP(
        tblQuestObjectives[[#This Row],[ObjectiveID]],
        tblTargetStatus[TargetID],
        tblTargetStatus[PlayerCompleted],
        FALSE
    )
)</f>
        <v>1</v>
      </c>
      <c r="G122" s="2" t="b">
        <f>_xlfn.LET(
_xlpm.acceptedID,_xlfn.TEXTBEFORE(tblQuestObjectives[[#This Row],[QuestTargetID]],".finished")&amp;".accepted",
_xlfn.XLOOKUP(
_xlpm.acceptedID,
tblTargetStatus[TargetID],
tblTargetStatus[PlayerCompleted],
FALSE
)
)</f>
        <v>0</v>
      </c>
      <c r="H122" s="2" t="str">
        <f>_xlfn.LET(
    _xlpm.name,
    _xlfn.XLOOKUP(
        tblQuestObjectives[[#This Row],[QuestTargetID]],
        tblTargetStatus[TargetID],
        tblTargetStatus[DisplayName],
        ""
    ),
    SUBSTITUTE(
        SUBSTITUTE(_xlpm.name," Accepted",""),
        " Finished",""
    )
)</f>
        <v>Shogun's Katana Chapter 2</v>
      </c>
    </row>
    <row r="123" spans="1:8" hidden="1">
      <c r="A123" s="5" t="s">
        <v>2526</v>
      </c>
      <c r="C123" s="2" t="str">
        <f>_xlfn.XLOOKUP(
tblQuestObjectives[[#This Row],[ObjectiveID]],
tblTargetStatus[TargetID],
tblTargetStatus[DisplayName],
""
)</f>
        <v>Ship Lv 1</v>
      </c>
      <c r="D123" s="2" t="str">
        <f>_xlfn.XLOOKUP(tblQuestObjectives[[#This Row],[ObjectiveID]],tblTargets[TargetID],tblTargets[TargetType],"")</f>
        <v>BUILDING</v>
      </c>
      <c r="E123" s="5" t="s">
        <v>116</v>
      </c>
      <c r="F123" s="2" t="b">
        <f>NOT(
    _xlfn.XLOOKUP(
        tblQuestObjectives[[#This Row],[ObjectiveID]],
        tblTargetStatus[TargetID],
        tblTargetStatus[PlayerCompleted],
        FALSE
    )
)</f>
        <v>1</v>
      </c>
      <c r="G123" s="2" t="b">
        <f>_xlfn.LET(
_xlpm.acceptedID,_xlfn.TEXTBEFORE(tblQuestObjectives[[#This Row],[QuestTargetID]],".finished")&amp;".accepted",
_xlfn.XLOOKUP(
_xlpm.acceptedID,
tblTargetStatus[TargetID],
tblTargetStatus[PlayerCompleted],
FALSE
)
)</f>
        <v>0</v>
      </c>
      <c r="H123" s="2" t="str">
        <f>_xlfn.LET(
    _xlpm.name,
    _xlfn.XLOOKUP(
        tblQuestObjectives[[#This Row],[QuestTargetID]],
        tblTargetStatus[TargetID],
        tblTargetStatus[DisplayName],
        ""
    ),
    SUBSTITUTE(
        SUBSTITUTE(_xlpm.name," Accepted",""),
        " Finished",""
    )
)</f>
        <v>Shogun's Katana Chapter 3</v>
      </c>
    </row>
    <row r="124" spans="1:8" ht="29" hidden="1">
      <c r="A124" s="5" t="s">
        <v>2526</v>
      </c>
      <c r="C124" s="2" t="str">
        <f>_xlfn.XLOOKUP(
tblQuestObjectives[[#This Row],[ObjectiveID]],
tblTargetStatus[TargetID],
tblTargetStatus[DisplayName],
""
)</f>
        <v>Character Level@24</v>
      </c>
      <c r="D124" s="2" t="str">
        <f>_xlfn.XLOOKUP(tblQuestObjectives[[#This Row],[ObjectiveID]],tblTargets[TargetID],tblTargets[TargetType],"")</f>
        <v>STATE</v>
      </c>
      <c r="E124" s="5" t="s">
        <v>3319</v>
      </c>
      <c r="F124" s="2" t="b">
        <f>NOT(
    _xlfn.XLOOKUP(
        tblQuestObjectives[[#This Row],[ObjectiveID]],
        tblTargetStatus[TargetID],
        tblTargetStatus[PlayerCompleted],
        FALSE
    )
)</f>
        <v>1</v>
      </c>
      <c r="G124" s="2" t="b">
        <f>_xlfn.LET(
_xlpm.acceptedID,_xlfn.TEXTBEFORE(tblQuestObjectives[[#This Row],[QuestTargetID]],".finished")&amp;".accepted",
_xlfn.XLOOKUP(
_xlpm.acceptedID,
tblTargetStatus[TargetID],
tblTargetStatus[PlayerCompleted],
FALSE
)
)</f>
        <v>0</v>
      </c>
      <c r="H124" s="2" t="str">
        <f>_xlfn.LET(
    _xlpm.name,
    _xlfn.XLOOKUP(
        tblQuestObjectives[[#This Row],[QuestTargetID]],
        tblTargetStatus[TargetID],
        tblTargetStatus[DisplayName],
        ""
    ),
    SUBSTITUTE(
        SUBSTITUTE(_xlpm.name," Accepted",""),
        " Finished",""
    )
)</f>
        <v>Shogun's Katana Chapter 3</v>
      </c>
    </row>
    <row r="125" spans="1:8" hidden="1">
      <c r="A125" s="5" t="s">
        <v>2526</v>
      </c>
      <c r="C125" s="2" t="str">
        <f>_xlfn.XLOOKUP(
tblQuestObjectives[[#This Row],[ObjectiveID]],
tblTargetStatus[TargetID],
tblTargetStatus[DisplayName],
""
)</f>
        <v>Food Stall Lv 2</v>
      </c>
      <c r="D125" s="2" t="str">
        <f>_xlfn.XLOOKUP(tblQuestObjectives[[#This Row],[ObjectiveID]],tblTargets[TargetID],tblTargets[TargetType],"")</f>
        <v>BUILDING</v>
      </c>
      <c r="E125" s="5" t="s">
        <v>59</v>
      </c>
      <c r="F125" s="2" t="b">
        <f>NOT(
    _xlfn.XLOOKUP(
        tblQuestObjectives[[#This Row],[ObjectiveID]],
        tblTargetStatus[TargetID],
        tblTargetStatus[PlayerCompleted],
        FALSE
    )
)</f>
        <v>1</v>
      </c>
      <c r="G125" s="2" t="b">
        <f>_xlfn.LET(
_xlpm.acceptedID,_xlfn.TEXTBEFORE(tblQuestObjectives[[#This Row],[QuestTargetID]],".finished")&amp;".accepted",
_xlfn.XLOOKUP(
_xlpm.acceptedID,
tblTargetStatus[TargetID],
tblTargetStatus[PlayerCompleted],
FALSE
)
)</f>
        <v>0</v>
      </c>
      <c r="H125" s="2" t="str">
        <f>_xlfn.LET(
    _xlpm.name,
    _xlfn.XLOOKUP(
        tblQuestObjectives[[#This Row],[QuestTargetID]],
        tblTargetStatus[TargetID],
        tblTargetStatus[DisplayName],
        ""
    ),
    SUBSTITUTE(
        SUBSTITUTE(_xlpm.name," Accepted",""),
        " Finished",""
    )
)</f>
        <v>Shogun's Katana Chapter 3</v>
      </c>
    </row>
    <row r="126" spans="1:8" ht="58" hidden="1">
      <c r="A126" s="5" t="s">
        <v>2526</v>
      </c>
      <c r="C126" s="2" t="str">
        <f>_xlfn.XLOOKUP(
tblQuestObjectives[[#This Row],[ObjectiveID]],
tblTargetStatus[TargetID],
tblTargetStatus[DisplayName],
""
)</f>
        <v>Purchase Smuggler's map for 100 coffee beans</v>
      </c>
      <c r="D126" s="2" t="str">
        <f>_xlfn.XLOOKUP(tblQuestObjectives[[#This Row],[ObjectiveID]],tblTargets[TargetID],tblTargets[TargetType],"")</f>
        <v>STATE</v>
      </c>
      <c r="E126" t="s">
        <v>5724</v>
      </c>
      <c r="F126" s="2" t="b">
        <f>NOT(
    _xlfn.XLOOKUP(
        tblQuestObjectives[[#This Row],[ObjectiveID]],
        tblTargetStatus[TargetID],
        tblTargetStatus[PlayerCompleted],
        FALSE
    )
)</f>
        <v>1</v>
      </c>
      <c r="G126" s="2" t="b">
        <f>_xlfn.LET(
_xlpm.acceptedID,_xlfn.TEXTBEFORE(tblQuestObjectives[[#This Row],[QuestTargetID]],".finished")&amp;".accepted",
_xlfn.XLOOKUP(
_xlpm.acceptedID,
tblTargetStatus[TargetID],
tblTargetStatus[PlayerCompleted],
FALSE
)
)</f>
        <v>0</v>
      </c>
      <c r="H126" s="2" t="str">
        <f>_xlfn.LET(
    _xlpm.name,
    _xlfn.XLOOKUP(
        tblQuestObjectives[[#This Row],[QuestTargetID]],
        tblTargetStatus[TargetID],
        tblTargetStatus[DisplayName],
        ""
    ),
    SUBSTITUTE(
        SUBSTITUTE(_xlpm.name," Accepted",""),
        " Finished",""
    )
)</f>
        <v>Shogun's Katana Chapter 3</v>
      </c>
    </row>
    <row r="127" spans="1:8" ht="43.5" hidden="1">
      <c r="A127" s="5" t="s">
        <v>2528</v>
      </c>
      <c r="C127" s="2" t="str">
        <f>_xlfn.XLOOKUP(
tblQuestObjectives[[#This Row],[ObjectiveID]],
tblTargetStatus[TargetID],
tblTargetStatus[DisplayName],
""
)</f>
        <v>Purchase Smuggler's map for 10 spices</v>
      </c>
      <c r="D127" s="2" t="str">
        <f>_xlfn.XLOOKUP(tblQuestObjectives[[#This Row],[ObjectiveID]],tblTargets[TargetID],tblTargets[TargetType],"")</f>
        <v>STATE</v>
      </c>
      <c r="E127" s="5" t="s">
        <v>5725</v>
      </c>
      <c r="F127" s="2" t="b">
        <f>NOT(
    _xlfn.XLOOKUP(
        tblQuestObjectives[[#This Row],[ObjectiveID]],
        tblTargetStatus[TargetID],
        tblTargetStatus[PlayerCompleted],
        FALSE
    )
)</f>
        <v>1</v>
      </c>
      <c r="G127" s="2" t="b">
        <f>_xlfn.LET(
_xlpm.acceptedID,_xlfn.TEXTBEFORE(tblQuestObjectives[[#This Row],[QuestTargetID]],".finished")&amp;".accepted",
_xlfn.XLOOKUP(
_xlpm.acceptedID,
tblTargetStatus[TargetID],
tblTargetStatus[PlayerCompleted],
FALSE
)
)</f>
        <v>0</v>
      </c>
      <c r="H127" s="2" t="str">
        <f>_xlfn.LET(
    _xlpm.name,
    _xlfn.XLOOKUP(
        tblQuestObjectives[[#This Row],[QuestTargetID]],
        tblTargetStatus[TargetID],
        tblTargetStatus[DisplayName],
        ""
    ),
    SUBSTITUTE(
        SUBSTITUTE(_xlpm.name," Accepted",""),
        " Finished",""
    )
)</f>
        <v>Shogun's Katana Chapter 4</v>
      </c>
    </row>
    <row r="128" spans="1:8" ht="29" hidden="1">
      <c r="A128" s="5" t="s">
        <v>2528</v>
      </c>
      <c r="C128" s="2" t="str">
        <f>_xlfn.XLOOKUP(
tblQuestObjectives[[#This Row],[ObjectiveID]],
tblTargetStatus[TargetID],
tblTargetStatus[DisplayName],
""
)</f>
        <v>Obtain Ship in a bottle</v>
      </c>
      <c r="D128" s="2" t="str">
        <f>_xlfn.XLOOKUP(tblQuestObjectives[[#This Row],[ObjectiveID]],tblTargets[TargetID],tblTargets[TargetType],"")</f>
        <v>STATE</v>
      </c>
      <c r="E128" t="s">
        <v>5723</v>
      </c>
      <c r="F128" s="2" t="b">
        <f>NOT(
    _xlfn.XLOOKUP(
        tblQuestObjectives[[#This Row],[ObjectiveID]],
        tblTargetStatus[TargetID],
        tblTargetStatus[PlayerCompleted],
        FALSE
    )
)</f>
        <v>1</v>
      </c>
      <c r="G128" s="2" t="b">
        <f>_xlfn.LET(
_xlpm.acceptedID,_xlfn.TEXTBEFORE(tblQuestObjectives[[#This Row],[QuestTargetID]],".finished")&amp;".accepted",
_xlfn.XLOOKUP(
_xlpm.acceptedID,
tblTargetStatus[TargetID],
tblTargetStatus[PlayerCompleted],
FALSE
)
)</f>
        <v>0</v>
      </c>
      <c r="H128" s="2" t="str">
        <f>_xlfn.LET(
    _xlpm.name,
    _xlfn.XLOOKUP(
        tblQuestObjectives[[#This Row],[QuestTargetID]],
        tblTargetStatus[TargetID],
        tblTargetStatus[DisplayName],
        ""
    ),
    SUBSTITUTE(
        SUBSTITUTE(_xlpm.name," Accepted",""),
        " Finished",""
    )
)</f>
        <v>Shogun's Katana Chapter 4</v>
      </c>
    </row>
    <row r="129" spans="1:8" hidden="1">
      <c r="A129" s="5" t="s">
        <v>2528</v>
      </c>
      <c r="C129" s="2" t="str">
        <f>_xlfn.XLOOKUP(
tblQuestObjectives[[#This Row],[ObjectiveID]],
tblTargetStatus[TargetID],
tblTargetStatus[DisplayName],
""
)</f>
        <v>Ship Lv 2</v>
      </c>
      <c r="D129" s="2" t="str">
        <f>_xlfn.XLOOKUP(tblQuestObjectives[[#This Row],[ObjectiveID]],tblTargets[TargetID],tblTargets[TargetType],"")</f>
        <v>BUILDING</v>
      </c>
      <c r="E129" t="s">
        <v>118</v>
      </c>
      <c r="F129" s="2" t="b">
        <f>NOT(
    _xlfn.XLOOKUP(
        tblQuestObjectives[[#This Row],[ObjectiveID]],
        tblTargetStatus[TargetID],
        tblTargetStatus[PlayerCompleted],
        FALSE
    )
)</f>
        <v>1</v>
      </c>
      <c r="G129" s="2" t="b">
        <f>_xlfn.LET(
_xlpm.acceptedID,_xlfn.TEXTBEFORE(tblQuestObjectives[[#This Row],[QuestTargetID]],".finished")&amp;".accepted",
_xlfn.XLOOKUP(
_xlpm.acceptedID,
tblTargetStatus[TargetID],
tblTargetStatus[PlayerCompleted],
FALSE
)
)</f>
        <v>0</v>
      </c>
      <c r="H129" s="2" t="str">
        <f>_xlfn.LET(
    _xlpm.name,
    _xlfn.XLOOKUP(
        tblQuestObjectives[[#This Row],[QuestTargetID]],
        tblTargetStatus[TargetID],
        tblTargetStatus[DisplayName],
        ""
    ),
    SUBSTITUTE(
        SUBSTITUTE(_xlpm.name," Accepted",""),
        " Finished",""
    )
)</f>
        <v>Shogun's Katana Chapter 4</v>
      </c>
    </row>
    <row r="130" spans="1:8" ht="29" hidden="1">
      <c r="A130" s="5" t="s">
        <v>2528</v>
      </c>
      <c r="C130" s="2" t="str">
        <f>_xlfn.XLOOKUP(
tblQuestObjectives[[#This Row],[ObjectiveID]],
tblTargetStatus[TargetID],
tblTargetStatus[DisplayName],
""
)</f>
        <v>Attain level 2 cooking skill</v>
      </c>
      <c r="D130" s="2" t="str">
        <f>_xlfn.XLOOKUP(tblQuestObjectives[[#This Row],[ObjectiveID]],tblTargets[TargetID],tblTargets[TargetType],"")</f>
        <v>STATE</v>
      </c>
      <c r="E130" t="s">
        <v>6090</v>
      </c>
      <c r="F130" s="2" t="b">
        <f>NOT(
    _xlfn.XLOOKUP(
        tblQuestObjectives[[#This Row],[ObjectiveID]],
        tblTargetStatus[TargetID],
        tblTargetStatus[PlayerCompleted],
        FALSE
    )
)</f>
        <v>1</v>
      </c>
      <c r="G130" s="2" t="b">
        <f>_xlfn.LET(
_xlpm.acceptedID,_xlfn.TEXTBEFORE(tblQuestObjectives[[#This Row],[QuestTargetID]],".finished")&amp;".accepted",
_xlfn.XLOOKUP(
_xlpm.acceptedID,
tblTargetStatus[TargetID],
tblTargetStatus[PlayerCompleted],
FALSE
)
)</f>
        <v>0</v>
      </c>
      <c r="H130" s="2" t="str">
        <f>_xlfn.LET(
    _xlpm.name,
    _xlfn.XLOOKUP(
        tblQuestObjectives[[#This Row],[QuestTargetID]],
        tblTargetStatus[TargetID],
        tblTargetStatus[DisplayName],
        ""
    ),
    SUBSTITUTE(
        SUBSTITUTE(_xlpm.name," Accepted",""),
        " Finished",""
    )
)</f>
        <v>Shogun's Katana Chapter 4</v>
      </c>
    </row>
    <row r="131" spans="1:8" ht="29" hidden="1">
      <c r="A131" s="5" t="s">
        <v>2530</v>
      </c>
      <c r="C131" s="2" t="str">
        <f>_xlfn.XLOOKUP(
tblQuestObjectives[[#This Row],[ObjectiveID]],
tblTargetStatus[TargetID],
tblTargetStatus[DisplayName],
""
)</f>
        <v>Attain level 3 cooking skill</v>
      </c>
      <c r="D131" s="2" t="str">
        <f>_xlfn.XLOOKUP(tblQuestObjectives[[#This Row],[ObjectiveID]],tblTargets[TargetID],tblTargets[TargetType],"")</f>
        <v>STATE</v>
      </c>
      <c r="E131" t="s">
        <v>6091</v>
      </c>
      <c r="F131" s="2" t="b">
        <f>NOT(
    _xlfn.XLOOKUP(
        tblQuestObjectives[[#This Row],[ObjectiveID]],
        tblTargetStatus[TargetID],
        tblTargetStatus[PlayerCompleted],
        FALSE
    )
)</f>
        <v>1</v>
      </c>
      <c r="G131" s="2" t="b">
        <f>_xlfn.LET(
_xlpm.acceptedID,_xlfn.TEXTBEFORE(tblQuestObjectives[[#This Row],[QuestTargetID]],".finished")&amp;".accepted",
_xlfn.XLOOKUP(
_xlpm.acceptedID,
tblTargetStatus[TargetID],
tblTargetStatus[PlayerCompleted],
FALSE
)
)</f>
        <v>0</v>
      </c>
      <c r="H131" s="2" t="str">
        <f>_xlfn.LET(
    _xlpm.name,
    _xlfn.XLOOKUP(
        tblQuestObjectives[[#This Row],[QuestTargetID]],
        tblTargetStatus[TargetID],
        tblTargetStatus[DisplayName],
        ""
    ),
    SUBSTITUTE(
        SUBSTITUTE(_xlpm.name," Accepted",""),
        " Finished",""
    )
)</f>
        <v>Shogun's Katana Chapter 5</v>
      </c>
    </row>
    <row r="132" spans="1:8" hidden="1">
      <c r="A132" s="5" t="s">
        <v>2530</v>
      </c>
      <c r="C132" s="2" t="str">
        <f>_xlfn.XLOOKUP(
tblQuestObjectives[[#This Row],[ObjectiveID]],
tblTargetStatus[TargetID],
tblTargetStatus[DisplayName],
""
)</f>
        <v>Ship Lv 3</v>
      </c>
      <c r="D132" s="2" t="str">
        <f>_xlfn.XLOOKUP(tblQuestObjectives[[#This Row],[ObjectiveID]],tblTargets[TargetID],tblTargets[TargetType],"")</f>
        <v>BUILDING</v>
      </c>
      <c r="E132" t="s">
        <v>119</v>
      </c>
      <c r="F132" s="2" t="b">
        <f>NOT(
    _xlfn.XLOOKUP(
        tblQuestObjectives[[#This Row],[ObjectiveID]],
        tblTargetStatus[TargetID],
        tblTargetStatus[PlayerCompleted],
        FALSE
    )
)</f>
        <v>1</v>
      </c>
      <c r="G132" s="2" t="b">
        <f>_xlfn.LET(
_xlpm.acceptedID,_xlfn.TEXTBEFORE(tblQuestObjectives[[#This Row],[QuestTargetID]],".finished")&amp;".accepted",
_xlfn.XLOOKUP(
_xlpm.acceptedID,
tblTargetStatus[TargetID],
tblTargetStatus[PlayerCompleted],
FALSE
)
)</f>
        <v>0</v>
      </c>
      <c r="H132" s="2" t="str">
        <f>_xlfn.LET(
    _xlpm.name,
    _xlfn.XLOOKUP(
        tblQuestObjectives[[#This Row],[QuestTargetID]],
        tblTargetStatus[TargetID],
        tblTargetStatus[DisplayName],
        ""
    ),
    SUBSTITUTE(
        SUBSTITUTE(_xlpm.name," Accepted",""),
        " Finished",""
    )
)</f>
        <v>Shogun's Katana Chapter 5</v>
      </c>
    </row>
    <row r="133" spans="1:8" ht="43.5" hidden="1">
      <c r="A133" s="5" t="s">
        <v>2530</v>
      </c>
      <c r="C133" s="2" t="str">
        <f>_xlfn.XLOOKUP(
tblQuestObjectives[[#This Row],[ObjectiveID]],
tblTargetStatus[TargetID],
tblTargetStatus[DisplayName],
""
)</f>
        <v>Purchase Smuggler's map for 15 pearl</v>
      </c>
      <c r="D133" s="2" t="str">
        <f>_xlfn.XLOOKUP(tblQuestObjectives[[#This Row],[ObjectiveID]],tblTargets[TargetID],tblTargets[TargetType],"")</f>
        <v>STATE</v>
      </c>
      <c r="E133" t="s">
        <v>5726</v>
      </c>
      <c r="F133" s="2" t="b">
        <f>NOT(
    _xlfn.XLOOKUP(
        tblQuestObjectives[[#This Row],[ObjectiveID]],
        tblTargetStatus[TargetID],
        tblTargetStatus[PlayerCompleted],
        FALSE
    )
)</f>
        <v>1</v>
      </c>
      <c r="G133" s="2" t="b">
        <f>_xlfn.LET(
_xlpm.acceptedID,_xlfn.TEXTBEFORE(tblQuestObjectives[[#This Row],[QuestTargetID]],".finished")&amp;".accepted",
_xlfn.XLOOKUP(
_xlpm.acceptedID,
tblTargetStatus[TargetID],
tblTargetStatus[PlayerCompleted],
FALSE
)
)</f>
        <v>0</v>
      </c>
      <c r="H133" s="2" t="str">
        <f>_xlfn.LET(
    _xlpm.name,
    _xlfn.XLOOKUP(
        tblQuestObjectives[[#This Row],[QuestTargetID]],
        tblTargetStatus[TargetID],
        tblTargetStatus[DisplayName],
        ""
    ),
    SUBSTITUTE(
        SUBSTITUTE(_xlpm.name," Accepted",""),
        " Finished",""
    )
)</f>
        <v>Shogun's Katana Chapter 5</v>
      </c>
    </row>
    <row r="134" spans="1:8" hidden="1">
      <c r="A134" s="5" t="s">
        <v>2532</v>
      </c>
      <c r="C134" s="2" t="str">
        <f>_xlfn.XLOOKUP(
tblQuestObjectives[[#This Row],[ObjectiveID]],
tblTargetStatus[TargetID],
tblTargetStatus[DisplayName],
""
)</f>
        <v>Ship Lv 3</v>
      </c>
      <c r="D134" s="2" t="str">
        <f>_xlfn.XLOOKUP(tblQuestObjectives[[#This Row],[ObjectiveID]],tblTargets[TargetID],tblTargets[TargetType],"")</f>
        <v>BUILDING</v>
      </c>
      <c r="E134" t="s">
        <v>119</v>
      </c>
      <c r="F134" s="2" t="b">
        <f>NOT(
    _xlfn.XLOOKUP(
        tblQuestObjectives[[#This Row],[ObjectiveID]],
        tblTargetStatus[TargetID],
        tblTargetStatus[PlayerCompleted],
        FALSE
    )
)</f>
        <v>1</v>
      </c>
      <c r="G134" s="2" t="b">
        <f>_xlfn.LET(
_xlpm.acceptedID,_xlfn.TEXTBEFORE(tblQuestObjectives[[#This Row],[QuestTargetID]],".finished")&amp;".accepted",
_xlfn.XLOOKUP(
_xlpm.acceptedID,
tblTargetStatus[TargetID],
tblTargetStatus[PlayerCompleted],
FALSE
)
)</f>
        <v>0</v>
      </c>
      <c r="H134" s="2" t="str">
        <f>_xlfn.LET(
    _xlpm.name,
    _xlfn.XLOOKUP(
        tblQuestObjectives[[#This Row],[QuestTargetID]],
        tblTargetStatus[TargetID],
        tblTargetStatus[DisplayName],
        ""
    ),
    SUBSTITUTE(
        SUBSTITUTE(_xlpm.name," Accepted",""),
        " Finished",""
    )
)</f>
        <v>Shogun's Katana Chapter 6</v>
      </c>
    </row>
    <row r="135" spans="1:8" ht="29" hidden="1">
      <c r="A135" s="5" t="s">
        <v>2532</v>
      </c>
      <c r="C135" s="2" t="str">
        <f>_xlfn.XLOOKUP(
tblQuestObjectives[[#This Row],[ObjectiveID]],
tblTargetStatus[TargetID],
tblTargetStatus[DisplayName],
""
)</f>
        <v>Attain level 3 cooking skill</v>
      </c>
      <c r="D135" s="2" t="str">
        <f>_xlfn.XLOOKUP(tblQuestObjectives[[#This Row],[ObjectiveID]],tblTargets[TargetID],tblTargets[TargetType],"")</f>
        <v>STATE</v>
      </c>
      <c r="E135" t="s">
        <v>6091</v>
      </c>
      <c r="F135" s="2" t="b">
        <f>NOT(
    _xlfn.XLOOKUP(
        tblQuestObjectives[[#This Row],[ObjectiveID]],
        tblTargetStatus[TargetID],
        tblTargetStatus[PlayerCompleted],
        FALSE
    )
)</f>
        <v>1</v>
      </c>
      <c r="G135" s="2" t="b">
        <f>_xlfn.LET(
_xlpm.acceptedID,_xlfn.TEXTBEFORE(tblQuestObjectives[[#This Row],[QuestTargetID]],".finished")&amp;".accepted",
_xlfn.XLOOKUP(
_xlpm.acceptedID,
tblTargetStatus[TargetID],
tblTargetStatus[PlayerCompleted],
FALSE
)
)</f>
        <v>0</v>
      </c>
      <c r="H135" s="2" t="str">
        <f>_xlfn.LET(
    _xlpm.name,
    _xlfn.XLOOKUP(
        tblQuestObjectives[[#This Row],[QuestTargetID]],
        tblTargetStatus[TargetID],
        tblTargetStatus[DisplayName],
        ""
    ),
    SUBSTITUTE(
        SUBSTITUTE(_xlpm.name," Accepted",""),
        " Finished",""
    )
)</f>
        <v>Shogun's Katana Chapter 6</v>
      </c>
    </row>
    <row r="136" spans="1:8" hidden="1">
      <c r="A136" s="5" t="s">
        <v>2532</v>
      </c>
      <c r="C136" s="2" t="str">
        <f>_xlfn.XLOOKUP(
tblQuestObjectives[[#This Row],[ObjectiveID]],
tblTargetStatus[TargetID],
tblTargetStatus[DisplayName],
""
)</f>
        <v>Food Stall Lv 3</v>
      </c>
      <c r="D136" s="2" t="str">
        <f>_xlfn.XLOOKUP(tblQuestObjectives[[#This Row],[ObjectiveID]],tblTargets[TargetID],tblTargets[TargetType],"")</f>
        <v>BUILDING</v>
      </c>
      <c r="E136" t="s">
        <v>60</v>
      </c>
      <c r="F136" s="2" t="b">
        <f>NOT(
    _xlfn.XLOOKUP(
        tblQuestObjectives[[#This Row],[ObjectiveID]],
        tblTargetStatus[TargetID],
        tblTargetStatus[PlayerCompleted],
        FALSE
    )
)</f>
        <v>1</v>
      </c>
      <c r="G136" s="2" t="b">
        <f>_xlfn.LET(
_xlpm.acceptedID,_xlfn.TEXTBEFORE(tblQuestObjectives[[#This Row],[QuestTargetID]],".finished")&amp;".accepted",
_xlfn.XLOOKUP(
_xlpm.acceptedID,
tblTargetStatus[TargetID],
tblTargetStatus[PlayerCompleted],
FALSE
)
)</f>
        <v>0</v>
      </c>
      <c r="H136" s="2" t="str">
        <f>_xlfn.LET(
    _xlpm.name,
    _xlfn.XLOOKUP(
        tblQuestObjectives[[#This Row],[QuestTargetID]],
        tblTargetStatus[TargetID],
        tblTargetStatus[DisplayName],
        ""
    ),
    SUBSTITUTE(
        SUBSTITUTE(_xlpm.name," Accepted",""),
        " Finished",""
    )
)</f>
        <v>Shogun's Katana Chapter 6</v>
      </c>
    </row>
    <row r="137" spans="1:8" ht="43.5" hidden="1">
      <c r="A137" s="5" t="s">
        <v>2532</v>
      </c>
      <c r="C137" s="2" t="str">
        <f>_xlfn.XLOOKUP(
tblQuestObjectives[[#This Row],[ObjectiveID]],
tblTargetStatus[TargetID],
tblTargetStatus[DisplayName],
""
)</f>
        <v>Learn character skill cartographer lvl 4</v>
      </c>
      <c r="D137" s="2" t="str">
        <f>_xlfn.XLOOKUP(tblQuestObjectives[[#This Row],[ObjectiveID]],tblTargets[TargetID],tblTargets[TargetType],"")</f>
        <v>STATE</v>
      </c>
      <c r="E137" t="s">
        <v>6085</v>
      </c>
      <c r="F137" s="2" t="b">
        <f>NOT(
    _xlfn.XLOOKUP(
        tblQuestObjectives[[#This Row],[ObjectiveID]],
        tblTargetStatus[TargetID],
        tblTargetStatus[PlayerCompleted],
        FALSE
    )
)</f>
        <v>1</v>
      </c>
      <c r="G137" s="2" t="b">
        <f>_xlfn.LET(
_xlpm.acceptedID,_xlfn.TEXTBEFORE(tblQuestObjectives[[#This Row],[QuestTargetID]],".finished")&amp;".accepted",
_xlfn.XLOOKUP(
_xlpm.acceptedID,
tblTargetStatus[TargetID],
tblTargetStatus[PlayerCompleted],
FALSE
)
)</f>
        <v>0</v>
      </c>
      <c r="H137" s="2" t="str">
        <f>_xlfn.LET(
    _xlpm.name,
    _xlfn.XLOOKUP(
        tblQuestObjectives[[#This Row],[QuestTargetID]],
        tblTargetStatus[TargetID],
        tblTargetStatus[DisplayName],
        ""
    ),
    SUBSTITUTE(
        SUBSTITUTE(_xlpm.name," Accepted",""),
        " Finished",""
    )
)</f>
        <v>Shogun's Katana Chapter 6</v>
      </c>
    </row>
    <row r="138" spans="1:8" hidden="1">
      <c r="A138" s="5" t="s">
        <v>2532</v>
      </c>
      <c r="C138" s="2" t="str">
        <f>_xlfn.XLOOKUP(
tblQuestObjectives[[#This Row],[ObjectiveID]],
tblTargetStatus[TargetID],
tblTargetStatus[DisplayName],
""
)</f>
        <v>Craft level 4 map</v>
      </c>
      <c r="D138" s="2" t="str">
        <f>_xlfn.XLOOKUP(tblQuestObjectives[[#This Row],[ObjectiveID]],tblTargets[TargetID],tblTargets[TargetType],"")</f>
        <v>STATE</v>
      </c>
      <c r="E138" t="s">
        <v>5727</v>
      </c>
      <c r="F138" s="2" t="b">
        <f>NOT(
    _xlfn.XLOOKUP(
        tblQuestObjectives[[#This Row],[ObjectiveID]],
        tblTargetStatus[TargetID],
        tblTargetStatus[PlayerCompleted],
        FALSE
    )
)</f>
        <v>1</v>
      </c>
      <c r="G138" s="2" t="b">
        <f>_xlfn.LET(
_xlpm.acceptedID,_xlfn.TEXTBEFORE(tblQuestObjectives[[#This Row],[QuestTargetID]],".finished")&amp;".accepted",
_xlfn.XLOOKUP(
_xlpm.acceptedID,
tblTargetStatus[TargetID],
tblTargetStatus[PlayerCompleted],
FALSE
)
)</f>
        <v>0</v>
      </c>
      <c r="H138" s="2" t="str">
        <f>_xlfn.LET(
    _xlpm.name,
    _xlfn.XLOOKUP(
        tblQuestObjectives[[#This Row],[QuestTargetID]],
        tblTargetStatus[TargetID],
        tblTargetStatus[DisplayName],
        ""
    ),
    SUBSTITUTE(
        SUBSTITUTE(_xlpm.name," Accepted",""),
        " Finished",""
    )
)</f>
        <v>Shogun's Katana Chapter 6</v>
      </c>
    </row>
    <row r="139" spans="1:8" ht="29" hidden="1">
      <c r="A139" s="5" t="s">
        <v>2534</v>
      </c>
      <c r="C139" s="2" t="str">
        <f>_xlfn.XLOOKUP(
tblQuestObjectives[[#This Row],[ObjectiveID]],
tblTargetStatus[TargetID],
tblTargetStatus[DisplayName],
""
)</f>
        <v>Obtain Shogun's Katana</v>
      </c>
      <c r="D139" s="2" t="str">
        <f>_xlfn.XLOOKUP(tblQuestObjectives[[#This Row],[ObjectiveID]],tblTargets[TargetID],tblTargets[TargetType],"")</f>
        <v>STATE</v>
      </c>
      <c r="E139" t="s">
        <v>5731</v>
      </c>
      <c r="F139" s="2" t="b">
        <f>NOT(
    _xlfn.XLOOKUP(
        tblQuestObjectives[[#This Row],[ObjectiveID]],
        tblTargetStatus[TargetID],
        tblTargetStatus[PlayerCompleted],
        FALSE
    )
)</f>
        <v>1</v>
      </c>
      <c r="G139" s="2" t="b">
        <f>_xlfn.LET(
_xlpm.acceptedID,_xlfn.TEXTBEFORE(tblQuestObjectives[[#This Row],[QuestTargetID]],".finished")&amp;".accepted",
_xlfn.XLOOKUP(
_xlpm.acceptedID,
tblTargetStatus[TargetID],
tblTargetStatus[PlayerCompleted],
FALSE
)
)</f>
        <v>0</v>
      </c>
      <c r="H139" s="2" t="str">
        <f>_xlfn.LET(
    _xlpm.name,
    _xlfn.XLOOKUP(
        tblQuestObjectives[[#This Row],[QuestTargetID]],
        tblTargetStatus[TargetID],
        tblTargetStatus[DisplayName],
        ""
    ),
    SUBSTITUTE(
        SUBSTITUTE(_xlpm.name," Accepted",""),
        " Finished",""
    )
)</f>
        <v>Shogun's Katana Chapter 7</v>
      </c>
    </row>
    <row r="140" spans="1:8" ht="29" hidden="1">
      <c r="A140" s="5" t="s">
        <v>2534</v>
      </c>
      <c r="C140" s="2" t="str">
        <f>_xlfn.XLOOKUP(
tblQuestObjectives[[#This Row],[ObjectiveID]],
tblTargetStatus[TargetID],
tblTargetStatus[DisplayName],
""
)</f>
        <v>Craft level 4 map again</v>
      </c>
      <c r="D140" s="2" t="str">
        <f>_xlfn.XLOOKUP(tblQuestObjectives[[#This Row],[ObjectiveID]],tblTargets[TargetID],tblTargets[TargetType],"")</f>
        <v>STATE</v>
      </c>
      <c r="E140" s="5" t="s">
        <v>5729</v>
      </c>
      <c r="F140" s="2" t="b">
        <f>NOT(
    _xlfn.XLOOKUP(
        tblQuestObjectives[[#This Row],[ObjectiveID]],
        tblTargetStatus[TargetID],
        tblTargetStatus[PlayerCompleted],
        FALSE
    )
)</f>
        <v>1</v>
      </c>
      <c r="G140" s="2" t="b">
        <f>_xlfn.LET(
_xlpm.acceptedID,_xlfn.TEXTBEFORE(tblQuestObjectives[[#This Row],[QuestTargetID]],".finished")&amp;".accepted",
_xlfn.XLOOKUP(
_xlpm.acceptedID,
tblTargetStatus[TargetID],
tblTargetStatus[PlayerCompleted],
FALSE
)
)</f>
        <v>0</v>
      </c>
      <c r="H140" s="2" t="str">
        <f>_xlfn.LET(
    _xlpm.name,
    _xlfn.XLOOKUP(
        tblQuestObjectives[[#This Row],[QuestTargetID]],
        tblTargetStatus[TargetID],
        tblTargetStatus[DisplayName],
        ""
    ),
    SUBSTITUTE(
        SUBSTITUTE(_xlpm.name," Accepted",""),
        " Finished",""
    )
)</f>
        <v>Shogun's Katana Chapter 7</v>
      </c>
    </row>
    <row r="141" spans="1:8">
      <c r="A141" t="s">
        <v>2494</v>
      </c>
      <c r="C141" s="2" t="str">
        <f>_xlfn.XLOOKUP(
tblQuestObjectives[[#This Row],[ObjectiveID]],
tblTargetStatus[TargetID],
tblTargetStatus[DisplayName],
""
)</f>
        <v>Deliver Ambrosia to Dark Lady in F3</v>
      </c>
      <c r="D141" s="2" t="str">
        <f>_xlfn.XLOOKUP(tblQuestObjectives[[#This Row],[ObjectiveID]],tblTargets[TargetID],tblTargets[TargetType],"")</f>
        <v>STATE</v>
      </c>
      <c r="E141" s="5" t="s">
        <v>5805</v>
      </c>
      <c r="F141" s="2" t="b">
        <f>NOT(
    _xlfn.XLOOKUP(
        tblQuestObjectives[[#This Row],[ObjectiveID]],
        tblTargetStatus[TargetID],
        tblTargetStatus[PlayerCompleted],
        FALSE
    )
)</f>
        <v>1</v>
      </c>
      <c r="G141" s="2" t="b">
        <f>_xlfn.LET(
_xlpm.acceptedID,_xlfn.TEXTBEFORE(tblQuestObjectives[[#This Row],[QuestTargetID]],".finished")&amp;".accepted",
_xlfn.XLOOKUP(
_xlpm.acceptedID,
tblTargetStatus[TargetID],
tblTargetStatus[PlayerCompleted],
FALSE
)
)</f>
        <v>0</v>
      </c>
      <c r="H141" s="2" t="str">
        <f>_xlfn.LET(
    _xlpm.name,
    _xlfn.XLOOKUP(
        tblQuestObjectives[[#This Row],[QuestTargetID]],
        tblTargetStatus[TargetID],
        tblTargetStatus[DisplayName],
        ""
    ),
    SUBSTITUTE(
        SUBSTITUTE(_xlpm.name," Accepted",""),
        " Finished",""
    )
)</f>
        <v>Once Upon a Forest Chapter 7</v>
      </c>
    </row>
    <row r="142" spans="1:8" ht="29" hidden="1">
      <c r="A142" s="5" t="s">
        <v>2474</v>
      </c>
      <c r="C142" s="2" t="str">
        <f>_xlfn.XLOOKUP(
tblQuestObjectives[[#This Row],[ObjectiveID]],
tblTargetStatus[TargetID],
tblTargetStatus[DisplayName],
""
)</f>
        <v>Obtain Reagent from 3A</v>
      </c>
      <c r="D142" s="2" t="str">
        <f>_xlfn.XLOOKUP(tblQuestObjectives[[#This Row],[ObjectiveID]],tblTargets[TargetID],tblTargets[TargetType],"")</f>
        <v>STATE</v>
      </c>
      <c r="E142" s="5" t="s">
        <v>5722</v>
      </c>
      <c r="F142" s="2" t="b">
        <f>NOT(
    _xlfn.XLOOKUP(
        tblQuestObjectives[[#This Row],[ObjectiveID]],
        tblTargetStatus[TargetID],
        tblTargetStatus[PlayerCompleted],
        FALSE
    )
)</f>
        <v>1</v>
      </c>
      <c r="G142" s="2" t="b">
        <f>_xlfn.LET(
_xlpm.acceptedID,_xlfn.TEXTBEFORE(tblQuestObjectives[[#This Row],[QuestTargetID]],".finished")&amp;".accepted",
_xlfn.XLOOKUP(
_xlpm.acceptedID,
tblTargetStatus[TargetID],
tblTargetStatus[PlayerCompleted],
FALSE
)
)</f>
        <v>0</v>
      </c>
      <c r="H142" s="2" t="str">
        <f>_xlfn.LET(
    _xlpm.name,
    _xlfn.XLOOKUP(
        tblQuestObjectives[[#This Row],[QuestTargetID]],
        tblTargetStatus[TargetID],
        tblTargetStatus[DisplayName],
        ""
    ),
    SUBSTITUTE(
        SUBSTITUTE(_xlpm.name," Accepted",""),
        " Finished",""
    )
)</f>
        <v>Green Potion</v>
      </c>
    </row>
    <row r="143" spans="1:8" ht="43.5" hidden="1">
      <c r="A143" s="5" t="s">
        <v>2560</v>
      </c>
      <c r="C143" s="2" t="str">
        <f>_xlfn.XLOOKUP(
tblQuestObjectives[[#This Row],[ObjectiveID]],
tblTargetStatus[TargetID],
tblTargetStatus[DisplayName],
""
)</f>
        <v xml:space="preserve">Complete Dungeon 5C second </v>
      </c>
      <c r="D143" s="2" t="str">
        <f>_xlfn.XLOOKUP(tblQuestObjectives[[#This Row],[ObjectiveID]],tblTargets[TargetID],tblTargets[TargetType],"")</f>
        <v>STATE</v>
      </c>
      <c r="E143" s="5" t="s">
        <v>6251</v>
      </c>
      <c r="F143" s="2" t="b">
        <f>NOT(
    _xlfn.XLOOKUP(
        tblQuestObjectives[[#This Row],[ObjectiveID]],
        tblTargetStatus[TargetID],
        tblTargetStatus[PlayerCompleted],
        FALSE
    )
)</f>
        <v>1</v>
      </c>
      <c r="G143" s="2" t="b">
        <f>_xlfn.LET(
_xlpm.acceptedID,_xlfn.TEXTBEFORE(tblQuestObjectives[[#This Row],[QuestTargetID]],".finished")&amp;".accepted",
_xlfn.XLOOKUP(
_xlpm.acceptedID,
tblTargetStatus[TargetID],
tblTargetStatus[PlayerCompleted],
FALSE
)
)</f>
        <v>0</v>
      </c>
      <c r="H143" s="2" t="str">
        <f>_xlfn.LET(
    _xlpm.name,
    _xlfn.XLOOKUP(
        tblQuestObjectives[[#This Row],[QuestTargetID]],
        tblTargetStatus[TargetID],
        tblTargetStatus[DisplayName],
        ""
    ),
    SUBSTITUTE(
        SUBSTITUTE(_xlpm.name," Accepted",""),
        " Finished",""
    )
)</f>
        <v>Undead Revenge</v>
      </c>
    </row>
    <row r="144" spans="1:8" hidden="1">
      <c r="A144" s="5" t="s">
        <v>2526</v>
      </c>
      <c r="C144" s="2" t="str">
        <f>_xlfn.XLOOKUP(
tblQuestObjectives[[#This Row],[ObjectiveID]],
tblTargetStatus[TargetID],
tblTargetStatus[DisplayName],
""
)</f>
        <v>Obtain Pirate hat</v>
      </c>
      <c r="D144" s="2" t="str">
        <f>_xlfn.XLOOKUP(tblQuestObjectives[[#This Row],[ObjectiveID]],tblTargets[TargetID],tblTargets[TargetType],"")</f>
        <v>STATE</v>
      </c>
      <c r="E144" s="5" t="s">
        <v>6253</v>
      </c>
      <c r="F144" s="2" t="b">
        <f>NOT(
    _xlfn.XLOOKUP(
        tblQuestObjectives[[#This Row],[ObjectiveID]],
        tblTargetStatus[TargetID],
        tblTargetStatus[PlayerCompleted],
        FALSE
    )
)</f>
        <v>1</v>
      </c>
      <c r="G144" s="2" t="b">
        <f>_xlfn.LET(
_xlpm.acceptedID,_xlfn.TEXTBEFORE(tblQuestObjectives[[#This Row],[QuestTargetID]],".finished")&amp;".accepted",
_xlfn.XLOOKUP(
_xlpm.acceptedID,
tblTargetStatus[TargetID],
tblTargetStatus[PlayerCompleted],
FALSE
)
)</f>
        <v>0</v>
      </c>
      <c r="H144" s="2" t="str">
        <f>_xlfn.LET(
    _xlpm.name,
    _xlfn.XLOOKUP(
        tblQuestObjectives[[#This Row],[QuestTargetID]],
        tblTargetStatus[TargetID],
        tblTargetStatus[DisplayName],
        ""
    ),
    SUBSTITUTE(
        SUBSTITUTE(_xlpm.name," Accepted",""),
        " Finished",""
    )
)</f>
        <v>Shogun's Katana Chapter 3</v>
      </c>
    </row>
    <row r="145" spans="1:8" ht="29" hidden="1">
      <c r="A145" s="5" t="s">
        <v>2530</v>
      </c>
      <c r="C145" s="2" t="str">
        <f>_xlfn.XLOOKUP(
tblQuestObjectives[[#This Row],[ObjectiveID]],
tblTargetStatus[TargetID],
tblTargetStatus[DisplayName],
""
)</f>
        <v>Obtain Black Pearl</v>
      </c>
      <c r="D145" s="2" t="str">
        <f>_xlfn.XLOOKUP(tblQuestObjectives[[#This Row],[ObjectiveID]],tblTargets[TargetID],tblTargets[TargetType],"")</f>
        <v>STATE</v>
      </c>
      <c r="E145" t="s">
        <v>6255</v>
      </c>
      <c r="F145" s="2" t="b">
        <f>NOT(
    _xlfn.XLOOKUP(
        tblQuestObjectives[[#This Row],[ObjectiveID]],
        tblTargetStatus[TargetID],
        tblTargetStatus[PlayerCompleted],
        FALSE
    )
)</f>
        <v>1</v>
      </c>
      <c r="G145" s="2" t="b">
        <f>_xlfn.LET(
_xlpm.acceptedID,_xlfn.TEXTBEFORE(tblQuestObjectives[[#This Row],[QuestTargetID]],".finished")&amp;".accepted",
_xlfn.XLOOKUP(
_xlpm.acceptedID,
tblTargetStatus[TargetID],
tblTargetStatus[PlayerCompleted],
FALSE
)
)</f>
        <v>0</v>
      </c>
      <c r="H145" s="2" t="str">
        <f>_xlfn.LET(
    _xlpm.name,
    _xlfn.XLOOKUP(
        tblQuestObjectives[[#This Row],[QuestTargetID]],
        tblTargetStatus[TargetID],
        tblTargetStatus[DisplayName],
        ""
    ),
    SUBSTITUTE(
        SUBSTITUTE(_xlpm.name," Accepted",""),
        " Finished",""
    )
)</f>
        <v>Shogun's Katana Chapter 5</v>
      </c>
    </row>
    <row r="146" spans="1:8" ht="29" hidden="1">
      <c r="A146" s="5" t="s">
        <v>2532</v>
      </c>
      <c r="C146" s="2" t="str">
        <f>_xlfn.XLOOKUP(
tblQuestObjectives[[#This Row],[ObjectiveID]],
tblTargetStatus[TargetID],
tblTargetStatus[DisplayName],
""
)</f>
        <v>Obtain Shogun's Mortar</v>
      </c>
      <c r="D146" s="2" t="str">
        <f>_xlfn.XLOOKUP(tblQuestObjectives[[#This Row],[ObjectiveID]],tblTargets[TargetID],tblTargets[TargetType],"")</f>
        <v>STATE</v>
      </c>
      <c r="E146" s="5" t="s">
        <v>6257</v>
      </c>
      <c r="F146" s="2" t="b">
        <f>NOT(
    _xlfn.XLOOKUP(
        tblQuestObjectives[[#This Row],[ObjectiveID]],
        tblTargetStatus[TargetID],
        tblTargetStatus[PlayerCompleted],
        FALSE
    )
)</f>
        <v>1</v>
      </c>
      <c r="G146" s="2" t="b">
        <f>_xlfn.LET(
_xlpm.acceptedID,_xlfn.TEXTBEFORE(tblQuestObjectives[[#This Row],[QuestTargetID]],".finished")&amp;".accepted",
_xlfn.XLOOKUP(
_xlpm.acceptedID,
tblTargetStatus[TargetID],
tblTargetStatus[PlayerCompleted],
FALSE
)
)</f>
        <v>0</v>
      </c>
      <c r="H146" s="2" t="str">
        <f>_xlfn.LET(
    _xlpm.name,
    _xlfn.XLOOKUP(
        tblQuestObjectives[[#This Row],[QuestTargetID]],
        tblTargetStatus[TargetID],
        tblTargetStatus[DisplayName],
        ""
    ),
    SUBSTITUTE(
        SUBSTITUTE(_xlpm.name," Accepted",""),
        " Finished",""
    )
)</f>
        <v>Shogun's Katana Chapter 6</v>
      </c>
    </row>
    <row r="147" spans="1:8" ht="29" hidden="1">
      <c r="A147" s="5" t="s">
        <v>2512</v>
      </c>
      <c r="C147" s="2" t="str">
        <f>_xlfn.XLOOKUP(
tblQuestObjectives[[#This Row],[ObjectiveID]],
tblTargetStatus[TargetID],
tblTargetStatus[DisplayName],
""
)</f>
        <v>Complete Dungeon 1A</v>
      </c>
      <c r="D147" s="2" t="str">
        <f>_xlfn.XLOOKUP(tblQuestObjectives[[#This Row],[ObjectiveID]],tblTargets[TargetID],tblTargets[TargetType],"")</f>
        <v>STATE</v>
      </c>
      <c r="E147" t="s">
        <v>6262</v>
      </c>
      <c r="F147" s="2" t="b">
        <f>NOT(
    _xlfn.XLOOKUP(
        tblQuestObjectives[[#This Row],[ObjectiveID]],
        tblTargetStatus[TargetID],
        tblTargetStatus[PlayerCompleted],
        FALSE
    )
)</f>
        <v>1</v>
      </c>
      <c r="G147" s="2" t="b">
        <f>_xlfn.LET(
_xlpm.acceptedID,_xlfn.TEXTBEFORE(tblQuestObjectives[[#This Row],[QuestTargetID]],".finished")&amp;".accepted",
_xlfn.XLOOKUP(
_xlpm.acceptedID,
tblTargetStatus[TargetID],
tblTargetStatus[PlayerCompleted],
FALSE
)
)</f>
        <v>0</v>
      </c>
      <c r="H147" s="2" t="str">
        <f>_xlfn.LET(
    _xlpm.name,
    _xlfn.XLOOKUP(
        tblQuestObjectives[[#This Row],[QuestTargetID]],
        tblTargetStatus[TargetID],
        tblTargetStatus[DisplayName],
        ""
    ),
    SUBSTITUTE(
        SUBSTITUTE(_xlpm.name," Accepted",""),
        " Finished",""
    )
)</f>
        <v>Quest for Knowledge Chapter 1</v>
      </c>
    </row>
    <row r="148" spans="1:8" ht="29" hidden="1">
      <c r="A148" s="5" t="s">
        <v>2454</v>
      </c>
      <c r="C148" s="2" t="str">
        <f>_xlfn.XLOOKUP(
tblQuestObjectives[[#This Row],[ObjectiveID]],
tblTargetStatus[TargetID],
tblTargetStatus[DisplayName],
""
)</f>
        <v>Complete Dungeon 6D</v>
      </c>
      <c r="D148" s="2" t="str">
        <f>_xlfn.XLOOKUP(tblQuestObjectives[[#This Row],[ObjectiveID]],tblTargets[TargetID],tblTargets[TargetType],"")</f>
        <v>STATE</v>
      </c>
      <c r="E148" s="5" t="s">
        <v>6264</v>
      </c>
      <c r="F148" s="2" t="b">
        <f>NOT(
    _xlfn.XLOOKUP(
        tblQuestObjectives[[#This Row],[ObjectiveID]],
        tblTargetStatus[TargetID],
        tblTargetStatus[PlayerCompleted],
        FALSE
    )
)</f>
        <v>1</v>
      </c>
      <c r="G148" s="2" t="b">
        <f>_xlfn.LET(
_xlpm.acceptedID,_xlfn.TEXTBEFORE(tblQuestObjectives[[#This Row],[QuestTargetID]],".finished")&amp;".accepted",
_xlfn.XLOOKUP(
_xlpm.acceptedID,
tblTargetStatus[TargetID],
tblTargetStatus[PlayerCompleted],
FALSE
)
)</f>
        <v>0</v>
      </c>
      <c r="H148" s="2" t="str">
        <f>_xlfn.LET(
    _xlpm.name,
    _xlfn.XLOOKUP(
        tblQuestObjectives[[#This Row],[QuestTargetID]],
        tblTargetStatus[TargetID],
        tblTargetStatus[DisplayName],
        ""
    ),
    SUBSTITUTE(
        SUBSTITUTE(_xlpm.name," Accepted",""),
        " Finished",""
    )
)</f>
        <v>Ahead of Time Chapter 3</v>
      </c>
    </row>
  </sheetData>
  <phoneticPr fontId="4"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60036-CE20-4B9B-B367-D6DBC3DD2A49}">
  <sheetPr>
    <tabColor rgb="FFFFC000"/>
  </sheetPr>
  <dimension ref="A2:A345"/>
  <sheetViews>
    <sheetView topLeftCell="A4" workbookViewId="0">
      <selection activeCell="A2" sqref="A2"/>
    </sheetView>
  </sheetViews>
  <sheetFormatPr defaultRowHeight="14.5"/>
  <cols>
    <col min="1" max="1" width="55.453125" bestFit="1" customWidth="1"/>
  </cols>
  <sheetData>
    <row r="2" spans="1:1">
      <c r="A2" t="str" cm="1">
        <f t="array" ref="A2:A345">_xlfn.UNIQUE(tblCostChecklist[TargetID])</f>
        <v>building.airship@1</v>
      </c>
    </row>
    <row r="3" spans="1:1">
      <c r="A3" t="str">
        <v>building.airship@2</v>
      </c>
    </row>
    <row r="4" spans="1:1">
      <c r="A4" t="str">
        <v>building.alchemists_hut@1</v>
      </c>
    </row>
    <row r="5" spans="1:1">
      <c r="A5" t="str">
        <v>building.alchemists_hut@2</v>
      </c>
    </row>
    <row r="6" spans="1:1">
      <c r="A6" t="str">
        <v>building.alchemists_hut@3</v>
      </c>
    </row>
    <row r="7" spans="1:1">
      <c r="A7" t="str">
        <v>building.alchemists_hut@4</v>
      </c>
    </row>
    <row r="8" spans="1:1">
      <c r="A8" t="str">
        <v>building.alchemists_hut@5</v>
      </c>
    </row>
    <row r="9" spans="1:1">
      <c r="A9" t="str">
        <v>building.alchemists_hut@6</v>
      </c>
    </row>
    <row r="10" spans="1:1">
      <c r="A10" t="str">
        <v>building.bonsai@1</v>
      </c>
    </row>
    <row r="11" spans="1:1">
      <c r="A11" t="str">
        <v>building.bonsai@2</v>
      </c>
    </row>
    <row r="12" spans="1:1">
      <c r="A12" t="str">
        <v>building.bridge@1</v>
      </c>
    </row>
    <row r="13" spans="1:1">
      <c r="A13" t="str">
        <v>building.caravan@1</v>
      </c>
    </row>
    <row r="14" spans="1:1">
      <c r="A14" t="str">
        <v>building.caravan@2</v>
      </c>
    </row>
    <row r="15" spans="1:1">
      <c r="A15" t="str">
        <v>building.caravan@3</v>
      </c>
    </row>
    <row r="16" spans="1:1">
      <c r="A16" t="str">
        <v>building.caravan@4</v>
      </c>
    </row>
    <row r="17" spans="1:1">
      <c r="A17" t="str">
        <v>building.chicken@1</v>
      </c>
    </row>
    <row r="18" spans="1:1">
      <c r="A18" t="str">
        <v>building.chicken@2</v>
      </c>
    </row>
    <row r="19" spans="1:1">
      <c r="A19" t="str">
        <v>building.dairy@1</v>
      </c>
    </row>
    <row r="20" spans="1:1">
      <c r="A20" t="str">
        <v>building.dairy@2</v>
      </c>
    </row>
    <row r="21" spans="1:1">
      <c r="A21" t="str">
        <v>building.dungeon@1</v>
      </c>
    </row>
    <row r="22" spans="1:1">
      <c r="A22" t="str">
        <v>building.dungeon@2</v>
      </c>
    </row>
    <row r="23" spans="1:1">
      <c r="A23" t="str">
        <v>building.dungeon@3</v>
      </c>
    </row>
    <row r="24" spans="1:1">
      <c r="A24" t="str">
        <v>building.dungeon@4</v>
      </c>
    </row>
    <row r="25" spans="1:1">
      <c r="A25" t="str">
        <v>building.dungeon@5</v>
      </c>
    </row>
    <row r="26" spans="1:1">
      <c r="A26" t="str">
        <v>citadel.tunnel</v>
      </c>
    </row>
    <row r="27" spans="1:1">
      <c r="A27" t="str">
        <v>building.fermentory@1</v>
      </c>
    </row>
    <row r="28" spans="1:1">
      <c r="A28" t="str">
        <v>building.fermentory@2</v>
      </c>
    </row>
    <row r="29" spans="1:1">
      <c r="A29" t="str">
        <v>building.fermentory@3</v>
      </c>
    </row>
    <row r="30" spans="1:1">
      <c r="A30" t="str">
        <v>building.fermentory@4</v>
      </c>
    </row>
    <row r="31" spans="1:1">
      <c r="A31" t="str">
        <v>building.fermentory@5</v>
      </c>
    </row>
    <row r="32" spans="1:1">
      <c r="A32" t="str">
        <v>building.fermentory@6</v>
      </c>
    </row>
    <row r="33" spans="1:1">
      <c r="A33" t="str">
        <v>building.field@1</v>
      </c>
    </row>
    <row r="34" spans="1:1">
      <c r="A34" t="str">
        <v>building.field@2</v>
      </c>
    </row>
    <row r="35" spans="1:1">
      <c r="A35" t="str">
        <v>building.food_stall@1</v>
      </c>
    </row>
    <row r="36" spans="1:1">
      <c r="A36" t="str">
        <v>building.food_stall@2</v>
      </c>
    </row>
    <row r="37" spans="1:1">
      <c r="A37" t="str">
        <v>building.food_stall@3</v>
      </c>
    </row>
    <row r="38" spans="1:1">
      <c r="A38" t="str">
        <v>building.furnace@1</v>
      </c>
    </row>
    <row r="39" spans="1:1">
      <c r="A39" t="str">
        <v>building.furnace@2</v>
      </c>
    </row>
    <row r="40" spans="1:1">
      <c r="A40" t="str">
        <v>building.furnace@3</v>
      </c>
    </row>
    <row r="41" spans="1:1">
      <c r="A41" t="str">
        <v>building.garden@1</v>
      </c>
    </row>
    <row r="42" spans="1:1">
      <c r="A42" t="str">
        <v>building.garden@2</v>
      </c>
    </row>
    <row r="43" spans="1:1">
      <c r="A43" t="str">
        <v>building.garden@3</v>
      </c>
    </row>
    <row r="44" spans="1:1">
      <c r="A44" t="str">
        <v>building.gong@1</v>
      </c>
    </row>
    <row r="45" spans="1:1">
      <c r="A45" t="str">
        <v>building.guild@2</v>
      </c>
    </row>
    <row r="46" spans="1:1">
      <c r="A46" t="str">
        <v>building.guild@3</v>
      </c>
    </row>
    <row r="47" spans="1:1">
      <c r="A47" t="str">
        <v>building.guild@4</v>
      </c>
    </row>
    <row r="48" spans="1:1">
      <c r="A48" t="str">
        <v>building.guild@5</v>
      </c>
    </row>
    <row r="49" spans="1:1">
      <c r="A49" t="str">
        <v>building.guild_video_game_arcade@1</v>
      </c>
    </row>
    <row r="50" spans="1:1">
      <c r="A50" t="str">
        <v>building.laboratory@1</v>
      </c>
    </row>
    <row r="51" spans="1:1">
      <c r="A51" t="str">
        <v>building.laboratory@2</v>
      </c>
    </row>
    <row r="52" spans="1:1">
      <c r="A52" t="str">
        <v>building.laboratory@3</v>
      </c>
    </row>
    <row r="53" spans="1:1">
      <c r="A53" t="str">
        <v>building.laboratory@4</v>
      </c>
    </row>
    <row r="54" spans="1:1">
      <c r="A54" t="str">
        <v>building.laboratory@5</v>
      </c>
    </row>
    <row r="55" spans="1:1">
      <c r="A55" t="str">
        <v>building.laboratory_data_center@1</v>
      </c>
    </row>
    <row r="56" spans="1:1">
      <c r="A56" t="str">
        <v>building.lumber@1</v>
      </c>
    </row>
    <row r="57" spans="1:1">
      <c r="A57" t="str">
        <v>building.lumber@2</v>
      </c>
    </row>
    <row r="58" spans="1:1">
      <c r="A58" t="str">
        <v>building.lumber@3</v>
      </c>
    </row>
    <row r="59" spans="1:1">
      <c r="A59" t="str">
        <v>building.onsen@1</v>
      </c>
    </row>
    <row r="60" spans="1:1">
      <c r="A60" t="str">
        <v>building.onsen@2</v>
      </c>
    </row>
    <row r="61" spans="1:1">
      <c r="A61" t="str">
        <v>building.outpost@1</v>
      </c>
    </row>
    <row r="62" spans="1:1">
      <c r="A62" t="str">
        <v>building.outpost@2</v>
      </c>
    </row>
    <row r="63" spans="1:1">
      <c r="A63" t="str">
        <v>building.outpost@3</v>
      </c>
    </row>
    <row r="64" spans="1:1">
      <c r="A64" t="str">
        <v>building.pagoda@1</v>
      </c>
    </row>
    <row r="65" spans="1:1">
      <c r="A65" t="str">
        <v>building.pagoda@2</v>
      </c>
    </row>
    <row r="66" spans="1:1">
      <c r="A66" t="str">
        <v>building.pagoda@3</v>
      </c>
    </row>
    <row r="67" spans="1:1">
      <c r="A67" t="str">
        <v>building.pagoda@4</v>
      </c>
    </row>
    <row r="68" spans="1:1">
      <c r="A68" t="str">
        <v>building.pagoda@5</v>
      </c>
    </row>
    <row r="69" spans="1:1">
      <c r="A69" t="str">
        <v>building.pagoda@6</v>
      </c>
    </row>
    <row r="70" spans="1:1">
      <c r="A70" t="str">
        <v>building.pagoda@7</v>
      </c>
    </row>
    <row r="71" spans="1:1">
      <c r="A71" t="str">
        <v>building.pier@1</v>
      </c>
    </row>
    <row r="72" spans="1:1">
      <c r="A72" t="str">
        <v>building.rock_garden@1</v>
      </c>
    </row>
    <row r="73" spans="1:1">
      <c r="A73" t="str">
        <v>building.rock_garden@2</v>
      </c>
    </row>
    <row r="74" spans="1:1">
      <c r="A74" t="str">
        <v>building.rock_garden@3</v>
      </c>
    </row>
    <row r="75" spans="1:1">
      <c r="A75" t="str">
        <v>building.ship@1</v>
      </c>
    </row>
    <row r="76" spans="1:1">
      <c r="A76" t="str">
        <v>building.ship@2</v>
      </c>
    </row>
    <row r="77" spans="1:1">
      <c r="A77" t="str">
        <v>building.ship@3</v>
      </c>
    </row>
    <row r="78" spans="1:1">
      <c r="A78" t="str">
        <v>building.ship@4</v>
      </c>
    </row>
    <row r="79" spans="1:1">
      <c r="A79" t="str">
        <v>building.shop@1</v>
      </c>
    </row>
    <row r="80" spans="1:1">
      <c r="A80" t="str">
        <v>building.shop@2</v>
      </c>
    </row>
    <row r="81" spans="1:1">
      <c r="A81" t="str">
        <v>building.shop@3</v>
      </c>
    </row>
    <row r="82" spans="1:1">
      <c r="A82" t="str">
        <v>building.smithy@1</v>
      </c>
    </row>
    <row r="83" spans="1:1">
      <c r="A83" t="str">
        <v>building.smithy@2</v>
      </c>
    </row>
    <row r="84" spans="1:1">
      <c r="A84" t="str">
        <v>building.smithy@3</v>
      </c>
    </row>
    <row r="85" spans="1:1">
      <c r="A85" t="str">
        <v>building.station@1</v>
      </c>
    </row>
    <row r="86" spans="1:1">
      <c r="A86" t="str">
        <v>building.tailor@1</v>
      </c>
    </row>
    <row r="87" spans="1:1">
      <c r="A87" t="str">
        <v>building.tailor@2</v>
      </c>
    </row>
    <row r="88" spans="1:1">
      <c r="A88" t="str">
        <v>building.tailor@3</v>
      </c>
    </row>
    <row r="89" spans="1:1">
      <c r="A89" t="str">
        <v>building.train@1</v>
      </c>
    </row>
    <row r="90" spans="1:1">
      <c r="A90" t="str">
        <v>building.train@2</v>
      </c>
    </row>
    <row r="91" spans="1:1">
      <c r="A91" t="str">
        <v>building.train_freight_carriage@1</v>
      </c>
    </row>
    <row r="92" spans="1:1">
      <c r="A92" t="str">
        <v>building.train_freight_carriage@2</v>
      </c>
    </row>
    <row r="93" spans="1:1">
      <c r="A93" t="str">
        <v>building.train_passenger_carriage@1</v>
      </c>
    </row>
    <row r="94" spans="1:1">
      <c r="A94" t="str">
        <v>building.train_passenger_carriage@2</v>
      </c>
    </row>
    <row r="95" spans="1:1">
      <c r="A95" t="str">
        <v>building.warehouse@1</v>
      </c>
    </row>
    <row r="96" spans="1:1">
      <c r="A96" t="str">
        <v>building.warehouse@2</v>
      </c>
    </row>
    <row r="97" spans="1:1">
      <c r="A97" t="str">
        <v>building.warehouse@3</v>
      </c>
    </row>
    <row r="98" spans="1:1">
      <c r="A98" t="str">
        <v>building.warehouse@4</v>
      </c>
    </row>
    <row r="99" spans="1:1">
      <c r="A99" t="str">
        <v>building.warehouse@5</v>
      </c>
    </row>
    <row r="100" spans="1:1">
      <c r="A100" t="str">
        <v>building.warehouse@6</v>
      </c>
    </row>
    <row r="101" spans="1:1">
      <c r="A101" t="str">
        <v>building.warehouse@7</v>
      </c>
    </row>
    <row r="102" spans="1:1">
      <c r="A102" t="str">
        <v>building.windmill@1</v>
      </c>
    </row>
    <row r="103" spans="1:1">
      <c r="A103" t="str">
        <v>building.windmill@2</v>
      </c>
    </row>
    <row r="104" spans="1:1">
      <c r="A104" t="str">
        <v>building.workshop@1</v>
      </c>
    </row>
    <row r="105" spans="1:1">
      <c r="A105" t="str">
        <v>building.workshop@2</v>
      </c>
    </row>
    <row r="106" spans="1:1">
      <c r="A106" t="str">
        <v>building.workshop@3</v>
      </c>
    </row>
    <row r="107" spans="1:1">
      <c r="A107" t="str">
        <v>building.workshop@4</v>
      </c>
    </row>
    <row r="108" spans="1:1">
      <c r="A108" t="str">
        <v>building.workshop@5</v>
      </c>
    </row>
    <row r="109" spans="1:1">
      <c r="A109" t="str">
        <v>tech.airship.titanium_longerons</v>
      </c>
    </row>
    <row r="110" spans="1:1">
      <c r="A110" t="str">
        <v>tech.alchemists_hut.greek_grenade</v>
      </c>
    </row>
    <row r="111" spans="1:1">
      <c r="A111" t="str">
        <v>tech.alchemists_hut.synthetic_fertilizer</v>
      </c>
    </row>
    <row r="112" spans="1:1">
      <c r="A112" t="str">
        <v>tech.alchemists_hut.balm</v>
      </c>
    </row>
    <row r="113" spans="1:1">
      <c r="A113" t="str">
        <v>tech.alchemists_hut.potion_of_mental_power</v>
      </c>
    </row>
    <row r="114" spans="1:1">
      <c r="A114" t="str">
        <v>tech.alchemists_hut.mercury</v>
      </c>
    </row>
    <row r="115" spans="1:1">
      <c r="A115" t="str">
        <v>tech.alchemists_hut.gold_ingot</v>
      </c>
    </row>
    <row r="116" spans="1:1">
      <c r="A116" t="str">
        <v>tech.alchemists_hut.madness_grenade</v>
      </c>
    </row>
    <row r="117" spans="1:1">
      <c r="A117" t="str">
        <v>tech.alchemists_hut.potion_of_healing</v>
      </c>
    </row>
    <row r="118" spans="1:1">
      <c r="A118" t="str">
        <v>tech.alchemists_hut.potion_of_energy</v>
      </c>
    </row>
    <row r="119" spans="1:1">
      <c r="A119" t="str">
        <v>tech.alchemists_hut.potion_berserker_rage</v>
      </c>
    </row>
    <row r="120" spans="1:1">
      <c r="A120" t="str">
        <v>tech.alchemists_hut.potion_of_healing_lvl_2</v>
      </c>
    </row>
    <row r="121" spans="1:1">
      <c r="A121" t="str">
        <v>tech.alchemists_hut.potion_ambrosia</v>
      </c>
    </row>
    <row r="122" spans="1:1">
      <c r="A122" t="str">
        <v>tech.alchemists_hut.conveyor_lvl_1</v>
      </c>
    </row>
    <row r="123" spans="1:1">
      <c r="A123" t="str">
        <v>tech.alchemists_hut.conveyor_lvl_2</v>
      </c>
    </row>
    <row r="124" spans="1:1">
      <c r="A124" t="str">
        <v>tech.alchemists_hut.galvanization</v>
      </c>
    </row>
    <row r="125" spans="1:1">
      <c r="A125" t="str">
        <v>tech.alchemists_hut.metamorphosis</v>
      </c>
    </row>
    <row r="126" spans="1:1">
      <c r="A126" t="str">
        <v>tech.alchemists_hut.advanced_fertilizer</v>
      </c>
    </row>
    <row r="127" spans="1:1">
      <c r="A127" t="str">
        <v>tech.bridge.koi_fish</v>
      </c>
    </row>
    <row r="128" spans="1:1">
      <c r="A128" t="str">
        <v>tech.bridge.salmon_farming</v>
      </c>
    </row>
    <row r="129" spans="1:1">
      <c r="A129" t="str">
        <v>tech.dairy.classical_music_for_the_farm</v>
      </c>
    </row>
    <row r="130" spans="1:1">
      <c r="A130" t="str">
        <v>tech.dairy.big_data_farming</v>
      </c>
    </row>
    <row r="131" spans="1:1">
      <c r="A131" t="str">
        <v>tech.dungeon.great_hall</v>
      </c>
    </row>
    <row r="132" spans="1:1">
      <c r="A132" t="str">
        <v>tech.fermentory.pasteurization</v>
      </c>
    </row>
    <row r="133" spans="1:1">
      <c r="A133" t="str">
        <v>tech.field.seed_drill</v>
      </c>
    </row>
    <row r="134" spans="1:1">
      <c r="A134" t="str">
        <v>tech.field.combine_harvester</v>
      </c>
    </row>
    <row r="135" spans="1:1">
      <c r="A135" t="str">
        <v>tech.field.soybean</v>
      </c>
    </row>
    <row r="136" spans="1:1">
      <c r="A136" t="str">
        <v>tech.food_stall.quintessence_of_taste</v>
      </c>
    </row>
    <row r="137" spans="1:1">
      <c r="A137" t="str">
        <v>tech.food_stall.jam</v>
      </c>
    </row>
    <row r="138" spans="1:1">
      <c r="A138" t="str">
        <v>tech.food_stall.mayonnaise</v>
      </c>
    </row>
    <row r="139" spans="1:1">
      <c r="A139" t="str">
        <v>tech.food_stall.mandra_cola</v>
      </c>
    </row>
    <row r="140" spans="1:1">
      <c r="A140" t="str">
        <v>tech.food_stall.inarizushi</v>
      </c>
    </row>
    <row r="141" spans="1:1">
      <c r="A141" t="str">
        <v>tech.food_stall.conveyor_belt_sushi</v>
      </c>
    </row>
    <row r="142" spans="1:1">
      <c r="A142" t="str">
        <v>tech.food_stall.miso_soup</v>
      </c>
    </row>
    <row r="143" spans="1:1">
      <c r="A143" t="str">
        <v>tech.furnace.meteoric_steel</v>
      </c>
    </row>
    <row r="144" spans="1:1">
      <c r="A144" t="str">
        <v>tech.furnace.titanium_parts</v>
      </c>
    </row>
    <row r="145" spans="1:1">
      <c r="A145" t="str">
        <v>tech.furnace.glass</v>
      </c>
    </row>
    <row r="146" spans="1:1">
      <c r="A146" t="str">
        <v>tech.furnace.conveyor</v>
      </c>
    </row>
    <row r="147" spans="1:1">
      <c r="A147" t="str">
        <v>tech.garden.sprinkler</v>
      </c>
    </row>
    <row r="148" spans="1:1">
      <c r="A148" t="str">
        <v>tech.laboratory.research_and_development</v>
      </c>
    </row>
    <row r="149" spans="1:1">
      <c r="A149" t="str">
        <v>tech.laboratory.digitization</v>
      </c>
    </row>
    <row r="150" spans="1:1">
      <c r="A150" t="str">
        <v>tech.laboratory.experiments</v>
      </c>
    </row>
    <row r="151" spans="1:1">
      <c r="A151" t="str">
        <v>tech.outpost.sayonara_tax</v>
      </c>
    </row>
    <row r="152" spans="1:1">
      <c r="A152" t="str">
        <v>tech.outpost.arsenal_lvl_1</v>
      </c>
    </row>
    <row r="153" spans="1:1">
      <c r="A153" t="str">
        <v>tech.outpost.arsenal_lvl_2</v>
      </c>
    </row>
    <row r="154" spans="1:1">
      <c r="A154" t="str">
        <v>tech.outpost.optional_contracts</v>
      </c>
    </row>
    <row r="155" spans="1:1">
      <c r="A155" t="str">
        <v>tech.outpost.futures_contracts</v>
      </c>
    </row>
    <row r="156" spans="1:1">
      <c r="A156" t="str">
        <v>tech.outpost.tax_return_on_floppy_disk</v>
      </c>
    </row>
    <row r="157" spans="1:1">
      <c r="A157" t="str">
        <v>tech.rock_garden.rake</v>
      </c>
    </row>
    <row r="158" spans="1:1">
      <c r="A158" t="str">
        <v>tech.shop.pre_orders</v>
      </c>
    </row>
    <row r="159" spans="1:1">
      <c r="A159" t="str">
        <v>tech.shop.glass_recycling</v>
      </c>
    </row>
    <row r="160" spans="1:1">
      <c r="A160" t="str">
        <v>tech.smithy.throwing_knife</v>
      </c>
    </row>
    <row r="161" spans="1:1">
      <c r="A161" t="str">
        <v>tech.smithy.sword_for_a_hero_lvl_1</v>
      </c>
    </row>
    <row r="162" spans="1:1">
      <c r="A162" t="str">
        <v>tech.smithy.sword_for_a_hero_lvl_2</v>
      </c>
    </row>
    <row r="163" spans="1:1">
      <c r="A163" t="str">
        <v>tech.smithy.sword_for_a_hero_lvl_3</v>
      </c>
    </row>
    <row r="164" spans="1:1">
      <c r="A164" t="str">
        <v>tech.smithy.sword_for_a_hero_lvl_4</v>
      </c>
    </row>
    <row r="165" spans="1:1">
      <c r="A165" t="str">
        <v>tech.smithy.sword_for_a_hero_lvl_4+</v>
      </c>
    </row>
    <row r="166" spans="1:1">
      <c r="A166" t="str">
        <v>tech.smithy.weapon_grease</v>
      </c>
    </row>
    <row r="167" spans="1:1">
      <c r="A167" t="str">
        <v>tech.smithy.gears</v>
      </c>
    </row>
    <row r="168" spans="1:1">
      <c r="A168" t="str">
        <v>tech.smithy.treasure</v>
      </c>
    </row>
    <row r="169" spans="1:1">
      <c r="A169" t="str">
        <v>tech.tailor.ariadnes_thread</v>
      </c>
    </row>
    <row r="170" spans="1:1">
      <c r="A170" t="str">
        <v>tech.tailor.bedroll</v>
      </c>
    </row>
    <row r="171" spans="1:1">
      <c r="A171" t="str">
        <v>tech.tailor.salamander_velour</v>
      </c>
    </row>
    <row r="172" spans="1:1">
      <c r="A172" t="str">
        <v>tech.tailor.armor_for_a_hero_lvl_1</v>
      </c>
    </row>
    <row r="173" spans="1:1">
      <c r="A173" t="str">
        <v>tech.tailor.armor_for_a_hero_lvl_2</v>
      </c>
    </row>
    <row r="174" spans="1:1">
      <c r="A174" t="str">
        <v>tech.tailor.armor_for_a_hero_lvl_3</v>
      </c>
    </row>
    <row r="175" spans="1:1">
      <c r="A175" t="str">
        <v>tech.tailor.armor_for_a_hero_lvl_4</v>
      </c>
    </row>
    <row r="176" spans="1:1">
      <c r="A176" t="str">
        <v>tech.tailor.armor_for_a_hero_lvl_4+</v>
      </c>
    </row>
    <row r="177" spans="1:1">
      <c r="A177" t="str">
        <v>tech.tailor.strong_stitch</v>
      </c>
    </row>
    <row r="178" spans="1:1">
      <c r="A178" t="str">
        <v>tech.tailor.strong_rivets</v>
      </c>
    </row>
    <row r="179" spans="1:1">
      <c r="A179" t="str">
        <v>tech.tailor.colored_threads</v>
      </c>
    </row>
    <row r="180" spans="1:1">
      <c r="A180" t="str">
        <v>tech.train.compound_engine</v>
      </c>
    </row>
    <row r="181" spans="1:1">
      <c r="A181" t="str">
        <v>tech.train.superheater</v>
      </c>
    </row>
    <row r="182" spans="1:1">
      <c r="A182" t="str">
        <v>tech.train.automatic_lubricator</v>
      </c>
    </row>
    <row r="183" spans="1:1">
      <c r="A183" t="str">
        <v>tech.train.titanium_components</v>
      </c>
    </row>
    <row r="184" spans="1:1">
      <c r="A184" t="str">
        <v>tech.train.onboard_computer</v>
      </c>
    </row>
    <row r="185" spans="1:1">
      <c r="A185" t="str">
        <v>tech.warehouse.stackable_racks_lvl_1</v>
      </c>
    </row>
    <row r="186" spans="1:1">
      <c r="A186" t="str">
        <v>tech.warehouse.stackable_racks_lvl_2</v>
      </c>
    </row>
    <row r="187" spans="1:1">
      <c r="A187" t="str">
        <v>tech.warehouse.stackable_racks_lvl_3</v>
      </c>
    </row>
    <row r="188" spans="1:1">
      <c r="A188" t="str">
        <v>tech.workshop.throwing_net</v>
      </c>
    </row>
    <row r="189" spans="1:1">
      <c r="A189" t="str">
        <v>tech.workshop.shield_for_a_hero_lvl_1</v>
      </c>
    </row>
    <row r="190" spans="1:1">
      <c r="A190" t="str">
        <v>tech.workshop.shield_for_a_hero_lvl_2</v>
      </c>
    </row>
    <row r="191" spans="1:1">
      <c r="A191" t="str">
        <v>tech.workshop.shield_for_a_hero_lvl_3</v>
      </c>
    </row>
    <row r="192" spans="1:1">
      <c r="A192" t="str">
        <v>tech.workshop.shield_for_a_hero_lvl_4</v>
      </c>
    </row>
    <row r="193" spans="1:1">
      <c r="A193" t="str">
        <v>tech.workshop.shield_for_a_hero_lvl_4+</v>
      </c>
    </row>
    <row r="194" spans="1:1">
      <c r="A194" t="str">
        <v>tech.workshop.strong_glue</v>
      </c>
    </row>
    <row r="195" spans="1:1">
      <c r="A195" t="str">
        <v>tech.workshop.mechanism</v>
      </c>
    </row>
    <row r="196" spans="1:1">
      <c r="A196" t="str">
        <v>tech.workshop.mechanical_spider</v>
      </c>
    </row>
    <row r="197" spans="1:1">
      <c r="A197" t="str">
        <v>tech.workshop.explosive_mechanical_spider</v>
      </c>
    </row>
    <row r="198" spans="1:1">
      <c r="A198" t="str">
        <v>tech.workshop.steamobile</v>
      </c>
    </row>
    <row r="199" spans="1:1">
      <c r="A199" t="str">
        <v>tech.workshop.zen_fountain</v>
      </c>
    </row>
    <row r="200" spans="1:1">
      <c r="A200" t="str">
        <v>tech.workshop.conveyor_lvl_1</v>
      </c>
    </row>
    <row r="201" spans="1:1">
      <c r="A201" t="str">
        <v>tech.workshop.conveyor_lvl_2</v>
      </c>
    </row>
    <row r="202" spans="1:1">
      <c r="A202" t="str">
        <v>tech.alchemists_hut.perfect_fertilizer</v>
      </c>
    </row>
    <row r="203" spans="1:1">
      <c r="A203" t="str">
        <v>tech.windmill.bone_meal</v>
      </c>
    </row>
    <row r="204" spans="1:1">
      <c r="A204" t="str">
        <v>citadel.armory</v>
      </c>
    </row>
    <row r="205" spans="1:1">
      <c r="A205" t="str">
        <v>citadel.attic</v>
      </c>
    </row>
    <row r="206" spans="1:1">
      <c r="A206" t="str">
        <v>citadel.cheese_cave</v>
      </c>
    </row>
    <row r="207" spans="1:1">
      <c r="A207" t="str">
        <v>citadel.courtyard</v>
      </c>
    </row>
    <row r="208" spans="1:1">
      <c r="A208" t="str">
        <v>citadel.gallery</v>
      </c>
    </row>
    <row r="209" spans="1:1">
      <c r="A209" t="str">
        <v>citadel.great_hall</v>
      </c>
    </row>
    <row r="210" spans="1:1">
      <c r="A210" t="str">
        <v>citadel.kitchen_and_buttery</v>
      </c>
    </row>
    <row r="211" spans="1:1">
      <c r="A211" t="str">
        <v>citadel.lair_lvl_1</v>
      </c>
    </row>
    <row r="212" spans="1:1">
      <c r="A212" t="str">
        <v>citadel.lair_lvl_2</v>
      </c>
    </row>
    <row r="213" spans="1:1">
      <c r="A213" t="str">
        <v>citadel.mushroom_farm</v>
      </c>
    </row>
    <row r="214" spans="1:1">
      <c r="A214" t="str">
        <v>citadel.orangery</v>
      </c>
    </row>
    <row r="215" spans="1:1">
      <c r="A215" t="str">
        <v>citadel.pantry</v>
      </c>
    </row>
    <row r="216" spans="1:1">
      <c r="A216" t="str">
        <v>citadel.tavern</v>
      </c>
    </row>
    <row r="217" spans="1:1">
      <c r="A217" t="str">
        <v>citadel.treasury</v>
      </c>
    </row>
    <row r="218" spans="1:1">
      <c r="A218" t="str">
        <v>collection.armory_1@1</v>
      </c>
    </row>
    <row r="219" spans="1:1">
      <c r="A219" t="str">
        <v>collection.armory_1@2</v>
      </c>
    </row>
    <row r="220" spans="1:1">
      <c r="A220" t="str">
        <v>collection.armory_1@3</v>
      </c>
    </row>
    <row r="221" spans="1:1">
      <c r="A221" t="str">
        <v>collection.armory_2@1</v>
      </c>
    </row>
    <row r="222" spans="1:1">
      <c r="A222" t="str">
        <v>collection.attic@1</v>
      </c>
    </row>
    <row r="223" spans="1:1">
      <c r="A223" t="str">
        <v>collection.attic@2</v>
      </c>
    </row>
    <row r="224" spans="1:1">
      <c r="A224" t="str">
        <v>collection.attic@3</v>
      </c>
    </row>
    <row r="225" spans="1:1">
      <c r="A225" t="str">
        <v>collection.attic@4</v>
      </c>
    </row>
    <row r="226" spans="1:1">
      <c r="A226" t="str">
        <v>collection.attic@5</v>
      </c>
    </row>
    <row r="227" spans="1:1">
      <c r="A227" t="str">
        <v>collection.courtyard_1@1</v>
      </c>
    </row>
    <row r="228" spans="1:1">
      <c r="A228" t="str">
        <v>collection.courtyard_1@2</v>
      </c>
    </row>
    <row r="229" spans="1:1">
      <c r="A229" t="str">
        <v>collection.courtyard_2@1</v>
      </c>
    </row>
    <row r="230" spans="1:1">
      <c r="A230" t="str">
        <v>collection.gallery_1@1</v>
      </c>
    </row>
    <row r="231" spans="1:1">
      <c r="A231" t="str">
        <v>collection.gallery_1@2</v>
      </c>
    </row>
    <row r="232" spans="1:1">
      <c r="A232" t="str">
        <v>collection.gallery_1@3</v>
      </c>
    </row>
    <row r="233" spans="1:1">
      <c r="A233" t="str">
        <v>collection.gallery_1@4</v>
      </c>
    </row>
    <row r="234" spans="1:1">
      <c r="A234" t="str">
        <v>collection.gallery_1@5</v>
      </c>
    </row>
    <row r="235" spans="1:1">
      <c r="A235" t="str">
        <v>collection.gallery_2@1</v>
      </c>
    </row>
    <row r="236" spans="1:1">
      <c r="A236" t="str">
        <v>collection.gallery_2@2</v>
      </c>
    </row>
    <row r="237" spans="1:1">
      <c r="A237" t="str">
        <v>collection.gallery_2@3</v>
      </c>
    </row>
    <row r="238" spans="1:1">
      <c r="A238" t="str">
        <v>collection.gallery_2@4</v>
      </c>
    </row>
    <row r="239" spans="1:1">
      <c r="A239" t="str">
        <v>collection.gallery_2@5</v>
      </c>
    </row>
    <row r="240" spans="1:1">
      <c r="A240" t="str">
        <v>collection.gallery_3@1</v>
      </c>
    </row>
    <row r="241" spans="1:1">
      <c r="A241" t="str">
        <v>collection.gallery_3@2</v>
      </c>
    </row>
    <row r="242" spans="1:1">
      <c r="A242" t="str">
        <v>collection.gallery_3@3</v>
      </c>
    </row>
    <row r="243" spans="1:1">
      <c r="A243" t="str">
        <v>collection.gallery_3@4</v>
      </c>
    </row>
    <row r="244" spans="1:1">
      <c r="A244" t="str">
        <v>collection.gallery_3@5</v>
      </c>
    </row>
    <row r="245" spans="1:1">
      <c r="A245" t="str">
        <v>collection.historical_library_1@1</v>
      </c>
    </row>
    <row r="246" spans="1:1">
      <c r="A246" t="str">
        <v>collection.historical_library_1@2</v>
      </c>
    </row>
    <row r="247" spans="1:1">
      <c r="A247" t="str">
        <v>collection.historical_library_1@3</v>
      </c>
    </row>
    <row r="248" spans="1:1">
      <c r="A248" t="str">
        <v>collection.historical_library_2@1</v>
      </c>
    </row>
    <row r="249" spans="1:1">
      <c r="A249" t="str">
        <v>collection.historical_library_2@2</v>
      </c>
    </row>
    <row r="250" spans="1:1">
      <c r="A250" t="str">
        <v>collection.historical_library_2@3</v>
      </c>
    </row>
    <row r="251" spans="1:1">
      <c r="A251" t="str">
        <v>collection.horse@1</v>
      </c>
    </row>
    <row r="252" spans="1:1">
      <c r="A252" t="str">
        <v>collection.kitchen_and_buttery_1@1</v>
      </c>
    </row>
    <row r="253" spans="1:1">
      <c r="A253" t="str">
        <v>collection.kitchen_and_buttery_1@2</v>
      </c>
    </row>
    <row r="254" spans="1:1">
      <c r="A254" t="str">
        <v>collection.kitchen_and_buttery_1@3</v>
      </c>
    </row>
    <row r="255" spans="1:1">
      <c r="A255" t="str">
        <v>collection.kitchen_and_buttery_1@4</v>
      </c>
    </row>
    <row r="256" spans="1:1">
      <c r="A256" t="str">
        <v>collection.kitchen_and_buttery_1@5</v>
      </c>
    </row>
    <row r="257" spans="1:1">
      <c r="A257" t="str">
        <v>collection.kitchen_and_buttery_2@1</v>
      </c>
    </row>
    <row r="258" spans="1:1">
      <c r="A258" t="str">
        <v>collection.mushroom_farm@1</v>
      </c>
    </row>
    <row r="259" spans="1:1">
      <c r="A259" t="str">
        <v>collection.mushroom_farm@2</v>
      </c>
    </row>
    <row r="260" spans="1:1">
      <c r="A260" t="str">
        <v>collection.orangery@1</v>
      </c>
    </row>
    <row r="261" spans="1:1">
      <c r="A261" t="str">
        <v>collection.orangery@2</v>
      </c>
    </row>
    <row r="262" spans="1:1">
      <c r="A262" t="str">
        <v>collection.pantry_1@1</v>
      </c>
    </row>
    <row r="263" spans="1:1">
      <c r="A263" t="str">
        <v>collection.pantry_1@2</v>
      </c>
    </row>
    <row r="264" spans="1:1">
      <c r="A264" t="str">
        <v>collection.pantry_1@3</v>
      </c>
    </row>
    <row r="265" spans="1:1">
      <c r="A265" t="str">
        <v>collection.pantry_1@4</v>
      </c>
    </row>
    <row r="266" spans="1:1">
      <c r="A266" t="str">
        <v>collection.pantry_1@5</v>
      </c>
    </row>
    <row r="267" spans="1:1">
      <c r="A267" t="str">
        <v>collection.pantry_2@1</v>
      </c>
    </row>
    <row r="268" spans="1:1">
      <c r="A268" t="str">
        <v>collection.pantry_2@2</v>
      </c>
    </row>
    <row r="269" spans="1:1">
      <c r="A269" t="str">
        <v>collection.pantry_2@3</v>
      </c>
    </row>
    <row r="270" spans="1:1">
      <c r="A270" t="str">
        <v>collection.pantry_2@4</v>
      </c>
    </row>
    <row r="271" spans="1:1">
      <c r="A271" t="str">
        <v>collection.pantry_2@5</v>
      </c>
    </row>
    <row r="272" spans="1:1">
      <c r="A272" t="str">
        <v>collection.pantry_3@1</v>
      </c>
    </row>
    <row r="273" spans="1:1">
      <c r="A273" t="str">
        <v>collection.pantry_3@2</v>
      </c>
    </row>
    <row r="274" spans="1:1">
      <c r="A274" t="str">
        <v>collection.pantry_3@3</v>
      </c>
    </row>
    <row r="275" spans="1:1">
      <c r="A275" t="str">
        <v>collection.pantry_3@4</v>
      </c>
    </row>
    <row r="276" spans="1:1">
      <c r="A276" t="str">
        <v>collection.pantry_3@5</v>
      </c>
    </row>
    <row r="277" spans="1:1">
      <c r="A277" t="str">
        <v>collection.pantry_4@1</v>
      </c>
    </row>
    <row r="278" spans="1:1">
      <c r="A278" t="str">
        <v>collection.statue@1</v>
      </c>
    </row>
    <row r="279" spans="1:1">
      <c r="A279" t="str">
        <v>collection.tavern@1</v>
      </c>
    </row>
    <row r="280" spans="1:1">
      <c r="A280" t="str">
        <v>collection.tavern@2</v>
      </c>
    </row>
    <row r="281" spans="1:1">
      <c r="A281" t="str">
        <v>collection.treasury_1@1</v>
      </c>
    </row>
    <row r="282" spans="1:1">
      <c r="A282" t="str">
        <v>collection.treasury_1@2</v>
      </c>
    </row>
    <row r="283" spans="1:1">
      <c r="A283" t="str">
        <v>collection.treasury_1@3</v>
      </c>
    </row>
    <row r="284" spans="1:1">
      <c r="A284" t="str">
        <v>collection.treasury_1@4</v>
      </c>
    </row>
    <row r="285" spans="1:1">
      <c r="A285" t="str">
        <v>collection.treasury_1@5</v>
      </c>
    </row>
    <row r="286" spans="1:1">
      <c r="A286" t="str">
        <v>collection.treasury_2@1</v>
      </c>
    </row>
    <row r="287" spans="1:1">
      <c r="A287" t="str">
        <v>collection.treasury_2@2</v>
      </c>
    </row>
    <row r="288" spans="1:1">
      <c r="A288" t="str">
        <v>collection.treasury_2@3</v>
      </c>
    </row>
    <row r="289" spans="1:1">
      <c r="A289" t="str">
        <v>collection.treasury_3@1</v>
      </c>
    </row>
    <row r="290" spans="1:1">
      <c r="A290" t="str">
        <v>craftifact.astrolabe</v>
      </c>
    </row>
    <row r="291" spans="1:1">
      <c r="A291" t="str">
        <v>craftifact.barometer</v>
      </c>
    </row>
    <row r="292" spans="1:1">
      <c r="A292" t="str">
        <v>craftifact.cinema_projector</v>
      </c>
    </row>
    <row r="293" spans="1:1">
      <c r="A293" t="str">
        <v>craftifact.dagger</v>
      </c>
    </row>
    <row r="294" spans="1:1">
      <c r="A294" t="str">
        <v>craftifact.emerald_tablet</v>
      </c>
    </row>
    <row r="295" spans="1:1">
      <c r="A295" t="str">
        <v>craftifact.flamethrower</v>
      </c>
    </row>
    <row r="296" spans="1:1">
      <c r="A296" t="str">
        <v>craftifact.guild_banner</v>
      </c>
    </row>
    <row r="297" spans="1:1">
      <c r="A297" t="str">
        <v>craftifact.guild_codex</v>
      </c>
    </row>
    <row r="298" spans="1:1">
      <c r="A298" t="str">
        <v>craftifact.guild_supplies</v>
      </c>
    </row>
    <row r="299" spans="1:1">
      <c r="A299" t="str">
        <v>craftifact.hat_of_concentration</v>
      </c>
    </row>
    <row r="300" spans="1:1">
      <c r="A300" t="str">
        <v>craftifact.helmet</v>
      </c>
    </row>
    <row r="301" spans="1:1">
      <c r="A301" t="str">
        <v>craftifact.historical_library</v>
      </c>
    </row>
    <row r="302" spans="1:1">
      <c r="A302" t="str">
        <v>craftifact.hotei_statuette</v>
      </c>
    </row>
    <row r="303" spans="1:1">
      <c r="A303" t="str">
        <v>craftifact.metal_detector</v>
      </c>
    </row>
    <row r="304" spans="1:1">
      <c r="A304" t="str">
        <v>craftifact.necklace_for_haruka</v>
      </c>
    </row>
    <row r="305" spans="1:1">
      <c r="A305" t="str">
        <v>craftifact.safe</v>
      </c>
    </row>
    <row r="306" spans="1:1">
      <c r="A306" t="str">
        <v>craftifact.solver_1_prototype</v>
      </c>
    </row>
    <row r="307" spans="1:1">
      <c r="A307" t="str">
        <v>craftifact.telescope</v>
      </c>
    </row>
    <row r="308" spans="1:1">
      <c r="A308" t="str">
        <v>craftifact.tetrachloroaurate</v>
      </c>
    </row>
    <row r="309" spans="1:1">
      <c r="A309" t="str">
        <v>craftifact.trigonometry</v>
      </c>
    </row>
    <row r="310" spans="1:1">
      <c r="A310" t="str">
        <v>quest.ahead_of_time_chapter_1.finished</v>
      </c>
    </row>
    <row r="311" spans="1:1">
      <c r="A311" t="str">
        <v>quest.culinary_battle.finished</v>
      </c>
    </row>
    <row r="312" spans="1:1">
      <c r="A312" t="str">
        <v>quest.festival.finished</v>
      </c>
    </row>
    <row r="313" spans="1:1">
      <c r="A313" t="str">
        <v>quest.festival_returns.finished</v>
      </c>
    </row>
    <row r="314" spans="1:1">
      <c r="A314" t="str">
        <v>quest.festival_of_beans.finished</v>
      </c>
    </row>
    <row r="315" spans="1:1">
      <c r="A315" t="str">
        <v>quest.green_potion.finished</v>
      </c>
    </row>
    <row r="316" spans="1:1">
      <c r="A316" t="str">
        <v>quest.magic_beans.finished</v>
      </c>
    </row>
    <row r="317" spans="1:1">
      <c r="A317" t="str">
        <v>quest.once_upon_a_forest_chapter_5.finished</v>
      </c>
    </row>
    <row r="318" spans="1:1">
      <c r="A318" t="str">
        <v>quest.once_upon_a_forest_chapter_8.finished</v>
      </c>
    </row>
    <row r="319" spans="1:1">
      <c r="A319" t="str">
        <v>quest.once_upon_a_forest_chapter_13.finished</v>
      </c>
    </row>
    <row r="320" spans="1:1">
      <c r="A320" t="str">
        <v>quest.shoguns_katana_chapter_1.finished</v>
      </c>
    </row>
    <row r="321" spans="1:1">
      <c r="A321" t="str">
        <v>quest.shoguns_katana_chapter_2.finished</v>
      </c>
    </row>
    <row r="322" spans="1:1">
      <c r="A322" t="str">
        <v>quest.shoguns_katana_chapter_3.finished</v>
      </c>
    </row>
    <row r="323" spans="1:1">
      <c r="A323" t="str">
        <v>quest.shoguns_katana_chapter_4.finished</v>
      </c>
    </row>
    <row r="324" spans="1:1">
      <c r="A324" t="str">
        <v>quest.shoguns_katana_chapter_5.finished</v>
      </c>
    </row>
    <row r="325" spans="1:1">
      <c r="A325" t="str">
        <v>quest.shoguns_katana_chapter_6.finished</v>
      </c>
    </row>
    <row r="326" spans="1:1">
      <c r="A326" t="str">
        <v>quest.shoguns_katana_chapter_7.finished</v>
      </c>
    </row>
    <row r="327" spans="1:1">
      <c r="A327" t="str">
        <v>quest.the_ordinary_days_of_an_adventurer_chapter_2.finished</v>
      </c>
    </row>
    <row r="328" spans="1:1">
      <c r="A328" t="str">
        <v>quest.the_ordinary_days_of_an_adventurer_chapter_5.finished</v>
      </c>
    </row>
    <row r="329" spans="1:1">
      <c r="A329" t="str">
        <v>quest.the_ordinary_days_of_an_adventurer_chapter_6.finished</v>
      </c>
    </row>
    <row r="330" spans="1:1">
      <c r="A330" t="str">
        <v>collection.broken_lever@1</v>
      </c>
    </row>
    <row r="331" spans="1:1">
      <c r="A331" t="str">
        <v>collection.collapsed_staircase@1</v>
      </c>
    </row>
    <row r="332" spans="1:1">
      <c r="A332" t="str">
        <v>collection.rotten_ladder@1</v>
      </c>
    </row>
    <row r="333" spans="1:1">
      <c r="A333" t="str">
        <v>collection.cave_in_bone_dragon@1</v>
      </c>
    </row>
    <row r="334" spans="1:1">
      <c r="A334" t="str">
        <v>collection.cave_in_alchemist_hall@1</v>
      </c>
    </row>
    <row r="335" spans="1:1">
      <c r="A335" t="str">
        <v>collection.bone_dragon@1</v>
      </c>
    </row>
    <row r="336" spans="1:1">
      <c r="A336" t="str">
        <v>collection.bone_dragon@2</v>
      </c>
    </row>
    <row r="337" spans="1:1">
      <c r="A337" t="str">
        <v>collection.alchemist_hall_1@1</v>
      </c>
    </row>
    <row r="338" spans="1:1">
      <c r="A338" t="str">
        <v>collection.alchemist_hall_1@2</v>
      </c>
    </row>
    <row r="339" spans="1:1">
      <c r="A339" t="str">
        <v>collection.alchemist_hall_2@1</v>
      </c>
    </row>
    <row r="340" spans="1:1">
      <c r="A340" t="str">
        <v>collection.alchemist_hall_2@2</v>
      </c>
    </row>
    <row r="341" spans="1:1">
      <c r="A341" t="str">
        <v>collection.alchemist_hall_3@1</v>
      </c>
    </row>
    <row r="342" spans="1:1">
      <c r="A342" t="str">
        <v>collection.alchemist_hall_3@2</v>
      </c>
    </row>
    <row r="343" spans="1:1">
      <c r="A343" t="str">
        <v>collection.broken_minecart@1</v>
      </c>
    </row>
    <row r="344" spans="1:1">
      <c r="A344" t="str">
        <v>collection.crystal_cave@1</v>
      </c>
    </row>
    <row r="345" spans="1:1">
      <c r="A345" t="str">
        <v>collection.staircase@1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0BBB-E509-4626-9175-49EF19274BB8}">
  <sheetPr>
    <tabColor rgb="FFFF0000"/>
  </sheetPr>
  <dimension ref="A1:D310"/>
  <sheetViews>
    <sheetView workbookViewId="0"/>
  </sheetViews>
  <sheetFormatPr defaultRowHeight="14.5"/>
  <cols>
    <col min="1" max="1" width="33.453125" bestFit="1" customWidth="1"/>
    <col min="2" max="2" width="12.26953125" customWidth="1"/>
    <col min="3" max="3" width="26.7265625" bestFit="1" customWidth="1"/>
    <col min="4" max="4" width="86" bestFit="1" customWidth="1"/>
  </cols>
  <sheetData>
    <row r="1" spans="1:4">
      <c r="A1" s="27" t="s">
        <v>2090</v>
      </c>
      <c r="B1" t="s">
        <v>2091</v>
      </c>
      <c r="C1" s="58" t="s">
        <v>8</v>
      </c>
      <c r="D1" s="38" t="s">
        <v>241</v>
      </c>
    </row>
    <row r="2" spans="1:4">
      <c r="A2" s="37" t="s">
        <v>13</v>
      </c>
      <c r="B2" t="str">
        <f>_xlfn.XLOOKUP(tblCostTemp[[#This Row],[TargetID]],tblTargets[TargetID],tblTargets[TargetType],"")</f>
        <v>BUILDING</v>
      </c>
      <c r="C2" s="6" t="str">
        <f>_xlfn.XLOOKUP(tblCostTemp[[#This Row],[TargetID]],tblTargets[TargetID],tblTargets[DisplayName],"")</f>
        <v>Airship Lv 1</v>
      </c>
      <c r="D2" s="28" t="s">
        <v>243</v>
      </c>
    </row>
    <row r="3" spans="1:4">
      <c r="A3" s="6" t="s">
        <v>15</v>
      </c>
      <c r="B3" t="str">
        <f>_xlfn.XLOOKUP(tblCostTemp[[#This Row],[TargetID]],tblTargets[TargetID],tblTargets[TargetType],"")</f>
        <v>BUILDING</v>
      </c>
      <c r="C3" s="6" t="str">
        <f>_xlfn.XLOOKUP(tblCostTemp[[#This Row],[TargetID]],tblTargets[TargetID],tblTargets[DisplayName],"")</f>
        <v>Airship Lv 2</v>
      </c>
      <c r="D3" s="29" t="s">
        <v>245</v>
      </c>
    </row>
    <row r="4" spans="1:4">
      <c r="A4" s="37" t="s">
        <v>16</v>
      </c>
      <c r="B4" t="str">
        <f>_xlfn.XLOOKUP(tblCostTemp[[#This Row],[TargetID]],tblTargets[TargetID],tblTargets[TargetType],"")</f>
        <v>BUILDING</v>
      </c>
      <c r="C4" s="6" t="str">
        <f>_xlfn.XLOOKUP(tblCostTemp[[#This Row],[TargetID]],tblTargets[TargetID],tblTargets[DisplayName],"")</f>
        <v>Alchemist's Hut Lv 1</v>
      </c>
      <c r="D4" s="28" t="s">
        <v>247</v>
      </c>
    </row>
    <row r="5" spans="1:4">
      <c r="A5" s="6" t="s">
        <v>19</v>
      </c>
      <c r="B5" t="str">
        <f>_xlfn.XLOOKUP(tblCostTemp[[#This Row],[TargetID]],tblTargets[TargetID],tblTargets[TargetType],"")</f>
        <v>BUILDING</v>
      </c>
      <c r="C5" s="6" t="str">
        <f>_xlfn.XLOOKUP(tblCostTemp[[#This Row],[TargetID]],tblTargets[TargetID],tblTargets[DisplayName],"")</f>
        <v>Alchemist's Hut Lv 2</v>
      </c>
      <c r="D5" s="29" t="s">
        <v>249</v>
      </c>
    </row>
    <row r="6" spans="1:4">
      <c r="A6" s="37" t="s">
        <v>20</v>
      </c>
      <c r="B6" t="str">
        <f>_xlfn.XLOOKUP(tblCostTemp[[#This Row],[TargetID]],tblTargets[TargetID],tblTargets[TargetType],"")</f>
        <v>BUILDING</v>
      </c>
      <c r="C6" s="6" t="str">
        <f>_xlfn.XLOOKUP(tblCostTemp[[#This Row],[TargetID]],tblTargets[TargetID],tblTargets[DisplayName],"")</f>
        <v>Alchemist's Hut Lv 3</v>
      </c>
      <c r="D6" s="28" t="s">
        <v>251</v>
      </c>
    </row>
    <row r="7" spans="1:4">
      <c r="A7" s="6" t="s">
        <v>21</v>
      </c>
      <c r="B7" t="str">
        <f>_xlfn.XLOOKUP(tblCostTemp[[#This Row],[TargetID]],tblTargets[TargetID],tblTargets[TargetType],"")</f>
        <v>BUILDING</v>
      </c>
      <c r="C7" s="6" t="str">
        <f>_xlfn.XLOOKUP(tblCostTemp[[#This Row],[TargetID]],tblTargets[TargetID],tblTargets[DisplayName],"")</f>
        <v>Alchemist's Hut Lv 4</v>
      </c>
      <c r="D7" s="29" t="s">
        <v>253</v>
      </c>
    </row>
    <row r="8" spans="1:4">
      <c r="A8" s="37" t="s">
        <v>22</v>
      </c>
      <c r="B8" t="str">
        <f>_xlfn.XLOOKUP(tblCostTemp[[#This Row],[TargetID]],tblTargets[TargetID],tblTargets[TargetType],"")</f>
        <v>BUILDING</v>
      </c>
      <c r="C8" s="6" t="str">
        <f>_xlfn.XLOOKUP(tblCostTemp[[#This Row],[TargetID]],tblTargets[TargetID],tblTargets[DisplayName],"")</f>
        <v>Alchemist's Hut Lv 5</v>
      </c>
      <c r="D8" s="28" t="s">
        <v>255</v>
      </c>
    </row>
    <row r="9" spans="1:4">
      <c r="A9" s="6" t="s">
        <v>23</v>
      </c>
      <c r="B9" t="str">
        <f>_xlfn.XLOOKUP(tblCostTemp[[#This Row],[TargetID]],tblTargets[TargetID],tblTargets[TargetType],"")</f>
        <v>BUILDING</v>
      </c>
      <c r="C9" s="6" t="str">
        <f>_xlfn.XLOOKUP(tblCostTemp[[#This Row],[TargetID]],tblTargets[TargetID],tblTargets[DisplayName],"")</f>
        <v>Alchemist's Hut Lv 6</v>
      </c>
      <c r="D9" s="29" t="s">
        <v>257</v>
      </c>
    </row>
    <row r="10" spans="1:4">
      <c r="A10" s="37" t="s">
        <v>24</v>
      </c>
      <c r="B10" t="str">
        <f>_xlfn.XLOOKUP(tblCostTemp[[#This Row],[TargetID]],tblTargets[TargetID],tblTargets[TargetType],"")</f>
        <v>BUILDING</v>
      </c>
      <c r="C10" s="6" t="str">
        <f>_xlfn.XLOOKUP(tblCostTemp[[#This Row],[TargetID]],tblTargets[TargetID],tblTargets[DisplayName],"")</f>
        <v>Bonsai Lv 1</v>
      </c>
      <c r="D10" s="28" t="s">
        <v>259</v>
      </c>
    </row>
    <row r="11" spans="1:4">
      <c r="A11" s="6" t="s">
        <v>26</v>
      </c>
      <c r="B11" t="str">
        <f>_xlfn.XLOOKUP(tblCostTemp[[#This Row],[TargetID]],tblTargets[TargetID],tblTargets[TargetType],"")</f>
        <v>BUILDING</v>
      </c>
      <c r="C11" s="6" t="str">
        <f>_xlfn.XLOOKUP(tblCostTemp[[#This Row],[TargetID]],tblTargets[TargetID],tblTargets[DisplayName],"")</f>
        <v>Bonsai Lv 2</v>
      </c>
      <c r="D11" s="29" t="s">
        <v>261</v>
      </c>
    </row>
    <row r="12" spans="1:4">
      <c r="A12" s="37" t="s">
        <v>27</v>
      </c>
      <c r="B12" t="str">
        <f>_xlfn.XLOOKUP(tblCostTemp[[#This Row],[TargetID]],tblTargets[TargetID],tblTargets[TargetType],"")</f>
        <v>BUILDING</v>
      </c>
      <c r="C12" s="6" t="str">
        <f>_xlfn.XLOOKUP(tblCostTemp[[#This Row],[TargetID]],tblTargets[TargetID],tblTargets[DisplayName],"")</f>
        <v>Bridge Lv 1</v>
      </c>
      <c r="D12" s="28" t="s">
        <v>263</v>
      </c>
    </row>
    <row r="13" spans="1:4">
      <c r="A13" s="6" t="s">
        <v>29</v>
      </c>
      <c r="B13" t="str">
        <f>_xlfn.XLOOKUP(tblCostTemp[[#This Row],[TargetID]],tblTargets[TargetID],tblTargets[TargetType],"")</f>
        <v>BUILDING</v>
      </c>
      <c r="C13" s="6" t="str">
        <f>_xlfn.XLOOKUP(tblCostTemp[[#This Row],[TargetID]],tblTargets[TargetID],tblTargets[DisplayName],"")</f>
        <v>Caravan Lv 1</v>
      </c>
      <c r="D13" s="29" t="s">
        <v>265</v>
      </c>
    </row>
    <row r="14" spans="1:4">
      <c r="A14" s="37" t="s">
        <v>31</v>
      </c>
      <c r="B14" t="str">
        <f>_xlfn.XLOOKUP(tblCostTemp[[#This Row],[TargetID]],tblTargets[TargetID],tblTargets[TargetType],"")</f>
        <v>BUILDING</v>
      </c>
      <c r="C14" s="6" t="str">
        <f>_xlfn.XLOOKUP(tblCostTemp[[#This Row],[TargetID]],tblTargets[TargetID],tblTargets[DisplayName],"")</f>
        <v>Caravan Lv 2</v>
      </c>
      <c r="D14" s="28" t="s">
        <v>267</v>
      </c>
    </row>
    <row r="15" spans="1:4">
      <c r="A15" s="6" t="s">
        <v>32</v>
      </c>
      <c r="B15" t="str">
        <f>_xlfn.XLOOKUP(tblCostTemp[[#This Row],[TargetID]],tblTargets[TargetID],tblTargets[TargetType],"")</f>
        <v>BUILDING</v>
      </c>
      <c r="C15" s="6" t="str">
        <f>_xlfn.XLOOKUP(tblCostTemp[[#This Row],[TargetID]],tblTargets[TargetID],tblTargets[DisplayName],"")</f>
        <v>Caravan Lv 3</v>
      </c>
      <c r="D15" s="29" t="s">
        <v>269</v>
      </c>
    </row>
    <row r="16" spans="1:4">
      <c r="A16" s="37" t="s">
        <v>33</v>
      </c>
      <c r="B16" t="str">
        <f>_xlfn.XLOOKUP(tblCostTemp[[#This Row],[TargetID]],tblTargets[TargetID],tblTargets[TargetType],"")</f>
        <v>BUILDING</v>
      </c>
      <c r="C16" s="6" t="str">
        <f>_xlfn.XLOOKUP(tblCostTemp[[#This Row],[TargetID]],tblTargets[TargetID],tblTargets[DisplayName],"")</f>
        <v>Caravan Lv 4</v>
      </c>
      <c r="D16" s="28" t="s">
        <v>271</v>
      </c>
    </row>
    <row r="17" spans="1:4">
      <c r="A17" s="6" t="s">
        <v>34</v>
      </c>
      <c r="B17" t="str">
        <f>_xlfn.XLOOKUP(tblCostTemp[[#This Row],[TargetID]],tblTargets[TargetID],tblTargets[TargetType],"")</f>
        <v>BUILDING</v>
      </c>
      <c r="C17" s="6" t="str">
        <f>_xlfn.XLOOKUP(tblCostTemp[[#This Row],[TargetID]],tblTargets[TargetID],tblTargets[DisplayName],"")</f>
        <v>Chicken Lv 1</v>
      </c>
      <c r="D17" s="29" t="s">
        <v>273</v>
      </c>
    </row>
    <row r="18" spans="1:4">
      <c r="A18" s="37" t="s">
        <v>36</v>
      </c>
      <c r="B18" t="str">
        <f>_xlfn.XLOOKUP(tblCostTemp[[#This Row],[TargetID]],tblTargets[TargetID],tblTargets[TargetType],"")</f>
        <v>BUILDING</v>
      </c>
      <c r="C18" s="6" t="str">
        <f>_xlfn.XLOOKUP(tblCostTemp[[#This Row],[TargetID]],tblTargets[TargetID],tblTargets[DisplayName],"")</f>
        <v>Chicken Lv 2</v>
      </c>
      <c r="D18" s="28" t="s">
        <v>275</v>
      </c>
    </row>
    <row r="19" spans="1:4">
      <c r="A19" s="6" t="s">
        <v>37</v>
      </c>
      <c r="B19" t="str">
        <f>_xlfn.XLOOKUP(tblCostTemp[[#This Row],[TargetID]],tblTargets[TargetID],tblTargets[TargetType],"")</f>
        <v>BUILDING</v>
      </c>
      <c r="C19" s="6" t="str">
        <f>_xlfn.XLOOKUP(tblCostTemp[[#This Row],[TargetID]],tblTargets[TargetID],tblTargets[DisplayName],"")</f>
        <v>Dairy Lv 1</v>
      </c>
      <c r="D19" s="29" t="s">
        <v>277</v>
      </c>
    </row>
    <row r="20" spans="1:4">
      <c r="A20" s="37" t="s">
        <v>39</v>
      </c>
      <c r="B20" t="str">
        <f>_xlfn.XLOOKUP(tblCostTemp[[#This Row],[TargetID]],tblTargets[TargetID],tblTargets[TargetType],"")</f>
        <v>BUILDING</v>
      </c>
      <c r="C20" s="6" t="str">
        <f>_xlfn.XLOOKUP(tblCostTemp[[#This Row],[TargetID]],tblTargets[TargetID],tblTargets[DisplayName],"")</f>
        <v>Dairy Lv 2</v>
      </c>
      <c r="D20" s="28" t="s">
        <v>279</v>
      </c>
    </row>
    <row r="21" spans="1:4">
      <c r="A21" s="6" t="s">
        <v>40</v>
      </c>
      <c r="B21" t="str">
        <f>_xlfn.XLOOKUP(tblCostTemp[[#This Row],[TargetID]],tblTargets[TargetID],tblTargets[TargetType],"")</f>
        <v>BUILDING</v>
      </c>
      <c r="C21" s="6" t="str">
        <f>_xlfn.XLOOKUP(tblCostTemp[[#This Row],[TargetID]],tblTargets[TargetID],tblTargets[DisplayName],"")</f>
        <v>Dungeon Lv 1</v>
      </c>
      <c r="D21" s="29" t="s">
        <v>281</v>
      </c>
    </row>
    <row r="22" spans="1:4">
      <c r="A22" s="37" t="s">
        <v>42</v>
      </c>
      <c r="B22" t="str">
        <f>_xlfn.XLOOKUP(tblCostTemp[[#This Row],[TargetID]],tblTargets[TargetID],tblTargets[TargetType],"")</f>
        <v>BUILDING</v>
      </c>
      <c r="C22" s="6" t="str">
        <f>_xlfn.XLOOKUP(tblCostTemp[[#This Row],[TargetID]],tblTargets[TargetID],tblTargets[DisplayName],"")</f>
        <v>Dungeon Lv 2</v>
      </c>
      <c r="D22" s="28" t="s">
        <v>283</v>
      </c>
    </row>
    <row r="23" spans="1:4">
      <c r="A23" s="6" t="s">
        <v>43</v>
      </c>
      <c r="B23" t="str">
        <f>_xlfn.XLOOKUP(tblCostTemp[[#This Row],[TargetID]],tblTargets[TargetID],tblTargets[TargetType],"")</f>
        <v>BUILDING</v>
      </c>
      <c r="C23" s="6" t="str">
        <f>_xlfn.XLOOKUP(tblCostTemp[[#This Row],[TargetID]],tblTargets[TargetID],tblTargets[DisplayName],"")</f>
        <v>Dungeon Lv 3</v>
      </c>
      <c r="D23" s="29" t="s">
        <v>285</v>
      </c>
    </row>
    <row r="24" spans="1:4">
      <c r="A24" s="37" t="s">
        <v>44</v>
      </c>
      <c r="B24" t="str">
        <f>_xlfn.XLOOKUP(tblCostTemp[[#This Row],[TargetID]],tblTargets[TargetID],tblTargets[TargetType],"")</f>
        <v>BUILDING</v>
      </c>
      <c r="C24" s="6" t="str">
        <f>_xlfn.XLOOKUP(tblCostTemp[[#This Row],[TargetID]],tblTargets[TargetID],tblTargets[DisplayName],"")</f>
        <v>Dungeon Lv 4</v>
      </c>
      <c r="D24" s="28" t="s">
        <v>287</v>
      </c>
    </row>
    <row r="25" spans="1:4">
      <c r="A25" s="6" t="s">
        <v>45</v>
      </c>
      <c r="B25" t="str">
        <f>_xlfn.XLOOKUP(tblCostTemp[[#This Row],[TargetID]],tblTargets[TargetID],tblTargets[TargetType],"")</f>
        <v>BUILDING</v>
      </c>
      <c r="C25" s="6" t="str">
        <f>_xlfn.XLOOKUP(tblCostTemp[[#This Row],[TargetID]],tblTargets[TargetID],tblTargets[DisplayName],"")</f>
        <v>Dungeon Lv 5</v>
      </c>
      <c r="D25" s="29" t="s">
        <v>289</v>
      </c>
    </row>
    <row r="26" spans="1:4">
      <c r="A26" s="37" t="s">
        <v>6058</v>
      </c>
      <c r="B26" t="str">
        <f>_xlfn.XLOOKUP(tblCostTemp[[#This Row],[TargetID]],tblTargets[TargetID],tblTargets[TargetType],"")</f>
        <v>CITADEL</v>
      </c>
      <c r="C26" s="6" t="str">
        <f>_xlfn.XLOOKUP(tblCostTemp[[#This Row],[TargetID]],tblTargets[TargetID],tblTargets[DisplayName],"")</f>
        <v>Tunnel</v>
      </c>
      <c r="D26" s="28" t="s">
        <v>291</v>
      </c>
    </row>
    <row r="27" spans="1:4">
      <c r="A27" s="6" t="s">
        <v>46</v>
      </c>
      <c r="B27" t="str">
        <f>_xlfn.XLOOKUP(tblCostTemp[[#This Row],[TargetID]],tblTargets[TargetID],tblTargets[TargetType],"")</f>
        <v>BUILDING</v>
      </c>
      <c r="C27" s="6" t="str">
        <f>_xlfn.XLOOKUP(tblCostTemp[[#This Row],[TargetID]],tblTargets[TargetID],tblTargets[DisplayName],"")</f>
        <v>Fermentory Lv 1</v>
      </c>
      <c r="D27" s="29" t="s">
        <v>293</v>
      </c>
    </row>
    <row r="28" spans="1:4">
      <c r="A28" s="37" t="s">
        <v>48</v>
      </c>
      <c r="B28" t="str">
        <f>_xlfn.XLOOKUP(tblCostTemp[[#This Row],[TargetID]],tblTargets[TargetID],tblTargets[TargetType],"")</f>
        <v>BUILDING</v>
      </c>
      <c r="C28" s="6" t="str">
        <f>_xlfn.XLOOKUP(tblCostTemp[[#This Row],[TargetID]],tblTargets[TargetID],tblTargets[DisplayName],"")</f>
        <v>Fermentory Lv 2</v>
      </c>
      <c r="D28" s="28" t="s">
        <v>295</v>
      </c>
    </row>
    <row r="29" spans="1:4">
      <c r="A29" s="6" t="s">
        <v>49</v>
      </c>
      <c r="B29" t="str">
        <f>_xlfn.XLOOKUP(tblCostTemp[[#This Row],[TargetID]],tblTargets[TargetID],tblTargets[TargetType],"")</f>
        <v>BUILDING</v>
      </c>
      <c r="C29" s="6" t="str">
        <f>_xlfn.XLOOKUP(tblCostTemp[[#This Row],[TargetID]],tblTargets[TargetID],tblTargets[DisplayName],"")</f>
        <v>Fermentory Lv 3</v>
      </c>
      <c r="D29" s="29" t="s">
        <v>297</v>
      </c>
    </row>
    <row r="30" spans="1:4">
      <c r="A30" s="37" t="s">
        <v>50</v>
      </c>
      <c r="B30" t="str">
        <f>_xlfn.XLOOKUP(tblCostTemp[[#This Row],[TargetID]],tblTargets[TargetID],tblTargets[TargetType],"")</f>
        <v>BUILDING</v>
      </c>
      <c r="C30" s="6" t="str">
        <f>_xlfn.XLOOKUP(tblCostTemp[[#This Row],[TargetID]],tblTargets[TargetID],tblTargets[DisplayName],"")</f>
        <v>Fermentory Lv 4</v>
      </c>
      <c r="D30" s="28" t="s">
        <v>299</v>
      </c>
    </row>
    <row r="31" spans="1:4">
      <c r="A31" s="6" t="s">
        <v>51</v>
      </c>
      <c r="B31" t="str">
        <f>_xlfn.XLOOKUP(tblCostTemp[[#This Row],[TargetID]],tblTargets[TargetID],tblTargets[TargetType],"")</f>
        <v>BUILDING</v>
      </c>
      <c r="C31" s="6" t="str">
        <f>_xlfn.XLOOKUP(tblCostTemp[[#This Row],[TargetID]],tblTargets[TargetID],tblTargets[DisplayName],"")</f>
        <v>Fermentory Lv 5</v>
      </c>
      <c r="D31" s="29" t="s">
        <v>301</v>
      </c>
    </row>
    <row r="32" spans="1:4">
      <c r="A32" s="37" t="s">
        <v>52</v>
      </c>
      <c r="B32" t="str">
        <f>_xlfn.XLOOKUP(tblCostTemp[[#This Row],[TargetID]],tblTargets[TargetID],tblTargets[TargetType],"")</f>
        <v>BUILDING</v>
      </c>
      <c r="C32" s="6" t="str">
        <f>_xlfn.XLOOKUP(tblCostTemp[[#This Row],[TargetID]],tblTargets[TargetID],tblTargets[DisplayName],"")</f>
        <v>Fermentory Lv 6</v>
      </c>
      <c r="D32" s="28" t="s">
        <v>303</v>
      </c>
    </row>
    <row r="33" spans="1:4">
      <c r="A33" s="6" t="s">
        <v>53</v>
      </c>
      <c r="B33" t="str">
        <f>_xlfn.XLOOKUP(tblCostTemp[[#This Row],[TargetID]],tblTargets[TargetID],tblTargets[TargetType],"")</f>
        <v>BUILDING</v>
      </c>
      <c r="C33" s="6" t="str">
        <f>_xlfn.XLOOKUP(tblCostTemp[[#This Row],[TargetID]],tblTargets[TargetID],tblTargets[DisplayName],"")</f>
        <v>Field Lv 1</v>
      </c>
      <c r="D33" s="29" t="s">
        <v>305</v>
      </c>
    </row>
    <row r="34" spans="1:4">
      <c r="A34" s="37" t="s">
        <v>55</v>
      </c>
      <c r="B34" t="str">
        <f>_xlfn.XLOOKUP(tblCostTemp[[#This Row],[TargetID]],tblTargets[TargetID],tblTargets[TargetType],"")</f>
        <v>BUILDING</v>
      </c>
      <c r="C34" s="6" t="str">
        <f>_xlfn.XLOOKUP(tblCostTemp[[#This Row],[TargetID]],tblTargets[TargetID],tblTargets[DisplayName],"")</f>
        <v>Field Lv 2</v>
      </c>
      <c r="D34" s="28" t="s">
        <v>307</v>
      </c>
    </row>
    <row r="35" spans="1:4">
      <c r="A35" s="6" t="s">
        <v>56</v>
      </c>
      <c r="B35" t="str">
        <f>_xlfn.XLOOKUP(tblCostTemp[[#This Row],[TargetID]],tblTargets[TargetID],tblTargets[TargetType],"")</f>
        <v>BUILDING</v>
      </c>
      <c r="C35" s="6" t="str">
        <f>_xlfn.XLOOKUP(tblCostTemp[[#This Row],[TargetID]],tblTargets[TargetID],tblTargets[DisplayName],"")</f>
        <v>Food Stall Lv 1</v>
      </c>
      <c r="D35" s="29" t="s">
        <v>309</v>
      </c>
    </row>
    <row r="36" spans="1:4">
      <c r="A36" s="37" t="s">
        <v>59</v>
      </c>
      <c r="B36" t="str">
        <f>_xlfn.XLOOKUP(tblCostTemp[[#This Row],[TargetID]],tblTargets[TargetID],tblTargets[TargetType],"")</f>
        <v>BUILDING</v>
      </c>
      <c r="C36" s="6" t="str">
        <f>_xlfn.XLOOKUP(tblCostTemp[[#This Row],[TargetID]],tblTargets[TargetID],tblTargets[DisplayName],"")</f>
        <v>Food Stall Lv 2</v>
      </c>
      <c r="D36" s="28" t="s">
        <v>311</v>
      </c>
    </row>
    <row r="37" spans="1:4">
      <c r="A37" s="6" t="s">
        <v>60</v>
      </c>
      <c r="B37" t="str">
        <f>_xlfn.XLOOKUP(tblCostTemp[[#This Row],[TargetID]],tblTargets[TargetID],tblTargets[TargetType],"")</f>
        <v>BUILDING</v>
      </c>
      <c r="C37" s="6" t="str">
        <f>_xlfn.XLOOKUP(tblCostTemp[[#This Row],[TargetID]],tblTargets[TargetID],tblTargets[DisplayName],"")</f>
        <v>Food Stall Lv 3</v>
      </c>
      <c r="D37" s="29" t="s">
        <v>313</v>
      </c>
    </row>
    <row r="38" spans="1:4">
      <c r="A38" s="37" t="s">
        <v>61</v>
      </c>
      <c r="B38" t="str">
        <f>_xlfn.XLOOKUP(tblCostTemp[[#This Row],[TargetID]],tblTargets[TargetID],tblTargets[TargetType],"")</f>
        <v>BUILDING</v>
      </c>
      <c r="C38" s="6" t="str">
        <f>_xlfn.XLOOKUP(tblCostTemp[[#This Row],[TargetID]],tblTargets[TargetID],tblTargets[DisplayName],"")</f>
        <v>Furnace Lv 1</v>
      </c>
      <c r="D38" s="28" t="s">
        <v>315</v>
      </c>
    </row>
    <row r="39" spans="1:4">
      <c r="A39" s="6" t="s">
        <v>63</v>
      </c>
      <c r="B39" t="str">
        <f>_xlfn.XLOOKUP(tblCostTemp[[#This Row],[TargetID]],tblTargets[TargetID],tblTargets[TargetType],"")</f>
        <v>BUILDING</v>
      </c>
      <c r="C39" s="6" t="str">
        <f>_xlfn.XLOOKUP(tblCostTemp[[#This Row],[TargetID]],tblTargets[TargetID],tblTargets[DisplayName],"")</f>
        <v>Furnace Lv 2</v>
      </c>
      <c r="D39" s="29" t="s">
        <v>317</v>
      </c>
    </row>
    <row r="40" spans="1:4">
      <c r="A40" s="37" t="s">
        <v>64</v>
      </c>
      <c r="B40" t="str">
        <f>_xlfn.XLOOKUP(tblCostTemp[[#This Row],[TargetID]],tblTargets[TargetID],tblTargets[TargetType],"")</f>
        <v>BUILDING</v>
      </c>
      <c r="C40" s="6" t="str">
        <f>_xlfn.XLOOKUP(tblCostTemp[[#This Row],[TargetID]],tblTargets[TargetID],tblTargets[DisplayName],"")</f>
        <v>Furnace Lv 3</v>
      </c>
      <c r="D40" s="28" t="s">
        <v>319</v>
      </c>
    </row>
    <row r="41" spans="1:4">
      <c r="A41" s="6" t="s">
        <v>65</v>
      </c>
      <c r="B41" t="str">
        <f>_xlfn.XLOOKUP(tblCostTemp[[#This Row],[TargetID]],tblTargets[TargetID],tblTargets[TargetType],"")</f>
        <v>BUILDING</v>
      </c>
      <c r="C41" s="6" t="str">
        <f>_xlfn.XLOOKUP(tblCostTemp[[#This Row],[TargetID]],tblTargets[TargetID],tblTargets[DisplayName],"")</f>
        <v>Garden Lv 1</v>
      </c>
      <c r="D41" s="29" t="s">
        <v>321</v>
      </c>
    </row>
    <row r="42" spans="1:4">
      <c r="A42" s="37" t="s">
        <v>67</v>
      </c>
      <c r="B42" t="str">
        <f>_xlfn.XLOOKUP(tblCostTemp[[#This Row],[TargetID]],tblTargets[TargetID],tblTargets[TargetType],"")</f>
        <v>BUILDING</v>
      </c>
      <c r="C42" s="6" t="str">
        <f>_xlfn.XLOOKUP(tblCostTemp[[#This Row],[TargetID]],tblTargets[TargetID],tblTargets[DisplayName],"")</f>
        <v>Garden Lv 2</v>
      </c>
      <c r="D42" s="28" t="s">
        <v>323</v>
      </c>
    </row>
    <row r="43" spans="1:4">
      <c r="A43" s="6" t="s">
        <v>68</v>
      </c>
      <c r="B43" t="str">
        <f>_xlfn.XLOOKUP(tblCostTemp[[#This Row],[TargetID]],tblTargets[TargetID],tblTargets[TargetType],"")</f>
        <v>BUILDING</v>
      </c>
      <c r="C43" s="6" t="str">
        <f>_xlfn.XLOOKUP(tblCostTemp[[#This Row],[TargetID]],tblTargets[TargetID],tblTargets[DisplayName],"")</f>
        <v>Garden Lv 3</v>
      </c>
      <c r="D43" s="29" t="s">
        <v>325</v>
      </c>
    </row>
    <row r="44" spans="1:4">
      <c r="A44" s="37" t="s">
        <v>69</v>
      </c>
      <c r="B44" t="str">
        <f>_xlfn.XLOOKUP(tblCostTemp[[#This Row],[TargetID]],tblTargets[TargetID],tblTargets[TargetType],"")</f>
        <v>BUILDING</v>
      </c>
      <c r="C44" s="6" t="str">
        <f>_xlfn.XLOOKUP(tblCostTemp[[#This Row],[TargetID]],tblTargets[TargetID],tblTargets[DisplayName],"")</f>
        <v>Gong Lv 1</v>
      </c>
      <c r="D44" s="28" t="s">
        <v>327</v>
      </c>
    </row>
    <row r="45" spans="1:4">
      <c r="A45" s="6" t="s">
        <v>71</v>
      </c>
      <c r="B45" t="str">
        <f>_xlfn.XLOOKUP(tblCostTemp[[#This Row],[TargetID]],tblTargets[TargetID],tblTargets[TargetType],"")</f>
        <v>BUILDING</v>
      </c>
      <c r="C45" s="6" t="str">
        <f>_xlfn.XLOOKUP(tblCostTemp[[#This Row],[TargetID]],tblTargets[TargetID],tblTargets[DisplayName],"")</f>
        <v>Guild Lv 1</v>
      </c>
      <c r="D45" s="29" t="s">
        <v>328</v>
      </c>
    </row>
    <row r="46" spans="1:4">
      <c r="A46" s="37" t="s">
        <v>73</v>
      </c>
      <c r="B46" t="str">
        <f>_xlfn.XLOOKUP(tblCostTemp[[#This Row],[TargetID]],tblTargets[TargetID],tblTargets[TargetType],"")</f>
        <v>BUILDING</v>
      </c>
      <c r="C46" s="6" t="str">
        <f>_xlfn.XLOOKUP(tblCostTemp[[#This Row],[TargetID]],tblTargets[TargetID],tblTargets[DisplayName],"")</f>
        <v>Guild Lv 2</v>
      </c>
      <c r="D46" s="28" t="s">
        <v>330</v>
      </c>
    </row>
    <row r="47" spans="1:4">
      <c r="A47" s="6" t="s">
        <v>74</v>
      </c>
      <c r="B47" t="str">
        <f>_xlfn.XLOOKUP(tblCostTemp[[#This Row],[TargetID]],tblTargets[TargetID],tblTargets[TargetType],"")</f>
        <v>BUILDING</v>
      </c>
      <c r="C47" s="6" t="str">
        <f>_xlfn.XLOOKUP(tblCostTemp[[#This Row],[TargetID]],tblTargets[TargetID],tblTargets[DisplayName],"")</f>
        <v>Guild Lv 3</v>
      </c>
      <c r="D47" s="29" t="s">
        <v>332</v>
      </c>
    </row>
    <row r="48" spans="1:4">
      <c r="A48" s="37" t="s">
        <v>75</v>
      </c>
      <c r="B48" t="str">
        <f>_xlfn.XLOOKUP(tblCostTemp[[#This Row],[TargetID]],tblTargets[TargetID],tblTargets[TargetType],"")</f>
        <v>BUILDING</v>
      </c>
      <c r="C48" s="6" t="str">
        <f>_xlfn.XLOOKUP(tblCostTemp[[#This Row],[TargetID]],tblTargets[TargetID],tblTargets[DisplayName],"")</f>
        <v>Guild Lv 4</v>
      </c>
      <c r="D48" s="28" t="s">
        <v>334</v>
      </c>
    </row>
    <row r="49" spans="1:4">
      <c r="A49" s="6" t="s">
        <v>76</v>
      </c>
      <c r="B49" t="str">
        <f>_xlfn.XLOOKUP(tblCostTemp[[#This Row],[TargetID]],tblTargets[TargetID],tblTargets[TargetType],"")</f>
        <v>BUILDING</v>
      </c>
      <c r="C49" s="6" t="str">
        <f>_xlfn.XLOOKUP(tblCostTemp[[#This Row],[TargetID]],tblTargets[TargetID],tblTargets[DisplayName],"")</f>
        <v>Guild Lv 5</v>
      </c>
      <c r="D49" s="29" t="s">
        <v>336</v>
      </c>
    </row>
    <row r="50" spans="1:4">
      <c r="A50" s="37" t="s">
        <v>77</v>
      </c>
      <c r="B50" t="str">
        <f>_xlfn.XLOOKUP(tblCostTemp[[#This Row],[TargetID]],tblTargets[TargetID],tblTargets[TargetType],"")</f>
        <v>BUILDING</v>
      </c>
      <c r="C50" s="6" t="str">
        <f>_xlfn.XLOOKUP(tblCostTemp[[#This Row],[TargetID]],tblTargets[TargetID],tblTargets[DisplayName],"")</f>
        <v>Guild: Video Game Arcade Lv 1</v>
      </c>
      <c r="D50" s="28" t="s">
        <v>338</v>
      </c>
    </row>
    <row r="51" spans="1:4">
      <c r="A51" s="6" t="s">
        <v>80</v>
      </c>
      <c r="B51" t="str">
        <f>_xlfn.XLOOKUP(tblCostTemp[[#This Row],[TargetID]],tblTargets[TargetID],tblTargets[TargetType],"")</f>
        <v>BUILDING</v>
      </c>
      <c r="C51" s="6" t="str">
        <f>_xlfn.XLOOKUP(tblCostTemp[[#This Row],[TargetID]],tblTargets[TargetID],tblTargets[DisplayName],"")</f>
        <v>Laboratory Lv 1</v>
      </c>
      <c r="D51" s="29" t="s">
        <v>340</v>
      </c>
    </row>
    <row r="52" spans="1:4">
      <c r="A52" s="37" t="s">
        <v>83</v>
      </c>
      <c r="B52" t="str">
        <f>_xlfn.XLOOKUP(tblCostTemp[[#This Row],[TargetID]],tblTargets[TargetID],tblTargets[TargetType],"")</f>
        <v>BUILDING</v>
      </c>
      <c r="C52" s="6" t="str">
        <f>_xlfn.XLOOKUP(tblCostTemp[[#This Row],[TargetID]],tblTargets[TargetID],tblTargets[DisplayName],"")</f>
        <v>Laboratory Lv 2</v>
      </c>
      <c r="D52" s="28" t="s">
        <v>342</v>
      </c>
    </row>
    <row r="53" spans="1:4">
      <c r="A53" s="6" t="s">
        <v>84</v>
      </c>
      <c r="B53" t="str">
        <f>_xlfn.XLOOKUP(tblCostTemp[[#This Row],[TargetID]],tblTargets[TargetID],tblTargets[TargetType],"")</f>
        <v>BUILDING</v>
      </c>
      <c r="C53" s="6" t="str">
        <f>_xlfn.XLOOKUP(tblCostTemp[[#This Row],[TargetID]],tblTargets[TargetID],tblTargets[DisplayName],"")</f>
        <v>Laboratory Lv 3</v>
      </c>
      <c r="D53" s="29" t="s">
        <v>344</v>
      </c>
    </row>
    <row r="54" spans="1:4">
      <c r="A54" s="37" t="s">
        <v>85</v>
      </c>
      <c r="B54" t="str">
        <f>_xlfn.XLOOKUP(tblCostTemp[[#This Row],[TargetID]],tblTargets[TargetID],tblTargets[TargetType],"")</f>
        <v>BUILDING</v>
      </c>
      <c r="C54" s="6" t="str">
        <f>_xlfn.XLOOKUP(tblCostTemp[[#This Row],[TargetID]],tblTargets[TargetID],tblTargets[DisplayName],"")</f>
        <v>Laboratory Lv 4</v>
      </c>
      <c r="D54" s="28" t="s">
        <v>346</v>
      </c>
    </row>
    <row r="55" spans="1:4">
      <c r="A55" s="6" t="s">
        <v>86</v>
      </c>
      <c r="B55" t="str">
        <f>_xlfn.XLOOKUP(tblCostTemp[[#This Row],[TargetID]],tblTargets[TargetID],tblTargets[TargetType],"")</f>
        <v>BUILDING</v>
      </c>
      <c r="C55" s="6" t="str">
        <f>_xlfn.XLOOKUP(tblCostTemp[[#This Row],[TargetID]],tblTargets[TargetID],tblTargets[DisplayName],"")</f>
        <v>Laboratory Lv 5</v>
      </c>
      <c r="D55" s="29" t="s">
        <v>348</v>
      </c>
    </row>
    <row r="56" spans="1:4">
      <c r="A56" s="37" t="s">
        <v>87</v>
      </c>
      <c r="B56" t="str">
        <f>_xlfn.XLOOKUP(tblCostTemp[[#This Row],[TargetID]],tblTargets[TargetID],tblTargets[TargetType],"")</f>
        <v>BUILDING</v>
      </c>
      <c r="C56" s="6" t="str">
        <f>_xlfn.XLOOKUP(tblCostTemp[[#This Row],[TargetID]],tblTargets[TargetID],tblTargets[DisplayName],"")</f>
        <v>Laboratory: Data Center Lv 1</v>
      </c>
      <c r="D56" s="28" t="s">
        <v>350</v>
      </c>
    </row>
    <row r="57" spans="1:4">
      <c r="A57" s="6" t="s">
        <v>90</v>
      </c>
      <c r="B57" t="str">
        <f>_xlfn.XLOOKUP(tblCostTemp[[#This Row],[TargetID]],tblTargets[TargetID],tblTargets[TargetType],"")</f>
        <v>BUILDING</v>
      </c>
      <c r="C57" s="6" t="str">
        <f>_xlfn.XLOOKUP(tblCostTemp[[#This Row],[TargetID]],tblTargets[TargetID],tblTargets[DisplayName],"")</f>
        <v>Lumber Lv 1</v>
      </c>
      <c r="D57" s="29" t="s">
        <v>352</v>
      </c>
    </row>
    <row r="58" spans="1:4">
      <c r="A58" s="37" t="s">
        <v>92</v>
      </c>
      <c r="B58" t="str">
        <f>_xlfn.XLOOKUP(tblCostTemp[[#This Row],[TargetID]],tblTargets[TargetID],tblTargets[TargetType],"")</f>
        <v>BUILDING</v>
      </c>
      <c r="C58" s="6" t="str">
        <f>_xlfn.XLOOKUP(tblCostTemp[[#This Row],[TargetID]],tblTargets[TargetID],tblTargets[DisplayName],"")</f>
        <v>Lumber Lv 2</v>
      </c>
      <c r="D58" s="28" t="s">
        <v>317</v>
      </c>
    </row>
    <row r="59" spans="1:4">
      <c r="A59" s="6" t="s">
        <v>93</v>
      </c>
      <c r="B59" t="str">
        <f>_xlfn.XLOOKUP(tblCostTemp[[#This Row],[TargetID]],tblTargets[TargetID],tblTargets[TargetType],"")</f>
        <v>BUILDING</v>
      </c>
      <c r="C59" s="6" t="str">
        <f>_xlfn.XLOOKUP(tblCostTemp[[#This Row],[TargetID]],tblTargets[TargetID],tblTargets[DisplayName],"")</f>
        <v>Lumber Lv 3</v>
      </c>
      <c r="D59" s="29" t="s">
        <v>354</v>
      </c>
    </row>
    <row r="60" spans="1:4">
      <c r="A60" s="37" t="s">
        <v>94</v>
      </c>
      <c r="B60" t="str">
        <f>_xlfn.XLOOKUP(tblCostTemp[[#This Row],[TargetID]],tblTargets[TargetID],tblTargets[TargetType],"")</f>
        <v>BUILDING</v>
      </c>
      <c r="C60" s="6" t="str">
        <f>_xlfn.XLOOKUP(tblCostTemp[[#This Row],[TargetID]],tblTargets[TargetID],tblTargets[DisplayName],"")</f>
        <v>Onsen Lv 1</v>
      </c>
      <c r="D60" s="28" t="s">
        <v>356</v>
      </c>
    </row>
    <row r="61" spans="1:4">
      <c r="A61" s="6" t="s">
        <v>96</v>
      </c>
      <c r="B61" t="str">
        <f>_xlfn.XLOOKUP(tblCostTemp[[#This Row],[TargetID]],tblTargets[TargetID],tblTargets[TargetType],"")</f>
        <v>BUILDING</v>
      </c>
      <c r="C61" s="6" t="str">
        <f>_xlfn.XLOOKUP(tblCostTemp[[#This Row],[TargetID]],tblTargets[TargetID],tblTargets[DisplayName],"")</f>
        <v>Onsen Lv 2</v>
      </c>
      <c r="D61" s="29" t="s">
        <v>358</v>
      </c>
    </row>
    <row r="62" spans="1:4">
      <c r="A62" s="37" t="s">
        <v>97</v>
      </c>
      <c r="B62" t="str">
        <f>_xlfn.XLOOKUP(tblCostTemp[[#This Row],[TargetID]],tblTargets[TargetID],tblTargets[TargetType],"")</f>
        <v>BUILDING</v>
      </c>
      <c r="C62" s="6" t="str">
        <f>_xlfn.XLOOKUP(tblCostTemp[[#This Row],[TargetID]],tblTargets[TargetID],tblTargets[DisplayName],"")</f>
        <v>Outpost Lv 1</v>
      </c>
      <c r="D62" s="28" t="s">
        <v>360</v>
      </c>
    </row>
    <row r="63" spans="1:4">
      <c r="A63" s="6" t="s">
        <v>99</v>
      </c>
      <c r="B63" t="str">
        <f>_xlfn.XLOOKUP(tblCostTemp[[#This Row],[TargetID]],tblTargets[TargetID],tblTargets[TargetType],"")</f>
        <v>BUILDING</v>
      </c>
      <c r="C63" s="6" t="str">
        <f>_xlfn.XLOOKUP(tblCostTemp[[#This Row],[TargetID]],tblTargets[TargetID],tblTargets[DisplayName],"")</f>
        <v>Outpost Lv 2</v>
      </c>
      <c r="D63" s="29" t="s">
        <v>362</v>
      </c>
    </row>
    <row r="64" spans="1:4">
      <c r="A64" s="37" t="s">
        <v>100</v>
      </c>
      <c r="B64" t="str">
        <f>_xlfn.XLOOKUP(tblCostTemp[[#This Row],[TargetID]],tblTargets[TargetID],tblTargets[TargetType],"")</f>
        <v>BUILDING</v>
      </c>
      <c r="C64" s="6" t="str">
        <f>_xlfn.XLOOKUP(tblCostTemp[[#This Row],[TargetID]],tblTargets[TargetID],tblTargets[DisplayName],"")</f>
        <v>Outpost Lv 3</v>
      </c>
      <c r="D64" s="28" t="s">
        <v>364</v>
      </c>
    </row>
    <row r="65" spans="1:4">
      <c r="A65" s="6" t="s">
        <v>101</v>
      </c>
      <c r="B65" t="str">
        <f>_xlfn.XLOOKUP(tblCostTemp[[#This Row],[TargetID]],tblTargets[TargetID],tblTargets[TargetType],"")</f>
        <v>BUILDING</v>
      </c>
      <c r="C65" s="6" t="str">
        <f>_xlfn.XLOOKUP(tblCostTemp[[#This Row],[TargetID]],tblTargets[TargetID],tblTargets[DisplayName],"")</f>
        <v>Pagoda Lv 1</v>
      </c>
      <c r="D65" s="29" t="s">
        <v>366</v>
      </c>
    </row>
    <row r="66" spans="1:4">
      <c r="A66" s="37" t="s">
        <v>103</v>
      </c>
      <c r="B66" t="str">
        <f>_xlfn.XLOOKUP(tblCostTemp[[#This Row],[TargetID]],tblTargets[TargetID],tblTargets[TargetType],"")</f>
        <v>BUILDING</v>
      </c>
      <c r="C66" s="6" t="str">
        <f>_xlfn.XLOOKUP(tblCostTemp[[#This Row],[TargetID]],tblTargets[TargetID],tblTargets[DisplayName],"")</f>
        <v>Pagoda Lv 2</v>
      </c>
      <c r="D66" s="28" t="s">
        <v>368</v>
      </c>
    </row>
    <row r="67" spans="1:4">
      <c r="A67" s="6" t="s">
        <v>104</v>
      </c>
      <c r="B67" t="str">
        <f>_xlfn.XLOOKUP(tblCostTemp[[#This Row],[TargetID]],tblTargets[TargetID],tblTargets[TargetType],"")</f>
        <v>BUILDING</v>
      </c>
      <c r="C67" s="6" t="str">
        <f>_xlfn.XLOOKUP(tblCostTemp[[#This Row],[TargetID]],tblTargets[TargetID],tblTargets[DisplayName],"")</f>
        <v>Pagoda Lv 3</v>
      </c>
      <c r="D67" s="29" t="s">
        <v>370</v>
      </c>
    </row>
    <row r="68" spans="1:4">
      <c r="A68" s="37" t="s">
        <v>105</v>
      </c>
      <c r="B68" t="str">
        <f>_xlfn.XLOOKUP(tblCostTemp[[#This Row],[TargetID]],tblTargets[TargetID],tblTargets[TargetType],"")</f>
        <v>BUILDING</v>
      </c>
      <c r="C68" s="6" t="str">
        <f>_xlfn.XLOOKUP(tblCostTemp[[#This Row],[TargetID]],tblTargets[TargetID],tblTargets[DisplayName],"")</f>
        <v>Pagoda Lv 4</v>
      </c>
      <c r="D68" s="28" t="s">
        <v>372</v>
      </c>
    </row>
    <row r="69" spans="1:4">
      <c r="A69" s="6" t="s">
        <v>106</v>
      </c>
      <c r="B69" t="str">
        <f>_xlfn.XLOOKUP(tblCostTemp[[#This Row],[TargetID]],tblTargets[TargetID],tblTargets[TargetType],"")</f>
        <v>BUILDING</v>
      </c>
      <c r="C69" s="6" t="str">
        <f>_xlfn.XLOOKUP(tblCostTemp[[#This Row],[TargetID]],tblTargets[TargetID],tblTargets[DisplayName],"")</f>
        <v>Pagoda Lv 5</v>
      </c>
      <c r="D69" s="29" t="s">
        <v>374</v>
      </c>
    </row>
    <row r="70" spans="1:4">
      <c r="A70" s="37" t="s">
        <v>107</v>
      </c>
      <c r="B70" t="str">
        <f>_xlfn.XLOOKUP(tblCostTemp[[#This Row],[TargetID]],tblTargets[TargetID],tblTargets[TargetType],"")</f>
        <v>BUILDING</v>
      </c>
      <c r="C70" s="6" t="str">
        <f>_xlfn.XLOOKUP(tblCostTemp[[#This Row],[TargetID]],tblTargets[TargetID],tblTargets[DisplayName],"")</f>
        <v>Pagoda Lv 6</v>
      </c>
      <c r="D70" s="28" t="s">
        <v>376</v>
      </c>
    </row>
    <row r="71" spans="1:4">
      <c r="A71" s="6" t="s">
        <v>108</v>
      </c>
      <c r="B71" t="str">
        <f>_xlfn.XLOOKUP(tblCostTemp[[#This Row],[TargetID]],tblTargets[TargetID],tblTargets[TargetType],"")</f>
        <v>BUILDING</v>
      </c>
      <c r="C71" s="6" t="str">
        <f>_xlfn.XLOOKUP(tblCostTemp[[#This Row],[TargetID]],tblTargets[TargetID],tblTargets[DisplayName],"")</f>
        <v>Pagoda Lv 7</v>
      </c>
      <c r="D71" s="29" t="s">
        <v>378</v>
      </c>
    </row>
    <row r="72" spans="1:4">
      <c r="A72" s="37" t="s">
        <v>109</v>
      </c>
      <c r="B72" t="str">
        <f>_xlfn.XLOOKUP(tblCostTemp[[#This Row],[TargetID]],tblTargets[TargetID],tblTargets[TargetType],"")</f>
        <v>BUILDING</v>
      </c>
      <c r="C72" s="6" t="str">
        <f>_xlfn.XLOOKUP(tblCostTemp[[#This Row],[TargetID]],tblTargets[TargetID],tblTargets[DisplayName],"")</f>
        <v>Pier Lv 1</v>
      </c>
      <c r="D72" s="28" t="s">
        <v>380</v>
      </c>
    </row>
    <row r="73" spans="1:4">
      <c r="A73" s="6" t="s">
        <v>111</v>
      </c>
      <c r="B73" t="str">
        <f>_xlfn.XLOOKUP(tblCostTemp[[#This Row],[TargetID]],tblTargets[TargetID],tblTargets[TargetType],"")</f>
        <v>BUILDING</v>
      </c>
      <c r="C73" s="6" t="str">
        <f>_xlfn.XLOOKUP(tblCostTemp[[#This Row],[TargetID]],tblTargets[TargetID],tblTargets[DisplayName],"")</f>
        <v>Rock Garden Lv 1</v>
      </c>
      <c r="D73" s="29" t="s">
        <v>382</v>
      </c>
    </row>
    <row r="74" spans="1:4">
      <c r="A74" s="37" t="s">
        <v>114</v>
      </c>
      <c r="B74" t="str">
        <f>_xlfn.XLOOKUP(tblCostTemp[[#This Row],[TargetID]],tblTargets[TargetID],tblTargets[TargetType],"")</f>
        <v>BUILDING</v>
      </c>
      <c r="C74" s="6" t="str">
        <f>_xlfn.XLOOKUP(tblCostTemp[[#This Row],[TargetID]],tblTargets[TargetID],tblTargets[DisplayName],"")</f>
        <v>Rock Garden Lv 2</v>
      </c>
      <c r="D74" s="28" t="s">
        <v>384</v>
      </c>
    </row>
    <row r="75" spans="1:4">
      <c r="A75" s="6" t="s">
        <v>115</v>
      </c>
      <c r="B75" t="str">
        <f>_xlfn.XLOOKUP(tblCostTemp[[#This Row],[TargetID]],tblTargets[TargetID],tblTargets[TargetType],"")</f>
        <v>BUILDING</v>
      </c>
      <c r="C75" s="6" t="str">
        <f>_xlfn.XLOOKUP(tblCostTemp[[#This Row],[TargetID]],tblTargets[TargetID],tblTargets[DisplayName],"")</f>
        <v>Rock Garden Lv 3</v>
      </c>
      <c r="D75" s="29" t="s">
        <v>386</v>
      </c>
    </row>
    <row r="76" spans="1:4">
      <c r="A76" s="37" t="s">
        <v>116</v>
      </c>
      <c r="B76" t="str">
        <f>_xlfn.XLOOKUP(tblCostTemp[[#This Row],[TargetID]],tblTargets[TargetID],tblTargets[TargetType],"")</f>
        <v>BUILDING</v>
      </c>
      <c r="C76" s="6" t="str">
        <f>_xlfn.XLOOKUP(tblCostTemp[[#This Row],[TargetID]],tblTargets[TargetID],tblTargets[DisplayName],"")</f>
        <v>Ship Lv 1</v>
      </c>
      <c r="D76" s="28" t="s">
        <v>388</v>
      </c>
    </row>
    <row r="77" spans="1:4">
      <c r="A77" s="6" t="s">
        <v>118</v>
      </c>
      <c r="B77" t="str">
        <f>_xlfn.XLOOKUP(tblCostTemp[[#This Row],[TargetID]],tblTargets[TargetID],tblTargets[TargetType],"")</f>
        <v>BUILDING</v>
      </c>
      <c r="C77" s="6" t="str">
        <f>_xlfn.XLOOKUP(tblCostTemp[[#This Row],[TargetID]],tblTargets[TargetID],tblTargets[DisplayName],"")</f>
        <v>Ship Lv 2</v>
      </c>
      <c r="D77" s="29" t="s">
        <v>390</v>
      </c>
    </row>
    <row r="78" spans="1:4">
      <c r="A78" s="37" t="s">
        <v>119</v>
      </c>
      <c r="B78" t="str">
        <f>_xlfn.XLOOKUP(tblCostTemp[[#This Row],[TargetID]],tblTargets[TargetID],tblTargets[TargetType],"")</f>
        <v>BUILDING</v>
      </c>
      <c r="C78" s="6" t="str">
        <f>_xlfn.XLOOKUP(tblCostTemp[[#This Row],[TargetID]],tblTargets[TargetID],tblTargets[DisplayName],"")</f>
        <v>Ship Lv 3</v>
      </c>
      <c r="D78" s="28" t="s">
        <v>392</v>
      </c>
    </row>
    <row r="79" spans="1:4">
      <c r="A79" s="6" t="s">
        <v>120</v>
      </c>
      <c r="B79" t="str">
        <f>_xlfn.XLOOKUP(tblCostTemp[[#This Row],[TargetID]],tblTargets[TargetID],tblTargets[TargetType],"")</f>
        <v>BUILDING</v>
      </c>
      <c r="C79" s="6" t="str">
        <f>_xlfn.XLOOKUP(tblCostTemp[[#This Row],[TargetID]],tblTargets[TargetID],tblTargets[DisplayName],"")</f>
        <v>Ship Lv 4</v>
      </c>
      <c r="D79" s="29" t="s">
        <v>394</v>
      </c>
    </row>
    <row r="80" spans="1:4">
      <c r="A80" s="37" t="s">
        <v>121</v>
      </c>
      <c r="B80" t="str">
        <f>_xlfn.XLOOKUP(tblCostTemp[[#This Row],[TargetID]],tblTargets[TargetID],tblTargets[TargetType],"")</f>
        <v>BUILDING</v>
      </c>
      <c r="C80" s="6" t="str">
        <f>_xlfn.XLOOKUP(tblCostTemp[[#This Row],[TargetID]],tblTargets[TargetID],tblTargets[DisplayName],"")</f>
        <v>Shop Lv 1</v>
      </c>
      <c r="D80" s="28" t="s">
        <v>396</v>
      </c>
    </row>
    <row r="81" spans="1:4">
      <c r="A81" s="6" t="s">
        <v>123</v>
      </c>
      <c r="B81" t="str">
        <f>_xlfn.XLOOKUP(tblCostTemp[[#This Row],[TargetID]],tblTargets[TargetID],tblTargets[TargetType],"")</f>
        <v>BUILDING</v>
      </c>
      <c r="C81" s="6" t="str">
        <f>_xlfn.XLOOKUP(tblCostTemp[[#This Row],[TargetID]],tblTargets[TargetID],tblTargets[DisplayName],"")</f>
        <v>Shop Lv 2</v>
      </c>
      <c r="D81" s="29" t="s">
        <v>398</v>
      </c>
    </row>
    <row r="82" spans="1:4">
      <c r="A82" s="37" t="s">
        <v>124</v>
      </c>
      <c r="B82" t="str">
        <f>_xlfn.XLOOKUP(tblCostTemp[[#This Row],[TargetID]],tblTargets[TargetID],tblTargets[TargetType],"")</f>
        <v>BUILDING</v>
      </c>
      <c r="C82" s="6" t="str">
        <f>_xlfn.XLOOKUP(tblCostTemp[[#This Row],[TargetID]],tblTargets[TargetID],tblTargets[DisplayName],"")</f>
        <v>Shop Lv 3</v>
      </c>
      <c r="D82" s="28" t="s">
        <v>400</v>
      </c>
    </row>
    <row r="83" spans="1:4">
      <c r="A83" s="6" t="s">
        <v>125</v>
      </c>
      <c r="B83" t="str">
        <f>_xlfn.XLOOKUP(tblCostTemp[[#This Row],[TargetID]],tblTargets[TargetID],tblTargets[TargetType],"")</f>
        <v>BUILDING</v>
      </c>
      <c r="C83" s="6" t="str">
        <f>_xlfn.XLOOKUP(tblCostTemp[[#This Row],[TargetID]],tblTargets[TargetID],tblTargets[DisplayName],"")</f>
        <v>Smithy Lv 1</v>
      </c>
      <c r="D83" s="29" t="s">
        <v>402</v>
      </c>
    </row>
    <row r="84" spans="1:4">
      <c r="A84" s="37" t="s">
        <v>127</v>
      </c>
      <c r="B84" t="str">
        <f>_xlfn.XLOOKUP(tblCostTemp[[#This Row],[TargetID]],tblTargets[TargetID],tblTargets[TargetType],"")</f>
        <v>BUILDING</v>
      </c>
      <c r="C84" s="6" t="str">
        <f>_xlfn.XLOOKUP(tblCostTemp[[#This Row],[TargetID]],tblTargets[TargetID],tblTargets[DisplayName],"")</f>
        <v>Smithy Lv 2</v>
      </c>
      <c r="D84" s="28" t="s">
        <v>404</v>
      </c>
    </row>
    <row r="85" spans="1:4">
      <c r="A85" s="6" t="s">
        <v>128</v>
      </c>
      <c r="B85" t="str">
        <f>_xlfn.XLOOKUP(tblCostTemp[[#This Row],[TargetID]],tblTargets[TargetID],tblTargets[TargetType],"")</f>
        <v>BUILDING</v>
      </c>
      <c r="C85" s="6" t="str">
        <f>_xlfn.XLOOKUP(tblCostTemp[[#This Row],[TargetID]],tblTargets[TargetID],tblTargets[DisplayName],"")</f>
        <v>Smithy Lv 3</v>
      </c>
      <c r="D85" s="29" t="s">
        <v>406</v>
      </c>
    </row>
    <row r="86" spans="1:4">
      <c r="A86" s="37" t="s">
        <v>129</v>
      </c>
      <c r="B86" t="str">
        <f>_xlfn.XLOOKUP(tblCostTemp[[#This Row],[TargetID]],tblTargets[TargetID],tblTargets[TargetType],"")</f>
        <v>BUILDING</v>
      </c>
      <c r="C86" s="6" t="str">
        <f>_xlfn.XLOOKUP(tblCostTemp[[#This Row],[TargetID]],tblTargets[TargetID],tblTargets[DisplayName],"")</f>
        <v>Station Lv 1</v>
      </c>
      <c r="D86" s="28" t="s">
        <v>408</v>
      </c>
    </row>
    <row r="87" spans="1:4">
      <c r="A87" s="6" t="s">
        <v>131</v>
      </c>
      <c r="B87" t="str">
        <f>_xlfn.XLOOKUP(tblCostTemp[[#This Row],[TargetID]],tblTargets[TargetID],tblTargets[TargetType],"")</f>
        <v>BUILDING</v>
      </c>
      <c r="C87" s="6" t="str">
        <f>_xlfn.XLOOKUP(tblCostTemp[[#This Row],[TargetID]],tblTargets[TargetID],tblTargets[DisplayName],"")</f>
        <v>Tailor Lv 1</v>
      </c>
      <c r="D87" s="29" t="s">
        <v>410</v>
      </c>
    </row>
    <row r="88" spans="1:4">
      <c r="A88" s="37" t="s">
        <v>133</v>
      </c>
      <c r="B88" t="str">
        <f>_xlfn.XLOOKUP(tblCostTemp[[#This Row],[TargetID]],tblTargets[TargetID],tblTargets[TargetType],"")</f>
        <v>BUILDING</v>
      </c>
      <c r="C88" s="6" t="str">
        <f>_xlfn.XLOOKUP(tblCostTemp[[#This Row],[TargetID]],tblTargets[TargetID],tblTargets[DisplayName],"")</f>
        <v>Tailor Lv 2</v>
      </c>
      <c r="D88" s="28" t="s">
        <v>412</v>
      </c>
    </row>
    <row r="89" spans="1:4">
      <c r="A89" s="6" t="s">
        <v>134</v>
      </c>
      <c r="B89" t="str">
        <f>_xlfn.XLOOKUP(tblCostTemp[[#This Row],[TargetID]],tblTargets[TargetID],tblTargets[TargetType],"")</f>
        <v>BUILDING</v>
      </c>
      <c r="C89" s="6" t="str">
        <f>_xlfn.XLOOKUP(tblCostTemp[[#This Row],[TargetID]],tblTargets[TargetID],tblTargets[DisplayName],"")</f>
        <v>Tailor Lv 3</v>
      </c>
      <c r="D89" s="29" t="s">
        <v>414</v>
      </c>
    </row>
    <row r="90" spans="1:4">
      <c r="A90" s="37" t="s">
        <v>135</v>
      </c>
      <c r="B90" t="str">
        <f>_xlfn.XLOOKUP(tblCostTemp[[#This Row],[TargetID]],tblTargets[TargetID],tblTargets[TargetType],"")</f>
        <v>BUILDING</v>
      </c>
      <c r="C90" s="6" t="str">
        <f>_xlfn.XLOOKUP(tblCostTemp[[#This Row],[TargetID]],tblTargets[TargetID],tblTargets[DisplayName],"")</f>
        <v>Train Lv 1</v>
      </c>
      <c r="D90" s="28" t="s">
        <v>416</v>
      </c>
    </row>
    <row r="91" spans="1:4">
      <c r="A91" s="6" t="s">
        <v>137</v>
      </c>
      <c r="B91" t="str">
        <f>_xlfn.XLOOKUP(tblCostTemp[[#This Row],[TargetID]],tblTargets[TargetID],tblTargets[TargetType],"")</f>
        <v>BUILDING</v>
      </c>
      <c r="C91" s="6" t="str">
        <f>_xlfn.XLOOKUP(tblCostTemp[[#This Row],[TargetID]],tblTargets[TargetID],tblTargets[DisplayName],"")</f>
        <v>Train Lv 2</v>
      </c>
      <c r="D91" s="29" t="s">
        <v>418</v>
      </c>
    </row>
    <row r="92" spans="1:4">
      <c r="A92" s="37" t="s">
        <v>138</v>
      </c>
      <c r="B92" t="str">
        <f>_xlfn.XLOOKUP(tblCostTemp[[#This Row],[TargetID]],tblTargets[TargetID],tblTargets[TargetType],"")</f>
        <v>BUILDING</v>
      </c>
      <c r="C92" s="6" t="str">
        <f>_xlfn.XLOOKUP(tblCostTemp[[#This Row],[TargetID]],tblTargets[TargetID],tblTargets[DisplayName],"")</f>
        <v>Train: Freight Carriage Lv 1</v>
      </c>
      <c r="D92" s="28" t="s">
        <v>420</v>
      </c>
    </row>
    <row r="93" spans="1:4">
      <c r="A93" s="6" t="s">
        <v>141</v>
      </c>
      <c r="B93" t="str">
        <f>_xlfn.XLOOKUP(tblCostTemp[[#This Row],[TargetID]],tblTargets[TargetID],tblTargets[TargetType],"")</f>
        <v>BUILDING</v>
      </c>
      <c r="C93" s="6" t="str">
        <f>_xlfn.XLOOKUP(tblCostTemp[[#This Row],[TargetID]],tblTargets[TargetID],tblTargets[DisplayName],"")</f>
        <v>Train: Freight Carriage Lv 2</v>
      </c>
      <c r="D93" s="29" t="s">
        <v>422</v>
      </c>
    </row>
    <row r="94" spans="1:4">
      <c r="A94" s="37" t="s">
        <v>142</v>
      </c>
      <c r="B94" t="str">
        <f>_xlfn.XLOOKUP(tblCostTemp[[#This Row],[TargetID]],tblTargets[TargetID],tblTargets[TargetType],"")</f>
        <v>BUILDING</v>
      </c>
      <c r="C94" s="6" t="str">
        <f>_xlfn.XLOOKUP(tblCostTemp[[#This Row],[TargetID]],tblTargets[TargetID],tblTargets[DisplayName],"")</f>
        <v>Train: Passenger Carriage Lv 1</v>
      </c>
      <c r="D94" s="28" t="s">
        <v>424</v>
      </c>
    </row>
    <row r="95" spans="1:4">
      <c r="A95" s="6" t="s">
        <v>145</v>
      </c>
      <c r="B95" t="str">
        <f>_xlfn.XLOOKUP(tblCostTemp[[#This Row],[TargetID]],tblTargets[TargetID],tblTargets[TargetType],"")</f>
        <v>BUILDING</v>
      </c>
      <c r="C95" s="6" t="str">
        <f>_xlfn.XLOOKUP(tblCostTemp[[#This Row],[TargetID]],tblTargets[TargetID],tblTargets[DisplayName],"")</f>
        <v>Train: Passenger Carriage Lv 2</v>
      </c>
      <c r="D95" s="29" t="s">
        <v>426</v>
      </c>
    </row>
    <row r="96" spans="1:4">
      <c r="A96" s="37" t="s">
        <v>146</v>
      </c>
      <c r="B96" t="str">
        <f>_xlfn.XLOOKUP(tblCostTemp[[#This Row],[TargetID]],tblTargets[TargetID],tblTargets[TargetType],"")</f>
        <v>BUILDING</v>
      </c>
      <c r="C96" s="6" t="str">
        <f>_xlfn.XLOOKUP(tblCostTemp[[#This Row],[TargetID]],tblTargets[TargetID],tblTargets[DisplayName],"")</f>
        <v>Warehouse Lv 1</v>
      </c>
      <c r="D96" s="28" t="s">
        <v>428</v>
      </c>
    </row>
    <row r="97" spans="1:4">
      <c r="A97" s="6" t="s">
        <v>148</v>
      </c>
      <c r="B97" t="str">
        <f>_xlfn.XLOOKUP(tblCostTemp[[#This Row],[TargetID]],tblTargets[TargetID],tblTargets[TargetType],"")</f>
        <v>BUILDING</v>
      </c>
      <c r="C97" s="6" t="str">
        <f>_xlfn.XLOOKUP(tblCostTemp[[#This Row],[TargetID]],tblTargets[TargetID],tblTargets[DisplayName],"")</f>
        <v>Warehouse Lv 2</v>
      </c>
      <c r="D97" s="29" t="s">
        <v>430</v>
      </c>
    </row>
    <row r="98" spans="1:4">
      <c r="A98" s="37" t="s">
        <v>149</v>
      </c>
      <c r="B98" t="str">
        <f>_xlfn.XLOOKUP(tblCostTemp[[#This Row],[TargetID]],tblTargets[TargetID],tblTargets[TargetType],"")</f>
        <v>BUILDING</v>
      </c>
      <c r="C98" s="6" t="str">
        <f>_xlfn.XLOOKUP(tblCostTemp[[#This Row],[TargetID]],tblTargets[TargetID],tblTargets[DisplayName],"")</f>
        <v>Warehouse Lv 3</v>
      </c>
      <c r="D98" s="28" t="s">
        <v>432</v>
      </c>
    </row>
    <row r="99" spans="1:4">
      <c r="A99" s="6" t="s">
        <v>150</v>
      </c>
      <c r="B99" t="str">
        <f>_xlfn.XLOOKUP(tblCostTemp[[#This Row],[TargetID]],tblTargets[TargetID],tblTargets[TargetType],"")</f>
        <v>BUILDING</v>
      </c>
      <c r="C99" s="6" t="str">
        <f>_xlfn.XLOOKUP(tblCostTemp[[#This Row],[TargetID]],tblTargets[TargetID],tblTargets[DisplayName],"")</f>
        <v>Warehouse Lv 4</v>
      </c>
      <c r="D99" s="29" t="s">
        <v>434</v>
      </c>
    </row>
    <row r="100" spans="1:4">
      <c r="A100" s="37" t="s">
        <v>151</v>
      </c>
      <c r="B100" t="str">
        <f>_xlfn.XLOOKUP(tblCostTemp[[#This Row],[TargetID]],tblTargets[TargetID],tblTargets[TargetType],"")</f>
        <v>BUILDING</v>
      </c>
      <c r="C100" s="6" t="str">
        <f>_xlfn.XLOOKUP(tblCostTemp[[#This Row],[TargetID]],tblTargets[TargetID],tblTargets[DisplayName],"")</f>
        <v>Warehouse Lv 5</v>
      </c>
      <c r="D100" s="28" t="s">
        <v>436</v>
      </c>
    </row>
    <row r="101" spans="1:4">
      <c r="A101" s="6" t="s">
        <v>152</v>
      </c>
      <c r="B101" t="str">
        <f>_xlfn.XLOOKUP(tblCostTemp[[#This Row],[TargetID]],tblTargets[TargetID],tblTargets[TargetType],"")</f>
        <v>BUILDING</v>
      </c>
      <c r="C101" s="6" t="str">
        <f>_xlfn.XLOOKUP(tblCostTemp[[#This Row],[TargetID]],tblTargets[TargetID],tblTargets[DisplayName],"")</f>
        <v>Warehouse Lv 6</v>
      </c>
      <c r="D101" s="29" t="s">
        <v>438</v>
      </c>
    </row>
    <row r="102" spans="1:4">
      <c r="A102" s="37" t="s">
        <v>153</v>
      </c>
      <c r="B102" t="str">
        <f>_xlfn.XLOOKUP(tblCostTemp[[#This Row],[TargetID]],tblTargets[TargetID],tblTargets[TargetType],"")</f>
        <v>BUILDING</v>
      </c>
      <c r="C102" s="6" t="str">
        <f>_xlfn.XLOOKUP(tblCostTemp[[#This Row],[TargetID]],tblTargets[TargetID],tblTargets[DisplayName],"")</f>
        <v>Warehouse Lv 7</v>
      </c>
      <c r="D102" s="28" t="s">
        <v>440</v>
      </c>
    </row>
    <row r="103" spans="1:4">
      <c r="A103" s="6" t="s">
        <v>154</v>
      </c>
      <c r="B103" t="str">
        <f>_xlfn.XLOOKUP(tblCostTemp[[#This Row],[TargetID]],tblTargets[TargetID],tblTargets[TargetType],"")</f>
        <v>BUILDING</v>
      </c>
      <c r="C103" s="6" t="str">
        <f>_xlfn.XLOOKUP(tblCostTemp[[#This Row],[TargetID]],tblTargets[TargetID],tblTargets[DisplayName],"")</f>
        <v>Windmill Lv 1</v>
      </c>
      <c r="D103" s="29" t="s">
        <v>442</v>
      </c>
    </row>
    <row r="104" spans="1:4">
      <c r="A104" s="37" t="s">
        <v>156</v>
      </c>
      <c r="B104" t="str">
        <f>_xlfn.XLOOKUP(tblCostTemp[[#This Row],[TargetID]],tblTargets[TargetID],tblTargets[TargetType],"")</f>
        <v>BUILDING</v>
      </c>
      <c r="C104" s="6" t="str">
        <f>_xlfn.XLOOKUP(tblCostTemp[[#This Row],[TargetID]],tblTargets[TargetID],tblTargets[DisplayName],"")</f>
        <v>Windmill Lv 2</v>
      </c>
      <c r="D104" s="28" t="s">
        <v>444</v>
      </c>
    </row>
    <row r="105" spans="1:4">
      <c r="A105" s="6" t="s">
        <v>157</v>
      </c>
      <c r="B105" t="str">
        <f>_xlfn.XLOOKUP(tblCostTemp[[#This Row],[TargetID]],tblTargets[TargetID],tblTargets[TargetType],"")</f>
        <v>BUILDING</v>
      </c>
      <c r="C105" s="6" t="str">
        <f>_xlfn.XLOOKUP(tblCostTemp[[#This Row],[TargetID]],tblTargets[TargetID],tblTargets[DisplayName],"")</f>
        <v>Workshop Lv 1</v>
      </c>
      <c r="D105" s="29" t="s">
        <v>446</v>
      </c>
    </row>
    <row r="106" spans="1:4">
      <c r="A106" s="37" t="s">
        <v>159</v>
      </c>
      <c r="B106" t="str">
        <f>_xlfn.XLOOKUP(tblCostTemp[[#This Row],[TargetID]],tblTargets[TargetID],tblTargets[TargetType],"")</f>
        <v>BUILDING</v>
      </c>
      <c r="C106" s="6" t="str">
        <f>_xlfn.XLOOKUP(tblCostTemp[[#This Row],[TargetID]],tblTargets[TargetID],tblTargets[DisplayName],"")</f>
        <v>Workshop Lv 2</v>
      </c>
      <c r="D106" s="28" t="s">
        <v>448</v>
      </c>
    </row>
    <row r="107" spans="1:4">
      <c r="A107" s="6" t="s">
        <v>160</v>
      </c>
      <c r="B107" t="str">
        <f>_xlfn.XLOOKUP(tblCostTemp[[#This Row],[TargetID]],tblTargets[TargetID],tblTargets[TargetType],"")</f>
        <v>BUILDING</v>
      </c>
      <c r="C107" s="6" t="str">
        <f>_xlfn.XLOOKUP(tblCostTemp[[#This Row],[TargetID]],tblTargets[TargetID],tblTargets[DisplayName],"")</f>
        <v>Workshop Lv 3</v>
      </c>
      <c r="D107" s="29" t="s">
        <v>450</v>
      </c>
    </row>
    <row r="108" spans="1:4">
      <c r="A108" s="37" t="s">
        <v>161</v>
      </c>
      <c r="B108" t="str">
        <f>_xlfn.XLOOKUP(tblCostTemp[[#This Row],[TargetID]],tblTargets[TargetID],tblTargets[TargetType],"")</f>
        <v>BUILDING</v>
      </c>
      <c r="C108" s="6" t="str">
        <f>_xlfn.XLOOKUP(tblCostTemp[[#This Row],[TargetID]],tblTargets[TargetID],tblTargets[DisplayName],"")</f>
        <v>Workshop Lv 4</v>
      </c>
      <c r="D108" s="28" t="s">
        <v>452</v>
      </c>
    </row>
    <row r="109" spans="1:4">
      <c r="A109" s="39" t="s">
        <v>162</v>
      </c>
      <c r="B109" t="str">
        <f>_xlfn.XLOOKUP(tblCostTemp[[#This Row],[TargetID]],tblTargets[TargetID],tblTargets[TargetType],"")</f>
        <v>BUILDING</v>
      </c>
      <c r="C109" s="6" t="str">
        <f>_xlfn.XLOOKUP(tblCostTemp[[#This Row],[TargetID]],tblTargets[TargetID],tblTargets[DisplayName],"")</f>
        <v>Workshop Lv 5</v>
      </c>
      <c r="D109" s="40" t="s">
        <v>454</v>
      </c>
    </row>
    <row r="110" spans="1:4">
      <c r="A110" s="6" t="s">
        <v>2093</v>
      </c>
      <c r="B110" t="str">
        <f>_xlfn.XLOOKUP(tblCostTemp[[#This Row],[TargetID]],tblTargets[TargetID],tblTargets[TargetType],"")</f>
        <v>TECH</v>
      </c>
      <c r="C110" s="6" t="str">
        <f>_xlfn.XLOOKUP(tblCostTemp[[#This Row],[TargetID]],tblTargets[TargetID],tblTargets[DisplayName],"")</f>
        <v>Airship - Titanium Longerons</v>
      </c>
      <c r="D110" s="29" t="s">
        <v>964</v>
      </c>
    </row>
    <row r="111" spans="1:4">
      <c r="A111" s="6" t="s">
        <v>2096</v>
      </c>
      <c r="B111" t="str">
        <f>_xlfn.XLOOKUP(tblCostTemp[[#This Row],[TargetID]],tblTargets[TargetID],tblTargets[TargetType],"")</f>
        <v>TECH</v>
      </c>
      <c r="C111" s="6" t="str">
        <f>_xlfn.XLOOKUP(tblCostTemp[[#This Row],[TargetID]],tblTargets[TargetID],tblTargets[DisplayName],"")</f>
        <v>Alchemists Hut - Greek Grenade</v>
      </c>
      <c r="D111" s="29" t="s">
        <v>969</v>
      </c>
    </row>
    <row r="112" spans="1:4">
      <c r="A112" s="6" t="s">
        <v>2098</v>
      </c>
      <c r="B112" t="str">
        <f>_xlfn.XLOOKUP(tblCostTemp[[#This Row],[TargetID]],tblTargets[TargetID],tblTargets[TargetType],"")</f>
        <v>TECH</v>
      </c>
      <c r="C112" s="6" t="str">
        <f>_xlfn.XLOOKUP(tblCostTemp[[#This Row],[TargetID]],tblTargets[TargetID],tblTargets[DisplayName],"")</f>
        <v>Alchemists Hut - Synthetic Fertilizer</v>
      </c>
      <c r="D112" s="29" t="s">
        <v>972</v>
      </c>
    </row>
    <row r="113" spans="1:4">
      <c r="A113" s="6" t="s">
        <v>2100</v>
      </c>
      <c r="B113" t="str">
        <f>_xlfn.XLOOKUP(tblCostTemp[[#This Row],[TargetID]],tblTargets[TargetID],tblTargets[TargetType],"")</f>
        <v>TECH</v>
      </c>
      <c r="C113" s="6" t="str">
        <f>_xlfn.XLOOKUP(tblCostTemp[[#This Row],[TargetID]],tblTargets[TargetID],tblTargets[DisplayName],"")</f>
        <v>Alchemists Hut - Balm</v>
      </c>
      <c r="D113" s="29" t="s">
        <v>978</v>
      </c>
    </row>
    <row r="114" spans="1:4">
      <c r="A114" s="6" t="s">
        <v>2102</v>
      </c>
      <c r="B114" t="str">
        <f>_xlfn.XLOOKUP(tblCostTemp[[#This Row],[TargetID]],tblTargets[TargetID],tblTargets[TargetType],"")</f>
        <v>TECH</v>
      </c>
      <c r="C114" s="6" t="str">
        <f>_xlfn.XLOOKUP(tblCostTemp[[#This Row],[TargetID]],tblTargets[TargetID],tblTargets[DisplayName],"")</f>
        <v>Alchemists Hut - Potion Of Mental Power</v>
      </c>
      <c r="D114" s="29" t="s">
        <v>982</v>
      </c>
    </row>
    <row r="115" spans="1:4">
      <c r="A115" s="6" t="s">
        <v>2104</v>
      </c>
      <c r="B115" t="str">
        <f>_xlfn.XLOOKUP(tblCostTemp[[#This Row],[TargetID]],tblTargets[TargetID],tblTargets[TargetType],"")</f>
        <v>TECH</v>
      </c>
      <c r="C115" s="6" t="str">
        <f>_xlfn.XLOOKUP(tblCostTemp[[#This Row],[TargetID]],tblTargets[TargetID],tblTargets[DisplayName],"")</f>
        <v>Alchemists Hut - Mercury</v>
      </c>
      <c r="D115" s="29" t="s">
        <v>988</v>
      </c>
    </row>
    <row r="116" spans="1:4">
      <c r="A116" s="6" t="s">
        <v>2106</v>
      </c>
      <c r="B116" t="str">
        <f>_xlfn.XLOOKUP(tblCostTemp[[#This Row],[TargetID]],tblTargets[TargetID],tblTargets[TargetType],"")</f>
        <v>TECH</v>
      </c>
      <c r="C116" s="6" t="str">
        <f>_xlfn.XLOOKUP(tblCostTemp[[#This Row],[TargetID]],tblTargets[TargetID],tblTargets[DisplayName],"")</f>
        <v>Alchemists Hut - Gold Ingot</v>
      </c>
      <c r="D116" s="29" t="s">
        <v>993</v>
      </c>
    </row>
    <row r="117" spans="1:4">
      <c r="A117" s="6" t="s">
        <v>2108</v>
      </c>
      <c r="B117" t="str">
        <f>_xlfn.XLOOKUP(tblCostTemp[[#This Row],[TargetID]],tblTargets[TargetID],tblTargets[TargetType],"")</f>
        <v>TECH</v>
      </c>
      <c r="C117" s="6" t="str">
        <f>_xlfn.XLOOKUP(tblCostTemp[[#This Row],[TargetID]],tblTargets[TargetID],tblTargets[DisplayName],"")</f>
        <v>Alchemists Hut - Madness Grenade</v>
      </c>
      <c r="D117" s="29" t="s">
        <v>996</v>
      </c>
    </row>
    <row r="118" spans="1:4">
      <c r="A118" s="6" t="s">
        <v>2110</v>
      </c>
      <c r="B118" t="str">
        <f>_xlfn.XLOOKUP(tblCostTemp[[#This Row],[TargetID]],tblTargets[TargetID],tblTargets[TargetType],"")</f>
        <v>TECH</v>
      </c>
      <c r="C118" s="6" t="str">
        <f>_xlfn.XLOOKUP(tblCostTemp[[#This Row],[TargetID]],tblTargets[TargetID],tblTargets[DisplayName],"")</f>
        <v>Alchemists Hut - Potion Of Healing</v>
      </c>
      <c r="D118" s="29" t="s">
        <v>999</v>
      </c>
    </row>
    <row r="119" spans="1:4">
      <c r="A119" s="6" t="s">
        <v>2112</v>
      </c>
      <c r="B119" t="str">
        <f>_xlfn.XLOOKUP(tblCostTemp[[#This Row],[TargetID]],tblTargets[TargetID],tblTargets[TargetType],"")</f>
        <v>TECH</v>
      </c>
      <c r="C119" s="6" t="str">
        <f>_xlfn.XLOOKUP(tblCostTemp[[#This Row],[TargetID]],tblTargets[TargetID],tblTargets[DisplayName],"")</f>
        <v>Alchemists Hut - Potion Of Energy</v>
      </c>
      <c r="D119" s="29" t="s">
        <v>999</v>
      </c>
    </row>
    <row r="120" spans="1:4">
      <c r="A120" s="6" t="s">
        <v>2114</v>
      </c>
      <c r="B120" t="str">
        <f>_xlfn.XLOOKUP(tblCostTemp[[#This Row],[TargetID]],tblTargets[TargetID],tblTargets[TargetType],"")</f>
        <v>TECH</v>
      </c>
      <c r="C120" s="6" t="str">
        <f>_xlfn.XLOOKUP(tblCostTemp[[#This Row],[TargetID]],tblTargets[TargetID],tblTargets[DisplayName],"")</f>
        <v>Alchemists Hut - Potion Berserker Rage</v>
      </c>
      <c r="D120" s="29" t="s">
        <v>1004</v>
      </c>
    </row>
    <row r="121" spans="1:4">
      <c r="A121" s="6" t="s">
        <v>2116</v>
      </c>
      <c r="B121" t="str">
        <f>_xlfn.XLOOKUP(tblCostTemp[[#This Row],[TargetID]],tblTargets[TargetID],tblTargets[TargetType],"")</f>
        <v>TECH</v>
      </c>
      <c r="C121" s="6" t="str">
        <f>_xlfn.XLOOKUP(tblCostTemp[[#This Row],[TargetID]],tblTargets[TargetID],tblTargets[DisplayName],"")</f>
        <v>Alchemists Hut - Potion Of Healing Lvl 2</v>
      </c>
      <c r="D121" s="29" t="s">
        <v>1009</v>
      </c>
    </row>
    <row r="122" spans="1:4">
      <c r="A122" s="6" t="s">
        <v>2118</v>
      </c>
      <c r="B122" t="str">
        <f>_xlfn.XLOOKUP(tblCostTemp[[#This Row],[TargetID]],tblTargets[TargetID],tblTargets[TargetType],"")</f>
        <v>TECH</v>
      </c>
      <c r="C122" s="6" t="str">
        <f>_xlfn.XLOOKUP(tblCostTemp[[#This Row],[TargetID]],tblTargets[TargetID],tblTargets[DisplayName],"")</f>
        <v>Alchemists Hut - Potion Ambrosia</v>
      </c>
      <c r="D122" s="29" t="s">
        <v>1014</v>
      </c>
    </row>
    <row r="123" spans="1:4">
      <c r="A123" s="6" t="s">
        <v>2120</v>
      </c>
      <c r="B123" t="str">
        <f>_xlfn.XLOOKUP(tblCostTemp[[#This Row],[TargetID]],tblTargets[TargetID],tblTargets[TargetType],"")</f>
        <v>TECH</v>
      </c>
      <c r="C123" s="6" t="str">
        <f>_xlfn.XLOOKUP(tblCostTemp[[#This Row],[TargetID]],tblTargets[TargetID],tblTargets[DisplayName],"")</f>
        <v>Alchemists Hut - Conveyor Lvl 1</v>
      </c>
      <c r="D123" s="29" t="s">
        <v>1017</v>
      </c>
    </row>
    <row r="124" spans="1:4">
      <c r="A124" s="6" t="s">
        <v>2122</v>
      </c>
      <c r="B124" t="str">
        <f>_xlfn.XLOOKUP(tblCostTemp[[#This Row],[TargetID]],tblTargets[TargetID],tblTargets[TargetType],"")</f>
        <v>TECH</v>
      </c>
      <c r="C124" s="6" t="str">
        <f>_xlfn.XLOOKUP(tblCostTemp[[#This Row],[TargetID]],tblTargets[TargetID],tblTargets[DisplayName],"")</f>
        <v>Alchemists Hut - Conveyor Lvl 2</v>
      </c>
      <c r="D124" s="29" t="s">
        <v>1022</v>
      </c>
    </row>
    <row r="125" spans="1:4">
      <c r="A125" s="6" t="s">
        <v>2124</v>
      </c>
      <c r="B125" t="str">
        <f>_xlfn.XLOOKUP(tblCostTemp[[#This Row],[TargetID]],tblTargets[TargetID],tblTargets[TargetType],"")</f>
        <v>TECH</v>
      </c>
      <c r="C125" s="6" t="str">
        <f>_xlfn.XLOOKUP(tblCostTemp[[#This Row],[TargetID]],tblTargets[TargetID],tblTargets[DisplayName],"")</f>
        <v>Alchemists Hut - Galvanization</v>
      </c>
      <c r="D125" s="29" t="s">
        <v>1026</v>
      </c>
    </row>
    <row r="126" spans="1:4">
      <c r="A126" s="6" t="s">
        <v>2126</v>
      </c>
      <c r="B126" t="str">
        <f>_xlfn.XLOOKUP(tblCostTemp[[#This Row],[TargetID]],tblTargets[TargetID],tblTargets[TargetType],"")</f>
        <v>TECH</v>
      </c>
      <c r="C126" s="6" t="str">
        <f>_xlfn.XLOOKUP(tblCostTemp[[#This Row],[TargetID]],tblTargets[TargetID],tblTargets[DisplayName],"")</f>
        <v>Alchemists Hut - Metamorphosis</v>
      </c>
      <c r="D126" s="29" t="s">
        <v>1030</v>
      </c>
    </row>
    <row r="127" spans="1:4">
      <c r="A127" s="6" t="s">
        <v>2128</v>
      </c>
      <c r="B127" t="str">
        <f>_xlfn.XLOOKUP(tblCostTemp[[#This Row],[TargetID]],tblTargets[TargetID],tblTargets[TargetType],"")</f>
        <v>TECH</v>
      </c>
      <c r="C127" s="6" t="str">
        <f>_xlfn.XLOOKUP(tblCostTemp[[#This Row],[TargetID]],tblTargets[TargetID],tblTargets[DisplayName],"")</f>
        <v>Alchemists Hut - Advanced Fertilizer</v>
      </c>
      <c r="D127" s="29" t="s">
        <v>1036</v>
      </c>
    </row>
    <row r="128" spans="1:4">
      <c r="A128" s="6" t="s">
        <v>2130</v>
      </c>
      <c r="B128" t="str">
        <f>_xlfn.XLOOKUP(tblCostTemp[[#This Row],[TargetID]],tblTargets[TargetID],tblTargets[TargetType],"")</f>
        <v>TECH</v>
      </c>
      <c r="C128" s="6" t="str">
        <f>_xlfn.XLOOKUP(tblCostTemp[[#This Row],[TargetID]],tblTargets[TargetID],tblTargets[DisplayName],"")</f>
        <v>Bridge - Koi Fish</v>
      </c>
      <c r="D128" s="29" t="s">
        <v>1042</v>
      </c>
    </row>
    <row r="129" spans="1:4">
      <c r="A129" s="6" t="s">
        <v>2132</v>
      </c>
      <c r="B129" t="str">
        <f>_xlfn.XLOOKUP(tblCostTemp[[#This Row],[TargetID]],tblTargets[TargetID],tblTargets[TargetType],"")</f>
        <v>TECH</v>
      </c>
      <c r="C129" s="6" t="str">
        <f>_xlfn.XLOOKUP(tblCostTemp[[#This Row],[TargetID]],tblTargets[TargetID],tblTargets[DisplayName],"")</f>
        <v>Bridge - Salmon Farming</v>
      </c>
      <c r="D129" s="29" t="s">
        <v>1045</v>
      </c>
    </row>
    <row r="130" spans="1:4">
      <c r="A130" s="6" t="s">
        <v>2134</v>
      </c>
      <c r="B130" t="str">
        <f>_xlfn.XLOOKUP(tblCostTemp[[#This Row],[TargetID]],tblTargets[TargetID],tblTargets[TargetType],"")</f>
        <v>TECH</v>
      </c>
      <c r="C130" s="6" t="str">
        <f>_xlfn.XLOOKUP(tblCostTemp[[#This Row],[TargetID]],tblTargets[TargetID],tblTargets[DisplayName],"")</f>
        <v>Dairy - Classical Music For The Farm</v>
      </c>
      <c r="D130" s="29" t="s">
        <v>1051</v>
      </c>
    </row>
    <row r="131" spans="1:4">
      <c r="A131" s="6" t="s">
        <v>2136</v>
      </c>
      <c r="B131" t="str">
        <f>_xlfn.XLOOKUP(tblCostTemp[[#This Row],[TargetID]],tblTargets[TargetID],tblTargets[TargetType],"")</f>
        <v>TECH</v>
      </c>
      <c r="C131" s="6" t="str">
        <f>_xlfn.XLOOKUP(tblCostTemp[[#This Row],[TargetID]],tblTargets[TargetID],tblTargets[DisplayName],"")</f>
        <v>Dairy - Big Data Farming</v>
      </c>
      <c r="D131" s="29" t="s">
        <v>1055</v>
      </c>
    </row>
    <row r="132" spans="1:4">
      <c r="A132" s="6" t="s">
        <v>2138</v>
      </c>
      <c r="B132" t="str">
        <f>_xlfn.XLOOKUP(tblCostTemp[[#This Row],[TargetID]],tblTargets[TargetID],tblTargets[TargetType],"")</f>
        <v>TECH</v>
      </c>
      <c r="C132" s="6" t="str">
        <f>_xlfn.XLOOKUP(tblCostTemp[[#This Row],[TargetID]],tblTargets[TargetID],tblTargets[DisplayName],"")</f>
        <v>Dungeon - Great Hall</v>
      </c>
      <c r="D132" s="29" t="s">
        <v>1059</v>
      </c>
    </row>
    <row r="133" spans="1:4">
      <c r="A133" s="6" t="s">
        <v>2140</v>
      </c>
      <c r="B133" t="str">
        <f>_xlfn.XLOOKUP(tblCostTemp[[#This Row],[TargetID]],tblTargets[TargetID],tblTargets[TargetType],"")</f>
        <v>TECH</v>
      </c>
      <c r="C133" s="6" t="str">
        <f>_xlfn.XLOOKUP(tblCostTemp[[#This Row],[TargetID]],tblTargets[TargetID],tblTargets[DisplayName],"")</f>
        <v>Fermentory - Pasteurization</v>
      </c>
      <c r="D133" s="29" t="s">
        <v>1064</v>
      </c>
    </row>
    <row r="134" spans="1:4">
      <c r="A134" s="6" t="s">
        <v>2142</v>
      </c>
      <c r="B134" t="str">
        <f>_xlfn.XLOOKUP(tblCostTemp[[#This Row],[TargetID]],tblTargets[TargetID],tblTargets[TargetType],"")</f>
        <v>TECH</v>
      </c>
      <c r="C134" s="6" t="str">
        <f>_xlfn.XLOOKUP(tblCostTemp[[#This Row],[TargetID]],tblTargets[TargetID],tblTargets[DisplayName],"")</f>
        <v>Field - Seed Drill</v>
      </c>
      <c r="D134" s="29" t="s">
        <v>1017</v>
      </c>
    </row>
    <row r="135" spans="1:4">
      <c r="A135" s="6" t="s">
        <v>2144</v>
      </c>
      <c r="B135" t="str">
        <f>_xlfn.XLOOKUP(tblCostTemp[[#This Row],[TargetID]],tblTargets[TargetID],tblTargets[TargetType],"")</f>
        <v>TECH</v>
      </c>
      <c r="C135" s="6" t="str">
        <f>_xlfn.XLOOKUP(tblCostTemp[[#This Row],[TargetID]],tblTargets[TargetID],tblTargets[DisplayName],"")</f>
        <v>Field - Combine Harvester</v>
      </c>
      <c r="D135" s="29" t="s">
        <v>1073</v>
      </c>
    </row>
    <row r="136" spans="1:4">
      <c r="A136" s="6" t="s">
        <v>2146</v>
      </c>
      <c r="B136" t="str">
        <f>_xlfn.XLOOKUP(tblCostTemp[[#This Row],[TargetID]],tblTargets[TargetID],tblTargets[TargetType],"")</f>
        <v>TECH</v>
      </c>
      <c r="C136" s="6" t="str">
        <f>_xlfn.XLOOKUP(tblCostTemp[[#This Row],[TargetID]],tblTargets[TargetID],tblTargets[DisplayName],"")</f>
        <v>Field - Soybean</v>
      </c>
      <c r="D136" s="29" t="s">
        <v>1079</v>
      </c>
    </row>
    <row r="137" spans="1:4">
      <c r="A137" s="6" t="s">
        <v>2148</v>
      </c>
      <c r="B137" t="str">
        <f>_xlfn.XLOOKUP(tblCostTemp[[#This Row],[TargetID]],tblTargets[TargetID],tblTargets[TargetType],"")</f>
        <v>TECH</v>
      </c>
      <c r="C137" s="6" t="str">
        <f>_xlfn.XLOOKUP(tblCostTemp[[#This Row],[TargetID]],tblTargets[TargetID],tblTargets[DisplayName],"")</f>
        <v>Food Stall - Quintessence Of Taste</v>
      </c>
      <c r="D137" s="29" t="s">
        <v>1084</v>
      </c>
    </row>
    <row r="138" spans="1:4">
      <c r="A138" s="6" t="s">
        <v>2150</v>
      </c>
      <c r="B138" t="str">
        <f>_xlfn.XLOOKUP(tblCostTemp[[#This Row],[TargetID]],tblTargets[TargetID],tblTargets[TargetType],"")</f>
        <v>TECH</v>
      </c>
      <c r="C138" s="6" t="str">
        <f>_xlfn.XLOOKUP(tblCostTemp[[#This Row],[TargetID]],tblTargets[TargetID],tblTargets[DisplayName],"")</f>
        <v>Food Stall - Jam</v>
      </c>
      <c r="D138" s="29" t="s">
        <v>1089</v>
      </c>
    </row>
    <row r="139" spans="1:4">
      <c r="A139" s="6" t="s">
        <v>2152</v>
      </c>
      <c r="B139" t="str">
        <f>_xlfn.XLOOKUP(tblCostTemp[[#This Row],[TargetID]],tblTargets[TargetID],tblTargets[TargetType],"")</f>
        <v>TECH</v>
      </c>
      <c r="C139" s="6" t="str">
        <f>_xlfn.XLOOKUP(tblCostTemp[[#This Row],[TargetID]],tblTargets[TargetID],tblTargets[DisplayName],"")</f>
        <v>Food Stall - Mayonnaise</v>
      </c>
      <c r="D139" s="29" t="s">
        <v>1092</v>
      </c>
    </row>
    <row r="140" spans="1:4">
      <c r="A140" s="6" t="s">
        <v>2154</v>
      </c>
      <c r="B140" t="str">
        <f>_xlfn.XLOOKUP(tblCostTemp[[#This Row],[TargetID]],tblTargets[TargetID],tblTargets[TargetType],"")</f>
        <v>TECH</v>
      </c>
      <c r="C140" s="6" t="str">
        <f>_xlfn.XLOOKUP(tblCostTemp[[#This Row],[TargetID]],tblTargets[TargetID],tblTargets[DisplayName],"")</f>
        <v>Food Stall - Mandra Cola</v>
      </c>
      <c r="D140" s="29" t="s">
        <v>1095</v>
      </c>
    </row>
    <row r="141" spans="1:4">
      <c r="A141" s="6" t="s">
        <v>2156</v>
      </c>
      <c r="B141" t="str">
        <f>_xlfn.XLOOKUP(tblCostTemp[[#This Row],[TargetID]],tblTargets[TargetID],tblTargets[TargetType],"")</f>
        <v>TECH</v>
      </c>
      <c r="C141" s="6" t="str">
        <f>_xlfn.XLOOKUP(tblCostTemp[[#This Row],[TargetID]],tblTargets[TargetID],tblTargets[DisplayName],"")</f>
        <v>Food Stall - Inarizushi</v>
      </c>
      <c r="D141" s="29" t="s">
        <v>1098</v>
      </c>
    </row>
    <row r="142" spans="1:4">
      <c r="A142" s="6" t="s">
        <v>2158</v>
      </c>
      <c r="B142" t="str">
        <f>_xlfn.XLOOKUP(tblCostTemp[[#This Row],[TargetID]],tblTargets[TargetID],tblTargets[TargetType],"")</f>
        <v>TECH</v>
      </c>
      <c r="C142" s="6" t="str">
        <f>_xlfn.XLOOKUP(tblCostTemp[[#This Row],[TargetID]],tblTargets[TargetID],tblTargets[DisplayName],"")</f>
        <v>Food Stall - Conveyor Belt Sushi</v>
      </c>
      <c r="D142" s="29" t="s">
        <v>1102</v>
      </c>
    </row>
    <row r="143" spans="1:4">
      <c r="A143" s="6" t="s">
        <v>2160</v>
      </c>
      <c r="B143" t="str">
        <f>_xlfn.XLOOKUP(tblCostTemp[[#This Row],[TargetID]],tblTargets[TargetID],tblTargets[TargetType],"")</f>
        <v>TECH</v>
      </c>
      <c r="C143" s="6" t="str">
        <f>_xlfn.XLOOKUP(tblCostTemp[[#This Row],[TargetID]],tblTargets[TargetID],tblTargets[DisplayName],"")</f>
        <v>Food Stall - Miso Soup</v>
      </c>
      <c r="D143" s="29" t="s">
        <v>1105</v>
      </c>
    </row>
    <row r="144" spans="1:4">
      <c r="A144" s="6" t="s">
        <v>2162</v>
      </c>
      <c r="B144" t="str">
        <f>_xlfn.XLOOKUP(tblCostTemp[[#This Row],[TargetID]],tblTargets[TargetID],tblTargets[TargetType],"")</f>
        <v>TECH</v>
      </c>
      <c r="C144" s="6" t="str">
        <f>_xlfn.XLOOKUP(tblCostTemp[[#This Row],[TargetID]],tblTargets[TargetID],tblTargets[DisplayName],"")</f>
        <v>Furnace - Meteoric Steel</v>
      </c>
      <c r="D144" s="29" t="s">
        <v>1110</v>
      </c>
    </row>
    <row r="145" spans="1:4">
      <c r="A145" s="6" t="s">
        <v>2164</v>
      </c>
      <c r="B145" t="str">
        <f>_xlfn.XLOOKUP(tblCostTemp[[#This Row],[TargetID]],tblTargets[TargetID],tblTargets[TargetType],"")</f>
        <v>TECH</v>
      </c>
      <c r="C145" s="6" t="str">
        <f>_xlfn.XLOOKUP(tblCostTemp[[#This Row],[TargetID]],tblTargets[TargetID],tblTargets[DisplayName],"")</f>
        <v>Furnace - Titanium Parts</v>
      </c>
      <c r="D145" s="29" t="s">
        <v>1115</v>
      </c>
    </row>
    <row r="146" spans="1:4">
      <c r="A146" s="6" t="s">
        <v>2166</v>
      </c>
      <c r="B146" t="str">
        <f>_xlfn.XLOOKUP(tblCostTemp[[#This Row],[TargetID]],tblTargets[TargetID],tblTargets[TargetType],"")</f>
        <v>TECH</v>
      </c>
      <c r="C146" s="6" t="str">
        <f>_xlfn.XLOOKUP(tblCostTemp[[#This Row],[TargetID]],tblTargets[TargetID],tblTargets[DisplayName],"")</f>
        <v>Furnace - Glass</v>
      </c>
      <c r="D146" s="29" t="s">
        <v>1121</v>
      </c>
    </row>
    <row r="147" spans="1:4">
      <c r="A147" s="6" t="s">
        <v>2168</v>
      </c>
      <c r="B147" t="str">
        <f>_xlfn.XLOOKUP(tblCostTemp[[#This Row],[TargetID]],tblTargets[TargetID],tblTargets[TargetType],"")</f>
        <v>TECH</v>
      </c>
      <c r="C147" s="6" t="str">
        <f>_xlfn.XLOOKUP(tblCostTemp[[#This Row],[TargetID]],tblTargets[TargetID],tblTargets[DisplayName],"")</f>
        <v>Furnace - Conveyor</v>
      </c>
      <c r="D147" s="29" t="s">
        <v>1124</v>
      </c>
    </row>
    <row r="148" spans="1:4">
      <c r="A148" s="6" t="s">
        <v>2170</v>
      </c>
      <c r="B148" t="str">
        <f>_xlfn.XLOOKUP(tblCostTemp[[#This Row],[TargetID]],tblTargets[TargetID],tblTargets[TargetType],"")</f>
        <v>TECH</v>
      </c>
      <c r="C148" s="6" t="str">
        <f>_xlfn.XLOOKUP(tblCostTemp[[#This Row],[TargetID]],tblTargets[TargetID],tblTargets[DisplayName],"")</f>
        <v>Garden - Sprinkler</v>
      </c>
      <c r="D148" s="29" t="s">
        <v>1129</v>
      </c>
    </row>
    <row r="149" spans="1:4">
      <c r="A149" s="6" t="s">
        <v>2172</v>
      </c>
      <c r="B149" t="str">
        <f>_xlfn.XLOOKUP(tblCostTemp[[#This Row],[TargetID]],tblTargets[TargetID],tblTargets[TargetType],"")</f>
        <v>TECH</v>
      </c>
      <c r="C149" s="6" t="str">
        <f>_xlfn.XLOOKUP(tblCostTemp[[#This Row],[TargetID]],tblTargets[TargetID],tblTargets[DisplayName],"")</f>
        <v>Laboratory - Research And Development</v>
      </c>
      <c r="D149" s="29" t="s">
        <v>1135</v>
      </c>
    </row>
    <row r="150" spans="1:4">
      <c r="A150" s="6" t="s">
        <v>2174</v>
      </c>
      <c r="B150" t="str">
        <f>_xlfn.XLOOKUP(tblCostTemp[[#This Row],[TargetID]],tblTargets[TargetID],tblTargets[TargetType],"")</f>
        <v>TECH</v>
      </c>
      <c r="C150" s="6" t="str">
        <f>_xlfn.XLOOKUP(tblCostTemp[[#This Row],[TargetID]],tblTargets[TargetID],tblTargets[DisplayName],"")</f>
        <v>Laboratory - Digitization</v>
      </c>
      <c r="D150" s="29" t="s">
        <v>1139</v>
      </c>
    </row>
    <row r="151" spans="1:4">
      <c r="A151" s="6" t="s">
        <v>2176</v>
      </c>
      <c r="B151" t="str">
        <f>_xlfn.XLOOKUP(tblCostTemp[[#This Row],[TargetID]],tblTargets[TargetID],tblTargets[TargetType],"")</f>
        <v>TECH</v>
      </c>
      <c r="C151" s="6" t="str">
        <f>_xlfn.XLOOKUP(tblCostTemp[[#This Row],[TargetID]],tblTargets[TargetID],tblTargets[DisplayName],"")</f>
        <v>Laboratory - Experiments</v>
      </c>
      <c r="D151" s="29" t="s">
        <v>1143</v>
      </c>
    </row>
    <row r="152" spans="1:4">
      <c r="A152" s="6" t="s">
        <v>2178</v>
      </c>
      <c r="B152" t="str">
        <f>_xlfn.XLOOKUP(tblCostTemp[[#This Row],[TargetID]],tblTargets[TargetID],tblTargets[TargetType],"")</f>
        <v>TECH</v>
      </c>
      <c r="C152" s="6" t="str">
        <f>_xlfn.XLOOKUP(tblCostTemp[[#This Row],[TargetID]],tblTargets[TargetID],tblTargets[DisplayName],"")</f>
        <v>Outpost - Sayonara Tax</v>
      </c>
      <c r="D152" s="29" t="s">
        <v>1148</v>
      </c>
    </row>
    <row r="153" spans="1:4">
      <c r="A153" s="6" t="s">
        <v>2180</v>
      </c>
      <c r="B153" t="str">
        <f>_xlfn.XLOOKUP(tblCostTemp[[#This Row],[TargetID]],tblTargets[TargetID],tblTargets[TargetType],"")</f>
        <v>TECH</v>
      </c>
      <c r="C153" s="6" t="str">
        <f>_xlfn.XLOOKUP(tblCostTemp[[#This Row],[TargetID]],tblTargets[TargetID],tblTargets[DisplayName],"")</f>
        <v>Outpost - Arsenal Lvl 1</v>
      </c>
      <c r="D153" s="29" t="s">
        <v>1151</v>
      </c>
    </row>
    <row r="154" spans="1:4">
      <c r="A154" s="6" t="s">
        <v>2182</v>
      </c>
      <c r="B154" t="str">
        <f>_xlfn.XLOOKUP(tblCostTemp[[#This Row],[TargetID]],tblTargets[TargetID],tblTargets[TargetType],"")</f>
        <v>TECH</v>
      </c>
      <c r="C154" s="6" t="str">
        <f>_xlfn.XLOOKUP(tblCostTemp[[#This Row],[TargetID]],tblTargets[TargetID],tblTargets[DisplayName],"")</f>
        <v>Outpost - Arsenal Lvl 2</v>
      </c>
      <c r="D154" s="29" t="s">
        <v>1155</v>
      </c>
    </row>
    <row r="155" spans="1:4">
      <c r="A155" s="6" t="s">
        <v>2184</v>
      </c>
      <c r="B155" t="str">
        <f>_xlfn.XLOOKUP(tblCostTemp[[#This Row],[TargetID]],tblTargets[TargetID],tblTargets[TargetType],"")</f>
        <v>TECH</v>
      </c>
      <c r="C155" s="6" t="str">
        <f>_xlfn.XLOOKUP(tblCostTemp[[#This Row],[TargetID]],tblTargets[TargetID],tblTargets[DisplayName],"")</f>
        <v>Outpost - Optional Contracts</v>
      </c>
      <c r="D155" s="29" t="s">
        <v>1158</v>
      </c>
    </row>
    <row r="156" spans="1:4">
      <c r="A156" s="6" t="s">
        <v>2186</v>
      </c>
      <c r="B156" t="str">
        <f>_xlfn.XLOOKUP(tblCostTemp[[#This Row],[TargetID]],tblTargets[TargetID],tblTargets[TargetType],"")</f>
        <v>TECH</v>
      </c>
      <c r="C156" s="6" t="str">
        <f>_xlfn.XLOOKUP(tblCostTemp[[#This Row],[TargetID]],tblTargets[TargetID],tblTargets[DisplayName],"")</f>
        <v>Outpost - Futures Contracts</v>
      </c>
      <c r="D156" s="29" t="s">
        <v>1163</v>
      </c>
    </row>
    <row r="157" spans="1:4">
      <c r="A157" s="6" t="s">
        <v>2188</v>
      </c>
      <c r="B157" t="str">
        <f>_xlfn.XLOOKUP(tblCostTemp[[#This Row],[TargetID]],tblTargets[TargetID],tblTargets[TargetType],"")</f>
        <v>TECH</v>
      </c>
      <c r="C157" s="6" t="str">
        <f>_xlfn.XLOOKUP(tblCostTemp[[#This Row],[TargetID]],tblTargets[TargetID],tblTargets[DisplayName],"")</f>
        <v>Outpost - Tax Return On Floppy Disk</v>
      </c>
      <c r="D157" s="29" t="s">
        <v>1168</v>
      </c>
    </row>
    <row r="158" spans="1:4">
      <c r="A158" s="6" t="s">
        <v>2190</v>
      </c>
      <c r="B158" t="str">
        <f>_xlfn.XLOOKUP(tblCostTemp[[#This Row],[TargetID]],tblTargets[TargetID],tblTargets[TargetType],"")</f>
        <v>TECH</v>
      </c>
      <c r="C158" s="6" t="str">
        <f>_xlfn.XLOOKUP(tblCostTemp[[#This Row],[TargetID]],tblTargets[TargetID],tblTargets[DisplayName],"")</f>
        <v>Rock Garden - Rake</v>
      </c>
      <c r="D158" s="29" t="s">
        <v>1129</v>
      </c>
    </row>
    <row r="159" spans="1:4">
      <c r="A159" s="6" t="s">
        <v>2192</v>
      </c>
      <c r="B159" t="str">
        <f>_xlfn.XLOOKUP(tblCostTemp[[#This Row],[TargetID]],tblTargets[TargetID],tblTargets[TargetType],"")</f>
        <v>TECH</v>
      </c>
      <c r="C159" s="6" t="str">
        <f>_xlfn.XLOOKUP(tblCostTemp[[#This Row],[TargetID]],tblTargets[TargetID],tblTargets[DisplayName],"")</f>
        <v>Shop - Pre Orders</v>
      </c>
      <c r="D159" s="29" t="s">
        <v>1177</v>
      </c>
    </row>
    <row r="160" spans="1:4">
      <c r="A160" s="6" t="s">
        <v>2194</v>
      </c>
      <c r="B160" t="str">
        <f>_xlfn.XLOOKUP(tblCostTemp[[#This Row],[TargetID]],tblTargets[TargetID],tblTargets[TargetType],"")</f>
        <v>TECH</v>
      </c>
      <c r="C160" s="6" t="str">
        <f>_xlfn.XLOOKUP(tblCostTemp[[#This Row],[TargetID]],tblTargets[TargetID],tblTargets[DisplayName],"")</f>
        <v>Shop - Glass Recycling</v>
      </c>
      <c r="D160" s="29" t="s">
        <v>1181</v>
      </c>
    </row>
    <row r="161" spans="1:4">
      <c r="A161" s="6" t="s">
        <v>2196</v>
      </c>
      <c r="B161" t="str">
        <f>_xlfn.XLOOKUP(tblCostTemp[[#This Row],[TargetID]],tblTargets[TargetID],tblTargets[TargetType],"")</f>
        <v>TECH</v>
      </c>
      <c r="C161" s="6" t="str">
        <f>_xlfn.XLOOKUP(tblCostTemp[[#This Row],[TargetID]],tblTargets[TargetID],tblTargets[DisplayName],"")</f>
        <v>Smithy - Throwing Knife</v>
      </c>
      <c r="D161" s="29" t="s">
        <v>1186</v>
      </c>
    </row>
    <row r="162" spans="1:4">
      <c r="A162" s="6" t="s">
        <v>2198</v>
      </c>
      <c r="B162" t="str">
        <f>_xlfn.XLOOKUP(tblCostTemp[[#This Row],[TargetID]],tblTargets[TargetID],tblTargets[TargetType],"")</f>
        <v>TECH</v>
      </c>
      <c r="C162" s="6" t="str">
        <f>_xlfn.XLOOKUP(tblCostTemp[[#This Row],[TargetID]],tblTargets[TargetID],tblTargets[DisplayName],"")</f>
        <v>Smithy - Sword For A Hero Lvl 1</v>
      </c>
      <c r="D162" s="29" t="s">
        <v>1189</v>
      </c>
    </row>
    <row r="163" spans="1:4">
      <c r="A163" s="6" t="s">
        <v>2200</v>
      </c>
      <c r="B163" t="str">
        <f>_xlfn.XLOOKUP(tblCostTemp[[#This Row],[TargetID]],tblTargets[TargetID],tblTargets[TargetType],"")</f>
        <v>TECH</v>
      </c>
      <c r="C163" s="6" t="str">
        <f>_xlfn.XLOOKUP(tblCostTemp[[#This Row],[TargetID]],tblTargets[TargetID],tblTargets[DisplayName],"")</f>
        <v>Smithy - Sword For A Hero Lvl 2</v>
      </c>
      <c r="D163" s="29" t="s">
        <v>1194</v>
      </c>
    </row>
    <row r="164" spans="1:4">
      <c r="A164" s="6" t="s">
        <v>2202</v>
      </c>
      <c r="B164" t="str">
        <f>_xlfn.XLOOKUP(tblCostTemp[[#This Row],[TargetID]],tblTargets[TargetID],tblTargets[TargetType],"")</f>
        <v>TECH</v>
      </c>
      <c r="C164" s="6" t="str">
        <f>_xlfn.XLOOKUP(tblCostTemp[[#This Row],[TargetID]],tblTargets[TargetID],tblTargets[DisplayName],"")</f>
        <v>Smithy - Sword For A Hero Lvl 3</v>
      </c>
      <c r="D164" s="29" t="s">
        <v>1199</v>
      </c>
    </row>
    <row r="165" spans="1:4">
      <c r="A165" s="6" t="s">
        <v>2204</v>
      </c>
      <c r="B165" t="str">
        <f>_xlfn.XLOOKUP(tblCostTemp[[#This Row],[TargetID]],tblTargets[TargetID],tblTargets[TargetType],"")</f>
        <v>TECH</v>
      </c>
      <c r="C165" s="6" t="str">
        <f>_xlfn.XLOOKUP(tblCostTemp[[#This Row],[TargetID]],tblTargets[TargetID],tblTargets[DisplayName],"")</f>
        <v>Smithy - Sword For A Hero Lvl 4</v>
      </c>
      <c r="D165" s="29" t="s">
        <v>1205</v>
      </c>
    </row>
    <row r="166" spans="1:4">
      <c r="A166" s="6" t="s">
        <v>2206</v>
      </c>
      <c r="B166" t="str">
        <f>_xlfn.XLOOKUP(tblCostTemp[[#This Row],[TargetID]],tblTargets[TargetID],tblTargets[TargetType],"")</f>
        <v>TECH</v>
      </c>
      <c r="C166" s="6" t="str">
        <f>_xlfn.XLOOKUP(tblCostTemp[[#This Row],[TargetID]],tblTargets[TargetID],tblTargets[DisplayName],"")</f>
        <v>Smithy - Sword For A Hero Lvl 4+</v>
      </c>
      <c r="D166" s="29" t="s">
        <v>1211</v>
      </c>
    </row>
    <row r="167" spans="1:4">
      <c r="A167" s="6" t="s">
        <v>2208</v>
      </c>
      <c r="B167" t="str">
        <f>_xlfn.XLOOKUP(tblCostTemp[[#This Row],[TargetID]],tblTargets[TargetID],tblTargets[TargetType],"")</f>
        <v>TECH</v>
      </c>
      <c r="C167" s="6" t="str">
        <f>_xlfn.XLOOKUP(tblCostTemp[[#This Row],[TargetID]],tblTargets[TargetID],tblTargets[DisplayName],"")</f>
        <v>Smithy - Weapon Grease</v>
      </c>
      <c r="D167" s="29" t="s">
        <v>1214</v>
      </c>
    </row>
    <row r="168" spans="1:4">
      <c r="A168" s="6" t="s">
        <v>2210</v>
      </c>
      <c r="B168" t="str">
        <f>_xlfn.XLOOKUP(tblCostTemp[[#This Row],[TargetID]],tblTargets[TargetID],tblTargets[TargetType],"")</f>
        <v>TECH</v>
      </c>
      <c r="C168" s="6" t="str">
        <f>_xlfn.XLOOKUP(tblCostTemp[[#This Row],[TargetID]],tblTargets[TargetID],tblTargets[DisplayName],"")</f>
        <v>Smithy - Gears</v>
      </c>
      <c r="D168" s="29" t="s">
        <v>1217</v>
      </c>
    </row>
    <row r="169" spans="1:4">
      <c r="A169" s="6" t="s">
        <v>2212</v>
      </c>
      <c r="B169" t="str">
        <f>_xlfn.XLOOKUP(tblCostTemp[[#This Row],[TargetID]],tblTargets[TargetID],tblTargets[TargetType],"")</f>
        <v>TECH</v>
      </c>
      <c r="C169" s="6" t="str">
        <f>_xlfn.XLOOKUP(tblCostTemp[[#This Row],[TargetID]],tblTargets[TargetID],tblTargets[DisplayName],"")</f>
        <v>Smithy - Treasure</v>
      </c>
      <c r="D169" s="29" t="s">
        <v>1223</v>
      </c>
    </row>
    <row r="170" spans="1:4">
      <c r="A170" s="6" t="s">
        <v>2214</v>
      </c>
      <c r="B170" t="str">
        <f>_xlfn.XLOOKUP(tblCostTemp[[#This Row],[TargetID]],tblTargets[TargetID],tblTargets[TargetType],"")</f>
        <v>TECH</v>
      </c>
      <c r="C170" s="6" t="str">
        <f>_xlfn.XLOOKUP(tblCostTemp[[#This Row],[TargetID]],tblTargets[TargetID],tblTargets[DisplayName],"")</f>
        <v>Tailor - Ariadnes Thread</v>
      </c>
      <c r="D170" s="29" t="s">
        <v>1228</v>
      </c>
    </row>
    <row r="171" spans="1:4">
      <c r="A171" s="6" t="s">
        <v>2216</v>
      </c>
      <c r="B171" t="str">
        <f>_xlfn.XLOOKUP(tblCostTemp[[#This Row],[TargetID]],tblTargets[TargetID],tblTargets[TargetType],"")</f>
        <v>TECH</v>
      </c>
      <c r="C171" s="6" t="str">
        <f>_xlfn.XLOOKUP(tblCostTemp[[#This Row],[TargetID]],tblTargets[TargetID],tblTargets[DisplayName],"")</f>
        <v>Tailor - Bedroll</v>
      </c>
      <c r="D171" s="29" t="s">
        <v>1234</v>
      </c>
    </row>
    <row r="172" spans="1:4">
      <c r="A172" s="6" t="s">
        <v>2218</v>
      </c>
      <c r="B172" t="str">
        <f>_xlfn.XLOOKUP(tblCostTemp[[#This Row],[TargetID]],tblTargets[TargetID],tblTargets[TargetType],"")</f>
        <v>TECH</v>
      </c>
      <c r="C172" s="6" t="str">
        <f>_xlfn.XLOOKUP(tblCostTemp[[#This Row],[TargetID]],tblTargets[TargetID],tblTargets[DisplayName],"")</f>
        <v>Tailor - Salamander Velour</v>
      </c>
      <c r="D172" s="29" t="s">
        <v>1240</v>
      </c>
    </row>
    <row r="173" spans="1:4">
      <c r="A173" s="6" t="s">
        <v>2220</v>
      </c>
      <c r="B173" t="str">
        <f>_xlfn.XLOOKUP(tblCostTemp[[#This Row],[TargetID]],tblTargets[TargetID],tblTargets[TargetType],"")</f>
        <v>TECH</v>
      </c>
      <c r="C173" s="6" t="str">
        <f>_xlfn.XLOOKUP(tblCostTemp[[#This Row],[TargetID]],tblTargets[TargetID],tblTargets[DisplayName],"")</f>
        <v>Tailor - Armor For A Hero Lvl 1</v>
      </c>
      <c r="D173" s="29" t="s">
        <v>1243</v>
      </c>
    </row>
    <row r="174" spans="1:4">
      <c r="A174" s="6" t="s">
        <v>2222</v>
      </c>
      <c r="B174" t="str">
        <f>_xlfn.XLOOKUP(tblCostTemp[[#This Row],[TargetID]],tblTargets[TargetID],tblTargets[TargetType],"")</f>
        <v>TECH</v>
      </c>
      <c r="C174" s="6" t="str">
        <f>_xlfn.XLOOKUP(tblCostTemp[[#This Row],[TargetID]],tblTargets[TargetID],tblTargets[DisplayName],"")</f>
        <v>Tailor - Armor For A Hero Lvl 2</v>
      </c>
      <c r="D174" s="29" t="s">
        <v>1248</v>
      </c>
    </row>
    <row r="175" spans="1:4">
      <c r="A175" s="6" t="s">
        <v>2224</v>
      </c>
      <c r="B175" t="str">
        <f>_xlfn.XLOOKUP(tblCostTemp[[#This Row],[TargetID]],tblTargets[TargetID],tblTargets[TargetType],"")</f>
        <v>TECH</v>
      </c>
      <c r="C175" s="6" t="str">
        <f>_xlfn.XLOOKUP(tblCostTemp[[#This Row],[TargetID]],tblTargets[TargetID],tblTargets[DisplayName],"")</f>
        <v>Tailor - Armor For A Hero Lvl 3</v>
      </c>
      <c r="D175" s="29" t="s">
        <v>1253</v>
      </c>
    </row>
    <row r="176" spans="1:4">
      <c r="A176" s="6" t="s">
        <v>2226</v>
      </c>
      <c r="B176" t="str">
        <f>_xlfn.XLOOKUP(tblCostTemp[[#This Row],[TargetID]],tblTargets[TargetID],tblTargets[TargetType],"")</f>
        <v>TECH</v>
      </c>
      <c r="C176" s="6" t="str">
        <f>_xlfn.XLOOKUP(tblCostTemp[[#This Row],[TargetID]],tblTargets[TargetID],tblTargets[DisplayName],"")</f>
        <v>Tailor - Armor For A Hero Lvl 4</v>
      </c>
      <c r="D176" s="29" t="s">
        <v>1259</v>
      </c>
    </row>
    <row r="177" spans="1:4">
      <c r="A177" s="6" t="s">
        <v>2228</v>
      </c>
      <c r="B177" t="str">
        <f>_xlfn.XLOOKUP(tblCostTemp[[#This Row],[TargetID]],tblTargets[TargetID],tblTargets[TargetType],"")</f>
        <v>TECH</v>
      </c>
      <c r="C177" s="6" t="str">
        <f>_xlfn.XLOOKUP(tblCostTemp[[#This Row],[TargetID]],tblTargets[TargetID],tblTargets[DisplayName],"")</f>
        <v>Tailor - Armor For A Hero Lvl 4+</v>
      </c>
      <c r="D177" s="29" t="s">
        <v>1265</v>
      </c>
    </row>
    <row r="178" spans="1:4">
      <c r="A178" s="6" t="s">
        <v>2230</v>
      </c>
      <c r="B178" t="str">
        <f>_xlfn.XLOOKUP(tblCostTemp[[#This Row],[TargetID]],tblTargets[TargetID],tblTargets[TargetType],"")</f>
        <v>TECH</v>
      </c>
      <c r="C178" s="6" t="str">
        <f>_xlfn.XLOOKUP(tblCostTemp[[#This Row],[TargetID]],tblTargets[TargetID],tblTargets[DisplayName],"")</f>
        <v>Tailor - Strong Stitch</v>
      </c>
      <c r="D178" s="29" t="s">
        <v>1268</v>
      </c>
    </row>
    <row r="179" spans="1:4">
      <c r="A179" s="6" t="s">
        <v>2232</v>
      </c>
      <c r="B179" t="str">
        <f>_xlfn.XLOOKUP(tblCostTemp[[#This Row],[TargetID]],tblTargets[TargetID],tblTargets[TargetType],"")</f>
        <v>TECH</v>
      </c>
      <c r="C179" s="6" t="str">
        <f>_xlfn.XLOOKUP(tblCostTemp[[#This Row],[TargetID]],tblTargets[TargetID],tblTargets[DisplayName],"")</f>
        <v>Tailor - Strong Rivets</v>
      </c>
      <c r="D179" s="29" t="s">
        <v>1271</v>
      </c>
    </row>
    <row r="180" spans="1:4">
      <c r="A180" s="6" t="s">
        <v>2234</v>
      </c>
      <c r="B180" t="str">
        <f>_xlfn.XLOOKUP(tblCostTemp[[#This Row],[TargetID]],tblTargets[TargetID],tblTargets[TargetType],"")</f>
        <v>TECH</v>
      </c>
      <c r="C180" s="6" t="str">
        <f>_xlfn.XLOOKUP(tblCostTemp[[#This Row],[TargetID]],tblTargets[TargetID],tblTargets[DisplayName],"")</f>
        <v>Tailor - Colored Threads</v>
      </c>
      <c r="D180" s="29" t="s">
        <v>1274</v>
      </c>
    </row>
    <row r="181" spans="1:4">
      <c r="A181" s="6" t="s">
        <v>2236</v>
      </c>
      <c r="B181" t="str">
        <f>_xlfn.XLOOKUP(tblCostTemp[[#This Row],[TargetID]],tblTargets[TargetID],tblTargets[TargetType],"")</f>
        <v>TECH</v>
      </c>
      <c r="C181" s="6" t="str">
        <f>_xlfn.XLOOKUP(tblCostTemp[[#This Row],[TargetID]],tblTargets[TargetID],tblTargets[DisplayName],"")</f>
        <v>Train - Compound Engine</v>
      </c>
      <c r="D181" s="29" t="s">
        <v>1279</v>
      </c>
    </row>
    <row r="182" spans="1:4">
      <c r="A182" s="6" t="s">
        <v>2238</v>
      </c>
      <c r="B182" t="str">
        <f>_xlfn.XLOOKUP(tblCostTemp[[#This Row],[TargetID]],tblTargets[TargetID],tblTargets[TargetType],"")</f>
        <v>TECH</v>
      </c>
      <c r="C182" s="6" t="str">
        <f>_xlfn.XLOOKUP(tblCostTemp[[#This Row],[TargetID]],tblTargets[TargetID],tblTargets[DisplayName],"")</f>
        <v>Train - Superheater</v>
      </c>
      <c r="D182" s="29" t="s">
        <v>1282</v>
      </c>
    </row>
    <row r="183" spans="1:4">
      <c r="A183" s="6" t="s">
        <v>2240</v>
      </c>
      <c r="B183" t="str">
        <f>_xlfn.XLOOKUP(tblCostTemp[[#This Row],[TargetID]],tblTargets[TargetID],tblTargets[TargetType],"")</f>
        <v>TECH</v>
      </c>
      <c r="C183" s="6" t="str">
        <f>_xlfn.XLOOKUP(tblCostTemp[[#This Row],[TargetID]],tblTargets[TargetID],tblTargets[DisplayName],"")</f>
        <v>Train - Automatic Lubricator</v>
      </c>
      <c r="D183" s="29" t="s">
        <v>1284</v>
      </c>
    </row>
    <row r="184" spans="1:4">
      <c r="A184" s="6" t="s">
        <v>2242</v>
      </c>
      <c r="B184" t="str">
        <f>_xlfn.XLOOKUP(tblCostTemp[[#This Row],[TargetID]],tblTargets[TargetID],tblTargets[TargetType],"")</f>
        <v>TECH</v>
      </c>
      <c r="C184" s="6" t="str">
        <f>_xlfn.XLOOKUP(tblCostTemp[[#This Row],[TargetID]],tblTargets[TargetID],tblTargets[DisplayName],"")</f>
        <v>Train - Titanium Components</v>
      </c>
      <c r="D184" s="29" t="s">
        <v>1289</v>
      </c>
    </row>
    <row r="185" spans="1:4">
      <c r="A185" s="6" t="s">
        <v>2244</v>
      </c>
      <c r="B185" t="str">
        <f>_xlfn.XLOOKUP(tblCostTemp[[#This Row],[TargetID]],tblTargets[TargetID],tblTargets[TargetType],"")</f>
        <v>TECH</v>
      </c>
      <c r="C185" s="6" t="str">
        <f>_xlfn.XLOOKUP(tblCostTemp[[#This Row],[TargetID]],tblTargets[TargetID],tblTargets[DisplayName],"")</f>
        <v>Train - Onboard Computer</v>
      </c>
      <c r="D185" s="29" t="s">
        <v>1293</v>
      </c>
    </row>
    <row r="186" spans="1:4">
      <c r="A186" s="6" t="s">
        <v>2246</v>
      </c>
      <c r="B186" t="str">
        <f>_xlfn.XLOOKUP(tblCostTemp[[#This Row],[TargetID]],tblTargets[TargetID],tblTargets[TargetType],"")</f>
        <v>TECH</v>
      </c>
      <c r="C186" s="6" t="str">
        <f>_xlfn.XLOOKUP(tblCostTemp[[#This Row],[TargetID]],tblTargets[TargetID],tblTargets[DisplayName],"")</f>
        <v>Warehouse - Stackable Racks Lvl 1</v>
      </c>
      <c r="D186" s="29" t="s">
        <v>1298</v>
      </c>
    </row>
    <row r="187" spans="1:4">
      <c r="A187" s="6" t="s">
        <v>2248</v>
      </c>
      <c r="B187" t="str">
        <f>_xlfn.XLOOKUP(tblCostTemp[[#This Row],[TargetID]],tblTargets[TargetID],tblTargets[TargetType],"")</f>
        <v>TECH</v>
      </c>
      <c r="C187" s="6" t="str">
        <f>_xlfn.XLOOKUP(tblCostTemp[[#This Row],[TargetID]],tblTargets[TargetID],tblTargets[DisplayName],"")</f>
        <v>Warehouse - Stackable Racks Lvl 2</v>
      </c>
      <c r="D187" s="29" t="s">
        <v>1302</v>
      </c>
    </row>
    <row r="188" spans="1:4">
      <c r="A188" s="6" t="s">
        <v>2250</v>
      </c>
      <c r="B188" t="str">
        <f>_xlfn.XLOOKUP(tblCostTemp[[#This Row],[TargetID]],tblTargets[TargetID],tblTargets[TargetType],"")</f>
        <v>TECH</v>
      </c>
      <c r="C188" s="6" t="str">
        <f>_xlfn.XLOOKUP(tblCostTemp[[#This Row],[TargetID]],tblTargets[TargetID],tblTargets[DisplayName],"")</f>
        <v>Warehouse - Stackable Racks Lvl 3</v>
      </c>
      <c r="D188" s="29" t="s">
        <v>1306</v>
      </c>
    </row>
    <row r="189" spans="1:4">
      <c r="A189" s="6" t="s">
        <v>2252</v>
      </c>
      <c r="B189" t="str">
        <f>_xlfn.XLOOKUP(tblCostTemp[[#This Row],[TargetID]],tblTargets[TargetID],tblTargets[TargetType],"")</f>
        <v>TECH</v>
      </c>
      <c r="C189" s="6" t="str">
        <f>_xlfn.XLOOKUP(tblCostTemp[[#This Row],[TargetID]],tblTargets[TargetID],tblTargets[DisplayName],"")</f>
        <v>Workshop - Throwing Net</v>
      </c>
      <c r="D189" s="29" t="s">
        <v>1311</v>
      </c>
    </row>
    <row r="190" spans="1:4">
      <c r="A190" s="6" t="s">
        <v>2254</v>
      </c>
      <c r="B190" t="str">
        <f>_xlfn.XLOOKUP(tblCostTemp[[#This Row],[TargetID]],tblTargets[TargetID],tblTargets[TargetType],"")</f>
        <v>TECH</v>
      </c>
      <c r="C190" s="6" t="str">
        <f>_xlfn.XLOOKUP(tblCostTemp[[#This Row],[TargetID]],tblTargets[TargetID],tblTargets[DisplayName],"")</f>
        <v>Workshop - Shield For A Hero Lvl 1</v>
      </c>
      <c r="D190" s="29" t="s">
        <v>1314</v>
      </c>
    </row>
    <row r="191" spans="1:4">
      <c r="A191" s="6" t="s">
        <v>2256</v>
      </c>
      <c r="B191" t="str">
        <f>_xlfn.XLOOKUP(tblCostTemp[[#This Row],[TargetID]],tblTargets[TargetID],tblTargets[TargetType],"")</f>
        <v>TECH</v>
      </c>
      <c r="C191" s="6" t="str">
        <f>_xlfn.XLOOKUP(tblCostTemp[[#This Row],[TargetID]],tblTargets[TargetID],tblTargets[DisplayName],"")</f>
        <v>Workshop - Shield For A Hero Lvl 2</v>
      </c>
      <c r="D191" s="29" t="s">
        <v>1319</v>
      </c>
    </row>
    <row r="192" spans="1:4">
      <c r="A192" s="6" t="s">
        <v>2258</v>
      </c>
      <c r="B192" t="str">
        <f>_xlfn.XLOOKUP(tblCostTemp[[#This Row],[TargetID]],tblTargets[TargetID],tblTargets[TargetType],"")</f>
        <v>TECH</v>
      </c>
      <c r="C192" s="6" t="str">
        <f>_xlfn.XLOOKUP(tblCostTemp[[#This Row],[TargetID]],tblTargets[TargetID],tblTargets[DisplayName],"")</f>
        <v>Workshop - Shield For A Hero Lvl 3</v>
      </c>
      <c r="D192" s="29" t="s">
        <v>1324</v>
      </c>
    </row>
    <row r="193" spans="1:4">
      <c r="A193" s="6" t="s">
        <v>2260</v>
      </c>
      <c r="B193" t="str">
        <f>_xlfn.XLOOKUP(tblCostTemp[[#This Row],[TargetID]],tblTargets[TargetID],tblTargets[TargetType],"")</f>
        <v>TECH</v>
      </c>
      <c r="C193" s="6" t="str">
        <f>_xlfn.XLOOKUP(tblCostTemp[[#This Row],[TargetID]],tblTargets[TargetID],tblTargets[DisplayName],"")</f>
        <v>Workshop - Shield For A Hero Lvl 4</v>
      </c>
      <c r="D193" s="29" t="s">
        <v>1330</v>
      </c>
    </row>
    <row r="194" spans="1:4">
      <c r="A194" s="6" t="s">
        <v>2262</v>
      </c>
      <c r="B194" t="str">
        <f>_xlfn.XLOOKUP(tblCostTemp[[#This Row],[TargetID]],tblTargets[TargetID],tblTargets[TargetType],"")</f>
        <v>TECH</v>
      </c>
      <c r="C194" s="6" t="str">
        <f>_xlfn.XLOOKUP(tblCostTemp[[#This Row],[TargetID]],tblTargets[TargetID],tblTargets[DisplayName],"")</f>
        <v>Workshop - Shield For A Hero Lvl 4+</v>
      </c>
      <c r="D194" s="29" t="s">
        <v>1336</v>
      </c>
    </row>
    <row r="195" spans="1:4">
      <c r="A195" s="6" t="s">
        <v>2264</v>
      </c>
      <c r="B195" t="str">
        <f>_xlfn.XLOOKUP(tblCostTemp[[#This Row],[TargetID]],tblTargets[TargetID],tblTargets[TargetType],"")</f>
        <v>TECH</v>
      </c>
      <c r="C195" s="6" t="str">
        <f>_xlfn.XLOOKUP(tblCostTemp[[#This Row],[TargetID]],tblTargets[TargetID],tblTargets[DisplayName],"")</f>
        <v>Workshop - Strong Glue</v>
      </c>
      <c r="D195" s="29" t="s">
        <v>1339</v>
      </c>
    </row>
    <row r="196" spans="1:4">
      <c r="A196" s="6" t="s">
        <v>2266</v>
      </c>
      <c r="B196" t="str">
        <f>_xlfn.XLOOKUP(tblCostTemp[[#This Row],[TargetID]],tblTargets[TargetID],tblTargets[TargetType],"")</f>
        <v>TECH</v>
      </c>
      <c r="C196" s="6" t="str">
        <f>_xlfn.XLOOKUP(tblCostTemp[[#This Row],[TargetID]],tblTargets[TargetID],tblTargets[DisplayName],"")</f>
        <v>Workshop - Mechanism</v>
      </c>
      <c r="D196" s="29" t="s">
        <v>1342</v>
      </c>
    </row>
    <row r="197" spans="1:4">
      <c r="A197" s="6" t="s">
        <v>2268</v>
      </c>
      <c r="B197" t="str">
        <f>_xlfn.XLOOKUP(tblCostTemp[[#This Row],[TargetID]],tblTargets[TargetID],tblTargets[TargetType],"")</f>
        <v>TECH</v>
      </c>
      <c r="C197" s="6" t="str">
        <f>_xlfn.XLOOKUP(tblCostTemp[[#This Row],[TargetID]],tblTargets[TargetID],tblTargets[DisplayName],"")</f>
        <v>Workshop - Mechanical Spider</v>
      </c>
      <c r="D197" s="29" t="s">
        <v>1347</v>
      </c>
    </row>
    <row r="198" spans="1:4">
      <c r="A198" s="6" t="s">
        <v>2270</v>
      </c>
      <c r="B198" t="str">
        <f>_xlfn.XLOOKUP(tblCostTemp[[#This Row],[TargetID]],tblTargets[TargetID],tblTargets[TargetType],"")</f>
        <v>TECH</v>
      </c>
      <c r="C198" s="6" t="str">
        <f>_xlfn.XLOOKUP(tblCostTemp[[#This Row],[TargetID]],tblTargets[TargetID],tblTargets[DisplayName],"")</f>
        <v>Workshop - Explosive Mechanical Spider</v>
      </c>
      <c r="D198" s="29" t="s">
        <v>1352</v>
      </c>
    </row>
    <row r="199" spans="1:4">
      <c r="A199" s="6" t="s">
        <v>2272</v>
      </c>
      <c r="B199" t="str">
        <f>_xlfn.XLOOKUP(tblCostTemp[[#This Row],[TargetID]],tblTargets[TargetID],tblTargets[TargetType],"")</f>
        <v>TECH</v>
      </c>
      <c r="C199" s="6" t="str">
        <f>_xlfn.XLOOKUP(tblCostTemp[[#This Row],[TargetID]],tblTargets[TargetID],tblTargets[DisplayName],"")</f>
        <v>Workshop - Steamobile</v>
      </c>
      <c r="D199" s="29" t="s">
        <v>1355</v>
      </c>
    </row>
    <row r="200" spans="1:4">
      <c r="A200" s="6" t="s">
        <v>2274</v>
      </c>
      <c r="B200" t="str">
        <f>_xlfn.XLOOKUP(tblCostTemp[[#This Row],[TargetID]],tblTargets[TargetID],tblTargets[TargetType],"")</f>
        <v>TECH</v>
      </c>
      <c r="C200" s="6" t="str">
        <f>_xlfn.XLOOKUP(tblCostTemp[[#This Row],[TargetID]],tblTargets[TargetID],tblTargets[DisplayName],"")</f>
        <v>Workshop - Zen Fountain</v>
      </c>
      <c r="D200" s="29" t="s">
        <v>1360</v>
      </c>
    </row>
    <row r="201" spans="1:4">
      <c r="A201" s="6" t="s">
        <v>2276</v>
      </c>
      <c r="B201" t="str">
        <f>_xlfn.XLOOKUP(tblCostTemp[[#This Row],[TargetID]],tblTargets[TargetID],tblTargets[TargetType],"")</f>
        <v>TECH</v>
      </c>
      <c r="C201" s="6" t="str">
        <f>_xlfn.XLOOKUP(tblCostTemp[[#This Row],[TargetID]],tblTargets[TargetID],tblTargets[DisplayName],"")</f>
        <v>Workshop - Conveyor Lvl 1</v>
      </c>
      <c r="D201" s="29" t="s">
        <v>1363</v>
      </c>
    </row>
    <row r="202" spans="1:4">
      <c r="A202" s="6" t="s">
        <v>2278</v>
      </c>
      <c r="B202" t="str">
        <f>_xlfn.XLOOKUP(tblCostTemp[[#This Row],[TargetID]],tblTargets[TargetID],tblTargets[TargetType],"")</f>
        <v>TECH</v>
      </c>
      <c r="C202" s="6" t="str">
        <f>_xlfn.XLOOKUP(tblCostTemp[[#This Row],[TargetID]],tblTargets[TargetID],tblTargets[DisplayName],"")</f>
        <v>Workshop - Conveyor Lvl 2</v>
      </c>
      <c r="D202" s="29" t="s">
        <v>1368</v>
      </c>
    </row>
    <row r="203" spans="1:4">
      <c r="A203" s="6" t="s">
        <v>3608</v>
      </c>
      <c r="B203" t="str">
        <f>_xlfn.XLOOKUP(tblCostTemp[[#This Row],[TargetID]],tblTargets[TargetID],tblTargets[TargetType],"")</f>
        <v>TECH</v>
      </c>
      <c r="C203" s="6" t="str">
        <f>_xlfn.XLOOKUP(tblCostTemp[[#This Row],[TargetID]],tblTargets[TargetID],tblTargets[DisplayName],"")</f>
        <v>Alchemist's Hut - Perfect Fertilizer</v>
      </c>
      <c r="D203" s="29" t="s">
        <v>3654</v>
      </c>
    </row>
    <row r="204" spans="1:4">
      <c r="A204" s="39" t="s">
        <v>5773</v>
      </c>
      <c r="B204" t="str">
        <f>_xlfn.XLOOKUP(tblCostTemp[[#This Row],[TargetID]],tblTargets[TargetID],tblTargets[TargetType],"")</f>
        <v>TECH</v>
      </c>
      <c r="C204" s="6" t="str">
        <f>_xlfn.XLOOKUP(tblCostTemp[[#This Row],[TargetID]],tblTargets[TargetID],tblTargets[DisplayName],"")</f>
        <v>Windmill -  Bone Meal</v>
      </c>
      <c r="D204" s="40" t="s">
        <v>3655</v>
      </c>
    </row>
    <row r="205" spans="1:4">
      <c r="A205" s="6" t="s">
        <v>2562</v>
      </c>
      <c r="B205" t="str">
        <f>_xlfn.XLOOKUP(tblCostTemp[[#This Row],[TargetID]],tblTargets[TargetID],tblTargets[TargetType],"")</f>
        <v>CITADEL</v>
      </c>
      <c r="C205" s="6" t="str">
        <f>_xlfn.XLOOKUP(tblCostTemp[[#This Row],[TargetID]],tblTargets[TargetID],tblTargets[DisplayName],"")</f>
        <v>Armory</v>
      </c>
      <c r="D205" s="29" t="s">
        <v>1685</v>
      </c>
    </row>
    <row r="206" spans="1:4">
      <c r="A206" s="6" t="s">
        <v>2564</v>
      </c>
      <c r="B206" t="str">
        <f>_xlfn.XLOOKUP(tblCostTemp[[#This Row],[TargetID]],tblTargets[TargetID],tblTargets[TargetType],"")</f>
        <v>CITADEL</v>
      </c>
      <c r="C206" s="6" t="str">
        <f>_xlfn.XLOOKUP(tblCostTemp[[#This Row],[TargetID]],tblTargets[TargetID],tblTargets[DisplayName],"")</f>
        <v>Attic</v>
      </c>
      <c r="D206" s="29" t="s">
        <v>1688</v>
      </c>
    </row>
    <row r="207" spans="1:4">
      <c r="A207" s="6" t="s">
        <v>2565</v>
      </c>
      <c r="B207" t="str">
        <f>_xlfn.XLOOKUP(tblCostTemp[[#This Row],[TargetID]],tblTargets[TargetID],tblTargets[TargetType],"")</f>
        <v>CITADEL</v>
      </c>
      <c r="C207" s="6" t="str">
        <f>_xlfn.XLOOKUP(tblCostTemp[[#This Row],[TargetID]],tblTargets[TargetID],tblTargets[DisplayName],"")</f>
        <v>Cheese Cave</v>
      </c>
      <c r="D207" s="29" t="s">
        <v>1692</v>
      </c>
    </row>
    <row r="208" spans="1:4">
      <c r="A208" s="6" t="s">
        <v>2566</v>
      </c>
      <c r="B208" t="str">
        <f>_xlfn.XLOOKUP(tblCostTemp[[#This Row],[TargetID]],tblTargets[TargetID],tblTargets[TargetType],"")</f>
        <v>CITADEL</v>
      </c>
      <c r="C208" s="6" t="str">
        <f>_xlfn.XLOOKUP(tblCostTemp[[#This Row],[TargetID]],tblTargets[TargetID],tblTargets[DisplayName],"")</f>
        <v>Courtyard</v>
      </c>
      <c r="D208" s="29" t="s">
        <v>1694</v>
      </c>
    </row>
    <row r="209" spans="1:4">
      <c r="A209" s="6" t="s">
        <v>2567</v>
      </c>
      <c r="B209" t="str">
        <f>_xlfn.XLOOKUP(tblCostTemp[[#This Row],[TargetID]],tblTargets[TargetID],tblTargets[TargetType],"")</f>
        <v>CITADEL</v>
      </c>
      <c r="C209" s="6" t="str">
        <f>_xlfn.XLOOKUP(tblCostTemp[[#This Row],[TargetID]],tblTargets[TargetID],tblTargets[DisplayName],"")</f>
        <v>Gallery</v>
      </c>
      <c r="D209" s="29" t="s">
        <v>1685</v>
      </c>
    </row>
    <row r="210" spans="1:4">
      <c r="A210" s="6" t="s">
        <v>2568</v>
      </c>
      <c r="B210" t="str">
        <f>_xlfn.XLOOKUP(tblCostTemp[[#This Row],[TargetID]],tblTargets[TargetID],tblTargets[TargetType],"")</f>
        <v>CITADEL</v>
      </c>
      <c r="C210" s="6" t="str">
        <f>_xlfn.XLOOKUP(tblCostTemp[[#This Row],[TargetID]],tblTargets[TargetID],tblTargets[DisplayName],"")</f>
        <v>Great Hall</v>
      </c>
      <c r="D210" s="29" t="s">
        <v>1697</v>
      </c>
    </row>
    <row r="211" spans="1:4">
      <c r="A211" s="6" t="s">
        <v>2569</v>
      </c>
      <c r="B211" t="str">
        <f>_xlfn.XLOOKUP(tblCostTemp[[#This Row],[TargetID]],tblTargets[TargetID],tblTargets[TargetType],"")</f>
        <v>CITADEL</v>
      </c>
      <c r="C211" s="6" t="str">
        <f>_xlfn.XLOOKUP(tblCostTemp[[#This Row],[TargetID]],tblTargets[TargetID],tblTargets[DisplayName],"")</f>
        <v>Kitchen and Buttery</v>
      </c>
      <c r="D211" s="29" t="s">
        <v>1688</v>
      </c>
    </row>
    <row r="212" spans="1:4">
      <c r="A212" s="6" t="s">
        <v>2570</v>
      </c>
      <c r="B212" t="str">
        <f>_xlfn.XLOOKUP(tblCostTemp[[#This Row],[TargetID]],tblTargets[TargetID],tblTargets[TargetType],"")</f>
        <v>CITADEL</v>
      </c>
      <c r="C212" s="6" t="str">
        <f>_xlfn.XLOOKUP(tblCostTemp[[#This Row],[TargetID]],tblTargets[TargetID],tblTargets[DisplayName],"")</f>
        <v>Lair lvl. 1</v>
      </c>
      <c r="D212" s="29" t="s">
        <v>1704</v>
      </c>
    </row>
    <row r="213" spans="1:4">
      <c r="A213" s="6" t="s">
        <v>2571</v>
      </c>
      <c r="B213" t="str">
        <f>_xlfn.XLOOKUP(tblCostTemp[[#This Row],[TargetID]],tblTargets[TargetID],tblTargets[TargetType],"")</f>
        <v>CITADEL</v>
      </c>
      <c r="C213" s="6" t="str">
        <f>_xlfn.XLOOKUP(tblCostTemp[[#This Row],[TargetID]],tblTargets[TargetID],tblTargets[DisplayName],"")</f>
        <v>Lair lvl. 2</v>
      </c>
      <c r="D213" s="29" t="s">
        <v>1706</v>
      </c>
    </row>
    <row r="214" spans="1:4">
      <c r="A214" s="6" t="s">
        <v>2572</v>
      </c>
      <c r="B214" t="str">
        <f>_xlfn.XLOOKUP(tblCostTemp[[#This Row],[TargetID]],tblTargets[TargetID],tblTargets[TargetType],"")</f>
        <v>CITADEL</v>
      </c>
      <c r="C214" s="6" t="str">
        <f>_xlfn.XLOOKUP(tblCostTemp[[#This Row],[TargetID]],tblTargets[TargetID],tblTargets[DisplayName],"")</f>
        <v>Mushroom Farm</v>
      </c>
      <c r="D214" s="29" t="s">
        <v>1688</v>
      </c>
    </row>
    <row r="215" spans="1:4">
      <c r="A215" s="6" t="s">
        <v>2573</v>
      </c>
      <c r="B215" t="str">
        <f>_xlfn.XLOOKUP(tblCostTemp[[#This Row],[TargetID]],tblTargets[TargetID],tblTargets[TargetType],"")</f>
        <v>CITADEL</v>
      </c>
      <c r="C215" s="6" t="str">
        <f>_xlfn.XLOOKUP(tblCostTemp[[#This Row],[TargetID]],tblTargets[TargetID],tblTargets[DisplayName],"")</f>
        <v>Orangery</v>
      </c>
      <c r="D215" s="29" t="s">
        <v>1688</v>
      </c>
    </row>
    <row r="216" spans="1:4">
      <c r="A216" s="6" t="s">
        <v>2574</v>
      </c>
      <c r="B216" t="str">
        <f>_xlfn.XLOOKUP(tblCostTemp[[#This Row],[TargetID]],tblTargets[TargetID],tblTargets[TargetType],"")</f>
        <v>CITADEL</v>
      </c>
      <c r="C216" s="6" t="str">
        <f>_xlfn.XLOOKUP(tblCostTemp[[#This Row],[TargetID]],tblTargets[TargetID],tblTargets[DisplayName],"")</f>
        <v>Pantry</v>
      </c>
      <c r="D216" s="29" t="s">
        <v>1688</v>
      </c>
    </row>
    <row r="217" spans="1:4">
      <c r="A217" s="6" t="s">
        <v>2575</v>
      </c>
      <c r="B217" t="str">
        <f>_xlfn.XLOOKUP(tblCostTemp[[#This Row],[TargetID]],tblTargets[TargetID],tblTargets[TargetType],"")</f>
        <v>CITADEL</v>
      </c>
      <c r="C217" s="6" t="str">
        <f>_xlfn.XLOOKUP(tblCostTemp[[#This Row],[TargetID]],tblTargets[TargetID],tblTargets[DisplayName],"")</f>
        <v>Tavern</v>
      </c>
      <c r="D217" s="29" t="s">
        <v>1688</v>
      </c>
    </row>
    <row r="218" spans="1:4">
      <c r="A218" s="39" t="s">
        <v>2576</v>
      </c>
      <c r="B218" t="str">
        <f>_xlfn.XLOOKUP(tblCostTemp[[#This Row],[TargetID]],tblTargets[TargetID],tblTargets[TargetType],"")</f>
        <v>CITADEL</v>
      </c>
      <c r="C218" s="6" t="str">
        <f>_xlfn.XLOOKUP(tblCostTemp[[#This Row],[TargetID]],tblTargets[TargetID],tblTargets[DisplayName],"")</f>
        <v>Treasury</v>
      </c>
      <c r="D218" s="40" t="s">
        <v>1715</v>
      </c>
    </row>
    <row r="219" spans="1:4" ht="29">
      <c r="A219" s="6" t="s">
        <v>2577</v>
      </c>
      <c r="B219" t="str">
        <f>_xlfn.XLOOKUP(tblCostTemp[[#This Row],[TargetID]],tblTargets[TargetID],tblTargets[TargetType],"")</f>
        <v>COLLECTION</v>
      </c>
      <c r="C219" s="6" t="str">
        <f>_xlfn.XLOOKUP(tblCostTemp[[#This Row],[TargetID]],tblTargets[TargetID],tblTargets[DisplayName],"")</f>
        <v>Armory 1 Lv 1</v>
      </c>
      <c r="D219" s="2" t="s">
        <v>1850</v>
      </c>
    </row>
    <row r="220" spans="1:4" ht="29">
      <c r="A220" s="6" t="s">
        <v>2579</v>
      </c>
      <c r="B220" t="str">
        <f>_xlfn.XLOOKUP(tblCostTemp[[#This Row],[TargetID]],tblTargets[TargetID],tblTargets[TargetType],"")</f>
        <v>COLLECTION</v>
      </c>
      <c r="C220" s="6" t="str">
        <f>_xlfn.XLOOKUP(tblCostTemp[[#This Row],[TargetID]],tblTargets[TargetID],tblTargets[DisplayName],"")</f>
        <v>Armory 1 Lv 2</v>
      </c>
      <c r="D220" s="2" t="s">
        <v>1851</v>
      </c>
    </row>
    <row r="221" spans="1:4" ht="29">
      <c r="A221" s="6" t="s">
        <v>2580</v>
      </c>
      <c r="B221" t="str">
        <f>_xlfn.XLOOKUP(tblCostTemp[[#This Row],[TargetID]],tblTargets[TargetID],tblTargets[TargetType],"")</f>
        <v>COLLECTION</v>
      </c>
      <c r="C221" s="6" t="str">
        <f>_xlfn.XLOOKUP(tblCostTemp[[#This Row],[TargetID]],tblTargets[TargetID],tblTargets[DisplayName],"")</f>
        <v>Armory 1 Lv 3</v>
      </c>
      <c r="D221" s="2" t="s">
        <v>1852</v>
      </c>
    </row>
    <row r="222" spans="1:4">
      <c r="A222" s="6" t="s">
        <v>2581</v>
      </c>
      <c r="B222" t="str">
        <f>_xlfn.XLOOKUP(tblCostTemp[[#This Row],[TargetID]],tblTargets[TargetID],tblTargets[TargetType],"")</f>
        <v>COLLECTION</v>
      </c>
      <c r="C222" s="6" t="str">
        <f>_xlfn.XLOOKUP(tblCostTemp[[#This Row],[TargetID]],tblTargets[TargetID],tblTargets[DisplayName],"")</f>
        <v>Armory 2 Lv 1</v>
      </c>
      <c r="D222" s="2" t="s">
        <v>1853</v>
      </c>
    </row>
    <row r="223" spans="1:4">
      <c r="A223" s="6" t="s">
        <v>2582</v>
      </c>
      <c r="B223" t="str">
        <f>_xlfn.XLOOKUP(tblCostTemp[[#This Row],[TargetID]],tblTargets[TargetID],tblTargets[TargetType],"")</f>
        <v>COLLECTION</v>
      </c>
      <c r="C223" s="6" t="str">
        <f>_xlfn.XLOOKUP(tblCostTemp[[#This Row],[TargetID]],tblTargets[TargetID],tblTargets[DisplayName],"")</f>
        <v>Attic Lv 1</v>
      </c>
      <c r="D223" s="2" t="s">
        <v>1854</v>
      </c>
    </row>
    <row r="224" spans="1:4">
      <c r="A224" s="6" t="s">
        <v>2583</v>
      </c>
      <c r="B224" t="str">
        <f>_xlfn.XLOOKUP(tblCostTemp[[#This Row],[TargetID]],tblTargets[TargetID],tblTargets[TargetType],"")</f>
        <v>COLLECTION</v>
      </c>
      <c r="C224" s="6" t="str">
        <f>_xlfn.XLOOKUP(tblCostTemp[[#This Row],[TargetID]],tblTargets[TargetID],tblTargets[DisplayName],"")</f>
        <v>Attic Lv 2</v>
      </c>
      <c r="D224" s="2" t="s">
        <v>1855</v>
      </c>
    </row>
    <row r="225" spans="1:4">
      <c r="A225" s="6" t="s">
        <v>2584</v>
      </c>
      <c r="B225" t="str">
        <f>_xlfn.XLOOKUP(tblCostTemp[[#This Row],[TargetID]],tblTargets[TargetID],tblTargets[TargetType],"")</f>
        <v>COLLECTION</v>
      </c>
      <c r="C225" s="6" t="str">
        <f>_xlfn.XLOOKUP(tblCostTemp[[#This Row],[TargetID]],tblTargets[TargetID],tblTargets[DisplayName],"")</f>
        <v>Attic Lv 3</v>
      </c>
      <c r="D225" s="2" t="s">
        <v>1856</v>
      </c>
    </row>
    <row r="226" spans="1:4">
      <c r="A226" s="6" t="s">
        <v>2585</v>
      </c>
      <c r="B226" t="str">
        <f>_xlfn.XLOOKUP(tblCostTemp[[#This Row],[TargetID]],tblTargets[TargetID],tblTargets[TargetType],"")</f>
        <v>COLLECTION</v>
      </c>
      <c r="C226" s="6" t="str">
        <f>_xlfn.XLOOKUP(tblCostTemp[[#This Row],[TargetID]],tblTargets[TargetID],tblTargets[DisplayName],"")</f>
        <v>Attic Lv 4</v>
      </c>
      <c r="D226" s="2" t="s">
        <v>1857</v>
      </c>
    </row>
    <row r="227" spans="1:4">
      <c r="A227" s="6" t="s">
        <v>2586</v>
      </c>
      <c r="B227" t="str">
        <f>_xlfn.XLOOKUP(tblCostTemp[[#This Row],[TargetID]],tblTargets[TargetID],tblTargets[TargetType],"")</f>
        <v>COLLECTION</v>
      </c>
      <c r="C227" s="6" t="str">
        <f>_xlfn.XLOOKUP(tblCostTemp[[#This Row],[TargetID]],tblTargets[TargetID],tblTargets[DisplayName],"")</f>
        <v>Attic Lv 5</v>
      </c>
      <c r="D227" s="2" t="s">
        <v>1858</v>
      </c>
    </row>
    <row r="228" spans="1:4" ht="29">
      <c r="A228" s="6" t="s">
        <v>2587</v>
      </c>
      <c r="B228" t="str">
        <f>_xlfn.XLOOKUP(tblCostTemp[[#This Row],[TargetID]],tblTargets[TargetID],tblTargets[TargetType],"")</f>
        <v>COLLECTION</v>
      </c>
      <c r="C228" s="6" t="str">
        <f>_xlfn.XLOOKUP(tblCostTemp[[#This Row],[TargetID]],tblTargets[TargetID],tblTargets[DisplayName],"")</f>
        <v>Courtyard 1 Lv 1</v>
      </c>
      <c r="D228" s="2" t="s">
        <v>1859</v>
      </c>
    </row>
    <row r="229" spans="1:4" ht="29">
      <c r="A229" s="6" t="s">
        <v>2588</v>
      </c>
      <c r="B229" t="str">
        <f>_xlfn.XLOOKUP(tblCostTemp[[#This Row],[TargetID]],tblTargets[TargetID],tblTargets[TargetType],"")</f>
        <v>COLLECTION</v>
      </c>
      <c r="C229" s="6" t="str">
        <f>_xlfn.XLOOKUP(tblCostTemp[[#This Row],[TargetID]],tblTargets[TargetID],tblTargets[DisplayName],"")</f>
        <v>Courtyard 1 Lv 2</v>
      </c>
      <c r="D229" s="2" t="s">
        <v>1860</v>
      </c>
    </row>
    <row r="230" spans="1:4">
      <c r="A230" s="6" t="s">
        <v>2589</v>
      </c>
      <c r="B230" t="str">
        <f>_xlfn.XLOOKUP(tblCostTemp[[#This Row],[TargetID]],tblTargets[TargetID],tblTargets[TargetType],"")</f>
        <v>COLLECTION</v>
      </c>
      <c r="C230" s="6" t="str">
        <f>_xlfn.XLOOKUP(tblCostTemp[[#This Row],[TargetID]],tblTargets[TargetID],tblTargets[DisplayName],"")</f>
        <v>Courtyard 2 Lv 1</v>
      </c>
      <c r="D230" s="2" t="s">
        <v>1861</v>
      </c>
    </row>
    <row r="231" spans="1:4">
      <c r="A231" s="6" t="s">
        <v>2590</v>
      </c>
      <c r="B231" t="str">
        <f>_xlfn.XLOOKUP(tblCostTemp[[#This Row],[TargetID]],tblTargets[TargetID],tblTargets[TargetType],"")</f>
        <v>COLLECTION</v>
      </c>
      <c r="C231" s="6" t="str">
        <f>_xlfn.XLOOKUP(tblCostTemp[[#This Row],[TargetID]],tblTargets[TargetID],tblTargets[DisplayName],"")</f>
        <v>Gallery 1 Lv 1</v>
      </c>
      <c r="D231" s="2" t="s">
        <v>1862</v>
      </c>
    </row>
    <row r="232" spans="1:4">
      <c r="A232" s="6" t="s">
        <v>2591</v>
      </c>
      <c r="B232" t="str">
        <f>_xlfn.XLOOKUP(tblCostTemp[[#This Row],[TargetID]],tblTargets[TargetID],tblTargets[TargetType],"")</f>
        <v>COLLECTION</v>
      </c>
      <c r="C232" s="6" t="str">
        <f>_xlfn.XLOOKUP(tblCostTemp[[#This Row],[TargetID]],tblTargets[TargetID],tblTargets[DisplayName],"")</f>
        <v>Gallery 1 Lv 2</v>
      </c>
      <c r="D232" s="2" t="s">
        <v>1863</v>
      </c>
    </row>
    <row r="233" spans="1:4">
      <c r="A233" s="6" t="s">
        <v>2592</v>
      </c>
      <c r="B233" t="str">
        <f>_xlfn.XLOOKUP(tblCostTemp[[#This Row],[TargetID]],tblTargets[TargetID],tblTargets[TargetType],"")</f>
        <v>COLLECTION</v>
      </c>
      <c r="C233" s="6" t="str">
        <f>_xlfn.XLOOKUP(tblCostTemp[[#This Row],[TargetID]],tblTargets[TargetID],tblTargets[DisplayName],"")</f>
        <v>Gallery 1 Lv 3</v>
      </c>
      <c r="D233" s="2" t="s">
        <v>1864</v>
      </c>
    </row>
    <row r="234" spans="1:4">
      <c r="A234" s="6" t="s">
        <v>2593</v>
      </c>
      <c r="B234" t="str">
        <f>_xlfn.XLOOKUP(tblCostTemp[[#This Row],[TargetID]],tblTargets[TargetID],tblTargets[TargetType],"")</f>
        <v>COLLECTION</v>
      </c>
      <c r="C234" s="6" t="str">
        <f>_xlfn.XLOOKUP(tblCostTemp[[#This Row],[TargetID]],tblTargets[TargetID],tblTargets[DisplayName],"")</f>
        <v>Gallery 1 Lv 4</v>
      </c>
      <c r="D234" s="2" t="s">
        <v>1865</v>
      </c>
    </row>
    <row r="235" spans="1:4">
      <c r="A235" s="6" t="s">
        <v>2594</v>
      </c>
      <c r="B235" t="str">
        <f>_xlfn.XLOOKUP(tblCostTemp[[#This Row],[TargetID]],tblTargets[TargetID],tblTargets[TargetType],"")</f>
        <v>COLLECTION</v>
      </c>
      <c r="C235" s="6" t="str">
        <f>_xlfn.XLOOKUP(tblCostTemp[[#This Row],[TargetID]],tblTargets[TargetID],tblTargets[DisplayName],"")</f>
        <v>Gallery 1 Lv 5</v>
      </c>
      <c r="D235" s="2" t="s">
        <v>1866</v>
      </c>
    </row>
    <row r="236" spans="1:4">
      <c r="A236" s="6" t="s">
        <v>2595</v>
      </c>
      <c r="B236" t="str">
        <f>_xlfn.XLOOKUP(tblCostTemp[[#This Row],[TargetID]],tblTargets[TargetID],tblTargets[TargetType],"")</f>
        <v>COLLECTION</v>
      </c>
      <c r="C236" s="6" t="str">
        <f>_xlfn.XLOOKUP(tblCostTemp[[#This Row],[TargetID]],tblTargets[TargetID],tblTargets[DisplayName],"")</f>
        <v>Gallery 2 Lv 1</v>
      </c>
      <c r="D236" s="2" t="s">
        <v>1867</v>
      </c>
    </row>
    <row r="237" spans="1:4">
      <c r="A237" s="6" t="s">
        <v>2596</v>
      </c>
      <c r="B237" t="str">
        <f>_xlfn.XLOOKUP(tblCostTemp[[#This Row],[TargetID]],tblTargets[TargetID],tblTargets[TargetType],"")</f>
        <v>COLLECTION</v>
      </c>
      <c r="C237" s="6" t="str">
        <f>_xlfn.XLOOKUP(tblCostTemp[[#This Row],[TargetID]],tblTargets[TargetID],tblTargets[DisplayName],"")</f>
        <v>Gallery 2 Lv 2</v>
      </c>
      <c r="D237" s="2" t="s">
        <v>1868</v>
      </c>
    </row>
    <row r="238" spans="1:4">
      <c r="A238" s="6" t="s">
        <v>2597</v>
      </c>
      <c r="B238" t="str">
        <f>_xlfn.XLOOKUP(tblCostTemp[[#This Row],[TargetID]],tblTargets[TargetID],tblTargets[TargetType],"")</f>
        <v>COLLECTION</v>
      </c>
      <c r="C238" s="6" t="str">
        <f>_xlfn.XLOOKUP(tblCostTemp[[#This Row],[TargetID]],tblTargets[TargetID],tblTargets[DisplayName],"")</f>
        <v>Gallery 2 Lv 3</v>
      </c>
      <c r="D238" s="2" t="s">
        <v>1869</v>
      </c>
    </row>
    <row r="239" spans="1:4">
      <c r="A239" s="6" t="s">
        <v>2598</v>
      </c>
      <c r="B239" t="str">
        <f>_xlfn.XLOOKUP(tblCostTemp[[#This Row],[TargetID]],tblTargets[TargetID],tblTargets[TargetType],"")</f>
        <v>COLLECTION</v>
      </c>
      <c r="C239" s="6" t="str">
        <f>_xlfn.XLOOKUP(tblCostTemp[[#This Row],[TargetID]],tblTargets[TargetID],tblTargets[DisplayName],"")</f>
        <v>Gallery 2 Lv 4</v>
      </c>
      <c r="D239" s="2" t="s">
        <v>1870</v>
      </c>
    </row>
    <row r="240" spans="1:4">
      <c r="A240" s="6" t="s">
        <v>2599</v>
      </c>
      <c r="B240" t="str">
        <f>_xlfn.XLOOKUP(tblCostTemp[[#This Row],[TargetID]],tblTargets[TargetID],tblTargets[TargetType],"")</f>
        <v>COLLECTION</v>
      </c>
      <c r="C240" s="6" t="str">
        <f>_xlfn.XLOOKUP(tblCostTemp[[#This Row],[TargetID]],tblTargets[TargetID],tblTargets[DisplayName],"")</f>
        <v>Gallery 2 Lv 5</v>
      </c>
      <c r="D240" s="2" t="s">
        <v>1871</v>
      </c>
    </row>
    <row r="241" spans="1:4">
      <c r="A241" s="6" t="s">
        <v>2600</v>
      </c>
      <c r="B241" t="str">
        <f>_xlfn.XLOOKUP(tblCostTemp[[#This Row],[TargetID]],tblTargets[TargetID],tblTargets[TargetType],"")</f>
        <v>COLLECTION</v>
      </c>
      <c r="C241" s="6" t="str">
        <f>_xlfn.XLOOKUP(tblCostTemp[[#This Row],[TargetID]],tblTargets[TargetID],tblTargets[DisplayName],"")</f>
        <v>Gallery 3 Lv 1</v>
      </c>
      <c r="D241" s="2" t="s">
        <v>1872</v>
      </c>
    </row>
    <row r="242" spans="1:4">
      <c r="A242" s="6" t="s">
        <v>2601</v>
      </c>
      <c r="B242" t="str">
        <f>_xlfn.XLOOKUP(tblCostTemp[[#This Row],[TargetID]],tblTargets[TargetID],tblTargets[TargetType],"")</f>
        <v>COLLECTION</v>
      </c>
      <c r="C242" s="6" t="str">
        <f>_xlfn.XLOOKUP(tblCostTemp[[#This Row],[TargetID]],tblTargets[TargetID],tblTargets[DisplayName],"")</f>
        <v>Gallery 3 Lv 2</v>
      </c>
      <c r="D242" s="2" t="s">
        <v>1873</v>
      </c>
    </row>
    <row r="243" spans="1:4">
      <c r="A243" s="6" t="s">
        <v>2602</v>
      </c>
      <c r="B243" t="str">
        <f>_xlfn.XLOOKUP(tblCostTemp[[#This Row],[TargetID]],tblTargets[TargetID],tblTargets[TargetType],"")</f>
        <v>COLLECTION</v>
      </c>
      <c r="C243" s="6" t="str">
        <f>_xlfn.XLOOKUP(tblCostTemp[[#This Row],[TargetID]],tblTargets[TargetID],tblTargets[DisplayName],"")</f>
        <v>Gallery 3 Lv 3</v>
      </c>
      <c r="D243" s="2" t="s">
        <v>1874</v>
      </c>
    </row>
    <row r="244" spans="1:4">
      <c r="A244" s="6" t="s">
        <v>2603</v>
      </c>
      <c r="B244" t="str">
        <f>_xlfn.XLOOKUP(tblCostTemp[[#This Row],[TargetID]],tblTargets[TargetID],tblTargets[TargetType],"")</f>
        <v>COLLECTION</v>
      </c>
      <c r="C244" s="6" t="str">
        <f>_xlfn.XLOOKUP(tblCostTemp[[#This Row],[TargetID]],tblTargets[TargetID],tblTargets[DisplayName],"")</f>
        <v>Gallery 3 Lv 4</v>
      </c>
      <c r="D244" s="2" t="s">
        <v>1875</v>
      </c>
    </row>
    <row r="245" spans="1:4">
      <c r="A245" s="6" t="s">
        <v>2604</v>
      </c>
      <c r="B245" t="str">
        <f>_xlfn.XLOOKUP(tblCostTemp[[#This Row],[TargetID]],tblTargets[TargetID],tblTargets[TargetType],"")</f>
        <v>COLLECTION</v>
      </c>
      <c r="C245" s="6" t="str">
        <f>_xlfn.XLOOKUP(tblCostTemp[[#This Row],[TargetID]],tblTargets[TargetID],tblTargets[DisplayName],"")</f>
        <v>Gallery 3 Lv 5</v>
      </c>
      <c r="D245" s="2" t="s">
        <v>1876</v>
      </c>
    </row>
    <row r="246" spans="1:4">
      <c r="A246" s="6" t="s">
        <v>2605</v>
      </c>
      <c r="B246" t="str">
        <f>_xlfn.XLOOKUP(tblCostTemp[[#This Row],[TargetID]],tblTargets[TargetID],tblTargets[TargetType],"")</f>
        <v>COLLECTION</v>
      </c>
      <c r="C246" s="6" t="str">
        <f>_xlfn.XLOOKUP(tblCostTemp[[#This Row],[TargetID]],tblTargets[TargetID],tblTargets[DisplayName],"")</f>
        <v>Historical Library 1 Lv 1</v>
      </c>
      <c r="D246" s="2" t="s">
        <v>1877</v>
      </c>
    </row>
    <row r="247" spans="1:4">
      <c r="A247" s="6" t="s">
        <v>2606</v>
      </c>
      <c r="B247" t="str">
        <f>_xlfn.XLOOKUP(tblCostTemp[[#This Row],[TargetID]],tblTargets[TargetID],tblTargets[TargetType],"")</f>
        <v>COLLECTION</v>
      </c>
      <c r="C247" s="6" t="str">
        <f>_xlfn.XLOOKUP(tblCostTemp[[#This Row],[TargetID]],tblTargets[TargetID],tblTargets[DisplayName],"")</f>
        <v>Historical Library 1 Lv 2</v>
      </c>
      <c r="D247" s="2" t="s">
        <v>1878</v>
      </c>
    </row>
    <row r="248" spans="1:4">
      <c r="A248" s="6" t="s">
        <v>2607</v>
      </c>
      <c r="B248" t="str">
        <f>_xlfn.XLOOKUP(tblCostTemp[[#This Row],[TargetID]],tblTargets[TargetID],tblTargets[TargetType],"")</f>
        <v>COLLECTION</v>
      </c>
      <c r="C248" s="6" t="str">
        <f>_xlfn.XLOOKUP(tblCostTemp[[#This Row],[TargetID]],tblTargets[TargetID],tblTargets[DisplayName],"")</f>
        <v>Historical Library 1 Lv 3</v>
      </c>
      <c r="D248" s="2" t="s">
        <v>1879</v>
      </c>
    </row>
    <row r="249" spans="1:4">
      <c r="A249" s="6" t="s">
        <v>2608</v>
      </c>
      <c r="B249" t="str">
        <f>_xlfn.XLOOKUP(tblCostTemp[[#This Row],[TargetID]],tblTargets[TargetID],tblTargets[TargetType],"")</f>
        <v>COLLECTION</v>
      </c>
      <c r="C249" s="6" t="str">
        <f>_xlfn.XLOOKUP(tblCostTemp[[#This Row],[TargetID]],tblTargets[TargetID],tblTargets[DisplayName],"")</f>
        <v>Historical Library 2 Lv 1</v>
      </c>
      <c r="D249" s="2" t="s">
        <v>1880</v>
      </c>
    </row>
    <row r="250" spans="1:4">
      <c r="A250" s="6" t="s">
        <v>2609</v>
      </c>
      <c r="B250" t="str">
        <f>_xlfn.XLOOKUP(tblCostTemp[[#This Row],[TargetID]],tblTargets[TargetID],tblTargets[TargetType],"")</f>
        <v>COLLECTION</v>
      </c>
      <c r="C250" s="6" t="str">
        <f>_xlfn.XLOOKUP(tblCostTemp[[#This Row],[TargetID]],tblTargets[TargetID],tblTargets[DisplayName],"")</f>
        <v>Historical Library 2 Lv 2</v>
      </c>
      <c r="D250" s="2" t="s">
        <v>1881</v>
      </c>
    </row>
    <row r="251" spans="1:4">
      <c r="A251" s="6" t="s">
        <v>2610</v>
      </c>
      <c r="B251" t="str">
        <f>_xlfn.XLOOKUP(tblCostTemp[[#This Row],[TargetID]],tblTargets[TargetID],tblTargets[TargetType],"")</f>
        <v>COLLECTION</v>
      </c>
      <c r="C251" s="6" t="str">
        <f>_xlfn.XLOOKUP(tblCostTemp[[#This Row],[TargetID]],tblTargets[TargetID],tblTargets[DisplayName],"")</f>
        <v>Historical Library 2 Lv 3</v>
      </c>
      <c r="D251" s="2" t="s">
        <v>1882</v>
      </c>
    </row>
    <row r="252" spans="1:4">
      <c r="A252" s="6" t="s">
        <v>2611</v>
      </c>
      <c r="B252" t="str">
        <f>_xlfn.XLOOKUP(tblCostTemp[[#This Row],[TargetID]],tblTargets[TargetID],tblTargets[TargetType],"")</f>
        <v>COLLECTION</v>
      </c>
      <c r="C252" s="6" t="str">
        <f>_xlfn.XLOOKUP(tblCostTemp[[#This Row],[TargetID]],tblTargets[TargetID],tblTargets[DisplayName],"")</f>
        <v>Horse Lv 1</v>
      </c>
      <c r="D252" s="2" t="s">
        <v>1883</v>
      </c>
    </row>
    <row r="253" spans="1:4" ht="29">
      <c r="A253" s="6" t="s">
        <v>2612</v>
      </c>
      <c r="B253" t="str">
        <f>_xlfn.XLOOKUP(tblCostTemp[[#This Row],[TargetID]],tblTargets[TargetID],tblTargets[TargetType],"")</f>
        <v>COLLECTION</v>
      </c>
      <c r="C253" s="6" t="str">
        <f>_xlfn.XLOOKUP(tblCostTemp[[#This Row],[TargetID]],tblTargets[TargetID],tblTargets[DisplayName],"")</f>
        <v>Kitchen And Buttery 1 Lv 1</v>
      </c>
      <c r="D253" s="2" t="s">
        <v>1884</v>
      </c>
    </row>
    <row r="254" spans="1:4" ht="29">
      <c r="A254" s="6" t="s">
        <v>2613</v>
      </c>
      <c r="B254" t="str">
        <f>_xlfn.XLOOKUP(tblCostTemp[[#This Row],[TargetID]],tblTargets[TargetID],tblTargets[TargetType],"")</f>
        <v>COLLECTION</v>
      </c>
      <c r="C254" s="6" t="str">
        <f>_xlfn.XLOOKUP(tblCostTemp[[#This Row],[TargetID]],tblTargets[TargetID],tblTargets[DisplayName],"")</f>
        <v>Kitchen And Buttery 1 Lv 2</v>
      </c>
      <c r="D254" s="2" t="s">
        <v>1885</v>
      </c>
    </row>
    <row r="255" spans="1:4" ht="29">
      <c r="A255" s="6" t="s">
        <v>2614</v>
      </c>
      <c r="B255" t="str">
        <f>_xlfn.XLOOKUP(tblCostTemp[[#This Row],[TargetID]],tblTargets[TargetID],tblTargets[TargetType],"")</f>
        <v>COLLECTION</v>
      </c>
      <c r="C255" s="6" t="str">
        <f>_xlfn.XLOOKUP(tblCostTemp[[#This Row],[TargetID]],tblTargets[TargetID],tblTargets[DisplayName],"")</f>
        <v>Kitchen And Buttery 1 Lv 3</v>
      </c>
      <c r="D255" s="2" t="s">
        <v>1886</v>
      </c>
    </row>
    <row r="256" spans="1:4" ht="29">
      <c r="A256" s="6" t="s">
        <v>2615</v>
      </c>
      <c r="B256" t="str">
        <f>_xlfn.XLOOKUP(tblCostTemp[[#This Row],[TargetID]],tblTargets[TargetID],tblTargets[TargetType],"")</f>
        <v>COLLECTION</v>
      </c>
      <c r="C256" s="6" t="str">
        <f>_xlfn.XLOOKUP(tblCostTemp[[#This Row],[TargetID]],tblTargets[TargetID],tblTargets[DisplayName],"")</f>
        <v>Kitchen And Buttery 1 Lv 4</v>
      </c>
      <c r="D256" s="2" t="s">
        <v>1887</v>
      </c>
    </row>
    <row r="257" spans="1:4" ht="29">
      <c r="A257" s="6" t="s">
        <v>2616</v>
      </c>
      <c r="B257" t="str">
        <f>_xlfn.XLOOKUP(tblCostTemp[[#This Row],[TargetID]],tblTargets[TargetID],tblTargets[TargetType],"")</f>
        <v>COLLECTION</v>
      </c>
      <c r="C257" s="6" t="str">
        <f>_xlfn.XLOOKUP(tblCostTemp[[#This Row],[TargetID]],tblTargets[TargetID],tblTargets[DisplayName],"")</f>
        <v>Kitchen And Buttery 1 Lv 5</v>
      </c>
      <c r="D257" s="2" t="s">
        <v>1888</v>
      </c>
    </row>
    <row r="258" spans="1:4">
      <c r="A258" s="6" t="s">
        <v>2617</v>
      </c>
      <c r="B258" t="str">
        <f>_xlfn.XLOOKUP(tblCostTemp[[#This Row],[TargetID]],tblTargets[TargetID],tblTargets[TargetType],"")</f>
        <v>COLLECTION</v>
      </c>
      <c r="C258" s="6" t="str">
        <f>_xlfn.XLOOKUP(tblCostTemp[[#This Row],[TargetID]],tblTargets[TargetID],tblTargets[DisplayName],"")</f>
        <v>Kitchen And Buttery 2 Lv 1</v>
      </c>
      <c r="D258" s="2" t="s">
        <v>1889</v>
      </c>
    </row>
    <row r="259" spans="1:4">
      <c r="A259" s="6" t="s">
        <v>2618</v>
      </c>
      <c r="B259" t="str">
        <f>_xlfn.XLOOKUP(tblCostTemp[[#This Row],[TargetID]],tblTargets[TargetID],tblTargets[TargetType],"")</f>
        <v>COLLECTION</v>
      </c>
      <c r="C259" s="6" t="str">
        <f>_xlfn.XLOOKUP(tblCostTemp[[#This Row],[TargetID]],tblTargets[TargetID],tblTargets[DisplayName],"")</f>
        <v>Mushroom Farm Lv 1</v>
      </c>
      <c r="D259" s="2" t="s">
        <v>1890</v>
      </c>
    </row>
    <row r="260" spans="1:4">
      <c r="A260" s="6" t="s">
        <v>2619</v>
      </c>
      <c r="B260" t="str">
        <f>_xlfn.XLOOKUP(tblCostTemp[[#This Row],[TargetID]],tblTargets[TargetID],tblTargets[TargetType],"")</f>
        <v>COLLECTION</v>
      </c>
      <c r="C260" s="6" t="str">
        <f>_xlfn.XLOOKUP(tblCostTemp[[#This Row],[TargetID]],tblTargets[TargetID],tblTargets[DisplayName],"")</f>
        <v>Mushroom Farm Lv 2</v>
      </c>
      <c r="D260" s="2" t="s">
        <v>1891</v>
      </c>
    </row>
    <row r="261" spans="1:4">
      <c r="A261" s="6" t="s">
        <v>2620</v>
      </c>
      <c r="B261" t="str">
        <f>_xlfn.XLOOKUP(tblCostTemp[[#This Row],[TargetID]],tblTargets[TargetID],tblTargets[TargetType],"")</f>
        <v>COLLECTION</v>
      </c>
      <c r="C261" s="6" t="str">
        <f>_xlfn.XLOOKUP(tblCostTemp[[#This Row],[TargetID]],tblTargets[TargetID],tblTargets[DisplayName],"")</f>
        <v>Orangery Lv 1</v>
      </c>
      <c r="D261" s="2" t="s">
        <v>1892</v>
      </c>
    </row>
    <row r="262" spans="1:4">
      <c r="A262" s="6" t="s">
        <v>2621</v>
      </c>
      <c r="B262" t="str">
        <f>_xlfn.XLOOKUP(tblCostTemp[[#This Row],[TargetID]],tblTargets[TargetID],tblTargets[TargetType],"")</f>
        <v>COLLECTION</v>
      </c>
      <c r="C262" s="6" t="str">
        <f>_xlfn.XLOOKUP(tblCostTemp[[#This Row],[TargetID]],tblTargets[TargetID],tblTargets[DisplayName],"")</f>
        <v>Orangery Lv 2</v>
      </c>
      <c r="D262" s="2" t="s">
        <v>1893</v>
      </c>
    </row>
    <row r="263" spans="1:4" ht="29">
      <c r="A263" s="6" t="s">
        <v>2622</v>
      </c>
      <c r="B263" t="str">
        <f>_xlfn.XLOOKUP(tblCostTemp[[#This Row],[TargetID]],tblTargets[TargetID],tblTargets[TargetType],"")</f>
        <v>COLLECTION</v>
      </c>
      <c r="C263" s="6" t="str">
        <f>_xlfn.XLOOKUP(tblCostTemp[[#This Row],[TargetID]],tblTargets[TargetID],tblTargets[DisplayName],"")</f>
        <v>Pantry 1 Lv 1</v>
      </c>
      <c r="D263" s="2" t="s">
        <v>1894</v>
      </c>
    </row>
    <row r="264" spans="1:4" ht="29">
      <c r="A264" s="6" t="s">
        <v>2623</v>
      </c>
      <c r="B264" t="str">
        <f>_xlfn.XLOOKUP(tblCostTemp[[#This Row],[TargetID]],tblTargets[TargetID],tblTargets[TargetType],"")</f>
        <v>COLLECTION</v>
      </c>
      <c r="C264" s="6" t="str">
        <f>_xlfn.XLOOKUP(tblCostTemp[[#This Row],[TargetID]],tblTargets[TargetID],tblTargets[DisplayName],"")</f>
        <v>Pantry 1 Lv 2</v>
      </c>
      <c r="D264" s="2" t="s">
        <v>1895</v>
      </c>
    </row>
    <row r="265" spans="1:4" ht="29">
      <c r="A265" s="6" t="s">
        <v>2624</v>
      </c>
      <c r="B265" t="str">
        <f>_xlfn.XLOOKUP(tblCostTemp[[#This Row],[TargetID]],tblTargets[TargetID],tblTargets[TargetType],"")</f>
        <v>COLLECTION</v>
      </c>
      <c r="C265" s="6" t="str">
        <f>_xlfn.XLOOKUP(tblCostTemp[[#This Row],[TargetID]],tblTargets[TargetID],tblTargets[DisplayName],"")</f>
        <v>Pantry 1 Lv 3</v>
      </c>
      <c r="D265" s="2" t="s">
        <v>1896</v>
      </c>
    </row>
    <row r="266" spans="1:4" ht="29">
      <c r="A266" s="6" t="s">
        <v>2625</v>
      </c>
      <c r="B266" t="str">
        <f>_xlfn.XLOOKUP(tblCostTemp[[#This Row],[TargetID]],tblTargets[TargetID],tblTargets[TargetType],"")</f>
        <v>COLLECTION</v>
      </c>
      <c r="C266" s="6" t="str">
        <f>_xlfn.XLOOKUP(tblCostTemp[[#This Row],[TargetID]],tblTargets[TargetID],tblTargets[DisplayName],"")</f>
        <v>Pantry 1 Lv 4</v>
      </c>
      <c r="D266" s="2" t="s">
        <v>1897</v>
      </c>
    </row>
    <row r="267" spans="1:4" ht="29">
      <c r="A267" s="6" t="s">
        <v>2626</v>
      </c>
      <c r="B267" t="str">
        <f>_xlfn.XLOOKUP(tblCostTemp[[#This Row],[TargetID]],tblTargets[TargetID],tblTargets[TargetType],"")</f>
        <v>COLLECTION</v>
      </c>
      <c r="C267" s="6" t="str">
        <f>_xlfn.XLOOKUP(tblCostTemp[[#This Row],[TargetID]],tblTargets[TargetID],tblTargets[DisplayName],"")</f>
        <v>Pantry 1 Lv 5</v>
      </c>
      <c r="D267" s="2" t="s">
        <v>1898</v>
      </c>
    </row>
    <row r="268" spans="1:4">
      <c r="A268" s="6" t="s">
        <v>2627</v>
      </c>
      <c r="B268" t="str">
        <f>_xlfn.XLOOKUP(tblCostTemp[[#This Row],[TargetID]],tblTargets[TargetID],tblTargets[TargetType],"")</f>
        <v>COLLECTION</v>
      </c>
      <c r="C268" s="6" t="str">
        <f>_xlfn.XLOOKUP(tblCostTemp[[#This Row],[TargetID]],tblTargets[TargetID],tblTargets[DisplayName],"")</f>
        <v>Pantry 2 Lv 1</v>
      </c>
      <c r="D268" s="2" t="s">
        <v>1899</v>
      </c>
    </row>
    <row r="269" spans="1:4">
      <c r="A269" s="6" t="s">
        <v>2628</v>
      </c>
      <c r="B269" t="str">
        <f>_xlfn.XLOOKUP(tblCostTemp[[#This Row],[TargetID]],tblTargets[TargetID],tblTargets[TargetType],"")</f>
        <v>COLLECTION</v>
      </c>
      <c r="C269" s="6" t="str">
        <f>_xlfn.XLOOKUP(tblCostTemp[[#This Row],[TargetID]],tblTargets[TargetID],tblTargets[DisplayName],"")</f>
        <v>Pantry 2 Lv 2</v>
      </c>
      <c r="D269" s="2" t="s">
        <v>1900</v>
      </c>
    </row>
    <row r="270" spans="1:4">
      <c r="A270" s="6" t="s">
        <v>2629</v>
      </c>
      <c r="B270" t="str">
        <f>_xlfn.XLOOKUP(tblCostTemp[[#This Row],[TargetID]],tblTargets[TargetID],tblTargets[TargetType],"")</f>
        <v>COLLECTION</v>
      </c>
      <c r="C270" s="6" t="str">
        <f>_xlfn.XLOOKUP(tblCostTemp[[#This Row],[TargetID]],tblTargets[TargetID],tblTargets[DisplayName],"")</f>
        <v>Pantry 2 Lv 3</v>
      </c>
      <c r="D270" s="2" t="s">
        <v>1901</v>
      </c>
    </row>
    <row r="271" spans="1:4">
      <c r="A271" s="6" t="s">
        <v>2630</v>
      </c>
      <c r="B271" t="str">
        <f>_xlfn.XLOOKUP(tblCostTemp[[#This Row],[TargetID]],tblTargets[TargetID],tblTargets[TargetType],"")</f>
        <v>COLLECTION</v>
      </c>
      <c r="C271" s="6" t="str">
        <f>_xlfn.XLOOKUP(tblCostTemp[[#This Row],[TargetID]],tblTargets[TargetID],tblTargets[DisplayName],"")</f>
        <v>Pantry 2 Lv 4</v>
      </c>
      <c r="D271" s="2" t="s">
        <v>1902</v>
      </c>
    </row>
    <row r="272" spans="1:4">
      <c r="A272" s="6" t="s">
        <v>2631</v>
      </c>
      <c r="B272" t="str">
        <f>_xlfn.XLOOKUP(tblCostTemp[[#This Row],[TargetID]],tblTargets[TargetID],tblTargets[TargetType],"")</f>
        <v>COLLECTION</v>
      </c>
      <c r="C272" s="6" t="str">
        <f>_xlfn.XLOOKUP(tblCostTemp[[#This Row],[TargetID]],tblTargets[TargetID],tblTargets[DisplayName],"")</f>
        <v>Pantry 2 Lv 5</v>
      </c>
      <c r="D272" s="2" t="s">
        <v>1903</v>
      </c>
    </row>
    <row r="273" spans="1:4">
      <c r="A273" s="6" t="s">
        <v>2632</v>
      </c>
      <c r="B273" t="str">
        <f>_xlfn.XLOOKUP(tblCostTemp[[#This Row],[TargetID]],tblTargets[TargetID],tblTargets[TargetType],"")</f>
        <v>COLLECTION</v>
      </c>
      <c r="C273" s="6" t="str">
        <f>_xlfn.XLOOKUP(tblCostTemp[[#This Row],[TargetID]],tblTargets[TargetID],tblTargets[DisplayName],"")</f>
        <v>Pantry 3 Lv 1</v>
      </c>
      <c r="D273" s="2" t="s">
        <v>1904</v>
      </c>
    </row>
    <row r="274" spans="1:4">
      <c r="A274" s="6" t="s">
        <v>2633</v>
      </c>
      <c r="B274" t="str">
        <f>_xlfn.XLOOKUP(tblCostTemp[[#This Row],[TargetID]],tblTargets[TargetID],tblTargets[TargetType],"")</f>
        <v>COLLECTION</v>
      </c>
      <c r="C274" s="6" t="str">
        <f>_xlfn.XLOOKUP(tblCostTemp[[#This Row],[TargetID]],tblTargets[TargetID],tblTargets[DisplayName],"")</f>
        <v>Pantry 3 Lv 2</v>
      </c>
      <c r="D274" s="2" t="s">
        <v>1905</v>
      </c>
    </row>
    <row r="275" spans="1:4">
      <c r="A275" s="6" t="s">
        <v>2634</v>
      </c>
      <c r="B275" t="str">
        <f>_xlfn.XLOOKUP(tblCostTemp[[#This Row],[TargetID]],tblTargets[TargetID],tblTargets[TargetType],"")</f>
        <v>COLLECTION</v>
      </c>
      <c r="C275" s="6" t="str">
        <f>_xlfn.XLOOKUP(tblCostTemp[[#This Row],[TargetID]],tblTargets[TargetID],tblTargets[DisplayName],"")</f>
        <v>Pantry 3 Lv 3</v>
      </c>
      <c r="D275" s="2" t="s">
        <v>1906</v>
      </c>
    </row>
    <row r="276" spans="1:4">
      <c r="A276" s="6" t="s">
        <v>2635</v>
      </c>
      <c r="B276" t="str">
        <f>_xlfn.XLOOKUP(tblCostTemp[[#This Row],[TargetID]],tblTargets[TargetID],tblTargets[TargetType],"")</f>
        <v>COLLECTION</v>
      </c>
      <c r="C276" s="6" t="str">
        <f>_xlfn.XLOOKUP(tblCostTemp[[#This Row],[TargetID]],tblTargets[TargetID],tblTargets[DisplayName],"")</f>
        <v>Pantry 3 Lv 4</v>
      </c>
      <c r="D276" s="2" t="s">
        <v>1907</v>
      </c>
    </row>
    <row r="277" spans="1:4">
      <c r="A277" s="6" t="s">
        <v>2636</v>
      </c>
      <c r="B277" t="str">
        <f>_xlfn.XLOOKUP(tblCostTemp[[#This Row],[TargetID]],tblTargets[TargetID],tblTargets[TargetType],"")</f>
        <v>COLLECTION</v>
      </c>
      <c r="C277" s="6" t="str">
        <f>_xlfn.XLOOKUP(tblCostTemp[[#This Row],[TargetID]],tblTargets[TargetID],tblTargets[DisplayName],"")</f>
        <v>Pantry 3 Lv 5</v>
      </c>
      <c r="D277" s="2" t="s">
        <v>1908</v>
      </c>
    </row>
    <row r="278" spans="1:4">
      <c r="A278" s="6" t="s">
        <v>2637</v>
      </c>
      <c r="B278" t="str">
        <f>_xlfn.XLOOKUP(tblCostTemp[[#This Row],[TargetID]],tblTargets[TargetID],tblTargets[TargetType],"")</f>
        <v>COLLECTION</v>
      </c>
      <c r="C278" s="6" t="str">
        <f>_xlfn.XLOOKUP(tblCostTemp[[#This Row],[TargetID]],tblTargets[TargetID],tblTargets[DisplayName],"")</f>
        <v>Pantry 4 Lv 1</v>
      </c>
      <c r="D278" s="2" t="s">
        <v>1909</v>
      </c>
    </row>
    <row r="279" spans="1:4">
      <c r="A279" s="6" t="s">
        <v>2638</v>
      </c>
      <c r="B279" t="str">
        <f>_xlfn.XLOOKUP(tblCostTemp[[#This Row],[TargetID]],tblTargets[TargetID],tblTargets[TargetType],"")</f>
        <v>COLLECTION</v>
      </c>
      <c r="C279" s="6" t="str">
        <f>_xlfn.XLOOKUP(tblCostTemp[[#This Row],[TargetID]],tblTargets[TargetID],tblTargets[DisplayName],"")</f>
        <v>Statue Lv 1</v>
      </c>
      <c r="D279" s="2" t="s">
        <v>1910</v>
      </c>
    </row>
    <row r="280" spans="1:4">
      <c r="A280" s="6" t="s">
        <v>2639</v>
      </c>
      <c r="B280" t="str">
        <f>_xlfn.XLOOKUP(tblCostTemp[[#This Row],[TargetID]],tblTargets[TargetID],tblTargets[TargetType],"")</f>
        <v>COLLECTION</v>
      </c>
      <c r="C280" s="6" t="str">
        <f>_xlfn.XLOOKUP(tblCostTemp[[#This Row],[TargetID]],tblTargets[TargetID],tblTargets[DisplayName],"")</f>
        <v>Tavern Lv 1</v>
      </c>
      <c r="D280" s="2" t="s">
        <v>1911</v>
      </c>
    </row>
    <row r="281" spans="1:4">
      <c r="A281" s="6" t="s">
        <v>2640</v>
      </c>
      <c r="B281" t="str">
        <f>_xlfn.XLOOKUP(tblCostTemp[[#This Row],[TargetID]],tblTargets[TargetID],tblTargets[TargetType],"")</f>
        <v>COLLECTION</v>
      </c>
      <c r="C281" s="6" t="str">
        <f>_xlfn.XLOOKUP(tblCostTemp[[#This Row],[TargetID]],tblTargets[TargetID],tblTargets[DisplayName],"")</f>
        <v>Tavern Lv 2</v>
      </c>
      <c r="D281" s="2" t="s">
        <v>1912</v>
      </c>
    </row>
    <row r="282" spans="1:4">
      <c r="A282" s="6" t="s">
        <v>2641</v>
      </c>
      <c r="B282" t="str">
        <f>_xlfn.XLOOKUP(tblCostTemp[[#This Row],[TargetID]],tblTargets[TargetID],tblTargets[TargetType],"")</f>
        <v>COLLECTION</v>
      </c>
      <c r="C282" s="6" t="str">
        <f>_xlfn.XLOOKUP(tblCostTemp[[#This Row],[TargetID]],tblTargets[TargetID],tblTargets[DisplayName],"")</f>
        <v>Treasury 1 Lv 1</v>
      </c>
      <c r="D282" s="2" t="s">
        <v>1913</v>
      </c>
    </row>
    <row r="283" spans="1:4">
      <c r="A283" s="6" t="s">
        <v>2642</v>
      </c>
      <c r="B283" t="str">
        <f>_xlfn.XLOOKUP(tblCostTemp[[#This Row],[TargetID]],tblTargets[TargetID],tblTargets[TargetType],"")</f>
        <v>COLLECTION</v>
      </c>
      <c r="C283" s="6" t="str">
        <f>_xlfn.XLOOKUP(tblCostTemp[[#This Row],[TargetID]],tblTargets[TargetID],tblTargets[DisplayName],"")</f>
        <v>Treasury 1 Lv 2</v>
      </c>
      <c r="D283" s="2" t="s">
        <v>1914</v>
      </c>
    </row>
    <row r="284" spans="1:4">
      <c r="A284" s="6" t="s">
        <v>2643</v>
      </c>
      <c r="B284" t="str">
        <f>_xlfn.XLOOKUP(tblCostTemp[[#This Row],[TargetID]],tblTargets[TargetID],tblTargets[TargetType],"")</f>
        <v>COLLECTION</v>
      </c>
      <c r="C284" s="6" t="str">
        <f>_xlfn.XLOOKUP(tblCostTemp[[#This Row],[TargetID]],tblTargets[TargetID],tblTargets[DisplayName],"")</f>
        <v>Treasury 1 Lv 3</v>
      </c>
      <c r="D284" s="2" t="s">
        <v>1915</v>
      </c>
    </row>
    <row r="285" spans="1:4">
      <c r="A285" s="6" t="s">
        <v>2644</v>
      </c>
      <c r="B285" t="str">
        <f>_xlfn.XLOOKUP(tblCostTemp[[#This Row],[TargetID]],tblTargets[TargetID],tblTargets[TargetType],"")</f>
        <v>COLLECTION</v>
      </c>
      <c r="C285" s="6" t="str">
        <f>_xlfn.XLOOKUP(tblCostTemp[[#This Row],[TargetID]],tblTargets[TargetID],tblTargets[DisplayName],"")</f>
        <v>Treasury 1 Lv 4</v>
      </c>
      <c r="D285" s="2" t="s">
        <v>1916</v>
      </c>
    </row>
    <row r="286" spans="1:4">
      <c r="A286" s="6" t="s">
        <v>2645</v>
      </c>
      <c r="B286" t="str">
        <f>_xlfn.XLOOKUP(tblCostTemp[[#This Row],[TargetID]],tblTargets[TargetID],tblTargets[TargetType],"")</f>
        <v>COLLECTION</v>
      </c>
      <c r="C286" s="6" t="str">
        <f>_xlfn.XLOOKUP(tblCostTemp[[#This Row],[TargetID]],tblTargets[TargetID],tblTargets[DisplayName],"")</f>
        <v>Treasury 1 Lv 5</v>
      </c>
      <c r="D286" s="2" t="s">
        <v>1917</v>
      </c>
    </row>
    <row r="287" spans="1:4">
      <c r="A287" s="6" t="s">
        <v>2646</v>
      </c>
      <c r="B287" t="str">
        <f>_xlfn.XLOOKUP(tblCostTemp[[#This Row],[TargetID]],tblTargets[TargetID],tblTargets[TargetType],"")</f>
        <v>COLLECTION</v>
      </c>
      <c r="C287" s="6" t="str">
        <f>_xlfn.XLOOKUP(tblCostTemp[[#This Row],[TargetID]],tblTargets[TargetID],tblTargets[DisplayName],"")</f>
        <v>Treasury 2 Lv 1</v>
      </c>
      <c r="D287" s="2" t="s">
        <v>1918</v>
      </c>
    </row>
    <row r="288" spans="1:4">
      <c r="A288" s="6" t="s">
        <v>2647</v>
      </c>
      <c r="B288" t="str">
        <f>_xlfn.XLOOKUP(tblCostTemp[[#This Row],[TargetID]],tblTargets[TargetID],tblTargets[TargetType],"")</f>
        <v>COLLECTION</v>
      </c>
      <c r="C288" s="6" t="str">
        <f>_xlfn.XLOOKUP(tblCostTemp[[#This Row],[TargetID]],tblTargets[TargetID],tblTargets[DisplayName],"")</f>
        <v>Treasury 2 Lv 2</v>
      </c>
      <c r="D288" s="2" t="s">
        <v>1919</v>
      </c>
    </row>
    <row r="289" spans="1:4">
      <c r="A289" s="6" t="s">
        <v>2648</v>
      </c>
      <c r="B289" t="str">
        <f>_xlfn.XLOOKUP(tblCostTemp[[#This Row],[TargetID]],tblTargets[TargetID],tblTargets[TargetType],"")</f>
        <v>COLLECTION</v>
      </c>
      <c r="C289" s="6" t="str">
        <f>_xlfn.XLOOKUP(tblCostTemp[[#This Row],[TargetID]],tblTargets[TargetID],tblTargets[DisplayName],"")</f>
        <v>Treasury 2 Lv 3</v>
      </c>
      <c r="D289" s="2" t="s">
        <v>1920</v>
      </c>
    </row>
    <row r="290" spans="1:4">
      <c r="A290" s="39" t="s">
        <v>2649</v>
      </c>
      <c r="B290" t="str">
        <f>_xlfn.XLOOKUP(tblCostTemp[[#This Row],[TargetID]],tblTargets[TargetID],tblTargets[TargetType],"")</f>
        <v>COLLECTION</v>
      </c>
      <c r="C290" s="6" t="str">
        <f>_xlfn.XLOOKUP(tblCostTemp[[#This Row],[TargetID]],tblTargets[TargetID],tblTargets[DisplayName],"")</f>
        <v>Treasury 3 Lv 1</v>
      </c>
      <c r="D290" s="2" t="s">
        <v>1921</v>
      </c>
    </row>
    <row r="291" spans="1:4">
      <c r="A291" s="6" t="s">
        <v>2650</v>
      </c>
      <c r="B291" t="str">
        <f>_xlfn.XLOOKUP(tblCostTemp[[#This Row],[TargetID]],tblTargets[TargetID],tblTargets[TargetType],"")</f>
        <v>CRAFTIFACT</v>
      </c>
      <c r="C291" s="6" t="str">
        <f>_xlfn.XLOOKUP(tblCostTemp[[#This Row],[TargetID]],tblTargets[TargetID],tblTargets[DisplayName],"")</f>
        <v>Astrolabe</v>
      </c>
      <c r="D291" s="2" t="s">
        <v>2067</v>
      </c>
    </row>
    <row r="292" spans="1:4">
      <c r="A292" s="6" t="s">
        <v>2652</v>
      </c>
      <c r="B292" t="str">
        <f>_xlfn.XLOOKUP(tblCostTemp[[#This Row],[TargetID]],tblTargets[TargetID],tblTargets[TargetType],"")</f>
        <v>CRAFTIFACT</v>
      </c>
      <c r="C292" s="6" t="str">
        <f>_xlfn.XLOOKUP(tblCostTemp[[#This Row],[TargetID]],tblTargets[TargetID],tblTargets[DisplayName],"")</f>
        <v>Barometer</v>
      </c>
      <c r="D292" s="2" t="s">
        <v>2068</v>
      </c>
    </row>
    <row r="293" spans="1:4">
      <c r="A293" s="6" t="s">
        <v>2653</v>
      </c>
      <c r="B293" t="str">
        <f>_xlfn.XLOOKUP(tblCostTemp[[#This Row],[TargetID]],tblTargets[TargetID],tblTargets[TargetType],"")</f>
        <v>CRAFTIFACT</v>
      </c>
      <c r="C293" s="6" t="str">
        <f>_xlfn.XLOOKUP(tblCostTemp[[#This Row],[TargetID]],tblTargets[TargetID],tblTargets[DisplayName],"")</f>
        <v>Cinema Projector</v>
      </c>
      <c r="D293" s="2" t="s">
        <v>2069</v>
      </c>
    </row>
    <row r="294" spans="1:4">
      <c r="A294" s="6" t="s">
        <v>2654</v>
      </c>
      <c r="B294" t="str">
        <f>_xlfn.XLOOKUP(tblCostTemp[[#This Row],[TargetID]],tblTargets[TargetID],tblTargets[TargetType],"")</f>
        <v>CRAFTIFACT</v>
      </c>
      <c r="C294" s="6" t="str">
        <f>_xlfn.XLOOKUP(tblCostTemp[[#This Row],[TargetID]],tblTargets[TargetID],tblTargets[DisplayName],"")</f>
        <v>Dagger</v>
      </c>
      <c r="D294" s="2" t="s">
        <v>2070</v>
      </c>
    </row>
    <row r="295" spans="1:4">
      <c r="A295" s="6" t="s">
        <v>2655</v>
      </c>
      <c r="B295" t="str">
        <f>_xlfn.XLOOKUP(tblCostTemp[[#This Row],[TargetID]],tblTargets[TargetID],tblTargets[TargetType],"")</f>
        <v>CRAFTIFACT</v>
      </c>
      <c r="C295" s="6" t="str">
        <f>_xlfn.XLOOKUP(tblCostTemp[[#This Row],[TargetID]],tblTargets[TargetID],tblTargets[DisplayName],"")</f>
        <v>Emerald Tablet</v>
      </c>
      <c r="D295" s="2" t="s">
        <v>2071</v>
      </c>
    </row>
    <row r="296" spans="1:4">
      <c r="A296" s="6" t="s">
        <v>2656</v>
      </c>
      <c r="B296" t="str">
        <f>_xlfn.XLOOKUP(tblCostTemp[[#This Row],[TargetID]],tblTargets[TargetID],tblTargets[TargetType],"")</f>
        <v>CRAFTIFACT</v>
      </c>
      <c r="C296" s="6" t="str">
        <f>_xlfn.XLOOKUP(tblCostTemp[[#This Row],[TargetID]],tblTargets[TargetID],tblTargets[DisplayName],"")</f>
        <v>Flamethrower</v>
      </c>
      <c r="D296" s="2" t="s">
        <v>2072</v>
      </c>
    </row>
    <row r="297" spans="1:4">
      <c r="A297" s="6" t="s">
        <v>2657</v>
      </c>
      <c r="B297" t="str">
        <f>_xlfn.XLOOKUP(tblCostTemp[[#This Row],[TargetID]],tblTargets[TargetID],tblTargets[TargetType],"")</f>
        <v>CRAFTIFACT</v>
      </c>
      <c r="C297" s="6" t="str">
        <f>_xlfn.XLOOKUP(tblCostTemp[[#This Row],[TargetID]],tblTargets[TargetID],tblTargets[DisplayName],"")</f>
        <v>Guild Banner</v>
      </c>
      <c r="D297" s="2" t="s">
        <v>2073</v>
      </c>
    </row>
    <row r="298" spans="1:4">
      <c r="A298" s="6" t="s">
        <v>2658</v>
      </c>
      <c r="B298" t="str">
        <f>_xlfn.XLOOKUP(tblCostTemp[[#This Row],[TargetID]],tblTargets[TargetID],tblTargets[TargetType],"")</f>
        <v>CRAFTIFACT</v>
      </c>
      <c r="C298" s="6" t="str">
        <f>_xlfn.XLOOKUP(tblCostTemp[[#This Row],[TargetID]],tblTargets[TargetID],tblTargets[DisplayName],"")</f>
        <v>Guild Codex</v>
      </c>
      <c r="D298" s="2" t="s">
        <v>2074</v>
      </c>
    </row>
    <row r="299" spans="1:4">
      <c r="A299" s="6" t="s">
        <v>2659</v>
      </c>
      <c r="B299" t="str">
        <f>_xlfn.XLOOKUP(tblCostTemp[[#This Row],[TargetID]],tblTargets[TargetID],tblTargets[TargetType],"")</f>
        <v>CRAFTIFACT</v>
      </c>
      <c r="C299" s="6" t="str">
        <f>_xlfn.XLOOKUP(tblCostTemp[[#This Row],[TargetID]],tblTargets[TargetID],tblTargets[DisplayName],"")</f>
        <v>Guild Supplies</v>
      </c>
      <c r="D299" s="2" t="s">
        <v>2075</v>
      </c>
    </row>
    <row r="300" spans="1:4">
      <c r="A300" s="6" t="s">
        <v>2660</v>
      </c>
      <c r="B300" t="str">
        <f>_xlfn.XLOOKUP(tblCostTemp[[#This Row],[TargetID]],tblTargets[TargetID],tblTargets[TargetType],"")</f>
        <v>CRAFTIFACT</v>
      </c>
      <c r="C300" s="6" t="str">
        <f>_xlfn.XLOOKUP(tblCostTemp[[#This Row],[TargetID]],tblTargets[TargetID],tblTargets[DisplayName],"")</f>
        <v>Hat Of Concentration</v>
      </c>
      <c r="D300" s="2" t="s">
        <v>2076</v>
      </c>
    </row>
    <row r="301" spans="1:4">
      <c r="A301" s="6" t="s">
        <v>2661</v>
      </c>
      <c r="B301" t="str">
        <f>_xlfn.XLOOKUP(tblCostTemp[[#This Row],[TargetID]],tblTargets[TargetID],tblTargets[TargetType],"")</f>
        <v>CRAFTIFACT</v>
      </c>
      <c r="C301" s="6" t="str">
        <f>_xlfn.XLOOKUP(tblCostTemp[[#This Row],[TargetID]],tblTargets[TargetID],tblTargets[DisplayName],"")</f>
        <v>Helmet</v>
      </c>
      <c r="D301" s="2" t="s">
        <v>2077</v>
      </c>
    </row>
    <row r="302" spans="1:4">
      <c r="A302" s="6" t="s">
        <v>2662</v>
      </c>
      <c r="B302" t="str">
        <f>_xlfn.XLOOKUP(tblCostTemp[[#This Row],[TargetID]],tblTargets[TargetID],tblTargets[TargetType],"")</f>
        <v>CRAFTIFACT</v>
      </c>
      <c r="C302" s="6" t="str">
        <f>_xlfn.XLOOKUP(tblCostTemp[[#This Row],[TargetID]],tblTargets[TargetID],tblTargets[DisplayName],"")</f>
        <v>Historical Library</v>
      </c>
      <c r="D302" s="2" t="s">
        <v>2078</v>
      </c>
    </row>
    <row r="303" spans="1:4">
      <c r="A303" s="6" t="s">
        <v>2663</v>
      </c>
      <c r="B303" t="str">
        <f>_xlfn.XLOOKUP(tblCostTemp[[#This Row],[TargetID]],tblTargets[TargetID],tblTargets[TargetType],"")</f>
        <v>CRAFTIFACT</v>
      </c>
      <c r="C303" s="6" t="str">
        <f>_xlfn.XLOOKUP(tblCostTemp[[#This Row],[TargetID]],tblTargets[TargetID],tblTargets[DisplayName],"")</f>
        <v>Hotei Statuette</v>
      </c>
      <c r="D303" s="2" t="s">
        <v>2079</v>
      </c>
    </row>
    <row r="304" spans="1:4">
      <c r="A304" s="6" t="s">
        <v>2664</v>
      </c>
      <c r="B304" t="str">
        <f>_xlfn.XLOOKUP(tblCostTemp[[#This Row],[TargetID]],tblTargets[TargetID],tblTargets[TargetType],"")</f>
        <v>CRAFTIFACT</v>
      </c>
      <c r="C304" s="6" t="str">
        <f>_xlfn.XLOOKUP(tblCostTemp[[#This Row],[TargetID]],tblTargets[TargetID],tblTargets[DisplayName],"")</f>
        <v>Metal Detector</v>
      </c>
      <c r="D304" s="2" t="s">
        <v>2080</v>
      </c>
    </row>
    <row r="305" spans="1:4">
      <c r="A305" s="6" t="s">
        <v>2665</v>
      </c>
      <c r="B305" t="str">
        <f>_xlfn.XLOOKUP(tblCostTemp[[#This Row],[TargetID]],tblTargets[TargetID],tblTargets[TargetType],"")</f>
        <v>CRAFTIFACT</v>
      </c>
      <c r="C305" s="6" t="str">
        <f>_xlfn.XLOOKUP(tblCostTemp[[#This Row],[TargetID]],tblTargets[TargetID],tblTargets[DisplayName],"")</f>
        <v>Necklace For Haruka</v>
      </c>
      <c r="D305" s="2" t="s">
        <v>2081</v>
      </c>
    </row>
    <row r="306" spans="1:4">
      <c r="A306" s="6" t="s">
        <v>2666</v>
      </c>
      <c r="B306" t="str">
        <f>_xlfn.XLOOKUP(tblCostTemp[[#This Row],[TargetID]],tblTargets[TargetID],tblTargets[TargetType],"")</f>
        <v>CRAFTIFACT</v>
      </c>
      <c r="C306" s="6" t="str">
        <f>_xlfn.XLOOKUP(tblCostTemp[[#This Row],[TargetID]],tblTargets[TargetID],tblTargets[DisplayName],"")</f>
        <v>Safe</v>
      </c>
      <c r="D306" s="2" t="s">
        <v>2082</v>
      </c>
    </row>
    <row r="307" spans="1:4">
      <c r="A307" s="6" t="s">
        <v>2667</v>
      </c>
      <c r="B307" t="str">
        <f>_xlfn.XLOOKUP(tblCostTemp[[#This Row],[TargetID]],tblTargets[TargetID],tblTargets[TargetType],"")</f>
        <v>CRAFTIFACT</v>
      </c>
      <c r="C307" s="6" t="str">
        <f>_xlfn.XLOOKUP(tblCostTemp[[#This Row],[TargetID]],tblTargets[TargetID],tblTargets[DisplayName],"")</f>
        <v>Solver 1 Prototype</v>
      </c>
      <c r="D307" s="2" t="s">
        <v>2083</v>
      </c>
    </row>
    <row r="308" spans="1:4">
      <c r="A308" s="6" t="s">
        <v>2668</v>
      </c>
      <c r="B308" t="str">
        <f>_xlfn.XLOOKUP(tblCostTemp[[#This Row],[TargetID]],tblTargets[TargetID],tblTargets[TargetType],"")</f>
        <v>CRAFTIFACT</v>
      </c>
      <c r="C308" s="6" t="str">
        <f>_xlfn.XLOOKUP(tblCostTemp[[#This Row],[TargetID]],tblTargets[TargetID],tblTargets[DisplayName],"")</f>
        <v>Telescope</v>
      </c>
      <c r="D308" s="2" t="s">
        <v>2084</v>
      </c>
    </row>
    <row r="309" spans="1:4">
      <c r="A309" s="6" t="s">
        <v>2669</v>
      </c>
      <c r="B309" t="str">
        <f>_xlfn.XLOOKUP(tblCostTemp[[#This Row],[TargetID]],tblTargets[TargetID],tblTargets[TargetType],"")</f>
        <v>CRAFTIFACT</v>
      </c>
      <c r="C309" s="6" t="str">
        <f>_xlfn.XLOOKUP(tblCostTemp[[#This Row],[TargetID]],tblTargets[TargetID],tblTargets[DisplayName],"")</f>
        <v>Tetrachloroaurate</v>
      </c>
      <c r="D309" s="2" t="s">
        <v>2085</v>
      </c>
    </row>
    <row r="310" spans="1:4">
      <c r="A310" s="39" t="s">
        <v>2670</v>
      </c>
      <c r="B310" t="str">
        <f>_xlfn.XLOOKUP(tblCostTemp[[#This Row],[TargetID]],tblTargets[TargetID],tblTargets[TargetType],"")</f>
        <v>CRAFTIFACT</v>
      </c>
      <c r="C310" s="6" t="str">
        <f>_xlfn.XLOOKUP(tblCostTemp[[#This Row],[TargetID]],tblTargets[TargetID],tblTargets[DisplayName],"")</f>
        <v>Trigonometry</v>
      </c>
      <c r="D310" s="2" t="s">
        <v>2086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1377B-5016-4BA5-B13E-5F8D3A6AE136}">
  <sheetPr>
    <tabColor rgb="FF00B050"/>
  </sheetPr>
  <dimension ref="A1:CH109"/>
  <sheetViews>
    <sheetView workbookViewId="0"/>
  </sheetViews>
  <sheetFormatPr defaultRowHeight="14.5"/>
  <cols>
    <col min="1" max="4" width="25.7265625" customWidth="1"/>
    <col min="6" max="6" width="7.90625" bestFit="1" customWidth="1"/>
    <col min="8" max="9" width="25.7265625" customWidth="1"/>
    <col min="10" max="10" width="87.26953125" bestFit="1" customWidth="1"/>
    <col min="11" max="11" width="17.36328125" customWidth="1"/>
    <col min="12" max="12" width="35.08984375" customWidth="1"/>
    <col min="13" max="13" width="12.08984375" bestFit="1" customWidth="1"/>
    <col min="14" max="15" width="15.1796875" customWidth="1"/>
    <col min="16" max="16" width="14.26953125" customWidth="1"/>
    <col min="17" max="17" width="11.1796875" bestFit="1" customWidth="1"/>
    <col min="18" max="18" width="8.453125" bestFit="1" customWidth="1"/>
    <col min="19" max="19" width="11.1796875" bestFit="1" customWidth="1"/>
    <col min="20" max="20" width="8.453125" bestFit="1" customWidth="1"/>
  </cols>
  <sheetData>
    <row r="1" spans="1:86" ht="15" thickBot="1">
      <c r="A1" t="s">
        <v>5</v>
      </c>
      <c r="B1" t="s">
        <v>6</v>
      </c>
      <c r="C1" t="s">
        <v>653</v>
      </c>
      <c r="D1" t="s">
        <v>8</v>
      </c>
      <c r="E1" t="s">
        <v>11</v>
      </c>
      <c r="F1" t="s">
        <v>7</v>
      </c>
      <c r="G1" s="7" t="s">
        <v>724</v>
      </c>
      <c r="H1" s="7" t="s">
        <v>180</v>
      </c>
      <c r="I1" t="s">
        <v>12</v>
      </c>
      <c r="J1" s="7" t="s">
        <v>240</v>
      </c>
      <c r="K1" s="7" t="s">
        <v>2087</v>
      </c>
      <c r="L1" s="7" t="s">
        <v>568</v>
      </c>
      <c r="M1" t="s">
        <v>10</v>
      </c>
      <c r="N1" s="7" t="s">
        <v>241</v>
      </c>
      <c r="O1" s="33" t="s">
        <v>3656</v>
      </c>
      <c r="P1" s="35" t="s">
        <v>3657</v>
      </c>
      <c r="Q1" s="7" t="s">
        <v>654</v>
      </c>
      <c r="R1" s="7" t="s">
        <v>655</v>
      </c>
      <c r="S1" s="7" t="s">
        <v>656</v>
      </c>
      <c r="T1" s="7" t="s">
        <v>657</v>
      </c>
      <c r="U1" s="7" t="s">
        <v>658</v>
      </c>
      <c r="V1" s="7" t="s">
        <v>659</v>
      </c>
      <c r="W1" s="7" t="s">
        <v>660</v>
      </c>
      <c r="X1" s="7" t="s">
        <v>661</v>
      </c>
      <c r="Y1" s="7" t="s">
        <v>662</v>
      </c>
      <c r="Z1" s="7" t="s">
        <v>663</v>
      </c>
      <c r="AA1" s="7" t="s">
        <v>664</v>
      </c>
      <c r="AB1" s="7" t="s">
        <v>665</v>
      </c>
      <c r="AC1" s="7" t="s">
        <v>666</v>
      </c>
      <c r="AD1" s="7" t="s">
        <v>667</v>
      </c>
      <c r="AE1" s="7" t="s">
        <v>668</v>
      </c>
      <c r="AF1" s="7" t="s">
        <v>669</v>
      </c>
      <c r="AG1" s="7" t="s">
        <v>670</v>
      </c>
      <c r="AH1" s="7" t="s">
        <v>671</v>
      </c>
      <c r="AI1" s="7" t="s">
        <v>672</v>
      </c>
      <c r="AJ1" s="7" t="s">
        <v>673</v>
      </c>
      <c r="AK1" s="7" t="s">
        <v>674</v>
      </c>
      <c r="AL1" s="7" t="s">
        <v>675</v>
      </c>
      <c r="AM1" s="7" t="s">
        <v>676</v>
      </c>
      <c r="AN1" s="7" t="s">
        <v>677</v>
      </c>
      <c r="AO1" s="7" t="s">
        <v>678</v>
      </c>
      <c r="AP1" s="7" t="s">
        <v>679</v>
      </c>
      <c r="AQ1" s="7" t="s">
        <v>680</v>
      </c>
      <c r="AR1" s="7" t="s">
        <v>681</v>
      </c>
      <c r="AS1" s="7" t="s">
        <v>682</v>
      </c>
      <c r="AT1" s="7" t="s">
        <v>683</v>
      </c>
      <c r="AU1" s="7" t="s">
        <v>684</v>
      </c>
      <c r="AV1" s="7" t="s">
        <v>685</v>
      </c>
      <c r="AW1" s="7" t="s">
        <v>686</v>
      </c>
      <c r="AX1" s="7" t="s">
        <v>687</v>
      </c>
      <c r="AY1" s="7" t="s">
        <v>688</v>
      </c>
      <c r="AZ1" s="7" t="s">
        <v>689</v>
      </c>
      <c r="BA1" s="7" t="s">
        <v>690</v>
      </c>
      <c r="BB1" s="7" t="s">
        <v>691</v>
      </c>
      <c r="BC1" s="7" t="s">
        <v>692</v>
      </c>
      <c r="BD1" s="7" t="s">
        <v>693</v>
      </c>
      <c r="BE1" s="7" t="s">
        <v>694</v>
      </c>
      <c r="BF1" s="7" t="s">
        <v>695</v>
      </c>
      <c r="BG1" s="7" t="s">
        <v>696</v>
      </c>
      <c r="BH1" s="7" t="s">
        <v>697</v>
      </c>
      <c r="BI1" s="7" t="s">
        <v>698</v>
      </c>
      <c r="BJ1" s="7" t="s">
        <v>699</v>
      </c>
      <c r="BK1" s="7" t="s">
        <v>700</v>
      </c>
      <c r="BL1" s="7" t="s">
        <v>701</v>
      </c>
      <c r="BM1" s="7" t="s">
        <v>702</v>
      </c>
      <c r="BN1" s="7" t="s">
        <v>703</v>
      </c>
      <c r="BO1" s="7" t="s">
        <v>704</v>
      </c>
      <c r="BP1" s="7" t="s">
        <v>705</v>
      </c>
      <c r="BQ1" s="7" t="s">
        <v>706</v>
      </c>
      <c r="BR1" s="7" t="s">
        <v>707</v>
      </c>
      <c r="BS1" s="7" t="s">
        <v>708</v>
      </c>
      <c r="BT1" s="7" t="s">
        <v>709</v>
      </c>
      <c r="BU1" s="7" t="s">
        <v>710</v>
      </c>
      <c r="BV1" s="7" t="s">
        <v>711</v>
      </c>
      <c r="BW1" s="7" t="s">
        <v>712</v>
      </c>
      <c r="BX1" s="7" t="s">
        <v>713</v>
      </c>
      <c r="BY1" s="7" t="s">
        <v>714</v>
      </c>
      <c r="BZ1" s="7" t="s">
        <v>715</v>
      </c>
      <c r="CA1" s="7" t="s">
        <v>716</v>
      </c>
      <c r="CB1" s="7" t="s">
        <v>717</v>
      </c>
      <c r="CC1" s="7" t="s">
        <v>718</v>
      </c>
      <c r="CD1" s="7" t="s">
        <v>719</v>
      </c>
      <c r="CE1" s="7" t="s">
        <v>720</v>
      </c>
      <c r="CF1" s="7" t="s">
        <v>721</v>
      </c>
      <c r="CG1" s="7" t="s">
        <v>722</v>
      </c>
      <c r="CH1" s="7" t="s">
        <v>723</v>
      </c>
    </row>
    <row r="2" spans="1:86" ht="15" thickBot="1">
      <c r="A2" s="6" t="s">
        <v>13</v>
      </c>
      <c r="B2" s="6" t="s">
        <v>14</v>
      </c>
      <c r="C2" t="s">
        <v>14</v>
      </c>
      <c r="D2" s="6" t="str">
        <f>_xlfn.XLOOKUP(tblBuildings[[#This Row],[BuildingID]],tblTargets[TargetID],tblTargets[DisplayName],"")</f>
        <v>Airship Lv 1</v>
      </c>
      <c r="E2" t="b">
        <v>1</v>
      </c>
      <c r="F2">
        <v>1</v>
      </c>
      <c r="G2">
        <v>40</v>
      </c>
      <c r="H2" t="s">
        <v>181</v>
      </c>
      <c r="I2" s="6"/>
      <c r="J2" t="s">
        <v>242</v>
      </c>
      <c r="K2" t="s">
        <v>553</v>
      </c>
      <c r="L2" t="s">
        <v>569</v>
      </c>
      <c r="N2" t="s">
        <v>243</v>
      </c>
      <c r="O2" s="34">
        <f>IF(tblBuildings[[#This Row],[costtext]]="", 0, LEN(tblBuildings[[#This Row],[costtext]]) - LEN(SUBSTITUTE(tblBuildings[[#This Row],[costtext]], ",", "")) + 1)</f>
        <v>8</v>
      </c>
      <c r="P2">
        <f>COUNTIF(tblBuildings[[#This Row],[anchor]:[wood]],"&gt;0")</f>
        <v>8</v>
      </c>
      <c r="AA2">
        <v>200</v>
      </c>
      <c r="AC2">
        <v>2000</v>
      </c>
      <c r="BA2">
        <v>50</v>
      </c>
      <c r="BG2">
        <v>40</v>
      </c>
      <c r="BP2">
        <v>20</v>
      </c>
      <c r="BS2">
        <v>10</v>
      </c>
      <c r="BV2">
        <v>120</v>
      </c>
      <c r="CD2">
        <v>20</v>
      </c>
    </row>
    <row r="3" spans="1:86">
      <c r="A3" s="6" t="s">
        <v>15</v>
      </c>
      <c r="B3" s="6" t="s">
        <v>14</v>
      </c>
      <c r="C3" t="s">
        <v>14</v>
      </c>
      <c r="D3" s="6" t="str">
        <f>_xlfn.XLOOKUP(tblBuildings[[#This Row],[BuildingID]],tblTargets[TargetID],tblTargets[DisplayName],"")</f>
        <v>Airship Lv 2</v>
      </c>
      <c r="E3" t="b">
        <v>1</v>
      </c>
      <c r="F3">
        <v>2</v>
      </c>
      <c r="H3" t="s">
        <v>182</v>
      </c>
      <c r="I3" s="6"/>
      <c r="J3" t="s">
        <v>244</v>
      </c>
      <c r="L3" t="s">
        <v>570</v>
      </c>
      <c r="N3" t="s">
        <v>245</v>
      </c>
      <c r="O3">
        <f>IF(tblBuildings[[#This Row],[costtext]]="", 0, LEN(tblBuildings[[#This Row],[costtext]]) - LEN(SUBSTITUTE(tblBuildings[[#This Row],[costtext]], ",", "")) + 1)</f>
        <v>7</v>
      </c>
      <c r="P3">
        <f>COUNTIF(tblBuildings[[#This Row],[anchor]:[wood]],"&gt;0")</f>
        <v>7</v>
      </c>
      <c r="AC3">
        <v>3000</v>
      </c>
      <c r="AH3">
        <v>50</v>
      </c>
      <c r="AJ3">
        <v>20</v>
      </c>
      <c r="BL3">
        <v>60</v>
      </c>
      <c r="BS3">
        <v>12</v>
      </c>
      <c r="BV3">
        <v>100</v>
      </c>
      <c r="CD3">
        <v>10</v>
      </c>
    </row>
    <row r="4" spans="1:86">
      <c r="A4" s="6" t="s">
        <v>16</v>
      </c>
      <c r="B4" s="6" t="s">
        <v>17</v>
      </c>
      <c r="C4" t="s">
        <v>18</v>
      </c>
      <c r="D4" s="6" t="str">
        <f>_xlfn.XLOOKUP(tblBuildings[[#This Row],[BuildingID]],tblTargets[TargetID],tblTargets[DisplayName],"")</f>
        <v>Alchemist's Hut Lv 1</v>
      </c>
      <c r="E4" t="b">
        <v>1</v>
      </c>
      <c r="F4">
        <v>1</v>
      </c>
      <c r="G4">
        <v>6</v>
      </c>
      <c r="H4" t="s">
        <v>183</v>
      </c>
      <c r="I4" s="6"/>
      <c r="J4" t="s">
        <v>246</v>
      </c>
      <c r="L4" t="s">
        <v>328</v>
      </c>
      <c r="N4" t="s">
        <v>247</v>
      </c>
      <c r="O4">
        <f>IF(tblBuildings[[#This Row],[costtext]]="", 0, LEN(tblBuildings[[#This Row],[costtext]]) - LEN(SUBSTITUTE(tblBuildings[[#This Row],[costtext]], ",", "")) + 1)</f>
        <v>4</v>
      </c>
      <c r="P4">
        <f>COUNTIF(tblBuildings[[#This Row],[anchor]:[wood]],"&gt;0")</f>
        <v>4</v>
      </c>
      <c r="AC4">
        <v>140</v>
      </c>
      <c r="BS4">
        <v>1</v>
      </c>
      <c r="CB4">
        <v>70</v>
      </c>
      <c r="CH4">
        <v>70</v>
      </c>
    </row>
    <row r="5" spans="1:86">
      <c r="A5" s="6" t="s">
        <v>19</v>
      </c>
      <c r="B5" s="6" t="s">
        <v>17</v>
      </c>
      <c r="C5" t="s">
        <v>18</v>
      </c>
      <c r="D5" s="6" t="str">
        <f>_xlfn.XLOOKUP(tblBuildings[[#This Row],[BuildingID]],tblTargets[TargetID],tblTargets[DisplayName],"")</f>
        <v>Alchemist's Hut Lv 2</v>
      </c>
      <c r="E5" t="b">
        <v>1</v>
      </c>
      <c r="F5">
        <v>2</v>
      </c>
      <c r="H5" t="s">
        <v>184</v>
      </c>
      <c r="I5" s="6"/>
      <c r="J5" t="s">
        <v>248</v>
      </c>
      <c r="L5" t="s">
        <v>571</v>
      </c>
      <c r="N5" t="s">
        <v>249</v>
      </c>
      <c r="O5">
        <f>IF(tblBuildings[[#This Row],[costtext]]="", 0, LEN(tblBuildings[[#This Row],[costtext]]) - LEN(SUBSTITUTE(tblBuildings[[#This Row],[costtext]], ",", "")) + 1)</f>
        <v>5</v>
      </c>
      <c r="P5">
        <f>COUNTIF(tblBuildings[[#This Row],[anchor]:[wood]],"&gt;0")</f>
        <v>5</v>
      </c>
      <c r="AA5">
        <v>20</v>
      </c>
      <c r="AC5">
        <v>200</v>
      </c>
      <c r="BS5">
        <v>2</v>
      </c>
      <c r="CB5">
        <v>100</v>
      </c>
      <c r="CH5">
        <v>100</v>
      </c>
    </row>
    <row r="6" spans="1:86">
      <c r="A6" s="6" t="s">
        <v>20</v>
      </c>
      <c r="B6" s="6" t="s">
        <v>17</v>
      </c>
      <c r="C6" t="s">
        <v>18</v>
      </c>
      <c r="D6" s="6" t="str">
        <f>_xlfn.XLOOKUP(tblBuildings[[#This Row],[BuildingID]],tblTargets[TargetID],tblTargets[DisplayName],"")</f>
        <v>Alchemist's Hut Lv 3</v>
      </c>
      <c r="E6" t="b">
        <v>1</v>
      </c>
      <c r="F6">
        <v>3</v>
      </c>
      <c r="H6" t="s">
        <v>183</v>
      </c>
      <c r="I6" s="6"/>
      <c r="J6" t="s">
        <v>250</v>
      </c>
      <c r="L6" t="s">
        <v>572</v>
      </c>
      <c r="N6" t="s">
        <v>251</v>
      </c>
      <c r="O6">
        <f>IF(tblBuildings[[#This Row],[costtext]]="", 0, LEN(tblBuildings[[#This Row],[costtext]]) - LEN(SUBSTITUTE(tblBuildings[[#This Row],[costtext]], ",", "")) + 1)</f>
        <v>6</v>
      </c>
      <c r="P6">
        <f>COUNTIF(tblBuildings[[#This Row],[anchor]:[wood]],"&gt;0")</f>
        <v>6</v>
      </c>
      <c r="U6">
        <v>300</v>
      </c>
      <c r="Z6">
        <v>40</v>
      </c>
      <c r="AA6">
        <v>40</v>
      </c>
      <c r="AC6">
        <v>300</v>
      </c>
      <c r="BS6">
        <v>3</v>
      </c>
      <c r="CB6">
        <v>150</v>
      </c>
    </row>
    <row r="7" spans="1:86">
      <c r="A7" s="6" t="s">
        <v>21</v>
      </c>
      <c r="B7" s="6" t="s">
        <v>17</v>
      </c>
      <c r="C7" t="s">
        <v>18</v>
      </c>
      <c r="D7" s="6" t="str">
        <f>_xlfn.XLOOKUP(tblBuildings[[#This Row],[BuildingID]],tblTargets[TargetID],tblTargets[DisplayName],"")</f>
        <v>Alchemist's Hut Lv 4</v>
      </c>
      <c r="E7" t="b">
        <v>1</v>
      </c>
      <c r="F7">
        <v>4</v>
      </c>
      <c r="H7" t="s">
        <v>183</v>
      </c>
      <c r="I7" s="6"/>
      <c r="J7" t="s">
        <v>252</v>
      </c>
      <c r="L7" t="s">
        <v>573</v>
      </c>
      <c r="N7" t="s">
        <v>253</v>
      </c>
      <c r="O7">
        <f>IF(tblBuildings[[#This Row],[costtext]]="", 0, LEN(tblBuildings[[#This Row],[costtext]]) - LEN(SUBSTITUTE(tblBuildings[[#This Row],[costtext]], ",", "")) + 1)</f>
        <v>5</v>
      </c>
      <c r="P7">
        <f>COUNTIF(tblBuildings[[#This Row],[anchor]:[wood]],"&gt;0")</f>
        <v>5</v>
      </c>
      <c r="U7">
        <v>400</v>
      </c>
      <c r="AC7">
        <v>400</v>
      </c>
      <c r="AO7">
        <v>40</v>
      </c>
      <c r="BS7">
        <v>4</v>
      </c>
      <c r="CB7">
        <v>200</v>
      </c>
    </row>
    <row r="8" spans="1:86">
      <c r="A8" s="6" t="s">
        <v>22</v>
      </c>
      <c r="B8" s="6" t="s">
        <v>17</v>
      </c>
      <c r="C8" t="s">
        <v>18</v>
      </c>
      <c r="D8" s="6" t="str">
        <f>_xlfn.XLOOKUP(tblBuildings[[#This Row],[BuildingID]],tblTargets[TargetID],tblTargets[DisplayName],"")</f>
        <v>Alchemist's Hut Lv 5</v>
      </c>
      <c r="E8" t="b">
        <v>1</v>
      </c>
      <c r="F8">
        <v>5</v>
      </c>
      <c r="H8" t="s">
        <v>183</v>
      </c>
      <c r="I8" s="6"/>
      <c r="J8" t="s">
        <v>254</v>
      </c>
      <c r="L8" t="s">
        <v>574</v>
      </c>
      <c r="N8" t="s">
        <v>255</v>
      </c>
      <c r="O8">
        <f>IF(tblBuildings[[#This Row],[costtext]]="", 0, LEN(tblBuildings[[#This Row],[costtext]]) - LEN(SUBSTITUTE(tblBuildings[[#This Row],[costtext]], ",", "")) + 1)</f>
        <v>5</v>
      </c>
      <c r="P8">
        <f>COUNTIF(tblBuildings[[#This Row],[anchor]:[wood]],"&gt;0")</f>
        <v>5</v>
      </c>
      <c r="U8">
        <v>440</v>
      </c>
      <c r="AC8">
        <v>500</v>
      </c>
      <c r="AO8">
        <v>80</v>
      </c>
      <c r="BS8">
        <v>5</v>
      </c>
      <c r="CB8">
        <v>220</v>
      </c>
    </row>
    <row r="9" spans="1:86">
      <c r="A9" s="6" t="s">
        <v>23</v>
      </c>
      <c r="B9" s="6" t="s">
        <v>17</v>
      </c>
      <c r="C9" t="s">
        <v>18</v>
      </c>
      <c r="D9" s="6" t="str">
        <f>_xlfn.XLOOKUP(tblBuildings[[#This Row],[BuildingID]],tblTargets[TargetID],tblTargets[DisplayName],"")</f>
        <v>Alchemist's Hut Lv 6</v>
      </c>
      <c r="E9" t="b">
        <v>1</v>
      </c>
      <c r="F9">
        <v>6</v>
      </c>
      <c r="G9">
        <v>32</v>
      </c>
      <c r="H9" t="s">
        <v>183</v>
      </c>
      <c r="I9" s="6"/>
      <c r="J9" t="s">
        <v>256</v>
      </c>
      <c r="L9" t="s">
        <v>575</v>
      </c>
      <c r="N9" t="s">
        <v>257</v>
      </c>
      <c r="O9">
        <f>IF(tblBuildings[[#This Row],[costtext]]="", 0, LEN(tblBuildings[[#This Row],[costtext]]) - LEN(SUBSTITUTE(tblBuildings[[#This Row],[costtext]], ",", "")) + 1)</f>
        <v>6</v>
      </c>
      <c r="P9">
        <f>COUNTIF(tblBuildings[[#This Row],[anchor]:[wood]],"&gt;0")</f>
        <v>6</v>
      </c>
      <c r="U9">
        <v>800</v>
      </c>
      <c r="AA9">
        <v>200</v>
      </c>
      <c r="AC9">
        <v>1000</v>
      </c>
      <c r="AK9">
        <v>50</v>
      </c>
      <c r="BS9">
        <v>6</v>
      </c>
      <c r="CB9">
        <v>400</v>
      </c>
    </row>
    <row r="10" spans="1:86">
      <c r="A10" s="6" t="s">
        <v>24</v>
      </c>
      <c r="B10" s="6" t="s">
        <v>25</v>
      </c>
      <c r="C10" t="s">
        <v>25</v>
      </c>
      <c r="D10" s="6" t="str">
        <f>_xlfn.XLOOKUP(tblBuildings[[#This Row],[BuildingID]],tblTargets[TargetID],tblTargets[DisplayName],"")</f>
        <v>Bonsai Lv 1</v>
      </c>
      <c r="E10" t="b">
        <v>1</v>
      </c>
      <c r="F10">
        <v>1</v>
      </c>
      <c r="G10">
        <v>21</v>
      </c>
      <c r="H10" t="s">
        <v>185</v>
      </c>
      <c r="I10" s="6"/>
      <c r="J10" t="s">
        <v>258</v>
      </c>
      <c r="L10" t="s">
        <v>328</v>
      </c>
      <c r="N10" t="s">
        <v>259</v>
      </c>
      <c r="O10">
        <f>IF(tblBuildings[[#This Row],[costtext]]="", 0, LEN(tblBuildings[[#This Row],[costtext]]) - LEN(SUBSTITUTE(tblBuildings[[#This Row],[costtext]], ",", "")) + 1)</f>
        <v>4</v>
      </c>
      <c r="P10">
        <f>COUNTIF(tblBuildings[[#This Row],[anchor]:[wood]],"&gt;0")</f>
        <v>4</v>
      </c>
      <c r="V10">
        <v>120</v>
      </c>
      <c r="AC10">
        <v>500</v>
      </c>
      <c r="BL10">
        <v>500</v>
      </c>
      <c r="BS10">
        <v>3</v>
      </c>
    </row>
    <row r="11" spans="1:86">
      <c r="A11" s="6" t="s">
        <v>26</v>
      </c>
      <c r="B11" s="6" t="s">
        <v>25</v>
      </c>
      <c r="C11" t="s">
        <v>25</v>
      </c>
      <c r="D11" s="6" t="str">
        <f>_xlfn.XLOOKUP(tblBuildings[[#This Row],[BuildingID]],tblTargets[TargetID],tblTargets[DisplayName],"")</f>
        <v>Bonsai Lv 2</v>
      </c>
      <c r="E11" t="b">
        <v>1</v>
      </c>
      <c r="F11">
        <v>2</v>
      </c>
      <c r="H11" t="s">
        <v>186</v>
      </c>
      <c r="I11" s="6"/>
      <c r="J11" t="s">
        <v>260</v>
      </c>
      <c r="L11" t="s">
        <v>576</v>
      </c>
      <c r="N11" t="s">
        <v>261</v>
      </c>
      <c r="O11">
        <f>IF(tblBuildings[[#This Row],[costtext]]="", 0, LEN(tblBuildings[[#This Row],[costtext]]) - LEN(SUBSTITUTE(tblBuildings[[#This Row],[costtext]], ",", "")) + 1)</f>
        <v>5</v>
      </c>
      <c r="P11">
        <f>COUNTIF(tblBuildings[[#This Row],[anchor]:[wood]],"&gt;0")</f>
        <v>5</v>
      </c>
      <c r="V11">
        <v>240</v>
      </c>
      <c r="AA11">
        <v>150</v>
      </c>
      <c r="AC11">
        <v>800</v>
      </c>
      <c r="BL11">
        <v>600</v>
      </c>
      <c r="BS11">
        <v>5</v>
      </c>
    </row>
    <row r="12" spans="1:86">
      <c r="A12" s="6" t="s">
        <v>27</v>
      </c>
      <c r="B12" s="6" t="s">
        <v>28</v>
      </c>
      <c r="C12" t="s">
        <v>28</v>
      </c>
      <c r="D12" s="6" t="str">
        <f>_xlfn.XLOOKUP(tblBuildings[[#This Row],[BuildingID]],tblTargets[TargetID],tblTargets[DisplayName],"")</f>
        <v>Bridge Lv 1</v>
      </c>
      <c r="E12" t="b">
        <v>1</v>
      </c>
      <c r="F12">
        <v>1</v>
      </c>
      <c r="G12">
        <v>30</v>
      </c>
      <c r="H12" t="s">
        <v>187</v>
      </c>
      <c r="I12" s="6"/>
      <c r="J12" t="s">
        <v>262</v>
      </c>
      <c r="L12" t="s">
        <v>328</v>
      </c>
      <c r="N12" t="s">
        <v>263</v>
      </c>
      <c r="O12">
        <f>IF(tblBuildings[[#This Row],[costtext]]="", 0, LEN(tblBuildings[[#This Row],[costtext]]) - LEN(SUBSTITUTE(tblBuildings[[#This Row],[costtext]], ",", "")) + 1)</f>
        <v>6</v>
      </c>
      <c r="P12">
        <f>COUNTIF(tblBuildings[[#This Row],[anchor]:[wood]],"&gt;0")</f>
        <v>6</v>
      </c>
      <c r="U12">
        <v>400</v>
      </c>
      <c r="AC12">
        <v>1000</v>
      </c>
      <c r="BL12">
        <v>1000</v>
      </c>
      <c r="BS12">
        <v>4</v>
      </c>
      <c r="CA12">
        <v>100</v>
      </c>
      <c r="CB12">
        <v>400</v>
      </c>
    </row>
    <row r="13" spans="1:86">
      <c r="A13" s="6" t="s">
        <v>29</v>
      </c>
      <c r="B13" s="6" t="s">
        <v>30</v>
      </c>
      <c r="C13" t="s">
        <v>30</v>
      </c>
      <c r="D13" s="6" t="str">
        <f>_xlfn.XLOOKUP(tblBuildings[[#This Row],[BuildingID]],tblTargets[TargetID],tblTargets[DisplayName],"")</f>
        <v>Caravan Lv 1</v>
      </c>
      <c r="E13" t="b">
        <v>1</v>
      </c>
      <c r="F13">
        <v>1</v>
      </c>
      <c r="G13">
        <v>30</v>
      </c>
      <c r="H13" t="s">
        <v>188</v>
      </c>
      <c r="I13" s="6"/>
      <c r="J13" t="s">
        <v>264</v>
      </c>
      <c r="K13" t="s">
        <v>553</v>
      </c>
      <c r="L13" t="s">
        <v>569</v>
      </c>
      <c r="N13" t="s">
        <v>265</v>
      </c>
      <c r="O13">
        <f>IF(tblBuildings[[#This Row],[costtext]]="", 0, LEN(tblBuildings[[#This Row],[costtext]]) - LEN(SUBSTITUTE(tblBuildings[[#This Row],[costtext]], ",", "")) + 1)</f>
        <v>6</v>
      </c>
      <c r="P13">
        <f>COUNTIF(tblBuildings[[#This Row],[anchor]:[wood]],"&gt;0")</f>
        <v>6</v>
      </c>
      <c r="V13">
        <v>50</v>
      </c>
      <c r="AC13">
        <v>1000</v>
      </c>
      <c r="BL13">
        <v>400</v>
      </c>
      <c r="BS13">
        <v>5</v>
      </c>
      <c r="CB13">
        <v>200</v>
      </c>
      <c r="CC13">
        <v>10</v>
      </c>
    </row>
    <row r="14" spans="1:86">
      <c r="A14" s="6" t="s">
        <v>31</v>
      </c>
      <c r="B14" s="6" t="s">
        <v>30</v>
      </c>
      <c r="C14" t="s">
        <v>30</v>
      </c>
      <c r="D14" s="6" t="str">
        <f>_xlfn.XLOOKUP(tblBuildings[[#This Row],[BuildingID]],tblTargets[TargetID],tblTargets[DisplayName],"")</f>
        <v>Caravan Lv 2</v>
      </c>
      <c r="E14" t="b">
        <v>1</v>
      </c>
      <c r="F14">
        <v>2</v>
      </c>
      <c r="H14" t="s">
        <v>189</v>
      </c>
      <c r="I14" s="6"/>
      <c r="J14" t="s">
        <v>266</v>
      </c>
      <c r="L14" t="s">
        <v>577</v>
      </c>
      <c r="N14" t="s">
        <v>267</v>
      </c>
      <c r="O14">
        <f>IF(tblBuildings[[#This Row],[costtext]]="", 0, LEN(tblBuildings[[#This Row],[costtext]]) - LEN(SUBSTITUTE(tblBuildings[[#This Row],[costtext]], ",", "")) + 1)</f>
        <v>6</v>
      </c>
      <c r="P14">
        <f>COUNTIF(tblBuildings[[#This Row],[anchor]:[wood]],"&gt;0")</f>
        <v>6</v>
      </c>
      <c r="AC14">
        <v>1200</v>
      </c>
      <c r="AH14">
        <v>50</v>
      </c>
      <c r="AQ14">
        <v>50</v>
      </c>
      <c r="BL14">
        <v>600</v>
      </c>
      <c r="BS14">
        <v>7</v>
      </c>
      <c r="CB14">
        <v>300</v>
      </c>
    </row>
    <row r="15" spans="1:86">
      <c r="A15" s="6" t="s">
        <v>32</v>
      </c>
      <c r="B15" s="6" t="s">
        <v>30</v>
      </c>
      <c r="C15" t="s">
        <v>30</v>
      </c>
      <c r="D15" s="6" t="str">
        <f>_xlfn.XLOOKUP(tblBuildings[[#This Row],[BuildingID]],tblTargets[TargetID],tblTargets[DisplayName],"")</f>
        <v>Caravan Lv 3</v>
      </c>
      <c r="E15" t="b">
        <v>1</v>
      </c>
      <c r="F15">
        <v>3</v>
      </c>
      <c r="H15" t="s">
        <v>189</v>
      </c>
      <c r="I15" s="6"/>
      <c r="J15" t="s">
        <v>268</v>
      </c>
      <c r="L15" t="s">
        <v>578</v>
      </c>
      <c r="N15" t="s">
        <v>269</v>
      </c>
      <c r="O15">
        <f>IF(tblBuildings[[#This Row],[costtext]]="", 0, LEN(tblBuildings[[#This Row],[costtext]]) - LEN(SUBSTITUTE(tblBuildings[[#This Row],[costtext]], ",", "")) + 1)</f>
        <v>6</v>
      </c>
      <c r="P15">
        <f>COUNTIF(tblBuildings[[#This Row],[anchor]:[wood]],"&gt;0")</f>
        <v>6</v>
      </c>
      <c r="AC15">
        <v>1500</v>
      </c>
      <c r="BH15">
        <v>20</v>
      </c>
      <c r="BJ15">
        <v>10</v>
      </c>
      <c r="BL15">
        <v>800</v>
      </c>
      <c r="BS15">
        <v>9</v>
      </c>
      <c r="CB15">
        <v>400</v>
      </c>
    </row>
    <row r="16" spans="1:86">
      <c r="A16" s="6" t="s">
        <v>33</v>
      </c>
      <c r="B16" s="6" t="s">
        <v>30</v>
      </c>
      <c r="C16" t="s">
        <v>30</v>
      </c>
      <c r="D16" s="6" t="str">
        <f>_xlfn.XLOOKUP(tblBuildings[[#This Row],[BuildingID]],tblTargets[TargetID],tblTargets[DisplayName],"")</f>
        <v>Caravan Lv 4</v>
      </c>
      <c r="E16" t="b">
        <v>1</v>
      </c>
      <c r="F16">
        <v>4</v>
      </c>
      <c r="H16" t="s">
        <v>189</v>
      </c>
      <c r="I16" s="6"/>
      <c r="J16" t="s">
        <v>270</v>
      </c>
      <c r="L16" t="s">
        <v>579</v>
      </c>
      <c r="N16" t="s">
        <v>271</v>
      </c>
      <c r="O16">
        <f>IF(tblBuildings[[#This Row],[costtext]]="", 0, LEN(tblBuildings[[#This Row],[costtext]]) - LEN(SUBSTITUTE(tblBuildings[[#This Row],[costtext]], ",", "")) + 1)</f>
        <v>6</v>
      </c>
      <c r="P16">
        <f>COUNTIF(tblBuildings[[#This Row],[anchor]:[wood]],"&gt;0")</f>
        <v>6</v>
      </c>
      <c r="AC16">
        <v>2000</v>
      </c>
      <c r="BL16">
        <v>1000</v>
      </c>
      <c r="BS16">
        <v>12</v>
      </c>
      <c r="BV16">
        <v>30</v>
      </c>
      <c r="BZ16">
        <v>5</v>
      </c>
      <c r="CB16">
        <v>500</v>
      </c>
    </row>
    <row r="17" spans="1:86">
      <c r="A17" s="6" t="s">
        <v>34</v>
      </c>
      <c r="B17" s="6" t="s">
        <v>35</v>
      </c>
      <c r="C17" t="s">
        <v>35</v>
      </c>
      <c r="D17" s="6" t="str">
        <f>_xlfn.XLOOKUP(tblBuildings[[#This Row],[BuildingID]],tblTargets[TargetID],tblTargets[DisplayName],"")</f>
        <v>Chicken Lv 1</v>
      </c>
      <c r="E17" t="b">
        <v>1</v>
      </c>
      <c r="F17">
        <v>1</v>
      </c>
      <c r="G17">
        <v>15</v>
      </c>
      <c r="H17" t="s">
        <v>183</v>
      </c>
      <c r="I17" s="6"/>
      <c r="J17" t="s">
        <v>272</v>
      </c>
      <c r="L17" t="s">
        <v>328</v>
      </c>
      <c r="N17" t="s">
        <v>273</v>
      </c>
      <c r="O17">
        <f>IF(tblBuildings[[#This Row],[costtext]]="", 0, LEN(tblBuildings[[#This Row],[costtext]]) - LEN(SUBSTITUTE(tblBuildings[[#This Row],[costtext]], ",", "")) + 1)</f>
        <v>7</v>
      </c>
      <c r="P17">
        <f>COUNTIF(tblBuildings[[#This Row],[anchor]:[wood]],"&gt;0")</f>
        <v>7</v>
      </c>
      <c r="U17">
        <v>400</v>
      </c>
      <c r="AC17">
        <v>400</v>
      </c>
      <c r="AF17">
        <v>1</v>
      </c>
      <c r="BS17">
        <v>2</v>
      </c>
      <c r="CB17">
        <v>200</v>
      </c>
      <c r="CD17">
        <v>10</v>
      </c>
      <c r="CG17">
        <v>20</v>
      </c>
    </row>
    <row r="18" spans="1:86">
      <c r="A18" s="6" t="s">
        <v>36</v>
      </c>
      <c r="B18" s="6" t="s">
        <v>35</v>
      </c>
      <c r="C18" t="s">
        <v>35</v>
      </c>
      <c r="D18" s="6" t="str">
        <f>_xlfn.XLOOKUP(tblBuildings[[#This Row],[BuildingID]],tblTargets[TargetID],tblTargets[DisplayName],"")</f>
        <v>Chicken Lv 2</v>
      </c>
      <c r="E18" t="b">
        <v>1</v>
      </c>
      <c r="F18">
        <v>2</v>
      </c>
      <c r="H18" t="s">
        <v>190</v>
      </c>
      <c r="I18" s="6"/>
      <c r="J18" t="s">
        <v>274</v>
      </c>
      <c r="L18" t="s">
        <v>580</v>
      </c>
      <c r="N18" t="s">
        <v>275</v>
      </c>
      <c r="O18">
        <f>IF(tblBuildings[[#This Row],[costtext]]="", 0, LEN(tblBuildings[[#This Row],[costtext]]) - LEN(SUBSTITUTE(tblBuildings[[#This Row],[costtext]], ",", "")) + 1)</f>
        <v>7</v>
      </c>
      <c r="P18">
        <f>COUNTIF(tblBuildings[[#This Row],[anchor]:[wood]],"&gt;0")</f>
        <v>7</v>
      </c>
      <c r="U18">
        <v>600</v>
      </c>
      <c r="AC18">
        <v>600</v>
      </c>
      <c r="AF18">
        <v>1</v>
      </c>
      <c r="BS18">
        <v>3</v>
      </c>
      <c r="CB18">
        <v>300</v>
      </c>
      <c r="CD18">
        <v>10</v>
      </c>
      <c r="CG18">
        <v>20</v>
      </c>
    </row>
    <row r="19" spans="1:86" ht="29">
      <c r="A19" s="6" t="s">
        <v>37</v>
      </c>
      <c r="B19" s="6" t="s">
        <v>38</v>
      </c>
      <c r="C19" t="s">
        <v>38</v>
      </c>
      <c r="D19" s="6" t="str">
        <f>_xlfn.XLOOKUP(tblBuildings[[#This Row],[BuildingID]],tblTargets[TargetID],tblTargets[DisplayName],"")</f>
        <v>Dairy Lv 1</v>
      </c>
      <c r="E19" t="b">
        <v>1</v>
      </c>
      <c r="F19">
        <v>1</v>
      </c>
      <c r="G19">
        <v>15</v>
      </c>
      <c r="H19" t="s">
        <v>183</v>
      </c>
      <c r="I19" s="6" t="s">
        <v>166</v>
      </c>
      <c r="J19" t="s">
        <v>276</v>
      </c>
      <c r="K19" t="s">
        <v>554</v>
      </c>
      <c r="L19" s="2" t="s">
        <v>581</v>
      </c>
      <c r="N19" t="s">
        <v>277</v>
      </c>
      <c r="O19">
        <f>IF(tblBuildings[[#This Row],[costtext]]="", 0, LEN(tblBuildings[[#This Row],[costtext]]) - LEN(SUBSTITUTE(tblBuildings[[#This Row],[costtext]], ",", "")) + 1)</f>
        <v>9</v>
      </c>
      <c r="P19">
        <f>COUNTIF(tblBuildings[[#This Row],[anchor]:[wood]],"&gt;0")</f>
        <v>9</v>
      </c>
      <c r="U19">
        <v>700</v>
      </c>
      <c r="AC19">
        <v>1000</v>
      </c>
      <c r="AK19">
        <v>40</v>
      </c>
      <c r="AL19">
        <v>1</v>
      </c>
      <c r="AP19">
        <v>20</v>
      </c>
      <c r="BS19">
        <v>5</v>
      </c>
      <c r="CB19">
        <v>300</v>
      </c>
      <c r="CD19">
        <v>20</v>
      </c>
      <c r="CG19">
        <v>100</v>
      </c>
    </row>
    <row r="20" spans="1:86">
      <c r="A20" s="6" t="s">
        <v>39</v>
      </c>
      <c r="B20" s="6" t="s">
        <v>38</v>
      </c>
      <c r="C20" t="s">
        <v>38</v>
      </c>
      <c r="D20" s="6" t="str">
        <f>_xlfn.XLOOKUP(tblBuildings[[#This Row],[BuildingID]],tblTargets[TargetID],tblTargets[DisplayName],"")</f>
        <v>Dairy Lv 2</v>
      </c>
      <c r="E20" t="b">
        <v>1</v>
      </c>
      <c r="F20">
        <v>2</v>
      </c>
      <c r="H20" t="s">
        <v>191</v>
      </c>
      <c r="I20" s="6"/>
      <c r="J20" t="s">
        <v>278</v>
      </c>
      <c r="L20" t="s">
        <v>582</v>
      </c>
      <c r="N20" t="s">
        <v>279</v>
      </c>
      <c r="O20">
        <f>IF(tblBuildings[[#This Row],[costtext]]="", 0, LEN(tblBuildings[[#This Row],[costtext]]) - LEN(SUBSTITUTE(tblBuildings[[#This Row],[costtext]], ",", "")) + 1)</f>
        <v>9</v>
      </c>
      <c r="P20">
        <f>COUNTIF(tblBuildings[[#This Row],[anchor]:[wood]],"&gt;0")</f>
        <v>9</v>
      </c>
      <c r="T20">
        <v>20</v>
      </c>
      <c r="U20">
        <v>900</v>
      </c>
      <c r="AC20">
        <v>1000</v>
      </c>
      <c r="AG20">
        <v>10</v>
      </c>
      <c r="AN20">
        <v>5</v>
      </c>
      <c r="AZ20">
        <v>20</v>
      </c>
      <c r="BS20">
        <v>5</v>
      </c>
      <c r="CB20">
        <v>500</v>
      </c>
      <c r="CD20">
        <v>30</v>
      </c>
    </row>
    <row r="21" spans="1:86">
      <c r="A21" s="6" t="s">
        <v>40</v>
      </c>
      <c r="B21" s="6" t="s">
        <v>41</v>
      </c>
      <c r="C21" t="s">
        <v>41</v>
      </c>
      <c r="D21" s="6" t="str">
        <f>_xlfn.XLOOKUP(tblBuildings[[#This Row],[BuildingID]],tblTargets[TargetID],tblTargets[DisplayName],"")</f>
        <v>Dungeon Lv 1</v>
      </c>
      <c r="E21" t="b">
        <v>1</v>
      </c>
      <c r="F21">
        <v>1</v>
      </c>
      <c r="G21">
        <v>10</v>
      </c>
      <c r="H21" t="s">
        <v>192</v>
      </c>
      <c r="I21" s="6"/>
      <c r="J21" t="s">
        <v>280</v>
      </c>
      <c r="L21" t="s">
        <v>328</v>
      </c>
      <c r="N21" t="s">
        <v>281</v>
      </c>
      <c r="O21">
        <f>IF(tblBuildings[[#This Row],[costtext]]="", 0, LEN(tblBuildings[[#This Row],[costtext]]) - LEN(SUBSTITUTE(tblBuildings[[#This Row],[costtext]], ",", "")) + 1)</f>
        <v>6</v>
      </c>
      <c r="P21">
        <f>COUNTIF(tblBuildings[[#This Row],[anchor]:[wood]],"&gt;0")</f>
        <v>6</v>
      </c>
      <c r="AC21">
        <v>300</v>
      </c>
      <c r="AH21">
        <v>30</v>
      </c>
      <c r="BS21">
        <v>1</v>
      </c>
      <c r="CA21">
        <v>100</v>
      </c>
      <c r="CB21">
        <v>50</v>
      </c>
      <c r="CH21">
        <v>200</v>
      </c>
    </row>
    <row r="22" spans="1:86">
      <c r="A22" s="6" t="s">
        <v>42</v>
      </c>
      <c r="B22" s="6" t="s">
        <v>41</v>
      </c>
      <c r="C22" t="s">
        <v>41</v>
      </c>
      <c r="D22" s="6" t="str">
        <f>_xlfn.XLOOKUP(tblBuildings[[#This Row],[BuildingID]],tblTargets[TargetID],tblTargets[DisplayName],"")</f>
        <v>Dungeon Lv 2</v>
      </c>
      <c r="E22" t="b">
        <v>1</v>
      </c>
      <c r="F22">
        <v>2</v>
      </c>
      <c r="G22">
        <v>20</v>
      </c>
      <c r="H22" t="s">
        <v>193</v>
      </c>
      <c r="I22" s="6"/>
      <c r="J22" t="s">
        <v>282</v>
      </c>
      <c r="L22" t="s">
        <v>583</v>
      </c>
      <c r="N22" t="s">
        <v>283</v>
      </c>
      <c r="O22">
        <f>IF(tblBuildings[[#This Row],[costtext]]="", 0, LEN(tblBuildings[[#This Row],[costtext]]) - LEN(SUBSTITUTE(tblBuildings[[#This Row],[costtext]], ",", "")) + 1)</f>
        <v>7</v>
      </c>
      <c r="P22">
        <f>COUNTIF(tblBuildings[[#This Row],[anchor]:[wood]],"&gt;0")</f>
        <v>7</v>
      </c>
      <c r="U22">
        <v>500</v>
      </c>
      <c r="W22">
        <v>5</v>
      </c>
      <c r="AC22">
        <v>500</v>
      </c>
      <c r="BG22">
        <v>15</v>
      </c>
      <c r="BK22">
        <v>100</v>
      </c>
      <c r="BS22">
        <v>2</v>
      </c>
      <c r="CA22">
        <v>400</v>
      </c>
    </row>
    <row r="23" spans="1:86">
      <c r="A23" s="6" t="s">
        <v>43</v>
      </c>
      <c r="B23" s="6" t="s">
        <v>41</v>
      </c>
      <c r="C23" t="s">
        <v>41</v>
      </c>
      <c r="D23" s="6" t="str">
        <f>_xlfn.XLOOKUP(tblBuildings[[#This Row],[BuildingID]],tblTargets[TargetID],tblTargets[DisplayName],"")</f>
        <v>Dungeon Lv 3</v>
      </c>
      <c r="E23" t="b">
        <v>1</v>
      </c>
      <c r="F23">
        <v>3</v>
      </c>
      <c r="G23">
        <v>30</v>
      </c>
      <c r="H23" t="s">
        <v>194</v>
      </c>
      <c r="I23" s="6"/>
      <c r="J23" t="s">
        <v>284</v>
      </c>
      <c r="L23" t="s">
        <v>584</v>
      </c>
      <c r="N23" t="s">
        <v>285</v>
      </c>
      <c r="O23">
        <f>IF(tblBuildings[[#This Row],[costtext]]="", 0, LEN(tblBuildings[[#This Row],[costtext]]) - LEN(SUBSTITUTE(tblBuildings[[#This Row],[costtext]], ",", "")) + 1)</f>
        <v>7</v>
      </c>
      <c r="P23">
        <f>COUNTIF(tblBuildings[[#This Row],[anchor]:[wood]],"&gt;0")</f>
        <v>7</v>
      </c>
      <c r="U23">
        <v>500</v>
      </c>
      <c r="AC23">
        <v>1000</v>
      </c>
      <c r="AU23">
        <v>50</v>
      </c>
      <c r="BG23">
        <v>15</v>
      </c>
      <c r="BO23">
        <v>3</v>
      </c>
      <c r="BS23">
        <v>3</v>
      </c>
      <c r="CA23">
        <v>400</v>
      </c>
    </row>
    <row r="24" spans="1:86">
      <c r="A24" s="6" t="s">
        <v>44</v>
      </c>
      <c r="B24" s="6" t="s">
        <v>41</v>
      </c>
      <c r="C24" t="s">
        <v>41</v>
      </c>
      <c r="D24" s="6" t="str">
        <f>_xlfn.XLOOKUP(tblBuildings[[#This Row],[BuildingID]],tblTargets[TargetID],tblTargets[DisplayName],"")</f>
        <v>Dungeon Lv 4</v>
      </c>
      <c r="E24" t="b">
        <v>1</v>
      </c>
      <c r="F24">
        <v>4</v>
      </c>
      <c r="G24">
        <v>40</v>
      </c>
      <c r="H24" t="s">
        <v>195</v>
      </c>
      <c r="I24" s="6"/>
      <c r="J24" t="s">
        <v>286</v>
      </c>
      <c r="L24" t="s">
        <v>585</v>
      </c>
      <c r="N24" t="s">
        <v>287</v>
      </c>
      <c r="O24">
        <f>IF(tblBuildings[[#This Row],[costtext]]="", 0, LEN(tblBuildings[[#This Row],[costtext]]) - LEN(SUBSTITUTE(tblBuildings[[#This Row],[costtext]], ",", "")) + 1)</f>
        <v>7</v>
      </c>
      <c r="P24">
        <f>COUNTIF(tblBuildings[[#This Row],[anchor]:[wood]],"&gt;0")</f>
        <v>7</v>
      </c>
      <c r="U24">
        <v>750</v>
      </c>
      <c r="AB24">
        <v>5</v>
      </c>
      <c r="AC24">
        <v>1500</v>
      </c>
      <c r="BF24">
        <v>30</v>
      </c>
      <c r="BG24">
        <v>20</v>
      </c>
      <c r="BM24">
        <v>20</v>
      </c>
      <c r="BS24">
        <v>5</v>
      </c>
    </row>
    <row r="25" spans="1:86">
      <c r="A25" s="6" t="s">
        <v>45</v>
      </c>
      <c r="B25" s="6" t="s">
        <v>41</v>
      </c>
      <c r="C25" t="s">
        <v>41</v>
      </c>
      <c r="D25" s="6" t="str">
        <f>_xlfn.XLOOKUP(tblBuildings[[#This Row],[BuildingID]],tblTargets[TargetID],tblTargets[DisplayName],"")</f>
        <v>Dungeon Lv 5</v>
      </c>
      <c r="E25" t="b">
        <v>1</v>
      </c>
      <c r="F25">
        <v>5</v>
      </c>
      <c r="G25">
        <v>50</v>
      </c>
      <c r="H25" t="s">
        <v>196</v>
      </c>
      <c r="I25" s="6"/>
      <c r="J25" t="s">
        <v>288</v>
      </c>
      <c r="L25" t="s">
        <v>586</v>
      </c>
      <c r="N25" t="s">
        <v>289</v>
      </c>
      <c r="O25">
        <f>IF(tblBuildings[[#This Row],[costtext]]="", 0, LEN(tblBuildings[[#This Row],[costtext]]) - LEN(SUBSTITUTE(tblBuildings[[#This Row],[costtext]], ",", "")) + 1)</f>
        <v>6</v>
      </c>
      <c r="P25">
        <f>COUNTIF(tblBuildings[[#This Row],[anchor]:[wood]],"&gt;0")</f>
        <v>6</v>
      </c>
      <c r="U25">
        <v>1000</v>
      </c>
      <c r="AC25">
        <v>2000</v>
      </c>
      <c r="BC25">
        <v>10</v>
      </c>
      <c r="BG25">
        <v>25</v>
      </c>
      <c r="BS25">
        <v>7</v>
      </c>
      <c r="BW25">
        <v>10</v>
      </c>
    </row>
    <row r="26" spans="1:86">
      <c r="A26" s="6" t="s">
        <v>6058</v>
      </c>
      <c r="B26" s="6" t="s">
        <v>6059</v>
      </c>
      <c r="C26" t="s">
        <v>6059</v>
      </c>
      <c r="D26" s="6" t="str">
        <f>_xlfn.XLOOKUP(tblBuildings[[#This Row],[BuildingID]],tblTargets[TargetID],tblTargets[DisplayName],"")</f>
        <v>Tunnel</v>
      </c>
      <c r="E26" t="b">
        <v>1</v>
      </c>
      <c r="F26">
        <v>1</v>
      </c>
      <c r="H26" t="s">
        <v>197</v>
      </c>
      <c r="I26" s="6" t="s">
        <v>167</v>
      </c>
      <c r="J26" t="s">
        <v>290</v>
      </c>
      <c r="K26" t="s">
        <v>555</v>
      </c>
      <c r="L26" t="s">
        <v>587</v>
      </c>
      <c r="N26" t="s">
        <v>291</v>
      </c>
      <c r="O26">
        <f>IF(tblBuildings[[#This Row],[costtext]]="", 0, LEN(tblBuildings[[#This Row],[costtext]]) - LEN(SUBSTITUTE(tblBuildings[[#This Row],[costtext]], ",", "")) + 1)</f>
        <v>9</v>
      </c>
      <c r="P26">
        <f>COUNTIF(tblBuildings[[#This Row],[anchor]:[wood]],"&gt;0")</f>
        <v>9</v>
      </c>
      <c r="U26">
        <v>8000</v>
      </c>
      <c r="Y26">
        <v>100</v>
      </c>
      <c r="AC26">
        <v>1000</v>
      </c>
      <c r="AW26">
        <v>40</v>
      </c>
      <c r="BI26">
        <v>100</v>
      </c>
      <c r="BK26">
        <v>100</v>
      </c>
      <c r="BS26">
        <v>5</v>
      </c>
      <c r="CA26">
        <v>1000</v>
      </c>
      <c r="CB26">
        <v>500</v>
      </c>
    </row>
    <row r="27" spans="1:86">
      <c r="A27" s="6" t="s">
        <v>46</v>
      </c>
      <c r="B27" s="6" t="s">
        <v>47</v>
      </c>
      <c r="C27" t="s">
        <v>47</v>
      </c>
      <c r="D27" s="6" t="str">
        <f>_xlfn.XLOOKUP(tblBuildings[[#This Row],[BuildingID]],tblTargets[TargetID],tblTargets[DisplayName],"")</f>
        <v>Fermentory Lv 1</v>
      </c>
      <c r="E27" t="b">
        <v>1</v>
      </c>
      <c r="F27">
        <v>1</v>
      </c>
      <c r="G27">
        <v>55</v>
      </c>
      <c r="H27" t="s">
        <v>183</v>
      </c>
      <c r="I27" s="6" t="s">
        <v>168</v>
      </c>
      <c r="J27" t="s">
        <v>292</v>
      </c>
      <c r="K27" t="s">
        <v>556</v>
      </c>
      <c r="L27" t="s">
        <v>588</v>
      </c>
      <c r="N27" t="s">
        <v>293</v>
      </c>
      <c r="O27">
        <f>IF(tblBuildings[[#This Row],[costtext]]="", 0, LEN(tblBuildings[[#This Row],[costtext]]) - LEN(SUBSTITUTE(tblBuildings[[#This Row],[costtext]], ",", "")) + 1)</f>
        <v>7</v>
      </c>
      <c r="P27">
        <f>COUNTIF(tblBuildings[[#This Row],[anchor]:[wood]],"&gt;0")</f>
        <v>7</v>
      </c>
      <c r="U27">
        <v>700</v>
      </c>
      <c r="AC27">
        <v>1000</v>
      </c>
      <c r="BG27">
        <v>30</v>
      </c>
      <c r="BS27">
        <v>5</v>
      </c>
      <c r="BY27">
        <v>50</v>
      </c>
      <c r="CA27">
        <v>300</v>
      </c>
      <c r="CB27">
        <v>700</v>
      </c>
    </row>
    <row r="28" spans="1:86">
      <c r="A28" s="6" t="s">
        <v>48</v>
      </c>
      <c r="B28" s="6" t="s">
        <v>47</v>
      </c>
      <c r="C28" t="s">
        <v>47</v>
      </c>
      <c r="D28" s="6" t="str">
        <f>_xlfn.XLOOKUP(tblBuildings[[#This Row],[BuildingID]],tblTargets[TargetID],tblTargets[DisplayName],"")</f>
        <v>Fermentory Lv 2</v>
      </c>
      <c r="E28" t="b">
        <v>1</v>
      </c>
      <c r="F28">
        <v>2</v>
      </c>
      <c r="H28" t="s">
        <v>183</v>
      </c>
      <c r="I28" s="6"/>
      <c r="J28" t="s">
        <v>294</v>
      </c>
      <c r="L28" t="s">
        <v>589</v>
      </c>
      <c r="N28" t="s">
        <v>295</v>
      </c>
      <c r="O28">
        <f>IF(tblBuildings[[#This Row],[costtext]]="", 0, LEN(tblBuildings[[#This Row],[costtext]]) - LEN(SUBSTITUTE(tblBuildings[[#This Row],[costtext]], ",", "")) + 1)</f>
        <v>8</v>
      </c>
      <c r="P28">
        <f>COUNTIF(tblBuildings[[#This Row],[anchor]:[wood]],"&gt;0")</f>
        <v>8</v>
      </c>
      <c r="U28">
        <v>900</v>
      </c>
      <c r="Z28">
        <v>200</v>
      </c>
      <c r="AA28">
        <v>100</v>
      </c>
      <c r="AC28">
        <v>1000</v>
      </c>
      <c r="BP28">
        <v>30</v>
      </c>
      <c r="BS28">
        <v>5</v>
      </c>
      <c r="BY28">
        <v>50</v>
      </c>
      <c r="CB28">
        <v>500</v>
      </c>
    </row>
    <row r="29" spans="1:86">
      <c r="A29" s="6" t="s">
        <v>49</v>
      </c>
      <c r="B29" s="6" t="s">
        <v>47</v>
      </c>
      <c r="C29" t="s">
        <v>47</v>
      </c>
      <c r="D29" s="6" t="str">
        <f>_xlfn.XLOOKUP(tblBuildings[[#This Row],[BuildingID]],tblTargets[TargetID],tblTargets[DisplayName],"")</f>
        <v>Fermentory Lv 3</v>
      </c>
      <c r="E29" t="b">
        <v>1</v>
      </c>
      <c r="F29">
        <v>3</v>
      </c>
      <c r="H29" t="s">
        <v>183</v>
      </c>
      <c r="I29" s="6"/>
      <c r="J29" t="s">
        <v>296</v>
      </c>
      <c r="L29" t="s">
        <v>590</v>
      </c>
      <c r="N29" t="s">
        <v>297</v>
      </c>
      <c r="O29">
        <f>IF(tblBuildings[[#This Row],[costtext]]="", 0, LEN(tblBuildings[[#This Row],[costtext]]) - LEN(SUBSTITUTE(tblBuildings[[#This Row],[costtext]], ",", "")) + 1)</f>
        <v>7</v>
      </c>
      <c r="P29">
        <f>COUNTIF(tblBuildings[[#This Row],[anchor]:[wood]],"&gt;0")</f>
        <v>7</v>
      </c>
      <c r="Z29">
        <v>200</v>
      </c>
      <c r="AC29">
        <v>1000</v>
      </c>
      <c r="BL29">
        <v>700</v>
      </c>
      <c r="BS29">
        <v>7</v>
      </c>
      <c r="BY29">
        <v>50</v>
      </c>
      <c r="CA29">
        <v>200</v>
      </c>
      <c r="CB29">
        <v>500</v>
      </c>
    </row>
    <row r="30" spans="1:86">
      <c r="A30" s="6" t="s">
        <v>50</v>
      </c>
      <c r="B30" s="6" t="s">
        <v>47</v>
      </c>
      <c r="C30" t="s">
        <v>47</v>
      </c>
      <c r="D30" s="6" t="str">
        <f>_xlfn.XLOOKUP(tblBuildings[[#This Row],[BuildingID]],tblTargets[TargetID],tblTargets[DisplayName],"")</f>
        <v>Fermentory Lv 4</v>
      </c>
      <c r="E30" t="b">
        <v>1</v>
      </c>
      <c r="F30">
        <v>4</v>
      </c>
      <c r="H30" t="s">
        <v>183</v>
      </c>
      <c r="I30" s="6"/>
      <c r="J30" t="s">
        <v>298</v>
      </c>
      <c r="L30" t="s">
        <v>591</v>
      </c>
      <c r="N30" t="s">
        <v>299</v>
      </c>
      <c r="O30">
        <f>IF(tblBuildings[[#This Row],[costtext]]="", 0, LEN(tblBuildings[[#This Row],[costtext]]) - LEN(SUBSTITUTE(tblBuildings[[#This Row],[costtext]], ",", "")) + 1)</f>
        <v>9</v>
      </c>
      <c r="P30">
        <f>COUNTIF(tblBuildings[[#This Row],[anchor]:[wood]],"&gt;0")</f>
        <v>9</v>
      </c>
      <c r="AC30">
        <v>1000</v>
      </c>
      <c r="BL30">
        <v>900</v>
      </c>
      <c r="BR30">
        <v>50</v>
      </c>
      <c r="BS30">
        <v>8</v>
      </c>
      <c r="BX30">
        <v>10</v>
      </c>
      <c r="BY30">
        <v>50</v>
      </c>
      <c r="CA30">
        <v>300</v>
      </c>
      <c r="CB30">
        <v>500</v>
      </c>
      <c r="CG30">
        <v>50</v>
      </c>
    </row>
    <row r="31" spans="1:86">
      <c r="A31" s="6" t="s">
        <v>51</v>
      </c>
      <c r="B31" s="6" t="s">
        <v>47</v>
      </c>
      <c r="C31" t="s">
        <v>47</v>
      </c>
      <c r="D31" s="6" t="str">
        <f>_xlfn.XLOOKUP(tblBuildings[[#This Row],[BuildingID]],tblTargets[TargetID],tblTargets[DisplayName],"")</f>
        <v>Fermentory Lv 5</v>
      </c>
      <c r="E31" t="b">
        <v>1</v>
      </c>
      <c r="F31">
        <v>5</v>
      </c>
      <c r="H31" t="s">
        <v>183</v>
      </c>
      <c r="I31" s="6"/>
      <c r="J31" t="s">
        <v>300</v>
      </c>
      <c r="L31" t="s">
        <v>592</v>
      </c>
      <c r="N31" t="s">
        <v>301</v>
      </c>
      <c r="O31">
        <f>IF(tblBuildings[[#This Row],[costtext]]="", 0, LEN(tblBuildings[[#This Row],[costtext]]) - LEN(SUBSTITUTE(tblBuildings[[#This Row],[costtext]], ",", "")) + 1)</f>
        <v>8</v>
      </c>
      <c r="P31">
        <f>COUNTIF(tblBuildings[[#This Row],[anchor]:[wood]],"&gt;0")</f>
        <v>8</v>
      </c>
      <c r="AC31">
        <v>1000</v>
      </c>
      <c r="AN31">
        <v>10</v>
      </c>
      <c r="AT31">
        <v>24</v>
      </c>
      <c r="BL31">
        <v>900</v>
      </c>
      <c r="BS31">
        <v>9</v>
      </c>
      <c r="BY31">
        <v>100</v>
      </c>
      <c r="CB31">
        <v>800</v>
      </c>
      <c r="CD31">
        <v>20</v>
      </c>
    </row>
    <row r="32" spans="1:86">
      <c r="A32" s="6" t="s">
        <v>52</v>
      </c>
      <c r="B32" s="6" t="s">
        <v>47</v>
      </c>
      <c r="C32" t="s">
        <v>47</v>
      </c>
      <c r="D32" s="6" t="str">
        <f>_xlfn.XLOOKUP(tblBuildings[[#This Row],[BuildingID]],tblTargets[TargetID],tblTargets[DisplayName],"")</f>
        <v>Fermentory Lv 6</v>
      </c>
      <c r="E32" t="b">
        <v>1</v>
      </c>
      <c r="F32">
        <v>6</v>
      </c>
      <c r="H32" t="s">
        <v>183</v>
      </c>
      <c r="I32" s="6"/>
      <c r="J32" t="s">
        <v>302</v>
      </c>
      <c r="L32" t="s">
        <v>593</v>
      </c>
      <c r="N32" t="s">
        <v>303</v>
      </c>
      <c r="O32">
        <f>IF(tblBuildings[[#This Row],[costtext]]="", 0, LEN(tblBuildings[[#This Row],[costtext]]) - LEN(SUBSTITUTE(tblBuildings[[#This Row],[costtext]], ",", "")) + 1)</f>
        <v>9</v>
      </c>
      <c r="P32">
        <f>COUNTIF(tblBuildings[[#This Row],[anchor]:[wood]],"&gt;0")</f>
        <v>9</v>
      </c>
      <c r="AC32">
        <v>1000</v>
      </c>
      <c r="AG32">
        <v>10</v>
      </c>
      <c r="AK32">
        <v>30</v>
      </c>
      <c r="AN32">
        <v>10</v>
      </c>
      <c r="AT32">
        <v>24</v>
      </c>
      <c r="BH32">
        <v>40</v>
      </c>
      <c r="BL32">
        <v>900</v>
      </c>
      <c r="BS32">
        <v>10</v>
      </c>
      <c r="CB32">
        <v>500</v>
      </c>
    </row>
    <row r="33" spans="1:86">
      <c r="A33" s="6" t="s">
        <v>53</v>
      </c>
      <c r="B33" s="6" t="s">
        <v>54</v>
      </c>
      <c r="C33" t="s">
        <v>54</v>
      </c>
      <c r="D33" s="6" t="str">
        <f>_xlfn.XLOOKUP(tblBuildings[[#This Row],[BuildingID]],tblTargets[TargetID],tblTargets[DisplayName],"")</f>
        <v>Field Lv 1</v>
      </c>
      <c r="E33" t="b">
        <v>1</v>
      </c>
      <c r="F33">
        <v>1</v>
      </c>
      <c r="G33">
        <v>7</v>
      </c>
      <c r="H33" t="s">
        <v>183</v>
      </c>
      <c r="I33" s="6"/>
      <c r="J33" t="s">
        <v>304</v>
      </c>
      <c r="L33" t="s">
        <v>328</v>
      </c>
      <c r="N33" t="s">
        <v>305</v>
      </c>
      <c r="O33">
        <f>IF(tblBuildings[[#This Row],[costtext]]="", 0, LEN(tblBuildings[[#This Row],[costtext]]) - LEN(SUBSTITUTE(tblBuildings[[#This Row],[costtext]], ",", "")) + 1)</f>
        <v>4</v>
      </c>
      <c r="P33">
        <f>COUNTIF(tblBuildings[[#This Row],[anchor]:[wood]],"&gt;0")</f>
        <v>4</v>
      </c>
      <c r="AA33">
        <v>20</v>
      </c>
      <c r="AC33">
        <v>200</v>
      </c>
      <c r="BS33">
        <v>1</v>
      </c>
      <c r="CH33">
        <v>100</v>
      </c>
    </row>
    <row r="34" spans="1:86">
      <c r="A34" s="6" t="s">
        <v>55</v>
      </c>
      <c r="B34" s="6" t="s">
        <v>54</v>
      </c>
      <c r="C34" t="s">
        <v>54</v>
      </c>
      <c r="D34" s="6" t="str">
        <f>_xlfn.XLOOKUP(tblBuildings[[#This Row],[BuildingID]],tblTargets[TargetID],tblTargets[DisplayName],"")</f>
        <v>Field Lv 2</v>
      </c>
      <c r="E34" t="b">
        <v>1</v>
      </c>
      <c r="F34">
        <v>2</v>
      </c>
      <c r="H34" t="s">
        <v>183</v>
      </c>
      <c r="I34" s="6"/>
      <c r="J34" t="s">
        <v>306</v>
      </c>
      <c r="L34" t="s">
        <v>594</v>
      </c>
      <c r="N34" t="s">
        <v>307</v>
      </c>
      <c r="O34">
        <f>IF(tblBuildings[[#This Row],[costtext]]="", 0, LEN(tblBuildings[[#This Row],[costtext]]) - LEN(SUBSTITUTE(tblBuildings[[#This Row],[costtext]], ",", "")) + 1)</f>
        <v>5</v>
      </c>
      <c r="P34">
        <f>COUNTIF(tblBuildings[[#This Row],[anchor]:[wood]],"&gt;0")</f>
        <v>5</v>
      </c>
      <c r="AA34">
        <v>50</v>
      </c>
      <c r="AC34">
        <v>300</v>
      </c>
      <c r="BS34">
        <v>3</v>
      </c>
      <c r="CA34">
        <v>20</v>
      </c>
      <c r="CH34">
        <v>100</v>
      </c>
    </row>
    <row r="35" spans="1:86">
      <c r="A35" s="6" t="s">
        <v>56</v>
      </c>
      <c r="B35" s="6" t="s">
        <v>57</v>
      </c>
      <c r="C35" t="s">
        <v>58</v>
      </c>
      <c r="D35" s="6" t="str">
        <f>_xlfn.XLOOKUP(tblBuildings[[#This Row],[BuildingID]],tblTargets[TargetID],tblTargets[DisplayName],"")</f>
        <v>Food Stall Lv 1</v>
      </c>
      <c r="E35" t="b">
        <v>1</v>
      </c>
      <c r="F35">
        <v>1</v>
      </c>
      <c r="G35">
        <v>8</v>
      </c>
      <c r="H35" t="s">
        <v>183</v>
      </c>
      <c r="I35" s="6"/>
      <c r="J35" t="s">
        <v>308</v>
      </c>
      <c r="L35" t="s">
        <v>328</v>
      </c>
      <c r="N35" t="s">
        <v>309</v>
      </c>
      <c r="O35">
        <f>IF(tblBuildings[[#This Row],[costtext]]="", 0, LEN(tblBuildings[[#This Row],[costtext]]) - LEN(SUBSTITUTE(tblBuildings[[#This Row],[costtext]], ",", "")) + 1)</f>
        <v>5</v>
      </c>
      <c r="P35">
        <f>COUNTIF(tblBuildings[[#This Row],[anchor]:[wood]],"&gt;0")</f>
        <v>5</v>
      </c>
      <c r="AC35">
        <v>300</v>
      </c>
      <c r="BR35">
        <v>20</v>
      </c>
      <c r="BS35">
        <v>1</v>
      </c>
      <c r="CB35">
        <v>150</v>
      </c>
      <c r="CH35">
        <v>150</v>
      </c>
    </row>
    <row r="36" spans="1:86">
      <c r="A36" s="6" t="s">
        <v>59</v>
      </c>
      <c r="B36" s="6" t="s">
        <v>57</v>
      </c>
      <c r="C36" t="s">
        <v>58</v>
      </c>
      <c r="D36" s="6" t="str">
        <f>_xlfn.XLOOKUP(tblBuildings[[#This Row],[BuildingID]],tblTargets[TargetID],tblTargets[DisplayName],"")</f>
        <v>Food Stall Lv 2</v>
      </c>
      <c r="E36" t="b">
        <v>1</v>
      </c>
      <c r="F36">
        <v>2</v>
      </c>
      <c r="G36">
        <v>24</v>
      </c>
      <c r="H36" t="s">
        <v>183</v>
      </c>
      <c r="I36" s="6"/>
      <c r="J36" t="s">
        <v>310</v>
      </c>
      <c r="L36" t="s">
        <v>595</v>
      </c>
      <c r="N36" t="s">
        <v>311</v>
      </c>
      <c r="O36">
        <f>IF(tblBuildings[[#This Row],[costtext]]="", 0, LEN(tblBuildings[[#This Row],[costtext]]) - LEN(SUBSTITUTE(tblBuildings[[#This Row],[costtext]], ",", "")) + 1)</f>
        <v>5</v>
      </c>
      <c r="P36">
        <f>COUNTIF(tblBuildings[[#This Row],[anchor]:[wood]],"&gt;0")</f>
        <v>5</v>
      </c>
      <c r="AC36">
        <v>500</v>
      </c>
      <c r="BL36">
        <v>500</v>
      </c>
      <c r="BS36">
        <v>3</v>
      </c>
      <c r="BZ36">
        <v>5</v>
      </c>
      <c r="CB36">
        <v>300</v>
      </c>
    </row>
    <row r="37" spans="1:86">
      <c r="A37" s="6" t="s">
        <v>60</v>
      </c>
      <c r="B37" s="6" t="s">
        <v>57</v>
      </c>
      <c r="C37" t="s">
        <v>58</v>
      </c>
      <c r="D37" s="6" t="str">
        <f>_xlfn.XLOOKUP(tblBuildings[[#This Row],[BuildingID]],tblTargets[TargetID],tblTargets[DisplayName],"")</f>
        <v>Food Stall Lv 3</v>
      </c>
      <c r="E37" t="b">
        <v>1</v>
      </c>
      <c r="F37">
        <v>3</v>
      </c>
      <c r="H37" t="s">
        <v>183</v>
      </c>
      <c r="I37" s="6"/>
      <c r="J37" t="s">
        <v>312</v>
      </c>
      <c r="L37" t="s">
        <v>596</v>
      </c>
      <c r="N37" t="s">
        <v>313</v>
      </c>
      <c r="O37">
        <f>IF(tblBuildings[[#This Row],[costtext]]="", 0, LEN(tblBuildings[[#This Row],[costtext]]) - LEN(SUBSTITUTE(tblBuildings[[#This Row],[costtext]], ",", "")) + 1)</f>
        <v>5</v>
      </c>
      <c r="P37">
        <f>COUNTIF(tblBuildings[[#This Row],[anchor]:[wood]],"&gt;0")</f>
        <v>5</v>
      </c>
      <c r="V37">
        <v>50</v>
      </c>
      <c r="AC37">
        <v>800</v>
      </c>
      <c r="BL37">
        <v>600</v>
      </c>
      <c r="BS37">
        <v>5</v>
      </c>
      <c r="BZ37">
        <v>3</v>
      </c>
    </row>
    <row r="38" spans="1:86">
      <c r="A38" s="6" t="s">
        <v>61</v>
      </c>
      <c r="B38" s="6" t="s">
        <v>62</v>
      </c>
      <c r="C38" t="s">
        <v>62</v>
      </c>
      <c r="D38" s="6" t="str">
        <f>_xlfn.XLOOKUP(tblBuildings[[#This Row],[BuildingID]],tblTargets[TargetID],tblTargets[DisplayName],"")</f>
        <v>Furnace Lv 1</v>
      </c>
      <c r="E38" t="b">
        <v>1</v>
      </c>
      <c r="F38">
        <v>1</v>
      </c>
      <c r="G38">
        <v>8</v>
      </c>
      <c r="H38" t="s">
        <v>183</v>
      </c>
      <c r="I38" s="6"/>
      <c r="J38" t="s">
        <v>314</v>
      </c>
      <c r="L38" t="s">
        <v>328</v>
      </c>
      <c r="N38" t="s">
        <v>315</v>
      </c>
      <c r="O38">
        <f>IF(tblBuildings[[#This Row],[costtext]]="", 0, LEN(tblBuildings[[#This Row],[costtext]]) - LEN(SUBSTITUTE(tblBuildings[[#This Row],[costtext]], ",", "")) + 1)</f>
        <v>4</v>
      </c>
      <c r="P38">
        <f>COUNTIF(tblBuildings[[#This Row],[anchor]:[wood]],"&gt;0")</f>
        <v>4</v>
      </c>
      <c r="AC38">
        <v>200</v>
      </c>
      <c r="BS38">
        <v>1</v>
      </c>
      <c r="CB38">
        <v>100</v>
      </c>
      <c r="CH38">
        <v>100</v>
      </c>
    </row>
    <row r="39" spans="1:86">
      <c r="A39" s="6" t="s">
        <v>63</v>
      </c>
      <c r="B39" s="6" t="s">
        <v>62</v>
      </c>
      <c r="C39" t="s">
        <v>62</v>
      </c>
      <c r="D39" s="6" t="str">
        <f>_xlfn.XLOOKUP(tblBuildings[[#This Row],[BuildingID]],tblTargets[TargetID],tblTargets[DisplayName],"")</f>
        <v>Furnace Lv 2</v>
      </c>
      <c r="E39" t="b">
        <v>1</v>
      </c>
      <c r="F39">
        <v>2</v>
      </c>
      <c r="H39" t="s">
        <v>198</v>
      </c>
      <c r="I39" s="6" t="s">
        <v>169</v>
      </c>
      <c r="J39" t="s">
        <v>316</v>
      </c>
      <c r="L39" t="s">
        <v>597</v>
      </c>
      <c r="N39" t="s">
        <v>317</v>
      </c>
      <c r="O39">
        <f>IF(tblBuildings[[#This Row],[costtext]]="", 0, LEN(tblBuildings[[#This Row],[costtext]]) - LEN(SUBSTITUTE(tblBuildings[[#This Row],[costtext]], ",", "")) + 1)</f>
        <v>5</v>
      </c>
      <c r="P39">
        <f>COUNTIF(tblBuildings[[#This Row],[anchor]:[wood]],"&gt;0")</f>
        <v>5</v>
      </c>
      <c r="U39">
        <v>400</v>
      </c>
      <c r="AC39">
        <v>500</v>
      </c>
      <c r="BS39">
        <v>3</v>
      </c>
      <c r="CA39">
        <v>20</v>
      </c>
      <c r="CB39">
        <v>200</v>
      </c>
    </row>
    <row r="40" spans="1:86">
      <c r="A40" s="6" t="s">
        <v>64</v>
      </c>
      <c r="B40" s="6" t="s">
        <v>62</v>
      </c>
      <c r="C40" t="s">
        <v>62</v>
      </c>
      <c r="D40" s="6" t="str">
        <f>_xlfn.XLOOKUP(tblBuildings[[#This Row],[BuildingID]],tblTargets[TargetID],tblTargets[DisplayName],"")</f>
        <v>Furnace Lv 3</v>
      </c>
      <c r="E40" t="b">
        <v>1</v>
      </c>
      <c r="F40">
        <v>3</v>
      </c>
      <c r="H40" t="s">
        <v>183</v>
      </c>
      <c r="I40" s="6" t="s">
        <v>170</v>
      </c>
      <c r="J40" t="s">
        <v>318</v>
      </c>
      <c r="L40" t="s">
        <v>598</v>
      </c>
      <c r="N40" t="s">
        <v>319</v>
      </c>
      <c r="O40">
        <f>IF(tblBuildings[[#This Row],[costtext]]="", 0, LEN(tblBuildings[[#This Row],[costtext]]) - LEN(SUBSTITUTE(tblBuildings[[#This Row],[costtext]], ",", "")) + 1)</f>
        <v>5</v>
      </c>
      <c r="P40">
        <f>COUNTIF(tblBuildings[[#This Row],[anchor]:[wood]],"&gt;0")</f>
        <v>5</v>
      </c>
      <c r="AC40">
        <v>800</v>
      </c>
      <c r="BL40">
        <v>600</v>
      </c>
      <c r="BS40">
        <v>5</v>
      </c>
      <c r="CA40">
        <v>50</v>
      </c>
      <c r="CB40">
        <v>300</v>
      </c>
    </row>
    <row r="41" spans="1:86">
      <c r="A41" s="6" t="s">
        <v>65</v>
      </c>
      <c r="B41" s="6" t="s">
        <v>66</v>
      </c>
      <c r="C41" t="s">
        <v>66</v>
      </c>
      <c r="D41" s="6" t="str">
        <f>_xlfn.XLOOKUP(tblBuildings[[#This Row],[BuildingID]],tblTargets[TargetID],tblTargets[DisplayName],"")</f>
        <v>Garden Lv 1</v>
      </c>
      <c r="E41" t="b">
        <v>1</v>
      </c>
      <c r="F41">
        <v>1</v>
      </c>
      <c r="G41">
        <v>12</v>
      </c>
      <c r="H41" t="s">
        <v>199</v>
      </c>
      <c r="I41" s="6"/>
      <c r="J41" t="s">
        <v>320</v>
      </c>
      <c r="L41" t="s">
        <v>328</v>
      </c>
      <c r="N41" t="s">
        <v>321</v>
      </c>
      <c r="O41">
        <f>IF(tblBuildings[[#This Row],[costtext]]="", 0, LEN(tblBuildings[[#This Row],[costtext]]) - LEN(SUBSTITUTE(tblBuildings[[#This Row],[costtext]], ",", "")) + 1)</f>
        <v>4</v>
      </c>
      <c r="P41">
        <f>COUNTIF(tblBuildings[[#This Row],[anchor]:[wood]],"&gt;0")</f>
        <v>4</v>
      </c>
      <c r="AC41">
        <v>400</v>
      </c>
      <c r="BS41">
        <v>1</v>
      </c>
      <c r="CB41">
        <v>100</v>
      </c>
      <c r="CH41">
        <v>200</v>
      </c>
    </row>
    <row r="42" spans="1:86">
      <c r="A42" s="6" t="s">
        <v>67</v>
      </c>
      <c r="B42" s="6" t="s">
        <v>66</v>
      </c>
      <c r="C42" t="s">
        <v>66</v>
      </c>
      <c r="D42" s="6" t="str">
        <f>_xlfn.XLOOKUP(tblBuildings[[#This Row],[BuildingID]],tblTargets[TargetID],tblTargets[DisplayName],"")</f>
        <v>Garden Lv 2</v>
      </c>
      <c r="E42" t="b">
        <v>1</v>
      </c>
      <c r="F42">
        <v>2</v>
      </c>
      <c r="H42" t="s">
        <v>200</v>
      </c>
      <c r="I42" s="6"/>
      <c r="J42" t="s">
        <v>322</v>
      </c>
      <c r="L42" t="s">
        <v>599</v>
      </c>
      <c r="N42" t="s">
        <v>323</v>
      </c>
      <c r="O42">
        <f>IF(tblBuildings[[#This Row],[costtext]]="", 0, LEN(tblBuildings[[#This Row],[costtext]]) - LEN(SUBSTITUTE(tblBuildings[[#This Row],[costtext]], ",", "")) + 1)</f>
        <v>4</v>
      </c>
      <c r="P42">
        <f>COUNTIF(tblBuildings[[#This Row],[anchor]:[wood]],"&gt;0")</f>
        <v>4</v>
      </c>
      <c r="AC42">
        <v>600</v>
      </c>
      <c r="BS42">
        <v>2</v>
      </c>
      <c r="CB42">
        <v>150</v>
      </c>
      <c r="CH42">
        <v>300</v>
      </c>
    </row>
    <row r="43" spans="1:86">
      <c r="A43" s="6" t="s">
        <v>68</v>
      </c>
      <c r="B43" s="6" t="s">
        <v>66</v>
      </c>
      <c r="C43" t="s">
        <v>66</v>
      </c>
      <c r="D43" s="6" t="str">
        <f>_xlfn.XLOOKUP(tblBuildings[[#This Row],[BuildingID]],tblTargets[TargetID],tblTargets[DisplayName],"")</f>
        <v>Garden Lv 3</v>
      </c>
      <c r="E43" t="b">
        <v>1</v>
      </c>
      <c r="F43">
        <v>3</v>
      </c>
      <c r="H43" t="s">
        <v>201</v>
      </c>
      <c r="I43" s="6"/>
      <c r="J43" t="s">
        <v>324</v>
      </c>
      <c r="L43" t="s">
        <v>600</v>
      </c>
      <c r="N43" t="s">
        <v>325</v>
      </c>
      <c r="O43">
        <f>IF(tblBuildings[[#This Row],[costtext]]="", 0, LEN(tblBuildings[[#This Row],[costtext]]) - LEN(SUBSTITUTE(tblBuildings[[#This Row],[costtext]], ",", "")) + 1)</f>
        <v>4</v>
      </c>
      <c r="P43">
        <f>COUNTIF(tblBuildings[[#This Row],[anchor]:[wood]],"&gt;0")</f>
        <v>4</v>
      </c>
      <c r="U43">
        <v>800</v>
      </c>
      <c r="AC43">
        <v>1000</v>
      </c>
      <c r="BS43">
        <v>4</v>
      </c>
      <c r="CB43">
        <v>200</v>
      </c>
    </row>
    <row r="44" spans="1:86">
      <c r="A44" s="6" t="s">
        <v>69</v>
      </c>
      <c r="B44" s="6" t="s">
        <v>70</v>
      </c>
      <c r="C44" t="s">
        <v>70</v>
      </c>
      <c r="D44" s="6" t="str">
        <f>_xlfn.XLOOKUP(tblBuildings[[#This Row],[BuildingID]],tblTargets[TargetID],tblTargets[DisplayName],"")</f>
        <v>Gong Lv 1</v>
      </c>
      <c r="E44" t="b">
        <v>1</v>
      </c>
      <c r="F44">
        <v>1</v>
      </c>
      <c r="G44">
        <v>10</v>
      </c>
      <c r="H44" t="s">
        <v>202</v>
      </c>
      <c r="I44" s="6"/>
      <c r="J44" t="s">
        <v>326</v>
      </c>
      <c r="L44" t="s">
        <v>328</v>
      </c>
      <c r="N44" t="s">
        <v>327</v>
      </c>
      <c r="O44">
        <f>IF(tblBuildings[[#This Row],[costtext]]="", 0, LEN(tblBuildings[[#This Row],[costtext]]) - LEN(SUBSTITUTE(tblBuildings[[#This Row],[costtext]], ",", "")) + 1)</f>
        <v>5</v>
      </c>
      <c r="P44">
        <f>COUNTIF(tblBuildings[[#This Row],[anchor]:[wood]],"&gt;0")</f>
        <v>5</v>
      </c>
      <c r="AC44">
        <v>200</v>
      </c>
      <c r="BS44">
        <v>3</v>
      </c>
      <c r="CA44">
        <v>50</v>
      </c>
      <c r="CB44">
        <v>50</v>
      </c>
      <c r="CH44">
        <v>100</v>
      </c>
    </row>
    <row r="45" spans="1:86">
      <c r="A45" s="6" t="s">
        <v>71</v>
      </c>
      <c r="B45" s="6" t="s">
        <v>72</v>
      </c>
      <c r="C45" t="s">
        <v>72</v>
      </c>
      <c r="D45" s="6" t="str">
        <f>_xlfn.XLOOKUP(tblBuildings[[#This Row],[BuildingID]],tblTargets[TargetID],tblTargets[DisplayName],"")</f>
        <v>Guild Lv 1</v>
      </c>
      <c r="E45" t="b">
        <v>1</v>
      </c>
      <c r="F45">
        <v>1</v>
      </c>
      <c r="H45" t="s">
        <v>203</v>
      </c>
      <c r="I45" s="6"/>
      <c r="L45" t="s">
        <v>328</v>
      </c>
      <c r="N45" t="s">
        <v>328</v>
      </c>
      <c r="O45">
        <f>IF(tblBuildings[[#This Row],[costtext]]="", 0, LEN(tblBuildings[[#This Row],[costtext]]) - LEN(SUBSTITUTE(tblBuildings[[#This Row],[costtext]], ",", "")) + 1)</f>
        <v>0</v>
      </c>
      <c r="P45">
        <f>COUNTIF(tblBuildings[[#This Row],[anchor]:[wood]],"&gt;0")</f>
        <v>0</v>
      </c>
    </row>
    <row r="46" spans="1:86">
      <c r="A46" s="6" t="s">
        <v>73</v>
      </c>
      <c r="B46" s="6" t="s">
        <v>72</v>
      </c>
      <c r="C46" t="s">
        <v>72</v>
      </c>
      <c r="D46" s="6" t="str">
        <f>_xlfn.XLOOKUP(tblBuildings[[#This Row],[BuildingID]],tblTargets[TargetID],tblTargets[DisplayName],"")</f>
        <v>Guild Lv 2</v>
      </c>
      <c r="E46" t="b">
        <v>1</v>
      </c>
      <c r="F46">
        <v>2</v>
      </c>
      <c r="H46" t="s">
        <v>204</v>
      </c>
      <c r="I46" s="6" t="s">
        <v>171</v>
      </c>
      <c r="J46" t="s">
        <v>329</v>
      </c>
      <c r="L46" t="s">
        <v>601</v>
      </c>
      <c r="N46" t="s">
        <v>330</v>
      </c>
      <c r="O46">
        <f>IF(tblBuildings[[#This Row],[costtext]]="", 0, LEN(tblBuildings[[#This Row],[costtext]]) - LEN(SUBSTITUTE(tblBuildings[[#This Row],[costtext]], ",", "")) + 1)</f>
        <v>4</v>
      </c>
      <c r="P46">
        <f>COUNTIF(tblBuildings[[#This Row],[anchor]:[wood]],"&gt;0")</f>
        <v>4</v>
      </c>
      <c r="AC46">
        <v>50</v>
      </c>
      <c r="BS46">
        <v>1</v>
      </c>
      <c r="CB46">
        <v>50</v>
      </c>
      <c r="CH46">
        <v>50</v>
      </c>
    </row>
    <row r="47" spans="1:86">
      <c r="A47" s="6" t="s">
        <v>74</v>
      </c>
      <c r="B47" s="6" t="s">
        <v>72</v>
      </c>
      <c r="C47" t="s">
        <v>72</v>
      </c>
      <c r="D47" s="6" t="str">
        <f>_xlfn.XLOOKUP(tblBuildings[[#This Row],[BuildingID]],tblTargets[TargetID],tblTargets[DisplayName],"")</f>
        <v>Guild Lv 3</v>
      </c>
      <c r="E47" t="b">
        <v>1</v>
      </c>
      <c r="F47">
        <v>3</v>
      </c>
      <c r="H47" t="s">
        <v>205</v>
      </c>
      <c r="I47" s="6"/>
      <c r="J47" t="s">
        <v>331</v>
      </c>
      <c r="L47" t="s">
        <v>602</v>
      </c>
      <c r="N47" t="s">
        <v>332</v>
      </c>
      <c r="O47">
        <f>IF(tblBuildings[[#This Row],[costtext]]="", 0, LEN(tblBuildings[[#This Row],[costtext]]) - LEN(SUBSTITUTE(tblBuildings[[#This Row],[costtext]], ",", "")) + 1)</f>
        <v>4</v>
      </c>
      <c r="P47">
        <f>COUNTIF(tblBuildings[[#This Row],[anchor]:[wood]],"&gt;0")</f>
        <v>4</v>
      </c>
      <c r="U47">
        <v>300</v>
      </c>
      <c r="AC47">
        <v>150</v>
      </c>
      <c r="BS47">
        <v>2</v>
      </c>
      <c r="CB47">
        <v>150</v>
      </c>
    </row>
    <row r="48" spans="1:86">
      <c r="A48" s="6" t="s">
        <v>75</v>
      </c>
      <c r="B48" s="6" t="s">
        <v>72</v>
      </c>
      <c r="C48" t="s">
        <v>72</v>
      </c>
      <c r="D48" s="6" t="str">
        <f>_xlfn.XLOOKUP(tblBuildings[[#This Row],[BuildingID]],tblTargets[TargetID],tblTargets[DisplayName],"")</f>
        <v>Guild Lv 4</v>
      </c>
      <c r="E48" t="b">
        <v>1</v>
      </c>
      <c r="F48">
        <v>4</v>
      </c>
      <c r="H48" t="s">
        <v>206</v>
      </c>
      <c r="I48" s="6"/>
      <c r="J48" t="s">
        <v>333</v>
      </c>
      <c r="L48" t="s">
        <v>603</v>
      </c>
      <c r="N48" t="s">
        <v>334</v>
      </c>
      <c r="O48">
        <f>IF(tblBuildings[[#This Row],[costtext]]="", 0, LEN(tblBuildings[[#This Row],[costtext]]) - LEN(SUBSTITUTE(tblBuildings[[#This Row],[costtext]], ",", "")) + 1)</f>
        <v>5</v>
      </c>
      <c r="P48">
        <f>COUNTIF(tblBuildings[[#This Row],[anchor]:[wood]],"&gt;0")</f>
        <v>5</v>
      </c>
      <c r="U48">
        <v>500</v>
      </c>
      <c r="AC48">
        <v>250</v>
      </c>
      <c r="BS48">
        <v>4</v>
      </c>
      <c r="CA48">
        <v>40</v>
      </c>
      <c r="CB48">
        <v>250</v>
      </c>
    </row>
    <row r="49" spans="1:86">
      <c r="A49" s="6" t="s">
        <v>76</v>
      </c>
      <c r="B49" s="6" t="s">
        <v>72</v>
      </c>
      <c r="C49" t="s">
        <v>72</v>
      </c>
      <c r="D49" s="6" t="str">
        <f>_xlfn.XLOOKUP(tblBuildings[[#This Row],[BuildingID]],tblTargets[TargetID],tblTargets[DisplayName],"")</f>
        <v>Guild Lv 5</v>
      </c>
      <c r="E49" t="b">
        <v>1</v>
      </c>
      <c r="F49">
        <v>5</v>
      </c>
      <c r="H49" t="s">
        <v>207</v>
      </c>
      <c r="I49" s="6"/>
      <c r="J49" t="s">
        <v>335</v>
      </c>
      <c r="L49" t="s">
        <v>604</v>
      </c>
      <c r="N49" t="s">
        <v>336</v>
      </c>
      <c r="O49">
        <f>IF(tblBuildings[[#This Row],[costtext]]="", 0, LEN(tblBuildings[[#This Row],[costtext]]) - LEN(SUBSTITUTE(tblBuildings[[#This Row],[costtext]], ",", "")) + 1)</f>
        <v>5</v>
      </c>
      <c r="P49">
        <f>COUNTIF(tblBuildings[[#This Row],[anchor]:[wood]],"&gt;0")</f>
        <v>5</v>
      </c>
      <c r="U49">
        <v>600</v>
      </c>
      <c r="AC49">
        <v>300</v>
      </c>
      <c r="BS49">
        <v>8</v>
      </c>
      <c r="CA49">
        <v>50</v>
      </c>
      <c r="CB49">
        <v>300</v>
      </c>
    </row>
    <row r="50" spans="1:86">
      <c r="A50" s="6" t="s">
        <v>77</v>
      </c>
      <c r="B50" s="6" t="s">
        <v>78</v>
      </c>
      <c r="C50" t="s">
        <v>79</v>
      </c>
      <c r="D50" s="6" t="str">
        <f>_xlfn.XLOOKUP(tblBuildings[[#This Row],[BuildingID]],tblTargets[TargetID],tblTargets[DisplayName],"")</f>
        <v>Guild: Video Game Arcade Lv 1</v>
      </c>
      <c r="E50" t="b">
        <v>1</v>
      </c>
      <c r="F50">
        <v>1</v>
      </c>
      <c r="H50" t="s">
        <v>208</v>
      </c>
      <c r="I50" s="6" t="s">
        <v>172</v>
      </c>
      <c r="J50" t="s">
        <v>337</v>
      </c>
      <c r="K50" t="s">
        <v>557</v>
      </c>
      <c r="L50" t="s">
        <v>605</v>
      </c>
      <c r="N50" t="s">
        <v>338</v>
      </c>
      <c r="O50">
        <f>IF(tblBuildings[[#This Row],[costtext]]="", 0, LEN(tblBuildings[[#This Row],[costtext]]) - LEN(SUBSTITUTE(tblBuildings[[#This Row],[costtext]], ",", "")) + 1)</f>
        <v>9</v>
      </c>
      <c r="P50">
        <f>COUNTIF(tblBuildings[[#This Row],[anchor]:[wood]],"&gt;0")</f>
        <v>9</v>
      </c>
      <c r="Y50">
        <v>30</v>
      </c>
      <c r="AD50">
        <v>500</v>
      </c>
      <c r="AE50">
        <v>10</v>
      </c>
      <c r="AI50">
        <v>40</v>
      </c>
      <c r="AW50">
        <v>10</v>
      </c>
      <c r="AY50">
        <v>40</v>
      </c>
      <c r="BC50">
        <v>3</v>
      </c>
      <c r="BE50">
        <v>2</v>
      </c>
      <c r="BS50">
        <v>3</v>
      </c>
    </row>
    <row r="51" spans="1:86">
      <c r="A51" s="6" t="s">
        <v>80</v>
      </c>
      <c r="B51" s="6" t="s">
        <v>81</v>
      </c>
      <c r="C51" t="s">
        <v>82</v>
      </c>
      <c r="D51" s="6" t="str">
        <f>_xlfn.XLOOKUP(tblBuildings[[#This Row],[BuildingID]],tblTargets[TargetID],tblTargets[DisplayName],"")</f>
        <v>Laboratory Lv 1</v>
      </c>
      <c r="E51" t="b">
        <v>1</v>
      </c>
      <c r="F51">
        <v>1</v>
      </c>
      <c r="G51">
        <v>80</v>
      </c>
      <c r="H51" t="s">
        <v>183</v>
      </c>
      <c r="I51" s="6" t="s">
        <v>173</v>
      </c>
      <c r="J51" t="s">
        <v>339</v>
      </c>
      <c r="K51" t="s">
        <v>558</v>
      </c>
      <c r="L51" t="s">
        <v>606</v>
      </c>
      <c r="N51" t="s">
        <v>340</v>
      </c>
      <c r="O51">
        <f>IF(tblBuildings[[#This Row],[costtext]]="", 0, LEN(tblBuildings[[#This Row],[costtext]]) - LEN(SUBSTITUTE(tblBuildings[[#This Row],[costtext]], ",", "")) + 1)</f>
        <v>9</v>
      </c>
      <c r="P51">
        <f>COUNTIF(tblBuildings[[#This Row],[anchor]:[wood]],"&gt;0")</f>
        <v>9</v>
      </c>
      <c r="Y51">
        <v>40</v>
      </c>
      <c r="AA51">
        <v>100</v>
      </c>
      <c r="AC51">
        <v>1000</v>
      </c>
      <c r="AK51">
        <v>50</v>
      </c>
      <c r="AV51">
        <v>2</v>
      </c>
      <c r="AW51">
        <v>30</v>
      </c>
      <c r="BS51">
        <v>6</v>
      </c>
      <c r="CA51">
        <v>300</v>
      </c>
      <c r="CB51">
        <v>500</v>
      </c>
    </row>
    <row r="52" spans="1:86">
      <c r="A52" s="6" t="s">
        <v>83</v>
      </c>
      <c r="B52" s="6" t="s">
        <v>81</v>
      </c>
      <c r="C52" t="s">
        <v>82</v>
      </c>
      <c r="D52" s="6" t="str">
        <f>_xlfn.XLOOKUP(tblBuildings[[#This Row],[BuildingID]],tblTargets[TargetID],tblTargets[DisplayName],"")</f>
        <v>Laboratory Lv 2</v>
      </c>
      <c r="E52" t="b">
        <v>1</v>
      </c>
      <c r="F52">
        <v>2</v>
      </c>
      <c r="H52" t="s">
        <v>209</v>
      </c>
      <c r="I52" s="6" t="s">
        <v>174</v>
      </c>
      <c r="J52" t="s">
        <v>341</v>
      </c>
      <c r="L52" t="s">
        <v>607</v>
      </c>
      <c r="N52" t="s">
        <v>342</v>
      </c>
      <c r="O52">
        <f>IF(tblBuildings[[#This Row],[costtext]]="", 0, LEN(tblBuildings[[#This Row],[costtext]]) - LEN(SUBSTITUTE(tblBuildings[[#This Row],[costtext]], ",", "")) + 1)</f>
        <v>9</v>
      </c>
      <c r="P52">
        <f>COUNTIF(tblBuildings[[#This Row],[anchor]:[wood]],"&gt;0")</f>
        <v>9</v>
      </c>
      <c r="Y52">
        <v>40</v>
      </c>
      <c r="AC52">
        <v>1000</v>
      </c>
      <c r="AK52">
        <v>70</v>
      </c>
      <c r="AV52">
        <v>2</v>
      </c>
      <c r="AX52">
        <v>30</v>
      </c>
      <c r="BS52">
        <v>7</v>
      </c>
      <c r="CA52">
        <v>400</v>
      </c>
      <c r="CB52">
        <v>600</v>
      </c>
      <c r="CE52">
        <v>20</v>
      </c>
    </row>
    <row r="53" spans="1:86">
      <c r="A53" s="6" t="s">
        <v>84</v>
      </c>
      <c r="B53" s="6" t="s">
        <v>81</v>
      </c>
      <c r="C53" t="s">
        <v>82</v>
      </c>
      <c r="D53" s="6" t="str">
        <f>_xlfn.XLOOKUP(tblBuildings[[#This Row],[BuildingID]],tblTargets[TargetID],tblTargets[DisplayName],"")</f>
        <v>Laboratory Lv 3</v>
      </c>
      <c r="E53" t="b">
        <v>1</v>
      </c>
      <c r="F53">
        <v>3</v>
      </c>
      <c r="H53" t="s">
        <v>210</v>
      </c>
      <c r="I53" s="6" t="s">
        <v>174</v>
      </c>
      <c r="J53" t="s">
        <v>343</v>
      </c>
      <c r="L53" t="s">
        <v>608</v>
      </c>
      <c r="N53" t="s">
        <v>344</v>
      </c>
      <c r="O53">
        <f>IF(tblBuildings[[#This Row],[costtext]]="", 0, LEN(tblBuildings[[#This Row],[costtext]]) - LEN(SUBSTITUTE(tblBuildings[[#This Row],[costtext]], ",", "")) + 1)</f>
        <v>9</v>
      </c>
      <c r="P53">
        <f>COUNTIF(tblBuildings[[#This Row],[anchor]:[wood]],"&gt;0")</f>
        <v>9</v>
      </c>
      <c r="X53">
        <v>20</v>
      </c>
      <c r="Y53">
        <v>40</v>
      </c>
      <c r="AC53">
        <v>1500</v>
      </c>
      <c r="AK53">
        <v>100</v>
      </c>
      <c r="AV53">
        <v>2</v>
      </c>
      <c r="BI53">
        <v>20</v>
      </c>
      <c r="BS53">
        <v>8</v>
      </c>
      <c r="CA53">
        <v>400</v>
      </c>
      <c r="CB53">
        <v>600</v>
      </c>
    </row>
    <row r="54" spans="1:86">
      <c r="A54" s="6" t="s">
        <v>85</v>
      </c>
      <c r="B54" s="6" t="s">
        <v>81</v>
      </c>
      <c r="C54" t="s">
        <v>82</v>
      </c>
      <c r="D54" s="6" t="str">
        <f>_xlfn.XLOOKUP(tblBuildings[[#This Row],[BuildingID]],tblTargets[TargetID],tblTargets[DisplayName],"")</f>
        <v>Laboratory Lv 4</v>
      </c>
      <c r="E54" t="b">
        <v>1</v>
      </c>
      <c r="F54">
        <v>4</v>
      </c>
      <c r="H54" t="s">
        <v>211</v>
      </c>
      <c r="I54" s="6" t="s">
        <v>174</v>
      </c>
      <c r="J54" t="s">
        <v>345</v>
      </c>
      <c r="L54" t="s">
        <v>609</v>
      </c>
      <c r="N54" t="s">
        <v>346</v>
      </c>
      <c r="O54">
        <f>IF(tblBuildings[[#This Row],[costtext]]="", 0, LEN(tblBuildings[[#This Row],[costtext]]) - LEN(SUBSTITUTE(tblBuildings[[#This Row],[costtext]], ",", "")) + 1)</f>
        <v>9</v>
      </c>
      <c r="P54">
        <f>COUNTIF(tblBuildings[[#This Row],[anchor]:[wood]],"&gt;0")</f>
        <v>9</v>
      </c>
      <c r="Y54">
        <v>40</v>
      </c>
      <c r="AC54">
        <v>2000</v>
      </c>
      <c r="AM54">
        <v>20</v>
      </c>
      <c r="AV54">
        <v>1</v>
      </c>
      <c r="BI54">
        <v>30</v>
      </c>
      <c r="BQ54">
        <v>20</v>
      </c>
      <c r="BS54">
        <v>9</v>
      </c>
      <c r="CA54">
        <v>400</v>
      </c>
      <c r="CB54">
        <v>600</v>
      </c>
    </row>
    <row r="55" spans="1:86">
      <c r="A55" s="6" t="s">
        <v>86</v>
      </c>
      <c r="B55" s="6" t="s">
        <v>81</v>
      </c>
      <c r="C55" t="s">
        <v>82</v>
      </c>
      <c r="D55" s="6" t="str">
        <f>_xlfn.XLOOKUP(tblBuildings[[#This Row],[BuildingID]],tblTargets[TargetID],tblTargets[DisplayName],"")</f>
        <v>Laboratory Lv 5</v>
      </c>
      <c r="E55" t="b">
        <v>1</v>
      </c>
      <c r="F55">
        <v>5</v>
      </c>
      <c r="H55" t="s">
        <v>212</v>
      </c>
      <c r="I55" s="6" t="s">
        <v>174</v>
      </c>
      <c r="J55" t="s">
        <v>347</v>
      </c>
      <c r="L55" t="s">
        <v>610</v>
      </c>
      <c r="N55" t="s">
        <v>348</v>
      </c>
      <c r="O55">
        <f>IF(tblBuildings[[#This Row],[costtext]]="", 0, LEN(tblBuildings[[#This Row],[costtext]]) - LEN(SUBSTITUTE(tblBuildings[[#This Row],[costtext]], ",", "")) + 1)</f>
        <v>9</v>
      </c>
      <c r="P55">
        <f>COUNTIF(tblBuildings[[#This Row],[anchor]:[wood]],"&gt;0")</f>
        <v>9</v>
      </c>
      <c r="Y55">
        <v>40</v>
      </c>
      <c r="AC55">
        <v>2000</v>
      </c>
      <c r="AV55">
        <v>1</v>
      </c>
      <c r="AW55">
        <v>30</v>
      </c>
      <c r="BI55">
        <v>40</v>
      </c>
      <c r="BN55">
        <v>20</v>
      </c>
      <c r="BS55">
        <v>10</v>
      </c>
      <c r="CA55">
        <v>500</v>
      </c>
      <c r="CB55">
        <v>700</v>
      </c>
    </row>
    <row r="56" spans="1:86">
      <c r="A56" s="6" t="s">
        <v>87</v>
      </c>
      <c r="B56" s="6" t="s">
        <v>88</v>
      </c>
      <c r="C56" t="s">
        <v>89</v>
      </c>
      <c r="D56" s="6" t="str">
        <f>_xlfn.XLOOKUP(tblBuildings[[#This Row],[BuildingID]],tblTargets[TargetID],tblTargets[DisplayName],"")</f>
        <v>Laboratory: Data Center Lv 1</v>
      </c>
      <c r="E56" t="b">
        <v>1</v>
      </c>
      <c r="F56">
        <v>1</v>
      </c>
      <c r="H56" t="s">
        <v>213</v>
      </c>
      <c r="I56" s="6" t="s">
        <v>175</v>
      </c>
      <c r="J56" t="s">
        <v>349</v>
      </c>
      <c r="K56" t="s">
        <v>559</v>
      </c>
      <c r="L56" t="s">
        <v>611</v>
      </c>
      <c r="N56" t="s">
        <v>350</v>
      </c>
      <c r="O56">
        <f>IF(tblBuildings[[#This Row],[costtext]]="", 0, LEN(tblBuildings[[#This Row],[costtext]]) - LEN(SUBSTITUTE(tblBuildings[[#This Row],[costtext]], ",", "")) + 1)</f>
        <v>9</v>
      </c>
      <c r="P56">
        <f>COUNTIF(tblBuildings[[#This Row],[anchor]:[wood]],"&gt;0")</f>
        <v>9</v>
      </c>
      <c r="R56">
        <v>20</v>
      </c>
      <c r="Y56">
        <v>50</v>
      </c>
      <c r="AC56">
        <v>1000</v>
      </c>
      <c r="AK56">
        <v>50</v>
      </c>
      <c r="AY56">
        <v>50</v>
      </c>
      <c r="BN56">
        <v>20</v>
      </c>
      <c r="BS56">
        <v>10</v>
      </c>
      <c r="CA56">
        <v>300</v>
      </c>
      <c r="CB56">
        <v>500</v>
      </c>
    </row>
    <row r="57" spans="1:86">
      <c r="A57" s="6" t="s">
        <v>90</v>
      </c>
      <c r="B57" s="6" t="s">
        <v>91</v>
      </c>
      <c r="C57" t="s">
        <v>91</v>
      </c>
      <c r="D57" s="6" t="str">
        <f>_xlfn.XLOOKUP(tblBuildings[[#This Row],[BuildingID]],tblTargets[TargetID],tblTargets[DisplayName],"")</f>
        <v>Lumber Lv 1</v>
      </c>
      <c r="E57" t="b">
        <v>1</v>
      </c>
      <c r="F57">
        <v>1</v>
      </c>
      <c r="G57">
        <v>11</v>
      </c>
      <c r="H57" t="s">
        <v>183</v>
      </c>
      <c r="I57" s="6"/>
      <c r="J57" t="s">
        <v>351</v>
      </c>
      <c r="L57" t="s">
        <v>328</v>
      </c>
      <c r="N57" t="s">
        <v>352</v>
      </c>
      <c r="O57">
        <f>IF(tblBuildings[[#This Row],[costtext]]="", 0, LEN(tblBuildings[[#This Row],[costtext]]) - LEN(SUBSTITUTE(tblBuildings[[#This Row],[costtext]], ",", "")) + 1)</f>
        <v>4</v>
      </c>
      <c r="P57">
        <f>COUNTIF(tblBuildings[[#This Row],[anchor]:[wood]],"&gt;0")</f>
        <v>4</v>
      </c>
      <c r="AC57">
        <v>300</v>
      </c>
      <c r="BS57">
        <v>1</v>
      </c>
      <c r="CB57">
        <v>150</v>
      </c>
      <c r="CH57">
        <v>150</v>
      </c>
    </row>
    <row r="58" spans="1:86">
      <c r="A58" s="6" t="s">
        <v>92</v>
      </c>
      <c r="B58" s="6" t="s">
        <v>91</v>
      </c>
      <c r="C58" t="s">
        <v>91</v>
      </c>
      <c r="D58" s="6" t="str">
        <f>_xlfn.XLOOKUP(tblBuildings[[#This Row],[BuildingID]],tblTargets[TargetID],tblTargets[DisplayName],"")</f>
        <v>Lumber Lv 2</v>
      </c>
      <c r="E58" t="b">
        <v>1</v>
      </c>
      <c r="F58">
        <v>2</v>
      </c>
      <c r="H58" t="s">
        <v>198</v>
      </c>
      <c r="I58" s="6" t="s">
        <v>176</v>
      </c>
      <c r="J58" t="s">
        <v>316</v>
      </c>
      <c r="L58" t="s">
        <v>612</v>
      </c>
      <c r="N58" t="s">
        <v>317</v>
      </c>
      <c r="O58">
        <f>IF(tblBuildings[[#This Row],[costtext]]="", 0, LEN(tblBuildings[[#This Row],[costtext]]) - LEN(SUBSTITUTE(tblBuildings[[#This Row],[costtext]], ",", "")) + 1)</f>
        <v>5</v>
      </c>
      <c r="P58">
        <f>COUNTIF(tblBuildings[[#This Row],[anchor]:[wood]],"&gt;0")</f>
        <v>5</v>
      </c>
      <c r="U58">
        <v>400</v>
      </c>
      <c r="AC58">
        <v>500</v>
      </c>
      <c r="BS58">
        <v>3</v>
      </c>
      <c r="CA58">
        <v>20</v>
      </c>
      <c r="CB58">
        <v>200</v>
      </c>
    </row>
    <row r="59" spans="1:86">
      <c r="A59" s="6" t="s">
        <v>93</v>
      </c>
      <c r="B59" s="6" t="s">
        <v>91</v>
      </c>
      <c r="C59" t="s">
        <v>91</v>
      </c>
      <c r="D59" s="6" t="str">
        <f>_xlfn.XLOOKUP(tblBuildings[[#This Row],[BuildingID]],tblTargets[TargetID],tblTargets[DisplayName],"")</f>
        <v>Lumber Lv 3</v>
      </c>
      <c r="E59" t="b">
        <v>1</v>
      </c>
      <c r="F59">
        <v>3</v>
      </c>
      <c r="H59" t="s">
        <v>183</v>
      </c>
      <c r="I59" s="6"/>
      <c r="J59" t="s">
        <v>353</v>
      </c>
      <c r="L59" t="s">
        <v>613</v>
      </c>
      <c r="N59" t="s">
        <v>354</v>
      </c>
      <c r="O59">
        <f>IF(tblBuildings[[#This Row],[costtext]]="", 0, LEN(tblBuildings[[#This Row],[costtext]]) - LEN(SUBSTITUTE(tblBuildings[[#This Row],[costtext]], ",", "")) + 1)</f>
        <v>5</v>
      </c>
      <c r="P59">
        <f>COUNTIF(tblBuildings[[#This Row],[anchor]:[wood]],"&gt;0")</f>
        <v>5</v>
      </c>
      <c r="U59">
        <v>600</v>
      </c>
      <c r="AC59">
        <v>800</v>
      </c>
      <c r="BS59">
        <v>5</v>
      </c>
      <c r="CA59">
        <v>100</v>
      </c>
      <c r="CB59">
        <v>300</v>
      </c>
    </row>
    <row r="60" spans="1:86">
      <c r="A60" s="6" t="s">
        <v>94</v>
      </c>
      <c r="B60" s="6" t="s">
        <v>95</v>
      </c>
      <c r="C60" t="s">
        <v>95</v>
      </c>
      <c r="D60" s="6" t="str">
        <f>_xlfn.XLOOKUP(tblBuildings[[#This Row],[BuildingID]],tblTargets[TargetID],tblTargets[DisplayName],"")</f>
        <v>Onsen Lv 1</v>
      </c>
      <c r="E60" t="b">
        <v>1</v>
      </c>
      <c r="F60">
        <v>1</v>
      </c>
      <c r="G60">
        <v>20</v>
      </c>
      <c r="H60" t="s">
        <v>208</v>
      </c>
      <c r="I60" s="6" t="s">
        <v>171</v>
      </c>
      <c r="J60" t="s">
        <v>355</v>
      </c>
      <c r="L60" t="s">
        <v>328</v>
      </c>
      <c r="N60" t="s">
        <v>356</v>
      </c>
      <c r="O60">
        <f>IF(tblBuildings[[#This Row],[costtext]]="", 0, LEN(tblBuildings[[#This Row],[costtext]]) - LEN(SUBSTITUTE(tblBuildings[[#This Row],[costtext]], ",", "")) + 1)</f>
        <v>4</v>
      </c>
      <c r="P60">
        <f>COUNTIF(tblBuildings[[#This Row],[anchor]:[wood]],"&gt;0")</f>
        <v>4</v>
      </c>
      <c r="AC60">
        <v>500</v>
      </c>
      <c r="BL60">
        <v>500</v>
      </c>
      <c r="BS60">
        <v>3</v>
      </c>
      <c r="CB60">
        <v>400</v>
      </c>
    </row>
    <row r="61" spans="1:86">
      <c r="A61" s="6" t="s">
        <v>96</v>
      </c>
      <c r="B61" s="6" t="s">
        <v>95</v>
      </c>
      <c r="C61" t="s">
        <v>95</v>
      </c>
      <c r="D61" s="6" t="str">
        <f>_xlfn.XLOOKUP(tblBuildings[[#This Row],[BuildingID]],tblTargets[TargetID],tblTargets[DisplayName],"")</f>
        <v>Onsen Lv 2</v>
      </c>
      <c r="E61" t="b">
        <v>1</v>
      </c>
      <c r="F61">
        <v>2</v>
      </c>
      <c r="H61" t="s">
        <v>214</v>
      </c>
      <c r="I61" s="6"/>
      <c r="J61" t="s">
        <v>357</v>
      </c>
      <c r="L61" t="s">
        <v>614</v>
      </c>
      <c r="N61" t="s">
        <v>358</v>
      </c>
      <c r="O61">
        <f>IF(tblBuildings[[#This Row],[costtext]]="", 0, LEN(tblBuildings[[#This Row],[costtext]]) - LEN(SUBSTITUTE(tblBuildings[[#This Row],[costtext]], ",", "")) + 1)</f>
        <v>4</v>
      </c>
      <c r="P61">
        <f>COUNTIF(tblBuildings[[#This Row],[anchor]:[wood]],"&gt;0")</f>
        <v>4</v>
      </c>
      <c r="AC61">
        <v>800</v>
      </c>
      <c r="BL61">
        <v>600</v>
      </c>
      <c r="BS61">
        <v>5</v>
      </c>
      <c r="CB61">
        <v>500</v>
      </c>
    </row>
    <row r="62" spans="1:86">
      <c r="A62" s="6" t="s">
        <v>97</v>
      </c>
      <c r="B62" s="6" t="s">
        <v>98</v>
      </c>
      <c r="C62" t="s">
        <v>98</v>
      </c>
      <c r="D62" s="6" t="str">
        <f>_xlfn.XLOOKUP(tblBuildings[[#This Row],[BuildingID]],tblTargets[TargetID],tblTargets[DisplayName],"")</f>
        <v>Outpost Lv 1</v>
      </c>
      <c r="E62" t="b">
        <v>1</v>
      </c>
      <c r="F62">
        <v>1</v>
      </c>
      <c r="G62">
        <v>31</v>
      </c>
      <c r="H62" t="s">
        <v>215</v>
      </c>
      <c r="I62" s="6"/>
      <c r="J62" t="s">
        <v>359</v>
      </c>
      <c r="K62" t="s">
        <v>553</v>
      </c>
      <c r="L62" t="s">
        <v>615</v>
      </c>
      <c r="N62" t="s">
        <v>360</v>
      </c>
      <c r="O62">
        <f>IF(tblBuildings[[#This Row],[costtext]]="", 0, LEN(tblBuildings[[#This Row],[costtext]]) - LEN(SUBSTITUTE(tblBuildings[[#This Row],[costtext]], ",", "")) + 1)</f>
        <v>6</v>
      </c>
      <c r="P62">
        <f>COUNTIF(tblBuildings[[#This Row],[anchor]:[wood]],"&gt;0")</f>
        <v>6</v>
      </c>
      <c r="S62">
        <v>300</v>
      </c>
      <c r="U62">
        <v>1000</v>
      </c>
      <c r="AC62">
        <v>1000</v>
      </c>
      <c r="AR62">
        <v>100</v>
      </c>
      <c r="BS62">
        <v>6</v>
      </c>
      <c r="CB62">
        <v>1000</v>
      </c>
    </row>
    <row r="63" spans="1:86">
      <c r="A63" s="6" t="s">
        <v>99</v>
      </c>
      <c r="B63" s="6" t="s">
        <v>98</v>
      </c>
      <c r="C63" t="s">
        <v>98</v>
      </c>
      <c r="D63" s="6" t="str">
        <f>_xlfn.XLOOKUP(tblBuildings[[#This Row],[BuildingID]],tblTargets[TargetID],tblTargets[DisplayName],"")</f>
        <v>Outpost Lv 2</v>
      </c>
      <c r="E63" t="b">
        <v>1</v>
      </c>
      <c r="F63">
        <v>2</v>
      </c>
      <c r="H63" t="s">
        <v>216</v>
      </c>
      <c r="I63" s="6"/>
      <c r="J63" t="s">
        <v>361</v>
      </c>
      <c r="L63" t="s">
        <v>616</v>
      </c>
      <c r="N63" t="s">
        <v>362</v>
      </c>
      <c r="O63">
        <f>IF(tblBuildings[[#This Row],[costtext]]="", 0, LEN(tblBuildings[[#This Row],[costtext]]) - LEN(SUBSTITUTE(tblBuildings[[#This Row],[costtext]], ",", "")) + 1)</f>
        <v>6</v>
      </c>
      <c r="P63">
        <f>COUNTIF(tblBuildings[[#This Row],[anchor]:[wood]],"&gt;0")</f>
        <v>6</v>
      </c>
      <c r="U63">
        <v>1500</v>
      </c>
      <c r="AC63">
        <v>1500</v>
      </c>
      <c r="BB63">
        <v>30</v>
      </c>
      <c r="BS63">
        <v>8</v>
      </c>
      <c r="CA63">
        <v>300</v>
      </c>
      <c r="CB63">
        <v>3000</v>
      </c>
    </row>
    <row r="64" spans="1:86">
      <c r="A64" s="6" t="s">
        <v>100</v>
      </c>
      <c r="B64" s="6" t="s">
        <v>98</v>
      </c>
      <c r="C64" t="s">
        <v>98</v>
      </c>
      <c r="D64" s="6" t="str">
        <f>_xlfn.XLOOKUP(tblBuildings[[#This Row],[BuildingID]],tblTargets[TargetID],tblTargets[DisplayName],"")</f>
        <v>Outpost Lv 3</v>
      </c>
      <c r="E64" t="b">
        <v>1</v>
      </c>
      <c r="F64">
        <v>3</v>
      </c>
      <c r="H64" t="s">
        <v>217</v>
      </c>
      <c r="I64" s="6"/>
      <c r="J64" t="s">
        <v>363</v>
      </c>
      <c r="L64" t="s">
        <v>617</v>
      </c>
      <c r="N64" t="s">
        <v>364</v>
      </c>
      <c r="O64">
        <f>IF(tblBuildings[[#This Row],[costtext]]="", 0, LEN(tblBuildings[[#This Row],[costtext]]) - LEN(SUBSTITUTE(tblBuildings[[#This Row],[costtext]], ",", "")) + 1)</f>
        <v>6</v>
      </c>
      <c r="P64">
        <f>COUNTIF(tblBuildings[[#This Row],[anchor]:[wood]],"&gt;0")</f>
        <v>6</v>
      </c>
      <c r="U64">
        <v>2000</v>
      </c>
      <c r="AC64">
        <v>2000</v>
      </c>
      <c r="BF64">
        <v>20</v>
      </c>
      <c r="BS64">
        <v>10</v>
      </c>
      <c r="BT64">
        <v>20</v>
      </c>
      <c r="CB64">
        <v>5000</v>
      </c>
    </row>
    <row r="65" spans="1:86">
      <c r="A65" s="6" t="s">
        <v>101</v>
      </c>
      <c r="B65" s="6" t="s">
        <v>102</v>
      </c>
      <c r="C65" t="s">
        <v>102</v>
      </c>
      <c r="D65" s="6" t="str">
        <f>_xlfn.XLOOKUP(tblBuildings[[#This Row],[BuildingID]],tblTargets[TargetID],tblTargets[DisplayName],"")</f>
        <v>Pagoda Lv 1</v>
      </c>
      <c r="E65" t="b">
        <v>1</v>
      </c>
      <c r="F65">
        <v>1</v>
      </c>
      <c r="G65">
        <v>4</v>
      </c>
      <c r="H65" t="s">
        <v>218</v>
      </c>
      <c r="I65" s="6"/>
      <c r="J65" t="s">
        <v>365</v>
      </c>
      <c r="L65" t="s">
        <v>328</v>
      </c>
      <c r="N65" t="s">
        <v>366</v>
      </c>
      <c r="O65">
        <f>IF(tblBuildings[[#This Row],[costtext]]="", 0, LEN(tblBuildings[[#This Row],[costtext]]) - LEN(SUBSTITUTE(tblBuildings[[#This Row],[costtext]], ",", "")) + 1)</f>
        <v>5</v>
      </c>
      <c r="P65">
        <f>COUNTIF(tblBuildings[[#This Row],[anchor]:[wood]],"&gt;0")</f>
        <v>5</v>
      </c>
      <c r="AC65">
        <v>50</v>
      </c>
      <c r="BK65">
        <v>5</v>
      </c>
      <c r="BS65">
        <v>1</v>
      </c>
      <c r="CB65">
        <v>50</v>
      </c>
      <c r="CH65">
        <v>50</v>
      </c>
    </row>
    <row r="66" spans="1:86">
      <c r="A66" s="6" t="s">
        <v>103</v>
      </c>
      <c r="B66" s="6" t="s">
        <v>102</v>
      </c>
      <c r="C66" t="s">
        <v>102</v>
      </c>
      <c r="D66" s="6" t="str">
        <f>_xlfn.XLOOKUP(tblBuildings[[#This Row],[BuildingID]],tblTargets[TargetID],tblTargets[DisplayName],"")</f>
        <v>Pagoda Lv 2</v>
      </c>
      <c r="E66" t="b">
        <v>1</v>
      </c>
      <c r="F66">
        <v>2</v>
      </c>
      <c r="G66">
        <v>7</v>
      </c>
      <c r="H66" t="s">
        <v>219</v>
      </c>
      <c r="I66" s="6"/>
      <c r="J66" t="s">
        <v>367</v>
      </c>
      <c r="L66" t="s">
        <v>618</v>
      </c>
      <c r="N66" t="s">
        <v>368</v>
      </c>
      <c r="O66">
        <f>IF(tblBuildings[[#This Row],[costtext]]="", 0, LEN(tblBuildings[[#This Row],[costtext]]) - LEN(SUBSTITUTE(tblBuildings[[#This Row],[costtext]], ",", "")) + 1)</f>
        <v>5</v>
      </c>
      <c r="P66">
        <f>COUNTIF(tblBuildings[[#This Row],[anchor]:[wood]],"&gt;0")</f>
        <v>5</v>
      </c>
      <c r="AA66">
        <v>10</v>
      </c>
      <c r="AC66">
        <v>200</v>
      </c>
      <c r="BS66">
        <v>2</v>
      </c>
      <c r="CB66">
        <v>200</v>
      </c>
      <c r="CH66">
        <v>200</v>
      </c>
    </row>
    <row r="67" spans="1:86">
      <c r="A67" s="6" t="s">
        <v>104</v>
      </c>
      <c r="B67" s="6" t="s">
        <v>102</v>
      </c>
      <c r="C67" t="s">
        <v>102</v>
      </c>
      <c r="D67" s="6" t="str">
        <f>_xlfn.XLOOKUP(tblBuildings[[#This Row],[BuildingID]],tblTargets[TargetID],tblTargets[DisplayName],"")</f>
        <v>Pagoda Lv 3</v>
      </c>
      <c r="E67" t="b">
        <v>1</v>
      </c>
      <c r="F67">
        <v>3</v>
      </c>
      <c r="G67">
        <v>10</v>
      </c>
      <c r="H67" t="s">
        <v>219</v>
      </c>
      <c r="I67" s="6"/>
      <c r="J67" t="s">
        <v>369</v>
      </c>
      <c r="L67" t="s">
        <v>619</v>
      </c>
      <c r="N67" t="s">
        <v>370</v>
      </c>
      <c r="O67">
        <f>IF(tblBuildings[[#This Row],[costtext]]="", 0, LEN(tblBuildings[[#This Row],[costtext]]) - LEN(SUBSTITUTE(tblBuildings[[#This Row],[costtext]], ",", "")) + 1)</f>
        <v>5</v>
      </c>
      <c r="P67">
        <f>COUNTIF(tblBuildings[[#This Row],[anchor]:[wood]],"&gt;0")</f>
        <v>5</v>
      </c>
      <c r="U67">
        <v>600</v>
      </c>
      <c r="AC67">
        <v>300</v>
      </c>
      <c r="BS67">
        <v>4</v>
      </c>
      <c r="CA67">
        <v>50</v>
      </c>
      <c r="CB67">
        <v>300</v>
      </c>
    </row>
    <row r="68" spans="1:86">
      <c r="A68" s="6" t="s">
        <v>105</v>
      </c>
      <c r="B68" s="6" t="s">
        <v>102</v>
      </c>
      <c r="C68" t="s">
        <v>102</v>
      </c>
      <c r="D68" s="6" t="str">
        <f>_xlfn.XLOOKUP(tblBuildings[[#This Row],[BuildingID]],tblTargets[TargetID],tblTargets[DisplayName],"")</f>
        <v>Pagoda Lv 4</v>
      </c>
      <c r="E68" t="b">
        <v>1</v>
      </c>
      <c r="F68">
        <v>4</v>
      </c>
      <c r="G68">
        <v>14</v>
      </c>
      <c r="H68" t="s">
        <v>219</v>
      </c>
      <c r="I68" s="6"/>
      <c r="J68" t="s">
        <v>371</v>
      </c>
      <c r="L68" t="s">
        <v>620</v>
      </c>
      <c r="N68" t="s">
        <v>372</v>
      </c>
      <c r="O68">
        <f>IF(tblBuildings[[#This Row],[costtext]]="", 0, LEN(tblBuildings[[#This Row],[costtext]]) - LEN(SUBSTITUTE(tblBuildings[[#This Row],[costtext]], ",", "")) + 1)</f>
        <v>5</v>
      </c>
      <c r="P68">
        <f>COUNTIF(tblBuildings[[#This Row],[anchor]:[wood]],"&gt;0")</f>
        <v>5</v>
      </c>
      <c r="U68">
        <v>700</v>
      </c>
      <c r="AC68">
        <v>350</v>
      </c>
      <c r="AH68">
        <v>30</v>
      </c>
      <c r="BS68">
        <v>6</v>
      </c>
      <c r="CB68">
        <v>350</v>
      </c>
    </row>
    <row r="69" spans="1:86">
      <c r="A69" s="6" t="s">
        <v>106</v>
      </c>
      <c r="B69" s="6" t="s">
        <v>102</v>
      </c>
      <c r="C69" t="s">
        <v>102</v>
      </c>
      <c r="D69" s="6" t="str">
        <f>_xlfn.XLOOKUP(tblBuildings[[#This Row],[BuildingID]],tblTargets[TargetID],tblTargets[DisplayName],"")</f>
        <v>Pagoda Lv 5</v>
      </c>
      <c r="E69" t="b">
        <v>1</v>
      </c>
      <c r="F69">
        <v>5</v>
      </c>
      <c r="G69">
        <v>18</v>
      </c>
      <c r="H69" t="s">
        <v>219</v>
      </c>
      <c r="I69" s="6"/>
      <c r="J69" t="s">
        <v>373</v>
      </c>
      <c r="L69" t="s">
        <v>621</v>
      </c>
      <c r="N69" t="s">
        <v>374</v>
      </c>
      <c r="O69">
        <f>IF(tblBuildings[[#This Row],[costtext]]="", 0, LEN(tblBuildings[[#This Row],[costtext]]) - LEN(SUBSTITUTE(tblBuildings[[#This Row],[costtext]], ",", "")) + 1)</f>
        <v>5</v>
      </c>
      <c r="P69">
        <f>COUNTIF(tblBuildings[[#This Row],[anchor]:[wood]],"&gt;0")</f>
        <v>5</v>
      </c>
      <c r="U69">
        <v>800</v>
      </c>
      <c r="AC69">
        <v>400</v>
      </c>
      <c r="AR69">
        <v>30</v>
      </c>
      <c r="BS69">
        <v>8</v>
      </c>
      <c r="CB69">
        <v>400</v>
      </c>
    </row>
    <row r="70" spans="1:86">
      <c r="A70" s="6" t="s">
        <v>107</v>
      </c>
      <c r="B70" s="6" t="s">
        <v>102</v>
      </c>
      <c r="C70" t="s">
        <v>102</v>
      </c>
      <c r="D70" s="6" t="str">
        <f>_xlfn.XLOOKUP(tblBuildings[[#This Row],[BuildingID]],tblTargets[TargetID],tblTargets[DisplayName],"")</f>
        <v>Pagoda Lv 6</v>
      </c>
      <c r="E70" t="b">
        <v>1</v>
      </c>
      <c r="F70">
        <v>6</v>
      </c>
      <c r="G70">
        <v>23</v>
      </c>
      <c r="H70" t="s">
        <v>219</v>
      </c>
      <c r="I70" s="6"/>
      <c r="J70" t="s">
        <v>375</v>
      </c>
      <c r="L70" t="s">
        <v>622</v>
      </c>
      <c r="N70" t="s">
        <v>376</v>
      </c>
      <c r="O70">
        <f>IF(tblBuildings[[#This Row],[costtext]]="", 0, LEN(tblBuildings[[#This Row],[costtext]]) - LEN(SUBSTITUTE(tblBuildings[[#This Row],[costtext]], ",", "")) + 1)</f>
        <v>6</v>
      </c>
      <c r="P70">
        <f>COUNTIF(tblBuildings[[#This Row],[anchor]:[wood]],"&gt;0")</f>
        <v>6</v>
      </c>
      <c r="U70">
        <v>900</v>
      </c>
      <c r="AC70">
        <v>450</v>
      </c>
      <c r="AQ70">
        <v>5</v>
      </c>
      <c r="BS70">
        <v>10</v>
      </c>
      <c r="BZ70">
        <v>5</v>
      </c>
      <c r="CB70">
        <v>450</v>
      </c>
    </row>
    <row r="71" spans="1:86">
      <c r="A71" s="6" t="s">
        <v>108</v>
      </c>
      <c r="B71" s="6" t="s">
        <v>102</v>
      </c>
      <c r="C71" t="s">
        <v>102</v>
      </c>
      <c r="D71" s="6" t="str">
        <f>_xlfn.XLOOKUP(tblBuildings[[#This Row],[BuildingID]],tblTargets[TargetID],tblTargets[DisplayName],"")</f>
        <v>Pagoda Lv 7</v>
      </c>
      <c r="E71" t="b">
        <v>1</v>
      </c>
      <c r="F71">
        <v>7</v>
      </c>
      <c r="G71">
        <v>28</v>
      </c>
      <c r="H71" t="s">
        <v>219</v>
      </c>
      <c r="I71" s="6"/>
      <c r="J71" t="s">
        <v>377</v>
      </c>
      <c r="L71" t="s">
        <v>623</v>
      </c>
      <c r="N71" t="s">
        <v>378</v>
      </c>
      <c r="O71">
        <f>IF(tblBuildings[[#This Row],[costtext]]="", 0, LEN(tblBuildings[[#This Row],[costtext]]) - LEN(SUBSTITUTE(tblBuildings[[#This Row],[costtext]], ",", "")) + 1)</f>
        <v>8</v>
      </c>
      <c r="P71">
        <f>COUNTIF(tblBuildings[[#This Row],[anchor]:[wood]],"&gt;0")</f>
        <v>8</v>
      </c>
      <c r="U71">
        <v>1000</v>
      </c>
      <c r="AC71">
        <v>500</v>
      </c>
      <c r="BJ71">
        <v>5</v>
      </c>
      <c r="BS71">
        <v>15</v>
      </c>
      <c r="BU71">
        <v>1</v>
      </c>
      <c r="BV71">
        <v>5</v>
      </c>
      <c r="CB71">
        <v>500</v>
      </c>
      <c r="CF71">
        <v>3</v>
      </c>
    </row>
    <row r="72" spans="1:86">
      <c r="A72" s="6" t="s">
        <v>109</v>
      </c>
      <c r="B72" s="6" t="s">
        <v>110</v>
      </c>
      <c r="C72" t="s">
        <v>110</v>
      </c>
      <c r="D72" s="6" t="str">
        <f>_xlfn.XLOOKUP(tblBuildings[[#This Row],[BuildingID]],tblTargets[TargetID],tblTargets[DisplayName],"")</f>
        <v>Pier Lv 1</v>
      </c>
      <c r="E72" t="b">
        <v>1</v>
      </c>
      <c r="F72">
        <v>1</v>
      </c>
      <c r="G72">
        <v>22</v>
      </c>
      <c r="H72" t="s">
        <v>220</v>
      </c>
      <c r="I72" s="6"/>
      <c r="J72" t="s">
        <v>379</v>
      </c>
      <c r="K72" t="s">
        <v>560</v>
      </c>
      <c r="L72" t="s">
        <v>624</v>
      </c>
      <c r="N72" t="s">
        <v>380</v>
      </c>
      <c r="O72">
        <f>IF(tblBuildings[[#This Row],[costtext]]="", 0, LEN(tblBuildings[[#This Row],[costtext]]) - LEN(SUBSTITUTE(tblBuildings[[#This Row],[costtext]], ",", "")) + 1)</f>
        <v>5</v>
      </c>
      <c r="P72">
        <f>COUNTIF(tblBuildings[[#This Row],[anchor]:[wood]],"&gt;0")</f>
        <v>5</v>
      </c>
      <c r="AC72">
        <v>400</v>
      </c>
      <c r="BL72">
        <v>400</v>
      </c>
      <c r="BS72">
        <v>3</v>
      </c>
      <c r="CB72">
        <v>300</v>
      </c>
      <c r="CH72">
        <v>50</v>
      </c>
    </row>
    <row r="73" spans="1:86">
      <c r="A73" s="6" t="s">
        <v>111</v>
      </c>
      <c r="B73" s="6" t="s">
        <v>112</v>
      </c>
      <c r="C73" t="s">
        <v>113</v>
      </c>
      <c r="D73" s="6" t="str">
        <f>_xlfn.XLOOKUP(tblBuildings[[#This Row],[BuildingID]],tblTargets[TargetID],tblTargets[DisplayName],"")</f>
        <v>Rock Garden Lv 1</v>
      </c>
      <c r="E73" t="b">
        <v>1</v>
      </c>
      <c r="F73">
        <v>1</v>
      </c>
      <c r="G73">
        <v>13</v>
      </c>
      <c r="H73" t="s">
        <v>221</v>
      </c>
      <c r="I73" s="6"/>
      <c r="J73" t="s">
        <v>381</v>
      </c>
      <c r="L73" t="s">
        <v>328</v>
      </c>
      <c r="N73" t="s">
        <v>382</v>
      </c>
      <c r="O73">
        <f>IF(tblBuildings[[#This Row],[costtext]]="", 0, LEN(tblBuildings[[#This Row],[costtext]]) - LEN(SUBSTITUTE(tblBuildings[[#This Row],[costtext]], ",", "")) + 1)</f>
        <v>4</v>
      </c>
      <c r="P73">
        <f>COUNTIF(tblBuildings[[#This Row],[anchor]:[wood]],"&gt;0")</f>
        <v>4</v>
      </c>
      <c r="AC73">
        <v>400</v>
      </c>
      <c r="BS73">
        <v>1</v>
      </c>
      <c r="CB73">
        <v>200</v>
      </c>
      <c r="CH73">
        <v>100</v>
      </c>
    </row>
    <row r="74" spans="1:86">
      <c r="A74" s="6" t="s">
        <v>114</v>
      </c>
      <c r="B74" s="6" t="s">
        <v>112</v>
      </c>
      <c r="C74" t="s">
        <v>113</v>
      </c>
      <c r="D74" s="6" t="str">
        <f>_xlfn.XLOOKUP(tblBuildings[[#This Row],[BuildingID]],tblTargets[TargetID],tblTargets[DisplayName],"")</f>
        <v>Rock Garden Lv 2</v>
      </c>
      <c r="E74" t="b">
        <v>1</v>
      </c>
      <c r="F74">
        <v>2</v>
      </c>
      <c r="H74" t="s">
        <v>222</v>
      </c>
      <c r="I74" s="6"/>
      <c r="J74" t="s">
        <v>383</v>
      </c>
      <c r="L74" t="s">
        <v>625</v>
      </c>
      <c r="N74" t="s">
        <v>384</v>
      </c>
      <c r="O74">
        <f>IF(tblBuildings[[#This Row],[costtext]]="", 0, LEN(tblBuildings[[#This Row],[costtext]]) - LEN(SUBSTITUTE(tblBuildings[[#This Row],[costtext]], ",", "")) + 1)</f>
        <v>4</v>
      </c>
      <c r="P74">
        <f>COUNTIF(tblBuildings[[#This Row],[anchor]:[wood]],"&gt;0")</f>
        <v>4</v>
      </c>
      <c r="AC74">
        <v>600</v>
      </c>
      <c r="BS74">
        <v>2</v>
      </c>
      <c r="CB74">
        <v>300</v>
      </c>
      <c r="CH74">
        <v>150</v>
      </c>
    </row>
    <row r="75" spans="1:86">
      <c r="A75" s="6" t="s">
        <v>115</v>
      </c>
      <c r="B75" s="6" t="s">
        <v>112</v>
      </c>
      <c r="C75" t="s">
        <v>113</v>
      </c>
      <c r="D75" s="6" t="str">
        <f>_xlfn.XLOOKUP(tblBuildings[[#This Row],[BuildingID]],tblTargets[TargetID],tblTargets[DisplayName],"")</f>
        <v>Rock Garden Lv 3</v>
      </c>
      <c r="E75" t="b">
        <v>1</v>
      </c>
      <c r="F75">
        <v>3</v>
      </c>
      <c r="H75" t="s">
        <v>223</v>
      </c>
      <c r="I75" s="6"/>
      <c r="J75" t="s">
        <v>385</v>
      </c>
      <c r="L75" t="s">
        <v>626</v>
      </c>
      <c r="N75" t="s">
        <v>386</v>
      </c>
      <c r="O75">
        <f>IF(tblBuildings[[#This Row],[costtext]]="", 0, LEN(tblBuildings[[#This Row],[costtext]]) - LEN(SUBSTITUTE(tblBuildings[[#This Row],[costtext]], ",", "")) + 1)</f>
        <v>4</v>
      </c>
      <c r="P75">
        <f>COUNTIF(tblBuildings[[#This Row],[anchor]:[wood]],"&gt;0")</f>
        <v>4</v>
      </c>
      <c r="U75">
        <v>400</v>
      </c>
      <c r="AC75">
        <v>1000</v>
      </c>
      <c r="BS75">
        <v>4</v>
      </c>
      <c r="CB75">
        <v>400</v>
      </c>
    </row>
    <row r="76" spans="1:86">
      <c r="A76" s="6" t="s">
        <v>116</v>
      </c>
      <c r="B76" s="6" t="s">
        <v>117</v>
      </c>
      <c r="C76" t="s">
        <v>117</v>
      </c>
      <c r="D76" s="6" t="str">
        <f>_xlfn.XLOOKUP(tblBuildings[[#This Row],[BuildingID]],tblTargets[TargetID],tblTargets[DisplayName],"")</f>
        <v>Ship Lv 1</v>
      </c>
      <c r="E76" t="b">
        <v>1</v>
      </c>
      <c r="F76">
        <v>1</v>
      </c>
      <c r="G76">
        <v>22</v>
      </c>
      <c r="H76" t="s">
        <v>224</v>
      </c>
      <c r="I76" s="6"/>
      <c r="J76" t="s">
        <v>387</v>
      </c>
      <c r="K76" t="s">
        <v>561</v>
      </c>
      <c r="L76" t="s">
        <v>627</v>
      </c>
      <c r="N76" t="s">
        <v>388</v>
      </c>
      <c r="O76">
        <f>IF(tblBuildings[[#This Row],[costtext]]="", 0, LEN(tblBuildings[[#This Row],[costtext]]) - LEN(SUBSTITUTE(tblBuildings[[#This Row],[costtext]], ",", "")) + 1)</f>
        <v>5</v>
      </c>
      <c r="P76">
        <f>COUNTIF(tblBuildings[[#This Row],[anchor]:[wood]],"&gt;0")</f>
        <v>5</v>
      </c>
      <c r="AC76">
        <v>500</v>
      </c>
      <c r="BL76">
        <v>600</v>
      </c>
      <c r="BS76">
        <v>3</v>
      </c>
      <c r="CA76">
        <v>60</v>
      </c>
      <c r="CB76">
        <v>1</v>
      </c>
    </row>
    <row r="77" spans="1:86">
      <c r="A77" s="6" t="s">
        <v>118</v>
      </c>
      <c r="B77" s="6" t="s">
        <v>117</v>
      </c>
      <c r="C77" t="s">
        <v>117</v>
      </c>
      <c r="D77" s="6" t="str">
        <f>_xlfn.XLOOKUP(tblBuildings[[#This Row],[BuildingID]],tblTargets[TargetID],tblTargets[DisplayName],"")</f>
        <v>Ship Lv 2</v>
      </c>
      <c r="E77" t="b">
        <v>1</v>
      </c>
      <c r="F77">
        <v>2</v>
      </c>
      <c r="H77" t="s">
        <v>225</v>
      </c>
      <c r="I77" s="6"/>
      <c r="J77" t="s">
        <v>389</v>
      </c>
      <c r="L77" t="s">
        <v>628</v>
      </c>
      <c r="N77" t="s">
        <v>390</v>
      </c>
      <c r="O77">
        <f>IF(tblBuildings[[#This Row],[costtext]]="", 0, LEN(tblBuildings[[#This Row],[costtext]]) - LEN(SUBSTITUTE(tblBuildings[[#This Row],[costtext]], ",", "")) + 1)</f>
        <v>5</v>
      </c>
      <c r="P77">
        <f>COUNTIF(tblBuildings[[#This Row],[anchor]:[wood]],"&gt;0")</f>
        <v>5</v>
      </c>
      <c r="AC77">
        <v>750</v>
      </c>
      <c r="BB77">
        <v>1</v>
      </c>
      <c r="BL77">
        <v>800</v>
      </c>
      <c r="BS77">
        <v>6</v>
      </c>
      <c r="CA77">
        <v>60</v>
      </c>
    </row>
    <row r="78" spans="1:86">
      <c r="A78" s="6" t="s">
        <v>119</v>
      </c>
      <c r="B78" s="6" t="s">
        <v>117</v>
      </c>
      <c r="C78" t="s">
        <v>117</v>
      </c>
      <c r="D78" s="6" t="str">
        <f>_xlfn.XLOOKUP(tblBuildings[[#This Row],[BuildingID]],tblTargets[TargetID],tblTargets[DisplayName],"")</f>
        <v>Ship Lv 3</v>
      </c>
      <c r="E78" t="b">
        <v>1</v>
      </c>
      <c r="F78">
        <v>3</v>
      </c>
      <c r="H78" t="s">
        <v>226</v>
      </c>
      <c r="I78" s="6"/>
      <c r="J78" t="s">
        <v>391</v>
      </c>
      <c r="L78" t="s">
        <v>629</v>
      </c>
      <c r="N78" t="s">
        <v>392</v>
      </c>
      <c r="O78">
        <f>IF(tblBuildings[[#This Row],[costtext]]="", 0, LEN(tblBuildings[[#This Row],[costtext]]) - LEN(SUBSTITUTE(tblBuildings[[#This Row],[costtext]], ",", "")) + 1)</f>
        <v>5</v>
      </c>
      <c r="P78">
        <f>COUNTIF(tblBuildings[[#This Row],[anchor]:[wood]],"&gt;0")</f>
        <v>5</v>
      </c>
      <c r="Q78">
        <v>1</v>
      </c>
      <c r="AC78">
        <v>1000</v>
      </c>
      <c r="BL78">
        <v>1000</v>
      </c>
      <c r="BS78">
        <v>9</v>
      </c>
      <c r="BZ78">
        <v>1</v>
      </c>
    </row>
    <row r="79" spans="1:86">
      <c r="A79" s="6" t="s">
        <v>120</v>
      </c>
      <c r="B79" s="6" t="s">
        <v>117</v>
      </c>
      <c r="C79" t="s">
        <v>117</v>
      </c>
      <c r="D79" s="6" t="str">
        <f>_xlfn.XLOOKUP(tblBuildings[[#This Row],[BuildingID]],tblTargets[TargetID],tblTargets[DisplayName],"")</f>
        <v>Ship Lv 4</v>
      </c>
      <c r="E79" t="b">
        <v>1</v>
      </c>
      <c r="F79">
        <v>4</v>
      </c>
      <c r="H79" t="s">
        <v>227</v>
      </c>
      <c r="I79" s="6"/>
      <c r="J79" t="s">
        <v>393</v>
      </c>
      <c r="L79" t="s">
        <v>630</v>
      </c>
      <c r="N79" t="s">
        <v>394</v>
      </c>
      <c r="O79">
        <f>IF(tblBuildings[[#This Row],[costtext]]="", 0, LEN(tblBuildings[[#This Row],[costtext]]) - LEN(SUBSTITUTE(tblBuildings[[#This Row],[costtext]], ",", "")) + 1)</f>
        <v>5</v>
      </c>
      <c r="P79">
        <f>COUNTIF(tblBuildings[[#This Row],[anchor]:[wood]],"&gt;0")</f>
        <v>5</v>
      </c>
      <c r="AC79">
        <v>1000</v>
      </c>
      <c r="AO79">
        <v>200</v>
      </c>
      <c r="BL79">
        <v>1000</v>
      </c>
      <c r="BS79">
        <v>10</v>
      </c>
      <c r="BZ79">
        <v>2</v>
      </c>
    </row>
    <row r="80" spans="1:86">
      <c r="A80" s="6" t="s">
        <v>121</v>
      </c>
      <c r="B80" s="6" t="s">
        <v>122</v>
      </c>
      <c r="C80" t="s">
        <v>122</v>
      </c>
      <c r="D80" s="6" t="str">
        <f>_xlfn.XLOOKUP(tblBuildings[[#This Row],[BuildingID]],tblTargets[TargetID],tblTargets[DisplayName],"")</f>
        <v>Shop Lv 1</v>
      </c>
      <c r="E80" t="b">
        <v>1</v>
      </c>
      <c r="F80">
        <v>1</v>
      </c>
      <c r="G80">
        <v>3</v>
      </c>
      <c r="H80" t="s">
        <v>228</v>
      </c>
      <c r="I80" s="6"/>
      <c r="J80" t="s">
        <v>395</v>
      </c>
      <c r="L80" t="s">
        <v>328</v>
      </c>
      <c r="N80" t="s">
        <v>396</v>
      </c>
      <c r="O80">
        <f>IF(tblBuildings[[#This Row],[costtext]]="", 0, LEN(tblBuildings[[#This Row],[costtext]]) - LEN(SUBSTITUTE(tblBuildings[[#This Row],[costtext]], ",", "")) + 1)</f>
        <v>4</v>
      </c>
      <c r="P80">
        <f>COUNTIF(tblBuildings[[#This Row],[anchor]:[wood]],"&gt;0")</f>
        <v>4</v>
      </c>
      <c r="AC80">
        <v>100</v>
      </c>
      <c r="BS80">
        <v>1</v>
      </c>
      <c r="CB80">
        <v>20</v>
      </c>
      <c r="CH80">
        <v>20</v>
      </c>
    </row>
    <row r="81" spans="1:86">
      <c r="A81" s="6" t="s">
        <v>123</v>
      </c>
      <c r="B81" s="6" t="s">
        <v>122</v>
      </c>
      <c r="C81" t="s">
        <v>122</v>
      </c>
      <c r="D81" s="6" t="str">
        <f>_xlfn.XLOOKUP(tblBuildings[[#This Row],[BuildingID]],tblTargets[TargetID],tblTargets[DisplayName],"")</f>
        <v>Shop Lv 2</v>
      </c>
      <c r="E81" t="b">
        <v>1</v>
      </c>
      <c r="F81">
        <v>2</v>
      </c>
      <c r="H81" t="s">
        <v>229</v>
      </c>
      <c r="I81" s="6"/>
      <c r="J81" t="s">
        <v>397</v>
      </c>
      <c r="L81" t="s">
        <v>631</v>
      </c>
      <c r="N81" t="s">
        <v>398</v>
      </c>
      <c r="O81">
        <f>IF(tblBuildings[[#This Row],[costtext]]="", 0, LEN(tblBuildings[[#This Row],[costtext]]) - LEN(SUBSTITUTE(tblBuildings[[#This Row],[costtext]], ",", "")) + 1)</f>
        <v>4</v>
      </c>
      <c r="P81">
        <f>COUNTIF(tblBuildings[[#This Row],[anchor]:[wood]],"&gt;0")</f>
        <v>4</v>
      </c>
      <c r="AC81">
        <v>400</v>
      </c>
      <c r="BS81">
        <v>2</v>
      </c>
      <c r="CB81">
        <v>80</v>
      </c>
      <c r="CH81">
        <v>80</v>
      </c>
    </row>
    <row r="82" spans="1:86">
      <c r="A82" s="6" t="s">
        <v>124</v>
      </c>
      <c r="B82" s="6" t="s">
        <v>122</v>
      </c>
      <c r="C82" t="s">
        <v>122</v>
      </c>
      <c r="D82" s="6" t="str">
        <f>_xlfn.XLOOKUP(tblBuildings[[#This Row],[BuildingID]],tblTargets[TargetID],tblTargets[DisplayName],"")</f>
        <v>Shop Lv 3</v>
      </c>
      <c r="E82" t="b">
        <v>1</v>
      </c>
      <c r="F82">
        <v>3</v>
      </c>
      <c r="H82" t="s">
        <v>230</v>
      </c>
      <c r="I82" s="6"/>
      <c r="J82" t="s">
        <v>399</v>
      </c>
      <c r="L82" t="s">
        <v>632</v>
      </c>
      <c r="N82" t="s">
        <v>400</v>
      </c>
      <c r="O82">
        <f>IF(tblBuildings[[#This Row],[costtext]]="", 0, LEN(tblBuildings[[#This Row],[costtext]]) - LEN(SUBSTITUTE(tblBuildings[[#This Row],[costtext]], ",", "")) + 1)</f>
        <v>4</v>
      </c>
      <c r="P82">
        <f>COUNTIF(tblBuildings[[#This Row],[anchor]:[wood]],"&gt;0")</f>
        <v>4</v>
      </c>
      <c r="U82">
        <v>400</v>
      </c>
      <c r="AC82">
        <v>800</v>
      </c>
      <c r="BS82">
        <v>3</v>
      </c>
      <c r="CB82">
        <v>200</v>
      </c>
    </row>
    <row r="83" spans="1:86">
      <c r="A83" s="6" t="s">
        <v>125</v>
      </c>
      <c r="B83" s="6" t="s">
        <v>126</v>
      </c>
      <c r="C83" t="s">
        <v>126</v>
      </c>
      <c r="D83" s="6" t="str">
        <f>_xlfn.XLOOKUP(tblBuildings[[#This Row],[BuildingID]],tblTargets[TargetID],tblTargets[DisplayName],"")</f>
        <v>Smithy Lv 1</v>
      </c>
      <c r="E83" t="b">
        <v>1</v>
      </c>
      <c r="F83">
        <v>1</v>
      </c>
      <c r="G83">
        <v>9</v>
      </c>
      <c r="H83" t="s">
        <v>183</v>
      </c>
      <c r="I83" s="6"/>
      <c r="J83" t="s">
        <v>401</v>
      </c>
      <c r="L83" t="s">
        <v>328</v>
      </c>
      <c r="N83" t="s">
        <v>402</v>
      </c>
      <c r="O83">
        <f>IF(tblBuildings[[#This Row],[costtext]]="", 0, LEN(tblBuildings[[#This Row],[costtext]]) - LEN(SUBSTITUTE(tblBuildings[[#This Row],[costtext]], ",", "")) + 1)</f>
        <v>5</v>
      </c>
      <c r="P83">
        <f>COUNTIF(tblBuildings[[#This Row],[anchor]:[wood]],"&gt;0")</f>
        <v>5</v>
      </c>
      <c r="AC83">
        <v>240</v>
      </c>
      <c r="BS83">
        <v>1</v>
      </c>
      <c r="CA83">
        <v>20</v>
      </c>
      <c r="CB83">
        <v>120</v>
      </c>
      <c r="CH83">
        <v>120</v>
      </c>
    </row>
    <row r="84" spans="1:86">
      <c r="A84" s="6" t="s">
        <v>127</v>
      </c>
      <c r="B84" s="6" t="s">
        <v>126</v>
      </c>
      <c r="C84" t="s">
        <v>126</v>
      </c>
      <c r="D84" s="6" t="str">
        <f>_xlfn.XLOOKUP(tblBuildings[[#This Row],[BuildingID]],tblTargets[TargetID],tblTargets[DisplayName],"")</f>
        <v>Smithy Lv 2</v>
      </c>
      <c r="E84" t="b">
        <v>1</v>
      </c>
      <c r="F84">
        <v>2</v>
      </c>
      <c r="H84" t="s">
        <v>183</v>
      </c>
      <c r="I84" s="6"/>
      <c r="J84" t="s">
        <v>403</v>
      </c>
      <c r="L84" t="s">
        <v>633</v>
      </c>
      <c r="N84" t="s">
        <v>404</v>
      </c>
      <c r="O84">
        <f>IF(tblBuildings[[#This Row],[costtext]]="", 0, LEN(tblBuildings[[#This Row],[costtext]]) - LEN(SUBSTITUTE(tblBuildings[[#This Row],[costtext]], ",", "")) + 1)</f>
        <v>5</v>
      </c>
      <c r="P84">
        <f>COUNTIF(tblBuildings[[#This Row],[anchor]:[wood]],"&gt;0")</f>
        <v>5</v>
      </c>
      <c r="AC84">
        <v>280</v>
      </c>
      <c r="BS84">
        <v>2</v>
      </c>
      <c r="CA84">
        <v>40</v>
      </c>
      <c r="CB84">
        <v>140</v>
      </c>
      <c r="CH84">
        <v>140</v>
      </c>
    </row>
    <row r="85" spans="1:86">
      <c r="A85" s="6" t="s">
        <v>128</v>
      </c>
      <c r="B85" s="6" t="s">
        <v>126</v>
      </c>
      <c r="C85" t="s">
        <v>126</v>
      </c>
      <c r="D85" s="6" t="str">
        <f>_xlfn.XLOOKUP(tblBuildings[[#This Row],[BuildingID]],tblTargets[TargetID],tblTargets[DisplayName],"")</f>
        <v>Smithy Lv 3</v>
      </c>
      <c r="E85" t="b">
        <v>1</v>
      </c>
      <c r="F85">
        <v>3</v>
      </c>
      <c r="H85" t="s">
        <v>183</v>
      </c>
      <c r="I85" s="6"/>
      <c r="J85" t="s">
        <v>405</v>
      </c>
      <c r="L85" t="s">
        <v>634</v>
      </c>
      <c r="N85" t="s">
        <v>406</v>
      </c>
      <c r="O85">
        <f>IF(tblBuildings[[#This Row],[costtext]]="", 0, LEN(tblBuildings[[#This Row],[costtext]]) - LEN(SUBSTITUTE(tblBuildings[[#This Row],[costtext]], ",", "")) + 1)</f>
        <v>5</v>
      </c>
      <c r="P85">
        <f>COUNTIF(tblBuildings[[#This Row],[anchor]:[wood]],"&gt;0")</f>
        <v>5</v>
      </c>
      <c r="U85">
        <v>400</v>
      </c>
      <c r="AC85">
        <v>500</v>
      </c>
      <c r="BS85">
        <v>4</v>
      </c>
      <c r="CA85">
        <v>60</v>
      </c>
      <c r="CB85">
        <v>200</v>
      </c>
    </row>
    <row r="86" spans="1:86">
      <c r="A86" s="6" t="s">
        <v>129</v>
      </c>
      <c r="B86" s="6" t="s">
        <v>130</v>
      </c>
      <c r="C86" t="s">
        <v>130</v>
      </c>
      <c r="D86" s="6" t="str">
        <f>_xlfn.XLOOKUP(tblBuildings[[#This Row],[BuildingID]],tblTargets[TargetID],tblTargets[DisplayName],"")</f>
        <v>Station Lv 1</v>
      </c>
      <c r="E86" t="b">
        <v>1</v>
      </c>
      <c r="F86">
        <v>1</v>
      </c>
      <c r="G86">
        <v>50</v>
      </c>
      <c r="H86" t="s">
        <v>231</v>
      </c>
      <c r="I86" s="6"/>
      <c r="J86" t="s">
        <v>407</v>
      </c>
      <c r="K86" t="s">
        <v>553</v>
      </c>
      <c r="L86" t="s">
        <v>569</v>
      </c>
      <c r="N86" t="s">
        <v>408</v>
      </c>
      <c r="O86">
        <f>IF(tblBuildings[[#This Row],[costtext]]="", 0, LEN(tblBuildings[[#This Row],[costtext]]) - LEN(SUBSTITUTE(tblBuildings[[#This Row],[costtext]], ",", "")) + 1)</f>
        <v>9</v>
      </c>
      <c r="P86">
        <f>COUNTIF(tblBuildings[[#This Row],[anchor]:[wood]],"&gt;0")</f>
        <v>9</v>
      </c>
      <c r="U86">
        <v>8000</v>
      </c>
      <c r="Y86">
        <v>20</v>
      </c>
      <c r="AC86">
        <v>1000</v>
      </c>
      <c r="AQ86">
        <v>1</v>
      </c>
      <c r="AS86">
        <v>10</v>
      </c>
      <c r="BL86">
        <v>800</v>
      </c>
      <c r="BS86">
        <v>10</v>
      </c>
      <c r="CA86">
        <v>1000</v>
      </c>
      <c r="CB86">
        <v>500</v>
      </c>
    </row>
    <row r="87" spans="1:86">
      <c r="A87" s="6" t="s">
        <v>131</v>
      </c>
      <c r="B87" s="6" t="s">
        <v>132</v>
      </c>
      <c r="C87" t="s">
        <v>132</v>
      </c>
      <c r="D87" s="6" t="str">
        <f>_xlfn.XLOOKUP(tblBuildings[[#This Row],[BuildingID]],tblTargets[TargetID],tblTargets[DisplayName],"")</f>
        <v>Tailor Lv 1</v>
      </c>
      <c r="E87" t="b">
        <v>1</v>
      </c>
      <c r="F87">
        <v>1</v>
      </c>
      <c r="G87">
        <v>32</v>
      </c>
      <c r="H87" t="s">
        <v>183</v>
      </c>
      <c r="I87" s="6"/>
      <c r="J87" t="s">
        <v>409</v>
      </c>
      <c r="K87" t="s">
        <v>553</v>
      </c>
      <c r="L87" t="s">
        <v>615</v>
      </c>
      <c r="N87" t="s">
        <v>410</v>
      </c>
      <c r="O87">
        <f>IF(tblBuildings[[#This Row],[costtext]]="", 0, LEN(tblBuildings[[#This Row],[costtext]]) - LEN(SUBSTITUTE(tblBuildings[[#This Row],[costtext]], ",", "")) + 1)</f>
        <v>6</v>
      </c>
      <c r="P87">
        <f>COUNTIF(tblBuildings[[#This Row],[anchor]:[wood]],"&gt;0")</f>
        <v>6</v>
      </c>
      <c r="U87">
        <v>600</v>
      </c>
      <c r="AC87">
        <v>600</v>
      </c>
      <c r="BH87">
        <v>10</v>
      </c>
      <c r="BS87">
        <v>4</v>
      </c>
      <c r="BV87">
        <v>10</v>
      </c>
      <c r="CB87">
        <v>300</v>
      </c>
    </row>
    <row r="88" spans="1:86">
      <c r="A88" s="6" t="s">
        <v>133</v>
      </c>
      <c r="B88" s="6" t="s">
        <v>132</v>
      </c>
      <c r="C88" t="s">
        <v>132</v>
      </c>
      <c r="D88" s="6" t="str">
        <f>_xlfn.XLOOKUP(tblBuildings[[#This Row],[BuildingID]],tblTargets[TargetID],tblTargets[DisplayName],"")</f>
        <v>Tailor Lv 2</v>
      </c>
      <c r="E88" t="b">
        <v>1</v>
      </c>
      <c r="F88">
        <v>2</v>
      </c>
      <c r="H88" t="s">
        <v>183</v>
      </c>
      <c r="I88" s="6"/>
      <c r="J88" t="s">
        <v>411</v>
      </c>
      <c r="L88" t="s">
        <v>635</v>
      </c>
      <c r="N88" t="s">
        <v>412</v>
      </c>
      <c r="O88">
        <f>IF(tblBuildings[[#This Row],[costtext]]="", 0, LEN(tblBuildings[[#This Row],[costtext]]) - LEN(SUBSTITUTE(tblBuildings[[#This Row],[costtext]], ",", "")) + 1)</f>
        <v>6</v>
      </c>
      <c r="P88">
        <f>COUNTIF(tblBuildings[[#This Row],[anchor]:[wood]],"&gt;0")</f>
        <v>6</v>
      </c>
      <c r="AC88">
        <v>800</v>
      </c>
      <c r="AK88">
        <v>20</v>
      </c>
      <c r="BL88">
        <v>800</v>
      </c>
      <c r="BS88">
        <v>6</v>
      </c>
      <c r="BV88">
        <v>20</v>
      </c>
      <c r="CB88">
        <v>400</v>
      </c>
    </row>
    <row r="89" spans="1:86">
      <c r="A89" s="6" t="s">
        <v>134</v>
      </c>
      <c r="B89" s="6" t="s">
        <v>132</v>
      </c>
      <c r="C89" t="s">
        <v>132</v>
      </c>
      <c r="D89" s="6" t="str">
        <f>_xlfn.XLOOKUP(tblBuildings[[#This Row],[BuildingID]],tblTargets[TargetID],tblTargets[DisplayName],"")</f>
        <v>Tailor Lv 3</v>
      </c>
      <c r="E89" t="b">
        <v>1</v>
      </c>
      <c r="F89">
        <v>3</v>
      </c>
      <c r="H89" t="s">
        <v>183</v>
      </c>
      <c r="I89" s="6"/>
      <c r="J89" t="s">
        <v>413</v>
      </c>
      <c r="L89" t="s">
        <v>636</v>
      </c>
      <c r="N89" t="s">
        <v>414</v>
      </c>
      <c r="O89">
        <f>IF(tblBuildings[[#This Row],[costtext]]="", 0, LEN(tblBuildings[[#This Row],[costtext]]) - LEN(SUBSTITUTE(tblBuildings[[#This Row],[costtext]], ",", "")) + 1)</f>
        <v>6</v>
      </c>
      <c r="P89">
        <f>COUNTIF(tblBuildings[[#This Row],[anchor]:[wood]],"&gt;0")</f>
        <v>6</v>
      </c>
      <c r="AC89">
        <v>1000</v>
      </c>
      <c r="BL89">
        <v>1000</v>
      </c>
      <c r="BS89">
        <v>8</v>
      </c>
      <c r="BV89">
        <v>30</v>
      </c>
      <c r="CA89">
        <v>100</v>
      </c>
      <c r="CB89">
        <v>500</v>
      </c>
    </row>
    <row r="90" spans="1:86">
      <c r="A90" s="6" t="s">
        <v>135</v>
      </c>
      <c r="B90" s="6" t="s">
        <v>136</v>
      </c>
      <c r="C90" t="s">
        <v>136</v>
      </c>
      <c r="D90" s="6" t="str">
        <f>_xlfn.XLOOKUP(tblBuildings[[#This Row],[BuildingID]],tblTargets[TargetID],tblTargets[DisplayName],"")</f>
        <v>Train Lv 1</v>
      </c>
      <c r="E90" t="b">
        <v>1</v>
      </c>
      <c r="F90">
        <v>1</v>
      </c>
      <c r="G90">
        <v>50</v>
      </c>
      <c r="H90" t="s">
        <v>232</v>
      </c>
      <c r="I90" s="6" t="s">
        <v>177</v>
      </c>
      <c r="J90" t="s">
        <v>415</v>
      </c>
      <c r="K90" t="s">
        <v>562</v>
      </c>
      <c r="L90" t="s">
        <v>637</v>
      </c>
      <c r="N90" t="s">
        <v>416</v>
      </c>
      <c r="O90">
        <f>IF(tblBuildings[[#This Row],[costtext]]="", 0, LEN(tblBuildings[[#This Row],[costtext]]) - LEN(SUBSTITUTE(tblBuildings[[#This Row],[costtext]], ",", "")) + 1)</f>
        <v>7</v>
      </c>
      <c r="P90">
        <f>COUNTIF(tblBuildings[[#This Row],[anchor]:[wood]],"&gt;0")</f>
        <v>7</v>
      </c>
      <c r="Y90">
        <v>100</v>
      </c>
      <c r="AC90">
        <v>2000</v>
      </c>
      <c r="AK90">
        <v>10</v>
      </c>
      <c r="AW90">
        <v>80</v>
      </c>
      <c r="BD90">
        <v>100</v>
      </c>
      <c r="BS90">
        <v>10</v>
      </c>
      <c r="CA90">
        <v>3000</v>
      </c>
    </row>
    <row r="91" spans="1:86">
      <c r="A91" s="6" t="s">
        <v>137</v>
      </c>
      <c r="B91" s="6" t="s">
        <v>136</v>
      </c>
      <c r="C91" t="s">
        <v>136</v>
      </c>
      <c r="D91" s="6" t="str">
        <f>_xlfn.XLOOKUP(tblBuildings[[#This Row],[BuildingID]],tblTargets[TargetID],tblTargets[DisplayName],"")</f>
        <v>Train Lv 2</v>
      </c>
      <c r="E91" t="b">
        <v>1</v>
      </c>
      <c r="F91">
        <v>2</v>
      </c>
      <c r="H91" t="s">
        <v>233</v>
      </c>
      <c r="I91" s="6" t="s">
        <v>178</v>
      </c>
      <c r="J91" t="s">
        <v>417</v>
      </c>
      <c r="L91" t="s">
        <v>638</v>
      </c>
      <c r="N91" t="s">
        <v>418</v>
      </c>
      <c r="O91">
        <f>IF(tblBuildings[[#This Row],[costtext]]="", 0, LEN(tblBuildings[[#This Row],[costtext]]) - LEN(SUBSTITUTE(tblBuildings[[#This Row],[costtext]], ",", "")) + 1)</f>
        <v>6</v>
      </c>
      <c r="P91">
        <f>COUNTIF(tblBuildings[[#This Row],[anchor]:[wood]],"&gt;0")</f>
        <v>6</v>
      </c>
      <c r="Y91">
        <v>40</v>
      </c>
      <c r="AC91">
        <v>2000</v>
      </c>
      <c r="AW91">
        <v>40</v>
      </c>
      <c r="AX91">
        <v>30</v>
      </c>
      <c r="BS91">
        <v>10</v>
      </c>
      <c r="CA91">
        <v>1000</v>
      </c>
    </row>
    <row r="92" spans="1:86">
      <c r="A92" s="6" t="s">
        <v>138</v>
      </c>
      <c r="B92" s="6" t="s">
        <v>139</v>
      </c>
      <c r="C92" t="s">
        <v>140</v>
      </c>
      <c r="D92" s="6" t="str">
        <f>_xlfn.XLOOKUP(tblBuildings[[#This Row],[BuildingID]],tblTargets[TargetID],tblTargets[DisplayName],"")</f>
        <v>Train: Freight Carriage Lv 1</v>
      </c>
      <c r="E92" t="b">
        <v>1</v>
      </c>
      <c r="F92">
        <v>1</v>
      </c>
      <c r="H92" t="s">
        <v>234</v>
      </c>
      <c r="I92" s="6"/>
      <c r="J92" t="s">
        <v>419</v>
      </c>
      <c r="K92" t="s">
        <v>563</v>
      </c>
      <c r="L92" t="s">
        <v>639</v>
      </c>
      <c r="N92" t="s">
        <v>420</v>
      </c>
      <c r="O92">
        <f>IF(tblBuildings[[#This Row],[costtext]]="", 0, LEN(tblBuildings[[#This Row],[costtext]]) - LEN(SUBSTITUTE(tblBuildings[[#This Row],[costtext]], ",", "")) + 1)</f>
        <v>6</v>
      </c>
      <c r="P92">
        <f>COUNTIF(tblBuildings[[#This Row],[anchor]:[wood]],"&gt;0")</f>
        <v>6</v>
      </c>
      <c r="Y92">
        <v>15</v>
      </c>
      <c r="AC92">
        <v>500</v>
      </c>
      <c r="AW92">
        <v>12</v>
      </c>
      <c r="BL92">
        <v>500</v>
      </c>
      <c r="BS92">
        <v>2</v>
      </c>
      <c r="CA92">
        <v>250</v>
      </c>
    </row>
    <row r="93" spans="1:86">
      <c r="A93" s="6" t="s">
        <v>141</v>
      </c>
      <c r="B93" s="6" t="s">
        <v>139</v>
      </c>
      <c r="C93" t="s">
        <v>140</v>
      </c>
      <c r="D93" s="6" t="str">
        <f>_xlfn.XLOOKUP(tblBuildings[[#This Row],[BuildingID]],tblTargets[TargetID],tblTargets[DisplayName],"")</f>
        <v>Train: Freight Carriage Lv 2</v>
      </c>
      <c r="E93" t="b">
        <v>1</v>
      </c>
      <c r="F93">
        <v>2</v>
      </c>
      <c r="H93" t="s">
        <v>235</v>
      </c>
      <c r="I93" s="6" t="s">
        <v>5813</v>
      </c>
      <c r="J93" t="s">
        <v>421</v>
      </c>
      <c r="L93" t="s">
        <v>640</v>
      </c>
      <c r="N93" t="s">
        <v>422</v>
      </c>
      <c r="O93">
        <f>IF(tblBuildings[[#This Row],[costtext]]="", 0, LEN(tblBuildings[[#This Row],[costtext]]) - LEN(SUBSTITUTE(tblBuildings[[#This Row],[costtext]], ",", "")) + 1)</f>
        <v>5</v>
      </c>
      <c r="P93">
        <f>COUNTIF(tblBuildings[[#This Row],[anchor]:[wood]],"&gt;0")</f>
        <v>5</v>
      </c>
      <c r="AC93">
        <v>500</v>
      </c>
      <c r="AW93">
        <v>12</v>
      </c>
      <c r="BL93">
        <v>500</v>
      </c>
      <c r="BS93">
        <v>2</v>
      </c>
      <c r="CA93">
        <v>250</v>
      </c>
    </row>
    <row r="94" spans="1:86">
      <c r="A94" s="6" t="s">
        <v>142</v>
      </c>
      <c r="B94" s="6" t="s">
        <v>143</v>
      </c>
      <c r="C94" t="s">
        <v>144</v>
      </c>
      <c r="D94" s="6" t="str">
        <f>_xlfn.XLOOKUP(tblBuildings[[#This Row],[BuildingID]],tblTargets[TargetID],tblTargets[DisplayName],"")</f>
        <v>Train: Passenger Carriage Lv 1</v>
      </c>
      <c r="E94" t="b">
        <v>1</v>
      </c>
      <c r="F94">
        <v>1</v>
      </c>
      <c r="H94" t="s">
        <v>236</v>
      </c>
      <c r="I94" s="6"/>
      <c r="J94" t="s">
        <v>423</v>
      </c>
      <c r="K94" t="s">
        <v>563</v>
      </c>
      <c r="L94" t="s">
        <v>639</v>
      </c>
      <c r="N94" t="s">
        <v>424</v>
      </c>
      <c r="O94">
        <f>IF(tblBuildings[[#This Row],[costtext]]="", 0, LEN(tblBuildings[[#This Row],[costtext]]) - LEN(SUBSTITUTE(tblBuildings[[#This Row],[costtext]], ",", "")) + 1)</f>
        <v>7</v>
      </c>
      <c r="P94">
        <f>COUNTIF(tblBuildings[[#This Row],[anchor]:[wood]],"&gt;0")</f>
        <v>7</v>
      </c>
      <c r="Y94">
        <v>15</v>
      </c>
      <c r="AC94">
        <v>500</v>
      </c>
      <c r="AK94">
        <v>12</v>
      </c>
      <c r="AW94">
        <v>12</v>
      </c>
      <c r="BL94">
        <v>600</v>
      </c>
      <c r="BS94">
        <v>2</v>
      </c>
      <c r="CA94">
        <v>200</v>
      </c>
    </row>
    <row r="95" spans="1:86">
      <c r="A95" s="6" t="s">
        <v>145</v>
      </c>
      <c r="B95" s="6" t="s">
        <v>143</v>
      </c>
      <c r="C95" t="s">
        <v>144</v>
      </c>
      <c r="D95" s="6" t="str">
        <f>_xlfn.XLOOKUP(tblBuildings[[#This Row],[BuildingID]],tblTargets[TargetID],tblTargets[DisplayName],"")</f>
        <v>Train: Passenger Carriage Lv 2</v>
      </c>
      <c r="E95" t="b">
        <v>1</v>
      </c>
      <c r="F95">
        <v>2</v>
      </c>
      <c r="H95" t="s">
        <v>182</v>
      </c>
      <c r="I95" s="6" t="s">
        <v>5813</v>
      </c>
      <c r="J95" t="s">
        <v>425</v>
      </c>
      <c r="L95" t="s">
        <v>641</v>
      </c>
      <c r="N95" t="s">
        <v>426</v>
      </c>
      <c r="O95">
        <f>IF(tblBuildings[[#This Row],[costtext]]="", 0, LEN(tblBuildings[[#This Row],[costtext]]) - LEN(SUBSTITUTE(tblBuildings[[#This Row],[costtext]], ",", "")) + 1)</f>
        <v>6</v>
      </c>
      <c r="P95">
        <f>COUNTIF(tblBuildings[[#This Row],[anchor]:[wood]],"&gt;0")</f>
        <v>6</v>
      </c>
      <c r="AC95">
        <v>500</v>
      </c>
      <c r="AK95">
        <v>12</v>
      </c>
      <c r="AW95">
        <v>12</v>
      </c>
      <c r="BL95">
        <v>600</v>
      </c>
      <c r="BS95">
        <v>2</v>
      </c>
      <c r="CA95">
        <v>200</v>
      </c>
    </row>
    <row r="96" spans="1:86">
      <c r="A96" s="6" t="s">
        <v>146</v>
      </c>
      <c r="B96" s="6" t="s">
        <v>147</v>
      </c>
      <c r="C96" t="s">
        <v>147</v>
      </c>
      <c r="D96" s="6" t="str">
        <f>_xlfn.XLOOKUP(tblBuildings[[#This Row],[BuildingID]],tblTargets[TargetID],tblTargets[DisplayName],"")</f>
        <v>Warehouse Lv 1</v>
      </c>
      <c r="E96" t="b">
        <v>1</v>
      </c>
      <c r="F96">
        <v>1</v>
      </c>
      <c r="G96">
        <v>5</v>
      </c>
      <c r="H96" t="s">
        <v>237</v>
      </c>
      <c r="I96" s="6"/>
      <c r="J96" t="s">
        <v>427</v>
      </c>
      <c r="L96" t="s">
        <v>328</v>
      </c>
      <c r="N96" t="s">
        <v>428</v>
      </c>
      <c r="O96">
        <f>IF(tblBuildings[[#This Row],[costtext]]="", 0, LEN(tblBuildings[[#This Row],[costtext]]) - LEN(SUBSTITUTE(tblBuildings[[#This Row],[costtext]], ",", "")) + 1)</f>
        <v>4</v>
      </c>
      <c r="P96">
        <f>COUNTIF(tblBuildings[[#This Row],[anchor]:[wood]],"&gt;0")</f>
        <v>4</v>
      </c>
      <c r="AC96">
        <v>100</v>
      </c>
      <c r="BS96">
        <v>1</v>
      </c>
      <c r="CB96">
        <v>60</v>
      </c>
      <c r="CH96">
        <v>60</v>
      </c>
    </row>
    <row r="97" spans="1:86">
      <c r="A97" s="6" t="s">
        <v>148</v>
      </c>
      <c r="B97" s="6" t="s">
        <v>147</v>
      </c>
      <c r="C97" t="s">
        <v>147</v>
      </c>
      <c r="D97" s="6" t="str">
        <f>_xlfn.XLOOKUP(tblBuildings[[#This Row],[BuildingID]],tblTargets[TargetID],tblTargets[DisplayName],"")</f>
        <v>Warehouse Lv 2</v>
      </c>
      <c r="E97" t="b">
        <v>1</v>
      </c>
      <c r="F97">
        <v>2</v>
      </c>
      <c r="H97" t="s">
        <v>238</v>
      </c>
      <c r="I97" s="6"/>
      <c r="J97" t="s">
        <v>429</v>
      </c>
      <c r="K97" t="s">
        <v>564</v>
      </c>
      <c r="L97" t="s">
        <v>642</v>
      </c>
      <c r="N97" t="s">
        <v>430</v>
      </c>
      <c r="O97">
        <f>IF(tblBuildings[[#This Row],[costtext]]="", 0, LEN(tblBuildings[[#This Row],[costtext]]) - LEN(SUBSTITUTE(tblBuildings[[#This Row],[costtext]], ",", "")) + 1)</f>
        <v>4</v>
      </c>
      <c r="P97">
        <f>COUNTIF(tblBuildings[[#This Row],[anchor]:[wood]],"&gt;0")</f>
        <v>4</v>
      </c>
      <c r="AC97">
        <v>200</v>
      </c>
      <c r="BS97">
        <v>2</v>
      </c>
      <c r="CB97">
        <v>80</v>
      </c>
      <c r="CH97">
        <v>80</v>
      </c>
    </row>
    <row r="98" spans="1:86">
      <c r="A98" s="6" t="s">
        <v>149</v>
      </c>
      <c r="B98" s="6" t="s">
        <v>147</v>
      </c>
      <c r="C98" t="s">
        <v>147</v>
      </c>
      <c r="D98" s="6" t="str">
        <f>_xlfn.XLOOKUP(tblBuildings[[#This Row],[BuildingID]],tblTargets[TargetID],tblTargets[DisplayName],"")</f>
        <v>Warehouse Lv 3</v>
      </c>
      <c r="E98" t="b">
        <v>1</v>
      </c>
      <c r="F98">
        <v>3</v>
      </c>
      <c r="H98" t="s">
        <v>238</v>
      </c>
      <c r="I98" s="6"/>
      <c r="J98" t="s">
        <v>431</v>
      </c>
      <c r="K98" t="s">
        <v>565</v>
      </c>
      <c r="L98" t="s">
        <v>643</v>
      </c>
      <c r="N98" t="s">
        <v>432</v>
      </c>
      <c r="O98">
        <f>IF(tblBuildings[[#This Row],[costtext]]="", 0, LEN(tblBuildings[[#This Row],[costtext]]) - LEN(SUBSTITUTE(tblBuildings[[#This Row],[costtext]], ",", "")) + 1)</f>
        <v>4</v>
      </c>
      <c r="P98">
        <f>COUNTIF(tblBuildings[[#This Row],[anchor]:[wood]],"&gt;0")</f>
        <v>4</v>
      </c>
      <c r="U98">
        <v>200</v>
      </c>
      <c r="AC98">
        <v>300</v>
      </c>
      <c r="BS98">
        <v>3</v>
      </c>
      <c r="CB98">
        <v>100</v>
      </c>
    </row>
    <row r="99" spans="1:86">
      <c r="A99" s="6" t="s">
        <v>150</v>
      </c>
      <c r="B99" s="6" t="s">
        <v>147</v>
      </c>
      <c r="C99" t="s">
        <v>147</v>
      </c>
      <c r="D99" s="6" t="str">
        <f>_xlfn.XLOOKUP(tblBuildings[[#This Row],[BuildingID]],tblTargets[TargetID],tblTargets[DisplayName],"")</f>
        <v>Warehouse Lv 4</v>
      </c>
      <c r="E99" t="b">
        <v>1</v>
      </c>
      <c r="F99">
        <v>4</v>
      </c>
      <c r="H99" t="s">
        <v>238</v>
      </c>
      <c r="I99" s="6"/>
      <c r="J99" t="s">
        <v>433</v>
      </c>
      <c r="K99" t="s">
        <v>566</v>
      </c>
      <c r="L99" t="s">
        <v>644</v>
      </c>
      <c r="N99" t="s">
        <v>434</v>
      </c>
      <c r="O99">
        <f>IF(tblBuildings[[#This Row],[costtext]]="", 0, LEN(tblBuildings[[#This Row],[costtext]]) - LEN(SUBSTITUTE(tblBuildings[[#This Row],[costtext]], ",", "")) + 1)</f>
        <v>4</v>
      </c>
      <c r="P99">
        <f>COUNTIF(tblBuildings[[#This Row],[anchor]:[wood]],"&gt;0")</f>
        <v>4</v>
      </c>
      <c r="U99">
        <v>280</v>
      </c>
      <c r="AC99">
        <v>400</v>
      </c>
      <c r="BS99">
        <v>4</v>
      </c>
      <c r="CB99">
        <v>140</v>
      </c>
    </row>
    <row r="100" spans="1:86">
      <c r="A100" s="6" t="s">
        <v>151</v>
      </c>
      <c r="B100" s="6" t="s">
        <v>147</v>
      </c>
      <c r="C100" t="s">
        <v>147</v>
      </c>
      <c r="D100" s="6" t="str">
        <f>_xlfn.XLOOKUP(tblBuildings[[#This Row],[BuildingID]],tblTargets[TargetID],tblTargets[DisplayName],"")</f>
        <v>Warehouse Lv 5</v>
      </c>
      <c r="E100" t="b">
        <v>1</v>
      </c>
      <c r="F100">
        <v>5</v>
      </c>
      <c r="H100" t="s">
        <v>239</v>
      </c>
      <c r="I100" s="6"/>
      <c r="J100" t="s">
        <v>435</v>
      </c>
      <c r="K100" t="s">
        <v>567</v>
      </c>
      <c r="L100" t="s">
        <v>645</v>
      </c>
      <c r="N100" t="s">
        <v>436</v>
      </c>
      <c r="O100">
        <f>IF(tblBuildings[[#This Row],[costtext]]="", 0, LEN(tblBuildings[[#This Row],[costtext]]) - LEN(SUBSTITUTE(tblBuildings[[#This Row],[costtext]], ",", "")) + 1)</f>
        <v>4</v>
      </c>
      <c r="P100">
        <f>COUNTIF(tblBuildings[[#This Row],[anchor]:[wood]],"&gt;0")</f>
        <v>4</v>
      </c>
      <c r="U100">
        <v>360</v>
      </c>
      <c r="AC100">
        <v>500</v>
      </c>
      <c r="BS100">
        <v>5</v>
      </c>
      <c r="CB100">
        <v>180</v>
      </c>
    </row>
    <row r="101" spans="1:86">
      <c r="A101" s="6" t="s">
        <v>152</v>
      </c>
      <c r="B101" s="6" t="s">
        <v>147</v>
      </c>
      <c r="C101" t="s">
        <v>147</v>
      </c>
      <c r="D101" s="6" t="str">
        <f>_xlfn.XLOOKUP(tblBuildings[[#This Row],[BuildingID]],tblTargets[TargetID],tblTargets[DisplayName],"")</f>
        <v>Warehouse Lv 6</v>
      </c>
      <c r="E101" t="b">
        <v>1</v>
      </c>
      <c r="F101">
        <v>6</v>
      </c>
      <c r="H101" t="s">
        <v>238</v>
      </c>
      <c r="I101" s="6"/>
      <c r="J101" t="s">
        <v>437</v>
      </c>
      <c r="L101" t="s">
        <v>646</v>
      </c>
      <c r="N101" t="s">
        <v>438</v>
      </c>
      <c r="O101">
        <f>IF(tblBuildings[[#This Row],[costtext]]="", 0, LEN(tblBuildings[[#This Row],[costtext]]) - LEN(SUBSTITUTE(tblBuildings[[#This Row],[costtext]], ",", "")) + 1)</f>
        <v>5</v>
      </c>
      <c r="P101">
        <f>COUNTIF(tblBuildings[[#This Row],[anchor]:[wood]],"&gt;0")</f>
        <v>5</v>
      </c>
      <c r="U101">
        <v>440</v>
      </c>
      <c r="AC101">
        <v>600</v>
      </c>
      <c r="BS101">
        <v>6</v>
      </c>
      <c r="CA101">
        <v>20</v>
      </c>
      <c r="CB101">
        <v>220</v>
      </c>
    </row>
    <row r="102" spans="1:86">
      <c r="A102" s="6" t="s">
        <v>153</v>
      </c>
      <c r="B102" s="6" t="s">
        <v>147</v>
      </c>
      <c r="C102" t="s">
        <v>147</v>
      </c>
      <c r="D102" s="6" t="str">
        <f>_xlfn.XLOOKUP(tblBuildings[[#This Row],[BuildingID]],tblTargets[TargetID],tblTargets[DisplayName],"")</f>
        <v>Warehouse Lv 7</v>
      </c>
      <c r="E102" t="b">
        <v>1</v>
      </c>
      <c r="F102">
        <v>7</v>
      </c>
      <c r="H102" t="s">
        <v>238</v>
      </c>
      <c r="I102" s="6"/>
      <c r="J102" t="s">
        <v>439</v>
      </c>
      <c r="L102" t="s">
        <v>647</v>
      </c>
      <c r="N102" t="s">
        <v>440</v>
      </c>
      <c r="O102">
        <f>IF(tblBuildings[[#This Row],[costtext]]="", 0, LEN(tblBuildings[[#This Row],[costtext]]) - LEN(SUBSTITUTE(tblBuildings[[#This Row],[costtext]], ",", "")) + 1)</f>
        <v>5</v>
      </c>
      <c r="P102">
        <f>COUNTIF(tblBuildings[[#This Row],[anchor]:[wood]],"&gt;0")</f>
        <v>5</v>
      </c>
      <c r="U102">
        <v>520</v>
      </c>
      <c r="AC102">
        <v>700</v>
      </c>
      <c r="BS102">
        <v>7</v>
      </c>
      <c r="CA102">
        <v>30</v>
      </c>
      <c r="CB102">
        <v>260</v>
      </c>
    </row>
    <row r="103" spans="1:86">
      <c r="A103" s="6" t="s">
        <v>154</v>
      </c>
      <c r="B103" s="6" t="s">
        <v>155</v>
      </c>
      <c r="C103" t="s">
        <v>155</v>
      </c>
      <c r="D103" s="6" t="str">
        <f>_xlfn.XLOOKUP(tblBuildings[[#This Row],[BuildingID]],tblTargets[TargetID],tblTargets[DisplayName],"")</f>
        <v>Windmill Lv 1</v>
      </c>
      <c r="E103" t="b">
        <v>1</v>
      </c>
      <c r="F103">
        <v>1</v>
      </c>
      <c r="G103">
        <v>9</v>
      </c>
      <c r="H103" t="s">
        <v>183</v>
      </c>
      <c r="I103" s="6"/>
      <c r="J103" t="s">
        <v>441</v>
      </c>
      <c r="L103" t="s">
        <v>328</v>
      </c>
      <c r="N103" t="s">
        <v>442</v>
      </c>
      <c r="O103">
        <f>IF(tblBuildings[[#This Row],[costtext]]="", 0, LEN(tblBuildings[[#This Row],[costtext]]) - LEN(SUBSTITUTE(tblBuildings[[#This Row],[costtext]], ",", "")) + 1)</f>
        <v>5</v>
      </c>
      <c r="P103">
        <f>COUNTIF(tblBuildings[[#This Row],[anchor]:[wood]],"&gt;0")</f>
        <v>5</v>
      </c>
      <c r="AC103">
        <v>300</v>
      </c>
      <c r="BS103">
        <v>1</v>
      </c>
      <c r="CA103">
        <v>40</v>
      </c>
      <c r="CB103">
        <v>150</v>
      </c>
      <c r="CH103">
        <v>150</v>
      </c>
    </row>
    <row r="104" spans="1:86">
      <c r="A104" s="6" t="s">
        <v>156</v>
      </c>
      <c r="B104" s="6" t="s">
        <v>155</v>
      </c>
      <c r="C104" t="s">
        <v>155</v>
      </c>
      <c r="D104" s="6" t="str">
        <f>_xlfn.XLOOKUP(tblBuildings[[#This Row],[BuildingID]],tblTargets[TargetID],tblTargets[DisplayName],"")</f>
        <v>Windmill Lv 2</v>
      </c>
      <c r="E104" t="b">
        <v>1</v>
      </c>
      <c r="F104">
        <v>2</v>
      </c>
      <c r="H104" t="s">
        <v>198</v>
      </c>
      <c r="I104" s="6" t="s">
        <v>179</v>
      </c>
      <c r="J104" t="s">
        <v>443</v>
      </c>
      <c r="L104" t="s">
        <v>648</v>
      </c>
      <c r="N104" t="s">
        <v>444</v>
      </c>
      <c r="O104">
        <f>IF(tblBuildings[[#This Row],[costtext]]="", 0, LEN(tblBuildings[[#This Row],[costtext]]) - LEN(SUBSTITUTE(tblBuildings[[#This Row],[costtext]], ",", "")) + 1)</f>
        <v>5</v>
      </c>
      <c r="P104">
        <f>COUNTIF(tblBuildings[[#This Row],[anchor]:[wood]],"&gt;0")</f>
        <v>5</v>
      </c>
      <c r="U104">
        <v>400</v>
      </c>
      <c r="AC104">
        <v>500</v>
      </c>
      <c r="BA104">
        <v>30</v>
      </c>
      <c r="BS104">
        <v>3</v>
      </c>
      <c r="CB104">
        <v>200</v>
      </c>
    </row>
    <row r="105" spans="1:86">
      <c r="A105" s="6" t="s">
        <v>157</v>
      </c>
      <c r="B105" s="6" t="s">
        <v>158</v>
      </c>
      <c r="C105" t="s">
        <v>158</v>
      </c>
      <c r="D105" s="6" t="str">
        <f>_xlfn.XLOOKUP(tblBuildings[[#This Row],[BuildingID]],tblTargets[TargetID],tblTargets[DisplayName],"")</f>
        <v>Workshop Lv 1</v>
      </c>
      <c r="E105" t="b">
        <v>1</v>
      </c>
      <c r="F105">
        <v>1</v>
      </c>
      <c r="G105">
        <v>2</v>
      </c>
      <c r="H105" t="s">
        <v>183</v>
      </c>
      <c r="J105" t="s">
        <v>445</v>
      </c>
      <c r="L105" t="s">
        <v>328</v>
      </c>
      <c r="N105" t="s">
        <v>446</v>
      </c>
      <c r="O105">
        <f>IF(tblBuildings[[#This Row],[costtext]]="", 0, LEN(tblBuildings[[#This Row],[costtext]]) - LEN(SUBSTITUTE(tblBuildings[[#This Row],[costtext]], ",", "")) + 1)</f>
        <v>4</v>
      </c>
      <c r="P105">
        <f>COUNTIF(tblBuildings[[#This Row],[anchor]:[wood]],"&gt;0")</f>
        <v>4</v>
      </c>
      <c r="AC105">
        <v>20</v>
      </c>
      <c r="BS105">
        <v>1</v>
      </c>
      <c r="CB105">
        <v>10</v>
      </c>
      <c r="CH105">
        <v>10</v>
      </c>
    </row>
    <row r="106" spans="1:86">
      <c r="A106" s="6" t="s">
        <v>159</v>
      </c>
      <c r="B106" s="6" t="s">
        <v>158</v>
      </c>
      <c r="C106" t="s">
        <v>158</v>
      </c>
      <c r="D106" s="6" t="str">
        <f>_xlfn.XLOOKUP(tblBuildings[[#This Row],[BuildingID]],tblTargets[TargetID],tblTargets[DisplayName],"")</f>
        <v>Workshop Lv 2</v>
      </c>
      <c r="E106" t="b">
        <v>1</v>
      </c>
      <c r="F106">
        <v>2</v>
      </c>
      <c r="H106" t="s">
        <v>183</v>
      </c>
      <c r="J106" t="s">
        <v>447</v>
      </c>
      <c r="L106" t="s">
        <v>649</v>
      </c>
      <c r="N106" t="s">
        <v>448</v>
      </c>
      <c r="O106">
        <f>IF(tblBuildings[[#This Row],[costtext]]="", 0, LEN(tblBuildings[[#This Row],[costtext]]) - LEN(SUBSTITUTE(tblBuildings[[#This Row],[costtext]], ",", "")) + 1)</f>
        <v>4</v>
      </c>
      <c r="P106">
        <f>COUNTIF(tblBuildings[[#This Row],[anchor]:[wood]],"&gt;0")</f>
        <v>4</v>
      </c>
      <c r="AC106">
        <v>80</v>
      </c>
      <c r="BS106">
        <v>2</v>
      </c>
      <c r="CB106">
        <v>40</v>
      </c>
      <c r="CH106">
        <v>40</v>
      </c>
    </row>
    <row r="107" spans="1:86">
      <c r="A107" s="6" t="s">
        <v>160</v>
      </c>
      <c r="B107" s="6" t="s">
        <v>158</v>
      </c>
      <c r="C107" t="s">
        <v>158</v>
      </c>
      <c r="D107" s="6" t="str">
        <f>_xlfn.XLOOKUP(tblBuildings[[#This Row],[BuildingID]],tblTargets[TargetID],tblTargets[DisplayName],"")</f>
        <v>Workshop Lv 3</v>
      </c>
      <c r="E107" t="b">
        <v>1</v>
      </c>
      <c r="F107">
        <v>3</v>
      </c>
      <c r="H107" t="s">
        <v>183</v>
      </c>
      <c r="J107" t="s">
        <v>449</v>
      </c>
      <c r="L107" t="s">
        <v>650</v>
      </c>
      <c r="N107" t="s">
        <v>450</v>
      </c>
      <c r="O107">
        <f>IF(tblBuildings[[#This Row],[costtext]]="", 0, LEN(tblBuildings[[#This Row],[costtext]]) - LEN(SUBSTITUTE(tblBuildings[[#This Row],[costtext]], ",", "")) + 1)</f>
        <v>4</v>
      </c>
      <c r="P107">
        <f>COUNTIF(tblBuildings[[#This Row],[anchor]:[wood]],"&gt;0")</f>
        <v>4</v>
      </c>
      <c r="U107">
        <v>160</v>
      </c>
      <c r="AC107">
        <v>160</v>
      </c>
      <c r="BS107">
        <v>3</v>
      </c>
      <c r="CB107">
        <v>80</v>
      </c>
    </row>
    <row r="108" spans="1:86">
      <c r="A108" s="6" t="s">
        <v>161</v>
      </c>
      <c r="B108" s="6" t="s">
        <v>158</v>
      </c>
      <c r="C108" t="s">
        <v>158</v>
      </c>
      <c r="D108" s="6" t="str">
        <f>_xlfn.XLOOKUP(tblBuildings[[#This Row],[BuildingID]],tblTargets[TargetID],tblTargets[DisplayName],"")</f>
        <v>Workshop Lv 4</v>
      </c>
      <c r="E108" t="b">
        <v>1</v>
      </c>
      <c r="F108">
        <v>4</v>
      </c>
      <c r="H108" t="s">
        <v>183</v>
      </c>
      <c r="J108" t="s">
        <v>451</v>
      </c>
      <c r="L108" t="s">
        <v>651</v>
      </c>
      <c r="N108" t="s">
        <v>452</v>
      </c>
      <c r="O108">
        <f>IF(tblBuildings[[#This Row],[costtext]]="", 0, LEN(tblBuildings[[#This Row],[costtext]]) - LEN(SUBSTITUTE(tblBuildings[[#This Row],[costtext]], ",", "")) + 1)</f>
        <v>5</v>
      </c>
      <c r="P108">
        <f>COUNTIF(tblBuildings[[#This Row],[anchor]:[wood]],"&gt;0")</f>
        <v>5</v>
      </c>
      <c r="U108">
        <v>500</v>
      </c>
      <c r="AC108">
        <v>500</v>
      </c>
      <c r="BS108">
        <v>4</v>
      </c>
      <c r="CA108">
        <v>20</v>
      </c>
      <c r="CB108">
        <v>250</v>
      </c>
    </row>
    <row r="109" spans="1:86">
      <c r="A109" s="6" t="s">
        <v>162</v>
      </c>
      <c r="B109" s="6" t="s">
        <v>158</v>
      </c>
      <c r="C109" t="s">
        <v>158</v>
      </c>
      <c r="D109" s="6" t="str">
        <f>_xlfn.XLOOKUP(tblBuildings[[#This Row],[BuildingID]],tblTargets[TargetID],tblTargets[DisplayName],"")</f>
        <v>Workshop Lv 5</v>
      </c>
      <c r="E109" t="b">
        <v>1</v>
      </c>
      <c r="F109">
        <v>5</v>
      </c>
      <c r="H109" t="s">
        <v>183</v>
      </c>
      <c r="J109" t="s">
        <v>453</v>
      </c>
      <c r="L109" t="s">
        <v>652</v>
      </c>
      <c r="N109" t="s">
        <v>454</v>
      </c>
      <c r="O109">
        <f>IF(tblBuildings[[#This Row],[costtext]]="", 0, LEN(tblBuildings[[#This Row],[costtext]]) - LEN(SUBSTITUTE(tblBuildings[[#This Row],[costtext]], ",", "")) + 1)</f>
        <v>5</v>
      </c>
      <c r="P109">
        <f>COUNTIF(tblBuildings[[#This Row],[anchor]:[wood]],"&gt;0")</f>
        <v>5</v>
      </c>
      <c r="U109">
        <v>600</v>
      </c>
      <c r="AC109">
        <v>1000</v>
      </c>
      <c r="BS109">
        <v>5</v>
      </c>
      <c r="CA109">
        <v>40</v>
      </c>
      <c r="CB109">
        <v>300</v>
      </c>
    </row>
  </sheetData>
  <phoneticPr fontId="4"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F13B-87CD-4532-8FBE-189EFAAF9DD7}">
  <sheetPr>
    <tabColor rgb="FF00B050"/>
  </sheetPr>
  <dimension ref="A1:AA16"/>
  <sheetViews>
    <sheetView workbookViewId="0"/>
  </sheetViews>
  <sheetFormatPr defaultRowHeight="14.5"/>
  <cols>
    <col min="1" max="1" width="24.453125" bestFit="1" customWidth="1"/>
    <col min="2" max="2" width="18" bestFit="1" customWidth="1"/>
    <col min="3" max="3" width="17.1796875" bestFit="1" customWidth="1"/>
    <col min="4" max="4" width="14.36328125" customWidth="1"/>
    <col min="5" max="5" width="11" customWidth="1"/>
    <col min="8" max="8" width="64" bestFit="1" customWidth="1"/>
    <col min="9" max="9" width="34.1796875" bestFit="1" customWidth="1"/>
    <col min="10" max="10" width="64.7265625" bestFit="1" customWidth="1"/>
    <col min="11" max="11" width="63.1796875" bestFit="1" customWidth="1"/>
    <col min="12" max="12" width="14.6328125" bestFit="1" customWidth="1"/>
    <col min="13" max="13" width="18" bestFit="1" customWidth="1"/>
    <col min="14" max="14" width="10.1796875" bestFit="1" customWidth="1"/>
    <col min="15" max="15" width="9.1796875" bestFit="1" customWidth="1"/>
    <col min="16" max="16" width="10.90625" bestFit="1" customWidth="1"/>
    <col min="17" max="17" width="12.08984375" bestFit="1" customWidth="1"/>
    <col min="18" max="18" width="12.6328125" bestFit="1" customWidth="1"/>
    <col min="19" max="19" width="13.7265625" bestFit="1" customWidth="1"/>
    <col min="20" max="20" width="9.54296875" bestFit="1" customWidth="1"/>
    <col min="21" max="21" width="10.08984375" bestFit="1" customWidth="1"/>
    <col min="22" max="22" width="9.26953125" bestFit="1" customWidth="1"/>
    <col min="23" max="23" width="15.08984375" bestFit="1" customWidth="1"/>
    <col min="24" max="24" width="9.81640625" bestFit="1" customWidth="1"/>
    <col min="25" max="25" width="10.36328125" bestFit="1" customWidth="1"/>
    <col min="26" max="26" width="12.6328125" bestFit="1" customWidth="1"/>
    <col min="27" max="27" width="10.08984375" bestFit="1" customWidth="1"/>
  </cols>
  <sheetData>
    <row r="1" spans="1:27">
      <c r="A1" t="s">
        <v>1663</v>
      </c>
      <c r="B1" t="s">
        <v>6</v>
      </c>
      <c r="C1" t="s">
        <v>1664</v>
      </c>
      <c r="D1" t="s">
        <v>8</v>
      </c>
      <c r="E1" t="s">
        <v>11</v>
      </c>
      <c r="F1" t="s">
        <v>1453</v>
      </c>
      <c r="G1" t="s">
        <v>1455</v>
      </c>
      <c r="H1" s="8" t="s">
        <v>552</v>
      </c>
      <c r="I1" s="8" t="s">
        <v>924</v>
      </c>
      <c r="J1" s="8" t="s">
        <v>568</v>
      </c>
      <c r="K1" s="10" t="s">
        <v>241</v>
      </c>
      <c r="L1" s="36" t="s">
        <v>3656</v>
      </c>
      <c r="M1" s="30" t="s">
        <v>3657</v>
      </c>
      <c r="N1" s="8" t="s">
        <v>658</v>
      </c>
      <c r="O1" s="8" t="s">
        <v>666</v>
      </c>
      <c r="P1" s="8" t="s">
        <v>667</v>
      </c>
      <c r="Q1" s="8" t="s">
        <v>670</v>
      </c>
      <c r="R1" s="8" t="s">
        <v>677</v>
      </c>
      <c r="S1" s="8" t="s">
        <v>858</v>
      </c>
      <c r="T1" s="8" t="s">
        <v>696</v>
      </c>
      <c r="U1" s="8" t="s">
        <v>701</v>
      </c>
      <c r="V1" s="8" t="s">
        <v>708</v>
      </c>
      <c r="W1" s="8" t="s">
        <v>1681</v>
      </c>
      <c r="X1" s="8" t="s">
        <v>716</v>
      </c>
      <c r="Y1" s="8" t="s">
        <v>717</v>
      </c>
      <c r="Z1" s="8" t="s">
        <v>721</v>
      </c>
      <c r="AA1" s="8" t="s">
        <v>723</v>
      </c>
    </row>
    <row r="2" spans="1:27">
      <c r="A2" t="s">
        <v>2562</v>
      </c>
      <c r="B2" t="s">
        <v>2974</v>
      </c>
      <c r="C2" t="s">
        <v>1665</v>
      </c>
      <c r="D2" t="str">
        <f>_xlfn.XLOOKUP(tblCitadel[[#This Row],[CitadelID]],tblTargets[TargetID],tblTargets[DisplayName],"")</f>
        <v>Armory</v>
      </c>
      <c r="E2" t="b">
        <v>1</v>
      </c>
      <c r="H2" t="s">
        <v>1682</v>
      </c>
      <c r="I2" t="s">
        <v>1683</v>
      </c>
      <c r="J2" t="s">
        <v>1684</v>
      </c>
      <c r="K2" t="s">
        <v>1685</v>
      </c>
      <c r="L2">
        <f>IF(tblCitadel[[#This Row],[costtext]]="", 0, LEN(tblCitadel[[#This Row],[costtext]]) - LEN(SUBSTITUTE(tblCitadel[[#This Row],[costtext]], ",", "")) + 1)</f>
        <v>6</v>
      </c>
      <c r="M2">
        <f>COUNTA(tblCitadel[[#This Row],[beam]:[wood]])</f>
        <v>6</v>
      </c>
      <c r="N2">
        <v>500</v>
      </c>
      <c r="O2">
        <v>500</v>
      </c>
      <c r="T2">
        <v>15</v>
      </c>
      <c r="V2">
        <v>3</v>
      </c>
      <c r="X2">
        <v>100</v>
      </c>
      <c r="Y2">
        <v>500</v>
      </c>
    </row>
    <row r="3" spans="1:27">
      <c r="A3" t="s">
        <v>2564</v>
      </c>
      <c r="B3" t="s">
        <v>1720</v>
      </c>
      <c r="C3" t="s">
        <v>1666</v>
      </c>
      <c r="D3" t="str">
        <f>_xlfn.XLOOKUP(tblCitadel[[#This Row],[CitadelID]],tblTargets[TargetID],tblTargets[DisplayName],"")</f>
        <v>Attic</v>
      </c>
      <c r="E3" t="b">
        <v>1</v>
      </c>
      <c r="H3" t="s">
        <v>1686</v>
      </c>
      <c r="I3" t="s">
        <v>1683</v>
      </c>
      <c r="J3" t="s">
        <v>1687</v>
      </c>
      <c r="K3" t="s">
        <v>1688</v>
      </c>
      <c r="L3">
        <f>IF(tblCitadel[[#This Row],[costtext]]="", 0, LEN(tblCitadel[[#This Row],[costtext]]) - LEN(SUBSTITUTE(tblCitadel[[#This Row],[costtext]], ",", "")) + 1)</f>
        <v>5</v>
      </c>
      <c r="M3">
        <f>COUNTA(tblCitadel[[#This Row],[beam]:[wood]])</f>
        <v>5</v>
      </c>
      <c r="N3">
        <v>400</v>
      </c>
      <c r="O3">
        <v>400</v>
      </c>
      <c r="T3">
        <v>10</v>
      </c>
      <c r="V3">
        <v>2</v>
      </c>
      <c r="Y3">
        <v>400</v>
      </c>
    </row>
    <row r="4" spans="1:27">
      <c r="A4" t="s">
        <v>2565</v>
      </c>
      <c r="B4" t="s">
        <v>2975</v>
      </c>
      <c r="C4" t="s">
        <v>1678</v>
      </c>
      <c r="D4" t="str">
        <f>_xlfn.XLOOKUP(tblCitadel[[#This Row],[CitadelID]],tblTargets[TargetID],tblTargets[DisplayName],"")</f>
        <v>Cheese Cave</v>
      </c>
      <c r="E4" t="b">
        <v>1</v>
      </c>
      <c r="H4" t="s">
        <v>1689</v>
      </c>
      <c r="I4" t="s">
        <v>1690</v>
      </c>
      <c r="J4" t="s">
        <v>1691</v>
      </c>
      <c r="K4" t="s">
        <v>1692</v>
      </c>
      <c r="L4">
        <f>IF(tblCitadel[[#This Row],[costtext]]="", 0, LEN(tblCitadel[[#This Row],[costtext]]) - LEN(SUBSTITUTE(tblCitadel[[#This Row],[costtext]], ",", "")) + 1)</f>
        <v>7</v>
      </c>
      <c r="M4">
        <f>COUNTA(tblCitadel[[#This Row],[beam]:[wood]])</f>
        <v>7</v>
      </c>
      <c r="O4">
        <v>1000</v>
      </c>
      <c r="Q4">
        <v>10</v>
      </c>
      <c r="R4">
        <v>5</v>
      </c>
      <c r="U4">
        <v>600</v>
      </c>
      <c r="V4">
        <v>5</v>
      </c>
      <c r="W4">
        <v>10</v>
      </c>
      <c r="Y4">
        <v>100</v>
      </c>
    </row>
    <row r="5" spans="1:27">
      <c r="A5" t="s">
        <v>2566</v>
      </c>
      <c r="B5" t="s">
        <v>2976</v>
      </c>
      <c r="C5" t="s">
        <v>1667</v>
      </c>
      <c r="D5" t="str">
        <f>_xlfn.XLOOKUP(tblCitadel[[#This Row],[CitadelID]],tblTargets[TargetID],tblTargets[DisplayName],"")</f>
        <v>Courtyard</v>
      </c>
      <c r="E5" t="b">
        <v>1</v>
      </c>
      <c r="H5" t="s">
        <v>1686</v>
      </c>
      <c r="I5" t="s">
        <v>1693</v>
      </c>
      <c r="J5" t="s">
        <v>1687</v>
      </c>
      <c r="K5" t="s">
        <v>1694</v>
      </c>
      <c r="L5">
        <f>IF(tblCitadel[[#This Row],[costtext]]="", 0, LEN(tblCitadel[[#This Row],[costtext]]) - LEN(SUBSTITUTE(tblCitadel[[#This Row],[costtext]], ",", "")) + 1)</f>
        <v>5</v>
      </c>
      <c r="M5">
        <f>COUNTA(tblCitadel[[#This Row],[beam]:[wood]])</f>
        <v>5</v>
      </c>
      <c r="N5">
        <v>500</v>
      </c>
      <c r="O5">
        <v>500</v>
      </c>
      <c r="T5">
        <v>15</v>
      </c>
      <c r="V5">
        <v>3</v>
      </c>
      <c r="Y5">
        <v>500</v>
      </c>
    </row>
    <row r="6" spans="1:27">
      <c r="A6" t="s">
        <v>2567</v>
      </c>
      <c r="B6" t="s">
        <v>2977</v>
      </c>
      <c r="C6" t="s">
        <v>1668</v>
      </c>
      <c r="D6" t="str">
        <f>_xlfn.XLOOKUP(tblCitadel[[#This Row],[CitadelID]],tblTargets[TargetID],tblTargets[DisplayName],"")</f>
        <v>Gallery</v>
      </c>
      <c r="E6" t="b">
        <v>1</v>
      </c>
      <c r="H6" t="s">
        <v>1682</v>
      </c>
      <c r="I6" t="s">
        <v>1695</v>
      </c>
      <c r="J6" t="s">
        <v>1684</v>
      </c>
      <c r="K6" t="s">
        <v>1685</v>
      </c>
      <c r="L6">
        <f>IF(tblCitadel[[#This Row],[costtext]]="", 0, LEN(tblCitadel[[#This Row],[costtext]]) - LEN(SUBSTITUTE(tblCitadel[[#This Row],[costtext]], ",", "")) + 1)</f>
        <v>6</v>
      </c>
      <c r="M6">
        <f>COUNTA(tblCitadel[[#This Row],[beam]:[wood]])</f>
        <v>6</v>
      </c>
      <c r="N6">
        <v>500</v>
      </c>
      <c r="O6">
        <v>500</v>
      </c>
      <c r="T6">
        <v>15</v>
      </c>
      <c r="V6">
        <v>3</v>
      </c>
      <c r="X6">
        <v>100</v>
      </c>
      <c r="Y6">
        <v>500</v>
      </c>
    </row>
    <row r="7" spans="1:27">
      <c r="A7" t="s">
        <v>2568</v>
      </c>
      <c r="B7" t="s">
        <v>850</v>
      </c>
      <c r="C7" t="s">
        <v>764</v>
      </c>
      <c r="D7" t="str">
        <f>_xlfn.XLOOKUP(tblCitadel[[#This Row],[CitadelID]],tblTargets[TargetID],tblTargets[DisplayName],"")</f>
        <v>Great Hall</v>
      </c>
      <c r="E7" t="b">
        <v>1</v>
      </c>
      <c r="H7" t="s">
        <v>1057</v>
      </c>
      <c r="I7" t="s">
        <v>1696</v>
      </c>
      <c r="J7" t="s">
        <v>1058</v>
      </c>
      <c r="K7" t="s">
        <v>1697</v>
      </c>
      <c r="L7">
        <f>IF(tblCitadel[[#This Row],[costtext]]="", 0, LEN(tblCitadel[[#This Row],[costtext]]) - LEN(SUBSTITUTE(tblCitadel[[#This Row],[costtext]], ",", "")) + 1)</f>
        <v>5</v>
      </c>
      <c r="M7">
        <f>COUNTA(tblCitadel[[#This Row],[beam]:[wood]])</f>
        <v>5</v>
      </c>
      <c r="N7">
        <v>600</v>
      </c>
      <c r="O7">
        <v>800</v>
      </c>
      <c r="T7">
        <v>20</v>
      </c>
      <c r="V7">
        <v>5</v>
      </c>
      <c r="Y7">
        <v>600</v>
      </c>
    </row>
    <row r="8" spans="1:27">
      <c r="A8" t="s">
        <v>2569</v>
      </c>
      <c r="B8" t="s">
        <v>2978</v>
      </c>
      <c r="C8" t="s">
        <v>1680</v>
      </c>
      <c r="D8" t="str">
        <f>_xlfn.XLOOKUP(tblCitadel[[#This Row],[CitadelID]],tblTargets[TargetID],tblTargets[DisplayName],"")</f>
        <v>Kitchen and Buttery</v>
      </c>
      <c r="E8" t="b">
        <v>1</v>
      </c>
      <c r="H8" t="s">
        <v>1698</v>
      </c>
      <c r="I8" t="s">
        <v>1699</v>
      </c>
      <c r="J8" t="s">
        <v>1700</v>
      </c>
      <c r="K8" t="s">
        <v>1688</v>
      </c>
      <c r="L8">
        <f>IF(tblCitadel[[#This Row],[costtext]]="", 0, LEN(tblCitadel[[#This Row],[costtext]]) - LEN(SUBSTITUTE(tblCitadel[[#This Row],[costtext]], ",", "")) + 1)</f>
        <v>5</v>
      </c>
      <c r="M8">
        <f>COUNTA(tblCitadel[[#This Row],[beam]:[wood]])</f>
        <v>5</v>
      </c>
      <c r="N8">
        <v>400</v>
      </c>
      <c r="O8">
        <v>400</v>
      </c>
      <c r="T8">
        <v>10</v>
      </c>
      <c r="V8">
        <v>2</v>
      </c>
      <c r="Y8">
        <v>400</v>
      </c>
    </row>
    <row r="9" spans="1:27">
      <c r="A9" t="s">
        <v>2570</v>
      </c>
      <c r="B9" t="s">
        <v>2979</v>
      </c>
      <c r="C9" t="s">
        <v>1671</v>
      </c>
      <c r="D9" t="str">
        <f>_xlfn.XLOOKUP(tblCitadel[[#This Row],[CitadelID]],tblTargets[TargetID],tblTargets[DisplayName],"")</f>
        <v>Lair lvl. 1</v>
      </c>
      <c r="E9" t="b">
        <v>1</v>
      </c>
      <c r="H9" t="s">
        <v>1701</v>
      </c>
      <c r="I9" t="s">
        <v>1702</v>
      </c>
      <c r="J9" t="s">
        <v>1703</v>
      </c>
      <c r="K9" t="s">
        <v>1704</v>
      </c>
      <c r="L9">
        <f>IF(tblCitadel[[#This Row],[costtext]]="", 0, LEN(tblCitadel[[#This Row],[costtext]]) - LEN(SUBSTITUTE(tblCitadel[[#This Row],[costtext]], ",", "")) + 1)</f>
        <v>6</v>
      </c>
      <c r="M9">
        <f>COUNTA(tblCitadel[[#This Row],[beam]:[wood]])</f>
        <v>6</v>
      </c>
      <c r="P9">
        <v>200</v>
      </c>
      <c r="R9">
        <v>17</v>
      </c>
      <c r="S9">
        <v>10</v>
      </c>
      <c r="V9">
        <v>5</v>
      </c>
      <c r="Z9">
        <v>3</v>
      </c>
      <c r="AA9">
        <v>300</v>
      </c>
    </row>
    <row r="10" spans="1:27">
      <c r="A10" t="s">
        <v>2571</v>
      </c>
      <c r="B10" t="s">
        <v>2980</v>
      </c>
      <c r="C10" t="s">
        <v>1672</v>
      </c>
      <c r="D10" t="str">
        <f>_xlfn.XLOOKUP(tblCitadel[[#This Row],[CitadelID]],tblTargets[TargetID],tblTargets[DisplayName],"")</f>
        <v>Lair lvl. 2</v>
      </c>
      <c r="E10" t="b">
        <v>1</v>
      </c>
      <c r="H10" t="s">
        <v>1705</v>
      </c>
      <c r="I10" t="s">
        <v>1702</v>
      </c>
      <c r="J10" t="s">
        <v>2570</v>
      </c>
      <c r="K10" t="s">
        <v>1706</v>
      </c>
      <c r="L10">
        <f>IF(tblCitadel[[#This Row],[costtext]]="", 0, LEN(tblCitadel[[#This Row],[costtext]]) - LEN(SUBSTITUTE(tblCitadel[[#This Row],[costtext]], ",", "")) + 1)</f>
        <v>6</v>
      </c>
      <c r="M10">
        <f>COUNTA(tblCitadel[[#This Row],[beam]:[wood]])</f>
        <v>6</v>
      </c>
      <c r="P10">
        <v>400</v>
      </c>
      <c r="R10">
        <v>19</v>
      </c>
      <c r="S10">
        <v>20</v>
      </c>
      <c r="V10">
        <v>10</v>
      </c>
      <c r="Z10">
        <v>6</v>
      </c>
      <c r="AA10">
        <v>600</v>
      </c>
    </row>
    <row r="11" spans="1:27">
      <c r="A11" t="s">
        <v>2572</v>
      </c>
      <c r="B11" t="s">
        <v>1731</v>
      </c>
      <c r="C11" t="s">
        <v>1679</v>
      </c>
      <c r="D11" t="str">
        <f>_xlfn.XLOOKUP(tblCitadel[[#This Row],[CitadelID]],tblTargets[TargetID],tblTargets[DisplayName],"")</f>
        <v>Mushroom Farm</v>
      </c>
      <c r="E11" t="b">
        <v>1</v>
      </c>
      <c r="H11" t="s">
        <v>1707</v>
      </c>
      <c r="I11" t="s">
        <v>1708</v>
      </c>
      <c r="J11" t="s">
        <v>1709</v>
      </c>
      <c r="K11" t="s">
        <v>1688</v>
      </c>
      <c r="L11">
        <f>IF(tblCitadel[[#This Row],[costtext]]="", 0, LEN(tblCitadel[[#This Row],[costtext]]) - LEN(SUBSTITUTE(tblCitadel[[#This Row],[costtext]], ",", "")) + 1)</f>
        <v>5</v>
      </c>
      <c r="M11">
        <f>COUNTA(tblCitadel[[#This Row],[beam]:[wood]])</f>
        <v>5</v>
      </c>
      <c r="N11">
        <v>400</v>
      </c>
      <c r="O11">
        <v>400</v>
      </c>
      <c r="T11">
        <v>10</v>
      </c>
      <c r="V11">
        <v>2</v>
      </c>
      <c r="Y11">
        <v>400</v>
      </c>
    </row>
    <row r="12" spans="1:27">
      <c r="A12" t="s">
        <v>2573</v>
      </c>
      <c r="B12" t="s">
        <v>1732</v>
      </c>
      <c r="C12" t="s">
        <v>1674</v>
      </c>
      <c r="D12" t="str">
        <f>_xlfn.XLOOKUP(tblCitadel[[#This Row],[CitadelID]],tblTargets[TargetID],tblTargets[DisplayName],"")</f>
        <v>Orangery</v>
      </c>
      <c r="E12" t="b">
        <v>1</v>
      </c>
      <c r="H12" t="s">
        <v>1710</v>
      </c>
      <c r="I12" t="s">
        <v>1711</v>
      </c>
      <c r="J12" t="s">
        <v>1712</v>
      </c>
      <c r="K12" t="s">
        <v>1688</v>
      </c>
      <c r="L12">
        <f>IF(tblCitadel[[#This Row],[costtext]]="", 0, LEN(tblCitadel[[#This Row],[costtext]]) - LEN(SUBSTITUTE(tblCitadel[[#This Row],[costtext]], ",", "")) + 1)</f>
        <v>5</v>
      </c>
      <c r="M12">
        <f>COUNTA(tblCitadel[[#This Row],[beam]:[wood]])</f>
        <v>5</v>
      </c>
      <c r="N12">
        <v>400</v>
      </c>
      <c r="O12">
        <v>400</v>
      </c>
      <c r="T12">
        <v>10</v>
      </c>
      <c r="V12">
        <v>2</v>
      </c>
      <c r="Y12">
        <v>400</v>
      </c>
    </row>
    <row r="13" spans="1:27">
      <c r="A13" t="s">
        <v>2574</v>
      </c>
      <c r="B13" t="s">
        <v>2981</v>
      </c>
      <c r="C13" t="s">
        <v>1675</v>
      </c>
      <c r="D13" t="str">
        <f>_xlfn.XLOOKUP(tblCitadel[[#This Row],[CitadelID]],tblTargets[TargetID],tblTargets[DisplayName],"")</f>
        <v>Pantry</v>
      </c>
      <c r="E13" t="b">
        <v>1</v>
      </c>
      <c r="H13" t="s">
        <v>1698</v>
      </c>
      <c r="I13" t="s">
        <v>1683</v>
      </c>
      <c r="J13" t="s">
        <v>1700</v>
      </c>
      <c r="K13" t="s">
        <v>1688</v>
      </c>
      <c r="L13">
        <f>IF(tblCitadel[[#This Row],[costtext]]="", 0, LEN(tblCitadel[[#This Row],[costtext]]) - LEN(SUBSTITUTE(tblCitadel[[#This Row],[costtext]], ",", "")) + 1)</f>
        <v>5</v>
      </c>
      <c r="M13">
        <f>COUNTA(tblCitadel[[#This Row],[beam]:[wood]])</f>
        <v>5</v>
      </c>
      <c r="N13">
        <v>400</v>
      </c>
      <c r="O13">
        <v>400</v>
      </c>
      <c r="T13">
        <v>10</v>
      </c>
      <c r="V13">
        <v>2</v>
      </c>
      <c r="Y13">
        <v>400</v>
      </c>
    </row>
    <row r="14" spans="1:27">
      <c r="A14" t="s">
        <v>2575</v>
      </c>
      <c r="B14" t="s">
        <v>1738</v>
      </c>
      <c r="C14" t="s">
        <v>1676</v>
      </c>
      <c r="D14" t="str">
        <f>_xlfn.XLOOKUP(tblCitadel[[#This Row],[CitadelID]],tblTargets[TargetID],tblTargets[DisplayName],"")</f>
        <v>Tavern</v>
      </c>
      <c r="E14" t="b">
        <v>1</v>
      </c>
      <c r="H14" t="s">
        <v>1686</v>
      </c>
      <c r="I14" t="s">
        <v>1713</v>
      </c>
      <c r="J14" t="s">
        <v>1687</v>
      </c>
      <c r="K14" t="s">
        <v>1688</v>
      </c>
      <c r="L14">
        <f>IF(tblCitadel[[#This Row],[costtext]]="", 0, LEN(tblCitadel[[#This Row],[costtext]]) - LEN(SUBSTITUTE(tblCitadel[[#This Row],[costtext]], ",", "")) + 1)</f>
        <v>5</v>
      </c>
      <c r="M14">
        <f>COUNTA(tblCitadel[[#This Row],[beam]:[wood]])</f>
        <v>5</v>
      </c>
      <c r="N14">
        <v>400</v>
      </c>
      <c r="O14">
        <v>400</v>
      </c>
      <c r="T14">
        <v>10</v>
      </c>
      <c r="V14">
        <v>2</v>
      </c>
      <c r="Y14">
        <v>400</v>
      </c>
    </row>
    <row r="15" spans="1:27">
      <c r="A15" t="s">
        <v>2576</v>
      </c>
      <c r="B15" t="s">
        <v>2982</v>
      </c>
      <c r="C15" t="s">
        <v>1677</v>
      </c>
      <c r="D15" t="str">
        <f>_xlfn.XLOOKUP(tblCitadel[[#This Row],[CitadelID]],tblTargets[TargetID],tblTargets[DisplayName],"")</f>
        <v>Treasury</v>
      </c>
      <c r="E15" t="b">
        <v>1</v>
      </c>
      <c r="H15" t="s">
        <v>1682</v>
      </c>
      <c r="I15" t="s">
        <v>1714</v>
      </c>
      <c r="J15" t="s">
        <v>1684</v>
      </c>
      <c r="K15" t="s">
        <v>1715</v>
      </c>
      <c r="L15">
        <f>IF(tblCitadel[[#This Row],[costtext]]="", 0, LEN(tblCitadel[[#This Row],[costtext]]) - LEN(SUBSTITUTE(tblCitadel[[#This Row],[costtext]], ",", "")) + 1)</f>
        <v>6</v>
      </c>
      <c r="M15">
        <f>COUNTA(tblCitadel[[#This Row],[beam]:[wood]])</f>
        <v>6</v>
      </c>
      <c r="N15">
        <v>600</v>
      </c>
      <c r="O15">
        <v>600</v>
      </c>
      <c r="T15">
        <v>20</v>
      </c>
      <c r="V15">
        <v>3</v>
      </c>
      <c r="X15">
        <v>300</v>
      </c>
      <c r="Y15">
        <v>600</v>
      </c>
    </row>
    <row r="16" spans="1:27">
      <c r="A16" t="s">
        <v>6058</v>
      </c>
      <c r="B16" t="s">
        <v>6059</v>
      </c>
      <c r="C16" t="s">
        <v>6060</v>
      </c>
      <c r="D16" t="str">
        <f>_xlfn.XLOOKUP(tblCitadel[[#This Row],[CitadelID]],tblTargets[TargetID],tblTargets[DisplayName],"")</f>
        <v>Tunnel</v>
      </c>
      <c r="E16" t="b">
        <v>1</v>
      </c>
      <c r="I16" t="s">
        <v>197</v>
      </c>
      <c r="K16" t="s">
        <v>290</v>
      </c>
      <c r="L16">
        <f>IF(tblCitadel[[#This Row],[costtext]]="", 0, LEN(tblCitadel[[#This Row],[costtext]]) - LEN(SUBSTITUTE(tblCitadel[[#This Row],[costtext]], ",", "")) + 1)</f>
        <v>9</v>
      </c>
      <c r="M16">
        <f>COUNTA(tblCitadel[[#This Row],[beam]:[wood]])</f>
        <v>0</v>
      </c>
    </row>
  </sheetData>
  <phoneticPr fontId="4"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8CB4-E34F-475D-AEAD-C9FD068F7184}">
  <sheetPr>
    <tabColor rgb="FF00B050"/>
  </sheetPr>
  <dimension ref="A1:EN89"/>
  <sheetViews>
    <sheetView workbookViewId="0"/>
  </sheetViews>
  <sheetFormatPr defaultRowHeight="14.5"/>
  <cols>
    <col min="1" max="1" width="31.6328125" bestFit="1" customWidth="1"/>
    <col min="2" max="2" width="19.7265625" bestFit="1" customWidth="1"/>
    <col min="3" max="3" width="19.6328125" bestFit="1" customWidth="1"/>
    <col min="4" max="4" width="15.08984375" customWidth="1"/>
    <col min="5" max="5" width="11.453125" bestFit="1" customWidth="1"/>
    <col min="6" max="6" width="7.90625" bestFit="1" customWidth="1"/>
    <col min="7" max="8" width="7.36328125" bestFit="1" customWidth="1"/>
    <col min="9" max="9" width="13.26953125" customWidth="1"/>
    <col min="10" max="10" width="21.6328125" customWidth="1"/>
    <col min="11" max="11" width="74.36328125" bestFit="1" customWidth="1"/>
    <col min="12" max="12" width="14.6328125" bestFit="1" customWidth="1"/>
    <col min="13" max="13" width="18" bestFit="1" customWidth="1"/>
    <col min="14" max="14" width="8.453125" bestFit="1" customWidth="1"/>
    <col min="15" max="18" width="11.54296875" bestFit="1" customWidth="1"/>
    <col min="19" max="19" width="12.6328125" bestFit="1" customWidth="1"/>
    <col min="20" max="21" width="12.36328125" bestFit="1" customWidth="1"/>
    <col min="22" max="23" width="13.81640625" bestFit="1" customWidth="1"/>
    <col min="24" max="24" width="10.453125" bestFit="1" customWidth="1"/>
    <col min="25" max="25" width="14.6328125" bestFit="1" customWidth="1"/>
    <col min="26" max="26" width="13.26953125" bestFit="1" customWidth="1"/>
    <col min="27" max="27" width="9.26953125" bestFit="1" customWidth="1"/>
    <col min="28" max="28" width="12.36328125" bestFit="1" customWidth="1"/>
    <col min="29" max="29" width="13.7265625" bestFit="1" customWidth="1"/>
    <col min="30" max="30" width="10.7265625" bestFit="1" customWidth="1"/>
    <col min="31" max="35" width="12.26953125" bestFit="1" customWidth="1"/>
    <col min="36" max="36" width="12.6328125" bestFit="1" customWidth="1"/>
    <col min="37" max="37" width="9" bestFit="1" customWidth="1"/>
    <col min="38" max="38" width="10.453125" bestFit="1" customWidth="1"/>
    <col min="39" max="39" width="10.7265625" bestFit="1" customWidth="1"/>
    <col min="40" max="40" width="8.453125" bestFit="1" customWidth="1"/>
    <col min="41" max="41" width="10.08984375" bestFit="1" customWidth="1"/>
    <col min="42" max="42" width="12.90625" bestFit="1" customWidth="1"/>
    <col min="43" max="43" width="9.81640625" bestFit="1" customWidth="1"/>
    <col min="44" max="44" width="9.90625" bestFit="1" customWidth="1"/>
    <col min="45" max="45" width="8.453125" bestFit="1" customWidth="1"/>
    <col min="46" max="46" width="8.1796875" bestFit="1" customWidth="1"/>
    <col min="47" max="47" width="12.6328125" bestFit="1" customWidth="1"/>
    <col min="48" max="49" width="9.54296875" bestFit="1" customWidth="1"/>
    <col min="50" max="50" width="9.453125" bestFit="1" customWidth="1"/>
    <col min="51" max="51" width="10.90625" bestFit="1" customWidth="1"/>
    <col min="52" max="52" width="11" bestFit="1" customWidth="1"/>
    <col min="53" max="53" width="9.54296875" bestFit="1" customWidth="1"/>
    <col min="54" max="54" width="15.90625" bestFit="1" customWidth="1"/>
    <col min="55" max="55" width="12.6328125" bestFit="1" customWidth="1"/>
    <col min="56" max="56" width="15.08984375" bestFit="1" customWidth="1"/>
    <col min="57" max="57" width="10.1796875" bestFit="1" customWidth="1"/>
    <col min="58" max="59" width="11.7265625" bestFit="1" customWidth="1"/>
    <col min="60" max="60" width="9.26953125" bestFit="1" customWidth="1"/>
    <col min="61" max="61" width="10.7265625" bestFit="1" customWidth="1"/>
    <col min="62" max="62" width="9.453125" bestFit="1" customWidth="1"/>
    <col min="63" max="63" width="9.81640625" bestFit="1" customWidth="1"/>
    <col min="64" max="64" width="9.90625" bestFit="1" customWidth="1"/>
    <col min="65" max="65" width="8.453125" bestFit="1" customWidth="1"/>
    <col min="66" max="66" width="11.1796875" bestFit="1" customWidth="1"/>
    <col min="67" max="67" width="11.81640625" bestFit="1" customWidth="1"/>
    <col min="68" max="68" width="13.81640625" bestFit="1" customWidth="1"/>
    <col min="69" max="71" width="10.08984375" bestFit="1" customWidth="1"/>
    <col min="72" max="72" width="10.453125" bestFit="1" customWidth="1"/>
    <col min="73" max="73" width="9.1796875" bestFit="1" customWidth="1"/>
    <col min="74" max="74" width="10.453125" bestFit="1" customWidth="1"/>
    <col min="75" max="75" width="15.36328125" bestFit="1" customWidth="1"/>
    <col min="76" max="80" width="16.90625" bestFit="1" customWidth="1"/>
    <col min="81" max="81" width="9.6328125" bestFit="1" customWidth="1"/>
    <col min="82" max="82" width="7.6328125" bestFit="1" customWidth="1"/>
    <col min="83" max="83" width="9.54296875" bestFit="1" customWidth="1"/>
    <col min="84" max="84" width="10.36328125" bestFit="1" customWidth="1"/>
    <col min="85" max="85" width="9.90625" bestFit="1" customWidth="1"/>
    <col min="86" max="86" width="9.81640625" bestFit="1" customWidth="1"/>
    <col min="87" max="87" width="10.08984375" bestFit="1" customWidth="1"/>
    <col min="88" max="94" width="11.54296875" bestFit="1" customWidth="1"/>
    <col min="95" max="95" width="8.453125" bestFit="1" customWidth="1"/>
    <col min="96" max="96" width="11.26953125" bestFit="1" customWidth="1"/>
    <col min="97" max="97" width="10.7265625" bestFit="1" customWidth="1"/>
    <col min="98" max="98" width="10.90625" bestFit="1" customWidth="1"/>
    <col min="99" max="99" width="12" bestFit="1" customWidth="1"/>
    <col min="100" max="100" width="13.7265625" bestFit="1" customWidth="1"/>
    <col min="101" max="101" width="15.90625" bestFit="1" customWidth="1"/>
    <col min="102" max="102" width="8.453125" bestFit="1" customWidth="1"/>
    <col min="103" max="106" width="9.6328125" bestFit="1" customWidth="1"/>
    <col min="107" max="107" width="10.7265625" bestFit="1" customWidth="1"/>
    <col min="108" max="108" width="9.26953125" bestFit="1" customWidth="1"/>
    <col min="109" max="109" width="11.54296875" bestFit="1" customWidth="1"/>
    <col min="110" max="110" width="12.08984375" bestFit="1" customWidth="1"/>
    <col min="111" max="111" width="9.90625" bestFit="1" customWidth="1"/>
    <col min="112" max="115" width="11.54296875" bestFit="1" customWidth="1"/>
    <col min="116" max="116" width="12.6328125" bestFit="1" customWidth="1"/>
    <col min="117" max="117" width="12.81640625" bestFit="1" customWidth="1"/>
    <col min="118" max="118" width="8.1796875" bestFit="1" customWidth="1"/>
    <col min="119" max="119" width="14.36328125" bestFit="1" customWidth="1"/>
    <col min="120" max="120" width="8.1796875" bestFit="1" customWidth="1"/>
    <col min="121" max="121" width="10.6328125" bestFit="1" customWidth="1"/>
    <col min="122" max="122" width="10.7265625" bestFit="1" customWidth="1"/>
    <col min="123" max="123" width="9.6328125" bestFit="1" customWidth="1"/>
    <col min="124" max="124" width="10.1796875" bestFit="1" customWidth="1"/>
    <col min="125" max="125" width="11.7265625" bestFit="1" customWidth="1"/>
    <col min="126" max="126" width="14.54296875" bestFit="1" customWidth="1"/>
    <col min="127" max="128" width="16.1796875" bestFit="1" customWidth="1"/>
    <col min="129" max="129" width="9.81640625" bestFit="1" customWidth="1"/>
    <col min="130" max="133" width="11.54296875" bestFit="1" customWidth="1"/>
    <col min="134" max="134" width="12.6328125" bestFit="1" customWidth="1"/>
    <col min="135" max="135" width="10.08984375" bestFit="1" customWidth="1"/>
    <col min="136" max="136" width="11.81640625" bestFit="1" customWidth="1"/>
    <col min="137" max="137" width="11" bestFit="1" customWidth="1"/>
    <col min="138" max="138" width="12.6328125" bestFit="1" customWidth="1"/>
    <col min="139" max="139" width="12.54296875" bestFit="1" customWidth="1"/>
    <col min="140" max="140" width="9.26953125" bestFit="1" customWidth="1"/>
    <col min="141" max="141" width="14.6328125" bestFit="1" customWidth="1"/>
    <col min="142" max="142" width="15.90625" bestFit="1" customWidth="1"/>
    <col min="143" max="144" width="10.1796875" bestFit="1" customWidth="1"/>
  </cols>
  <sheetData>
    <row r="1" spans="1:144">
      <c r="A1" t="s">
        <v>1716</v>
      </c>
      <c r="B1" t="s">
        <v>6</v>
      </c>
      <c r="C1" t="s">
        <v>1717</v>
      </c>
      <c r="D1" t="s">
        <v>8</v>
      </c>
      <c r="E1" t="s">
        <v>11</v>
      </c>
      <c r="F1" t="s">
        <v>7</v>
      </c>
      <c r="G1" t="s">
        <v>1453</v>
      </c>
      <c r="H1" t="s">
        <v>1455</v>
      </c>
      <c r="I1" t="s">
        <v>552</v>
      </c>
      <c r="J1" t="s">
        <v>568</v>
      </c>
      <c r="K1" s="9" t="s">
        <v>241</v>
      </c>
      <c r="L1" s="36" t="s">
        <v>3656</v>
      </c>
      <c r="M1" s="30" t="s">
        <v>3657</v>
      </c>
      <c r="N1" s="7" t="s">
        <v>655</v>
      </c>
      <c r="O1" s="7" t="s">
        <v>1786</v>
      </c>
      <c r="P1" s="7" t="s">
        <v>1787</v>
      </c>
      <c r="Q1" s="7" t="s">
        <v>1788</v>
      </c>
      <c r="R1" s="7" t="s">
        <v>927</v>
      </c>
      <c r="S1" s="7" t="s">
        <v>1789</v>
      </c>
      <c r="T1" s="7" t="s">
        <v>1790</v>
      </c>
      <c r="U1" s="7" t="s">
        <v>657</v>
      </c>
      <c r="V1" s="7" t="s">
        <v>1791</v>
      </c>
      <c r="W1" s="7" t="s">
        <v>1792</v>
      </c>
      <c r="X1" s="7" t="s">
        <v>659</v>
      </c>
      <c r="Y1" s="7" t="s">
        <v>661</v>
      </c>
      <c r="Z1" s="7" t="s">
        <v>662</v>
      </c>
      <c r="AA1" s="7" t="s">
        <v>1793</v>
      </c>
      <c r="AB1" s="7" t="s">
        <v>663</v>
      </c>
      <c r="AC1" s="7" t="s">
        <v>664</v>
      </c>
      <c r="AD1" s="7" t="s">
        <v>1794</v>
      </c>
      <c r="AE1" s="7" t="s">
        <v>1795</v>
      </c>
      <c r="AF1" s="7" t="s">
        <v>1796</v>
      </c>
      <c r="AG1" s="7" t="s">
        <v>1797</v>
      </c>
      <c r="AH1" s="7" t="s">
        <v>1798</v>
      </c>
      <c r="AI1" s="7" t="s">
        <v>1799</v>
      </c>
      <c r="AJ1" s="7" t="s">
        <v>929</v>
      </c>
      <c r="AK1" s="7" t="s">
        <v>666</v>
      </c>
      <c r="AL1" s="7" t="s">
        <v>1800</v>
      </c>
      <c r="AM1" s="7" t="s">
        <v>667</v>
      </c>
      <c r="AN1" s="7" t="s">
        <v>1801</v>
      </c>
      <c r="AO1" s="7" t="s">
        <v>1802</v>
      </c>
      <c r="AP1" s="7" t="s">
        <v>930</v>
      </c>
      <c r="AQ1" s="7" t="s">
        <v>1803</v>
      </c>
      <c r="AR1" s="7" t="s">
        <v>668</v>
      </c>
      <c r="AS1" s="7" t="s">
        <v>669</v>
      </c>
      <c r="AT1" s="7" t="s">
        <v>671</v>
      </c>
      <c r="AU1" s="7" t="s">
        <v>1804</v>
      </c>
      <c r="AV1" s="7" t="s">
        <v>934</v>
      </c>
      <c r="AW1" s="7" t="s">
        <v>1805</v>
      </c>
      <c r="AX1" s="7" t="s">
        <v>1806</v>
      </c>
      <c r="AY1" s="7" t="s">
        <v>1807</v>
      </c>
      <c r="AZ1" s="7" t="s">
        <v>935</v>
      </c>
      <c r="BA1" s="7" t="s">
        <v>674</v>
      </c>
      <c r="BB1" s="7" t="s">
        <v>676</v>
      </c>
      <c r="BC1" s="7" t="s">
        <v>677</v>
      </c>
      <c r="BD1" s="7" t="s">
        <v>678</v>
      </c>
      <c r="BE1" s="7" t="s">
        <v>679</v>
      </c>
      <c r="BF1" s="7" t="s">
        <v>1808</v>
      </c>
      <c r="BG1" s="7" t="s">
        <v>1809</v>
      </c>
      <c r="BH1" s="7" t="s">
        <v>937</v>
      </c>
      <c r="BI1" s="7" t="s">
        <v>938</v>
      </c>
      <c r="BJ1" s="7" t="s">
        <v>939</v>
      </c>
      <c r="BK1" s="7" t="s">
        <v>680</v>
      </c>
      <c r="BL1" s="7" t="s">
        <v>1810</v>
      </c>
      <c r="BM1" s="7" t="s">
        <v>855</v>
      </c>
      <c r="BN1" s="7" t="s">
        <v>681</v>
      </c>
      <c r="BO1" s="7" t="s">
        <v>682</v>
      </c>
      <c r="BP1" s="7" t="s">
        <v>940</v>
      </c>
      <c r="BQ1" s="7" t="s">
        <v>1811</v>
      </c>
      <c r="BR1" s="7" t="s">
        <v>1812</v>
      </c>
      <c r="BS1" s="7" t="s">
        <v>1813</v>
      </c>
      <c r="BT1" s="7" t="s">
        <v>1814</v>
      </c>
      <c r="BU1" s="7" t="s">
        <v>5575</v>
      </c>
      <c r="BV1" s="7" t="s">
        <v>689</v>
      </c>
      <c r="BW1" s="7" t="s">
        <v>690</v>
      </c>
      <c r="BX1" s="7" t="s">
        <v>1815</v>
      </c>
      <c r="BY1" s="7" t="s">
        <v>1816</v>
      </c>
      <c r="BZ1" s="7" t="s">
        <v>1817</v>
      </c>
      <c r="CA1" s="7" t="s">
        <v>1818</v>
      </c>
      <c r="CB1" s="7" t="s">
        <v>1819</v>
      </c>
      <c r="CC1" s="7" t="s">
        <v>1820</v>
      </c>
      <c r="CD1" s="7" t="s">
        <v>694</v>
      </c>
      <c r="CE1" s="7" t="s">
        <v>695</v>
      </c>
      <c r="CF1" s="7" t="s">
        <v>696</v>
      </c>
      <c r="CG1" s="7" t="s">
        <v>697</v>
      </c>
      <c r="CH1" s="7" t="s">
        <v>1821</v>
      </c>
      <c r="CI1" s="7" t="s">
        <v>699</v>
      </c>
      <c r="CJ1" s="7" t="s">
        <v>701</v>
      </c>
      <c r="CK1" s="7" t="s">
        <v>1822</v>
      </c>
      <c r="CL1" s="7" t="s">
        <v>1823</v>
      </c>
      <c r="CM1" s="7" t="s">
        <v>1824</v>
      </c>
      <c r="CN1" s="7" t="s">
        <v>1825</v>
      </c>
      <c r="CO1" s="7" t="s">
        <v>1826</v>
      </c>
      <c r="CP1" s="7" t="s">
        <v>1827</v>
      </c>
      <c r="CQ1" s="7" t="s">
        <v>1828</v>
      </c>
      <c r="CR1" s="7" t="s">
        <v>1829</v>
      </c>
      <c r="CS1" s="7" t="s">
        <v>1830</v>
      </c>
      <c r="CT1" s="7" t="s">
        <v>703</v>
      </c>
      <c r="CU1" s="7" t="s">
        <v>704</v>
      </c>
      <c r="CV1" s="7" t="s">
        <v>705</v>
      </c>
      <c r="CW1" s="7" t="s">
        <v>706</v>
      </c>
      <c r="CX1" s="7" t="s">
        <v>946</v>
      </c>
      <c r="CY1" s="7" t="s">
        <v>707</v>
      </c>
      <c r="CZ1" s="7" t="s">
        <v>947</v>
      </c>
      <c r="DA1" s="7" t="s">
        <v>1831</v>
      </c>
      <c r="DB1" s="7" t="s">
        <v>1832</v>
      </c>
      <c r="DC1" s="7" t="s">
        <v>1833</v>
      </c>
      <c r="DD1" s="7" t="s">
        <v>1834</v>
      </c>
      <c r="DE1" s="7" t="s">
        <v>708</v>
      </c>
      <c r="DF1" s="7" t="s">
        <v>948</v>
      </c>
      <c r="DG1" s="7" t="s">
        <v>709</v>
      </c>
      <c r="DH1" s="7" t="s">
        <v>710</v>
      </c>
      <c r="DI1" s="7" t="s">
        <v>1835</v>
      </c>
      <c r="DJ1" s="7" t="s">
        <v>1836</v>
      </c>
      <c r="DK1" s="7" t="s">
        <v>949</v>
      </c>
      <c r="DL1" s="7" t="s">
        <v>950</v>
      </c>
      <c r="DM1" s="7" t="s">
        <v>1837</v>
      </c>
      <c r="DN1" s="7" t="s">
        <v>1838</v>
      </c>
      <c r="DO1" s="7" t="s">
        <v>711</v>
      </c>
      <c r="DP1" s="7" t="s">
        <v>1839</v>
      </c>
      <c r="DQ1" s="7" t="s">
        <v>713</v>
      </c>
      <c r="DR1" s="7" t="s">
        <v>715</v>
      </c>
      <c r="DS1" s="7" t="s">
        <v>1840</v>
      </c>
      <c r="DT1" s="7" t="s">
        <v>716</v>
      </c>
      <c r="DU1" s="7" t="s">
        <v>717</v>
      </c>
      <c r="DV1" s="7" t="s">
        <v>1841</v>
      </c>
      <c r="DW1" s="7" t="s">
        <v>951</v>
      </c>
      <c r="DX1" s="7" t="s">
        <v>1842</v>
      </c>
      <c r="DY1" s="7" t="s">
        <v>1843</v>
      </c>
      <c r="DZ1" s="7" t="s">
        <v>718</v>
      </c>
      <c r="EA1" s="7" t="s">
        <v>1844</v>
      </c>
      <c r="EB1" s="7" t="s">
        <v>1845</v>
      </c>
      <c r="EC1" s="7" t="s">
        <v>952</v>
      </c>
      <c r="ED1" s="7" t="s">
        <v>953</v>
      </c>
      <c r="EE1" s="7" t="s">
        <v>1846</v>
      </c>
      <c r="EF1" s="7" t="s">
        <v>1847</v>
      </c>
      <c r="EG1" s="7" t="s">
        <v>1848</v>
      </c>
      <c r="EH1" s="7" t="s">
        <v>719</v>
      </c>
      <c r="EI1" s="7" t="s">
        <v>720</v>
      </c>
      <c r="EJ1" s="7" t="s">
        <v>721</v>
      </c>
      <c r="EK1" s="7" t="s">
        <v>956</v>
      </c>
      <c r="EL1" s="7" t="s">
        <v>1849</v>
      </c>
      <c r="EM1" s="7" t="s">
        <v>958</v>
      </c>
      <c r="EN1" s="7" t="s">
        <v>723</v>
      </c>
    </row>
    <row r="2" spans="1:144" ht="29">
      <c r="A2" t="s">
        <v>2577</v>
      </c>
      <c r="B2" t="s">
        <v>1718</v>
      </c>
      <c r="C2" t="s">
        <v>1742</v>
      </c>
      <c r="D2" t="str">
        <f>_xlfn.XLOOKUP(tblCollections[[#This Row],[CollectionID]],tblTargets[TargetID],tblTargets[DisplayName],"")</f>
        <v>Armory 1 Lv 1</v>
      </c>
      <c r="E2" t="b">
        <v>1</v>
      </c>
      <c r="F2">
        <v>1</v>
      </c>
      <c r="I2" t="s">
        <v>1665</v>
      </c>
      <c r="J2" t="s">
        <v>1769</v>
      </c>
      <c r="K2" s="2" t="s">
        <v>1850</v>
      </c>
      <c r="L2" s="2">
        <f>IF(tblCollections[[#This Row],[costtext]]="", 0, LEN(tblCollections[[#This Row],[costtext]]) - LEN(SUBSTITUTE(tblCollections[[#This Row],[costtext]], ",", "")) + 1)</f>
        <v>12</v>
      </c>
      <c r="M2" s="2">
        <f>COUNTA(tblCollections[[#This Row],[apy]:[wood]])</f>
        <v>12</v>
      </c>
      <c r="O2">
        <v>3</v>
      </c>
      <c r="P2">
        <v>3</v>
      </c>
      <c r="Q2">
        <v>3</v>
      </c>
      <c r="R2">
        <v>3</v>
      </c>
      <c r="DI2">
        <v>3</v>
      </c>
      <c r="DJ2">
        <v>3</v>
      </c>
      <c r="DK2">
        <v>3</v>
      </c>
      <c r="DL2">
        <v>3</v>
      </c>
      <c r="EA2">
        <v>3</v>
      </c>
      <c r="EB2">
        <v>3</v>
      </c>
      <c r="EC2">
        <v>3</v>
      </c>
      <c r="ED2">
        <v>3</v>
      </c>
    </row>
    <row r="3" spans="1:144" ht="29">
      <c r="A3" t="s">
        <v>2579</v>
      </c>
      <c r="B3" t="s">
        <v>1718</v>
      </c>
      <c r="C3" t="s">
        <v>1742</v>
      </c>
      <c r="D3" t="str">
        <f>_xlfn.XLOOKUP(tblCollections[[#This Row],[CollectionID]],tblTargets[TargetID],tblTargets[DisplayName],"")</f>
        <v>Armory 1 Lv 2</v>
      </c>
      <c r="E3" t="b">
        <v>1</v>
      </c>
      <c r="F3">
        <v>2</v>
      </c>
      <c r="I3" t="s">
        <v>1665</v>
      </c>
      <c r="J3" t="s">
        <v>3225</v>
      </c>
      <c r="K3" s="2" t="s">
        <v>1851</v>
      </c>
      <c r="L3" s="2">
        <f>IF(tblCollections[[#This Row],[costtext]]="", 0, LEN(tblCollections[[#This Row],[costtext]]) - LEN(SUBSTITUTE(tblCollections[[#This Row],[costtext]], ",", "")) + 1)</f>
        <v>12</v>
      </c>
      <c r="M3" s="2">
        <f>COUNTA(tblCollections[[#This Row],[apy]:[wood]])</f>
        <v>12</v>
      </c>
      <c r="O3">
        <v>6</v>
      </c>
      <c r="P3">
        <v>6</v>
      </c>
      <c r="Q3">
        <v>6</v>
      </c>
      <c r="R3">
        <v>6</v>
      </c>
      <c r="DI3">
        <v>6</v>
      </c>
      <c r="DJ3">
        <v>6</v>
      </c>
      <c r="DK3">
        <v>6</v>
      </c>
      <c r="DL3">
        <v>6</v>
      </c>
      <c r="EA3">
        <v>6</v>
      </c>
      <c r="EB3">
        <v>6</v>
      </c>
      <c r="EC3">
        <v>6</v>
      </c>
      <c r="ED3">
        <v>6</v>
      </c>
    </row>
    <row r="4" spans="1:144" ht="29">
      <c r="A4" t="s">
        <v>2580</v>
      </c>
      <c r="B4" t="s">
        <v>1718</v>
      </c>
      <c r="C4" t="s">
        <v>1742</v>
      </c>
      <c r="D4" t="str">
        <f>_xlfn.XLOOKUP(tblCollections[[#This Row],[CollectionID]],tblTargets[TargetID],tblTargets[DisplayName],"")</f>
        <v>Armory 1 Lv 3</v>
      </c>
      <c r="E4" t="b">
        <v>1</v>
      </c>
      <c r="F4">
        <v>3</v>
      </c>
      <c r="I4" t="s">
        <v>1665</v>
      </c>
      <c r="J4" t="s">
        <v>3226</v>
      </c>
      <c r="K4" s="2" t="s">
        <v>1852</v>
      </c>
      <c r="L4" s="2">
        <f>IF(tblCollections[[#This Row],[costtext]]="", 0, LEN(tblCollections[[#This Row],[costtext]]) - LEN(SUBSTITUTE(tblCollections[[#This Row],[costtext]], ",", "")) + 1)</f>
        <v>12</v>
      </c>
      <c r="M4" s="2">
        <f>COUNTA(tblCollections[[#This Row],[apy]:[wood]])</f>
        <v>12</v>
      </c>
      <c r="O4">
        <v>9</v>
      </c>
      <c r="P4">
        <v>9</v>
      </c>
      <c r="Q4">
        <v>9</v>
      </c>
      <c r="R4">
        <v>9</v>
      </c>
      <c r="DI4">
        <v>9</v>
      </c>
      <c r="DJ4">
        <v>9</v>
      </c>
      <c r="DK4">
        <v>9</v>
      </c>
      <c r="DL4">
        <v>9</v>
      </c>
      <c r="EA4">
        <v>9</v>
      </c>
      <c r="EB4">
        <v>9</v>
      </c>
      <c r="EC4">
        <v>9</v>
      </c>
      <c r="ED4">
        <v>9</v>
      </c>
    </row>
    <row r="5" spans="1:144">
      <c r="A5" t="s">
        <v>2581</v>
      </c>
      <c r="B5" t="s">
        <v>1719</v>
      </c>
      <c r="C5" t="s">
        <v>1743</v>
      </c>
      <c r="D5" t="str">
        <f>_xlfn.XLOOKUP(tblCollections[[#This Row],[CollectionID]],tblTargets[TargetID],tblTargets[DisplayName],"")</f>
        <v>Armory 2 Lv 1</v>
      </c>
      <c r="E5" t="b">
        <v>1</v>
      </c>
      <c r="F5">
        <v>1</v>
      </c>
      <c r="I5" t="s">
        <v>1762</v>
      </c>
      <c r="J5" t="s">
        <v>1770</v>
      </c>
      <c r="K5" s="2" t="s">
        <v>1853</v>
      </c>
      <c r="L5" s="2">
        <f>IF(tblCollections[[#This Row],[costtext]]="", 0, LEN(tblCollections[[#This Row],[costtext]]) - LEN(SUBSTITUTE(tblCollections[[#This Row],[costtext]], ",", "")) + 1)</f>
        <v>3</v>
      </c>
      <c r="M5" s="2">
        <f>COUNTA(tblCollections[[#This Row],[apy]:[wood]])</f>
        <v>3</v>
      </c>
      <c r="S5">
        <v>3</v>
      </c>
      <c r="DM5">
        <v>3</v>
      </c>
      <c r="EE5">
        <v>3</v>
      </c>
    </row>
    <row r="6" spans="1:144">
      <c r="A6" t="s">
        <v>2582</v>
      </c>
      <c r="B6" t="s">
        <v>1720</v>
      </c>
      <c r="C6" t="s">
        <v>1666</v>
      </c>
      <c r="D6" t="str">
        <f>_xlfn.XLOOKUP(tblCollections[[#This Row],[CollectionID]],tblTargets[TargetID],tblTargets[DisplayName],"")</f>
        <v>Attic Lv 1</v>
      </c>
      <c r="E6" t="b">
        <v>1</v>
      </c>
      <c r="F6">
        <v>1</v>
      </c>
      <c r="I6" t="s">
        <v>1666</v>
      </c>
      <c r="J6" t="s">
        <v>1771</v>
      </c>
      <c r="K6" s="2" t="s">
        <v>1854</v>
      </c>
      <c r="L6" s="2">
        <f>IF(tblCollections[[#This Row],[costtext]]="", 0, LEN(tblCollections[[#This Row],[costtext]]) - LEN(SUBSTITUTE(tblCollections[[#This Row],[costtext]], ",", "")) + 1)</f>
        <v>9</v>
      </c>
      <c r="M6" s="2">
        <f>COUNTA(tblCollections[[#This Row],[apy]:[wood]])</f>
        <v>9</v>
      </c>
      <c r="AR6">
        <v>3</v>
      </c>
      <c r="AT6">
        <v>20</v>
      </c>
      <c r="AU6">
        <v>3</v>
      </c>
      <c r="BN6">
        <v>10</v>
      </c>
      <c r="BO6">
        <v>3</v>
      </c>
      <c r="CD6">
        <v>3</v>
      </c>
      <c r="DG6">
        <v>3</v>
      </c>
      <c r="DN6">
        <v>20</v>
      </c>
      <c r="DS6">
        <v>20</v>
      </c>
    </row>
    <row r="7" spans="1:144">
      <c r="A7" t="s">
        <v>2583</v>
      </c>
      <c r="B7" t="s">
        <v>1720</v>
      </c>
      <c r="C7" t="s">
        <v>1666</v>
      </c>
      <c r="D7" t="str">
        <f>_xlfn.XLOOKUP(tblCollections[[#This Row],[CollectionID]],tblTargets[TargetID],tblTargets[DisplayName],"")</f>
        <v>Attic Lv 2</v>
      </c>
      <c r="E7" t="b">
        <v>1</v>
      </c>
      <c r="F7">
        <v>2</v>
      </c>
      <c r="I7" t="s">
        <v>1666</v>
      </c>
      <c r="J7" t="s">
        <v>3227</v>
      </c>
      <c r="K7" s="2" t="s">
        <v>1855</v>
      </c>
      <c r="L7" s="2">
        <f>IF(tblCollections[[#This Row],[costtext]]="", 0, LEN(tblCollections[[#This Row],[costtext]]) - LEN(SUBSTITUTE(tblCollections[[#This Row],[costtext]], ",", "")) + 1)</f>
        <v>9</v>
      </c>
      <c r="M7" s="2">
        <f>COUNTA(tblCollections[[#This Row],[apy]:[wood]])</f>
        <v>9</v>
      </c>
      <c r="AR7">
        <v>6</v>
      </c>
      <c r="AT7">
        <v>40</v>
      </c>
      <c r="AU7">
        <v>6</v>
      </c>
      <c r="BN7">
        <v>20</v>
      </c>
      <c r="BO7">
        <v>6</v>
      </c>
      <c r="CD7">
        <v>6</v>
      </c>
      <c r="DG7">
        <v>6</v>
      </c>
      <c r="DN7">
        <v>40</v>
      </c>
      <c r="DS7">
        <v>40</v>
      </c>
    </row>
    <row r="8" spans="1:144">
      <c r="A8" t="s">
        <v>2584</v>
      </c>
      <c r="B8" t="s">
        <v>1720</v>
      </c>
      <c r="C8" t="s">
        <v>1666</v>
      </c>
      <c r="D8" t="str">
        <f>_xlfn.XLOOKUP(tblCollections[[#This Row],[CollectionID]],tblTargets[TargetID],tblTargets[DisplayName],"")</f>
        <v>Attic Lv 3</v>
      </c>
      <c r="E8" t="b">
        <v>1</v>
      </c>
      <c r="F8">
        <v>3</v>
      </c>
      <c r="I8" t="s">
        <v>1666</v>
      </c>
      <c r="J8" t="s">
        <v>3228</v>
      </c>
      <c r="K8" s="2" t="s">
        <v>1856</v>
      </c>
      <c r="L8" s="2">
        <f>IF(tblCollections[[#This Row],[costtext]]="", 0, LEN(tblCollections[[#This Row],[costtext]]) - LEN(SUBSTITUTE(tblCollections[[#This Row],[costtext]], ",", "")) + 1)</f>
        <v>9</v>
      </c>
      <c r="M8" s="2">
        <f>COUNTA(tblCollections[[#This Row],[apy]:[wood]])</f>
        <v>9</v>
      </c>
      <c r="AR8">
        <v>9</v>
      </c>
      <c r="AT8">
        <v>60</v>
      </c>
      <c r="AU8">
        <v>9</v>
      </c>
      <c r="BN8">
        <v>30</v>
      </c>
      <c r="BO8">
        <v>9</v>
      </c>
      <c r="CD8">
        <v>9</v>
      </c>
      <c r="DG8">
        <v>9</v>
      </c>
      <c r="DN8">
        <v>60</v>
      </c>
      <c r="DS8">
        <v>60</v>
      </c>
    </row>
    <row r="9" spans="1:144" ht="29">
      <c r="A9" t="s">
        <v>2585</v>
      </c>
      <c r="B9" t="s">
        <v>1720</v>
      </c>
      <c r="C9" t="s">
        <v>1666</v>
      </c>
      <c r="D9" t="str">
        <f>_xlfn.XLOOKUP(tblCollections[[#This Row],[CollectionID]],tblTargets[TargetID],tblTargets[DisplayName],"")</f>
        <v>Attic Lv 4</v>
      </c>
      <c r="E9" t="b">
        <v>1</v>
      </c>
      <c r="F9">
        <v>4</v>
      </c>
      <c r="I9" t="s">
        <v>1666</v>
      </c>
      <c r="J9" t="s">
        <v>3229</v>
      </c>
      <c r="K9" s="2" t="s">
        <v>1857</v>
      </c>
      <c r="L9" s="2">
        <f>IF(tblCollections[[#This Row],[costtext]]="", 0, LEN(tblCollections[[#This Row],[costtext]]) - LEN(SUBSTITUTE(tblCollections[[#This Row],[costtext]], ",", "")) + 1)</f>
        <v>9</v>
      </c>
      <c r="M9" s="2">
        <f>COUNTA(tblCollections[[#This Row],[apy]:[wood]])</f>
        <v>9</v>
      </c>
      <c r="AR9">
        <v>12</v>
      </c>
      <c r="AT9">
        <v>80</v>
      </c>
      <c r="AU9">
        <v>12</v>
      </c>
      <c r="BN9">
        <v>40</v>
      </c>
      <c r="BO9">
        <v>12</v>
      </c>
      <c r="CD9">
        <v>12</v>
      </c>
      <c r="DG9">
        <v>12</v>
      </c>
      <c r="DN9">
        <v>80</v>
      </c>
      <c r="DS9">
        <v>80</v>
      </c>
    </row>
    <row r="10" spans="1:144" ht="29">
      <c r="A10" t="s">
        <v>2586</v>
      </c>
      <c r="B10" t="s">
        <v>1720</v>
      </c>
      <c r="C10" t="s">
        <v>1666</v>
      </c>
      <c r="D10" t="str">
        <f>_xlfn.XLOOKUP(tblCollections[[#This Row],[CollectionID]],tblTargets[TargetID],tblTargets[DisplayName],"")</f>
        <v>Attic Lv 5</v>
      </c>
      <c r="E10" t="b">
        <v>1</v>
      </c>
      <c r="F10">
        <v>5</v>
      </c>
      <c r="I10" t="s">
        <v>1666</v>
      </c>
      <c r="J10" t="s">
        <v>3230</v>
      </c>
      <c r="K10" s="2" t="s">
        <v>1858</v>
      </c>
      <c r="L10" s="2">
        <f>IF(tblCollections[[#This Row],[costtext]]="", 0, LEN(tblCollections[[#This Row],[costtext]]) - LEN(SUBSTITUTE(tblCollections[[#This Row],[costtext]], ",", "")) + 1)</f>
        <v>9</v>
      </c>
      <c r="M10" s="2">
        <f>COUNTA(tblCollections[[#This Row],[apy]:[wood]])</f>
        <v>9</v>
      </c>
      <c r="AR10">
        <v>15</v>
      </c>
      <c r="AT10">
        <v>100</v>
      </c>
      <c r="AU10">
        <v>15</v>
      </c>
      <c r="BN10">
        <v>50</v>
      </c>
      <c r="BO10">
        <v>15</v>
      </c>
      <c r="CD10">
        <v>15</v>
      </c>
      <c r="DG10">
        <v>15</v>
      </c>
      <c r="DN10">
        <v>100</v>
      </c>
      <c r="DS10">
        <v>100</v>
      </c>
    </row>
    <row r="11" spans="1:144" ht="29">
      <c r="A11" t="s">
        <v>2587</v>
      </c>
      <c r="B11" t="s">
        <v>1721</v>
      </c>
      <c r="C11" t="s">
        <v>1744</v>
      </c>
      <c r="D11" t="str">
        <f>_xlfn.XLOOKUP(tblCollections[[#This Row],[CollectionID]],tblTargets[TargetID],tblTargets[DisplayName],"")</f>
        <v>Courtyard 1 Lv 1</v>
      </c>
      <c r="E11" t="b">
        <v>1</v>
      </c>
      <c r="F11">
        <v>1</v>
      </c>
      <c r="I11" t="s">
        <v>1763</v>
      </c>
      <c r="J11" t="s">
        <v>1772</v>
      </c>
      <c r="K11" s="2" t="s">
        <v>1859</v>
      </c>
      <c r="L11" s="2">
        <f>IF(tblCollections[[#This Row],[costtext]]="", 0, LEN(tblCollections[[#This Row],[costtext]]) - LEN(SUBSTITUTE(tblCollections[[#This Row],[costtext]], ",", "")) + 1)</f>
        <v>10</v>
      </c>
      <c r="M11" s="2">
        <f>COUNTA(tblCollections[[#This Row],[apy]:[wood]])</f>
        <v>10</v>
      </c>
      <c r="AZ11">
        <v>20</v>
      </c>
      <c r="BE11">
        <v>5</v>
      </c>
      <c r="BF11">
        <v>5</v>
      </c>
      <c r="BG11">
        <v>5</v>
      </c>
      <c r="BI11">
        <v>15</v>
      </c>
      <c r="CS11">
        <v>10</v>
      </c>
      <c r="DW11">
        <v>5</v>
      </c>
      <c r="DX11">
        <v>5</v>
      </c>
      <c r="DY11">
        <v>5</v>
      </c>
      <c r="EN11">
        <v>50</v>
      </c>
    </row>
    <row r="12" spans="1:144" ht="29">
      <c r="A12" t="s">
        <v>2588</v>
      </c>
      <c r="B12" t="s">
        <v>1721</v>
      </c>
      <c r="C12" t="s">
        <v>1744</v>
      </c>
      <c r="D12" t="str">
        <f>_xlfn.XLOOKUP(tblCollections[[#This Row],[CollectionID]],tblTargets[TargetID],tblTargets[DisplayName],"")</f>
        <v>Courtyard 1 Lv 2</v>
      </c>
      <c r="E12" t="b">
        <v>1</v>
      </c>
      <c r="F12">
        <v>2</v>
      </c>
      <c r="I12" t="s">
        <v>1667</v>
      </c>
      <c r="J12" t="s">
        <v>3231</v>
      </c>
      <c r="K12" s="2" t="s">
        <v>1860</v>
      </c>
      <c r="L12" s="2">
        <f>IF(tblCollections[[#This Row],[costtext]]="", 0, LEN(tblCollections[[#This Row],[costtext]]) - LEN(SUBSTITUTE(tblCollections[[#This Row],[costtext]], ",", "")) + 1)</f>
        <v>10</v>
      </c>
      <c r="M12" s="2">
        <f>COUNTA(tblCollections[[#This Row],[apy]:[wood]])</f>
        <v>10</v>
      </c>
      <c r="AZ12">
        <v>40</v>
      </c>
      <c r="BE12">
        <v>10</v>
      </c>
      <c r="BF12">
        <v>10</v>
      </c>
      <c r="BG12">
        <v>10</v>
      </c>
      <c r="BI12">
        <v>30</v>
      </c>
      <c r="CS12">
        <v>20</v>
      </c>
      <c r="DW12">
        <v>10</v>
      </c>
      <c r="DX12">
        <v>10</v>
      </c>
      <c r="DY12">
        <v>10</v>
      </c>
      <c r="EN12">
        <v>100</v>
      </c>
    </row>
    <row r="13" spans="1:144">
      <c r="A13" t="s">
        <v>2589</v>
      </c>
      <c r="B13" t="s">
        <v>1722</v>
      </c>
      <c r="C13" t="s">
        <v>1745</v>
      </c>
      <c r="D13" t="str">
        <f>_xlfn.XLOOKUP(tblCollections[[#This Row],[CollectionID]],tblTargets[TargetID],tblTargets[DisplayName],"")</f>
        <v>Courtyard 2 Lv 1</v>
      </c>
      <c r="E13" t="b">
        <v>1</v>
      </c>
      <c r="F13">
        <v>1</v>
      </c>
      <c r="I13" t="s">
        <v>1763</v>
      </c>
      <c r="J13" t="s">
        <v>1772</v>
      </c>
      <c r="K13" s="2" t="s">
        <v>1861</v>
      </c>
      <c r="L13" s="2">
        <f>IF(tblCollections[[#This Row],[costtext]]="", 0, LEN(tblCollections[[#This Row],[costtext]]) - LEN(SUBSTITUTE(tblCollections[[#This Row],[costtext]], ",", "")) + 1)</f>
        <v>3</v>
      </c>
      <c r="M13" s="2">
        <f>COUNTA(tblCollections[[#This Row],[apy]:[wood]])</f>
        <v>3</v>
      </c>
      <c r="U13">
        <v>15</v>
      </c>
      <c r="V13">
        <v>15</v>
      </c>
      <c r="W13">
        <v>15</v>
      </c>
    </row>
    <row r="14" spans="1:144">
      <c r="A14" t="s">
        <v>2590</v>
      </c>
      <c r="B14" t="s">
        <v>1723</v>
      </c>
      <c r="C14" t="s">
        <v>1746</v>
      </c>
      <c r="D14" t="str">
        <f>_xlfn.XLOOKUP(tblCollections[[#This Row],[CollectionID]],tblTargets[TargetID],tblTargets[DisplayName],"")</f>
        <v>Gallery 1 Lv 1</v>
      </c>
      <c r="E14" t="b">
        <v>1</v>
      </c>
      <c r="F14">
        <v>1</v>
      </c>
      <c r="I14" t="s">
        <v>1668</v>
      </c>
      <c r="J14" t="s">
        <v>1773</v>
      </c>
      <c r="K14" s="2" t="s">
        <v>1862</v>
      </c>
      <c r="L14" s="2">
        <f>IF(tblCollections[[#This Row],[costtext]]="", 0, LEN(tblCollections[[#This Row],[costtext]]) - LEN(SUBSTITUTE(tblCollections[[#This Row],[costtext]], ",", "")) + 1)</f>
        <v>6</v>
      </c>
      <c r="M14" s="2">
        <f>COUNTA(tblCollections[[#This Row],[apy]:[wood]])</f>
        <v>6</v>
      </c>
      <c r="N14">
        <v>5</v>
      </c>
      <c r="AJ14">
        <v>10</v>
      </c>
      <c r="BP14">
        <v>10</v>
      </c>
      <c r="BW14">
        <v>15</v>
      </c>
      <c r="CV14">
        <v>15</v>
      </c>
      <c r="EI14">
        <v>5</v>
      </c>
    </row>
    <row r="15" spans="1:144">
      <c r="A15" t="s">
        <v>2591</v>
      </c>
      <c r="B15" t="s">
        <v>1723</v>
      </c>
      <c r="C15" t="s">
        <v>1746</v>
      </c>
      <c r="D15" t="str">
        <f>_xlfn.XLOOKUP(tblCollections[[#This Row],[CollectionID]],tblTargets[TargetID],tblTargets[DisplayName],"")</f>
        <v>Gallery 1 Lv 2</v>
      </c>
      <c r="E15" t="b">
        <v>1</v>
      </c>
      <c r="F15">
        <v>2</v>
      </c>
      <c r="I15" t="s">
        <v>1668</v>
      </c>
      <c r="J15" t="s">
        <v>3232</v>
      </c>
      <c r="K15" s="2" t="s">
        <v>1863</v>
      </c>
      <c r="L15" s="2">
        <f>IF(tblCollections[[#This Row],[costtext]]="", 0, LEN(tblCollections[[#This Row],[costtext]]) - LEN(SUBSTITUTE(tblCollections[[#This Row],[costtext]], ",", "")) + 1)</f>
        <v>6</v>
      </c>
      <c r="M15" s="2">
        <f>COUNTA(tblCollections[[#This Row],[apy]:[wood]])</f>
        <v>6</v>
      </c>
      <c r="N15">
        <v>10</v>
      </c>
      <c r="AJ15">
        <v>20</v>
      </c>
      <c r="BP15">
        <v>20</v>
      </c>
      <c r="BW15">
        <v>30</v>
      </c>
      <c r="CV15">
        <v>30</v>
      </c>
      <c r="EI15">
        <v>10</v>
      </c>
    </row>
    <row r="16" spans="1:144">
      <c r="A16" t="s">
        <v>2592</v>
      </c>
      <c r="B16" t="s">
        <v>1723</v>
      </c>
      <c r="C16" t="s">
        <v>1746</v>
      </c>
      <c r="D16" t="str">
        <f>_xlfn.XLOOKUP(tblCollections[[#This Row],[CollectionID]],tblTargets[TargetID],tblTargets[DisplayName],"")</f>
        <v>Gallery 1 Lv 3</v>
      </c>
      <c r="E16" t="b">
        <v>1</v>
      </c>
      <c r="F16">
        <v>3</v>
      </c>
      <c r="I16" t="s">
        <v>1668</v>
      </c>
      <c r="J16" t="s">
        <v>3233</v>
      </c>
      <c r="K16" s="2" t="s">
        <v>1864</v>
      </c>
      <c r="L16" s="2">
        <f>IF(tblCollections[[#This Row],[costtext]]="", 0, LEN(tblCollections[[#This Row],[costtext]]) - LEN(SUBSTITUTE(tblCollections[[#This Row],[costtext]], ",", "")) + 1)</f>
        <v>6</v>
      </c>
      <c r="M16" s="2">
        <f>COUNTA(tblCollections[[#This Row],[apy]:[wood]])</f>
        <v>6</v>
      </c>
      <c r="N16">
        <v>15</v>
      </c>
      <c r="AJ16">
        <v>30</v>
      </c>
      <c r="BP16">
        <v>30</v>
      </c>
      <c r="BW16">
        <v>45</v>
      </c>
      <c r="CV16">
        <v>45</v>
      </c>
      <c r="EI16">
        <v>15</v>
      </c>
    </row>
    <row r="17" spans="1:143">
      <c r="A17" t="s">
        <v>2593</v>
      </c>
      <c r="B17" t="s">
        <v>1723</v>
      </c>
      <c r="C17" t="s">
        <v>1746</v>
      </c>
      <c r="D17" t="str">
        <f>_xlfn.XLOOKUP(tblCollections[[#This Row],[CollectionID]],tblTargets[TargetID],tblTargets[DisplayName],"")</f>
        <v>Gallery 1 Lv 4</v>
      </c>
      <c r="E17" t="b">
        <v>1</v>
      </c>
      <c r="F17">
        <v>4</v>
      </c>
      <c r="I17" t="s">
        <v>1668</v>
      </c>
      <c r="J17" t="s">
        <v>3234</v>
      </c>
      <c r="K17" s="2" t="s">
        <v>1865</v>
      </c>
      <c r="L17" s="2">
        <f>IF(tblCollections[[#This Row],[costtext]]="", 0, LEN(tblCollections[[#This Row],[costtext]]) - LEN(SUBSTITUTE(tblCollections[[#This Row],[costtext]], ",", "")) + 1)</f>
        <v>6</v>
      </c>
      <c r="M17" s="2">
        <f>COUNTA(tblCollections[[#This Row],[apy]:[wood]])</f>
        <v>6</v>
      </c>
      <c r="N17">
        <v>20</v>
      </c>
      <c r="AJ17">
        <v>40</v>
      </c>
      <c r="BP17">
        <v>40</v>
      </c>
      <c r="BW17">
        <v>60</v>
      </c>
      <c r="CV17">
        <v>60</v>
      </c>
      <c r="EI17">
        <v>20</v>
      </c>
    </row>
    <row r="18" spans="1:143">
      <c r="A18" t="s">
        <v>2594</v>
      </c>
      <c r="B18" t="s">
        <v>1723</v>
      </c>
      <c r="C18" t="s">
        <v>1746</v>
      </c>
      <c r="D18" t="str">
        <f>_xlfn.XLOOKUP(tblCollections[[#This Row],[CollectionID]],tblTargets[TargetID],tblTargets[DisplayName],"")</f>
        <v>Gallery 1 Lv 5</v>
      </c>
      <c r="E18" t="b">
        <v>1</v>
      </c>
      <c r="F18">
        <v>5</v>
      </c>
      <c r="I18" t="s">
        <v>1668</v>
      </c>
      <c r="J18" t="s">
        <v>3235</v>
      </c>
      <c r="K18" s="2" t="s">
        <v>1866</v>
      </c>
      <c r="L18" s="2">
        <f>IF(tblCollections[[#This Row],[costtext]]="", 0, LEN(tblCollections[[#This Row],[costtext]]) - LEN(SUBSTITUTE(tblCollections[[#This Row],[costtext]], ",", "")) + 1)</f>
        <v>6</v>
      </c>
      <c r="M18" s="2">
        <f>COUNTA(tblCollections[[#This Row],[apy]:[wood]])</f>
        <v>6</v>
      </c>
      <c r="N18">
        <v>25</v>
      </c>
      <c r="AJ18">
        <v>50</v>
      </c>
      <c r="BP18">
        <v>50</v>
      </c>
      <c r="BW18">
        <v>75</v>
      </c>
      <c r="CV18">
        <v>75</v>
      </c>
      <c r="EI18">
        <v>25</v>
      </c>
    </row>
    <row r="19" spans="1:143">
      <c r="A19" t="s">
        <v>2595</v>
      </c>
      <c r="B19" t="s">
        <v>1724</v>
      </c>
      <c r="C19" t="s">
        <v>1747</v>
      </c>
      <c r="D19" t="str">
        <f>_xlfn.XLOOKUP(tblCollections[[#This Row],[CollectionID]],tblTargets[TargetID],tblTargets[DisplayName],"")</f>
        <v>Gallery 2 Lv 1</v>
      </c>
      <c r="E19" t="b">
        <v>1</v>
      </c>
      <c r="F19">
        <v>1</v>
      </c>
      <c r="I19" t="s">
        <v>1668</v>
      </c>
      <c r="J19" t="s">
        <v>1773</v>
      </c>
      <c r="K19" s="2" t="s">
        <v>1867</v>
      </c>
      <c r="L19" s="2">
        <f>IF(tblCollections[[#This Row],[costtext]]="", 0, LEN(tblCollections[[#This Row],[costtext]]) - LEN(SUBSTITUTE(tblCollections[[#This Row],[costtext]], ",", "")) + 1)</f>
        <v>3</v>
      </c>
      <c r="M19" s="2">
        <f>COUNTA(tblCollections[[#This Row],[apy]:[wood]])</f>
        <v>3</v>
      </c>
      <c r="BH19">
        <v>3</v>
      </c>
      <c r="BJ19">
        <v>1</v>
      </c>
      <c r="EF19">
        <v>3</v>
      </c>
    </row>
    <row r="20" spans="1:143">
      <c r="A20" t="s">
        <v>2596</v>
      </c>
      <c r="B20" t="s">
        <v>1724</v>
      </c>
      <c r="C20" t="s">
        <v>1747</v>
      </c>
      <c r="D20" t="str">
        <f>_xlfn.XLOOKUP(tblCollections[[#This Row],[CollectionID]],tblTargets[TargetID],tblTargets[DisplayName],"")</f>
        <v>Gallery 2 Lv 2</v>
      </c>
      <c r="E20" t="b">
        <v>1</v>
      </c>
      <c r="F20">
        <v>2</v>
      </c>
      <c r="I20" t="s">
        <v>1668</v>
      </c>
      <c r="J20" t="s">
        <v>3236</v>
      </c>
      <c r="K20" s="2" t="s">
        <v>1868</v>
      </c>
      <c r="L20" s="2">
        <f>IF(tblCollections[[#This Row],[costtext]]="", 0, LEN(tblCollections[[#This Row],[costtext]]) - LEN(SUBSTITUTE(tblCollections[[#This Row],[costtext]], ",", "")) + 1)</f>
        <v>3</v>
      </c>
      <c r="M20" s="2">
        <f>COUNTA(tblCollections[[#This Row],[apy]:[wood]])</f>
        <v>3</v>
      </c>
      <c r="BH20">
        <v>6</v>
      </c>
      <c r="BJ20">
        <v>2</v>
      </c>
      <c r="EF20">
        <v>6</v>
      </c>
    </row>
    <row r="21" spans="1:143">
      <c r="A21" t="s">
        <v>2597</v>
      </c>
      <c r="B21" t="s">
        <v>1724</v>
      </c>
      <c r="C21" t="s">
        <v>1747</v>
      </c>
      <c r="D21" t="str">
        <f>_xlfn.XLOOKUP(tblCollections[[#This Row],[CollectionID]],tblTargets[TargetID],tblTargets[DisplayName],"")</f>
        <v>Gallery 2 Lv 3</v>
      </c>
      <c r="E21" t="b">
        <v>1</v>
      </c>
      <c r="F21">
        <v>3</v>
      </c>
      <c r="I21" t="s">
        <v>1668</v>
      </c>
      <c r="J21" t="s">
        <v>3237</v>
      </c>
      <c r="K21" s="2" t="s">
        <v>1869</v>
      </c>
      <c r="L21" s="2">
        <f>IF(tblCollections[[#This Row],[costtext]]="", 0, LEN(tblCollections[[#This Row],[costtext]]) - LEN(SUBSTITUTE(tblCollections[[#This Row],[costtext]], ",", "")) + 1)</f>
        <v>3</v>
      </c>
      <c r="M21" s="2">
        <f>COUNTA(tblCollections[[#This Row],[apy]:[wood]])</f>
        <v>3</v>
      </c>
      <c r="BH21">
        <v>9</v>
      </c>
      <c r="BJ21">
        <v>3</v>
      </c>
      <c r="EF21">
        <v>9</v>
      </c>
    </row>
    <row r="22" spans="1:143">
      <c r="A22" t="s">
        <v>2598</v>
      </c>
      <c r="B22" t="s">
        <v>1724</v>
      </c>
      <c r="C22" t="s">
        <v>1747</v>
      </c>
      <c r="D22" t="str">
        <f>_xlfn.XLOOKUP(tblCollections[[#This Row],[CollectionID]],tblTargets[TargetID],tblTargets[DisplayName],"")</f>
        <v>Gallery 2 Lv 4</v>
      </c>
      <c r="E22" t="b">
        <v>1</v>
      </c>
      <c r="F22">
        <v>4</v>
      </c>
      <c r="I22" t="s">
        <v>1668</v>
      </c>
      <c r="J22" t="s">
        <v>3238</v>
      </c>
      <c r="K22" s="2" t="s">
        <v>1870</v>
      </c>
      <c r="L22" s="2">
        <f>IF(tblCollections[[#This Row],[costtext]]="", 0, LEN(tblCollections[[#This Row],[costtext]]) - LEN(SUBSTITUTE(tblCollections[[#This Row],[costtext]], ",", "")) + 1)</f>
        <v>3</v>
      </c>
      <c r="M22" s="2">
        <f>COUNTA(tblCollections[[#This Row],[apy]:[wood]])</f>
        <v>3</v>
      </c>
      <c r="BH22">
        <v>12</v>
      </c>
      <c r="BJ22">
        <v>4</v>
      </c>
      <c r="EF22">
        <v>12</v>
      </c>
    </row>
    <row r="23" spans="1:143">
      <c r="A23" t="s">
        <v>2599</v>
      </c>
      <c r="B23" t="s">
        <v>1724</v>
      </c>
      <c r="C23" t="s">
        <v>1747</v>
      </c>
      <c r="D23" t="str">
        <f>_xlfn.XLOOKUP(tblCollections[[#This Row],[CollectionID]],tblTargets[TargetID],tblTargets[DisplayName],"")</f>
        <v>Gallery 2 Lv 5</v>
      </c>
      <c r="E23" t="b">
        <v>1</v>
      </c>
      <c r="F23">
        <v>5</v>
      </c>
      <c r="I23" t="s">
        <v>1668</v>
      </c>
      <c r="J23" t="s">
        <v>3239</v>
      </c>
      <c r="K23" s="2" t="s">
        <v>1871</v>
      </c>
      <c r="L23" s="2">
        <f>IF(tblCollections[[#This Row],[costtext]]="", 0, LEN(tblCollections[[#This Row],[costtext]]) - LEN(SUBSTITUTE(tblCollections[[#This Row],[costtext]], ",", "")) + 1)</f>
        <v>3</v>
      </c>
      <c r="M23" s="2">
        <f>COUNTA(tblCollections[[#This Row],[apy]:[wood]])</f>
        <v>3</v>
      </c>
      <c r="BH23">
        <v>15</v>
      </c>
      <c r="BJ23">
        <v>5</v>
      </c>
      <c r="EF23">
        <v>15</v>
      </c>
    </row>
    <row r="24" spans="1:143">
      <c r="A24" t="s">
        <v>2600</v>
      </c>
      <c r="B24" t="s">
        <v>1725</v>
      </c>
      <c r="C24" t="s">
        <v>1748</v>
      </c>
      <c r="D24" t="str">
        <f>_xlfn.XLOOKUP(tblCollections[[#This Row],[CollectionID]],tblTargets[TargetID],tblTargets[DisplayName],"")</f>
        <v>Gallery 3 Lv 1</v>
      </c>
      <c r="E24" t="b">
        <v>1</v>
      </c>
      <c r="F24">
        <v>1</v>
      </c>
      <c r="I24" t="s">
        <v>1764</v>
      </c>
      <c r="J24" t="s">
        <v>1774</v>
      </c>
      <c r="K24" s="2" t="s">
        <v>1872</v>
      </c>
      <c r="L24" s="2">
        <f>IF(tblCollections[[#This Row],[costtext]]="", 0, LEN(tblCollections[[#This Row],[costtext]]) - LEN(SUBSTITUTE(tblCollections[[#This Row],[costtext]], ",", "")) + 1)</f>
        <v>5</v>
      </c>
      <c r="M24" s="2">
        <f>COUNTA(tblCollections[[#This Row],[apy]:[wood]])</f>
        <v>5</v>
      </c>
      <c r="Y24">
        <v>5</v>
      </c>
      <c r="BB24">
        <v>5</v>
      </c>
      <c r="CT24">
        <v>5</v>
      </c>
      <c r="CW24">
        <v>5</v>
      </c>
      <c r="EM24">
        <v>5</v>
      </c>
    </row>
    <row r="25" spans="1:143">
      <c r="A25" t="s">
        <v>2601</v>
      </c>
      <c r="B25" t="s">
        <v>1725</v>
      </c>
      <c r="C25" t="s">
        <v>1748</v>
      </c>
      <c r="D25" t="str">
        <f>_xlfn.XLOOKUP(tblCollections[[#This Row],[CollectionID]],tblTargets[TargetID],tblTargets[DisplayName],"")</f>
        <v>Gallery 3 Lv 2</v>
      </c>
      <c r="E25" t="b">
        <v>1</v>
      </c>
      <c r="F25">
        <v>2</v>
      </c>
      <c r="I25" t="s">
        <v>1668</v>
      </c>
      <c r="J25" t="s">
        <v>3240</v>
      </c>
      <c r="K25" s="2" t="s">
        <v>1873</v>
      </c>
      <c r="L25" s="2">
        <f>IF(tblCollections[[#This Row],[costtext]]="", 0, LEN(tblCollections[[#This Row],[costtext]]) - LEN(SUBSTITUTE(tblCollections[[#This Row],[costtext]], ",", "")) + 1)</f>
        <v>5</v>
      </c>
      <c r="M25" s="2">
        <f>COUNTA(tblCollections[[#This Row],[apy]:[wood]])</f>
        <v>5</v>
      </c>
      <c r="Y25">
        <v>10</v>
      </c>
      <c r="BB25">
        <v>10</v>
      </c>
      <c r="CT25">
        <v>10</v>
      </c>
      <c r="CW25">
        <v>10</v>
      </c>
      <c r="EM25">
        <v>10</v>
      </c>
    </row>
    <row r="26" spans="1:143">
      <c r="A26" t="s">
        <v>2602</v>
      </c>
      <c r="B26" t="s">
        <v>1725</v>
      </c>
      <c r="C26" t="s">
        <v>1748</v>
      </c>
      <c r="D26" t="str">
        <f>_xlfn.XLOOKUP(tblCollections[[#This Row],[CollectionID]],tblTargets[TargetID],tblTargets[DisplayName],"")</f>
        <v>Gallery 3 Lv 3</v>
      </c>
      <c r="E26" t="b">
        <v>1</v>
      </c>
      <c r="F26">
        <v>3</v>
      </c>
      <c r="I26" t="s">
        <v>1668</v>
      </c>
      <c r="J26" t="s">
        <v>3241</v>
      </c>
      <c r="K26" s="2" t="s">
        <v>1874</v>
      </c>
      <c r="L26" s="2">
        <f>IF(tblCollections[[#This Row],[costtext]]="", 0, LEN(tblCollections[[#This Row],[costtext]]) - LEN(SUBSTITUTE(tblCollections[[#This Row],[costtext]], ",", "")) + 1)</f>
        <v>5</v>
      </c>
      <c r="M26" s="2">
        <f>COUNTA(tblCollections[[#This Row],[apy]:[wood]])</f>
        <v>5</v>
      </c>
      <c r="Y26">
        <v>15</v>
      </c>
      <c r="BB26">
        <v>15</v>
      </c>
      <c r="CT26">
        <v>15</v>
      </c>
      <c r="CW26">
        <v>15</v>
      </c>
      <c r="EM26">
        <v>15</v>
      </c>
    </row>
    <row r="27" spans="1:143">
      <c r="A27" t="s">
        <v>2603</v>
      </c>
      <c r="B27" t="s">
        <v>1725</v>
      </c>
      <c r="C27" t="s">
        <v>1748</v>
      </c>
      <c r="D27" t="str">
        <f>_xlfn.XLOOKUP(tblCollections[[#This Row],[CollectionID]],tblTargets[TargetID],tblTargets[DisplayName],"")</f>
        <v>Gallery 3 Lv 4</v>
      </c>
      <c r="E27" t="b">
        <v>1</v>
      </c>
      <c r="F27">
        <v>4</v>
      </c>
      <c r="I27" t="s">
        <v>1668</v>
      </c>
      <c r="J27" t="s">
        <v>3242</v>
      </c>
      <c r="K27" s="2" t="s">
        <v>1875</v>
      </c>
      <c r="L27" s="2">
        <f>IF(tblCollections[[#This Row],[costtext]]="", 0, LEN(tblCollections[[#This Row],[costtext]]) - LEN(SUBSTITUTE(tblCollections[[#This Row],[costtext]], ",", "")) + 1)</f>
        <v>5</v>
      </c>
      <c r="M27" s="2">
        <f>COUNTA(tblCollections[[#This Row],[apy]:[wood]])</f>
        <v>5</v>
      </c>
      <c r="Y27">
        <v>20</v>
      </c>
      <c r="BB27">
        <v>20</v>
      </c>
      <c r="CT27">
        <v>20</v>
      </c>
      <c r="CW27">
        <v>20</v>
      </c>
      <c r="EM27">
        <v>20</v>
      </c>
    </row>
    <row r="28" spans="1:143">
      <c r="A28" t="s">
        <v>2604</v>
      </c>
      <c r="B28" t="s">
        <v>1725</v>
      </c>
      <c r="C28" t="s">
        <v>1748</v>
      </c>
      <c r="D28" t="str">
        <f>_xlfn.XLOOKUP(tblCollections[[#This Row],[CollectionID]],tblTargets[TargetID],tblTargets[DisplayName],"")</f>
        <v>Gallery 3 Lv 5</v>
      </c>
      <c r="E28" t="b">
        <v>1</v>
      </c>
      <c r="F28">
        <v>5</v>
      </c>
      <c r="I28" t="s">
        <v>1668</v>
      </c>
      <c r="J28" t="s">
        <v>3243</v>
      </c>
      <c r="K28" s="2" t="s">
        <v>1876</v>
      </c>
      <c r="L28" s="2">
        <f>IF(tblCollections[[#This Row],[costtext]]="", 0, LEN(tblCollections[[#This Row],[costtext]]) - LEN(SUBSTITUTE(tblCollections[[#This Row],[costtext]], ",", "")) + 1)</f>
        <v>5</v>
      </c>
      <c r="M28" s="2">
        <f>COUNTA(tblCollections[[#This Row],[apy]:[wood]])</f>
        <v>5</v>
      </c>
      <c r="Y28">
        <v>25</v>
      </c>
      <c r="BB28">
        <v>25</v>
      </c>
      <c r="CT28">
        <v>25</v>
      </c>
      <c r="CW28">
        <v>25</v>
      </c>
      <c r="EM28">
        <v>25</v>
      </c>
    </row>
    <row r="29" spans="1:143">
      <c r="A29" t="s">
        <v>2605</v>
      </c>
      <c r="B29" t="s">
        <v>1726</v>
      </c>
      <c r="C29" t="s">
        <v>1749</v>
      </c>
      <c r="D29" t="str">
        <f>_xlfn.XLOOKUP(tblCollections[[#This Row],[CollectionID]],tblTargets[TargetID],tblTargets[DisplayName],"")</f>
        <v>Historical Library 1 Lv 1</v>
      </c>
      <c r="E29" t="b">
        <v>1</v>
      </c>
      <c r="F29">
        <v>1</v>
      </c>
      <c r="I29" t="s">
        <v>1765</v>
      </c>
      <c r="J29" t="s">
        <v>1775</v>
      </c>
      <c r="K29" s="2" t="s">
        <v>1877</v>
      </c>
      <c r="L29" s="2">
        <f>IF(tblCollections[[#This Row],[costtext]]="", 0, LEN(tblCollections[[#This Row],[costtext]]) - LEN(SUBSTITUTE(tblCollections[[#This Row],[costtext]], ",", "")) + 1)</f>
        <v>4</v>
      </c>
      <c r="M29" s="2">
        <f>COUNTA(tblCollections[[#This Row],[apy]:[wood]])</f>
        <v>4</v>
      </c>
      <c r="Z29">
        <v>20</v>
      </c>
      <c r="BC29">
        <v>10</v>
      </c>
      <c r="CF29">
        <v>30</v>
      </c>
      <c r="DH29">
        <v>1</v>
      </c>
    </row>
    <row r="30" spans="1:143">
      <c r="A30" t="s">
        <v>2606</v>
      </c>
      <c r="B30" t="s">
        <v>1726</v>
      </c>
      <c r="C30" t="s">
        <v>1749</v>
      </c>
      <c r="D30" t="str">
        <f>_xlfn.XLOOKUP(tblCollections[[#This Row],[CollectionID]],tblTargets[TargetID],tblTargets[DisplayName],"")</f>
        <v>Historical Library 1 Lv 2</v>
      </c>
      <c r="E30" t="b">
        <v>1</v>
      </c>
      <c r="F30">
        <v>2</v>
      </c>
      <c r="I30" t="s">
        <v>1669</v>
      </c>
      <c r="J30" t="s">
        <v>3244</v>
      </c>
      <c r="K30" s="2" t="s">
        <v>1878</v>
      </c>
      <c r="L30" s="2">
        <f>IF(tblCollections[[#This Row],[costtext]]="", 0, LEN(tblCollections[[#This Row],[costtext]]) - LEN(SUBSTITUTE(tblCollections[[#This Row],[costtext]], ",", "")) + 1)</f>
        <v>4</v>
      </c>
      <c r="M30" s="2">
        <f>COUNTA(tblCollections[[#This Row],[apy]:[wood]])</f>
        <v>4</v>
      </c>
      <c r="Z30">
        <v>40</v>
      </c>
      <c r="BC30">
        <v>20</v>
      </c>
      <c r="CF30">
        <v>60</v>
      </c>
      <c r="DH30">
        <v>2</v>
      </c>
    </row>
    <row r="31" spans="1:143">
      <c r="A31" t="s">
        <v>2607</v>
      </c>
      <c r="B31" t="s">
        <v>1726</v>
      </c>
      <c r="C31" t="s">
        <v>1749</v>
      </c>
      <c r="D31" t="str">
        <f>_xlfn.XLOOKUP(tblCollections[[#This Row],[CollectionID]],tblTargets[TargetID],tblTargets[DisplayName],"")</f>
        <v>Historical Library 1 Lv 3</v>
      </c>
      <c r="E31" t="b">
        <v>1</v>
      </c>
      <c r="F31">
        <v>3</v>
      </c>
      <c r="I31" t="s">
        <v>1669</v>
      </c>
      <c r="J31" t="s">
        <v>3245</v>
      </c>
      <c r="K31" s="2" t="s">
        <v>1879</v>
      </c>
      <c r="L31" s="2">
        <f>IF(tblCollections[[#This Row],[costtext]]="", 0, LEN(tblCollections[[#This Row],[costtext]]) - LEN(SUBSTITUTE(tblCollections[[#This Row],[costtext]], ",", "")) + 1)</f>
        <v>4</v>
      </c>
      <c r="M31" s="2">
        <f>COUNTA(tblCollections[[#This Row],[apy]:[wood]])</f>
        <v>4</v>
      </c>
      <c r="Z31">
        <v>60</v>
      </c>
      <c r="BC31">
        <v>30</v>
      </c>
      <c r="CF31">
        <v>90</v>
      </c>
      <c r="DH31">
        <v>3</v>
      </c>
    </row>
    <row r="32" spans="1:143">
      <c r="A32" t="s">
        <v>2608</v>
      </c>
      <c r="B32" t="s">
        <v>1727</v>
      </c>
      <c r="C32" t="s">
        <v>1750</v>
      </c>
      <c r="D32" t="str">
        <f>_xlfn.XLOOKUP(tblCollections[[#This Row],[CollectionID]],tblTargets[TargetID],tblTargets[DisplayName],"")</f>
        <v>Historical Library 2 Lv 1</v>
      </c>
      <c r="E32" t="b">
        <v>1</v>
      </c>
      <c r="F32">
        <v>1</v>
      </c>
      <c r="I32" t="s">
        <v>1669</v>
      </c>
      <c r="J32" t="s">
        <v>1776</v>
      </c>
      <c r="K32" s="2" t="s">
        <v>1880</v>
      </c>
      <c r="L32" s="2">
        <f>IF(tblCollections[[#This Row],[costtext]]="", 0, LEN(tblCollections[[#This Row],[costtext]]) - LEN(SUBSTITUTE(tblCollections[[#This Row],[costtext]], ",", "")) + 1)</f>
        <v>3</v>
      </c>
      <c r="M32" s="2">
        <f>COUNTA(tblCollections[[#This Row],[apy]:[wood]])</f>
        <v>3</v>
      </c>
      <c r="BQ32">
        <v>20</v>
      </c>
      <c r="BR32">
        <v>10</v>
      </c>
      <c r="BS32">
        <v>5</v>
      </c>
    </row>
    <row r="33" spans="1:141">
      <c r="A33" t="s">
        <v>2609</v>
      </c>
      <c r="B33" t="s">
        <v>1727</v>
      </c>
      <c r="C33" t="s">
        <v>1750</v>
      </c>
      <c r="D33" t="str">
        <f>_xlfn.XLOOKUP(tblCollections[[#This Row],[CollectionID]],tblTargets[TargetID],tblTargets[DisplayName],"")</f>
        <v>Historical Library 2 Lv 2</v>
      </c>
      <c r="E33" t="b">
        <v>1</v>
      </c>
      <c r="F33">
        <v>2</v>
      </c>
      <c r="I33" t="s">
        <v>1669</v>
      </c>
      <c r="J33" t="s">
        <v>3246</v>
      </c>
      <c r="K33" s="2" t="s">
        <v>1881</v>
      </c>
      <c r="L33" s="2">
        <f>IF(tblCollections[[#This Row],[costtext]]="", 0, LEN(tblCollections[[#This Row],[costtext]]) - LEN(SUBSTITUTE(tblCollections[[#This Row],[costtext]], ",", "")) + 1)</f>
        <v>3</v>
      </c>
      <c r="M33" s="2">
        <f>COUNTA(tblCollections[[#This Row],[apy]:[wood]])</f>
        <v>3</v>
      </c>
      <c r="BQ33">
        <v>40</v>
      </c>
      <c r="BR33">
        <v>20</v>
      </c>
      <c r="BS33">
        <v>10</v>
      </c>
    </row>
    <row r="34" spans="1:141">
      <c r="A34" t="s">
        <v>2610</v>
      </c>
      <c r="B34" t="s">
        <v>1727</v>
      </c>
      <c r="C34" t="s">
        <v>1750</v>
      </c>
      <c r="D34" t="str">
        <f>_xlfn.XLOOKUP(tblCollections[[#This Row],[CollectionID]],tblTargets[TargetID],tblTargets[DisplayName],"")</f>
        <v>Historical Library 2 Lv 3</v>
      </c>
      <c r="E34" t="b">
        <v>1</v>
      </c>
      <c r="F34">
        <v>3</v>
      </c>
      <c r="I34" t="s">
        <v>1669</v>
      </c>
      <c r="J34" t="s">
        <v>3247</v>
      </c>
      <c r="K34" s="2" t="s">
        <v>1882</v>
      </c>
      <c r="L34" s="2">
        <f>IF(tblCollections[[#This Row],[costtext]]="", 0, LEN(tblCollections[[#This Row],[costtext]]) - LEN(SUBSTITUTE(tblCollections[[#This Row],[costtext]], ",", "")) + 1)</f>
        <v>3</v>
      </c>
      <c r="M34" s="2">
        <f>COUNTA(tblCollections[[#This Row],[apy]:[wood]])</f>
        <v>3</v>
      </c>
      <c r="BQ34">
        <v>60</v>
      </c>
      <c r="BR34">
        <v>30</v>
      </c>
      <c r="BS34">
        <v>15</v>
      </c>
    </row>
    <row r="35" spans="1:141">
      <c r="A35" t="s">
        <v>2611</v>
      </c>
      <c r="B35" t="s">
        <v>1728</v>
      </c>
      <c r="C35" t="s">
        <v>1751</v>
      </c>
      <c r="D35" t="str">
        <f>_xlfn.XLOOKUP(tblCollections[[#This Row],[CollectionID]],tblTargets[TargetID],tblTargets[DisplayName],"")</f>
        <v>Horse Lv 1</v>
      </c>
      <c r="E35" t="b">
        <v>1</v>
      </c>
      <c r="F35">
        <v>1</v>
      </c>
      <c r="I35" t="s">
        <v>1766</v>
      </c>
      <c r="J35" t="s">
        <v>1777</v>
      </c>
      <c r="K35" s="2" t="s">
        <v>1883</v>
      </c>
      <c r="L35" s="2">
        <f>IF(tblCollections[[#This Row],[costtext]]="", 0, LEN(tblCollections[[#This Row],[costtext]]) - LEN(SUBSTITUTE(tblCollections[[#This Row],[costtext]], ",", "")) + 1)</f>
        <v>1</v>
      </c>
      <c r="M35" s="2">
        <f>COUNTA(tblCollections[[#This Row],[apy]:[wood]])</f>
        <v>1</v>
      </c>
      <c r="AK35">
        <v>3000</v>
      </c>
    </row>
    <row r="36" spans="1:141" ht="29">
      <c r="A36" t="s">
        <v>2612</v>
      </c>
      <c r="B36" t="s">
        <v>1729</v>
      </c>
      <c r="C36" t="s">
        <v>1752</v>
      </c>
      <c r="D36" t="str">
        <f>_xlfn.XLOOKUP(tblCollections[[#This Row],[CollectionID]],tblTargets[TargetID],tblTargets[DisplayName],"")</f>
        <v>Kitchen And Buttery 1 Lv 1</v>
      </c>
      <c r="E36" t="b">
        <v>1</v>
      </c>
      <c r="F36">
        <v>1</v>
      </c>
      <c r="I36" t="s">
        <v>1670</v>
      </c>
      <c r="J36" t="s">
        <v>1778</v>
      </c>
      <c r="K36" s="2" t="s">
        <v>1884</v>
      </c>
      <c r="L36" s="2">
        <f>IF(tblCollections[[#This Row],[costtext]]="", 0, LEN(tblCollections[[#This Row],[costtext]]) - LEN(SUBSTITUTE(tblCollections[[#This Row],[costtext]], ",", "")) + 1)</f>
        <v>12</v>
      </c>
      <c r="M36" s="2">
        <f>COUNTA(tblCollections[[#This Row],[apy]:[wood]])</f>
        <v>12</v>
      </c>
      <c r="BI36">
        <v>10</v>
      </c>
      <c r="BM36">
        <v>10</v>
      </c>
      <c r="CE36">
        <v>15</v>
      </c>
      <c r="CJ36">
        <v>50</v>
      </c>
      <c r="CK36">
        <v>50</v>
      </c>
      <c r="CL36">
        <v>50</v>
      </c>
      <c r="CM36">
        <v>50</v>
      </c>
      <c r="CN36">
        <v>50</v>
      </c>
      <c r="CO36">
        <v>50</v>
      </c>
      <c r="CP36">
        <v>50</v>
      </c>
      <c r="CQ36">
        <v>50</v>
      </c>
      <c r="DQ36">
        <v>15</v>
      </c>
    </row>
    <row r="37" spans="1:141" ht="29">
      <c r="A37" t="s">
        <v>2613</v>
      </c>
      <c r="B37" t="s">
        <v>1729</v>
      </c>
      <c r="C37" t="s">
        <v>1752</v>
      </c>
      <c r="D37" t="str">
        <f>_xlfn.XLOOKUP(tblCollections[[#This Row],[CollectionID]],tblTargets[TargetID],tblTargets[DisplayName],"")</f>
        <v>Kitchen And Buttery 1 Lv 2</v>
      </c>
      <c r="E37" t="b">
        <v>1</v>
      </c>
      <c r="F37">
        <v>2</v>
      </c>
      <c r="I37" t="s">
        <v>1670</v>
      </c>
      <c r="J37" t="s">
        <v>3248</v>
      </c>
      <c r="K37" s="2" t="s">
        <v>1885</v>
      </c>
      <c r="L37" s="2">
        <f>IF(tblCollections[[#This Row],[costtext]]="", 0, LEN(tblCollections[[#This Row],[costtext]]) - LEN(SUBSTITUTE(tblCollections[[#This Row],[costtext]], ",", "")) + 1)</f>
        <v>12</v>
      </c>
      <c r="M37" s="2">
        <f>COUNTA(tblCollections[[#This Row],[apy]:[wood]])</f>
        <v>12</v>
      </c>
      <c r="BI37">
        <v>20</v>
      </c>
      <c r="BM37">
        <v>20</v>
      </c>
      <c r="CE37">
        <v>30</v>
      </c>
      <c r="CJ37">
        <v>100</v>
      </c>
      <c r="CK37">
        <v>100</v>
      </c>
      <c r="CL37">
        <v>100</v>
      </c>
      <c r="CM37">
        <v>100</v>
      </c>
      <c r="CN37">
        <v>100</v>
      </c>
      <c r="CO37">
        <v>100</v>
      </c>
      <c r="CP37">
        <v>100</v>
      </c>
      <c r="CQ37">
        <v>100</v>
      </c>
      <c r="DQ37">
        <v>30</v>
      </c>
    </row>
    <row r="38" spans="1:141" ht="29">
      <c r="A38" t="s">
        <v>2614</v>
      </c>
      <c r="B38" t="s">
        <v>1729</v>
      </c>
      <c r="C38" t="s">
        <v>1752</v>
      </c>
      <c r="D38" t="str">
        <f>_xlfn.XLOOKUP(tblCollections[[#This Row],[CollectionID]],tblTargets[TargetID],tblTargets[DisplayName],"")</f>
        <v>Kitchen And Buttery 1 Lv 3</v>
      </c>
      <c r="E38" t="b">
        <v>1</v>
      </c>
      <c r="F38">
        <v>3</v>
      </c>
      <c r="I38" t="s">
        <v>1670</v>
      </c>
      <c r="J38" t="s">
        <v>3249</v>
      </c>
      <c r="K38" s="2" t="s">
        <v>1886</v>
      </c>
      <c r="L38" s="2">
        <f>IF(tblCollections[[#This Row],[costtext]]="", 0, LEN(tblCollections[[#This Row],[costtext]]) - LEN(SUBSTITUTE(tblCollections[[#This Row],[costtext]], ",", "")) + 1)</f>
        <v>12</v>
      </c>
      <c r="M38" s="2">
        <f>COUNTA(tblCollections[[#This Row],[apy]:[wood]])</f>
        <v>12</v>
      </c>
      <c r="BI38">
        <v>30</v>
      </c>
      <c r="BM38">
        <v>30</v>
      </c>
      <c r="CE38">
        <v>45</v>
      </c>
      <c r="CJ38">
        <v>150</v>
      </c>
      <c r="CK38">
        <v>150</v>
      </c>
      <c r="CL38">
        <v>150</v>
      </c>
      <c r="CM38">
        <v>150</v>
      </c>
      <c r="CN38">
        <v>150</v>
      </c>
      <c r="CO38">
        <v>150</v>
      </c>
      <c r="CP38">
        <v>150</v>
      </c>
      <c r="CQ38">
        <v>150</v>
      </c>
      <c r="DQ38">
        <v>45</v>
      </c>
    </row>
    <row r="39" spans="1:141" ht="29">
      <c r="A39" t="s">
        <v>2615</v>
      </c>
      <c r="B39" t="s">
        <v>1729</v>
      </c>
      <c r="C39" t="s">
        <v>1752</v>
      </c>
      <c r="D39" t="str">
        <f>_xlfn.XLOOKUP(tblCollections[[#This Row],[CollectionID]],tblTargets[TargetID],tblTargets[DisplayName],"")</f>
        <v>Kitchen And Buttery 1 Lv 4</v>
      </c>
      <c r="E39" t="b">
        <v>1</v>
      </c>
      <c r="F39">
        <v>4</v>
      </c>
      <c r="I39" t="s">
        <v>1670</v>
      </c>
      <c r="J39" t="s">
        <v>3250</v>
      </c>
      <c r="K39" s="2" t="s">
        <v>1887</v>
      </c>
      <c r="L39" s="2">
        <f>IF(tblCollections[[#This Row],[costtext]]="", 0, LEN(tblCollections[[#This Row],[costtext]]) - LEN(SUBSTITUTE(tblCollections[[#This Row],[costtext]], ",", "")) + 1)</f>
        <v>12</v>
      </c>
      <c r="M39" s="2">
        <f>COUNTA(tblCollections[[#This Row],[apy]:[wood]])</f>
        <v>12</v>
      </c>
      <c r="BI39">
        <v>40</v>
      </c>
      <c r="BM39">
        <v>40</v>
      </c>
      <c r="CE39">
        <v>60</v>
      </c>
      <c r="CJ39">
        <v>200</v>
      </c>
      <c r="CK39">
        <v>200</v>
      </c>
      <c r="CL39">
        <v>200</v>
      </c>
      <c r="CM39">
        <v>200</v>
      </c>
      <c r="CN39">
        <v>200</v>
      </c>
      <c r="CO39">
        <v>200</v>
      </c>
      <c r="CP39">
        <v>200</v>
      </c>
      <c r="CQ39">
        <v>200</v>
      </c>
      <c r="DQ39">
        <v>60</v>
      </c>
    </row>
    <row r="40" spans="1:141" ht="29">
      <c r="A40" t="s">
        <v>2616</v>
      </c>
      <c r="B40" t="s">
        <v>1729</v>
      </c>
      <c r="C40" t="s">
        <v>1752</v>
      </c>
      <c r="D40" t="str">
        <f>_xlfn.XLOOKUP(tblCollections[[#This Row],[CollectionID]],tblTargets[TargetID],tblTargets[DisplayName],"")</f>
        <v>Kitchen And Buttery 1 Lv 5</v>
      </c>
      <c r="E40" t="b">
        <v>1</v>
      </c>
      <c r="F40">
        <v>5</v>
      </c>
      <c r="I40" t="s">
        <v>1670</v>
      </c>
      <c r="J40" t="s">
        <v>3251</v>
      </c>
      <c r="K40" s="2" t="s">
        <v>1888</v>
      </c>
      <c r="L40" s="2">
        <f>IF(tblCollections[[#This Row],[costtext]]="", 0, LEN(tblCollections[[#This Row],[costtext]]) - LEN(SUBSTITUTE(tblCollections[[#This Row],[costtext]], ",", "")) + 1)</f>
        <v>12</v>
      </c>
      <c r="M40" s="2">
        <f>COUNTA(tblCollections[[#This Row],[apy]:[wood]])</f>
        <v>12</v>
      </c>
      <c r="BI40">
        <v>50</v>
      </c>
      <c r="BM40">
        <v>50</v>
      </c>
      <c r="CE40">
        <v>75</v>
      </c>
      <c r="CJ40">
        <v>250</v>
      </c>
      <c r="CK40">
        <v>250</v>
      </c>
      <c r="CL40">
        <v>250</v>
      </c>
      <c r="CM40">
        <v>250</v>
      </c>
      <c r="CN40">
        <v>250</v>
      </c>
      <c r="CO40">
        <v>250</v>
      </c>
      <c r="CP40">
        <v>250</v>
      </c>
      <c r="CQ40">
        <v>250</v>
      </c>
      <c r="DQ40">
        <v>75</v>
      </c>
    </row>
    <row r="41" spans="1:141">
      <c r="A41" t="s">
        <v>2617</v>
      </c>
      <c r="B41" t="s">
        <v>1730</v>
      </c>
      <c r="C41" t="s">
        <v>1753</v>
      </c>
      <c r="D41" t="str">
        <f>_xlfn.XLOOKUP(tblCollections[[#This Row],[CollectionID]],tblTargets[TargetID],tblTargets[DisplayName],"")</f>
        <v>Kitchen And Buttery 2 Lv 1</v>
      </c>
      <c r="E41" t="b">
        <v>1</v>
      </c>
      <c r="F41">
        <v>1</v>
      </c>
      <c r="I41" t="s">
        <v>1670</v>
      </c>
      <c r="J41" t="s">
        <v>1778</v>
      </c>
      <c r="K41" s="2" t="s">
        <v>1889</v>
      </c>
      <c r="L41" s="2">
        <f>IF(tblCollections[[#This Row],[costtext]]="", 0, LEN(tblCollections[[#This Row],[costtext]]) - LEN(SUBSTITUTE(tblCollections[[#This Row],[costtext]], ",", "")) + 1)</f>
        <v>5</v>
      </c>
      <c r="M41" s="2">
        <f>COUNTA(tblCollections[[#This Row],[apy]:[wood]])</f>
        <v>5</v>
      </c>
      <c r="AB41">
        <v>100</v>
      </c>
      <c r="CE41">
        <v>20</v>
      </c>
      <c r="CJ41">
        <v>100</v>
      </c>
      <c r="CK41">
        <v>100</v>
      </c>
      <c r="CL41">
        <v>200</v>
      </c>
    </row>
    <row r="42" spans="1:141" ht="29">
      <c r="A42" t="s">
        <v>2618</v>
      </c>
      <c r="B42" t="s">
        <v>1731</v>
      </c>
      <c r="C42" t="s">
        <v>1673</v>
      </c>
      <c r="D42" t="str">
        <f>_xlfn.XLOOKUP(tblCollections[[#This Row],[CollectionID]],tblTargets[TargetID],tblTargets[DisplayName],"")</f>
        <v>Mushroom Farm Lv 1</v>
      </c>
      <c r="E42" t="b">
        <v>1</v>
      </c>
      <c r="F42">
        <v>1</v>
      </c>
      <c r="I42" t="s">
        <v>1673</v>
      </c>
      <c r="J42" t="s">
        <v>1779</v>
      </c>
      <c r="K42" s="2" t="s">
        <v>1890</v>
      </c>
      <c r="L42" s="2">
        <f>IF(tblCollections[[#This Row],[costtext]]="", 0, LEN(tblCollections[[#This Row],[costtext]]) - LEN(SUBSTITUTE(tblCollections[[#This Row],[costtext]], ",", "")) + 1)</f>
        <v>6</v>
      </c>
      <c r="M42" s="2">
        <f>COUNTA(tblCollections[[#This Row],[apy]:[wood]])</f>
        <v>6</v>
      </c>
      <c r="BX42">
        <v>10</v>
      </c>
      <c r="BY42">
        <v>10</v>
      </c>
      <c r="BZ42">
        <v>10</v>
      </c>
      <c r="CA42">
        <v>10</v>
      </c>
      <c r="CB42">
        <v>10</v>
      </c>
      <c r="CC42">
        <v>10</v>
      </c>
    </row>
    <row r="43" spans="1:141" ht="29">
      <c r="A43" t="s">
        <v>2619</v>
      </c>
      <c r="B43" t="s">
        <v>1731</v>
      </c>
      <c r="C43" t="s">
        <v>1673</v>
      </c>
      <c r="D43" t="str">
        <f>_xlfn.XLOOKUP(tblCollections[[#This Row],[CollectionID]],tblTargets[TargetID],tblTargets[DisplayName],"")</f>
        <v>Mushroom Farm Lv 2</v>
      </c>
      <c r="E43" t="b">
        <v>1</v>
      </c>
      <c r="F43">
        <v>2</v>
      </c>
      <c r="I43" t="s">
        <v>1673</v>
      </c>
      <c r="J43" t="s">
        <v>3252</v>
      </c>
      <c r="K43" s="2" t="s">
        <v>1891</v>
      </c>
      <c r="L43" s="2">
        <f>IF(tblCollections[[#This Row],[costtext]]="", 0, LEN(tblCollections[[#This Row],[costtext]]) - LEN(SUBSTITUTE(tblCollections[[#This Row],[costtext]], ",", "")) + 1)</f>
        <v>6</v>
      </c>
      <c r="M43" s="2">
        <f>COUNTA(tblCollections[[#This Row],[apy]:[wood]])</f>
        <v>6</v>
      </c>
      <c r="BX43">
        <v>20</v>
      </c>
      <c r="BY43">
        <v>20</v>
      </c>
      <c r="BZ43">
        <v>20</v>
      </c>
      <c r="CA43">
        <v>20</v>
      </c>
      <c r="CB43">
        <v>20</v>
      </c>
      <c r="CC43">
        <v>20</v>
      </c>
    </row>
    <row r="44" spans="1:141">
      <c r="A44" t="s">
        <v>2620</v>
      </c>
      <c r="B44" t="s">
        <v>1732</v>
      </c>
      <c r="C44" t="s">
        <v>1674</v>
      </c>
      <c r="D44" t="str">
        <f>_xlfn.XLOOKUP(tblCollections[[#This Row],[CollectionID]],tblTargets[TargetID],tblTargets[DisplayName],"")</f>
        <v>Orangery Lv 1</v>
      </c>
      <c r="E44" t="b">
        <v>1</v>
      </c>
      <c r="F44">
        <v>1</v>
      </c>
      <c r="I44" t="s">
        <v>1674</v>
      </c>
      <c r="J44" t="s">
        <v>1780</v>
      </c>
      <c r="K44" s="2" t="s">
        <v>1892</v>
      </c>
      <c r="L44" s="2">
        <f>IF(tblCollections[[#This Row],[costtext]]="", 0, LEN(tblCollections[[#This Row],[costtext]]) - LEN(SUBSTITUTE(tblCollections[[#This Row],[costtext]], ",", "")) + 1)</f>
        <v>8</v>
      </c>
      <c r="M44" s="2">
        <f>COUNTA(tblCollections[[#This Row],[apy]:[wood]])</f>
        <v>8</v>
      </c>
      <c r="AD44">
        <v>10</v>
      </c>
      <c r="AE44">
        <v>10</v>
      </c>
      <c r="AF44">
        <v>10</v>
      </c>
      <c r="AG44">
        <v>10</v>
      </c>
      <c r="AH44">
        <v>10</v>
      </c>
      <c r="AI44">
        <v>10</v>
      </c>
      <c r="DU44">
        <v>50</v>
      </c>
      <c r="DV44">
        <v>50</v>
      </c>
    </row>
    <row r="45" spans="1:141" ht="29">
      <c r="A45" t="s">
        <v>2621</v>
      </c>
      <c r="B45" t="s">
        <v>1732</v>
      </c>
      <c r="C45" t="s">
        <v>1674</v>
      </c>
      <c r="D45" t="str">
        <f>_xlfn.XLOOKUP(tblCollections[[#This Row],[CollectionID]],tblTargets[TargetID],tblTargets[DisplayName],"")</f>
        <v>Orangery Lv 2</v>
      </c>
      <c r="E45" t="b">
        <v>1</v>
      </c>
      <c r="F45">
        <v>2</v>
      </c>
      <c r="I45" t="s">
        <v>1674</v>
      </c>
      <c r="J45" t="s">
        <v>3253</v>
      </c>
      <c r="K45" s="2" t="s">
        <v>1893</v>
      </c>
      <c r="L45" s="2">
        <f>IF(tblCollections[[#This Row],[costtext]]="", 0, LEN(tblCollections[[#This Row],[costtext]]) - LEN(SUBSTITUTE(tblCollections[[#This Row],[costtext]], ",", "")) + 1)</f>
        <v>8</v>
      </c>
      <c r="M45" s="2">
        <f>COUNTA(tblCollections[[#This Row],[apy]:[wood]])</f>
        <v>8</v>
      </c>
      <c r="AD45">
        <v>20</v>
      </c>
      <c r="AE45">
        <v>20</v>
      </c>
      <c r="AF45">
        <v>20</v>
      </c>
      <c r="AG45">
        <v>20</v>
      </c>
      <c r="AH45">
        <v>20</v>
      </c>
      <c r="AI45">
        <v>20</v>
      </c>
      <c r="DU45">
        <v>100</v>
      </c>
      <c r="DV45">
        <v>100</v>
      </c>
    </row>
    <row r="46" spans="1:141" ht="29">
      <c r="A46" t="s">
        <v>2622</v>
      </c>
      <c r="B46" t="s">
        <v>1733</v>
      </c>
      <c r="C46" t="s">
        <v>1754</v>
      </c>
      <c r="D46" t="str">
        <f>_xlfn.XLOOKUP(tblCollections[[#This Row],[CollectionID]],tblTargets[TargetID],tblTargets[DisplayName],"")</f>
        <v>Pantry 1 Lv 1</v>
      </c>
      <c r="E46" t="b">
        <v>1</v>
      </c>
      <c r="F46">
        <v>1</v>
      </c>
      <c r="I46" t="s">
        <v>1675</v>
      </c>
      <c r="J46" t="s">
        <v>1781</v>
      </c>
      <c r="K46" s="2" t="s">
        <v>1894</v>
      </c>
      <c r="L46" s="2">
        <f>IF(tblCollections[[#This Row],[costtext]]="", 0, LEN(tblCollections[[#This Row],[costtext]]) - LEN(SUBSTITUTE(tblCollections[[#This Row],[costtext]], ",", "")) + 1)</f>
        <v>12</v>
      </c>
      <c r="M46" s="2">
        <f>COUNTA(tblCollections[[#This Row],[apy]:[wood]])</f>
        <v>12</v>
      </c>
      <c r="T46">
        <v>5</v>
      </c>
      <c r="X46">
        <v>10</v>
      </c>
      <c r="AO46">
        <v>10</v>
      </c>
      <c r="AV46">
        <v>40</v>
      </c>
      <c r="BA46">
        <v>10</v>
      </c>
      <c r="CG46">
        <v>10</v>
      </c>
      <c r="CY46">
        <v>40</v>
      </c>
      <c r="DF46">
        <v>10</v>
      </c>
      <c r="DO46">
        <v>10</v>
      </c>
      <c r="DR46">
        <v>5</v>
      </c>
      <c r="EH46">
        <v>10</v>
      </c>
      <c r="EK46">
        <v>5</v>
      </c>
    </row>
    <row r="47" spans="1:141" ht="29">
      <c r="A47" t="s">
        <v>2623</v>
      </c>
      <c r="B47" t="s">
        <v>1733</v>
      </c>
      <c r="C47" t="s">
        <v>1754</v>
      </c>
      <c r="D47" t="str">
        <f>_xlfn.XLOOKUP(tblCollections[[#This Row],[CollectionID]],tblTargets[TargetID],tblTargets[DisplayName],"")</f>
        <v>Pantry 1 Lv 2</v>
      </c>
      <c r="E47" t="b">
        <v>1</v>
      </c>
      <c r="F47">
        <v>2</v>
      </c>
      <c r="I47" t="s">
        <v>1675</v>
      </c>
      <c r="J47" t="s">
        <v>3254</v>
      </c>
      <c r="K47" s="2" t="s">
        <v>1895</v>
      </c>
      <c r="L47" s="2">
        <f>IF(tblCollections[[#This Row],[costtext]]="", 0, LEN(tblCollections[[#This Row],[costtext]]) - LEN(SUBSTITUTE(tblCollections[[#This Row],[costtext]], ",", "")) + 1)</f>
        <v>12</v>
      </c>
      <c r="M47" s="2">
        <f>COUNTA(tblCollections[[#This Row],[apy]:[wood]])</f>
        <v>12</v>
      </c>
      <c r="T47">
        <v>10</v>
      </c>
      <c r="X47">
        <v>20</v>
      </c>
      <c r="AO47">
        <v>20</v>
      </c>
      <c r="AV47">
        <v>80</v>
      </c>
      <c r="BA47">
        <v>20</v>
      </c>
      <c r="CG47">
        <v>20</v>
      </c>
      <c r="CY47">
        <v>80</v>
      </c>
      <c r="DF47">
        <v>20</v>
      </c>
      <c r="DO47">
        <v>20</v>
      </c>
      <c r="DR47">
        <v>10</v>
      </c>
      <c r="EH47">
        <v>20</v>
      </c>
      <c r="EK47">
        <v>10</v>
      </c>
    </row>
    <row r="48" spans="1:141" ht="29">
      <c r="A48" t="s">
        <v>2624</v>
      </c>
      <c r="B48" t="s">
        <v>1733</v>
      </c>
      <c r="C48" t="s">
        <v>1754</v>
      </c>
      <c r="D48" t="str">
        <f>_xlfn.XLOOKUP(tblCollections[[#This Row],[CollectionID]],tblTargets[TargetID],tblTargets[DisplayName],"")</f>
        <v>Pantry 1 Lv 3</v>
      </c>
      <c r="E48" t="b">
        <v>1</v>
      </c>
      <c r="F48">
        <v>3</v>
      </c>
      <c r="I48" t="s">
        <v>1675</v>
      </c>
      <c r="J48" t="s">
        <v>3255</v>
      </c>
      <c r="K48" s="2" t="s">
        <v>1896</v>
      </c>
      <c r="L48" s="2">
        <f>IF(tblCollections[[#This Row],[costtext]]="", 0, LEN(tblCollections[[#This Row],[costtext]]) - LEN(SUBSTITUTE(tblCollections[[#This Row],[costtext]], ",", "")) + 1)</f>
        <v>12</v>
      </c>
      <c r="M48" s="2">
        <f>COUNTA(tblCollections[[#This Row],[apy]:[wood]])</f>
        <v>12</v>
      </c>
      <c r="T48">
        <v>15</v>
      </c>
      <c r="X48">
        <v>30</v>
      </c>
      <c r="AO48">
        <v>30</v>
      </c>
      <c r="AV48">
        <v>120</v>
      </c>
      <c r="BA48">
        <v>30</v>
      </c>
      <c r="CG48">
        <v>30</v>
      </c>
      <c r="CY48">
        <v>120</v>
      </c>
      <c r="DF48">
        <v>30</v>
      </c>
      <c r="DO48">
        <v>30</v>
      </c>
      <c r="DR48">
        <v>15</v>
      </c>
      <c r="EH48">
        <v>30</v>
      </c>
      <c r="EK48">
        <v>15</v>
      </c>
    </row>
    <row r="49" spans="1:142" ht="29">
      <c r="A49" t="s">
        <v>2625</v>
      </c>
      <c r="B49" t="s">
        <v>1733</v>
      </c>
      <c r="C49" t="s">
        <v>1754</v>
      </c>
      <c r="D49" t="str">
        <f>_xlfn.XLOOKUP(tblCollections[[#This Row],[CollectionID]],tblTargets[TargetID],tblTargets[DisplayName],"")</f>
        <v>Pantry 1 Lv 4</v>
      </c>
      <c r="E49" t="b">
        <v>1</v>
      </c>
      <c r="F49">
        <v>4</v>
      </c>
      <c r="I49" t="s">
        <v>1675</v>
      </c>
      <c r="J49" t="s">
        <v>3256</v>
      </c>
      <c r="K49" s="2" t="s">
        <v>1897</v>
      </c>
      <c r="L49" s="2">
        <f>IF(tblCollections[[#This Row],[costtext]]="", 0, LEN(tblCollections[[#This Row],[costtext]]) - LEN(SUBSTITUTE(tblCollections[[#This Row],[costtext]], ",", "")) + 1)</f>
        <v>12</v>
      </c>
      <c r="M49" s="2">
        <f>COUNTA(tblCollections[[#This Row],[apy]:[wood]])</f>
        <v>12</v>
      </c>
      <c r="T49">
        <v>20</v>
      </c>
      <c r="X49">
        <v>40</v>
      </c>
      <c r="AO49">
        <v>40</v>
      </c>
      <c r="AV49">
        <v>160</v>
      </c>
      <c r="BA49">
        <v>40</v>
      </c>
      <c r="CG49">
        <v>40</v>
      </c>
      <c r="CY49">
        <v>160</v>
      </c>
      <c r="DF49">
        <v>40</v>
      </c>
      <c r="DO49">
        <v>40</v>
      </c>
      <c r="DR49">
        <v>20</v>
      </c>
      <c r="EH49">
        <v>40</v>
      </c>
      <c r="EK49">
        <v>20</v>
      </c>
    </row>
    <row r="50" spans="1:142" ht="29">
      <c r="A50" t="s">
        <v>2626</v>
      </c>
      <c r="B50" t="s">
        <v>1733</v>
      </c>
      <c r="C50" t="s">
        <v>1754</v>
      </c>
      <c r="D50" t="str">
        <f>_xlfn.XLOOKUP(tblCollections[[#This Row],[CollectionID]],tblTargets[TargetID],tblTargets[DisplayName],"")</f>
        <v>Pantry 1 Lv 5</v>
      </c>
      <c r="E50" t="b">
        <v>1</v>
      </c>
      <c r="F50">
        <v>5</v>
      </c>
      <c r="I50" t="s">
        <v>1675</v>
      </c>
      <c r="J50" t="s">
        <v>3257</v>
      </c>
      <c r="K50" s="2" t="s">
        <v>1898</v>
      </c>
      <c r="L50" s="2">
        <f>IF(tblCollections[[#This Row],[costtext]]="", 0, LEN(tblCollections[[#This Row],[costtext]]) - LEN(SUBSTITUTE(tblCollections[[#This Row],[costtext]], ",", "")) + 1)</f>
        <v>12</v>
      </c>
      <c r="M50" s="2">
        <f>COUNTA(tblCollections[[#This Row],[apy]:[wood]])</f>
        <v>12</v>
      </c>
      <c r="T50">
        <v>25</v>
      </c>
      <c r="X50">
        <v>50</v>
      </c>
      <c r="AO50">
        <v>50</v>
      </c>
      <c r="AV50">
        <v>200</v>
      </c>
      <c r="BA50">
        <v>50</v>
      </c>
      <c r="CG50">
        <v>50</v>
      </c>
      <c r="CY50">
        <v>200</v>
      </c>
      <c r="DF50">
        <v>50</v>
      </c>
      <c r="DO50">
        <v>50</v>
      </c>
      <c r="DR50">
        <v>25</v>
      </c>
      <c r="EH50">
        <v>50</v>
      </c>
      <c r="EK50">
        <v>25</v>
      </c>
    </row>
    <row r="51" spans="1:142">
      <c r="A51" t="s">
        <v>2627</v>
      </c>
      <c r="B51" t="s">
        <v>1734</v>
      </c>
      <c r="C51" t="s">
        <v>1755</v>
      </c>
      <c r="D51" t="str">
        <f>_xlfn.XLOOKUP(tblCollections[[#This Row],[CollectionID]],tblTargets[TargetID],tblTargets[DisplayName],"")</f>
        <v>Pantry 2 Lv 1</v>
      </c>
      <c r="E51" t="b">
        <v>1</v>
      </c>
      <c r="F51">
        <v>1</v>
      </c>
      <c r="I51" t="s">
        <v>1675</v>
      </c>
      <c r="J51" t="s">
        <v>1781</v>
      </c>
      <c r="K51" s="2" t="s">
        <v>1899</v>
      </c>
      <c r="L51" s="2">
        <f>IF(tblCollections[[#This Row],[costtext]]="", 0, LEN(tblCollections[[#This Row],[costtext]]) - LEN(SUBSTITUTE(tblCollections[[#This Row],[costtext]], ",", "")) + 1)</f>
        <v>4</v>
      </c>
      <c r="M51" s="2">
        <f>COUNTA(tblCollections[[#This Row],[apy]:[wood]])</f>
        <v>4</v>
      </c>
      <c r="CJ51">
        <v>100</v>
      </c>
      <c r="CK51">
        <v>100</v>
      </c>
      <c r="DT51">
        <v>100</v>
      </c>
      <c r="DU51">
        <v>100</v>
      </c>
    </row>
    <row r="52" spans="1:142">
      <c r="A52" t="s">
        <v>2628</v>
      </c>
      <c r="B52" t="s">
        <v>1734</v>
      </c>
      <c r="C52" t="s">
        <v>1755</v>
      </c>
      <c r="D52" t="str">
        <f>_xlfn.XLOOKUP(tblCollections[[#This Row],[CollectionID]],tblTargets[TargetID],tblTargets[DisplayName],"")</f>
        <v>Pantry 2 Lv 2</v>
      </c>
      <c r="E52" t="b">
        <v>1</v>
      </c>
      <c r="F52">
        <v>2</v>
      </c>
      <c r="I52" t="s">
        <v>1675</v>
      </c>
      <c r="J52" t="s">
        <v>3258</v>
      </c>
      <c r="K52" s="2" t="s">
        <v>1900</v>
      </c>
      <c r="L52" s="2">
        <f>IF(tblCollections[[#This Row],[costtext]]="", 0, LEN(tblCollections[[#This Row],[costtext]]) - LEN(SUBSTITUTE(tblCollections[[#This Row],[costtext]], ",", "")) + 1)</f>
        <v>4</v>
      </c>
      <c r="M52" s="2">
        <f>COUNTA(tblCollections[[#This Row],[apy]:[wood]])</f>
        <v>4</v>
      </c>
      <c r="CJ52">
        <v>200</v>
      </c>
      <c r="CK52">
        <v>200</v>
      </c>
      <c r="DT52">
        <v>200</v>
      </c>
      <c r="DU52">
        <v>200</v>
      </c>
    </row>
    <row r="53" spans="1:142">
      <c r="A53" t="s">
        <v>2629</v>
      </c>
      <c r="B53" t="s">
        <v>1734</v>
      </c>
      <c r="C53" t="s">
        <v>1755</v>
      </c>
      <c r="D53" t="str">
        <f>_xlfn.XLOOKUP(tblCollections[[#This Row],[CollectionID]],tblTargets[TargetID],tblTargets[DisplayName],"")</f>
        <v>Pantry 2 Lv 3</v>
      </c>
      <c r="E53" t="b">
        <v>1</v>
      </c>
      <c r="F53">
        <v>3</v>
      </c>
      <c r="I53" t="s">
        <v>1675</v>
      </c>
      <c r="J53" t="s">
        <v>3259</v>
      </c>
      <c r="K53" s="2" t="s">
        <v>1901</v>
      </c>
      <c r="L53" s="2">
        <f>IF(tblCollections[[#This Row],[costtext]]="", 0, LEN(tblCollections[[#This Row],[costtext]]) - LEN(SUBSTITUTE(tblCollections[[#This Row],[costtext]], ",", "")) + 1)</f>
        <v>4</v>
      </c>
      <c r="M53" s="2">
        <f>COUNTA(tblCollections[[#This Row],[apy]:[wood]])</f>
        <v>4</v>
      </c>
      <c r="CJ53">
        <v>300</v>
      </c>
      <c r="CK53">
        <v>300</v>
      </c>
      <c r="DT53">
        <v>300</v>
      </c>
      <c r="DU53">
        <v>300</v>
      </c>
    </row>
    <row r="54" spans="1:142">
      <c r="A54" t="s">
        <v>2630</v>
      </c>
      <c r="B54" t="s">
        <v>1734</v>
      </c>
      <c r="C54" t="s">
        <v>1755</v>
      </c>
      <c r="D54" t="str">
        <f>_xlfn.XLOOKUP(tblCollections[[#This Row],[CollectionID]],tblTargets[TargetID],tblTargets[DisplayName],"")</f>
        <v>Pantry 2 Lv 4</v>
      </c>
      <c r="E54" t="b">
        <v>1</v>
      </c>
      <c r="F54">
        <v>4</v>
      </c>
      <c r="I54" t="s">
        <v>1675</v>
      </c>
      <c r="J54" t="s">
        <v>3260</v>
      </c>
      <c r="K54" s="2" t="s">
        <v>1902</v>
      </c>
      <c r="L54" s="2">
        <f>IF(tblCollections[[#This Row],[costtext]]="", 0, LEN(tblCollections[[#This Row],[costtext]]) - LEN(SUBSTITUTE(tblCollections[[#This Row],[costtext]], ",", "")) + 1)</f>
        <v>4</v>
      </c>
      <c r="M54" s="2">
        <f>COUNTA(tblCollections[[#This Row],[apy]:[wood]])</f>
        <v>4</v>
      </c>
      <c r="CJ54">
        <v>400</v>
      </c>
      <c r="CK54">
        <v>400</v>
      </c>
      <c r="DT54">
        <v>400</v>
      </c>
      <c r="DU54">
        <v>400</v>
      </c>
    </row>
    <row r="55" spans="1:142">
      <c r="A55" t="s">
        <v>2631</v>
      </c>
      <c r="B55" t="s">
        <v>1734</v>
      </c>
      <c r="C55" t="s">
        <v>1755</v>
      </c>
      <c r="D55" t="str">
        <f>_xlfn.XLOOKUP(tblCollections[[#This Row],[CollectionID]],tblTargets[TargetID],tblTargets[DisplayName],"")</f>
        <v>Pantry 2 Lv 5</v>
      </c>
      <c r="E55" t="b">
        <v>1</v>
      </c>
      <c r="F55">
        <v>5</v>
      </c>
      <c r="I55" t="s">
        <v>1675</v>
      </c>
      <c r="J55" t="s">
        <v>3261</v>
      </c>
      <c r="K55" s="2" t="s">
        <v>1903</v>
      </c>
      <c r="L55" s="2">
        <f>IF(tblCollections[[#This Row],[costtext]]="", 0, LEN(tblCollections[[#This Row],[costtext]]) - LEN(SUBSTITUTE(tblCollections[[#This Row],[costtext]], ",", "")) + 1)</f>
        <v>4</v>
      </c>
      <c r="M55" s="2">
        <f>COUNTA(tblCollections[[#This Row],[apy]:[wood]])</f>
        <v>4</v>
      </c>
      <c r="CJ55">
        <v>500</v>
      </c>
      <c r="CK55">
        <v>500</v>
      </c>
      <c r="DT55">
        <v>500</v>
      </c>
      <c r="DU55">
        <v>500</v>
      </c>
    </row>
    <row r="56" spans="1:142">
      <c r="A56" t="s">
        <v>2632</v>
      </c>
      <c r="B56" t="s">
        <v>1735</v>
      </c>
      <c r="C56" t="s">
        <v>1756</v>
      </c>
      <c r="D56" t="str">
        <f>_xlfn.XLOOKUP(tblCollections[[#This Row],[CollectionID]],tblTargets[TargetID],tblTargets[DisplayName],"")</f>
        <v>Pantry 3 Lv 1</v>
      </c>
      <c r="E56" t="b">
        <v>1</v>
      </c>
      <c r="F56">
        <v>1</v>
      </c>
      <c r="I56" t="s">
        <v>1675</v>
      </c>
      <c r="J56" t="s">
        <v>1781</v>
      </c>
      <c r="K56" s="2" t="s">
        <v>1904</v>
      </c>
      <c r="L56" s="2">
        <f>IF(tblCollections[[#This Row],[costtext]]="", 0, LEN(tblCollections[[#This Row],[costtext]]) - LEN(SUBSTITUTE(tblCollections[[#This Row],[costtext]], ",", "")) + 1)</f>
        <v>4</v>
      </c>
      <c r="M56" s="2">
        <f>COUNTA(tblCollections[[#This Row],[apy]:[wood]])</f>
        <v>4</v>
      </c>
      <c r="AB56">
        <v>100</v>
      </c>
      <c r="AC56">
        <v>100</v>
      </c>
      <c r="BD56">
        <v>100</v>
      </c>
      <c r="BL56">
        <v>100</v>
      </c>
    </row>
    <row r="57" spans="1:142">
      <c r="A57" t="s">
        <v>2633</v>
      </c>
      <c r="B57" t="s">
        <v>1735</v>
      </c>
      <c r="C57" t="s">
        <v>1756</v>
      </c>
      <c r="D57" t="str">
        <f>_xlfn.XLOOKUP(tblCollections[[#This Row],[CollectionID]],tblTargets[TargetID],tblTargets[DisplayName],"")</f>
        <v>Pantry 3 Lv 2</v>
      </c>
      <c r="E57" t="b">
        <v>1</v>
      </c>
      <c r="F57">
        <v>2</v>
      </c>
      <c r="I57" t="s">
        <v>1675</v>
      </c>
      <c r="J57" t="s">
        <v>3262</v>
      </c>
      <c r="K57" s="2" t="s">
        <v>1905</v>
      </c>
      <c r="L57" s="2">
        <f>IF(tblCollections[[#This Row],[costtext]]="", 0, LEN(tblCollections[[#This Row],[costtext]]) - LEN(SUBSTITUTE(tblCollections[[#This Row],[costtext]], ",", "")) + 1)</f>
        <v>4</v>
      </c>
      <c r="M57" s="2">
        <f>COUNTA(tblCollections[[#This Row],[apy]:[wood]])</f>
        <v>4</v>
      </c>
      <c r="AB57">
        <v>200</v>
      </c>
      <c r="AC57">
        <v>200</v>
      </c>
      <c r="BD57">
        <v>200</v>
      </c>
      <c r="BL57">
        <v>200</v>
      </c>
    </row>
    <row r="58" spans="1:142">
      <c r="A58" t="s">
        <v>2634</v>
      </c>
      <c r="B58" t="s">
        <v>1735</v>
      </c>
      <c r="C58" t="s">
        <v>1756</v>
      </c>
      <c r="D58" t="str">
        <f>_xlfn.XLOOKUP(tblCollections[[#This Row],[CollectionID]],tblTargets[TargetID],tblTargets[DisplayName],"")</f>
        <v>Pantry 3 Lv 3</v>
      </c>
      <c r="E58" t="b">
        <v>1</v>
      </c>
      <c r="F58">
        <v>3</v>
      </c>
      <c r="I58" t="s">
        <v>1675</v>
      </c>
      <c r="J58" t="s">
        <v>3263</v>
      </c>
      <c r="K58" s="2" t="s">
        <v>1906</v>
      </c>
      <c r="L58" s="2">
        <f>IF(tblCollections[[#This Row],[costtext]]="", 0, LEN(tblCollections[[#This Row],[costtext]]) - LEN(SUBSTITUTE(tblCollections[[#This Row],[costtext]], ",", "")) + 1)</f>
        <v>4</v>
      </c>
      <c r="M58" s="2">
        <f>COUNTA(tblCollections[[#This Row],[apy]:[wood]])</f>
        <v>4</v>
      </c>
      <c r="AB58">
        <v>300</v>
      </c>
      <c r="AC58">
        <v>300</v>
      </c>
      <c r="BD58">
        <v>300</v>
      </c>
      <c r="BL58">
        <v>300</v>
      </c>
    </row>
    <row r="59" spans="1:142">
      <c r="A59" t="s">
        <v>2635</v>
      </c>
      <c r="B59" t="s">
        <v>1735</v>
      </c>
      <c r="C59" t="s">
        <v>1756</v>
      </c>
      <c r="D59" t="str">
        <f>_xlfn.XLOOKUP(tblCollections[[#This Row],[CollectionID]],tblTargets[TargetID],tblTargets[DisplayName],"")</f>
        <v>Pantry 3 Lv 4</v>
      </c>
      <c r="E59" t="b">
        <v>1</v>
      </c>
      <c r="F59">
        <v>4</v>
      </c>
      <c r="I59" t="s">
        <v>1675</v>
      </c>
      <c r="J59" t="s">
        <v>3264</v>
      </c>
      <c r="K59" s="2" t="s">
        <v>1907</v>
      </c>
      <c r="L59" s="2">
        <f>IF(tblCollections[[#This Row],[costtext]]="", 0, LEN(tblCollections[[#This Row],[costtext]]) - LEN(SUBSTITUTE(tblCollections[[#This Row],[costtext]], ",", "")) + 1)</f>
        <v>4</v>
      </c>
      <c r="M59" s="2">
        <f>COUNTA(tblCollections[[#This Row],[apy]:[wood]])</f>
        <v>4</v>
      </c>
      <c r="AB59">
        <v>400</v>
      </c>
      <c r="AC59">
        <v>400</v>
      </c>
      <c r="BD59">
        <v>400</v>
      </c>
      <c r="BL59">
        <v>400</v>
      </c>
    </row>
    <row r="60" spans="1:142">
      <c r="A60" t="s">
        <v>2636</v>
      </c>
      <c r="B60" t="s">
        <v>1735</v>
      </c>
      <c r="C60" t="s">
        <v>1756</v>
      </c>
      <c r="D60" t="str">
        <f>_xlfn.XLOOKUP(tblCollections[[#This Row],[CollectionID]],tblTargets[TargetID],tblTargets[DisplayName],"")</f>
        <v>Pantry 3 Lv 5</v>
      </c>
      <c r="E60" t="b">
        <v>1</v>
      </c>
      <c r="F60">
        <v>5</v>
      </c>
      <c r="I60" t="s">
        <v>1675</v>
      </c>
      <c r="J60" t="s">
        <v>3265</v>
      </c>
      <c r="K60" s="2" t="s">
        <v>1908</v>
      </c>
      <c r="L60" s="2">
        <f>IF(tblCollections[[#This Row],[costtext]]="", 0, LEN(tblCollections[[#This Row],[costtext]]) - LEN(SUBSTITUTE(tblCollections[[#This Row],[costtext]], ",", "")) + 1)</f>
        <v>4</v>
      </c>
      <c r="M60" s="2">
        <f>COUNTA(tblCollections[[#This Row],[apy]:[wood]])</f>
        <v>4</v>
      </c>
      <c r="AB60">
        <v>500</v>
      </c>
      <c r="AC60">
        <v>500</v>
      </c>
      <c r="BD60">
        <v>500</v>
      </c>
      <c r="BL60">
        <v>500</v>
      </c>
    </row>
    <row r="61" spans="1:142">
      <c r="A61" t="s">
        <v>2637</v>
      </c>
      <c r="B61" t="s">
        <v>1736</v>
      </c>
      <c r="C61" t="s">
        <v>1757</v>
      </c>
      <c r="D61" t="str">
        <f>_xlfn.XLOOKUP(tblCollections[[#This Row],[CollectionID]],tblTargets[TargetID],tblTargets[DisplayName],"")</f>
        <v>Pantry 4 Lv 1</v>
      </c>
      <c r="E61" t="b">
        <v>1</v>
      </c>
      <c r="F61">
        <v>1</v>
      </c>
      <c r="I61" t="s">
        <v>1767</v>
      </c>
      <c r="J61" t="s">
        <v>1782</v>
      </c>
      <c r="K61" s="2" t="s">
        <v>1909</v>
      </c>
      <c r="L61" s="2">
        <f>IF(tblCollections[[#This Row],[costtext]]="", 0, LEN(tblCollections[[#This Row],[costtext]]) - LEN(SUBSTITUTE(tblCollections[[#This Row],[costtext]], ",", "")) + 1)</f>
        <v>3</v>
      </c>
      <c r="M61" s="2">
        <f>COUNTA(tblCollections[[#This Row],[apy]:[wood]])</f>
        <v>3</v>
      </c>
      <c r="AS61">
        <v>20</v>
      </c>
      <c r="BV61">
        <v>20</v>
      </c>
      <c r="EL61">
        <v>10</v>
      </c>
    </row>
    <row r="62" spans="1:142">
      <c r="A62" t="s">
        <v>2638</v>
      </c>
      <c r="B62" t="s">
        <v>1737</v>
      </c>
      <c r="C62" t="s">
        <v>1758</v>
      </c>
      <c r="D62" t="str">
        <f>_xlfn.XLOOKUP(tblCollections[[#This Row],[CollectionID]],tblTargets[TargetID],tblTargets[DisplayName],"")</f>
        <v>Statue Lv 1</v>
      </c>
      <c r="E62" t="b">
        <v>1</v>
      </c>
      <c r="F62">
        <v>1</v>
      </c>
      <c r="I62" t="s">
        <v>1669</v>
      </c>
      <c r="J62" t="s">
        <v>1776</v>
      </c>
      <c r="K62" s="2" t="s">
        <v>1910</v>
      </c>
      <c r="L62" s="2">
        <f>IF(tblCollections[[#This Row],[costtext]]="", 0, LEN(tblCollections[[#This Row],[costtext]]) - LEN(SUBSTITUTE(tblCollections[[#This Row],[costtext]], ",", "")) + 1)</f>
        <v>1</v>
      </c>
      <c r="M62" s="2">
        <f>COUNTA(tblCollections[[#This Row],[apy]:[wood]])</f>
        <v>1</v>
      </c>
      <c r="DU62">
        <v>200</v>
      </c>
    </row>
    <row r="63" spans="1:142">
      <c r="A63" t="s">
        <v>2639</v>
      </c>
      <c r="B63" t="s">
        <v>1738</v>
      </c>
      <c r="C63" t="s">
        <v>1676</v>
      </c>
      <c r="D63" t="str">
        <f>_xlfn.XLOOKUP(tblCollections[[#This Row],[CollectionID]],tblTargets[TargetID],tblTargets[DisplayName],"")</f>
        <v>Tavern Lv 1</v>
      </c>
      <c r="E63" t="b">
        <v>1</v>
      </c>
      <c r="F63">
        <v>1</v>
      </c>
      <c r="I63" t="s">
        <v>1676</v>
      </c>
      <c r="J63" t="s">
        <v>1783</v>
      </c>
      <c r="K63" s="2" t="s">
        <v>1911</v>
      </c>
      <c r="L63" s="2">
        <f>IF(tblCollections[[#This Row],[costtext]]="", 0, LEN(tblCollections[[#This Row],[costtext]]) - LEN(SUBSTITUTE(tblCollections[[#This Row],[costtext]], ",", "")) + 1)</f>
        <v>9</v>
      </c>
      <c r="M63" s="2">
        <f>COUNTA(tblCollections[[#This Row],[apy]:[wood]])</f>
        <v>9</v>
      </c>
      <c r="AA63">
        <v>10</v>
      </c>
      <c r="AN63">
        <v>10</v>
      </c>
      <c r="AW63">
        <v>10</v>
      </c>
      <c r="BT63">
        <v>20</v>
      </c>
      <c r="CH63">
        <v>10</v>
      </c>
      <c r="CU63">
        <v>10</v>
      </c>
      <c r="DP63">
        <v>10</v>
      </c>
      <c r="DZ63">
        <v>10</v>
      </c>
      <c r="EG63">
        <v>10</v>
      </c>
    </row>
    <row r="64" spans="1:142">
      <c r="A64" t="s">
        <v>2640</v>
      </c>
      <c r="B64" t="s">
        <v>1738</v>
      </c>
      <c r="C64" t="s">
        <v>1676</v>
      </c>
      <c r="D64" t="str">
        <f>_xlfn.XLOOKUP(tblCollections[[#This Row],[CollectionID]],tblTargets[TargetID],tblTargets[DisplayName],"")</f>
        <v>Tavern Lv 2</v>
      </c>
      <c r="E64" t="b">
        <v>1</v>
      </c>
      <c r="F64">
        <v>2</v>
      </c>
      <c r="I64" t="s">
        <v>1676</v>
      </c>
      <c r="J64" t="s">
        <v>3266</v>
      </c>
      <c r="K64" s="2" t="s">
        <v>1912</v>
      </c>
      <c r="L64" s="2">
        <f>IF(tblCollections[[#This Row],[costtext]]="", 0, LEN(tblCollections[[#This Row],[costtext]]) - LEN(SUBSTITUTE(tblCollections[[#This Row],[costtext]], ",", "")) + 1)</f>
        <v>9</v>
      </c>
      <c r="M64" s="2">
        <f>COUNTA(tblCollections[[#This Row],[apy]:[wood]])</f>
        <v>9</v>
      </c>
      <c r="AA64">
        <v>20</v>
      </c>
      <c r="AN64">
        <v>20</v>
      </c>
      <c r="AW64">
        <v>20</v>
      </c>
      <c r="BT64">
        <v>40</v>
      </c>
      <c r="CH64">
        <v>20</v>
      </c>
      <c r="CU64">
        <v>20</v>
      </c>
      <c r="DP64">
        <v>20</v>
      </c>
      <c r="DZ64">
        <v>20</v>
      </c>
      <c r="EG64">
        <v>20</v>
      </c>
    </row>
    <row r="65" spans="1:140">
      <c r="A65" t="s">
        <v>2641</v>
      </c>
      <c r="B65" t="s">
        <v>1739</v>
      </c>
      <c r="C65" t="s">
        <v>1759</v>
      </c>
      <c r="D65" t="str">
        <f>_xlfn.XLOOKUP(tblCollections[[#This Row],[CollectionID]],tblTargets[TargetID],tblTargets[DisplayName],"")</f>
        <v>Treasury 1 Lv 1</v>
      </c>
      <c r="E65" t="b">
        <v>1</v>
      </c>
      <c r="F65">
        <v>1</v>
      </c>
      <c r="I65" t="s">
        <v>1677</v>
      </c>
      <c r="J65" t="s">
        <v>1784</v>
      </c>
      <c r="K65" s="2" t="s">
        <v>1913</v>
      </c>
      <c r="L65" s="2">
        <f>IF(tblCollections[[#This Row],[costtext]]="", 0, LEN(tblCollections[[#This Row],[costtext]]) - LEN(SUBSTITUTE(tblCollections[[#This Row],[costtext]], ",", "")) + 1)</f>
        <v>8</v>
      </c>
      <c r="M65" s="2">
        <f>COUNTA(tblCollections[[#This Row],[apy]:[wood]])</f>
        <v>8</v>
      </c>
      <c r="AK65">
        <v>1000</v>
      </c>
      <c r="AL65">
        <v>1000</v>
      </c>
      <c r="AM65">
        <v>250</v>
      </c>
      <c r="AQ65">
        <v>250</v>
      </c>
      <c r="BK65">
        <v>10</v>
      </c>
      <c r="CI65">
        <v>5</v>
      </c>
      <c r="DE65">
        <v>5</v>
      </c>
      <c r="EJ65">
        <v>10</v>
      </c>
    </row>
    <row r="66" spans="1:140">
      <c r="A66" t="s">
        <v>2642</v>
      </c>
      <c r="B66" t="s">
        <v>1739</v>
      </c>
      <c r="C66" t="s">
        <v>1759</v>
      </c>
      <c r="D66" t="str">
        <f>_xlfn.XLOOKUP(tblCollections[[#This Row],[CollectionID]],tblTargets[TargetID],tblTargets[DisplayName],"")</f>
        <v>Treasury 1 Lv 2</v>
      </c>
      <c r="E66" t="b">
        <v>1</v>
      </c>
      <c r="F66">
        <v>2</v>
      </c>
      <c r="I66" t="s">
        <v>1677</v>
      </c>
      <c r="J66" t="s">
        <v>3267</v>
      </c>
      <c r="K66" s="2" t="s">
        <v>1914</v>
      </c>
      <c r="L66" s="2">
        <f>IF(tblCollections[[#This Row],[costtext]]="", 0, LEN(tblCollections[[#This Row],[costtext]]) - LEN(SUBSTITUTE(tblCollections[[#This Row],[costtext]], ",", "")) + 1)</f>
        <v>8</v>
      </c>
      <c r="M66" s="2">
        <f>COUNTA(tblCollections[[#This Row],[apy]:[wood]])</f>
        <v>8</v>
      </c>
      <c r="AK66">
        <v>2000</v>
      </c>
      <c r="AL66">
        <v>2000</v>
      </c>
      <c r="AM66">
        <v>500</v>
      </c>
      <c r="AQ66">
        <v>500</v>
      </c>
      <c r="BK66">
        <v>20</v>
      </c>
      <c r="CI66">
        <v>10</v>
      </c>
      <c r="DE66">
        <v>10</v>
      </c>
      <c r="EJ66">
        <v>20</v>
      </c>
    </row>
    <row r="67" spans="1:140">
      <c r="A67" t="s">
        <v>2643</v>
      </c>
      <c r="B67" t="s">
        <v>1739</v>
      </c>
      <c r="C67" t="s">
        <v>1759</v>
      </c>
      <c r="D67" t="str">
        <f>_xlfn.XLOOKUP(tblCollections[[#This Row],[CollectionID]],tblTargets[TargetID],tblTargets[DisplayName],"")</f>
        <v>Treasury 1 Lv 3</v>
      </c>
      <c r="E67" t="b">
        <v>1</v>
      </c>
      <c r="F67">
        <v>3</v>
      </c>
      <c r="I67" t="s">
        <v>1677</v>
      </c>
      <c r="J67" t="s">
        <v>3268</v>
      </c>
      <c r="K67" s="2" t="s">
        <v>1915</v>
      </c>
      <c r="L67" s="2">
        <f>IF(tblCollections[[#This Row],[costtext]]="", 0, LEN(tblCollections[[#This Row],[costtext]]) - LEN(SUBSTITUTE(tblCollections[[#This Row],[costtext]], ",", "")) + 1)</f>
        <v>8</v>
      </c>
      <c r="M67" s="2">
        <f>COUNTA(tblCollections[[#This Row],[apy]:[wood]])</f>
        <v>8</v>
      </c>
      <c r="AK67">
        <v>3000</v>
      </c>
      <c r="AL67">
        <v>3000</v>
      </c>
      <c r="AM67">
        <v>750</v>
      </c>
      <c r="AQ67">
        <v>750</v>
      </c>
      <c r="BK67">
        <v>30</v>
      </c>
      <c r="CI67">
        <v>15</v>
      </c>
      <c r="DE67">
        <v>15</v>
      </c>
      <c r="EJ67">
        <v>30</v>
      </c>
    </row>
    <row r="68" spans="1:140">
      <c r="A68" t="s">
        <v>2644</v>
      </c>
      <c r="B68" t="s">
        <v>1739</v>
      </c>
      <c r="C68" t="s">
        <v>1759</v>
      </c>
      <c r="D68" t="str">
        <f>_xlfn.XLOOKUP(tblCollections[[#This Row],[CollectionID]],tblTargets[TargetID],tblTargets[DisplayName],"")</f>
        <v>Treasury 1 Lv 4</v>
      </c>
      <c r="E68" t="b">
        <v>1</v>
      </c>
      <c r="F68">
        <v>4</v>
      </c>
      <c r="I68" t="s">
        <v>1677</v>
      </c>
      <c r="J68" t="s">
        <v>3269</v>
      </c>
      <c r="K68" s="2" t="s">
        <v>1916</v>
      </c>
      <c r="L68" s="2">
        <f>IF(tblCollections[[#This Row],[costtext]]="", 0, LEN(tblCollections[[#This Row],[costtext]]) - LEN(SUBSTITUTE(tblCollections[[#This Row],[costtext]], ",", "")) + 1)</f>
        <v>8</v>
      </c>
      <c r="M68" s="2">
        <f>COUNTA(tblCollections[[#This Row],[apy]:[wood]])</f>
        <v>8</v>
      </c>
      <c r="AK68">
        <v>4000</v>
      </c>
      <c r="AL68">
        <v>4000</v>
      </c>
      <c r="AM68">
        <v>1000</v>
      </c>
      <c r="AQ68">
        <v>1000</v>
      </c>
      <c r="BK68">
        <v>40</v>
      </c>
      <c r="CI68">
        <v>20</v>
      </c>
      <c r="DE68">
        <v>20</v>
      </c>
      <c r="EJ68">
        <v>40</v>
      </c>
    </row>
    <row r="69" spans="1:140">
      <c r="A69" t="s">
        <v>2645</v>
      </c>
      <c r="B69" t="s">
        <v>1739</v>
      </c>
      <c r="C69" t="s">
        <v>1759</v>
      </c>
      <c r="D69" t="str">
        <f>_xlfn.XLOOKUP(tblCollections[[#This Row],[CollectionID]],tblTargets[TargetID],tblTargets[DisplayName],"")</f>
        <v>Treasury 1 Lv 5</v>
      </c>
      <c r="E69" t="b">
        <v>1</v>
      </c>
      <c r="F69">
        <v>5</v>
      </c>
      <c r="I69" t="s">
        <v>1677</v>
      </c>
      <c r="J69" t="s">
        <v>3270</v>
      </c>
      <c r="K69" s="2" t="s">
        <v>1917</v>
      </c>
      <c r="L69" s="2">
        <f>IF(tblCollections[[#This Row],[costtext]]="", 0, LEN(tblCollections[[#This Row],[costtext]]) - LEN(SUBSTITUTE(tblCollections[[#This Row],[costtext]], ",", "")) + 1)</f>
        <v>8</v>
      </c>
      <c r="M69" s="2">
        <f>COUNTA(tblCollections[[#This Row],[apy]:[wood]])</f>
        <v>8</v>
      </c>
      <c r="AK69">
        <v>5000</v>
      </c>
      <c r="AL69">
        <v>5000</v>
      </c>
      <c r="AM69">
        <v>1250</v>
      </c>
      <c r="AQ69">
        <v>1250</v>
      </c>
      <c r="BK69">
        <v>50</v>
      </c>
      <c r="CI69">
        <v>25</v>
      </c>
      <c r="DE69">
        <v>25</v>
      </c>
      <c r="EJ69">
        <v>50</v>
      </c>
    </row>
    <row r="70" spans="1:140">
      <c r="A70" t="s">
        <v>2646</v>
      </c>
      <c r="B70" t="s">
        <v>1740</v>
      </c>
      <c r="C70" t="s">
        <v>1760</v>
      </c>
      <c r="D70" t="str">
        <f>_xlfn.XLOOKUP(tblCollections[[#This Row],[CollectionID]],tblTargets[TargetID],tblTargets[DisplayName],"")</f>
        <v>Treasury 2 Lv 1</v>
      </c>
      <c r="E70" t="b">
        <v>1</v>
      </c>
      <c r="F70">
        <v>1</v>
      </c>
      <c r="I70" t="s">
        <v>1677</v>
      </c>
      <c r="J70" t="s">
        <v>1784</v>
      </c>
      <c r="K70" s="2" t="s">
        <v>1918</v>
      </c>
      <c r="L70" s="2">
        <f>IF(tblCollections[[#This Row],[costtext]]="", 0, LEN(tblCollections[[#This Row],[costtext]]) - LEN(SUBSTITUTE(tblCollections[[#This Row],[costtext]], ",", "")) + 1)</f>
        <v>5</v>
      </c>
      <c r="M70" s="2">
        <f>COUNTA(tblCollections[[#This Row],[apy]:[wood]])</f>
        <v>5</v>
      </c>
      <c r="CZ70">
        <v>3</v>
      </c>
      <c r="DA70">
        <v>3</v>
      </c>
      <c r="DB70">
        <v>3</v>
      </c>
      <c r="DC70">
        <v>3</v>
      </c>
      <c r="DD70">
        <v>3</v>
      </c>
    </row>
    <row r="71" spans="1:140">
      <c r="A71" t="s">
        <v>2647</v>
      </c>
      <c r="B71" t="s">
        <v>1740</v>
      </c>
      <c r="C71" t="s">
        <v>1760</v>
      </c>
      <c r="D71" t="str">
        <f>_xlfn.XLOOKUP(tblCollections[[#This Row],[CollectionID]],tblTargets[TargetID],tblTargets[DisplayName],"")</f>
        <v>Treasury 2 Lv 2</v>
      </c>
      <c r="E71" t="b">
        <v>1</v>
      </c>
      <c r="F71">
        <v>2</v>
      </c>
      <c r="I71" t="s">
        <v>1677</v>
      </c>
      <c r="J71" t="s">
        <v>3271</v>
      </c>
      <c r="K71" s="2" t="s">
        <v>1919</v>
      </c>
      <c r="L71" s="2">
        <f>IF(tblCollections[[#This Row],[costtext]]="", 0, LEN(tblCollections[[#This Row],[costtext]]) - LEN(SUBSTITUTE(tblCollections[[#This Row],[costtext]], ",", "")) + 1)</f>
        <v>5</v>
      </c>
      <c r="M71" s="2">
        <f>COUNTA(tblCollections[[#This Row],[apy]:[wood]])</f>
        <v>5</v>
      </c>
      <c r="CZ71">
        <v>6</v>
      </c>
      <c r="DA71">
        <v>6</v>
      </c>
      <c r="DB71">
        <v>6</v>
      </c>
      <c r="DC71">
        <v>6</v>
      </c>
      <c r="DD71">
        <v>6</v>
      </c>
    </row>
    <row r="72" spans="1:140">
      <c r="A72" t="s">
        <v>2648</v>
      </c>
      <c r="B72" t="s">
        <v>1740</v>
      </c>
      <c r="C72" t="s">
        <v>1760</v>
      </c>
      <c r="D72" t="str">
        <f>_xlfn.XLOOKUP(tblCollections[[#This Row],[CollectionID]],tblTargets[TargetID],tblTargets[DisplayName],"")</f>
        <v>Treasury 2 Lv 3</v>
      </c>
      <c r="E72" t="b">
        <v>1</v>
      </c>
      <c r="F72">
        <v>3</v>
      </c>
      <c r="I72" t="s">
        <v>1677</v>
      </c>
      <c r="J72" t="s">
        <v>3272</v>
      </c>
      <c r="K72" s="2" t="s">
        <v>1920</v>
      </c>
      <c r="L72" s="2">
        <f>IF(tblCollections[[#This Row],[costtext]]="", 0, LEN(tblCollections[[#This Row],[costtext]]) - LEN(SUBSTITUTE(tblCollections[[#This Row],[costtext]], ",", "")) + 1)</f>
        <v>5</v>
      </c>
      <c r="M72" s="2">
        <f>COUNTA(tblCollections[[#This Row],[apy]:[wood]])</f>
        <v>5</v>
      </c>
      <c r="CZ72">
        <v>9</v>
      </c>
      <c r="DA72">
        <v>9</v>
      </c>
      <c r="DB72">
        <v>9</v>
      </c>
      <c r="DC72">
        <v>9</v>
      </c>
      <c r="DD72">
        <v>9</v>
      </c>
    </row>
    <row r="73" spans="1:140">
      <c r="A73" t="s">
        <v>2649</v>
      </c>
      <c r="B73" t="s">
        <v>1741</v>
      </c>
      <c r="C73" t="s">
        <v>1761</v>
      </c>
      <c r="D73" t="str">
        <f>_xlfn.XLOOKUP(tblCollections[[#This Row],[CollectionID]],tblTargets[TargetID],tblTargets[DisplayName],"")</f>
        <v>Treasury 3 Lv 1</v>
      </c>
      <c r="E73" t="b">
        <v>1</v>
      </c>
      <c r="F73">
        <v>1</v>
      </c>
      <c r="I73" t="s">
        <v>1768</v>
      </c>
      <c r="J73" t="s">
        <v>1785</v>
      </c>
      <c r="K73" s="2" t="s">
        <v>1921</v>
      </c>
      <c r="L73" s="2">
        <f>IF(tblCollections[[#This Row],[costtext]]="", 0, LEN(tblCollections[[#This Row],[costtext]]) - LEN(SUBSTITUTE(tblCollections[[#This Row],[costtext]], ",", "")) + 1)</f>
        <v>5</v>
      </c>
      <c r="M73" s="2">
        <f>COUNTA(tblCollections[[#This Row],[apy]:[wood]])</f>
        <v>5</v>
      </c>
      <c r="AP73">
        <v>3</v>
      </c>
      <c r="AX73">
        <v>1</v>
      </c>
      <c r="AY73">
        <v>1</v>
      </c>
      <c r="CR73">
        <v>1</v>
      </c>
      <c r="CX73">
        <v>1</v>
      </c>
    </row>
    <row r="74" spans="1:140">
      <c r="A74" t="s">
        <v>5573</v>
      </c>
      <c r="B74" t="s">
        <v>5924</v>
      </c>
      <c r="C74" t="s">
        <v>5574</v>
      </c>
      <c r="D74" t="str">
        <f>_xlfn.XLOOKUP(tblCollections[[#This Row],[CollectionID]],tblTargets[TargetID],tblTargets[DisplayName],"")</f>
        <v>Broken Lever</v>
      </c>
      <c r="F74">
        <v>1</v>
      </c>
      <c r="K74" s="2" t="s">
        <v>5602</v>
      </c>
      <c r="L74" s="2"/>
      <c r="M74" s="2"/>
    </row>
    <row r="75" spans="1:140">
      <c r="A75" t="s">
        <v>5652</v>
      </c>
      <c r="B75" t="s">
        <v>5623</v>
      </c>
      <c r="C75" t="s">
        <v>5591</v>
      </c>
      <c r="D75" t="str">
        <f>_xlfn.XLOOKUP(tblCollections[[#This Row],[CollectionID]],tblTargets[TargetID],tblTargets[DisplayName],"")</f>
        <v>Collapsed Staircase</v>
      </c>
      <c r="F75">
        <v>1</v>
      </c>
      <c r="K75" s="2" t="s">
        <v>5603</v>
      </c>
      <c r="L75" s="2">
        <f>IF(tblCollections[[#This Row],[costtext]]="", 0, LEN(tblCollections[[#This Row],[costtext]]) - LEN(SUBSTITUTE(tblCollections[[#This Row],[costtext]], ",", "")) + 1)</f>
        <v>4</v>
      </c>
      <c r="M75" s="2">
        <f>COUNTA(tblCollections[[#This Row],[apy]:[wood]])</f>
        <v>0</v>
      </c>
    </row>
    <row r="76" spans="1:140">
      <c r="A76" t="s">
        <v>5653</v>
      </c>
      <c r="B76" t="s">
        <v>5624</v>
      </c>
      <c r="C76" t="s">
        <v>5592</v>
      </c>
      <c r="D76" t="str">
        <f>_xlfn.XLOOKUP(tblCollections[[#This Row],[CollectionID]],tblTargets[TargetID],tblTargets[DisplayName],"")</f>
        <v>Rotten Ladder</v>
      </c>
      <c r="F76">
        <v>1</v>
      </c>
      <c r="K76" s="2" t="s">
        <v>5604</v>
      </c>
      <c r="L76" s="2">
        <f>IF(tblCollections[[#This Row],[costtext]]="", 0, LEN(tblCollections[[#This Row],[costtext]]) - LEN(SUBSTITUTE(tblCollections[[#This Row],[costtext]], ",", "")) + 1)</f>
        <v>1</v>
      </c>
      <c r="M76" s="2">
        <f>COUNTA(tblCollections[[#This Row],[apy]:[wood]])</f>
        <v>0</v>
      </c>
    </row>
    <row r="77" spans="1:140">
      <c r="A77" t="s">
        <v>5654</v>
      </c>
      <c r="B77" t="s">
        <v>5625</v>
      </c>
      <c r="C77" t="s">
        <v>5595</v>
      </c>
      <c r="D77" t="str">
        <f>_xlfn.XLOOKUP(tblCollections[[#This Row],[CollectionID]],tblTargets[TargetID],tblTargets[DisplayName],"")</f>
        <v>Cave-in Bone Dragon</v>
      </c>
      <c r="F77">
        <v>1</v>
      </c>
      <c r="K77" s="2" t="s">
        <v>5605</v>
      </c>
      <c r="L77" s="2">
        <f>IF(tblCollections[[#This Row],[costtext]]="", 0, LEN(tblCollections[[#This Row],[costtext]]) - LEN(SUBSTITUTE(tblCollections[[#This Row],[costtext]], ",", "")) + 1)</f>
        <v>1</v>
      </c>
      <c r="M77" s="2">
        <f>COUNTA(tblCollections[[#This Row],[apy]:[wood]])</f>
        <v>0</v>
      </c>
    </row>
    <row r="78" spans="1:140">
      <c r="A78" t="s">
        <v>5767</v>
      </c>
      <c r="B78" t="s">
        <v>5807</v>
      </c>
      <c r="C78" t="s">
        <v>5596</v>
      </c>
      <c r="D78" t="str">
        <f>_xlfn.XLOOKUP(tblCollections[[#This Row],[CollectionID]],tblTargets[TargetID],tblTargets[DisplayName],"")</f>
        <v>Cave-in Alchemist Hall</v>
      </c>
      <c r="F78">
        <v>1</v>
      </c>
      <c r="K78" s="2" t="s">
        <v>5605</v>
      </c>
      <c r="L78" s="2">
        <f>IF(tblCollections[[#This Row],[costtext]]="", 0, LEN(tblCollections[[#This Row],[costtext]]) - LEN(SUBSTITUTE(tblCollections[[#This Row],[costtext]], ",", "")) + 1)</f>
        <v>1</v>
      </c>
      <c r="M78" s="2">
        <f>COUNTA(tblCollections[[#This Row],[apy]:[wood]])</f>
        <v>0</v>
      </c>
    </row>
    <row r="79" spans="1:140" ht="29">
      <c r="A79" t="s">
        <v>5631</v>
      </c>
      <c r="B79" t="s">
        <v>5626</v>
      </c>
      <c r="C79" t="s">
        <v>5597</v>
      </c>
      <c r="D79" t="str">
        <f>_xlfn.XLOOKUP(tblCollections[[#This Row],[CollectionID]],tblTargets[TargetID],tblTargets[DisplayName],"")</f>
        <v>Bone Dragon Lv 1</v>
      </c>
      <c r="F79">
        <v>1</v>
      </c>
      <c r="K79" s="2" t="s">
        <v>5610</v>
      </c>
      <c r="L79" s="2">
        <f>IF(tblCollections[[#This Row],[costtext]]="", 0, LEN(tblCollections[[#This Row],[costtext]]) - LEN(SUBSTITUTE(tblCollections[[#This Row],[costtext]], ",", "")) + 1)</f>
        <v>11</v>
      </c>
      <c r="M79" s="2">
        <f>COUNTA(tblCollections[[#This Row],[apy]:[wood]])</f>
        <v>0</v>
      </c>
    </row>
    <row r="80" spans="1:140" ht="29">
      <c r="A80" t="s">
        <v>5632</v>
      </c>
      <c r="B80" t="s">
        <v>5626</v>
      </c>
      <c r="C80" t="s">
        <v>5597</v>
      </c>
      <c r="D80" t="str">
        <f>_xlfn.XLOOKUP(tblCollections[[#This Row],[CollectionID]],tblTargets[TargetID],tblTargets[DisplayName],"")</f>
        <v>Bone Dragon Lv 2</v>
      </c>
      <c r="F80">
        <v>2</v>
      </c>
      <c r="K80" s="2" t="s">
        <v>5611</v>
      </c>
      <c r="L80" s="2">
        <f>IF(tblCollections[[#This Row],[costtext]]="", 0, LEN(tblCollections[[#This Row],[costtext]]) - LEN(SUBSTITUTE(tblCollections[[#This Row],[costtext]], ",", "")) + 1)</f>
        <v>11</v>
      </c>
      <c r="M80" s="2">
        <f>COUNTA(tblCollections[[#This Row],[apy]:[wood]])</f>
        <v>0</v>
      </c>
    </row>
    <row r="81" spans="1:13" ht="29">
      <c r="A81" t="s">
        <v>5749</v>
      </c>
      <c r="B81" t="s">
        <v>5808</v>
      </c>
      <c r="C81" t="s">
        <v>5598</v>
      </c>
      <c r="D81" t="str">
        <f>_xlfn.XLOOKUP(tblCollections[[#This Row],[CollectionID]],tblTargets[TargetID],tblTargets[DisplayName],"")</f>
        <v>Alchemist Hall Lv 1</v>
      </c>
      <c r="F81">
        <v>1</v>
      </c>
      <c r="K81" s="2" t="s">
        <v>5606</v>
      </c>
      <c r="L81" s="2">
        <f>IF(tblCollections[[#This Row],[costtext]]="", 0, LEN(tblCollections[[#This Row],[costtext]]) - LEN(SUBSTITUTE(tblCollections[[#This Row],[costtext]], ",", "")) + 1)</f>
        <v>8</v>
      </c>
      <c r="M81" s="2">
        <f>COUNTA(tblCollections[[#This Row],[apy]:[wood]])</f>
        <v>0</v>
      </c>
    </row>
    <row r="82" spans="1:13" ht="29">
      <c r="A82" t="s">
        <v>5750</v>
      </c>
      <c r="B82" t="s">
        <v>5808</v>
      </c>
      <c r="C82" t="s">
        <v>5598</v>
      </c>
      <c r="D82" t="str">
        <f>_xlfn.XLOOKUP(tblCollections[[#This Row],[CollectionID]],tblTargets[TargetID],tblTargets[DisplayName],"")</f>
        <v>Alchemist Hall Lv 2</v>
      </c>
      <c r="F82">
        <v>2</v>
      </c>
      <c r="K82" s="2" t="s">
        <v>5607</v>
      </c>
      <c r="L82" s="2">
        <f>IF(tblCollections[[#This Row],[costtext]]="", 0, LEN(tblCollections[[#This Row],[costtext]]) - LEN(SUBSTITUTE(tblCollections[[#This Row],[costtext]], ",", "")) + 1)</f>
        <v>8</v>
      </c>
      <c r="M82" s="2">
        <f>COUNTA(tblCollections[[#This Row],[apy]:[wood]])</f>
        <v>0</v>
      </c>
    </row>
    <row r="83" spans="1:13">
      <c r="A83" t="s">
        <v>5751</v>
      </c>
      <c r="B83" t="s">
        <v>5809</v>
      </c>
      <c r="C83" t="s">
        <v>5599</v>
      </c>
      <c r="D83" t="str">
        <f>_xlfn.XLOOKUP(tblCollections[[#This Row],[CollectionID]],tblTargets[TargetID],tblTargets[DisplayName],"")</f>
        <v>Alchemist Hall Lv 1</v>
      </c>
      <c r="F83">
        <v>1</v>
      </c>
      <c r="K83" s="2" t="s">
        <v>5612</v>
      </c>
      <c r="L83" s="2">
        <f>IF(tblCollections[[#This Row],[costtext]]="", 0, LEN(tblCollections[[#This Row],[costtext]]) - LEN(SUBSTITUTE(tblCollections[[#This Row],[costtext]], ",", "")) + 1)</f>
        <v>8</v>
      </c>
      <c r="M83" s="2">
        <f>COUNTA(tblCollections[[#This Row],[apy]:[wood]])</f>
        <v>0</v>
      </c>
    </row>
    <row r="84" spans="1:13">
      <c r="A84" t="s">
        <v>5752</v>
      </c>
      <c r="B84" t="s">
        <v>5809</v>
      </c>
      <c r="C84" t="s">
        <v>5599</v>
      </c>
      <c r="D84" t="str">
        <f>_xlfn.XLOOKUP(tblCollections[[#This Row],[CollectionID]],tblTargets[TargetID],tblTargets[DisplayName],"")</f>
        <v>Alchemist Hall Lv 2</v>
      </c>
      <c r="F84">
        <v>2</v>
      </c>
      <c r="K84" s="2" t="s">
        <v>5613</v>
      </c>
      <c r="L84" s="2">
        <f>IF(tblCollections[[#This Row],[costtext]]="", 0, LEN(tblCollections[[#This Row],[costtext]]) - LEN(SUBSTITUTE(tblCollections[[#This Row],[costtext]], ",", "")) + 1)</f>
        <v>8</v>
      </c>
      <c r="M84" s="2">
        <f>COUNTA(tblCollections[[#This Row],[apy]:[wood]])</f>
        <v>0</v>
      </c>
    </row>
    <row r="85" spans="1:13">
      <c r="A85" t="s">
        <v>5753</v>
      </c>
      <c r="B85" t="s">
        <v>5810</v>
      </c>
      <c r="C85" t="s">
        <v>5601</v>
      </c>
      <c r="D85" t="str">
        <f>_xlfn.XLOOKUP(tblCollections[[#This Row],[CollectionID]],tblTargets[TargetID],tblTargets[DisplayName],"")</f>
        <v>Alchemist Hall Lv 1</v>
      </c>
      <c r="F85">
        <v>1</v>
      </c>
      <c r="K85" s="2" t="s">
        <v>5614</v>
      </c>
      <c r="L85" s="2">
        <f>IF(tblCollections[[#This Row],[costtext]]="", 0, LEN(tblCollections[[#This Row],[costtext]]) - LEN(SUBSTITUTE(tblCollections[[#This Row],[costtext]], ",", "")) + 1)</f>
        <v>5</v>
      </c>
      <c r="M85" s="2">
        <f>COUNTA(tblCollections[[#This Row],[apy]:[wood]])</f>
        <v>0</v>
      </c>
    </row>
    <row r="86" spans="1:13">
      <c r="A86" t="s">
        <v>5754</v>
      </c>
      <c r="B86" t="s">
        <v>5810</v>
      </c>
      <c r="C86" t="s">
        <v>5601</v>
      </c>
      <c r="D86" t="str">
        <f>_xlfn.XLOOKUP(tblCollections[[#This Row],[CollectionID]],tblTargets[TargetID],tblTargets[DisplayName],"")</f>
        <v>Alchemist Hall Lv 2</v>
      </c>
      <c r="F86">
        <v>2</v>
      </c>
      <c r="K86" s="2" t="s">
        <v>5615</v>
      </c>
      <c r="L86" s="2">
        <f>IF(tblCollections[[#This Row],[costtext]]="", 0, LEN(tblCollections[[#This Row],[costtext]]) - LEN(SUBSTITUTE(tblCollections[[#This Row],[costtext]], ",", "")) + 1)</f>
        <v>5</v>
      </c>
      <c r="M86" s="2">
        <f>COUNTA(tblCollections[[#This Row],[apy]:[wood]])</f>
        <v>0</v>
      </c>
    </row>
    <row r="87" spans="1:13">
      <c r="A87" t="s">
        <v>5655</v>
      </c>
      <c r="B87" t="s">
        <v>5627</v>
      </c>
      <c r="C87" t="s">
        <v>5593</v>
      </c>
      <c r="D87" t="str">
        <f>_xlfn.XLOOKUP(tblCollections[[#This Row],[CollectionID]],tblTargets[TargetID],tblTargets[DisplayName],"")</f>
        <v>Broken Minecart</v>
      </c>
      <c r="F87">
        <v>1</v>
      </c>
      <c r="K87" s="2" t="s">
        <v>5608</v>
      </c>
      <c r="L87" s="2">
        <f>IF(tblCollections[[#This Row],[costtext]]="", 0, LEN(tblCollections[[#This Row],[costtext]]) - LEN(SUBSTITUTE(tblCollections[[#This Row],[costtext]], ",", "")) + 1)</f>
        <v>1</v>
      </c>
      <c r="M87" s="2">
        <f>COUNTA(tblCollections[[#This Row],[apy]:[wood]])</f>
        <v>0</v>
      </c>
    </row>
    <row r="88" spans="1:13">
      <c r="A88" t="s">
        <v>5926</v>
      </c>
      <c r="B88" t="s">
        <v>5628</v>
      </c>
      <c r="C88" t="s">
        <v>5594</v>
      </c>
      <c r="D88" t="str">
        <f>_xlfn.XLOOKUP(tblCollections[[#This Row],[CollectionID]],tblTargets[TargetID],tblTargets[DisplayName],"")</f>
        <v>Crystal Cave</v>
      </c>
      <c r="F88">
        <v>1</v>
      </c>
      <c r="K88" s="2" t="s">
        <v>5609</v>
      </c>
      <c r="L88" s="2">
        <f>IF(tblCollections[[#This Row],[costtext]]="", 0, LEN(tblCollections[[#This Row],[costtext]]) - LEN(SUBSTITUTE(tblCollections[[#This Row],[costtext]], ",", "")) + 1)</f>
        <v>5</v>
      </c>
      <c r="M88" s="2">
        <f>COUNTA(tblCollections[[#This Row],[apy]:[wood]])</f>
        <v>0</v>
      </c>
    </row>
    <row r="89" spans="1:13">
      <c r="A89" t="s">
        <v>5925</v>
      </c>
      <c r="B89" t="s">
        <v>5629</v>
      </c>
      <c r="C89" t="s">
        <v>5600</v>
      </c>
      <c r="D89" t="str">
        <f>_xlfn.XLOOKUP(tblCollections[[#This Row],[CollectionID]],tblTargets[TargetID],tblTargets[DisplayName],"")</f>
        <v>Collection Staircase</v>
      </c>
      <c r="F89">
        <v>1</v>
      </c>
      <c r="K89" s="2" t="s">
        <v>5603</v>
      </c>
      <c r="L89" s="2">
        <f>IF(tblCollections[[#This Row],[costtext]]="", 0, LEN(tblCollections[[#This Row],[costtext]]) - LEN(SUBSTITUTE(tblCollections[[#This Row],[costtext]], ",", "")) + 1)</f>
        <v>4</v>
      </c>
      <c r="M89" s="2">
        <f>COUNTA(tblCollections[[#This Row],[apy]:[wood]])</f>
        <v>0</v>
      </c>
    </row>
  </sheetData>
  <phoneticPr fontId="4"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078C8-208A-4B78-8F3F-751A8BCB52E2}">
  <sheetPr>
    <tabColor rgb="FF00B050"/>
  </sheetPr>
  <dimension ref="A1:AX21"/>
  <sheetViews>
    <sheetView workbookViewId="0"/>
  </sheetViews>
  <sheetFormatPr defaultColWidth="8.7265625" defaultRowHeight="14.5"/>
  <cols>
    <col min="1" max="1" width="27.26953125" style="2" bestFit="1" customWidth="1"/>
    <col min="2" max="2" width="19" style="2" bestFit="1" customWidth="1"/>
    <col min="3" max="4" width="18.7265625" style="2" bestFit="1" customWidth="1"/>
    <col min="5" max="5" width="11.453125" style="2" bestFit="1" customWidth="1"/>
    <col min="6" max="6" width="7.90625" style="2" bestFit="1" customWidth="1"/>
    <col min="7" max="7" width="7.36328125" style="2" bestFit="1" customWidth="1"/>
    <col min="8" max="8" width="76.36328125" style="2" customWidth="1"/>
    <col min="9" max="9" width="30.26953125" style="2" customWidth="1"/>
    <col min="10" max="10" width="32.453125" style="2" customWidth="1"/>
    <col min="11" max="13" width="31.36328125" style="2" customWidth="1"/>
    <col min="14" max="14" width="8.453125" style="2" bestFit="1" customWidth="1"/>
    <col min="15" max="15" width="13.26953125" style="2" bestFit="1" customWidth="1"/>
    <col min="16" max="16" width="12.08984375" style="2" bestFit="1" customWidth="1"/>
    <col min="17" max="17" width="12.6328125" style="2" bestFit="1" customWidth="1"/>
    <col min="18" max="18" width="14.08984375" style="2" bestFit="1" customWidth="1"/>
    <col min="19" max="19" width="9.1796875" style="2" bestFit="1" customWidth="1"/>
    <col min="20" max="20" width="10.90625" style="2" bestFit="1" customWidth="1"/>
    <col min="21" max="21" width="10.1796875" style="2" bestFit="1" customWidth="1"/>
    <col min="22" max="22" width="13.453125" style="2" bestFit="1" customWidth="1"/>
    <col min="23" max="23" width="9.54296875" style="2" bestFit="1" customWidth="1"/>
    <col min="24" max="24" width="11" style="2" bestFit="1" customWidth="1"/>
    <col min="25" max="25" width="9.81640625" style="2" bestFit="1" customWidth="1"/>
    <col min="26" max="26" width="12.6328125" style="2" bestFit="1" customWidth="1"/>
    <col min="27" max="27" width="10.36328125" style="2" bestFit="1" customWidth="1"/>
    <col min="28" max="28" width="10.7265625" style="2" bestFit="1" customWidth="1"/>
    <col min="29" max="29" width="9.81640625" style="2" bestFit="1" customWidth="1"/>
    <col min="30" max="30" width="9.6328125" style="2" bestFit="1" customWidth="1"/>
    <col min="31" max="31" width="15.36328125" style="2" bestFit="1" customWidth="1"/>
    <col min="32" max="32" width="12.54296875" style="2" bestFit="1" customWidth="1"/>
    <col min="33" max="33" width="10.453125" style="2" bestFit="1" customWidth="1"/>
    <col min="34" max="34" width="11.453125" style="2" bestFit="1" customWidth="1"/>
    <col min="35" max="35" width="7.6328125" style="2" bestFit="1" customWidth="1"/>
    <col min="36" max="36" width="9.54296875" style="2" bestFit="1" customWidth="1"/>
    <col min="37" max="37" width="10.36328125" style="2" bestFit="1" customWidth="1"/>
    <col min="38" max="38" width="10.1796875" style="2" bestFit="1" customWidth="1"/>
    <col min="39" max="39" width="9.81640625" style="2" bestFit="1" customWidth="1"/>
    <col min="40" max="40" width="12" style="2" bestFit="1" customWidth="1"/>
    <col min="41" max="41" width="8.7265625" style="2"/>
    <col min="42" max="42" width="9.26953125" style="2" bestFit="1" customWidth="1"/>
    <col min="43" max="43" width="10.1796875" style="2" bestFit="1" customWidth="1"/>
    <col min="44" max="44" width="8.453125" style="2" bestFit="1" customWidth="1"/>
    <col min="45" max="45" width="9.81640625" style="2" bestFit="1" customWidth="1"/>
    <col min="46" max="46" width="10.08984375" style="2" bestFit="1" customWidth="1"/>
    <col min="47" max="47" width="11" style="2" bestFit="1" customWidth="1"/>
    <col min="48" max="48" width="10.453125" style="2" bestFit="1" customWidth="1"/>
    <col min="49" max="49" width="9.26953125" style="2" bestFit="1" customWidth="1"/>
    <col min="50" max="50" width="10.90625" style="2" bestFit="1" customWidth="1"/>
    <col min="51" max="16384" width="8.7265625" style="2"/>
  </cols>
  <sheetData>
    <row r="1" spans="1:50">
      <c r="A1" s="20" t="s">
        <v>2088</v>
      </c>
      <c r="B1" s="21" t="s">
        <v>6</v>
      </c>
      <c r="C1" s="21" t="s">
        <v>2089</v>
      </c>
      <c r="D1" s="21" t="s">
        <v>8</v>
      </c>
      <c r="E1" s="21" t="s">
        <v>11</v>
      </c>
      <c r="F1" s="21" t="s">
        <v>7</v>
      </c>
      <c r="G1" s="21" t="s">
        <v>1453</v>
      </c>
      <c r="H1" s="21" t="s">
        <v>1455</v>
      </c>
      <c r="I1" s="21" t="s">
        <v>552</v>
      </c>
      <c r="J1" s="21" t="s">
        <v>568</v>
      </c>
      <c r="K1" s="22" t="s">
        <v>241</v>
      </c>
      <c r="L1" s="36" t="s">
        <v>3656</v>
      </c>
      <c r="M1" s="30" t="s">
        <v>3657</v>
      </c>
      <c r="N1" s="22" t="s">
        <v>655</v>
      </c>
      <c r="O1" s="22" t="s">
        <v>662</v>
      </c>
      <c r="P1" s="22" t="s">
        <v>928</v>
      </c>
      <c r="Q1" s="22" t="s">
        <v>663</v>
      </c>
      <c r="R1" s="22" t="s">
        <v>664</v>
      </c>
      <c r="S1" s="22" t="s">
        <v>666</v>
      </c>
      <c r="T1" s="22" t="s">
        <v>667</v>
      </c>
      <c r="U1" s="22" t="s">
        <v>1802</v>
      </c>
      <c r="V1" s="22" t="s">
        <v>2066</v>
      </c>
      <c r="W1" s="22" t="s">
        <v>934</v>
      </c>
      <c r="X1" s="22" t="s">
        <v>935</v>
      </c>
      <c r="Y1" s="22" t="s">
        <v>674</v>
      </c>
      <c r="Z1" s="22" t="s">
        <v>677</v>
      </c>
      <c r="AA1" s="22" t="s">
        <v>679</v>
      </c>
      <c r="AB1" s="22" t="s">
        <v>938</v>
      </c>
      <c r="AC1" s="22" t="s">
        <v>680</v>
      </c>
      <c r="AD1" s="22" t="s">
        <v>685</v>
      </c>
      <c r="AE1" s="22" t="s">
        <v>686</v>
      </c>
      <c r="AF1" s="22" t="s">
        <v>687</v>
      </c>
      <c r="AG1" s="22" t="s">
        <v>690</v>
      </c>
      <c r="AH1" s="22" t="s">
        <v>693</v>
      </c>
      <c r="AI1" s="22" t="s">
        <v>695</v>
      </c>
      <c r="AJ1" s="22" t="s">
        <v>696</v>
      </c>
      <c r="AK1" s="22" t="s">
        <v>697</v>
      </c>
      <c r="AL1" s="22" t="s">
        <v>698</v>
      </c>
      <c r="AM1" s="22" t="s">
        <v>699</v>
      </c>
      <c r="AN1" s="22" t="s">
        <v>705</v>
      </c>
      <c r="AO1" s="22" t="s">
        <v>707</v>
      </c>
      <c r="AP1" s="22" t="s">
        <v>708</v>
      </c>
      <c r="AQ1" s="22" t="s">
        <v>710</v>
      </c>
      <c r="AR1" s="22" t="s">
        <v>711</v>
      </c>
      <c r="AS1" s="22" t="s">
        <v>716</v>
      </c>
      <c r="AT1" s="22" t="s">
        <v>1847</v>
      </c>
      <c r="AU1" s="22" t="s">
        <v>719</v>
      </c>
      <c r="AV1" s="22" t="s">
        <v>955</v>
      </c>
      <c r="AW1" s="22" t="s">
        <v>956</v>
      </c>
      <c r="AX1" s="23" t="s">
        <v>957</v>
      </c>
    </row>
    <row r="2" spans="1:50" ht="29">
      <c r="A2" s="2" t="s">
        <v>2650</v>
      </c>
      <c r="B2" s="2" t="s">
        <v>3055</v>
      </c>
      <c r="C2" s="2" t="s">
        <v>2026</v>
      </c>
      <c r="D2" s="2" t="str">
        <f>_xlfn.XLOOKUP(tblCraftifacts[[#This Row],[CraftifactID]],tblTargets[TargetID],tblTargets[DisplayName],"")</f>
        <v>Astrolabe</v>
      </c>
      <c r="E2" s="2" t="b">
        <v>1</v>
      </c>
      <c r="H2" s="2" t="s">
        <v>2046</v>
      </c>
      <c r="I2" s="2" t="s">
        <v>1994</v>
      </c>
      <c r="J2" s="2" t="s">
        <v>1995</v>
      </c>
      <c r="K2" s="2" t="s">
        <v>2067</v>
      </c>
      <c r="L2" s="2">
        <f>IF(tblCraftifacts[[#This Row],[costtext]]="", 0, LEN(tblCraftifacts[[#This Row],[costtext]]) - LEN(SUBSTITUTE(tblCraftifacts[[#This Row],[costtext]], ",", "")) + 1)</f>
        <v>5</v>
      </c>
      <c r="M2" s="2">
        <f>COUNTA(tblCraftifacts[[#This Row],[apy]:[velour]])</f>
        <v>5</v>
      </c>
      <c r="O2" s="2">
        <v>15</v>
      </c>
      <c r="S2" s="2">
        <v>1000</v>
      </c>
      <c r="AE2" s="2">
        <v>10</v>
      </c>
      <c r="AJ2" s="2">
        <v>40</v>
      </c>
      <c r="AP2" s="2">
        <v>10</v>
      </c>
    </row>
    <row r="3" spans="1:50" ht="43.5">
      <c r="A3" s="2" t="s">
        <v>2652</v>
      </c>
      <c r="B3" s="2" t="s">
        <v>3056</v>
      </c>
      <c r="C3" s="2" t="s">
        <v>2027</v>
      </c>
      <c r="D3" s="2" t="str">
        <f>_xlfn.XLOOKUP(tblCraftifacts[[#This Row],[CraftifactID]],tblTargets[TargetID],tblTargets[DisplayName],"")</f>
        <v>Barometer</v>
      </c>
      <c r="E3" s="2" t="b">
        <v>1</v>
      </c>
      <c r="H3" s="2" t="s">
        <v>2047</v>
      </c>
      <c r="I3" s="2" t="s">
        <v>1996</v>
      </c>
      <c r="J3" s="2" t="s">
        <v>1997</v>
      </c>
      <c r="K3" s="2" t="s">
        <v>2068</v>
      </c>
      <c r="L3" s="2">
        <f>IF(tblCraftifacts[[#This Row],[costtext]]="", 0, LEN(tblCraftifacts[[#This Row],[costtext]]) - LEN(SUBSTITUTE(tblCraftifacts[[#This Row],[costtext]], ",", "")) + 1)</f>
        <v>5</v>
      </c>
      <c r="M3" s="2">
        <f>COUNTA(tblCraftifacts[[#This Row],[apy]:[velour]])</f>
        <v>5</v>
      </c>
      <c r="O3" s="2">
        <v>40</v>
      </c>
      <c r="S3" s="2">
        <v>1000</v>
      </c>
      <c r="Y3" s="2">
        <v>20</v>
      </c>
      <c r="AF3" s="2">
        <v>25</v>
      </c>
      <c r="AK3" s="2">
        <v>20</v>
      </c>
    </row>
    <row r="4" spans="1:50" ht="43.5">
      <c r="A4" s="2" t="s">
        <v>2653</v>
      </c>
      <c r="B4" s="2" t="s">
        <v>3057</v>
      </c>
      <c r="C4" s="2" t="s">
        <v>2028</v>
      </c>
      <c r="D4" s="2" t="str">
        <f>_xlfn.XLOOKUP(tblCraftifacts[[#This Row],[CraftifactID]],tblTargets[TargetID],tblTargets[DisplayName],"")</f>
        <v>Cinema Projector</v>
      </c>
      <c r="E4" s="2" t="b">
        <v>1</v>
      </c>
      <c r="H4" s="2" t="s">
        <v>2048</v>
      </c>
      <c r="I4" s="2" t="s">
        <v>1998</v>
      </c>
      <c r="J4" s="2" t="s">
        <v>1999</v>
      </c>
      <c r="K4" s="2" t="s">
        <v>2069</v>
      </c>
      <c r="L4" s="2">
        <f>IF(tblCraftifacts[[#This Row],[costtext]]="", 0, LEN(tblCraftifacts[[#This Row],[costtext]]) - LEN(SUBSTITUTE(tblCraftifacts[[#This Row],[costtext]], ",", "")) + 1)</f>
        <v>7</v>
      </c>
      <c r="M4" s="2">
        <f>COUNTA(tblCraftifacts[[#This Row],[apy]:[velour]])</f>
        <v>7</v>
      </c>
      <c r="O4" s="2">
        <v>80</v>
      </c>
      <c r="P4" s="2">
        <v>10</v>
      </c>
      <c r="R4" s="2">
        <v>30</v>
      </c>
      <c r="Y4" s="2">
        <v>30</v>
      </c>
      <c r="AE4" s="2">
        <v>30</v>
      </c>
      <c r="AN4" s="2">
        <v>30</v>
      </c>
      <c r="AR4" s="2">
        <v>10</v>
      </c>
    </row>
    <row r="5" spans="1:50" ht="29">
      <c r="A5" s="2" t="s">
        <v>2654</v>
      </c>
      <c r="B5" s="2" t="s">
        <v>3058</v>
      </c>
      <c r="C5" s="2" t="s">
        <v>2029</v>
      </c>
      <c r="D5" s="2" t="str">
        <f>_xlfn.XLOOKUP(tblCraftifacts[[#This Row],[CraftifactID]],tblTargets[TargetID],tblTargets[DisplayName],"")</f>
        <v>Dagger</v>
      </c>
      <c r="E5" s="2" t="b">
        <v>1</v>
      </c>
      <c r="H5" s="2" t="s">
        <v>2049</v>
      </c>
      <c r="I5" s="2" t="s">
        <v>2000</v>
      </c>
      <c r="J5" s="2" t="s">
        <v>2001</v>
      </c>
      <c r="K5" s="2" t="s">
        <v>2070</v>
      </c>
      <c r="L5" s="2">
        <f>IF(tblCraftifacts[[#This Row],[costtext]]="", 0, LEN(tblCraftifacts[[#This Row],[costtext]]) - LEN(SUBSTITUTE(tblCraftifacts[[#This Row],[costtext]], ",", "")) + 1)</f>
        <v>6</v>
      </c>
      <c r="M5" s="2">
        <f>COUNTA(tblCraftifacts[[#This Row],[apy]:[velour]])</f>
        <v>6</v>
      </c>
      <c r="T5" s="2">
        <v>100</v>
      </c>
      <c r="AC5" s="2">
        <v>10</v>
      </c>
      <c r="AH5" s="2">
        <v>30</v>
      </c>
      <c r="AJ5" s="2">
        <v>20</v>
      </c>
      <c r="AP5" s="2">
        <v>5</v>
      </c>
      <c r="AQ5" s="2">
        <v>1</v>
      </c>
    </row>
    <row r="6" spans="1:50" ht="29">
      <c r="A6" s="2" t="s">
        <v>2655</v>
      </c>
      <c r="B6" s="2" t="s">
        <v>3059</v>
      </c>
      <c r="C6" s="2" t="s">
        <v>2030</v>
      </c>
      <c r="D6" s="2" t="str">
        <f>_xlfn.XLOOKUP(tblCraftifacts[[#This Row],[CraftifactID]],tblTargets[TargetID],tblTargets[DisplayName],"")</f>
        <v>Emerald Tablet</v>
      </c>
      <c r="E6" s="2" t="b">
        <v>1</v>
      </c>
      <c r="H6" s="2" t="s">
        <v>2050</v>
      </c>
      <c r="I6" s="2" t="s">
        <v>2002</v>
      </c>
      <c r="J6" s="2" t="s">
        <v>2003</v>
      </c>
      <c r="K6" s="2" t="s">
        <v>2071</v>
      </c>
      <c r="L6" s="2">
        <f>IF(tblCraftifacts[[#This Row],[costtext]]="", 0, LEN(tblCraftifacts[[#This Row],[costtext]]) - LEN(SUBSTITUTE(tblCraftifacts[[#This Row],[costtext]], ",", "")) + 1)</f>
        <v>2</v>
      </c>
      <c r="M6" s="2">
        <f>COUNTA(tblCraftifacts[[#This Row],[apy]:[velour]])</f>
        <v>2</v>
      </c>
      <c r="V6" s="2">
        <v>15</v>
      </c>
      <c r="AJ6" s="2">
        <v>30</v>
      </c>
    </row>
    <row r="7" spans="1:50" ht="43.5">
      <c r="A7" s="2" t="s">
        <v>2656</v>
      </c>
      <c r="B7" s="2" t="s">
        <v>3060</v>
      </c>
      <c r="C7" s="2" t="s">
        <v>2031</v>
      </c>
      <c r="D7" s="2" t="str">
        <f>_xlfn.XLOOKUP(tblCraftifacts[[#This Row],[CraftifactID]],tblTargets[TargetID],tblTargets[DisplayName],"")</f>
        <v>Flamethrower</v>
      </c>
      <c r="E7" s="2" t="b">
        <v>1</v>
      </c>
      <c r="H7" s="2" t="s">
        <v>2051</v>
      </c>
      <c r="I7" s="2" t="s">
        <v>2004</v>
      </c>
      <c r="J7" s="2" t="s">
        <v>2005</v>
      </c>
      <c r="K7" s="2" t="s">
        <v>2072</v>
      </c>
      <c r="L7" s="2">
        <f>IF(tblCraftifacts[[#This Row],[costtext]]="", 0, LEN(tblCraftifacts[[#This Row],[costtext]]) - LEN(SUBSTITUTE(tblCraftifacts[[#This Row],[costtext]], ",", "")) + 1)</f>
        <v>8</v>
      </c>
      <c r="M7" s="2">
        <f>COUNTA(tblCraftifacts[[#This Row],[apy]:[velour]])</f>
        <v>8</v>
      </c>
      <c r="N7" s="2">
        <v>10</v>
      </c>
      <c r="O7" s="2">
        <v>30</v>
      </c>
      <c r="P7" s="2">
        <v>10</v>
      </c>
      <c r="R7" s="2">
        <v>40</v>
      </c>
      <c r="Y7" s="2">
        <v>10</v>
      </c>
      <c r="AE7" s="2">
        <v>5</v>
      </c>
      <c r="AI7" s="2">
        <v>20</v>
      </c>
      <c r="AV7" s="2">
        <v>20</v>
      </c>
    </row>
    <row r="8" spans="1:50" ht="29">
      <c r="A8" s="2" t="s">
        <v>2657</v>
      </c>
      <c r="B8" s="2" t="s">
        <v>3061</v>
      </c>
      <c r="C8" s="2" t="s">
        <v>2032</v>
      </c>
      <c r="D8" s="2" t="str">
        <f>_xlfn.XLOOKUP(tblCraftifacts[[#This Row],[CraftifactID]],tblTargets[TargetID],tblTargets[DisplayName],"")</f>
        <v>Guild Banner</v>
      </c>
      <c r="E8" s="2" t="b">
        <v>1</v>
      </c>
      <c r="H8" s="2" t="s">
        <v>2052</v>
      </c>
      <c r="I8" s="2" t="s">
        <v>2006</v>
      </c>
      <c r="J8" s="2" t="s">
        <v>2007</v>
      </c>
      <c r="K8" s="2" t="s">
        <v>2073</v>
      </c>
      <c r="L8" s="2">
        <f>IF(tblCraftifacts[[#This Row],[costtext]]="", 0, LEN(tblCraftifacts[[#This Row],[costtext]]) - LEN(SUBSTITUTE(tblCraftifacts[[#This Row],[costtext]], ",", "")) + 1)</f>
        <v>1</v>
      </c>
      <c r="M8" s="2">
        <f>COUNTA(tblCraftifacts[[#This Row],[apy]:[velour]])</f>
        <v>1</v>
      </c>
      <c r="AR8" s="2">
        <v>100</v>
      </c>
    </row>
    <row r="9" spans="1:50" ht="29">
      <c r="A9" s="2" t="s">
        <v>2658</v>
      </c>
      <c r="B9" s="2" t="s">
        <v>3062</v>
      </c>
      <c r="C9" s="2" t="s">
        <v>2033</v>
      </c>
      <c r="D9" s="2" t="str">
        <f>_xlfn.XLOOKUP(tblCraftifacts[[#This Row],[CraftifactID]],tblTargets[TargetID],tblTargets[DisplayName],"")</f>
        <v>Guild Codex</v>
      </c>
      <c r="E9" s="2" t="b">
        <v>1</v>
      </c>
      <c r="H9" s="2" t="s">
        <v>2053</v>
      </c>
      <c r="I9" s="2" t="s">
        <v>2008</v>
      </c>
      <c r="J9" s="2" t="s">
        <v>2009</v>
      </c>
      <c r="K9" s="2" t="s">
        <v>2074</v>
      </c>
      <c r="L9" s="2">
        <f>IF(tblCraftifacts[[#This Row],[costtext]]="", 0, LEN(tblCraftifacts[[#This Row],[costtext]]) - LEN(SUBSTITUTE(tblCraftifacts[[#This Row],[costtext]], ",", "")) + 1)</f>
        <v>1</v>
      </c>
      <c r="M9" s="2">
        <f>COUNTA(tblCraftifacts[[#This Row],[apy]:[velour]])</f>
        <v>1</v>
      </c>
      <c r="AK9" s="2">
        <v>100</v>
      </c>
    </row>
    <row r="10" spans="1:50" ht="29">
      <c r="A10" s="2" t="s">
        <v>2659</v>
      </c>
      <c r="B10" s="2" t="s">
        <v>3063</v>
      </c>
      <c r="C10" s="2" t="s">
        <v>2034</v>
      </c>
      <c r="D10" s="2" t="str">
        <f>_xlfn.XLOOKUP(tblCraftifacts[[#This Row],[CraftifactID]],tblTargets[TargetID],tblTargets[DisplayName],"")</f>
        <v>Guild Supplies</v>
      </c>
      <c r="E10" s="2" t="b">
        <v>1</v>
      </c>
      <c r="H10" s="2" t="s">
        <v>2054</v>
      </c>
      <c r="I10" s="2" t="s">
        <v>2010</v>
      </c>
      <c r="J10" s="2" t="s">
        <v>2011</v>
      </c>
      <c r="K10" s="2" t="s">
        <v>2075</v>
      </c>
      <c r="L10" s="2">
        <f>IF(tblCraftifacts[[#This Row],[costtext]]="", 0, LEN(tblCraftifacts[[#This Row],[costtext]]) - LEN(SUBSTITUTE(tblCraftifacts[[#This Row],[costtext]], ",", "")) + 1)</f>
        <v>7</v>
      </c>
      <c r="M10" s="2">
        <f>COUNTA(tblCraftifacts[[#This Row],[apy]:[velour]])</f>
        <v>7</v>
      </c>
      <c r="U10" s="2">
        <v>50</v>
      </c>
      <c r="W10" s="2">
        <v>25</v>
      </c>
      <c r="Y10" s="2">
        <v>25</v>
      </c>
      <c r="AB10" s="2">
        <v>50</v>
      </c>
      <c r="AI10" s="2">
        <v>50</v>
      </c>
      <c r="AO10" s="2">
        <v>25</v>
      </c>
      <c r="AW10" s="2">
        <v>25</v>
      </c>
    </row>
    <row r="11" spans="1:50" ht="43.5">
      <c r="A11" s="2" t="s">
        <v>2660</v>
      </c>
      <c r="B11" s="2" t="s">
        <v>3064</v>
      </c>
      <c r="C11" s="2" t="s">
        <v>2035</v>
      </c>
      <c r="D11" s="2" t="str">
        <f>_xlfn.XLOOKUP(tblCraftifacts[[#This Row],[CraftifactID]],tblTargets[TargetID],tblTargets[DisplayName],"")</f>
        <v>Hat Of Concentration</v>
      </c>
      <c r="E11" s="2" t="b">
        <v>1</v>
      </c>
      <c r="H11" s="2" t="s">
        <v>2055</v>
      </c>
      <c r="I11" s="2" t="s">
        <v>2012</v>
      </c>
      <c r="J11" s="2" t="s">
        <v>2013</v>
      </c>
      <c r="K11" s="2" t="s">
        <v>2076</v>
      </c>
      <c r="L11" s="2">
        <f>IF(tblCraftifacts[[#This Row],[costtext]]="", 0, LEN(tblCraftifacts[[#This Row],[costtext]]) - LEN(SUBSTITUTE(tblCraftifacts[[#This Row],[costtext]], ",", "")) + 1)</f>
        <v>7</v>
      </c>
      <c r="M11" s="2">
        <f>COUNTA(tblCraftifacts[[#This Row],[apy]:[velour]])</f>
        <v>7</v>
      </c>
      <c r="X11" s="2">
        <v>20</v>
      </c>
      <c r="Z11" s="2">
        <v>20</v>
      </c>
      <c r="AA11" s="2">
        <v>10</v>
      </c>
      <c r="AF11" s="2">
        <v>10</v>
      </c>
      <c r="AR11" s="2">
        <v>10</v>
      </c>
      <c r="AT11" s="2">
        <v>2</v>
      </c>
      <c r="AX11" s="2">
        <v>12</v>
      </c>
    </row>
    <row r="12" spans="1:50" ht="29">
      <c r="A12" s="2" t="s">
        <v>2661</v>
      </c>
      <c r="B12" s="2" t="s">
        <v>3065</v>
      </c>
      <c r="C12" s="2" t="s">
        <v>2036</v>
      </c>
      <c r="D12" s="2" t="str">
        <f>_xlfn.XLOOKUP(tblCraftifacts[[#This Row],[CraftifactID]],tblTargets[TargetID],tblTargets[DisplayName],"")</f>
        <v>Helmet</v>
      </c>
      <c r="E12" s="2" t="b">
        <v>1</v>
      </c>
      <c r="H12" s="2" t="s">
        <v>2056</v>
      </c>
      <c r="I12" s="2" t="s">
        <v>2014</v>
      </c>
      <c r="J12" s="2" t="s">
        <v>2015</v>
      </c>
      <c r="K12" s="2" t="s">
        <v>2077</v>
      </c>
      <c r="L12" s="2">
        <f>IF(tblCraftifacts[[#This Row],[costtext]]="", 0, LEN(tblCraftifacts[[#This Row],[costtext]]) - LEN(SUBSTITUTE(tblCraftifacts[[#This Row],[costtext]], ",", "")) + 1)</f>
        <v>4</v>
      </c>
      <c r="M12" s="2">
        <f>COUNTA(tblCraftifacts[[#This Row],[apy]:[velour]])</f>
        <v>4</v>
      </c>
      <c r="T12" s="2">
        <v>100</v>
      </c>
      <c r="AH12" s="2">
        <v>40</v>
      </c>
      <c r="AJ12" s="2">
        <v>20</v>
      </c>
      <c r="AQ12" s="2">
        <v>1</v>
      </c>
    </row>
    <row r="13" spans="1:50" ht="29">
      <c r="A13" s="2" t="s">
        <v>2662</v>
      </c>
      <c r="B13" s="2" t="s">
        <v>3066</v>
      </c>
      <c r="C13" s="2" t="s">
        <v>2037</v>
      </c>
      <c r="D13" s="2" t="str">
        <f>_xlfn.XLOOKUP(tblCraftifacts[[#This Row],[CraftifactID]],tblTargets[TargetID],tblTargets[DisplayName],"")</f>
        <v>Historical Library</v>
      </c>
      <c r="E13" s="2" t="b">
        <v>1</v>
      </c>
      <c r="H13" s="2" t="s">
        <v>2057</v>
      </c>
      <c r="I13" s="2" t="s">
        <v>2002</v>
      </c>
      <c r="J13" s="2" t="s">
        <v>2003</v>
      </c>
      <c r="K13" s="2" t="s">
        <v>2078</v>
      </c>
      <c r="L13" s="2">
        <f>IF(tblCraftifacts[[#This Row],[costtext]]="", 0, LEN(tblCraftifacts[[#This Row],[costtext]]) - LEN(SUBSTITUTE(tblCraftifacts[[#This Row],[costtext]], ",", "")) + 1)</f>
        <v>4</v>
      </c>
      <c r="M13" s="2">
        <f>COUNTA(tblCraftifacts[[#This Row],[apy]:[velour]])</f>
        <v>4</v>
      </c>
      <c r="O13" s="2">
        <v>15</v>
      </c>
      <c r="Z13" s="2">
        <v>9</v>
      </c>
      <c r="AJ13" s="2">
        <v>40</v>
      </c>
      <c r="AQ13" s="2">
        <v>12</v>
      </c>
    </row>
    <row r="14" spans="1:50">
      <c r="A14" s="2" t="s">
        <v>2663</v>
      </c>
      <c r="B14" s="2" t="s">
        <v>3067</v>
      </c>
      <c r="C14" s="2" t="s">
        <v>2038</v>
      </c>
      <c r="D14" s="2" t="str">
        <f>_xlfn.XLOOKUP(tblCraftifacts[[#This Row],[CraftifactID]],tblTargets[TargetID],tblTargets[DisplayName],"")</f>
        <v>Hotei Statuette</v>
      </c>
      <c r="E14" s="2" t="b">
        <v>1</v>
      </c>
      <c r="H14" s="2" t="s">
        <v>2058</v>
      </c>
      <c r="I14" s="2" t="s">
        <v>2016</v>
      </c>
      <c r="J14" s="2" t="s">
        <v>2017</v>
      </c>
      <c r="K14" s="2" t="s">
        <v>2079</v>
      </c>
      <c r="L14" s="2">
        <f>IF(tblCraftifacts[[#This Row],[costtext]]="", 0, LEN(tblCraftifacts[[#This Row],[costtext]]) - LEN(SUBSTITUTE(tblCraftifacts[[#This Row],[costtext]], ",", "")) + 1)</f>
        <v>3</v>
      </c>
      <c r="M14" s="2">
        <f>COUNTA(tblCraftifacts[[#This Row],[apy]:[velour]])</f>
        <v>3</v>
      </c>
      <c r="Q14" s="2">
        <v>200</v>
      </c>
      <c r="S14" s="2">
        <v>200</v>
      </c>
      <c r="AC14" s="2">
        <v>200</v>
      </c>
    </row>
    <row r="15" spans="1:50" ht="43.5">
      <c r="A15" s="2" t="s">
        <v>2664</v>
      </c>
      <c r="B15" s="2" t="s">
        <v>3068</v>
      </c>
      <c r="C15" s="2" t="s">
        <v>2039</v>
      </c>
      <c r="D15" s="2" t="str">
        <f>_xlfn.XLOOKUP(tblCraftifacts[[#This Row],[CraftifactID]],tblTargets[TargetID],tblTargets[DisplayName],"")</f>
        <v>Metal Detector</v>
      </c>
      <c r="E15" s="2" t="b">
        <v>1</v>
      </c>
      <c r="H15" s="2" t="s">
        <v>2059</v>
      </c>
      <c r="I15" s="2" t="s">
        <v>2018</v>
      </c>
      <c r="J15" s="2" t="s">
        <v>2019</v>
      </c>
      <c r="K15" s="2" t="s">
        <v>2080</v>
      </c>
      <c r="L15" s="2">
        <f>IF(tblCraftifacts[[#This Row],[costtext]]="", 0, LEN(tblCraftifacts[[#This Row],[costtext]]) - LEN(SUBSTITUTE(tblCraftifacts[[#This Row],[costtext]], ",", "")) + 1)</f>
        <v>8</v>
      </c>
      <c r="M15" s="2">
        <f>COUNTA(tblCraftifacts[[#This Row],[apy]:[velour]])</f>
        <v>8</v>
      </c>
      <c r="N15" s="2">
        <v>20</v>
      </c>
      <c r="O15" s="2">
        <v>30</v>
      </c>
      <c r="P15" s="2">
        <v>10</v>
      </c>
      <c r="R15" s="2">
        <v>20</v>
      </c>
      <c r="AF15" s="2">
        <v>5</v>
      </c>
      <c r="AG15" s="2">
        <v>30</v>
      </c>
      <c r="AN15" s="2">
        <v>10</v>
      </c>
      <c r="AV15" s="2">
        <v>10</v>
      </c>
    </row>
    <row r="16" spans="1:50" ht="29">
      <c r="A16" s="2" t="s">
        <v>2665</v>
      </c>
      <c r="B16" s="2" t="s">
        <v>3069</v>
      </c>
      <c r="C16" s="2" t="s">
        <v>2040</v>
      </c>
      <c r="D16" s="2" t="str">
        <f>_xlfn.XLOOKUP(tblCraftifacts[[#This Row],[CraftifactID]],tblTargets[TargetID],tblTargets[DisplayName],"")</f>
        <v>Necklace For Haruka</v>
      </c>
      <c r="E16" s="2" t="b">
        <v>1</v>
      </c>
      <c r="H16" s="2" t="s">
        <v>2060</v>
      </c>
      <c r="I16" s="2" t="s">
        <v>2020</v>
      </c>
      <c r="J16" s="2" t="s">
        <v>2021</v>
      </c>
      <c r="K16" s="2" t="s">
        <v>2081</v>
      </c>
      <c r="L16" s="2">
        <f>IF(tblCraftifacts[[#This Row],[costtext]]="", 0, LEN(tblCraftifacts[[#This Row],[costtext]]) - LEN(SUBSTITUTE(tblCraftifacts[[#This Row],[costtext]], ",", "")) + 1)</f>
        <v>2</v>
      </c>
      <c r="M16" s="2">
        <f>COUNTA(tblCraftifacts[[#This Row],[apy]:[velour]])</f>
        <v>2</v>
      </c>
      <c r="AM16" s="2">
        <v>50</v>
      </c>
      <c r="AU16" s="2">
        <v>1</v>
      </c>
    </row>
    <row r="17" spans="1:48" ht="29">
      <c r="A17" s="2" t="s">
        <v>2666</v>
      </c>
      <c r="B17" s="2" t="s">
        <v>3070</v>
      </c>
      <c r="C17" s="2" t="s">
        <v>2041</v>
      </c>
      <c r="D17" s="2" t="str">
        <f>_xlfn.XLOOKUP(tblCraftifacts[[#This Row],[CraftifactID]],tblTargets[TargetID],tblTargets[DisplayName],"")</f>
        <v>Safe</v>
      </c>
      <c r="E17" s="2" t="b">
        <v>1</v>
      </c>
      <c r="H17" s="2" t="s">
        <v>2061</v>
      </c>
      <c r="I17" s="2" t="s">
        <v>1998</v>
      </c>
      <c r="J17" s="2" t="s">
        <v>1999</v>
      </c>
      <c r="K17" s="2" t="s">
        <v>2082</v>
      </c>
      <c r="L17" s="2">
        <f>IF(tblCraftifacts[[#This Row],[costtext]]="", 0, LEN(tblCraftifacts[[#This Row],[costtext]]) - LEN(SUBSTITUTE(tblCraftifacts[[#This Row],[costtext]], ",", "")) + 1)</f>
        <v>5</v>
      </c>
      <c r="M17" s="2">
        <f>COUNTA(tblCraftifacts[[#This Row],[apy]:[velour]])</f>
        <v>5</v>
      </c>
      <c r="O17" s="2">
        <v>30</v>
      </c>
      <c r="S17" s="2">
        <v>500</v>
      </c>
      <c r="AE17" s="2">
        <v>10</v>
      </c>
      <c r="AH17" s="2">
        <v>50</v>
      </c>
      <c r="AS17" s="2">
        <v>500</v>
      </c>
    </row>
    <row r="18" spans="1:48" ht="43.5">
      <c r="A18" s="2" t="s">
        <v>2667</v>
      </c>
      <c r="B18" s="2" t="s">
        <v>3071</v>
      </c>
      <c r="C18" s="2" t="s">
        <v>2042</v>
      </c>
      <c r="D18" s="2" t="str">
        <f>_xlfn.XLOOKUP(tblCraftifacts[[#This Row],[CraftifactID]],tblTargets[TargetID],tblTargets[DisplayName],"")</f>
        <v>Solver 1 Prototype</v>
      </c>
      <c r="E18" s="2" t="b">
        <v>1</v>
      </c>
      <c r="H18" s="2" t="s">
        <v>2062</v>
      </c>
      <c r="I18" s="2" t="s">
        <v>2022</v>
      </c>
      <c r="J18" s="2" t="s">
        <v>2023</v>
      </c>
      <c r="K18" s="2" t="s">
        <v>2083</v>
      </c>
      <c r="L18" s="2">
        <f>IF(tblCraftifacts[[#This Row],[costtext]]="", 0, LEN(tblCraftifacts[[#This Row],[costtext]]) - LEN(SUBSTITUTE(tblCraftifacts[[#This Row],[costtext]], ",", "")) + 1)</f>
        <v>6</v>
      </c>
      <c r="M18" s="2">
        <f>COUNTA(tblCraftifacts[[#This Row],[apy]:[velour]])</f>
        <v>6</v>
      </c>
      <c r="O18" s="2">
        <v>32</v>
      </c>
      <c r="AC18" s="2">
        <v>16</v>
      </c>
      <c r="AD18" s="2">
        <v>8</v>
      </c>
      <c r="AE18" s="2">
        <v>16</v>
      </c>
      <c r="AL18" s="2">
        <v>4</v>
      </c>
      <c r="AV18" s="2">
        <v>40</v>
      </c>
    </row>
    <row r="19" spans="1:48" ht="29">
      <c r="A19" s="2" t="s">
        <v>2668</v>
      </c>
      <c r="B19" s="2" t="s">
        <v>3072</v>
      </c>
      <c r="C19" s="2" t="s">
        <v>2043</v>
      </c>
      <c r="D19" s="2" t="str">
        <f>_xlfn.XLOOKUP(tblCraftifacts[[#This Row],[CraftifactID]],tblTargets[TargetID],tblTargets[DisplayName],"")</f>
        <v>Telescope</v>
      </c>
      <c r="E19" s="2" t="b">
        <v>1</v>
      </c>
      <c r="H19" s="2" t="s">
        <v>2063</v>
      </c>
      <c r="I19" s="2" t="s">
        <v>1998</v>
      </c>
      <c r="J19" s="2" t="s">
        <v>1999</v>
      </c>
      <c r="K19" s="2" t="s">
        <v>2084</v>
      </c>
      <c r="L19" s="2">
        <f>IF(tblCraftifacts[[#This Row],[costtext]]="", 0, LEN(tblCraftifacts[[#This Row],[costtext]]) - LEN(SUBSTITUTE(tblCraftifacts[[#This Row],[costtext]], ",", "")) + 1)</f>
        <v>4</v>
      </c>
      <c r="M19" s="2">
        <f>COUNTA(tblCraftifacts[[#This Row],[apy]:[velour]])</f>
        <v>4</v>
      </c>
      <c r="O19" s="2">
        <v>40</v>
      </c>
      <c r="Y19" s="2">
        <v>60</v>
      </c>
      <c r="AE19" s="2">
        <v>20</v>
      </c>
      <c r="AP19" s="2">
        <v>5</v>
      </c>
    </row>
    <row r="20" spans="1:48" ht="29">
      <c r="A20" s="2" t="s">
        <v>2669</v>
      </c>
      <c r="B20" s="2" t="s">
        <v>3073</v>
      </c>
      <c r="C20" s="2" t="s">
        <v>2044</v>
      </c>
      <c r="D20" s="2" t="str">
        <f>_xlfn.XLOOKUP(tblCraftifacts[[#This Row],[CraftifactID]],tblTargets[TargetID],tblTargets[DisplayName],"")</f>
        <v>Tetrachloroaurate</v>
      </c>
      <c r="E20" s="2" t="b">
        <v>1</v>
      </c>
      <c r="H20" s="2" t="s">
        <v>2064</v>
      </c>
      <c r="I20" s="2" t="s">
        <v>2024</v>
      </c>
      <c r="J20" s="2" t="s">
        <v>2025</v>
      </c>
      <c r="K20" s="2" t="s">
        <v>2085</v>
      </c>
      <c r="L20" s="2">
        <f>IF(tblCraftifacts[[#This Row],[costtext]]="", 0, LEN(tblCraftifacts[[#This Row],[costtext]]) - LEN(SUBSTITUTE(tblCraftifacts[[#This Row],[costtext]], ",", "")) + 1)</f>
        <v>5</v>
      </c>
      <c r="M20" s="2">
        <f>COUNTA(tblCraftifacts[[#This Row],[apy]:[velour]])</f>
        <v>5</v>
      </c>
      <c r="P20" s="2">
        <v>30</v>
      </c>
      <c r="R20" s="2">
        <v>50</v>
      </c>
      <c r="Y20" s="2">
        <v>30</v>
      </c>
      <c r="AC20" s="2">
        <v>50</v>
      </c>
      <c r="AN20" s="2">
        <v>40</v>
      </c>
    </row>
    <row r="21" spans="1:48" ht="29">
      <c r="A21" s="2" t="s">
        <v>2670</v>
      </c>
      <c r="B21" s="2" t="s">
        <v>3074</v>
      </c>
      <c r="C21" s="2" t="s">
        <v>2045</v>
      </c>
      <c r="D21" s="2" t="str">
        <f>_xlfn.XLOOKUP(tblCraftifacts[[#This Row],[CraftifactID]],tblTargets[TargetID],tblTargets[DisplayName],"")</f>
        <v>Trigonometry</v>
      </c>
      <c r="E21" s="2" t="b">
        <v>1</v>
      </c>
      <c r="H21" s="2" t="s">
        <v>2065</v>
      </c>
      <c r="I21" s="2" t="s">
        <v>2002</v>
      </c>
      <c r="J21" s="2" t="s">
        <v>2003</v>
      </c>
      <c r="K21" s="2" t="s">
        <v>2086</v>
      </c>
      <c r="L21" s="2">
        <f>IF(tblCraftifacts[[#This Row],[costtext]]="", 0, LEN(tblCraftifacts[[#This Row],[costtext]]) - LEN(SUBSTITUTE(tblCraftifacts[[#This Row],[costtext]], ",", "")) + 1)</f>
        <v>2</v>
      </c>
      <c r="M21" s="2">
        <f>COUNTA(tblCraftifacts[[#This Row],[apy]:[velour]])</f>
        <v>2</v>
      </c>
      <c r="AJ21" s="2">
        <v>60</v>
      </c>
      <c r="AQ21" s="2">
        <v>1</v>
      </c>
    </row>
  </sheetData>
  <phoneticPr fontId="4" type="noConversion"/>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9BAF1-8861-4D70-B32B-F9530D081236}">
  <sheetPr>
    <tabColor rgb="FF00B050"/>
  </sheetPr>
  <dimension ref="A1:O61"/>
  <sheetViews>
    <sheetView workbookViewId="0"/>
  </sheetViews>
  <sheetFormatPr defaultColWidth="20.26953125" defaultRowHeight="14.5"/>
  <cols>
    <col min="1" max="1" width="46.90625" bestFit="1" customWidth="1"/>
    <col min="2" max="2" width="26.7265625" customWidth="1"/>
    <col min="3" max="3" width="19.08984375" style="2" customWidth="1"/>
    <col min="4" max="4" width="22.6328125" customWidth="1"/>
    <col min="5" max="5" width="7.08984375" customWidth="1"/>
    <col min="8" max="8" width="22.08984375" customWidth="1"/>
    <col min="9" max="9" width="27" customWidth="1"/>
    <col min="11" max="11" width="39" customWidth="1"/>
    <col min="12" max="12" width="35.36328125" customWidth="1"/>
  </cols>
  <sheetData>
    <row r="1" spans="1:15">
      <c r="A1" t="s">
        <v>1371</v>
      </c>
      <c r="B1" t="s">
        <v>6</v>
      </c>
      <c r="C1" s="2" t="s">
        <v>1372</v>
      </c>
      <c r="D1" t="s">
        <v>8</v>
      </c>
      <c r="E1" t="s">
        <v>11</v>
      </c>
      <c r="F1" t="s">
        <v>1662</v>
      </c>
      <c r="G1" t="s">
        <v>1373</v>
      </c>
      <c r="H1" s="2" t="s">
        <v>5740</v>
      </c>
      <c r="I1" s="2" t="s">
        <v>5572</v>
      </c>
      <c r="J1" s="2" t="s">
        <v>1454</v>
      </c>
      <c r="K1" s="2" t="s">
        <v>1455</v>
      </c>
      <c r="L1" s="2" t="s">
        <v>552</v>
      </c>
      <c r="M1" s="2" t="s">
        <v>1456</v>
      </c>
      <c r="N1" s="10" t="s">
        <v>1457</v>
      </c>
      <c r="O1" s="10" t="s">
        <v>568</v>
      </c>
    </row>
    <row r="2" spans="1:15" ht="43.5">
      <c r="A2" t="s">
        <v>2283</v>
      </c>
      <c r="B2" s="2" t="s">
        <v>1398</v>
      </c>
      <c r="C2" s="2" t="s">
        <v>5571</v>
      </c>
      <c r="D2" t="str">
        <f>_xlfn.LET(_xlpm.x,_xlfn.XLOOKUP(tblQuests[[#This Row],[QuestID]]&amp;".accepted",tblTargets[TargetID],tblTargets[DisplayName],""),LEFT(_xlpm.x,LEN(_xlpm.x)-9))</f>
        <v>Ahead of Time Chapter 1</v>
      </c>
      <c r="E2" t="b">
        <v>1</v>
      </c>
      <c r="F2" s="2" t="s">
        <v>1387</v>
      </c>
      <c r="G2" s="2">
        <v>1</v>
      </c>
      <c r="H2" s="2" t="s">
        <v>1458</v>
      </c>
      <c r="I2" s="2"/>
      <c r="J2" s="2" t="s">
        <v>1459</v>
      </c>
      <c r="K2" s="2" t="s">
        <v>1460</v>
      </c>
      <c r="L2" s="2" t="s">
        <v>1461</v>
      </c>
      <c r="M2" s="2" t="s">
        <v>588</v>
      </c>
      <c r="N2" s="2" t="s">
        <v>328</v>
      </c>
      <c r="O2" s="11" t="s">
        <v>588</v>
      </c>
    </row>
    <row r="3" spans="1:15" ht="43.5">
      <c r="A3" t="s">
        <v>2286</v>
      </c>
      <c r="B3" s="2" t="s">
        <v>1399</v>
      </c>
      <c r="C3" s="2" t="s">
        <v>3644</v>
      </c>
      <c r="D3" t="str">
        <f>_xlfn.LET(_xlpm.x,_xlfn.XLOOKUP(tblQuests[[#This Row],[QuestID]]&amp;".accepted",tblTargets[TargetID],tblTargets[DisplayName],""),LEFT(_xlpm.x,LEN(_xlpm.x)-9))</f>
        <v>Ahead of Time Chapter 2</v>
      </c>
      <c r="E3" t="b">
        <v>1</v>
      </c>
      <c r="F3" s="2" t="s">
        <v>1387</v>
      </c>
      <c r="G3" s="2">
        <v>2</v>
      </c>
      <c r="H3" s="2"/>
      <c r="I3" s="2"/>
      <c r="J3" s="2" t="s">
        <v>1462</v>
      </c>
      <c r="K3" s="2" t="s">
        <v>1463</v>
      </c>
      <c r="L3" s="2" t="s">
        <v>1464</v>
      </c>
      <c r="M3" s="2" t="s">
        <v>1465</v>
      </c>
      <c r="N3" s="2" t="s">
        <v>328</v>
      </c>
      <c r="O3" s="11" t="s">
        <v>1465</v>
      </c>
    </row>
    <row r="4" spans="1:15" ht="29">
      <c r="A4" t="s">
        <v>2289</v>
      </c>
      <c r="B4" s="2" t="s">
        <v>1400</v>
      </c>
      <c r="C4" s="2" t="s">
        <v>3645</v>
      </c>
      <c r="D4" t="str">
        <f>_xlfn.LET(_xlpm.x,_xlfn.XLOOKUP(tblQuests[[#This Row],[QuestID]]&amp;".accepted",tblTargets[TargetID],tblTargets[DisplayName],""),LEFT(_xlpm.x,LEN(_xlpm.x)-9))</f>
        <v>Ahead of Time Chapter 3</v>
      </c>
      <c r="E4" t="b">
        <v>1</v>
      </c>
      <c r="F4" s="2" t="s">
        <v>1387</v>
      </c>
      <c r="G4" s="2">
        <v>3</v>
      </c>
      <c r="H4" s="2"/>
      <c r="I4" s="2"/>
      <c r="J4" s="2" t="s">
        <v>1466</v>
      </c>
      <c r="K4" s="2" t="s">
        <v>1467</v>
      </c>
      <c r="L4" s="2" t="s">
        <v>1468</v>
      </c>
      <c r="M4" s="2" t="s">
        <v>1469</v>
      </c>
      <c r="N4" s="2" t="s">
        <v>328</v>
      </c>
      <c r="O4" s="11" t="s">
        <v>1469</v>
      </c>
    </row>
    <row r="5" spans="1:15" ht="29">
      <c r="A5" t="s">
        <v>2292</v>
      </c>
      <c r="B5" s="2" t="s">
        <v>1401</v>
      </c>
      <c r="C5" s="2" t="s">
        <v>3646</v>
      </c>
      <c r="D5" t="str">
        <f>_xlfn.LET(_xlpm.x,_xlfn.XLOOKUP(tblQuests[[#This Row],[QuestID]]&amp;".accepted",tblTargets[TargetID],tblTargets[DisplayName],""),LEFT(_xlpm.x,LEN(_xlpm.x)-9))</f>
        <v>Ahead of Time Chapter 4</v>
      </c>
      <c r="E5" t="b">
        <v>1</v>
      </c>
      <c r="F5" s="2" t="s">
        <v>1387</v>
      </c>
      <c r="G5" s="2">
        <v>4</v>
      </c>
      <c r="H5" s="2"/>
      <c r="I5" s="2"/>
      <c r="J5" s="2" t="s">
        <v>1470</v>
      </c>
      <c r="K5" s="2" t="s">
        <v>1467</v>
      </c>
      <c r="L5" s="2" t="s">
        <v>1471</v>
      </c>
      <c r="M5" s="2" t="s">
        <v>1472</v>
      </c>
      <c r="N5" s="2" t="s">
        <v>328</v>
      </c>
      <c r="O5" s="11" t="s">
        <v>1472</v>
      </c>
    </row>
    <row r="6" spans="1:15" ht="29">
      <c r="A6" t="s">
        <v>2295</v>
      </c>
      <c r="B6" s="2" t="s">
        <v>1402</v>
      </c>
      <c r="C6" s="2" t="s">
        <v>3647</v>
      </c>
      <c r="D6" t="str">
        <f>_xlfn.LET(_xlpm.x,_xlfn.XLOOKUP(tblQuests[[#This Row],[QuestID]]&amp;".accepted",tblTargets[TargetID],tblTargets[DisplayName],""),LEFT(_xlpm.x,LEN(_xlpm.x)-9))</f>
        <v>Ahead of Time Chapter 5</v>
      </c>
      <c r="E6" t="b">
        <v>1</v>
      </c>
      <c r="F6" s="2" t="s">
        <v>1387</v>
      </c>
      <c r="G6" s="2">
        <v>5</v>
      </c>
      <c r="H6" s="2"/>
      <c r="I6" s="2"/>
      <c r="J6" s="2" t="s">
        <v>1473</v>
      </c>
      <c r="K6" s="2" t="s">
        <v>1467</v>
      </c>
      <c r="L6" s="2" t="s">
        <v>1474</v>
      </c>
      <c r="M6" s="2" t="s">
        <v>1475</v>
      </c>
      <c r="N6" s="2" t="s">
        <v>328</v>
      </c>
      <c r="O6" s="11" t="s">
        <v>1475</v>
      </c>
    </row>
    <row r="7" spans="1:15" ht="29">
      <c r="A7" t="s">
        <v>2298</v>
      </c>
      <c r="B7" s="2" t="s">
        <v>1403</v>
      </c>
      <c r="D7" t="str">
        <f>_xlfn.LET(_xlpm.x,_xlfn.XLOOKUP(tblQuests[[#This Row],[QuestID]]&amp;".accepted",tblTargets[TargetID],tblTargets[DisplayName],""),LEFT(_xlpm.x,LEN(_xlpm.x)-9))</f>
        <v>Build the Guild</v>
      </c>
      <c r="E7" t="b">
        <v>1</v>
      </c>
      <c r="F7" s="2" t="s">
        <v>1388</v>
      </c>
      <c r="G7" s="2" t="s">
        <v>328</v>
      </c>
      <c r="H7" s="2"/>
      <c r="I7" s="2"/>
      <c r="J7" s="50" t="s">
        <v>1476</v>
      </c>
      <c r="K7" s="2" t="s">
        <v>1477</v>
      </c>
      <c r="L7" s="2"/>
      <c r="M7" s="2" t="s">
        <v>328</v>
      </c>
      <c r="N7" s="2" t="s">
        <v>328</v>
      </c>
      <c r="O7" s="11" t="s">
        <v>328</v>
      </c>
    </row>
    <row r="8" spans="1:15" ht="29">
      <c r="A8" t="s">
        <v>2301</v>
      </c>
      <c r="B8" s="2" t="s">
        <v>1404</v>
      </c>
      <c r="D8" t="str">
        <f>_xlfn.LET(_xlpm.x,_xlfn.XLOOKUP(tblQuests[[#This Row],[QuestID]]&amp;".accepted",tblTargets[TargetID],tblTargets[DisplayName],""),LEFT(_xlpm.x,LEN(_xlpm.x)-9))</f>
        <v>Build the Pagoda</v>
      </c>
      <c r="E8" t="b">
        <v>1</v>
      </c>
      <c r="F8" s="2" t="s">
        <v>1389</v>
      </c>
      <c r="G8" s="2" t="s">
        <v>328</v>
      </c>
      <c r="H8" s="2"/>
      <c r="I8" s="2"/>
      <c r="J8" s="50" t="s">
        <v>1478</v>
      </c>
      <c r="K8" s="2" t="s">
        <v>1479</v>
      </c>
      <c r="L8" s="2"/>
      <c r="M8" s="2" t="s">
        <v>328</v>
      </c>
      <c r="N8" s="2" t="s">
        <v>328</v>
      </c>
      <c r="O8" s="11" t="s">
        <v>328</v>
      </c>
    </row>
    <row r="9" spans="1:15" ht="72.5">
      <c r="A9" t="s">
        <v>2304</v>
      </c>
      <c r="B9" s="2" t="s">
        <v>1405</v>
      </c>
      <c r="D9" t="str">
        <f>_xlfn.LET(_xlpm.x,_xlfn.XLOOKUP(tblQuests[[#This Row],[QuestID]]&amp;".accepted",tblTargets[TargetID],tblTargets[DisplayName],""),LEFT(_xlpm.x,LEN(_xlpm.x)-9))</f>
        <v>Culinary Battle</v>
      </c>
      <c r="E9" t="b">
        <v>1</v>
      </c>
      <c r="F9" s="2" t="s">
        <v>1376</v>
      </c>
      <c r="G9" s="2" t="s">
        <v>328</v>
      </c>
      <c r="H9" s="50" t="s">
        <v>1480</v>
      </c>
      <c r="I9" s="50" t="s">
        <v>5633</v>
      </c>
      <c r="J9" s="50" t="s">
        <v>1481</v>
      </c>
      <c r="K9" s="2" t="s">
        <v>1482</v>
      </c>
      <c r="L9" s="2" t="s">
        <v>1483</v>
      </c>
      <c r="M9" s="2" t="s">
        <v>328</v>
      </c>
      <c r="N9" s="2" t="s">
        <v>328</v>
      </c>
      <c r="O9" s="11" t="s">
        <v>328</v>
      </c>
    </row>
    <row r="10" spans="1:15" ht="43.5">
      <c r="A10" t="s">
        <v>2307</v>
      </c>
      <c r="B10" s="2" t="s">
        <v>1406</v>
      </c>
      <c r="D10" t="str">
        <f>_xlfn.LET(_xlpm.x,_xlfn.XLOOKUP(tblQuests[[#This Row],[QuestID]]&amp;".accepted",tblTargets[TargetID],tblTargets[DisplayName],""),LEFT(_xlpm.x,LEN(_xlpm.x)-9))</f>
        <v>Dragon teeth</v>
      </c>
      <c r="E10" t="b">
        <v>1</v>
      </c>
      <c r="F10" s="2" t="s">
        <v>1390</v>
      </c>
      <c r="G10" s="2" t="s">
        <v>328</v>
      </c>
      <c r="H10" s="2"/>
      <c r="I10" s="50" t="s">
        <v>5579</v>
      </c>
      <c r="J10" s="50" t="s">
        <v>1484</v>
      </c>
      <c r="K10" s="2" t="s">
        <v>1485</v>
      </c>
      <c r="L10" s="2" t="s">
        <v>1486</v>
      </c>
      <c r="M10" s="2" t="s">
        <v>328</v>
      </c>
      <c r="N10" s="2" t="s">
        <v>328</v>
      </c>
      <c r="O10" s="11" t="s">
        <v>328</v>
      </c>
    </row>
    <row r="11" spans="1:15" ht="43.5">
      <c r="A11" t="s">
        <v>2310</v>
      </c>
      <c r="B11" s="2" t="s">
        <v>1374</v>
      </c>
      <c r="D11" t="str">
        <f>_xlfn.LET(_xlpm.x,_xlfn.XLOOKUP(tblQuests[[#This Row],[QuestID]]&amp;".accepted",tblTargets[TargetID],tblTargets[DisplayName],""),LEFT(_xlpm.x,LEN(_xlpm.x)-9))</f>
        <v>Festival</v>
      </c>
      <c r="E11" t="b">
        <v>1</v>
      </c>
      <c r="F11" s="2" t="s">
        <v>1377</v>
      </c>
      <c r="G11" s="2" t="s">
        <v>328</v>
      </c>
      <c r="H11" s="50" t="s">
        <v>1487</v>
      </c>
      <c r="I11" s="2"/>
      <c r="J11" s="50" t="s">
        <v>1488</v>
      </c>
      <c r="K11" s="2" t="s">
        <v>1489</v>
      </c>
      <c r="L11" s="2" t="s">
        <v>1490</v>
      </c>
      <c r="M11" s="2" t="s">
        <v>569</v>
      </c>
      <c r="N11" s="2" t="s">
        <v>328</v>
      </c>
      <c r="O11" s="11" t="s">
        <v>569</v>
      </c>
    </row>
    <row r="12" spans="1:15" ht="72.5">
      <c r="A12" t="s">
        <v>2316</v>
      </c>
      <c r="B12" s="2" t="s">
        <v>1408</v>
      </c>
      <c r="D12" t="str">
        <f>_xlfn.LET(_xlpm.x,_xlfn.XLOOKUP(tblQuests[[#This Row],[QuestID]]&amp;".accepted",tblTargets[TargetID],tblTargets[DisplayName],""),LEFT(_xlpm.x,LEN(_xlpm.x)-9))</f>
        <v>Festival of Beans</v>
      </c>
      <c r="E12" t="b">
        <v>1</v>
      </c>
      <c r="F12" s="2" t="s">
        <v>1397</v>
      </c>
      <c r="G12" s="2" t="s">
        <v>328</v>
      </c>
      <c r="H12" s="50" t="s">
        <v>1496</v>
      </c>
      <c r="I12" s="2"/>
      <c r="J12" s="50" t="s">
        <v>1497</v>
      </c>
      <c r="K12" s="2" t="s">
        <v>1498</v>
      </c>
      <c r="L12" s="2" t="s">
        <v>1499</v>
      </c>
      <c r="M12" s="2" t="s">
        <v>1500</v>
      </c>
      <c r="N12" s="2" t="s">
        <v>328</v>
      </c>
      <c r="O12" s="11" t="s">
        <v>1500</v>
      </c>
    </row>
    <row r="13" spans="1:15" ht="89.15" customHeight="1">
      <c r="A13" t="s">
        <v>2313</v>
      </c>
      <c r="B13" s="2" t="s">
        <v>1407</v>
      </c>
      <c r="D13" t="str">
        <f>_xlfn.LET(_xlpm.x,_xlfn.XLOOKUP(tblQuests[[#This Row],[QuestID]]&amp;".accepted",tblTargets[TargetID],tblTargets[DisplayName],""),LEFT(_xlpm.x,LEN(_xlpm.x)-9))</f>
        <v>Festival Returns</v>
      </c>
      <c r="E13" t="b">
        <v>1</v>
      </c>
      <c r="F13" s="2" t="s">
        <v>1378</v>
      </c>
      <c r="G13" s="2" t="s">
        <v>328</v>
      </c>
      <c r="H13" s="50" t="s">
        <v>1491</v>
      </c>
      <c r="I13" s="2"/>
      <c r="J13" s="50" t="s">
        <v>1492</v>
      </c>
      <c r="K13" s="2" t="s">
        <v>1493</v>
      </c>
      <c r="L13" s="2" t="s">
        <v>1494</v>
      </c>
      <c r="M13" s="2" t="s">
        <v>1495</v>
      </c>
      <c r="N13" s="2" t="s">
        <v>328</v>
      </c>
      <c r="O13" s="11" t="s">
        <v>1495</v>
      </c>
    </row>
    <row r="14" spans="1:15" ht="29">
      <c r="A14" t="s">
        <v>2319</v>
      </c>
      <c r="B14" s="2" t="s">
        <v>1409</v>
      </c>
      <c r="D14" t="str">
        <f>_xlfn.LET(_xlpm.x,_xlfn.XLOOKUP(tblQuests[[#This Row],[QuestID]]&amp;".accepted",tblTargets[TargetID],tblTargets[DisplayName],""),LEFT(_xlpm.x,LEN(_xlpm.x)-9))</f>
        <v>Green Potion</v>
      </c>
      <c r="E14" t="b">
        <v>1</v>
      </c>
      <c r="F14" s="2" t="s">
        <v>1379</v>
      </c>
      <c r="G14" s="2" t="s">
        <v>328</v>
      </c>
      <c r="H14" s="50" t="s">
        <v>1501</v>
      </c>
      <c r="I14" s="51" t="s">
        <v>5583</v>
      </c>
      <c r="J14" s="50" t="s">
        <v>1502</v>
      </c>
      <c r="K14" s="2" t="s">
        <v>1503</v>
      </c>
      <c r="L14" s="2" t="s">
        <v>1504</v>
      </c>
      <c r="M14" s="2" t="s">
        <v>328</v>
      </c>
      <c r="N14" s="2" t="s">
        <v>328</v>
      </c>
      <c r="O14" s="11" t="s">
        <v>328</v>
      </c>
    </row>
    <row r="15" spans="1:15" ht="43.5">
      <c r="A15" t="s">
        <v>2322</v>
      </c>
      <c r="B15" s="2" t="s">
        <v>1410</v>
      </c>
      <c r="D15" t="str">
        <f>_xlfn.LET(_xlpm.x,_xlfn.XLOOKUP(tblQuests[[#This Row],[QuestID]]&amp;".accepted",tblTargets[TargetID],tblTargets[DisplayName],""),LEFT(_xlpm.x,LEN(_xlpm.x)-9))</f>
        <v>Honor, Glory, Sushi</v>
      </c>
      <c r="E15" t="b">
        <v>1</v>
      </c>
      <c r="F15" s="2" t="s">
        <v>1380</v>
      </c>
      <c r="G15" s="2" t="s">
        <v>328</v>
      </c>
      <c r="H15" s="2"/>
      <c r="I15" s="51" t="s">
        <v>5578</v>
      </c>
      <c r="J15" s="50" t="s">
        <v>1505</v>
      </c>
      <c r="K15" s="2" t="s">
        <v>1506</v>
      </c>
      <c r="L15" s="2" t="s">
        <v>553</v>
      </c>
      <c r="M15" s="2" t="s">
        <v>569</v>
      </c>
      <c r="N15" s="2" t="s">
        <v>328</v>
      </c>
      <c r="O15" s="11" t="s">
        <v>569</v>
      </c>
    </row>
    <row r="16" spans="1:15" ht="101.5">
      <c r="A16" t="s">
        <v>2325</v>
      </c>
      <c r="B16" s="2" t="s">
        <v>1411</v>
      </c>
      <c r="D16" t="str">
        <f>_xlfn.LET(_xlpm.x,_xlfn.XLOOKUP(tblQuests[[#This Row],[QuestID]]&amp;".accepted",tblTargets[TargetID],tblTargets[DisplayName],""),LEFT(_xlpm.x,LEN(_xlpm.x)-9))</f>
        <v>Journey Through Japan By Train</v>
      </c>
      <c r="E16" t="b">
        <v>1</v>
      </c>
      <c r="F16" s="2" t="s">
        <v>1381</v>
      </c>
      <c r="G16" s="2" t="s">
        <v>328</v>
      </c>
      <c r="H16" s="2"/>
      <c r="I16" s="51" t="s">
        <v>5585</v>
      </c>
      <c r="J16" s="50" t="s">
        <v>1507</v>
      </c>
      <c r="K16" s="2" t="s">
        <v>1508</v>
      </c>
      <c r="L16" s="2" t="s">
        <v>562</v>
      </c>
      <c r="M16" s="2" t="s">
        <v>637</v>
      </c>
      <c r="N16" s="2" t="s">
        <v>328</v>
      </c>
      <c r="O16" s="11" t="s">
        <v>637</v>
      </c>
    </row>
    <row r="17" spans="1:15" ht="159.5">
      <c r="A17" t="s">
        <v>6095</v>
      </c>
      <c r="B17" s="2" t="s">
        <v>5589</v>
      </c>
      <c r="D17" t="str">
        <f>_xlfn.LET(_xlpm.x,_xlfn.XLOOKUP(tblQuests[[#This Row],[QuestID]]&amp;".accepted",tblTargets[TargetID],tblTargets[DisplayName],""),LEFT(_xlpm.x,LEN(_xlpm.x)-9))</f>
        <v>Letter from the Dark Lady</v>
      </c>
      <c r="E17" t="b">
        <v>1</v>
      </c>
      <c r="F17" t="s">
        <v>5590</v>
      </c>
      <c r="G17" s="2"/>
      <c r="H17" s="2"/>
      <c r="I17" s="2" t="s">
        <v>5806</v>
      </c>
      <c r="J17" s="2" t="s">
        <v>5621</v>
      </c>
      <c r="K17" s="2"/>
      <c r="L17" s="2"/>
      <c r="M17" s="2"/>
      <c r="N17" s="2"/>
      <c r="O17" s="11"/>
    </row>
    <row r="18" spans="1:15" ht="58">
      <c r="A18" t="s">
        <v>2328</v>
      </c>
      <c r="B18" s="2" t="s">
        <v>1412</v>
      </c>
      <c r="D18" t="str">
        <f>_xlfn.LET(_xlpm.x,_xlfn.XLOOKUP(tblQuests[[#This Row],[QuestID]]&amp;".accepted",tblTargets[TargetID],tblTargets[DisplayName],""),LEFT(_xlpm.x,LEN(_xlpm.x)-9))</f>
        <v>Magic Beans</v>
      </c>
      <c r="E18" t="b">
        <v>1</v>
      </c>
      <c r="F18" s="2" t="s">
        <v>1382</v>
      </c>
      <c r="G18" s="2" t="s">
        <v>328</v>
      </c>
      <c r="H18" s="50" t="s">
        <v>1509</v>
      </c>
      <c r="I18" s="51" t="s">
        <v>5586</v>
      </c>
      <c r="J18" s="50" t="s">
        <v>1510</v>
      </c>
      <c r="K18" s="2" t="s">
        <v>1511</v>
      </c>
      <c r="L18" s="2" t="s">
        <v>1512</v>
      </c>
      <c r="M18" s="2" t="s">
        <v>1513</v>
      </c>
      <c r="N18" s="2" t="s">
        <v>328</v>
      </c>
      <c r="O18" s="11" t="s">
        <v>1513</v>
      </c>
    </row>
    <row r="19" spans="1:15" ht="29">
      <c r="A19" t="s">
        <v>2331</v>
      </c>
      <c r="B19" s="2" t="s">
        <v>1413</v>
      </c>
      <c r="C19" s="2" t="s">
        <v>3621</v>
      </c>
      <c r="D19" t="str">
        <f>_xlfn.LET(_xlpm.x,_xlfn.XLOOKUP(tblQuests[[#This Row],[QuestID]]&amp;".accepted",tblTargets[TargetID],tblTargets[DisplayName],""),LEFT(_xlpm.x,LEN(_xlpm.x)-9))</f>
        <v>Once Upon a Forest Chapter 1</v>
      </c>
      <c r="E19" t="b">
        <v>1</v>
      </c>
      <c r="F19" s="2" t="s">
        <v>1391</v>
      </c>
      <c r="G19" s="2">
        <v>1</v>
      </c>
      <c r="H19" s="2"/>
      <c r="I19" s="2"/>
      <c r="J19" s="2" t="s">
        <v>1514</v>
      </c>
      <c r="K19" s="2" t="s">
        <v>1515</v>
      </c>
      <c r="L19" s="2" t="s">
        <v>1516</v>
      </c>
      <c r="M19" s="2" t="s">
        <v>328</v>
      </c>
      <c r="N19" s="2" t="s">
        <v>328</v>
      </c>
      <c r="O19" s="11" t="s">
        <v>328</v>
      </c>
    </row>
    <row r="20" spans="1:15" ht="43.5">
      <c r="A20" t="s">
        <v>2358</v>
      </c>
      <c r="B20" s="2" t="s">
        <v>1447</v>
      </c>
      <c r="C20" s="2" t="s">
        <v>3630</v>
      </c>
      <c r="D20" t="str">
        <f>_xlfn.LET(_xlpm.x,_xlfn.XLOOKUP(tblQuests[[#This Row],[QuestID]]&amp;".accepted",tblTargets[TargetID],tblTargets[DisplayName],""),LEFT(_xlpm.x,LEN(_xlpm.x)-9))</f>
        <v>Once Upon a Forest Chapter 10</v>
      </c>
      <c r="E20" t="b">
        <v>1</v>
      </c>
      <c r="F20" s="2" t="s">
        <v>1391</v>
      </c>
      <c r="G20" s="2">
        <v>10</v>
      </c>
      <c r="H20" s="2"/>
      <c r="I20" s="2"/>
      <c r="J20" s="2" t="s">
        <v>1514</v>
      </c>
      <c r="K20" s="2" t="s">
        <v>1548</v>
      </c>
      <c r="L20" s="2" t="s">
        <v>1549</v>
      </c>
      <c r="M20" s="2" t="s">
        <v>1550</v>
      </c>
      <c r="N20" s="2" t="s">
        <v>328</v>
      </c>
      <c r="O20" s="11" t="s">
        <v>1550</v>
      </c>
    </row>
    <row r="21" spans="1:15" ht="29">
      <c r="A21" t="s">
        <v>2361</v>
      </c>
      <c r="B21" s="2" t="s">
        <v>1448</v>
      </c>
      <c r="C21" s="2" t="s">
        <v>3631</v>
      </c>
      <c r="D21" t="str">
        <f>_xlfn.LET(_xlpm.x,_xlfn.XLOOKUP(tblQuests[[#This Row],[QuestID]]&amp;".accepted",tblTargets[TargetID],tblTargets[DisplayName],""),LEFT(_xlpm.x,LEN(_xlpm.x)-9))</f>
        <v>Once Upon a Forest Chapter 11</v>
      </c>
      <c r="E21" t="b">
        <v>1</v>
      </c>
      <c r="F21" s="2" t="s">
        <v>1391</v>
      </c>
      <c r="G21" s="2">
        <v>11</v>
      </c>
      <c r="H21" s="2"/>
      <c r="I21" s="2"/>
      <c r="J21" s="2" t="s">
        <v>1551</v>
      </c>
      <c r="K21" s="2" t="s">
        <v>1552</v>
      </c>
      <c r="L21" s="2" t="s">
        <v>1553</v>
      </c>
      <c r="M21" s="2" t="s">
        <v>1554</v>
      </c>
      <c r="N21" s="2" t="s">
        <v>328</v>
      </c>
      <c r="O21" s="11" t="s">
        <v>1554</v>
      </c>
    </row>
    <row r="22" spans="1:15" ht="72.5">
      <c r="A22" t="s">
        <v>2364</v>
      </c>
      <c r="B22" s="2" t="s">
        <v>1449</v>
      </c>
      <c r="C22" s="2" t="s">
        <v>3632</v>
      </c>
      <c r="D22" t="str">
        <f>_xlfn.LET(_xlpm.x,_xlfn.XLOOKUP(tblQuests[[#This Row],[QuestID]]&amp;".accepted",tblTargets[TargetID],tblTargets[DisplayName],""),LEFT(_xlpm.x,LEN(_xlpm.x)-9))</f>
        <v>Once Upon a Forest Chapter 12</v>
      </c>
      <c r="E22" t="b">
        <v>1</v>
      </c>
      <c r="F22" s="2" t="s">
        <v>1391</v>
      </c>
      <c r="G22" s="2">
        <v>12</v>
      </c>
      <c r="H22" s="2"/>
      <c r="I22" s="2"/>
      <c r="J22" s="2" t="s">
        <v>1520</v>
      </c>
      <c r="K22" s="2" t="s">
        <v>1555</v>
      </c>
      <c r="L22" s="2" t="s">
        <v>1556</v>
      </c>
      <c r="M22" s="2" t="s">
        <v>1557</v>
      </c>
      <c r="N22" s="2" t="s">
        <v>328</v>
      </c>
      <c r="O22" s="11" t="s">
        <v>1557</v>
      </c>
    </row>
    <row r="23" spans="1:15" ht="43.5">
      <c r="A23" t="s">
        <v>2367</v>
      </c>
      <c r="B23" s="2" t="s">
        <v>1450</v>
      </c>
      <c r="C23" s="2" t="s">
        <v>3633</v>
      </c>
      <c r="D23" t="str">
        <f>_xlfn.LET(_xlpm.x,_xlfn.XLOOKUP(tblQuests[[#This Row],[QuestID]]&amp;".accepted",tblTargets[TargetID],tblTargets[DisplayName],""),LEFT(_xlpm.x,LEN(_xlpm.x)-9))</f>
        <v>Once Upon a Forest Chapter 13</v>
      </c>
      <c r="E23" t="b">
        <v>1</v>
      </c>
      <c r="F23" s="2" t="s">
        <v>1391</v>
      </c>
      <c r="G23" s="2">
        <v>13</v>
      </c>
      <c r="H23" s="2" t="s">
        <v>1558</v>
      </c>
      <c r="I23" s="2"/>
      <c r="J23" s="2" t="s">
        <v>1559</v>
      </c>
      <c r="K23" s="2" t="s">
        <v>1560</v>
      </c>
      <c r="L23" s="2" t="s">
        <v>1561</v>
      </c>
      <c r="M23" s="2" t="s">
        <v>1562</v>
      </c>
      <c r="N23" s="2" t="s">
        <v>328</v>
      </c>
      <c r="O23" s="11" t="s">
        <v>1562</v>
      </c>
    </row>
    <row r="24" spans="1:15" ht="43.5">
      <c r="A24" t="s">
        <v>2370</v>
      </c>
      <c r="B24" s="2" t="s">
        <v>1451</v>
      </c>
      <c r="C24" s="2" t="s">
        <v>3634</v>
      </c>
      <c r="D24" t="str">
        <f>_xlfn.LET(_xlpm.x,_xlfn.XLOOKUP(tblQuests[[#This Row],[QuestID]]&amp;".accepted",tblTargets[TargetID],tblTargets[DisplayName],""),LEFT(_xlpm.x,LEN(_xlpm.x)-9))</f>
        <v>Once Upon a Forest Chapter 14</v>
      </c>
      <c r="E24" t="b">
        <v>1</v>
      </c>
      <c r="F24" s="2" t="s">
        <v>1391</v>
      </c>
      <c r="G24" s="2">
        <v>14</v>
      </c>
      <c r="H24" s="2"/>
      <c r="I24" s="2"/>
      <c r="J24" s="2" t="s">
        <v>1520</v>
      </c>
      <c r="K24" s="2" t="s">
        <v>1563</v>
      </c>
      <c r="L24" s="2" t="s">
        <v>1564</v>
      </c>
      <c r="M24" s="2" t="s">
        <v>1565</v>
      </c>
      <c r="N24" s="2" t="s">
        <v>328</v>
      </c>
      <c r="O24" s="11" t="s">
        <v>1565</v>
      </c>
    </row>
    <row r="25" spans="1:15" ht="58">
      <c r="A25" t="s">
        <v>2373</v>
      </c>
      <c r="B25" s="2" t="s">
        <v>1452</v>
      </c>
      <c r="C25" s="2" t="s">
        <v>3635</v>
      </c>
      <c r="D25" t="str">
        <f>_xlfn.LET(_xlpm.x,_xlfn.XLOOKUP(tblQuests[[#This Row],[QuestID]]&amp;".accepted",tblTargets[TargetID],tblTargets[DisplayName],""),LEFT(_xlpm.x,LEN(_xlpm.x)-9))</f>
        <v>Once Upon a Forest Chapter 15</v>
      </c>
      <c r="E25" t="b">
        <v>1</v>
      </c>
      <c r="F25" s="2" t="s">
        <v>1391</v>
      </c>
      <c r="G25" s="2">
        <v>15</v>
      </c>
      <c r="H25" s="2"/>
      <c r="I25" s="2"/>
      <c r="J25" s="2" t="s">
        <v>1566</v>
      </c>
      <c r="K25" s="2" t="s">
        <v>1567</v>
      </c>
      <c r="L25" s="2" t="s">
        <v>1568</v>
      </c>
      <c r="M25" s="2" t="s">
        <v>1569</v>
      </c>
      <c r="N25" s="2" t="s">
        <v>328</v>
      </c>
      <c r="O25" s="11" t="s">
        <v>1569</v>
      </c>
    </row>
    <row r="26" spans="1:15" ht="43.5">
      <c r="A26" t="s">
        <v>2334</v>
      </c>
      <c r="B26" s="2" t="s">
        <v>1414</v>
      </c>
      <c r="C26" s="2" t="s">
        <v>3622</v>
      </c>
      <c r="D26" t="str">
        <f>_xlfn.LET(_xlpm.x,_xlfn.XLOOKUP(tblQuests[[#This Row],[QuestID]]&amp;".accepted",tblTargets[TargetID],tblTargets[DisplayName],""),LEFT(_xlpm.x,LEN(_xlpm.x)-9))</f>
        <v>Once Upon a Forest Chapter 2</v>
      </c>
      <c r="E26" t="b">
        <v>1</v>
      </c>
      <c r="F26" s="2" t="s">
        <v>1391</v>
      </c>
      <c r="G26" s="2">
        <v>2</v>
      </c>
      <c r="H26" s="2"/>
      <c r="I26" s="2"/>
      <c r="J26" s="2" t="s">
        <v>1514</v>
      </c>
      <c r="K26" s="2" t="s">
        <v>1517</v>
      </c>
      <c r="L26" s="2" t="s">
        <v>1518</v>
      </c>
      <c r="M26" s="2" t="s">
        <v>1519</v>
      </c>
      <c r="N26" s="2" t="s">
        <v>328</v>
      </c>
      <c r="O26" s="11" t="s">
        <v>1519</v>
      </c>
    </row>
    <row r="27" spans="1:15" ht="43.5">
      <c r="A27" t="s">
        <v>2337</v>
      </c>
      <c r="B27" s="2" t="s">
        <v>1415</v>
      </c>
      <c r="C27" s="2" t="s">
        <v>3623</v>
      </c>
      <c r="D27" t="str">
        <f>_xlfn.LET(_xlpm.x,_xlfn.XLOOKUP(tblQuests[[#This Row],[QuestID]]&amp;".accepted",tblTargets[TargetID],tblTargets[DisplayName],""),LEFT(_xlpm.x,LEN(_xlpm.x)-9))</f>
        <v>Once Upon a Forest Chapter 3</v>
      </c>
      <c r="E27" t="b">
        <v>1</v>
      </c>
      <c r="F27" s="2" t="s">
        <v>1391</v>
      </c>
      <c r="G27" s="2">
        <v>3</v>
      </c>
      <c r="H27" s="2"/>
      <c r="I27" s="2"/>
      <c r="J27" s="2" t="s">
        <v>1520</v>
      </c>
      <c r="K27" s="2" t="s">
        <v>1521</v>
      </c>
      <c r="L27" s="2" t="s">
        <v>1522</v>
      </c>
      <c r="M27" s="2" t="s">
        <v>1523</v>
      </c>
      <c r="N27" s="2" t="s">
        <v>328</v>
      </c>
      <c r="O27" s="11" t="s">
        <v>1523</v>
      </c>
    </row>
    <row r="28" spans="1:15" ht="43.5">
      <c r="A28" t="s">
        <v>2340</v>
      </c>
      <c r="B28" s="2" t="s">
        <v>1416</v>
      </c>
      <c r="C28" s="2" t="s">
        <v>3624</v>
      </c>
      <c r="D28" t="str">
        <f>_xlfn.LET(_xlpm.x,_xlfn.XLOOKUP(tblQuests[[#This Row],[QuestID]]&amp;".accepted",tblTargets[TargetID],tblTargets[DisplayName],""),LEFT(_xlpm.x,LEN(_xlpm.x)-9))</f>
        <v>Once Upon a Forest Chapter 4</v>
      </c>
      <c r="E28" t="b">
        <v>1</v>
      </c>
      <c r="F28" s="2" t="s">
        <v>1391</v>
      </c>
      <c r="G28" s="2">
        <v>4</v>
      </c>
      <c r="H28" s="2"/>
      <c r="I28" s="2"/>
      <c r="J28" s="2" t="s">
        <v>1524</v>
      </c>
      <c r="K28" s="2" t="s">
        <v>1525</v>
      </c>
      <c r="L28" s="2" t="s">
        <v>1526</v>
      </c>
      <c r="M28" s="2"/>
      <c r="N28" s="2" t="s">
        <v>328</v>
      </c>
      <c r="O28" s="11" t="s">
        <v>328</v>
      </c>
    </row>
    <row r="29" spans="1:15" ht="43.5">
      <c r="A29" t="s">
        <v>2343</v>
      </c>
      <c r="B29" s="2" t="s">
        <v>1417</v>
      </c>
      <c r="C29" s="2" t="s">
        <v>3625</v>
      </c>
      <c r="D29" t="str">
        <f>_xlfn.LET(_xlpm.x,_xlfn.XLOOKUP(tblQuests[[#This Row],[QuestID]]&amp;".accepted",tblTargets[TargetID],tblTargets[DisplayName],""),LEFT(_xlpm.x,LEN(_xlpm.x)-9))</f>
        <v>Once Upon a Forest Chapter 5</v>
      </c>
      <c r="E29" t="b">
        <v>1</v>
      </c>
      <c r="F29" s="2" t="s">
        <v>1391</v>
      </c>
      <c r="G29" s="2">
        <v>5</v>
      </c>
      <c r="H29" s="2" t="s">
        <v>1527</v>
      </c>
      <c r="I29" s="2"/>
      <c r="J29" s="2" t="s">
        <v>1528</v>
      </c>
      <c r="K29" s="2" t="s">
        <v>1529</v>
      </c>
      <c r="L29" s="2" t="s">
        <v>1530</v>
      </c>
      <c r="M29" s="2" t="s">
        <v>1531</v>
      </c>
      <c r="N29" s="2" t="s">
        <v>328</v>
      </c>
      <c r="O29" s="11" t="s">
        <v>1531</v>
      </c>
    </row>
    <row r="30" spans="1:15" ht="58">
      <c r="A30" t="s">
        <v>2346</v>
      </c>
      <c r="B30" s="2" t="s">
        <v>1418</v>
      </c>
      <c r="C30" s="2" t="s">
        <v>3626</v>
      </c>
      <c r="D30" t="str">
        <f>_xlfn.LET(_xlpm.x,_xlfn.XLOOKUP(tblQuests[[#This Row],[QuestID]]&amp;".accepted",tblTargets[TargetID],tblTargets[DisplayName],""),LEFT(_xlpm.x,LEN(_xlpm.x)-9))</f>
        <v>Once Upon a Forest Chapter 6</v>
      </c>
      <c r="E30" t="b">
        <v>1</v>
      </c>
      <c r="F30" s="2" t="s">
        <v>1391</v>
      </c>
      <c r="G30" s="2">
        <v>6</v>
      </c>
      <c r="H30" s="2"/>
      <c r="I30" s="2"/>
      <c r="J30" s="2" t="s">
        <v>1532</v>
      </c>
      <c r="K30" s="2" t="s">
        <v>1533</v>
      </c>
      <c r="L30" s="2" t="s">
        <v>1534</v>
      </c>
      <c r="M30" s="2" t="s">
        <v>1535</v>
      </c>
      <c r="N30" s="2" t="s">
        <v>328</v>
      </c>
      <c r="O30" s="11" t="s">
        <v>1535</v>
      </c>
    </row>
    <row r="31" spans="1:15" ht="43.5">
      <c r="A31" t="s">
        <v>2349</v>
      </c>
      <c r="B31" s="2" t="s">
        <v>1419</v>
      </c>
      <c r="C31" s="2" t="s">
        <v>3627</v>
      </c>
      <c r="D31" t="str">
        <f>_xlfn.LET(_xlpm.x,_xlfn.XLOOKUP(tblQuests[[#This Row],[QuestID]]&amp;".accepted",tblTargets[TargetID],tblTargets[DisplayName],""),LEFT(_xlpm.x,LEN(_xlpm.x)-9))</f>
        <v>Once Upon a Forest Chapter 7</v>
      </c>
      <c r="E31" t="b">
        <v>1</v>
      </c>
      <c r="F31" s="2" t="s">
        <v>1391</v>
      </c>
      <c r="G31" s="2">
        <v>7</v>
      </c>
      <c r="H31" s="2"/>
      <c r="I31" s="2"/>
      <c r="J31" s="2" t="s">
        <v>1536</v>
      </c>
      <c r="K31" s="2" t="s">
        <v>1537</v>
      </c>
      <c r="L31" s="2" t="s">
        <v>1538</v>
      </c>
      <c r="M31" s="2" t="s">
        <v>1539</v>
      </c>
      <c r="N31" s="2" t="s">
        <v>328</v>
      </c>
      <c r="O31" s="11" t="s">
        <v>1539</v>
      </c>
    </row>
    <row r="32" spans="1:15" ht="43.5">
      <c r="A32" t="s">
        <v>2352</v>
      </c>
      <c r="B32" s="2" t="s">
        <v>1420</v>
      </c>
      <c r="C32" s="2" t="s">
        <v>3628</v>
      </c>
      <c r="D32" t="str">
        <f>_xlfn.LET(_xlpm.x,_xlfn.XLOOKUP(tblQuests[[#This Row],[QuestID]]&amp;".accepted",tblTargets[TargetID],tblTargets[DisplayName],""),LEFT(_xlpm.x,LEN(_xlpm.x)-9))</f>
        <v>Once Upon a Forest Chapter 8</v>
      </c>
      <c r="E32" t="b">
        <v>1</v>
      </c>
      <c r="F32" s="2" t="s">
        <v>1391</v>
      </c>
      <c r="G32" s="2">
        <v>8</v>
      </c>
      <c r="H32" s="2" t="s">
        <v>1540</v>
      </c>
      <c r="I32" s="2"/>
      <c r="J32" s="2" t="s">
        <v>1514</v>
      </c>
      <c r="K32" s="2" t="s">
        <v>1541</v>
      </c>
      <c r="L32" s="2" t="s">
        <v>1542</v>
      </c>
      <c r="M32" s="2" t="s">
        <v>1543</v>
      </c>
      <c r="N32" s="2" t="s">
        <v>328</v>
      </c>
      <c r="O32" s="11" t="s">
        <v>1543</v>
      </c>
    </row>
    <row r="33" spans="1:15" ht="58">
      <c r="A33" t="s">
        <v>2355</v>
      </c>
      <c r="B33" s="2" t="s">
        <v>1446</v>
      </c>
      <c r="C33" s="2" t="s">
        <v>3629</v>
      </c>
      <c r="D33" t="str">
        <f>_xlfn.LET(_xlpm.x,_xlfn.XLOOKUP(tblQuests[[#This Row],[QuestID]]&amp;".accepted",tblTargets[TargetID],tblTargets[DisplayName],""),LEFT(_xlpm.x,LEN(_xlpm.x)-9))</f>
        <v>Once Upon a Forest Chapter 9</v>
      </c>
      <c r="E33" t="b">
        <v>1</v>
      </c>
      <c r="F33" s="2" t="s">
        <v>1391</v>
      </c>
      <c r="G33" s="2">
        <v>9</v>
      </c>
      <c r="H33" s="2"/>
      <c r="I33" s="2"/>
      <c r="J33" s="2" t="s">
        <v>1544</v>
      </c>
      <c r="K33" s="2" t="s">
        <v>1545</v>
      </c>
      <c r="L33" s="2" t="s">
        <v>1546</v>
      </c>
      <c r="M33" s="2" t="s">
        <v>1547</v>
      </c>
      <c r="N33" s="2" t="s">
        <v>328</v>
      </c>
      <c r="O33" s="11" t="s">
        <v>1547</v>
      </c>
    </row>
    <row r="34" spans="1:15" ht="29">
      <c r="A34" t="s">
        <v>2376</v>
      </c>
      <c r="B34" s="2" t="s">
        <v>1421</v>
      </c>
      <c r="C34" s="2" t="s">
        <v>3616</v>
      </c>
      <c r="D34" t="str">
        <f>_xlfn.LET(_xlpm.x,_xlfn.XLOOKUP(tblQuests[[#This Row],[QuestID]]&amp;".accepted",tblTargets[TargetID],tblTargets[DisplayName],""),LEFT(_xlpm.x,LEN(_xlpm.x)-9))</f>
        <v>Quest for Knowledge Chapter 1</v>
      </c>
      <c r="E34" t="b">
        <v>1</v>
      </c>
      <c r="F34" s="2" t="s">
        <v>1392</v>
      </c>
      <c r="G34" s="2">
        <v>1</v>
      </c>
      <c r="H34" s="2"/>
      <c r="I34" s="2"/>
      <c r="J34" s="2" t="s">
        <v>1570</v>
      </c>
      <c r="K34" s="2" t="s">
        <v>1571</v>
      </c>
      <c r="L34" s="2" t="s">
        <v>1572</v>
      </c>
      <c r="M34" s="2" t="s">
        <v>1573</v>
      </c>
      <c r="N34" s="2" t="s">
        <v>328</v>
      </c>
      <c r="O34" s="11" t="s">
        <v>1573</v>
      </c>
    </row>
    <row r="35" spans="1:15" ht="43.5">
      <c r="A35" t="s">
        <v>2379</v>
      </c>
      <c r="B35" s="2" t="s">
        <v>1422</v>
      </c>
      <c r="C35" s="2" t="s">
        <v>3617</v>
      </c>
      <c r="D35" t="str">
        <f>_xlfn.LET(_xlpm.x,_xlfn.XLOOKUP(tblQuests[[#This Row],[QuestID]]&amp;".accepted",tblTargets[TargetID],tblTargets[DisplayName],""),LEFT(_xlpm.x,LEN(_xlpm.x)-9))</f>
        <v>Quest for Knowledge Chapter 2</v>
      </c>
      <c r="E35" t="b">
        <v>1</v>
      </c>
      <c r="F35" s="2" t="s">
        <v>1392</v>
      </c>
      <c r="G35" s="2">
        <v>2</v>
      </c>
      <c r="H35" s="2"/>
      <c r="I35" s="2"/>
      <c r="J35" s="2" t="s">
        <v>1514</v>
      </c>
      <c r="K35" s="2" t="s">
        <v>1574</v>
      </c>
      <c r="L35" s="2" t="s">
        <v>1575</v>
      </c>
      <c r="M35" s="2" t="s">
        <v>1576</v>
      </c>
      <c r="N35" s="2" t="s">
        <v>328</v>
      </c>
      <c r="O35" s="11" t="s">
        <v>1576</v>
      </c>
    </row>
    <row r="36" spans="1:15" ht="43.5">
      <c r="A36" t="s">
        <v>2382</v>
      </c>
      <c r="B36" s="2" t="s">
        <v>1423</v>
      </c>
      <c r="C36" s="2" t="s">
        <v>3618</v>
      </c>
      <c r="D36" t="str">
        <f>_xlfn.LET(_xlpm.x,_xlfn.XLOOKUP(tblQuests[[#This Row],[QuestID]]&amp;".accepted",tblTargets[TargetID],tblTargets[DisplayName],""),LEFT(_xlpm.x,LEN(_xlpm.x)-9))</f>
        <v>Quest for Knowledge Chapter 3</v>
      </c>
      <c r="E36" t="b">
        <v>1</v>
      </c>
      <c r="F36" s="2" t="s">
        <v>1392</v>
      </c>
      <c r="G36" s="2">
        <v>3</v>
      </c>
      <c r="H36" s="2"/>
      <c r="I36" s="2"/>
      <c r="J36" s="2" t="s">
        <v>1520</v>
      </c>
      <c r="K36" s="2" t="s">
        <v>1577</v>
      </c>
      <c r="L36" s="2" t="s">
        <v>1575</v>
      </c>
      <c r="M36" s="2" t="s">
        <v>1576</v>
      </c>
      <c r="N36" s="2" t="s">
        <v>328</v>
      </c>
      <c r="O36" s="11" t="s">
        <v>1576</v>
      </c>
    </row>
    <row r="37" spans="1:15" ht="29">
      <c r="A37" t="s">
        <v>2385</v>
      </c>
      <c r="B37" s="2" t="s">
        <v>1424</v>
      </c>
      <c r="C37" s="2" t="s">
        <v>3619</v>
      </c>
      <c r="D37" t="str">
        <f>_xlfn.LET(_xlpm.x,_xlfn.XLOOKUP(tblQuests[[#This Row],[QuestID]]&amp;".accepted",tblTargets[TargetID],tblTargets[DisplayName],""),LEFT(_xlpm.x,LEN(_xlpm.x)-9))</f>
        <v>Quest for Knowledge Chapter 4</v>
      </c>
      <c r="E37" t="b">
        <v>1</v>
      </c>
      <c r="F37" s="2" t="s">
        <v>1392</v>
      </c>
      <c r="G37" s="2">
        <v>4</v>
      </c>
      <c r="H37" s="2"/>
      <c r="I37" s="2"/>
      <c r="J37" s="2" t="s">
        <v>1578</v>
      </c>
      <c r="K37" s="2" t="s">
        <v>1579</v>
      </c>
      <c r="L37" s="2" t="s">
        <v>1580</v>
      </c>
      <c r="M37" s="2" t="s">
        <v>328</v>
      </c>
      <c r="N37" s="2" t="s">
        <v>328</v>
      </c>
      <c r="O37" s="11" t="s">
        <v>328</v>
      </c>
    </row>
    <row r="38" spans="1:15" ht="29">
      <c r="A38" t="s">
        <v>2388</v>
      </c>
      <c r="B38" s="2" t="s">
        <v>1425</v>
      </c>
      <c r="C38" s="2" t="s">
        <v>3620</v>
      </c>
      <c r="D38" t="str">
        <f>_xlfn.LET(_xlpm.x,_xlfn.XLOOKUP(tblQuests[[#This Row],[QuestID]]&amp;".accepted",tblTargets[TargetID],tblTargets[DisplayName],""),LEFT(_xlpm.x,LEN(_xlpm.x)-9))</f>
        <v>Quest for Knowledge Chapter 5</v>
      </c>
      <c r="E38" t="b">
        <v>1</v>
      </c>
      <c r="F38" s="2" t="s">
        <v>1392</v>
      </c>
      <c r="G38" s="2">
        <v>5</v>
      </c>
      <c r="H38" s="2"/>
      <c r="I38" s="2"/>
      <c r="J38" s="2" t="s">
        <v>1581</v>
      </c>
      <c r="K38" s="2" t="s">
        <v>1582</v>
      </c>
      <c r="L38" s="2" t="s">
        <v>1583</v>
      </c>
      <c r="M38" s="2" t="s">
        <v>570</v>
      </c>
      <c r="N38" s="2" t="s">
        <v>328</v>
      </c>
      <c r="O38" s="11" t="s">
        <v>570</v>
      </c>
    </row>
    <row r="39" spans="1:15" ht="29">
      <c r="A39" t="s">
        <v>2391</v>
      </c>
      <c r="B39" s="2" t="s">
        <v>1426</v>
      </c>
      <c r="C39" s="2" t="s">
        <v>3609</v>
      </c>
      <c r="D39" t="str">
        <f>_xlfn.LET(_xlpm.x,_xlfn.XLOOKUP(tblQuests[[#This Row],[QuestID]]&amp;".accepted",tblTargets[TargetID],tblTargets[DisplayName],""),LEFT(_xlpm.x,LEN(_xlpm.x)-9))</f>
        <v>Shogun's Katana Chapter 1</v>
      </c>
      <c r="E39" t="b">
        <v>1</v>
      </c>
      <c r="F39" s="2" t="s">
        <v>1393</v>
      </c>
      <c r="G39" s="2">
        <v>1</v>
      </c>
      <c r="H39" s="2" t="s">
        <v>1584</v>
      </c>
      <c r="I39" s="2"/>
      <c r="J39" s="2" t="s">
        <v>1585</v>
      </c>
      <c r="K39" s="2" t="s">
        <v>1586</v>
      </c>
      <c r="L39" s="2" t="s">
        <v>1587</v>
      </c>
      <c r="M39" s="2" t="s">
        <v>328</v>
      </c>
      <c r="N39" s="2" t="s">
        <v>328</v>
      </c>
      <c r="O39" s="11" t="s">
        <v>328</v>
      </c>
    </row>
    <row r="40" spans="1:15" ht="29">
      <c r="A40" t="s">
        <v>2394</v>
      </c>
      <c r="B40" s="2" t="s">
        <v>1427</v>
      </c>
      <c r="C40" s="2" t="s">
        <v>3610</v>
      </c>
      <c r="D40" t="str">
        <f>_xlfn.LET(_xlpm.x,_xlfn.XLOOKUP(tblQuests[[#This Row],[QuestID]]&amp;".accepted",tblTargets[TargetID],tblTargets[DisplayName],""),LEFT(_xlpm.x,LEN(_xlpm.x)-9))</f>
        <v>Shogun's Katana Chapter 2</v>
      </c>
      <c r="E40" t="b">
        <v>1</v>
      </c>
      <c r="F40" s="2" t="s">
        <v>1393</v>
      </c>
      <c r="G40" s="2">
        <v>2</v>
      </c>
      <c r="H40" s="2" t="s">
        <v>1588</v>
      </c>
      <c r="I40" s="2"/>
      <c r="J40" s="2" t="s">
        <v>1570</v>
      </c>
      <c r="K40" s="2" t="s">
        <v>1586</v>
      </c>
      <c r="L40" s="2" t="s">
        <v>1589</v>
      </c>
      <c r="M40" s="2" t="s">
        <v>1590</v>
      </c>
      <c r="N40" s="2" t="s">
        <v>328</v>
      </c>
      <c r="O40" s="11" t="s">
        <v>1590</v>
      </c>
    </row>
    <row r="41" spans="1:15" ht="29">
      <c r="A41" t="s">
        <v>2397</v>
      </c>
      <c r="B41" s="2" t="s">
        <v>1428</v>
      </c>
      <c r="C41" s="2" t="s">
        <v>3611</v>
      </c>
      <c r="D41" t="str">
        <f>_xlfn.LET(_xlpm.x,_xlfn.XLOOKUP(tblQuests[[#This Row],[QuestID]]&amp;".accepted",tblTargets[TargetID],tblTargets[DisplayName],""),LEFT(_xlpm.x,LEN(_xlpm.x)-9))</f>
        <v>Shogun's Katana Chapter 3</v>
      </c>
      <c r="E41" t="b">
        <v>1</v>
      </c>
      <c r="F41" s="2" t="s">
        <v>1393</v>
      </c>
      <c r="G41" s="2">
        <v>3</v>
      </c>
      <c r="H41" s="2" t="s">
        <v>1591</v>
      </c>
      <c r="I41" s="2"/>
      <c r="J41" s="2" t="s">
        <v>1592</v>
      </c>
      <c r="K41" s="2" t="s">
        <v>1593</v>
      </c>
      <c r="L41" s="2" t="s">
        <v>1594</v>
      </c>
      <c r="M41" s="2" t="s">
        <v>1595</v>
      </c>
      <c r="N41" s="2" t="s">
        <v>328</v>
      </c>
      <c r="O41" s="11" t="s">
        <v>1595</v>
      </c>
    </row>
    <row r="42" spans="1:15" ht="29">
      <c r="A42" t="s">
        <v>2400</v>
      </c>
      <c r="B42" s="2" t="s">
        <v>1429</v>
      </c>
      <c r="C42" s="2" t="s">
        <v>3612</v>
      </c>
      <c r="D42" t="str">
        <f>_xlfn.LET(_xlpm.x,_xlfn.XLOOKUP(tblQuests[[#This Row],[QuestID]]&amp;".accepted",tblTargets[TargetID],tblTargets[DisplayName],""),LEFT(_xlpm.x,LEN(_xlpm.x)-9))</f>
        <v>Shogun's Katana Chapter 4</v>
      </c>
      <c r="E42" t="b">
        <v>1</v>
      </c>
      <c r="F42" s="2" t="s">
        <v>1393</v>
      </c>
      <c r="G42" s="2">
        <v>4</v>
      </c>
      <c r="H42" s="2" t="s">
        <v>1591</v>
      </c>
      <c r="I42" s="2"/>
      <c r="J42" s="2" t="s">
        <v>1596</v>
      </c>
      <c r="K42" s="2" t="s">
        <v>1593</v>
      </c>
      <c r="L42" s="2" t="s">
        <v>1597</v>
      </c>
      <c r="M42" s="2" t="s">
        <v>1598</v>
      </c>
      <c r="N42" s="2" t="s">
        <v>328</v>
      </c>
      <c r="O42" s="11" t="s">
        <v>1598</v>
      </c>
    </row>
    <row r="43" spans="1:15" ht="29">
      <c r="A43" t="s">
        <v>2403</v>
      </c>
      <c r="B43" s="2" t="s">
        <v>1430</v>
      </c>
      <c r="C43" s="2" t="s">
        <v>3613</v>
      </c>
      <c r="D43" t="str">
        <f>_xlfn.LET(_xlpm.x,_xlfn.XLOOKUP(tblQuests[[#This Row],[QuestID]]&amp;".accepted",tblTargets[TargetID],tblTargets[DisplayName],""),LEFT(_xlpm.x,LEN(_xlpm.x)-9))</f>
        <v>Shogun's Katana Chapter 5</v>
      </c>
      <c r="E43" t="b">
        <v>1</v>
      </c>
      <c r="F43" s="2" t="s">
        <v>1393</v>
      </c>
      <c r="G43" s="2">
        <v>5</v>
      </c>
      <c r="H43" s="2" t="s">
        <v>1591</v>
      </c>
      <c r="I43" s="2"/>
      <c r="J43" s="2" t="s">
        <v>1514</v>
      </c>
      <c r="K43" s="2" t="s">
        <v>1593</v>
      </c>
      <c r="L43" s="2" t="s">
        <v>1597</v>
      </c>
      <c r="M43" s="2" t="s">
        <v>1598</v>
      </c>
      <c r="N43" s="2" t="s">
        <v>328</v>
      </c>
      <c r="O43" s="11" t="s">
        <v>1598</v>
      </c>
    </row>
    <row r="44" spans="1:15" ht="29">
      <c r="A44" t="s">
        <v>2406</v>
      </c>
      <c r="B44" s="2" t="s">
        <v>1431</v>
      </c>
      <c r="C44" s="2" t="s">
        <v>3614</v>
      </c>
      <c r="D44" t="str">
        <f>_xlfn.LET(_xlpm.x,_xlfn.XLOOKUP(tblQuests[[#This Row],[QuestID]]&amp;".accepted",tblTargets[TargetID],tblTargets[DisplayName],""),LEFT(_xlpm.x,LEN(_xlpm.x)-9))</f>
        <v>Shogun's Katana Chapter 6</v>
      </c>
      <c r="E44" t="b">
        <v>1</v>
      </c>
      <c r="F44" s="2" t="s">
        <v>1393</v>
      </c>
      <c r="G44" s="2">
        <v>6</v>
      </c>
      <c r="H44" s="2" t="s">
        <v>1599</v>
      </c>
      <c r="I44" s="2"/>
      <c r="J44" s="2" t="s">
        <v>1600</v>
      </c>
      <c r="K44" s="2" t="s">
        <v>1601</v>
      </c>
      <c r="L44" s="2" t="s">
        <v>1602</v>
      </c>
      <c r="M44" s="2" t="s">
        <v>1603</v>
      </c>
      <c r="N44" s="2" t="s">
        <v>328</v>
      </c>
      <c r="O44" s="11" t="s">
        <v>1603</v>
      </c>
    </row>
    <row r="45" spans="1:15" ht="58">
      <c r="A45" t="s">
        <v>2409</v>
      </c>
      <c r="B45" s="2" t="s">
        <v>1432</v>
      </c>
      <c r="C45" s="2" t="s">
        <v>3615</v>
      </c>
      <c r="D45" t="str">
        <f>_xlfn.LET(_xlpm.x,_xlfn.XLOOKUP(tblQuests[[#This Row],[QuestID]]&amp;".accepted",tblTargets[TargetID],tblTargets[DisplayName],""),LEFT(_xlpm.x,LEN(_xlpm.x)-9))</f>
        <v>Shogun's Katana Chapter 7</v>
      </c>
      <c r="E45" t="b">
        <v>1</v>
      </c>
      <c r="F45" s="2" t="s">
        <v>1393</v>
      </c>
      <c r="G45" s="2">
        <v>7</v>
      </c>
      <c r="H45" s="2" t="s">
        <v>1599</v>
      </c>
      <c r="I45" s="2"/>
      <c r="J45" s="2" t="s">
        <v>1604</v>
      </c>
      <c r="K45" s="2" t="s">
        <v>1605</v>
      </c>
      <c r="L45" s="2" t="s">
        <v>1606</v>
      </c>
      <c r="M45" s="2" t="s">
        <v>1607</v>
      </c>
      <c r="N45" s="2" t="s">
        <v>328</v>
      </c>
      <c r="O45" s="11" t="s">
        <v>1607</v>
      </c>
    </row>
    <row r="46" spans="1:15" ht="43.5">
      <c r="A46" t="s">
        <v>2412</v>
      </c>
      <c r="B46" s="2" t="s">
        <v>1433</v>
      </c>
      <c r="D46" t="str">
        <f>_xlfn.LET(_xlpm.x,_xlfn.XLOOKUP(tblQuests[[#This Row],[QuestID]]&amp;".accepted",tblTargets[TargetID],tblTargets[DisplayName],""),LEFT(_xlpm.x,LEN(_xlpm.x)-9))</f>
        <v>Silk Road</v>
      </c>
      <c r="E46" t="b">
        <v>1</v>
      </c>
      <c r="F46" s="2" t="s">
        <v>1383</v>
      </c>
      <c r="G46" s="2" t="s">
        <v>328</v>
      </c>
      <c r="H46" s="2"/>
      <c r="I46" s="51" t="s">
        <v>5577</v>
      </c>
      <c r="J46" s="50" t="s">
        <v>1608</v>
      </c>
      <c r="K46" s="2" t="s">
        <v>1609</v>
      </c>
      <c r="L46" s="2" t="s">
        <v>553</v>
      </c>
      <c r="M46" s="2" t="s">
        <v>569</v>
      </c>
      <c r="N46" s="2" t="s">
        <v>328</v>
      </c>
      <c r="O46" s="11" t="s">
        <v>569</v>
      </c>
    </row>
    <row r="47" spans="1:15" ht="29">
      <c r="A47" t="s">
        <v>2415</v>
      </c>
      <c r="B47" s="2" t="s">
        <v>1434</v>
      </c>
      <c r="D47" t="str">
        <f>_xlfn.LET(_xlpm.x,_xlfn.XLOOKUP(tblQuests[[#This Row],[QuestID]]&amp;".accepted",tblTargets[TargetID],tblTargets[DisplayName],""),LEFT(_xlpm.x,LEN(_xlpm.x)-9))</f>
        <v>Spicy Odyssey</v>
      </c>
      <c r="E47" t="b">
        <v>1</v>
      </c>
      <c r="F47" s="2" t="s">
        <v>1384</v>
      </c>
      <c r="G47" s="2" t="s">
        <v>328</v>
      </c>
      <c r="H47" s="2"/>
      <c r="I47" s="51" t="s">
        <v>5576</v>
      </c>
      <c r="J47" s="50" t="s">
        <v>1610</v>
      </c>
      <c r="K47" s="2" t="s">
        <v>1611</v>
      </c>
      <c r="L47" s="2" t="s">
        <v>1612</v>
      </c>
      <c r="M47" s="2" t="s">
        <v>1613</v>
      </c>
      <c r="N47" s="2" t="s">
        <v>328</v>
      </c>
      <c r="O47" s="11" t="s">
        <v>1613</v>
      </c>
    </row>
    <row r="48" spans="1:15" ht="101.5">
      <c r="A48" t="s">
        <v>2418</v>
      </c>
      <c r="B48" s="2" t="s">
        <v>1435</v>
      </c>
      <c r="C48" s="2" t="s">
        <v>3636</v>
      </c>
      <c r="D48" t="str">
        <f>_xlfn.LET(_xlpm.x,_xlfn.XLOOKUP(tblQuests[[#This Row],[QuestID]]&amp;".accepted",tblTargets[TargetID],tblTargets[DisplayName],""),LEFT(_xlpm.x,LEN(_xlpm.x)-9))</f>
        <v>The Ordinary Days of an Adventurer Chapter 1</v>
      </c>
      <c r="E48" t="b">
        <v>1</v>
      </c>
      <c r="F48" s="2" t="s">
        <v>1394</v>
      </c>
      <c r="G48" s="2">
        <v>1</v>
      </c>
      <c r="H48" s="2"/>
      <c r="I48" s="2"/>
      <c r="J48" s="2" t="s">
        <v>1614</v>
      </c>
      <c r="K48" s="2" t="s">
        <v>1615</v>
      </c>
      <c r="L48" s="2" t="s">
        <v>1616</v>
      </c>
      <c r="M48" s="2" t="s">
        <v>1617</v>
      </c>
      <c r="N48" s="2" t="s">
        <v>328</v>
      </c>
      <c r="O48" s="11" t="s">
        <v>1617</v>
      </c>
    </row>
    <row r="49" spans="1:15" ht="43.5">
      <c r="A49" t="s">
        <v>2421</v>
      </c>
      <c r="B49" s="2" t="s">
        <v>1436</v>
      </c>
      <c r="C49" s="2" t="s">
        <v>3637</v>
      </c>
      <c r="D49" t="str">
        <f>_xlfn.LET(_xlpm.x,_xlfn.XLOOKUP(tblQuests[[#This Row],[QuestID]]&amp;".accepted",tblTargets[TargetID],tblTargets[DisplayName],""),LEFT(_xlpm.x,LEN(_xlpm.x)-9))</f>
        <v>The Ordinary Days of an Adventurer Chapter 2</v>
      </c>
      <c r="E49" t="b">
        <v>1</v>
      </c>
      <c r="F49" s="2" t="s">
        <v>1394</v>
      </c>
      <c r="G49" s="2">
        <v>2</v>
      </c>
      <c r="H49" s="2" t="s">
        <v>1618</v>
      </c>
      <c r="I49" s="2"/>
      <c r="J49" s="2" t="s">
        <v>1619</v>
      </c>
      <c r="K49" s="2" t="s">
        <v>1620</v>
      </c>
      <c r="L49" s="2" t="s">
        <v>1621</v>
      </c>
      <c r="M49" s="2" t="s">
        <v>1565</v>
      </c>
      <c r="N49" s="2" t="s">
        <v>328</v>
      </c>
      <c r="O49" s="11" t="s">
        <v>1565</v>
      </c>
    </row>
    <row r="50" spans="1:15" ht="58">
      <c r="A50" t="s">
        <v>2424</v>
      </c>
      <c r="B50" s="2" t="s">
        <v>1437</v>
      </c>
      <c r="C50" s="2" t="s">
        <v>3638</v>
      </c>
      <c r="D50" t="str">
        <f>_xlfn.LET(_xlpm.x,_xlfn.XLOOKUP(tblQuests[[#This Row],[QuestID]]&amp;".accepted",tblTargets[TargetID],tblTargets[DisplayName],""),LEFT(_xlpm.x,LEN(_xlpm.x)-9))</f>
        <v>The Ordinary Days of an Adventurer Chapter 3</v>
      </c>
      <c r="E50" t="b">
        <v>1</v>
      </c>
      <c r="F50" s="2" t="s">
        <v>1394</v>
      </c>
      <c r="G50" s="2">
        <v>3</v>
      </c>
      <c r="H50" s="2"/>
      <c r="I50" s="2"/>
      <c r="J50" s="2" t="s">
        <v>1622</v>
      </c>
      <c r="K50" s="2" t="s">
        <v>1623</v>
      </c>
      <c r="L50" s="2" t="s">
        <v>1624</v>
      </c>
      <c r="M50" s="2" t="s">
        <v>1625</v>
      </c>
      <c r="N50" s="2" t="s">
        <v>328</v>
      </c>
      <c r="O50" s="11" t="s">
        <v>1625</v>
      </c>
    </row>
    <row r="51" spans="1:15" ht="43.5">
      <c r="A51" t="s">
        <v>2427</v>
      </c>
      <c r="B51" s="2" t="s">
        <v>1438</v>
      </c>
      <c r="C51" s="2" t="s">
        <v>3639</v>
      </c>
      <c r="D51" t="str">
        <f>_xlfn.LET(_xlpm.x,_xlfn.XLOOKUP(tblQuests[[#This Row],[QuestID]]&amp;".accepted",tblTargets[TargetID],tblTargets[DisplayName],""),LEFT(_xlpm.x,LEN(_xlpm.x)-9))</f>
        <v>The Ordinary Days of an Adventurer Chapter 4</v>
      </c>
      <c r="E51" t="b">
        <v>1</v>
      </c>
      <c r="F51" s="2" t="s">
        <v>1394</v>
      </c>
      <c r="G51" s="2">
        <v>4</v>
      </c>
      <c r="H51" s="2"/>
      <c r="I51" s="2"/>
      <c r="J51" s="2" t="s">
        <v>1626</v>
      </c>
      <c r="K51" s="2" t="s">
        <v>1627</v>
      </c>
      <c r="L51" s="2" t="s">
        <v>1628</v>
      </c>
      <c r="M51" s="2" t="s">
        <v>1629</v>
      </c>
      <c r="N51" s="2" t="s">
        <v>328</v>
      </c>
      <c r="O51" s="11" t="s">
        <v>1629</v>
      </c>
    </row>
    <row r="52" spans="1:15" ht="43.5">
      <c r="A52" t="s">
        <v>2430</v>
      </c>
      <c r="B52" s="2" t="s">
        <v>1439</v>
      </c>
      <c r="C52" s="2" t="s">
        <v>3640</v>
      </c>
      <c r="D52" t="str">
        <f>_xlfn.LET(_xlpm.x,_xlfn.XLOOKUP(tblQuests[[#This Row],[QuestID]]&amp;".accepted",tblTargets[TargetID],tblTargets[DisplayName],""),LEFT(_xlpm.x,LEN(_xlpm.x)-9))</f>
        <v>The Ordinary Days of an Adventurer Chapter 5</v>
      </c>
      <c r="E52" t="b">
        <v>1</v>
      </c>
      <c r="F52" s="2" t="s">
        <v>1394</v>
      </c>
      <c r="G52" s="2">
        <v>5</v>
      </c>
      <c r="H52" s="2" t="s">
        <v>1630</v>
      </c>
      <c r="I52" s="2"/>
      <c r="J52" s="2" t="s">
        <v>1631</v>
      </c>
      <c r="K52" s="2" t="s">
        <v>1632</v>
      </c>
      <c r="L52" s="2" t="s">
        <v>1633</v>
      </c>
      <c r="M52" s="2" t="s">
        <v>1634</v>
      </c>
      <c r="N52" s="2" t="s">
        <v>328</v>
      </c>
      <c r="O52" s="11" t="s">
        <v>1634</v>
      </c>
    </row>
    <row r="53" spans="1:15" ht="29">
      <c r="A53" t="s">
        <v>2433</v>
      </c>
      <c r="B53" s="2" t="s">
        <v>1440</v>
      </c>
      <c r="C53" s="2" t="s">
        <v>3641</v>
      </c>
      <c r="D53" t="str">
        <f>_xlfn.LET(_xlpm.x,_xlfn.XLOOKUP(tblQuests[[#This Row],[QuestID]]&amp;".accepted",tblTargets[TargetID],tblTargets[DisplayName],""),LEFT(_xlpm.x,LEN(_xlpm.x)-9))</f>
        <v>The Ordinary Days of an Adventurer Chapter 6</v>
      </c>
      <c r="E53" t="b">
        <v>1</v>
      </c>
      <c r="F53" s="2" t="s">
        <v>1394</v>
      </c>
      <c r="G53" s="2">
        <v>6</v>
      </c>
      <c r="H53" s="2" t="s">
        <v>1635</v>
      </c>
      <c r="I53" s="2"/>
      <c r="J53" s="2" t="s">
        <v>1520</v>
      </c>
      <c r="K53" s="2" t="s">
        <v>1636</v>
      </c>
      <c r="L53" s="2" t="s">
        <v>1637</v>
      </c>
      <c r="M53" s="2" t="s">
        <v>1638</v>
      </c>
      <c r="N53" s="2" t="s">
        <v>328</v>
      </c>
      <c r="O53" s="11" t="s">
        <v>1638</v>
      </c>
    </row>
    <row r="54" spans="1:15" ht="43.5">
      <c r="A54" t="s">
        <v>2436</v>
      </c>
      <c r="B54" s="2" t="s">
        <v>1441</v>
      </c>
      <c r="C54" s="2" t="s">
        <v>3642</v>
      </c>
      <c r="D54" t="str">
        <f>_xlfn.LET(_xlpm.x,_xlfn.XLOOKUP(tblQuests[[#This Row],[QuestID]]&amp;".accepted",tblTargets[TargetID],tblTargets[DisplayName],""),LEFT(_xlpm.x,LEN(_xlpm.x)-9))</f>
        <v>The Ordinary Days of an Adventurer Chapter 7</v>
      </c>
      <c r="E54" t="b">
        <v>1</v>
      </c>
      <c r="F54" s="2" t="s">
        <v>1394</v>
      </c>
      <c r="G54" s="2">
        <v>7</v>
      </c>
      <c r="H54" s="2"/>
      <c r="I54" s="2"/>
      <c r="J54" s="2" t="s">
        <v>1639</v>
      </c>
      <c r="K54" s="2" t="s">
        <v>1640</v>
      </c>
      <c r="L54" s="2" t="s">
        <v>1641</v>
      </c>
      <c r="M54" s="2" t="s">
        <v>1642</v>
      </c>
      <c r="N54" s="2" t="s">
        <v>328</v>
      </c>
      <c r="O54" s="11" t="s">
        <v>1642</v>
      </c>
    </row>
    <row r="55" spans="1:15" ht="58">
      <c r="A55" t="s">
        <v>2439</v>
      </c>
      <c r="B55" s="2" t="s">
        <v>1442</v>
      </c>
      <c r="C55" s="2" t="s">
        <v>3643</v>
      </c>
      <c r="D55" t="str">
        <f>_xlfn.LET(_xlpm.x,_xlfn.XLOOKUP(tblQuests[[#This Row],[QuestID]]&amp;".accepted",tblTargets[TargetID],tblTargets[DisplayName],""),LEFT(_xlpm.x,LEN(_xlpm.x)-9))</f>
        <v>The Ordinary Days of an Adventurer Chapter 8</v>
      </c>
      <c r="E55" t="b">
        <v>1</v>
      </c>
      <c r="F55" s="2" t="s">
        <v>1394</v>
      </c>
      <c r="G55" s="2">
        <v>8</v>
      </c>
      <c r="H55" s="2"/>
      <c r="I55" s="2"/>
      <c r="J55" s="2" t="s">
        <v>1643</v>
      </c>
      <c r="K55" s="2" t="s">
        <v>1644</v>
      </c>
      <c r="L55" s="2" t="s">
        <v>1645</v>
      </c>
      <c r="M55" s="2" t="s">
        <v>1646</v>
      </c>
      <c r="N55" s="2" t="s">
        <v>328</v>
      </c>
      <c r="O55" s="11" t="s">
        <v>1646</v>
      </c>
    </row>
    <row r="56" spans="1:15" ht="29">
      <c r="A56" t="s">
        <v>2442</v>
      </c>
      <c r="B56" s="2" t="s">
        <v>1443</v>
      </c>
      <c r="D56" t="str">
        <f>_xlfn.LET(_xlpm.x,_xlfn.XLOOKUP(tblQuests[[#This Row],[QuestID]]&amp;".accepted",tblTargets[TargetID],tblTargets[DisplayName],""),LEFT(_xlpm.x,LEN(_xlpm.x)-9))</f>
        <v>The Ring of the Dark Lady</v>
      </c>
      <c r="E56" t="b">
        <v>1</v>
      </c>
      <c r="F56" s="2" t="s">
        <v>1395</v>
      </c>
      <c r="G56" s="2" t="s">
        <v>328</v>
      </c>
      <c r="H56" s="2"/>
      <c r="I56" s="51" t="s">
        <v>5582</v>
      </c>
      <c r="J56" s="50" t="s">
        <v>1647</v>
      </c>
      <c r="K56" s="2" t="s">
        <v>1648</v>
      </c>
      <c r="L56" s="2" t="s">
        <v>1649</v>
      </c>
      <c r="M56" s="2" t="s">
        <v>1650</v>
      </c>
      <c r="N56" s="2" t="s">
        <v>328</v>
      </c>
      <c r="O56" s="11" t="s">
        <v>1650</v>
      </c>
    </row>
    <row r="57" spans="1:15" ht="101.5">
      <c r="A57" t="s">
        <v>2445</v>
      </c>
      <c r="B57" s="2" t="s">
        <v>1444</v>
      </c>
      <c r="D57" t="str">
        <f>_xlfn.LET(_xlpm.x,_xlfn.XLOOKUP(tblQuests[[#This Row],[QuestID]]&amp;".accepted",tblTargets[TargetID],tblTargets[DisplayName],""),LEFT(_xlpm.x,LEN(_xlpm.x)-9))</f>
        <v>Treasure Island</v>
      </c>
      <c r="E57" t="b">
        <v>1</v>
      </c>
      <c r="F57" s="2" t="s">
        <v>1385</v>
      </c>
      <c r="G57" s="2" t="s">
        <v>328</v>
      </c>
      <c r="H57" s="2"/>
      <c r="I57" s="51" t="s">
        <v>5584</v>
      </c>
      <c r="J57" s="50" t="s">
        <v>1651</v>
      </c>
      <c r="K57" s="2" t="s">
        <v>1652</v>
      </c>
      <c r="L57" s="2" t="s">
        <v>1653</v>
      </c>
      <c r="M57" s="2" t="s">
        <v>1654</v>
      </c>
      <c r="N57" s="2" t="s">
        <v>328</v>
      </c>
      <c r="O57" s="11" t="s">
        <v>1654</v>
      </c>
    </row>
    <row r="58" spans="1:15" ht="43.5">
      <c r="A58" t="s">
        <v>2448</v>
      </c>
      <c r="B58" s="2" t="s">
        <v>1445</v>
      </c>
      <c r="D58" t="str">
        <f>_xlfn.LET(_xlpm.x,_xlfn.XLOOKUP(tblQuests[[#This Row],[QuestID]]&amp;".accepted",tblTargets[TargetID],tblTargets[DisplayName],""),LEFT(_xlpm.x,LEN(_xlpm.x)-9))</f>
        <v>Undead Revenge</v>
      </c>
      <c r="E58" t="b">
        <v>1</v>
      </c>
      <c r="F58" s="2" t="s">
        <v>1386</v>
      </c>
      <c r="G58" s="2" t="s">
        <v>328</v>
      </c>
      <c r="H58" s="2"/>
      <c r="I58" s="51" t="s">
        <v>5581</v>
      </c>
      <c r="J58" s="50" t="s">
        <v>1655</v>
      </c>
      <c r="K58" s="2" t="s">
        <v>5580</v>
      </c>
      <c r="L58" s="2" t="s">
        <v>1656</v>
      </c>
      <c r="M58" s="2" t="s">
        <v>1650</v>
      </c>
      <c r="N58" s="2" t="s">
        <v>328</v>
      </c>
      <c r="O58" s="11" t="s">
        <v>1650</v>
      </c>
    </row>
    <row r="59" spans="1:15">
      <c r="A59" t="s">
        <v>6096</v>
      </c>
      <c r="B59" s="2" t="s">
        <v>1375</v>
      </c>
      <c r="D59" t="e">
        <f>_xlfn.LET(_xlpm.x,_xlfn.XLOOKUP(tblQuests[[#This Row],[QuestID]]&amp;".accepted",tblTargets[TargetID],tblTargets[DisplayName],""),LEFT(_xlpm.x,LEN(_xlpm.x)-9))</f>
        <v>#VALUE!</v>
      </c>
      <c r="E59" t="b">
        <v>0</v>
      </c>
      <c r="F59" s="2" t="s">
        <v>1396</v>
      </c>
      <c r="G59" s="2" t="s">
        <v>328</v>
      </c>
      <c r="H59" s="2"/>
      <c r="I59" s="2"/>
      <c r="J59" s="2" t="s">
        <v>1657</v>
      </c>
      <c r="K59" s="2"/>
      <c r="L59" s="2"/>
      <c r="M59" s="2" t="s">
        <v>328</v>
      </c>
      <c r="N59" s="2" t="s">
        <v>328</v>
      </c>
      <c r="O59" s="11" t="s">
        <v>328</v>
      </c>
    </row>
    <row r="60" spans="1:15" ht="29">
      <c r="A60" t="s">
        <v>6096</v>
      </c>
      <c r="B60" s="2" t="s">
        <v>1375</v>
      </c>
      <c r="D60" t="e">
        <f>_xlfn.LET(_xlpm.x,_xlfn.XLOOKUP(tblQuests[[#This Row],[QuestID]]&amp;".accepted",tblTargets[TargetID],tblTargets[DisplayName],""),LEFT(_xlpm.x,LEN(_xlpm.x)-9))</f>
        <v>#VALUE!</v>
      </c>
      <c r="E60" t="b">
        <v>0</v>
      </c>
      <c r="F60" s="2" t="s">
        <v>1396</v>
      </c>
      <c r="G60" s="2" t="s">
        <v>328</v>
      </c>
      <c r="H60" s="2"/>
      <c r="I60" s="2"/>
      <c r="J60" s="2" t="s">
        <v>1658</v>
      </c>
      <c r="K60" s="2" t="s">
        <v>1659</v>
      </c>
      <c r="L60" s="2"/>
      <c r="M60" s="2" t="s">
        <v>328</v>
      </c>
      <c r="N60" s="2" t="s">
        <v>328</v>
      </c>
      <c r="O60" s="11" t="s">
        <v>328</v>
      </c>
    </row>
    <row r="61" spans="1:15" ht="157" customHeight="1">
      <c r="A61" t="s">
        <v>6096</v>
      </c>
      <c r="B61" s="2" t="s">
        <v>1375</v>
      </c>
      <c r="D61" t="e">
        <f>_xlfn.LET(_xlpm.x,_xlfn.XLOOKUP(tblQuests[[#This Row],[QuestID]]&amp;".accepted",tblTargets[TargetID],tblTargets[DisplayName],""),LEFT(_xlpm.x,LEN(_xlpm.x)-9))</f>
        <v>#VALUE!</v>
      </c>
      <c r="E61" t="b">
        <v>0</v>
      </c>
      <c r="F61" s="2" t="s">
        <v>1396</v>
      </c>
      <c r="G61" s="2" t="s">
        <v>328</v>
      </c>
      <c r="H61" s="2"/>
      <c r="I61" s="2"/>
      <c r="J61" s="2" t="s">
        <v>1660</v>
      </c>
      <c r="K61" s="2" t="s">
        <v>1661</v>
      </c>
      <c r="L61" s="2"/>
      <c r="M61" s="2" t="s">
        <v>328</v>
      </c>
      <c r="N61" s="2" t="s">
        <v>328</v>
      </c>
      <c r="O61" s="11" t="s">
        <v>328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73BD-1F47-4B84-8CA6-2A48B885B03A}">
  <sheetPr>
    <tabColor rgb="FF00B050"/>
  </sheetPr>
  <dimension ref="A1:G147"/>
  <sheetViews>
    <sheetView workbookViewId="0"/>
  </sheetViews>
  <sheetFormatPr defaultRowHeight="14.5"/>
  <cols>
    <col min="1" max="1" width="46.6328125" bestFit="1" customWidth="1"/>
    <col min="2" max="2" width="24.36328125" customWidth="1"/>
    <col min="3" max="3" width="55.453125" bestFit="1" customWidth="1"/>
    <col min="4" max="4" width="54.453125" bestFit="1" customWidth="1"/>
    <col min="5" max="5" width="43.26953125" customWidth="1"/>
    <col min="6" max="6" width="11" customWidth="1"/>
    <col min="7" max="9" width="10.90625" bestFit="1" customWidth="1"/>
  </cols>
  <sheetData>
    <row r="1" spans="1:7">
      <c r="A1" t="s">
        <v>5507</v>
      </c>
      <c r="B1" t="s">
        <v>8</v>
      </c>
      <c r="C1" t="s">
        <v>5909</v>
      </c>
      <c r="D1" t="s">
        <v>5572</v>
      </c>
      <c r="E1" t="s">
        <v>6024</v>
      </c>
      <c r="F1" t="s">
        <v>5508</v>
      </c>
      <c r="G1" t="s">
        <v>11</v>
      </c>
    </row>
    <row r="2" spans="1:7">
      <c r="A2" t="s">
        <v>3500</v>
      </c>
      <c r="B2" t="str">
        <f>_xlfn.XLOOKUP(tblStates[[#This Row],[StateID]],tblTargets[TargetID],tblTargets[DisplayName],"")</f>
        <v>Action Reenter Guild</v>
      </c>
      <c r="C2" t="str">
        <f>IFERROR(_xlfn.XLOOKUP(tblStates[[#This Row],[StateID]],tblQuestObjectives[ObjectiveID],tblQuestObjectives[QuestTargetID]),_xlfn.XLOOKUP(tblStates[[#This Row],[StateID]],tblDependencies[DependencyID],tblDependencies[TargetID]))</f>
        <v>quest.the_ordinary_days_of_an_adventurer_chapter_5.accepted</v>
      </c>
      <c r="D2" t="str">
        <f>IFERROR(_xlfn.XLOOKUP(tblStates[[#This Row],[StateID]],tblQuestObjectives[ObjectiveID],tblQuestObjectives[QuestTargetID]),"")</f>
        <v/>
      </c>
      <c r="E2" t="str">
        <f>IFERROR(_xlfn.XLOOKUP(tblStates[[#This Row],[StateID]],tblDependencies[DependencyID],tblDependencies[TargetID]),"")</f>
        <v>quest.the_ordinary_days_of_an_adventurer_chapter_5.accepted</v>
      </c>
      <c r="F2" t="str">
        <f>_xlfn.XLOOKUP(tblStates[[#This Row],[StateID]],tblTargets[TargetID],tblTargets[StateType],"")</f>
        <v>ACTION</v>
      </c>
      <c r="G2" t="b">
        <f>_xlfn.XLOOKUP(tblStates[[#This Row],[StateID]],tblTargets[TargetID],tblTargets[Trackable],"")</f>
        <v>1</v>
      </c>
    </row>
    <row r="3" spans="1:7">
      <c r="A3" t="s">
        <v>5668</v>
      </c>
      <c r="B3" t="str">
        <f>_xlfn.XLOOKUP(tblStates[[#This Row],[StateID]],tblTargets[TargetID],tblTargets[DisplayName],"")</f>
        <v>Send Train to Sapporo</v>
      </c>
      <c r="C3" t="str">
        <f>IFERROR(_xlfn.XLOOKUP(tblStates[[#This Row],[StateID]],tblQuestObjectives[ObjectiveID],tblQuestObjectives[QuestTargetID]),_xlfn.XLOOKUP(tblStates[[#This Row],[StateID]],tblDependencies[DependencyID],tblDependencies[TargetID]))</f>
        <v>quest.ahead_of_time_chapter_4.finished</v>
      </c>
      <c r="D3" t="str">
        <f>IFERROR(_xlfn.XLOOKUP(tblStates[[#This Row],[StateID]],tblQuestObjectives[ObjectiveID],tblQuestObjectives[QuestTargetID]),"")</f>
        <v>quest.ahead_of_time_chapter_4.finished</v>
      </c>
      <c r="E3" t="str">
        <f>IFERROR(_xlfn.XLOOKUP(tblStates[[#This Row],[StateID]],tblDependencies[DependencyID],tblDependencies[TargetID]),"")</f>
        <v>building.train@2</v>
      </c>
      <c r="F3" t="str">
        <f>_xlfn.XLOOKUP(tblStates[[#This Row],[StateID]],tblTargets[TargetID],tblTargets[StateType],"")</f>
        <v>ACTION</v>
      </c>
      <c r="G3" t="b">
        <f>_xlfn.XLOOKUP(tblStates[[#This Row],[StateID]],tblTargets[TargetID],tblTargets[Trackable],"")</f>
        <v>1</v>
      </c>
    </row>
    <row r="4" spans="1:7">
      <c r="A4" t="s">
        <v>6086</v>
      </c>
      <c r="B4" t="str">
        <f>_xlfn.XLOOKUP(tblStates[[#This Row],[StateID]],tblTargets[TargetID],tblTargets[DisplayName],"")</f>
        <v>Learn character skill cartographer lvl 2</v>
      </c>
      <c r="C4" t="str">
        <f>IFERROR(_xlfn.XLOOKUP(tblStates[[#This Row],[StateID]],tblQuestObjectives[ObjectiveID],tblQuestObjectives[QuestTargetID]),_xlfn.XLOOKUP(tblStates[[#This Row],[StateID]],tblDependencies[DependencyID],tblDependencies[TargetID]))</f>
        <v>quest.shoguns_katana_chapter_1.finished</v>
      </c>
      <c r="D4" t="str">
        <f>IFERROR(_xlfn.XLOOKUP(tblStates[[#This Row],[StateID]],tblQuestObjectives[ObjectiveID],tblQuestObjectives[QuestTargetID]),"")</f>
        <v>quest.shoguns_katana_chapter_1.finished</v>
      </c>
      <c r="E4" t="str">
        <f>IFERROR(_xlfn.XLOOKUP(tblStates[[#This Row],[StateID]],tblDependencies[DependencyID],tblDependencies[TargetID]),"")</f>
        <v/>
      </c>
      <c r="F4" t="str">
        <f>_xlfn.XLOOKUP(tblStates[[#This Row],[StateID]],tblTargets[TargetID],tblTargets[StateType],"")</f>
        <v>CHARACTER</v>
      </c>
      <c r="G4" t="b">
        <f>_xlfn.XLOOKUP(tblStates[[#This Row],[StateID]],tblTargets[TargetID],tblTargets[Trackable],"")</f>
        <v>1</v>
      </c>
    </row>
    <row r="5" spans="1:7">
      <c r="A5" t="s">
        <v>6085</v>
      </c>
      <c r="B5" t="str">
        <f>_xlfn.XLOOKUP(tblStates[[#This Row],[StateID]],tblTargets[TargetID],tblTargets[DisplayName],"")</f>
        <v>Learn character skill cartographer lvl 4</v>
      </c>
      <c r="C5" t="str">
        <f>IFERROR(_xlfn.XLOOKUP(tblStates[[#This Row],[StateID]],tblQuestObjectives[ObjectiveID],tblQuestObjectives[QuestTargetID]),_xlfn.XLOOKUP(tblStates[[#This Row],[StateID]],tblDependencies[DependencyID],tblDependencies[TargetID]))</f>
        <v>quest.shoguns_katana_chapter_6.finished</v>
      </c>
      <c r="D5" t="str">
        <f>IFERROR(_xlfn.XLOOKUP(tblStates[[#This Row],[StateID]],tblQuestObjectives[ObjectiveID],tblQuestObjectives[QuestTargetID]),"")</f>
        <v>quest.shoguns_katana_chapter_6.finished</v>
      </c>
      <c r="E5" t="str">
        <f>IFERROR(_xlfn.XLOOKUP(tblStates[[#This Row],[StateID]],tblDependencies[DependencyID],tblDependencies[TargetID]),"")</f>
        <v/>
      </c>
      <c r="F5" t="str">
        <f>_xlfn.XLOOKUP(tblStates[[#This Row],[StateID]],tblTargets[TargetID],tblTargets[StateType],"")</f>
        <v>CHARACTER</v>
      </c>
      <c r="G5" t="b">
        <f>_xlfn.XLOOKUP(tblStates[[#This Row],[StateID]],tblTargets[TargetID],tblTargets[Trackable],"")</f>
        <v>1</v>
      </c>
    </row>
    <row r="6" spans="1:7">
      <c r="A6" t="s">
        <v>6089</v>
      </c>
      <c r="B6" t="str">
        <f>_xlfn.XLOOKUP(tblStates[[#This Row],[StateID]],tblTargets[TargetID],tblTargets[DisplayName],"")</f>
        <v>Attain level 13 cooking skill</v>
      </c>
      <c r="C6" t="str">
        <f>IFERROR(_xlfn.XLOOKUP(tblStates[[#This Row],[StateID]],tblQuestObjectives[ObjectiveID],tblQuestObjectives[QuestTargetID]),_xlfn.XLOOKUP(tblStates[[#This Row],[StateID]],tblDependencies[DependencyID],tblDependencies[TargetID]))</f>
        <v>quest.culinary_battle.finished</v>
      </c>
      <c r="D6" t="str">
        <f>IFERROR(_xlfn.XLOOKUP(tblStates[[#This Row],[StateID]],tblQuestObjectives[ObjectiveID],tblQuestObjectives[QuestTargetID]),"")</f>
        <v>quest.culinary_battle.finished</v>
      </c>
      <c r="E6" t="str">
        <f>IFERROR(_xlfn.XLOOKUP(tblStates[[#This Row],[StateID]],tblDependencies[DependencyID],tblDependencies[TargetID]),"")</f>
        <v>tech.food_stall.inarizushi</v>
      </c>
      <c r="F6" t="str">
        <f>_xlfn.XLOOKUP(tblStates[[#This Row],[StateID]],tblTargets[TargetID],tblTargets[StateType],"")</f>
        <v>CHARACTER</v>
      </c>
      <c r="G6" t="b">
        <f>_xlfn.XLOOKUP(tblStates[[#This Row],[StateID]],tblTargets[TargetID],tblTargets[Trackable],"")</f>
        <v>1</v>
      </c>
    </row>
    <row r="7" spans="1:7">
      <c r="A7" t="s">
        <v>6090</v>
      </c>
      <c r="B7" t="str">
        <f>_xlfn.XLOOKUP(tblStates[[#This Row],[StateID]],tblTargets[TargetID],tblTargets[DisplayName],"")</f>
        <v>Attain level 2 cooking skill</v>
      </c>
      <c r="C7" t="str">
        <f>IFERROR(_xlfn.XLOOKUP(tblStates[[#This Row],[StateID]],tblQuestObjectives[ObjectiveID],tblQuestObjectives[QuestTargetID]),_xlfn.XLOOKUP(tblStates[[#This Row],[StateID]],tblDependencies[DependencyID],tblDependencies[TargetID]))</f>
        <v>quest.shoguns_katana_chapter_4.finished</v>
      </c>
      <c r="D7" t="str">
        <f>IFERROR(_xlfn.XLOOKUP(tblStates[[#This Row],[StateID]],tblQuestObjectives[ObjectiveID],tblQuestObjectives[QuestTargetID]),"")</f>
        <v>quest.shoguns_katana_chapter_4.finished</v>
      </c>
      <c r="E7" t="str">
        <f>IFERROR(_xlfn.XLOOKUP(tblStates[[#This Row],[StateID]],tblDependencies[DependencyID],tblDependencies[TargetID]),"")</f>
        <v/>
      </c>
      <c r="F7" t="str">
        <f>_xlfn.XLOOKUP(tblStates[[#This Row],[StateID]],tblTargets[TargetID],tblTargets[StateType],"")</f>
        <v>CHARACTER</v>
      </c>
      <c r="G7" t="b">
        <f>_xlfn.XLOOKUP(tblStates[[#This Row],[StateID]],tblTargets[TargetID],tblTargets[Trackable],"")</f>
        <v>1</v>
      </c>
    </row>
    <row r="8" spans="1:7">
      <c r="A8" t="s">
        <v>6091</v>
      </c>
      <c r="B8" t="str">
        <f>_xlfn.XLOOKUP(tblStates[[#This Row],[StateID]],tblTargets[TargetID],tblTargets[DisplayName],"")</f>
        <v>Attain level 3 cooking skill</v>
      </c>
      <c r="C8" t="str">
        <f>IFERROR(_xlfn.XLOOKUP(tblStates[[#This Row],[StateID]],tblQuestObjectives[ObjectiveID],tblQuestObjectives[QuestTargetID]),_xlfn.XLOOKUP(tblStates[[#This Row],[StateID]],tblDependencies[DependencyID],tblDependencies[TargetID]))</f>
        <v>quest.shoguns_katana_chapter_5.finished</v>
      </c>
      <c r="D8" t="str">
        <f>IFERROR(_xlfn.XLOOKUP(tblStates[[#This Row],[StateID]],tblQuestObjectives[ObjectiveID],tblQuestObjectives[QuestTargetID]),"")</f>
        <v>quest.shoguns_katana_chapter_5.finished</v>
      </c>
      <c r="E8" t="str">
        <f>IFERROR(_xlfn.XLOOKUP(tblStates[[#This Row],[StateID]],tblDependencies[DependencyID],tblDependencies[TargetID]),"")</f>
        <v/>
      </c>
      <c r="F8" t="str">
        <f>_xlfn.XLOOKUP(tblStates[[#This Row],[StateID]],tblTargets[TargetID],tblTargets[StateType],"")</f>
        <v>CHARACTER</v>
      </c>
      <c r="G8" t="b">
        <f>_xlfn.XLOOKUP(tblStates[[#This Row],[StateID]],tblTargets[TargetID],tblTargets[Trackable],"")</f>
        <v>1</v>
      </c>
    </row>
    <row r="9" spans="1:7">
      <c r="A9" t="s">
        <v>3311</v>
      </c>
      <c r="B9" t="str">
        <f>_xlfn.XLOOKUP(tblStates[[#This Row],[StateID]],tblTargets[TargetID],tblTargets[DisplayName],"")</f>
        <v>Character Level@10</v>
      </c>
      <c r="C9" t="str">
        <f>IFERROR(_xlfn.XLOOKUP(tblStates[[#This Row],[StateID]],tblQuestObjectives[ObjectiveID],tblQuestObjectives[QuestTargetID]),_xlfn.XLOOKUP(tblStates[[#This Row],[StateID]],tblDependencies[DependencyID],tblDependencies[TargetID]))</f>
        <v>building.dungeon@1</v>
      </c>
      <c r="D9" t="str">
        <f>IFERROR(_xlfn.XLOOKUP(tblStates[[#This Row],[StateID]],tblQuestObjectives[ObjectiveID],tblQuestObjectives[QuestTargetID]),"")</f>
        <v/>
      </c>
      <c r="E9" t="str">
        <f>IFERROR(_xlfn.XLOOKUP(tblStates[[#This Row],[StateID]],tblDependencies[DependencyID],tblDependencies[TargetID]),"")</f>
        <v>building.dungeon@1</v>
      </c>
      <c r="F9" t="str">
        <f>_xlfn.XLOOKUP(tblStates[[#This Row],[StateID]],tblTargets[TargetID],tblTargets[StateType],"")</f>
        <v>CHARACTER</v>
      </c>
      <c r="G9" t="b">
        <f>_xlfn.XLOOKUP(tblStates[[#This Row],[StateID]],tblTargets[TargetID],tblTargets[Trackable],"")</f>
        <v>1</v>
      </c>
    </row>
    <row r="10" spans="1:7">
      <c r="A10" t="s">
        <v>3333</v>
      </c>
      <c r="B10" t="str">
        <f>_xlfn.XLOOKUP(tblStates[[#This Row],[StateID]],tblTargets[TargetID],tblTargets[DisplayName],"")</f>
        <v>Character Level@11</v>
      </c>
      <c r="C10" t="str">
        <f>IFERROR(_xlfn.XLOOKUP(tblStates[[#This Row],[StateID]],tblQuestObjectives[ObjectiveID],tblQuestObjectives[QuestTargetID]),_xlfn.XLOOKUP(tblStates[[#This Row],[StateID]],tblDependencies[DependencyID],tblDependencies[TargetID]))</f>
        <v>building.lumber@1</v>
      </c>
      <c r="D10" t="str">
        <f>IFERROR(_xlfn.XLOOKUP(tblStates[[#This Row],[StateID]],tblQuestObjectives[ObjectiveID],tblQuestObjectives[QuestTargetID]),"")</f>
        <v/>
      </c>
      <c r="E10" t="str">
        <f>IFERROR(_xlfn.XLOOKUP(tblStates[[#This Row],[StateID]],tblDependencies[DependencyID],tblDependencies[TargetID]),"")</f>
        <v>building.lumber@1</v>
      </c>
      <c r="F10" t="str">
        <f>_xlfn.XLOOKUP(tblStates[[#This Row],[StateID]],tblTargets[TargetID],tblTargets[StateType],"")</f>
        <v>CHARACTER</v>
      </c>
      <c r="G10" t="b">
        <f>_xlfn.XLOOKUP(tblStates[[#This Row],[StateID]],tblTargets[TargetID],tblTargets[Trackable],"")</f>
        <v>1</v>
      </c>
    </row>
    <row r="11" spans="1:7">
      <c r="A11" t="s">
        <v>3321</v>
      </c>
      <c r="B11" t="str">
        <f>_xlfn.XLOOKUP(tblStates[[#This Row],[StateID]],tblTargets[TargetID],tblTargets[DisplayName],"")</f>
        <v>Character Level@12</v>
      </c>
      <c r="C11" t="str">
        <f>IFERROR(_xlfn.XLOOKUP(tblStates[[#This Row],[StateID]],tblQuestObjectives[ObjectiveID],tblQuestObjectives[QuestTargetID]),_xlfn.XLOOKUP(tblStates[[#This Row],[StateID]],tblDependencies[DependencyID],tblDependencies[TargetID]))</f>
        <v>building.garden@1</v>
      </c>
      <c r="D11" t="str">
        <f>IFERROR(_xlfn.XLOOKUP(tblStates[[#This Row],[StateID]],tblQuestObjectives[ObjectiveID],tblQuestObjectives[QuestTargetID]),"")</f>
        <v/>
      </c>
      <c r="E11" t="str">
        <f>IFERROR(_xlfn.XLOOKUP(tblStates[[#This Row],[StateID]],tblDependencies[DependencyID],tblDependencies[TargetID]),"")</f>
        <v>building.garden@1</v>
      </c>
      <c r="F11" t="str">
        <f>_xlfn.XLOOKUP(tblStates[[#This Row],[StateID]],tblTargets[TargetID],tblTargets[StateType],"")</f>
        <v>CHARACTER</v>
      </c>
      <c r="G11" t="b">
        <f>_xlfn.XLOOKUP(tblStates[[#This Row],[StateID]],tblTargets[TargetID],tblTargets[Trackable],"")</f>
        <v>1</v>
      </c>
    </row>
    <row r="12" spans="1:7">
      <c r="A12" t="s">
        <v>3341</v>
      </c>
      <c r="B12" t="str">
        <f>_xlfn.XLOOKUP(tblStates[[#This Row],[StateID]],tblTargets[TargetID],tblTargets[DisplayName],"")</f>
        <v>Character Level@13</v>
      </c>
      <c r="C12" t="str">
        <f>IFERROR(_xlfn.XLOOKUP(tblStates[[#This Row],[StateID]],tblQuestObjectives[ObjectiveID],tblQuestObjectives[QuestTargetID]),_xlfn.XLOOKUP(tblStates[[#This Row],[StateID]],tblDependencies[DependencyID],tblDependencies[TargetID]))</f>
        <v>building.rock_garden@1</v>
      </c>
      <c r="D12" t="str">
        <f>IFERROR(_xlfn.XLOOKUP(tblStates[[#This Row],[StateID]],tblQuestObjectives[ObjectiveID],tblQuestObjectives[QuestTargetID]),"")</f>
        <v/>
      </c>
      <c r="E12" t="str">
        <f>IFERROR(_xlfn.XLOOKUP(tblStates[[#This Row],[StateID]],tblDependencies[DependencyID],tblDependencies[TargetID]),"")</f>
        <v>building.rock_garden@1</v>
      </c>
      <c r="F12" t="str">
        <f>_xlfn.XLOOKUP(tblStates[[#This Row],[StateID]],tblTargets[TargetID],tblTargets[StateType],"")</f>
        <v>CHARACTER</v>
      </c>
      <c r="G12" t="b">
        <f>_xlfn.XLOOKUP(tblStates[[#This Row],[StateID]],tblTargets[TargetID],tblTargets[Trackable],"")</f>
        <v>1</v>
      </c>
    </row>
    <row r="13" spans="1:7">
      <c r="A13" t="s">
        <v>3336</v>
      </c>
      <c r="B13" t="str">
        <f>_xlfn.XLOOKUP(tblStates[[#This Row],[StateID]],tblTargets[TargetID],tblTargets[DisplayName],"")</f>
        <v>Character Level@14</v>
      </c>
      <c r="C13" t="str">
        <f>IFERROR(_xlfn.XLOOKUP(tblStates[[#This Row],[StateID]],tblQuestObjectives[ObjectiveID],tblQuestObjectives[QuestTargetID]),_xlfn.XLOOKUP(tblStates[[#This Row],[StateID]],tblDependencies[DependencyID],tblDependencies[TargetID]))</f>
        <v>building.pagoda@4</v>
      </c>
      <c r="D13" t="str">
        <f>IFERROR(_xlfn.XLOOKUP(tblStates[[#This Row],[StateID]],tblQuestObjectives[ObjectiveID],tblQuestObjectives[QuestTargetID]),"")</f>
        <v/>
      </c>
      <c r="E13" t="str">
        <f>IFERROR(_xlfn.XLOOKUP(tblStates[[#This Row],[StateID]],tblDependencies[DependencyID],tblDependencies[TargetID]),"")</f>
        <v>building.pagoda@4</v>
      </c>
      <c r="F13" t="str">
        <f>_xlfn.XLOOKUP(tblStates[[#This Row],[StateID]],tblTargets[TargetID],tblTargets[StateType],"")</f>
        <v>CHARACTER</v>
      </c>
      <c r="G13" t="b">
        <f>_xlfn.XLOOKUP(tblStates[[#This Row],[StateID]],tblTargets[TargetID],tblTargets[Trackable],"")</f>
        <v>1</v>
      </c>
    </row>
    <row r="14" spans="1:7">
      <c r="A14" t="s">
        <v>3306</v>
      </c>
      <c r="B14" t="str">
        <f>_xlfn.XLOOKUP(tblStates[[#This Row],[StateID]],tblTargets[TargetID],tblTargets[DisplayName],"")</f>
        <v>Character Level@15</v>
      </c>
      <c r="C14" t="str">
        <f>IFERROR(_xlfn.XLOOKUP(tblStates[[#This Row],[StateID]],tblQuestObjectives[ObjectiveID],tblQuestObjectives[QuestTargetID]),_xlfn.XLOOKUP(tblStates[[#This Row],[StateID]],tblDependencies[DependencyID],tblDependencies[TargetID]))</f>
        <v>building.chicken@1</v>
      </c>
      <c r="D14" t="str">
        <f>IFERROR(_xlfn.XLOOKUP(tblStates[[#This Row],[StateID]],tblQuestObjectives[ObjectiveID],tblQuestObjectives[QuestTargetID]),"")</f>
        <v/>
      </c>
      <c r="E14" t="str">
        <f>IFERROR(_xlfn.XLOOKUP(tblStates[[#This Row],[StateID]],tblDependencies[DependencyID],tblDependencies[TargetID]),"")</f>
        <v>building.chicken@1</v>
      </c>
      <c r="F14" t="str">
        <f>_xlfn.XLOOKUP(tblStates[[#This Row],[StateID]],tblTargets[TargetID],tblTargets[StateType],"")</f>
        <v>CHARACTER</v>
      </c>
      <c r="G14" t="b">
        <f>_xlfn.XLOOKUP(tblStates[[#This Row],[StateID]],tblTargets[TargetID],tblTargets[Trackable],"")</f>
        <v>1</v>
      </c>
    </row>
    <row r="15" spans="1:7">
      <c r="A15" t="s">
        <v>3337</v>
      </c>
      <c r="B15" t="str">
        <f>_xlfn.XLOOKUP(tblStates[[#This Row],[StateID]],tblTargets[TargetID],tblTargets[DisplayName],"")</f>
        <v>Character Level@18</v>
      </c>
      <c r="C15" t="str">
        <f>IFERROR(_xlfn.XLOOKUP(tblStates[[#This Row],[StateID]],tblQuestObjectives[ObjectiveID],tblQuestObjectives[QuestTargetID]),_xlfn.XLOOKUP(tblStates[[#This Row],[StateID]],tblDependencies[DependencyID],tblDependencies[TargetID]))</f>
        <v>building.pagoda@5</v>
      </c>
      <c r="D15" t="str">
        <f>IFERROR(_xlfn.XLOOKUP(tblStates[[#This Row],[StateID]],tblQuestObjectives[ObjectiveID],tblQuestObjectives[QuestTargetID]),"")</f>
        <v/>
      </c>
      <c r="E15" t="str">
        <f>IFERROR(_xlfn.XLOOKUP(tblStates[[#This Row],[StateID]],tblDependencies[DependencyID],tblDependencies[TargetID]),"")</f>
        <v>building.pagoda@5</v>
      </c>
      <c r="F15" t="str">
        <f>_xlfn.XLOOKUP(tblStates[[#This Row],[StateID]],tblTargets[TargetID],tblTargets[StateType],"")</f>
        <v>CHARACTER</v>
      </c>
      <c r="G15" t="b">
        <f>_xlfn.XLOOKUP(tblStates[[#This Row],[StateID]],tblTargets[TargetID],tblTargets[Trackable],"")</f>
        <v>1</v>
      </c>
    </row>
    <row r="16" spans="1:7">
      <c r="A16" t="s">
        <v>3351</v>
      </c>
      <c r="B16" t="str">
        <f>_xlfn.XLOOKUP(tblStates[[#This Row],[StateID]],tblTargets[TargetID],tblTargets[DisplayName],"")</f>
        <v>Character Level@2</v>
      </c>
      <c r="C16" t="str">
        <f>IFERROR(_xlfn.XLOOKUP(tblStates[[#This Row],[StateID]],tblQuestObjectives[ObjectiveID],tblQuestObjectives[QuestTargetID]),_xlfn.XLOOKUP(tblStates[[#This Row],[StateID]],tblDependencies[DependencyID],tblDependencies[TargetID]))</f>
        <v>building.workshop@1</v>
      </c>
      <c r="D16" t="str">
        <f>IFERROR(_xlfn.XLOOKUP(tblStates[[#This Row],[StateID]],tblQuestObjectives[ObjectiveID],tblQuestObjectives[QuestTargetID]),"")</f>
        <v/>
      </c>
      <c r="E16" t="str">
        <f>IFERROR(_xlfn.XLOOKUP(tblStates[[#This Row],[StateID]],tblDependencies[DependencyID],tblDependencies[TargetID]),"")</f>
        <v>building.workshop@1</v>
      </c>
      <c r="F16" t="str">
        <f>_xlfn.XLOOKUP(tblStates[[#This Row],[StateID]],tblTargets[TargetID],tblTargets[StateType],"")</f>
        <v>CHARACTER</v>
      </c>
      <c r="G16" t="b">
        <f>_xlfn.XLOOKUP(tblStates[[#This Row],[StateID]],tblTargets[TargetID],tblTargets[Trackable],"")</f>
        <v>1</v>
      </c>
    </row>
    <row r="17" spans="1:7">
      <c r="A17" t="s">
        <v>3312</v>
      </c>
      <c r="B17" t="str">
        <f>_xlfn.XLOOKUP(tblStates[[#This Row],[StateID]],tblTargets[TargetID],tblTargets[DisplayName],"")</f>
        <v>Character Level@20</v>
      </c>
      <c r="C17" t="str">
        <f>IFERROR(_xlfn.XLOOKUP(tblStates[[#This Row],[StateID]],tblQuestObjectives[ObjectiveID],tblQuestObjectives[QuestTargetID]),_xlfn.XLOOKUP(tblStates[[#This Row],[StateID]],tblDependencies[DependencyID],tblDependencies[TargetID]))</f>
        <v>building.dungeon@2</v>
      </c>
      <c r="D17" t="str">
        <f>IFERROR(_xlfn.XLOOKUP(tblStates[[#This Row],[StateID]],tblQuestObjectives[ObjectiveID],tblQuestObjectives[QuestTargetID]),"")</f>
        <v/>
      </c>
      <c r="E17" t="str">
        <f>IFERROR(_xlfn.XLOOKUP(tblStates[[#This Row],[StateID]],tblDependencies[DependencyID],tblDependencies[TargetID]),"")</f>
        <v>building.dungeon@2</v>
      </c>
      <c r="F17" t="str">
        <f>_xlfn.XLOOKUP(tblStates[[#This Row],[StateID]],tblTargets[TargetID],tblTargets[StateType],"")</f>
        <v>CHARACTER</v>
      </c>
      <c r="G17" t="b">
        <f>_xlfn.XLOOKUP(tblStates[[#This Row],[StateID]],tblTargets[TargetID],tblTargets[Trackable],"")</f>
        <v>1</v>
      </c>
    </row>
    <row r="18" spans="1:7">
      <c r="A18" t="s">
        <v>3304</v>
      </c>
      <c r="B18" t="str">
        <f>_xlfn.XLOOKUP(tblStates[[#This Row],[StateID]],tblTargets[TargetID],tblTargets[DisplayName],"")</f>
        <v>Character Level@21</v>
      </c>
      <c r="C18" t="str">
        <f>IFERROR(_xlfn.XLOOKUP(tblStates[[#This Row],[StateID]],tblQuestObjectives[ObjectiveID],tblQuestObjectives[QuestTargetID]),_xlfn.XLOOKUP(tblStates[[#This Row],[StateID]],tblDependencies[DependencyID],tblDependencies[TargetID]))</f>
        <v>building.bonsai@1</v>
      </c>
      <c r="D18" t="str">
        <f>IFERROR(_xlfn.XLOOKUP(tblStates[[#This Row],[StateID]],tblQuestObjectives[ObjectiveID],tblQuestObjectives[QuestTargetID]),"")</f>
        <v/>
      </c>
      <c r="E18" t="str">
        <f>IFERROR(_xlfn.XLOOKUP(tblStates[[#This Row],[StateID]],tblDependencies[DependencyID],tblDependencies[TargetID]),"")</f>
        <v>building.bonsai@1</v>
      </c>
      <c r="F18" t="str">
        <f>_xlfn.XLOOKUP(tblStates[[#This Row],[StateID]],tblTargets[TargetID],tblTargets[StateType],"")</f>
        <v>CHARACTER</v>
      </c>
      <c r="G18" t="b">
        <f>_xlfn.XLOOKUP(tblStates[[#This Row],[StateID]],tblTargets[TargetID],tblTargets[Trackable],"")</f>
        <v>1</v>
      </c>
    </row>
    <row r="19" spans="1:7">
      <c r="A19" t="s">
        <v>3340</v>
      </c>
      <c r="B19" t="str">
        <f>_xlfn.XLOOKUP(tblStates[[#This Row],[StateID]],tblTargets[TargetID],tblTargets[DisplayName],"")</f>
        <v>Character Level@22</v>
      </c>
      <c r="C19" t="str">
        <f>IFERROR(_xlfn.XLOOKUP(tblStates[[#This Row],[StateID]],tblQuestObjectives[ObjectiveID],tblQuestObjectives[QuestTargetID]),_xlfn.XLOOKUP(tblStates[[#This Row],[StateID]],tblDependencies[DependencyID],tblDependencies[TargetID]))</f>
        <v>quest.shoguns_katana_chapter_2.finished</v>
      </c>
      <c r="D19" t="str">
        <f>IFERROR(_xlfn.XLOOKUP(tblStates[[#This Row],[StateID]],tblQuestObjectives[ObjectiveID],tblQuestObjectives[QuestTargetID]),"")</f>
        <v>quest.shoguns_katana_chapter_2.finished</v>
      </c>
      <c r="E19" t="str">
        <f>IFERROR(_xlfn.XLOOKUP(tblStates[[#This Row],[StateID]],tblDependencies[DependencyID],tblDependencies[TargetID]),"")</f>
        <v>building.pier@1</v>
      </c>
      <c r="F19" t="str">
        <f>_xlfn.XLOOKUP(tblStates[[#This Row],[StateID]],tblTargets[TargetID],tblTargets[StateType],"")</f>
        <v>CHARACTER</v>
      </c>
      <c r="G19" t="b">
        <f>_xlfn.XLOOKUP(tblStates[[#This Row],[StateID]],tblTargets[TargetID],tblTargets[Trackable],"")</f>
        <v>1</v>
      </c>
    </row>
    <row r="20" spans="1:7">
      <c r="A20" t="s">
        <v>3338</v>
      </c>
      <c r="B20" t="str">
        <f>_xlfn.XLOOKUP(tblStates[[#This Row],[StateID]],tblTargets[TargetID],tblTargets[DisplayName],"")</f>
        <v>Character Level@23</v>
      </c>
      <c r="C20" t="str">
        <f>IFERROR(_xlfn.XLOOKUP(tblStates[[#This Row],[StateID]],tblQuestObjectives[ObjectiveID],tblQuestObjectives[QuestTargetID]),_xlfn.XLOOKUP(tblStates[[#This Row],[StateID]],tblDependencies[DependencyID],tblDependencies[TargetID]))</f>
        <v>building.pagoda@6</v>
      </c>
      <c r="D20" t="str">
        <f>IFERROR(_xlfn.XLOOKUP(tblStates[[#This Row],[StateID]],tblQuestObjectives[ObjectiveID],tblQuestObjectives[QuestTargetID]),"")</f>
        <v/>
      </c>
      <c r="E20" t="str">
        <f>IFERROR(_xlfn.XLOOKUP(tblStates[[#This Row],[StateID]],tblDependencies[DependencyID],tblDependencies[TargetID]),"")</f>
        <v>building.pagoda@6</v>
      </c>
      <c r="F20" t="str">
        <f>_xlfn.XLOOKUP(tblStates[[#This Row],[StateID]],tblTargets[TargetID],tblTargets[StateType],"")</f>
        <v>CHARACTER</v>
      </c>
      <c r="G20" t="b">
        <f>_xlfn.XLOOKUP(tblStates[[#This Row],[StateID]],tblTargets[TargetID],tblTargets[Trackable],"")</f>
        <v>1</v>
      </c>
    </row>
    <row r="21" spans="1:7">
      <c r="A21" t="s">
        <v>3319</v>
      </c>
      <c r="B21" t="str">
        <f>_xlfn.XLOOKUP(tblStates[[#This Row],[StateID]],tblTargets[TargetID],tblTargets[DisplayName],"")</f>
        <v>Character Level@24</v>
      </c>
      <c r="C21" t="str">
        <f>IFERROR(_xlfn.XLOOKUP(tblStates[[#This Row],[StateID]],tblQuestObjectives[ObjectiveID],tblQuestObjectives[QuestTargetID]),_xlfn.XLOOKUP(tblStates[[#This Row],[StateID]],tblDependencies[DependencyID],tblDependencies[TargetID]))</f>
        <v>quest.shoguns_katana_chapter_3.finished</v>
      </c>
      <c r="D21" t="str">
        <f>IFERROR(_xlfn.XLOOKUP(tblStates[[#This Row],[StateID]],tblQuestObjectives[ObjectiveID],tblQuestObjectives[QuestTargetID]),"")</f>
        <v>quest.shoguns_katana_chapter_3.finished</v>
      </c>
      <c r="E21" t="str">
        <f>IFERROR(_xlfn.XLOOKUP(tblStates[[#This Row],[StateID]],tblDependencies[DependencyID],tblDependencies[TargetID]),"")</f>
        <v>building.food_stall@2</v>
      </c>
      <c r="F21" t="str">
        <f>_xlfn.XLOOKUP(tblStates[[#This Row],[StateID]],tblTargets[TargetID],tblTargets[StateType],"")</f>
        <v>CHARACTER</v>
      </c>
      <c r="G21" t="b">
        <f>_xlfn.XLOOKUP(tblStates[[#This Row],[StateID]],tblTargets[TargetID],tblTargets[Trackable],"")</f>
        <v>1</v>
      </c>
    </row>
    <row r="22" spans="1:7">
      <c r="A22" t="s">
        <v>3339</v>
      </c>
      <c r="B22" t="str">
        <f>_xlfn.XLOOKUP(tblStates[[#This Row],[StateID]],tblTargets[TargetID],tblTargets[DisplayName],"")</f>
        <v>Character Level@28</v>
      </c>
      <c r="C22" t="str">
        <f>IFERROR(_xlfn.XLOOKUP(tblStates[[#This Row],[StateID]],tblQuestObjectives[ObjectiveID],tblQuestObjectives[QuestTargetID]),_xlfn.XLOOKUP(tblStates[[#This Row],[StateID]],tblDependencies[DependencyID],tblDependencies[TargetID]))</f>
        <v>building.pagoda@7</v>
      </c>
      <c r="D22" t="str">
        <f>IFERROR(_xlfn.XLOOKUP(tblStates[[#This Row],[StateID]],tblQuestObjectives[ObjectiveID],tblQuestObjectives[QuestTargetID]),"")</f>
        <v/>
      </c>
      <c r="E22" t="str">
        <f>IFERROR(_xlfn.XLOOKUP(tblStates[[#This Row],[StateID]],tblDependencies[DependencyID],tblDependencies[TargetID]),"")</f>
        <v>building.pagoda@7</v>
      </c>
      <c r="F22" t="str">
        <f>_xlfn.XLOOKUP(tblStates[[#This Row],[StateID]],tblTargets[TargetID],tblTargets[StateType],"")</f>
        <v>CHARACTER</v>
      </c>
      <c r="G22" t="b">
        <f>_xlfn.XLOOKUP(tblStates[[#This Row],[StateID]],tblTargets[TargetID],tblTargets[Trackable],"")</f>
        <v>1</v>
      </c>
    </row>
    <row r="23" spans="1:7">
      <c r="A23" t="s">
        <v>3345</v>
      </c>
      <c r="B23" t="str">
        <f>_xlfn.XLOOKUP(tblStates[[#This Row],[StateID]],tblTargets[TargetID],tblTargets[DisplayName],"")</f>
        <v>Character Level@3</v>
      </c>
      <c r="C23" t="str">
        <f>IFERROR(_xlfn.XLOOKUP(tblStates[[#This Row],[StateID]],tblQuestObjectives[ObjectiveID],tblQuestObjectives[QuestTargetID]),_xlfn.XLOOKUP(tblStates[[#This Row],[StateID]],tblDependencies[DependencyID],tblDependencies[TargetID]))</f>
        <v>building.shop@1</v>
      </c>
      <c r="D23" t="str">
        <f>IFERROR(_xlfn.XLOOKUP(tblStates[[#This Row],[StateID]],tblQuestObjectives[ObjectiveID],tblQuestObjectives[QuestTargetID]),"")</f>
        <v/>
      </c>
      <c r="E23" t="str">
        <f>IFERROR(_xlfn.XLOOKUP(tblStates[[#This Row],[StateID]],tblDependencies[DependencyID],tblDependencies[TargetID]),"")</f>
        <v>building.shop@1</v>
      </c>
      <c r="F23" t="str">
        <f>_xlfn.XLOOKUP(tblStates[[#This Row],[StateID]],tblTargets[TargetID],tblTargets[StateType],"")</f>
        <v>CHARACTER</v>
      </c>
      <c r="G23" t="b">
        <f>_xlfn.XLOOKUP(tblStates[[#This Row],[StateID]],tblTargets[TargetID],tblTargets[Trackable],"")</f>
        <v>1</v>
      </c>
    </row>
    <row r="24" spans="1:7">
      <c r="A24" t="s">
        <v>3305</v>
      </c>
      <c r="B24" t="str">
        <f>_xlfn.XLOOKUP(tblStates[[#This Row],[StateID]],tblTargets[TargetID],tblTargets[DisplayName],"")</f>
        <v>Character Level@30</v>
      </c>
      <c r="C24" t="str">
        <f>IFERROR(_xlfn.XLOOKUP(tblStates[[#This Row],[StateID]],tblQuestObjectives[ObjectiveID],tblQuestObjectives[QuestTargetID]),_xlfn.XLOOKUP(tblStates[[#This Row],[StateID]],tblDependencies[DependencyID],tblDependencies[TargetID]))</f>
        <v>building.bridge@1</v>
      </c>
      <c r="D24" t="str">
        <f>IFERROR(_xlfn.XLOOKUP(tblStates[[#This Row],[StateID]],tblQuestObjectives[ObjectiveID],tblQuestObjectives[QuestTargetID]),"")</f>
        <v/>
      </c>
      <c r="E24" t="str">
        <f>IFERROR(_xlfn.XLOOKUP(tblStates[[#This Row],[StateID]],tblDependencies[DependencyID],tblDependencies[TargetID]),"")</f>
        <v>building.bridge@1</v>
      </c>
      <c r="F24" t="str">
        <f>_xlfn.XLOOKUP(tblStates[[#This Row],[StateID]],tblTargets[TargetID],tblTargets[StateType],"")</f>
        <v>CHARACTER</v>
      </c>
      <c r="G24" t="b">
        <f>_xlfn.XLOOKUP(tblStates[[#This Row],[StateID]],tblTargets[TargetID],tblTargets[Trackable],"")</f>
        <v>1</v>
      </c>
    </row>
    <row r="25" spans="1:7">
      <c r="A25" t="s">
        <v>3334</v>
      </c>
      <c r="B25" t="str">
        <f>_xlfn.XLOOKUP(tblStates[[#This Row],[StateID]],tblTargets[TargetID],tblTargets[DisplayName],"")</f>
        <v>Character Level@31</v>
      </c>
      <c r="C25" t="str">
        <f>IFERROR(_xlfn.XLOOKUP(tblStates[[#This Row],[StateID]],tblQuestObjectives[ObjectiveID],tblQuestObjectives[QuestTargetID]),_xlfn.XLOOKUP(tblStates[[#This Row],[StateID]],tblDependencies[DependencyID],tblDependencies[TargetID]))</f>
        <v>building.outpost@1</v>
      </c>
      <c r="D25" t="str">
        <f>IFERROR(_xlfn.XLOOKUP(tblStates[[#This Row],[StateID]],tblQuestObjectives[ObjectiveID],tblQuestObjectives[QuestTargetID]),"")</f>
        <v/>
      </c>
      <c r="E25" t="str">
        <f>IFERROR(_xlfn.XLOOKUP(tblStates[[#This Row],[StateID]],tblDependencies[DependencyID],tblDependencies[TargetID]),"")</f>
        <v>building.outpost@1</v>
      </c>
      <c r="F25" t="str">
        <f>_xlfn.XLOOKUP(tblStates[[#This Row],[StateID]],tblTargets[TargetID],tblTargets[StateType],"")</f>
        <v>CHARACTER</v>
      </c>
      <c r="G25" t="b">
        <f>_xlfn.XLOOKUP(tblStates[[#This Row],[StateID]],tblTargets[TargetID],tblTargets[Trackable],"")</f>
        <v>1</v>
      </c>
    </row>
    <row r="26" spans="1:7">
      <c r="A26" t="s">
        <v>3303</v>
      </c>
      <c r="B26" t="str">
        <f>_xlfn.XLOOKUP(tblStates[[#This Row],[StateID]],tblTargets[TargetID],tblTargets[DisplayName],"")</f>
        <v>Character Level@32</v>
      </c>
      <c r="C26" t="str">
        <f>IFERROR(_xlfn.XLOOKUP(tblStates[[#This Row],[StateID]],tblQuestObjectives[ObjectiveID],tblQuestObjectives[QuestTargetID]),_xlfn.XLOOKUP(tblStates[[#This Row],[StateID]],tblDependencies[DependencyID],tblDependencies[TargetID]))</f>
        <v>building.alchemists_hut@6</v>
      </c>
      <c r="D26" t="str">
        <f>IFERROR(_xlfn.XLOOKUP(tblStates[[#This Row],[StateID]],tblQuestObjectives[ObjectiveID],tblQuestObjectives[QuestTargetID]),"")</f>
        <v/>
      </c>
      <c r="E26" t="str">
        <f>IFERROR(_xlfn.XLOOKUP(tblStates[[#This Row],[StateID]],tblDependencies[DependencyID],tblDependencies[TargetID]),"")</f>
        <v>building.alchemists_hut@6</v>
      </c>
      <c r="F26" t="str">
        <f>_xlfn.XLOOKUP(tblStates[[#This Row],[StateID]],tblTargets[TargetID],tblTargets[StateType],"")</f>
        <v>CHARACTER</v>
      </c>
      <c r="G26" t="b">
        <f>_xlfn.XLOOKUP(tblStates[[#This Row],[StateID]],tblTargets[TargetID],tblTargets[Trackable],"")</f>
        <v>1</v>
      </c>
    </row>
    <row r="27" spans="1:7">
      <c r="A27" t="s">
        <v>3335</v>
      </c>
      <c r="B27" t="str">
        <f>_xlfn.XLOOKUP(tblStates[[#This Row],[StateID]],tblTargets[TargetID],tblTargets[DisplayName],"")</f>
        <v>Character Level@4</v>
      </c>
      <c r="C27" t="str">
        <f>IFERROR(_xlfn.XLOOKUP(tblStates[[#This Row],[StateID]],tblQuestObjectives[ObjectiveID],tblQuestObjectives[QuestTargetID]),_xlfn.XLOOKUP(tblStates[[#This Row],[StateID]],tblDependencies[DependencyID],tblDependencies[TargetID]))</f>
        <v>building.pagoda@1</v>
      </c>
      <c r="D27" t="str">
        <f>IFERROR(_xlfn.XLOOKUP(tblStates[[#This Row],[StateID]],tblQuestObjectives[ObjectiveID],tblQuestObjectives[QuestTargetID]),"")</f>
        <v/>
      </c>
      <c r="E27" t="str">
        <f>IFERROR(_xlfn.XLOOKUP(tblStates[[#This Row],[StateID]],tblDependencies[DependencyID],tblDependencies[TargetID]),"")</f>
        <v>building.pagoda@1</v>
      </c>
      <c r="F27" t="str">
        <f>_xlfn.XLOOKUP(tblStates[[#This Row],[StateID]],tblTargets[TargetID],tblTargets[StateType],"")</f>
        <v>CHARACTER</v>
      </c>
      <c r="G27" t="b">
        <f>_xlfn.XLOOKUP(tblStates[[#This Row],[StateID]],tblTargets[TargetID],tblTargets[Trackable],"")</f>
        <v>1</v>
      </c>
    </row>
    <row r="28" spans="1:7">
      <c r="A28" t="s">
        <v>3296</v>
      </c>
      <c r="B28" t="str">
        <f>_xlfn.XLOOKUP(tblStates[[#This Row],[StateID]],tblTargets[TargetID],tblTargets[DisplayName],"")</f>
        <v>Character Level@40</v>
      </c>
      <c r="C28" t="str">
        <f>IFERROR(_xlfn.XLOOKUP(tblStates[[#This Row],[StateID]],tblQuestObjectives[ObjectiveID],tblQuestObjectives[QuestTargetID]),_xlfn.XLOOKUP(tblStates[[#This Row],[StateID]],tblDependencies[DependencyID],tblDependencies[TargetID]))</f>
        <v>building.airship@1</v>
      </c>
      <c r="D28" t="str">
        <f>IFERROR(_xlfn.XLOOKUP(tblStates[[#This Row],[StateID]],tblQuestObjectives[ObjectiveID],tblQuestObjectives[QuestTargetID]),"")</f>
        <v/>
      </c>
      <c r="E28" t="str">
        <f>IFERROR(_xlfn.XLOOKUP(tblStates[[#This Row],[StateID]],tblDependencies[DependencyID],tblDependencies[TargetID]),"")</f>
        <v>building.airship@1</v>
      </c>
      <c r="F28" t="str">
        <f>_xlfn.XLOOKUP(tblStates[[#This Row],[StateID]],tblTargets[TargetID],tblTargets[StateType],"")</f>
        <v>CHARACTER</v>
      </c>
      <c r="G28" t="b">
        <f>_xlfn.XLOOKUP(tblStates[[#This Row],[StateID]],tblTargets[TargetID],tblTargets[Trackable],"")</f>
        <v>1</v>
      </c>
    </row>
    <row r="29" spans="1:7">
      <c r="A29" t="s">
        <v>3350</v>
      </c>
      <c r="B29" t="str">
        <f>_xlfn.XLOOKUP(tblStates[[#This Row],[StateID]],tblTargets[TargetID],tblTargets[DisplayName],"")</f>
        <v>Character Level@5</v>
      </c>
      <c r="C29" t="str">
        <f>IFERROR(_xlfn.XLOOKUP(tblStates[[#This Row],[StateID]],tblQuestObjectives[ObjectiveID],tblQuestObjectives[QuestTargetID]),_xlfn.XLOOKUP(tblStates[[#This Row],[StateID]],tblDependencies[DependencyID],tblDependencies[TargetID]))</f>
        <v>building.warehouse@1</v>
      </c>
      <c r="D29" t="str">
        <f>IFERROR(_xlfn.XLOOKUP(tblStates[[#This Row],[StateID]],tblQuestObjectives[ObjectiveID],tblQuestObjectives[QuestTargetID]),"")</f>
        <v/>
      </c>
      <c r="E29" t="str">
        <f>IFERROR(_xlfn.XLOOKUP(tblStates[[#This Row],[StateID]],tblDependencies[DependencyID],tblDependencies[TargetID]),"")</f>
        <v>building.warehouse@1</v>
      </c>
      <c r="F29" t="str">
        <f>_xlfn.XLOOKUP(tblStates[[#This Row],[StateID]],tblTargets[TargetID],tblTargets[StateType],"")</f>
        <v>CHARACTER</v>
      </c>
      <c r="G29" t="b">
        <f>_xlfn.XLOOKUP(tblStates[[#This Row],[StateID]],tblTargets[TargetID],tblTargets[Trackable],"")</f>
        <v>1</v>
      </c>
    </row>
    <row r="30" spans="1:7">
      <c r="A30" t="s">
        <v>3313</v>
      </c>
      <c r="B30" t="str">
        <f>_xlfn.XLOOKUP(tblStates[[#This Row],[StateID]],tblTargets[TargetID],tblTargets[DisplayName],"")</f>
        <v>Character Level@50</v>
      </c>
      <c r="C30" t="str">
        <f>IFERROR(_xlfn.XLOOKUP(tblStates[[#This Row],[StateID]],tblQuestObjectives[ObjectiveID],tblQuestObjectives[QuestTargetID]),_xlfn.XLOOKUP(tblStates[[#This Row],[StateID]],tblDependencies[DependencyID],tblDependencies[TargetID]))</f>
        <v>building.dungeon@5</v>
      </c>
      <c r="D30" t="str">
        <f>IFERROR(_xlfn.XLOOKUP(tblStates[[#This Row],[StateID]],tblQuestObjectives[ObjectiveID],tblQuestObjectives[QuestTargetID]),"")</f>
        <v/>
      </c>
      <c r="E30" t="str">
        <f>IFERROR(_xlfn.XLOOKUP(tblStates[[#This Row],[StateID]],tblDependencies[DependencyID],tblDependencies[TargetID]),"")</f>
        <v>building.dungeon@5</v>
      </c>
      <c r="F30" t="str">
        <f>_xlfn.XLOOKUP(tblStates[[#This Row],[StateID]],tblTargets[TargetID],tblTargets[StateType],"")</f>
        <v>CHARACTER</v>
      </c>
      <c r="G30" t="b">
        <f>_xlfn.XLOOKUP(tblStates[[#This Row],[StateID]],tblTargets[TargetID],tblTargets[Trackable],"")</f>
        <v>1</v>
      </c>
    </row>
    <row r="31" spans="1:7">
      <c r="A31" t="s">
        <v>3315</v>
      </c>
      <c r="B31" t="str">
        <f>_xlfn.XLOOKUP(tblStates[[#This Row],[StateID]],tblTargets[TargetID],tblTargets[DisplayName],"")</f>
        <v>Character Level@55</v>
      </c>
      <c r="C31" t="str">
        <f>IFERROR(_xlfn.XLOOKUP(tblStates[[#This Row],[StateID]],tblQuestObjectives[ObjectiveID],tblQuestObjectives[QuestTargetID]),_xlfn.XLOOKUP(tblStates[[#This Row],[StateID]],tblDependencies[DependencyID],tblDependencies[TargetID]))</f>
        <v>building.fermentory@1</v>
      </c>
      <c r="D31" t="str">
        <f>IFERROR(_xlfn.XLOOKUP(tblStates[[#This Row],[StateID]],tblQuestObjectives[ObjectiveID],tblQuestObjectives[QuestTargetID]),"")</f>
        <v/>
      </c>
      <c r="E31" t="str">
        <f>IFERROR(_xlfn.XLOOKUP(tblStates[[#This Row],[StateID]],tblDependencies[DependencyID],tblDependencies[TargetID]),"")</f>
        <v>building.fermentory@1</v>
      </c>
      <c r="F31" t="str">
        <f>_xlfn.XLOOKUP(tblStates[[#This Row],[StateID]],tblTargets[TargetID],tblTargets[StateType],"")</f>
        <v>CHARACTER</v>
      </c>
      <c r="G31" t="b">
        <f>_xlfn.XLOOKUP(tblStates[[#This Row],[StateID]],tblTargets[TargetID],tblTargets[Trackable],"")</f>
        <v>1</v>
      </c>
    </row>
    <row r="32" spans="1:7">
      <c r="A32" t="s">
        <v>3297</v>
      </c>
      <c r="B32" t="str">
        <f>_xlfn.XLOOKUP(tblStates[[#This Row],[StateID]],tblTargets[TargetID],tblTargets[DisplayName],"")</f>
        <v>Character Level@6</v>
      </c>
      <c r="C32" t="str">
        <f>IFERROR(_xlfn.XLOOKUP(tblStates[[#This Row],[StateID]],tblQuestObjectives[ObjectiveID],tblQuestObjectives[QuestTargetID]),_xlfn.XLOOKUP(tblStates[[#This Row],[StateID]],tblDependencies[DependencyID],tblDependencies[TargetID]))</f>
        <v>building.alchemists_hut@1</v>
      </c>
      <c r="D32" t="str">
        <f>IFERROR(_xlfn.XLOOKUP(tblStates[[#This Row],[StateID]],tblQuestObjectives[ObjectiveID],tblQuestObjectives[QuestTargetID]),"")</f>
        <v/>
      </c>
      <c r="E32" t="str">
        <f>IFERROR(_xlfn.XLOOKUP(tblStates[[#This Row],[StateID]],tblDependencies[DependencyID],tblDependencies[TargetID]),"")</f>
        <v>building.alchemists_hut@1</v>
      </c>
      <c r="F32" t="str">
        <f>_xlfn.XLOOKUP(tblStates[[#This Row],[StateID]],tblTargets[TargetID],tblTargets[StateType],"")</f>
        <v>CHARACTER</v>
      </c>
      <c r="G32" t="b">
        <f>_xlfn.XLOOKUP(tblStates[[#This Row],[StateID]],tblTargets[TargetID],tblTargets[Trackable],"")</f>
        <v>1</v>
      </c>
    </row>
    <row r="33" spans="1:7">
      <c r="A33" t="s">
        <v>3316</v>
      </c>
      <c r="B33" t="str">
        <f>_xlfn.XLOOKUP(tblStates[[#This Row],[StateID]],tblTargets[TargetID],tblTargets[DisplayName],"")</f>
        <v>Character Level@7</v>
      </c>
      <c r="C33" t="str">
        <f>IFERROR(_xlfn.XLOOKUP(tblStates[[#This Row],[StateID]],tblQuestObjectives[ObjectiveID],tblQuestObjectives[QuestTargetID]),_xlfn.XLOOKUP(tblStates[[#This Row],[StateID]],tblDependencies[DependencyID],tblDependencies[TargetID]))</f>
        <v>building.field@1</v>
      </c>
      <c r="D33" t="str">
        <f>IFERROR(_xlfn.XLOOKUP(tblStates[[#This Row],[StateID]],tblQuestObjectives[ObjectiveID],tblQuestObjectives[QuestTargetID]),"")</f>
        <v/>
      </c>
      <c r="E33" t="str">
        <f>IFERROR(_xlfn.XLOOKUP(tblStates[[#This Row],[StateID]],tblDependencies[DependencyID],tblDependencies[TargetID]),"")</f>
        <v>building.field@1</v>
      </c>
      <c r="F33" t="str">
        <f>_xlfn.XLOOKUP(tblStates[[#This Row],[StateID]],tblTargets[TargetID],tblTargets[StateType],"")</f>
        <v>CHARACTER</v>
      </c>
      <c r="G33" t="b">
        <f>_xlfn.XLOOKUP(tblStates[[#This Row],[StateID]],tblTargets[TargetID],tblTargets[Trackable],"")</f>
        <v>1</v>
      </c>
    </row>
    <row r="34" spans="1:7">
      <c r="A34" t="s">
        <v>3317</v>
      </c>
      <c r="B34" t="str">
        <f>_xlfn.XLOOKUP(tblStates[[#This Row],[StateID]],tblTargets[TargetID],tblTargets[DisplayName],"")</f>
        <v>Character Level@8</v>
      </c>
      <c r="C34" t="str">
        <f>IFERROR(_xlfn.XLOOKUP(tblStates[[#This Row],[StateID]],tblQuestObjectives[ObjectiveID],tblQuestObjectives[QuestTargetID]),_xlfn.XLOOKUP(tblStates[[#This Row],[StateID]],tblDependencies[DependencyID],tblDependencies[TargetID]))</f>
        <v>building.food_stall@1</v>
      </c>
      <c r="D34" t="str">
        <f>IFERROR(_xlfn.XLOOKUP(tblStates[[#This Row],[StateID]],tblQuestObjectives[ObjectiveID],tblQuestObjectives[QuestTargetID]),"")</f>
        <v/>
      </c>
      <c r="E34" t="str">
        <f>IFERROR(_xlfn.XLOOKUP(tblStates[[#This Row],[StateID]],tblDependencies[DependencyID],tblDependencies[TargetID]),"")</f>
        <v>building.food_stall@1</v>
      </c>
      <c r="F34" t="str">
        <f>_xlfn.XLOOKUP(tblStates[[#This Row],[StateID]],tblTargets[TargetID],tblTargets[StateType],"")</f>
        <v>CHARACTER</v>
      </c>
      <c r="G34" t="b">
        <f>_xlfn.XLOOKUP(tblStates[[#This Row],[StateID]],tblTargets[TargetID],tblTargets[Trackable],"")</f>
        <v>1</v>
      </c>
    </row>
    <row r="35" spans="1:7">
      <c r="A35" t="s">
        <v>3328</v>
      </c>
      <c r="B35" t="str">
        <f>_xlfn.XLOOKUP(tblStates[[#This Row],[StateID]],tblTargets[TargetID],tblTargets[DisplayName],"")</f>
        <v>Character Level@80</v>
      </c>
      <c r="C35" t="str">
        <f>IFERROR(_xlfn.XLOOKUP(tblStates[[#This Row],[StateID]],tblQuestObjectives[ObjectiveID],tblQuestObjectives[QuestTargetID]),_xlfn.XLOOKUP(tblStates[[#This Row],[StateID]],tblDependencies[DependencyID],tblDependencies[TargetID]))</f>
        <v>building.laboratory@1</v>
      </c>
      <c r="D35" t="str">
        <f>IFERROR(_xlfn.XLOOKUP(tblStates[[#This Row],[StateID]],tblQuestObjectives[ObjectiveID],tblQuestObjectives[QuestTargetID]),"")</f>
        <v/>
      </c>
      <c r="E35" t="str">
        <f>IFERROR(_xlfn.XLOOKUP(tblStates[[#This Row],[StateID]],tblDependencies[DependencyID],tblDependencies[TargetID]),"")</f>
        <v>building.laboratory@1</v>
      </c>
      <c r="F35" t="str">
        <f>_xlfn.XLOOKUP(tblStates[[#This Row],[StateID]],tblTargets[TargetID],tblTargets[StateType],"")</f>
        <v>CHARACTER</v>
      </c>
      <c r="G35" t="b">
        <f>_xlfn.XLOOKUP(tblStates[[#This Row],[StateID]],tblTargets[TargetID],tblTargets[Trackable],"")</f>
        <v>1</v>
      </c>
    </row>
    <row r="36" spans="1:7">
      <c r="A36" t="s">
        <v>3346</v>
      </c>
      <c r="B36" t="str">
        <f>_xlfn.XLOOKUP(tblStates[[#This Row],[StateID]],tblTargets[TargetID],tblTargets[DisplayName],"")</f>
        <v>Character Level@9</v>
      </c>
      <c r="C36" t="str">
        <f>IFERROR(_xlfn.XLOOKUP(tblStates[[#This Row],[StateID]],tblQuestObjectives[ObjectiveID],tblQuestObjectives[QuestTargetID]),_xlfn.XLOOKUP(tblStates[[#This Row],[StateID]],tblDependencies[DependencyID],tblDependencies[TargetID]))</f>
        <v>building.smithy@1</v>
      </c>
      <c r="D36" t="str">
        <f>IFERROR(_xlfn.XLOOKUP(tblStates[[#This Row],[StateID]],tblQuestObjectives[ObjectiveID],tblQuestObjectives[QuestTargetID]),"")</f>
        <v/>
      </c>
      <c r="E36" t="str">
        <f>IFERROR(_xlfn.XLOOKUP(tblStates[[#This Row],[StateID]],tblDependencies[DependencyID],tblDependencies[TargetID]),"")</f>
        <v>building.smithy@1</v>
      </c>
      <c r="F36" t="str">
        <f>_xlfn.XLOOKUP(tblStates[[#This Row],[StateID]],tblTargets[TargetID],tblTargets[StateType],"")</f>
        <v>CHARACTER</v>
      </c>
      <c r="G36" t="b">
        <f>_xlfn.XLOOKUP(tblStates[[#This Row],[StateID]],tblTargets[TargetID],tblTargets[Trackable],"")</f>
        <v>1</v>
      </c>
    </row>
    <row r="37" spans="1:7">
      <c r="A37" t="s">
        <v>3512</v>
      </c>
      <c r="B37" t="str">
        <f>_xlfn.XLOOKUP(tblStates[[#This Row],[StateID]],tblTargets[TargetID],tblTargets[DisplayName],"")</f>
        <v>Complete Dungeon 5C</v>
      </c>
      <c r="C37" t="str">
        <f>IFERROR(_xlfn.XLOOKUP(tblStates[[#This Row],[StateID]],tblQuestObjectives[ObjectiveID],tblQuestObjectives[QuestTargetID]),_xlfn.XLOOKUP(tblStates[[#This Row],[StateID]],tblDependencies[DependencyID],tblDependencies[TargetID]))</f>
        <v>quest.undead_revenge.finished</v>
      </c>
      <c r="D37" t="str">
        <f>IFERROR(_xlfn.XLOOKUP(tblStates[[#This Row],[StateID]],tblQuestObjectives[ObjectiveID],tblQuestObjectives[QuestTargetID]),"")</f>
        <v>quest.undead_revenge.finished</v>
      </c>
      <c r="E37" t="str">
        <f>IFERROR(_xlfn.XLOOKUP(tblStates[[#This Row],[StateID]],tblDependencies[DependencyID],tblDependencies[TargetID]),"")</f>
        <v>quest.undead_revenge.accepted</v>
      </c>
      <c r="F37" t="str">
        <f>_xlfn.XLOOKUP(tblStates[[#This Row],[StateID]],tblTargets[TargetID],tblTargets[StateType],"")</f>
        <v>COMPLETE</v>
      </c>
      <c r="G37" t="b">
        <f>_xlfn.XLOOKUP(tblStates[[#This Row],[StateID]],tblTargets[TargetID],tblTargets[Trackable],"")</f>
        <v>1</v>
      </c>
    </row>
    <row r="38" spans="1:7">
      <c r="A38" t="s">
        <v>5685</v>
      </c>
      <c r="B38" t="str">
        <f>_xlfn.XLOOKUP(tblStates[[#This Row],[StateID]],tblTargets[TargetID],tblTargets[DisplayName],"")</f>
        <v>Complete Dungeon 6C</v>
      </c>
      <c r="C38" t="str">
        <f>IFERROR(_xlfn.XLOOKUP(tblStates[[#This Row],[StateID]],tblQuestObjectives[ObjectiveID],tblQuestObjectives[QuestTargetID]),_xlfn.XLOOKUP(tblStates[[#This Row],[StateID]],tblDependencies[DependencyID],tblDependencies[TargetID]))</f>
        <v>quest.the_ordinary_days_of_an_adventurer_chapter_7.finished</v>
      </c>
      <c r="D38" t="str">
        <f>IFERROR(_xlfn.XLOOKUP(tblStates[[#This Row],[StateID]],tblQuestObjectives[ObjectiveID],tblQuestObjectives[QuestTargetID]),"")</f>
        <v>quest.the_ordinary_days_of_an_adventurer_chapter_7.finished</v>
      </c>
      <c r="E38" t="str">
        <f>IFERROR(_xlfn.XLOOKUP(tblStates[[#This Row],[StateID]],tblDependencies[DependencyID],tblDependencies[TargetID]),"")</f>
        <v/>
      </c>
      <c r="F38" t="str">
        <f>_xlfn.XLOOKUP(tblStates[[#This Row],[StateID]],tblTargets[TargetID],tblTargets[StateType],"")</f>
        <v>COMPLETE</v>
      </c>
      <c r="G38" t="b">
        <f>_xlfn.XLOOKUP(tblStates[[#This Row],[StateID]],tblTargets[TargetID],tblTargets[Trackable],"")</f>
        <v>1</v>
      </c>
    </row>
    <row r="39" spans="1:7">
      <c r="A39" t="s">
        <v>5774</v>
      </c>
      <c r="B39" t="str">
        <f>_xlfn.XLOOKUP(tblStates[[#This Row],[StateID]],tblTargets[TargetID],tblTargets[DisplayName],"")</f>
        <v>Complete F1 for the first time</v>
      </c>
      <c r="C39" t="str">
        <f>IFERROR(_xlfn.XLOOKUP(tblStates[[#This Row],[StateID]],tblQuestObjectives[ObjectiveID],tblQuestObjectives[QuestTargetID]),_xlfn.XLOOKUP(tblStates[[#This Row],[StateID]],tblDependencies[DependencyID],tblDependencies[TargetID]))</f>
        <v>quest.once_upon_a_forest_chapter_2.finished</v>
      </c>
      <c r="D39" t="str">
        <f>IFERROR(_xlfn.XLOOKUP(tblStates[[#This Row],[StateID]],tblQuestObjectives[ObjectiveID],tblQuestObjectives[QuestTargetID]),"")</f>
        <v>quest.once_upon_a_forest_chapter_2.finished</v>
      </c>
      <c r="E39" t="str">
        <f>IFERROR(_xlfn.XLOOKUP(tblStates[[#This Row],[StateID]],tblDependencies[DependencyID],tblDependencies[TargetID]),"")</f>
        <v/>
      </c>
      <c r="F39" t="str">
        <f>_xlfn.XLOOKUP(tblStates[[#This Row],[StateID]],tblTargets[TargetID],tblTargets[StateType],"")</f>
        <v>COMPLETE</v>
      </c>
      <c r="G39" t="b">
        <f>_xlfn.XLOOKUP(tblStates[[#This Row],[StateID]],tblTargets[TargetID],tblTargets[Trackable],"")</f>
        <v>1</v>
      </c>
    </row>
    <row r="40" spans="1:7">
      <c r="A40" t="s">
        <v>5775</v>
      </c>
      <c r="B40" t="str">
        <f>_xlfn.XLOOKUP(tblStates[[#This Row],[StateID]],tblTargets[TargetID],tblTargets[DisplayName],"")</f>
        <v>Escort Mr and Mrs Diligance through F1</v>
      </c>
      <c r="C40" t="str">
        <f>IFERROR(_xlfn.XLOOKUP(tblStates[[#This Row],[StateID]],tblQuestObjectives[ObjectiveID],tblQuestObjectives[QuestTargetID]),_xlfn.XLOOKUP(tblStates[[#This Row],[StateID]],tblDependencies[DependencyID],tblDependencies[TargetID]))</f>
        <v>quest.once_upon_a_forest_chapter_12.finished</v>
      </c>
      <c r="D40" t="str">
        <f>IFERROR(_xlfn.XLOOKUP(tblStates[[#This Row],[StateID]],tblQuestObjectives[ObjectiveID],tblQuestObjectives[QuestTargetID]),"")</f>
        <v>quest.once_upon_a_forest_chapter_12.finished</v>
      </c>
      <c r="E40" t="str">
        <f>IFERROR(_xlfn.XLOOKUP(tblStates[[#This Row],[StateID]],tblDependencies[DependencyID],tblDependencies[TargetID]),"")</f>
        <v/>
      </c>
      <c r="F40" t="str">
        <f>_xlfn.XLOOKUP(tblStates[[#This Row],[StateID]],tblTargets[TargetID],tblTargets[StateType],"")</f>
        <v>COMPLETE</v>
      </c>
      <c r="G40" t="b">
        <f>_xlfn.XLOOKUP(tblStates[[#This Row],[StateID]],tblTargets[TargetID],tblTargets[Trackable],"")</f>
        <v>1</v>
      </c>
    </row>
    <row r="41" spans="1:7">
      <c r="A41" t="s">
        <v>5776</v>
      </c>
      <c r="B41" t="str">
        <f>_xlfn.XLOOKUP(tblStates[[#This Row],[StateID]],tblTargets[TargetID],tblTargets[DisplayName],"")</f>
        <v>Escort Mr and Mrs Diligance through F2</v>
      </c>
      <c r="C41" t="str">
        <f>IFERROR(_xlfn.XLOOKUP(tblStates[[#This Row],[StateID]],tblQuestObjectives[ObjectiveID],tblQuestObjectives[QuestTargetID]),_xlfn.XLOOKUP(tblStates[[#This Row],[StateID]],tblDependencies[DependencyID],tblDependencies[TargetID]))</f>
        <v>quest.once_upon_a_forest_chapter_12.finished</v>
      </c>
      <c r="D41" t="str">
        <f>IFERROR(_xlfn.XLOOKUP(tblStates[[#This Row],[StateID]],tblQuestObjectives[ObjectiveID],tblQuestObjectives[QuestTargetID]),"")</f>
        <v>quest.once_upon_a_forest_chapter_12.finished</v>
      </c>
      <c r="E41" t="str">
        <f>IFERROR(_xlfn.XLOOKUP(tblStates[[#This Row],[StateID]],tblDependencies[DependencyID],tblDependencies[TargetID]),"")</f>
        <v/>
      </c>
      <c r="F41" t="str">
        <f>_xlfn.XLOOKUP(tblStates[[#This Row],[StateID]],tblTargets[TargetID],tblTargets[StateType],"")</f>
        <v>COMPLETE</v>
      </c>
      <c r="G41" t="b">
        <f>_xlfn.XLOOKUP(tblStates[[#This Row],[StateID]],tblTargets[TargetID],tblTargets[Trackable],"")</f>
        <v>1</v>
      </c>
    </row>
    <row r="42" spans="1:7">
      <c r="A42" t="s">
        <v>5777</v>
      </c>
      <c r="B42" t="str">
        <f>_xlfn.XLOOKUP(tblStates[[#This Row],[StateID]],tblTargets[TargetID],tblTargets[DisplayName],"")</f>
        <v>Escort Mr and Mrs Diligance through F3</v>
      </c>
      <c r="C42" t="str">
        <f>IFERROR(_xlfn.XLOOKUP(tblStates[[#This Row],[StateID]],tblQuestObjectives[ObjectiveID],tblQuestObjectives[QuestTargetID]),_xlfn.XLOOKUP(tblStates[[#This Row],[StateID]],tblDependencies[DependencyID],tblDependencies[TargetID]))</f>
        <v>quest.once_upon_a_forest_chapter_12.finished</v>
      </c>
      <c r="D42" t="str">
        <f>IFERROR(_xlfn.XLOOKUP(tblStates[[#This Row],[StateID]],tblQuestObjectives[ObjectiveID],tblQuestObjectives[QuestTargetID]),"")</f>
        <v>quest.once_upon_a_forest_chapter_12.finished</v>
      </c>
      <c r="E42" t="str">
        <f>IFERROR(_xlfn.XLOOKUP(tblStates[[#This Row],[StateID]],tblDependencies[DependencyID],tblDependencies[TargetID]),"")</f>
        <v/>
      </c>
      <c r="F42" t="str">
        <f>_xlfn.XLOOKUP(tblStates[[#This Row],[StateID]],tblTargets[TargetID],tblTargets[StateType],"")</f>
        <v>COMPLETE</v>
      </c>
      <c r="G42" t="b">
        <f>_xlfn.XLOOKUP(tblStates[[#This Row],[StateID]],tblTargets[TargetID],tblTargets[Trackable],"")</f>
        <v>1</v>
      </c>
    </row>
    <row r="43" spans="1:7">
      <c r="A43" t="s">
        <v>5778</v>
      </c>
      <c r="B43" t="str">
        <f>_xlfn.XLOOKUP(tblStates[[#This Row],[StateID]],tblTargets[TargetID],tblTargets[DisplayName],"")</f>
        <v>Escort Mr and Mrs Diligance through F4</v>
      </c>
      <c r="C43" t="str">
        <f>IFERROR(_xlfn.XLOOKUP(tblStates[[#This Row],[StateID]],tblQuestObjectives[ObjectiveID],tblQuestObjectives[QuestTargetID]),_xlfn.XLOOKUP(tblStates[[#This Row],[StateID]],tblDependencies[DependencyID],tblDependencies[TargetID]))</f>
        <v>quest.once_upon_a_forest_chapter_12.finished</v>
      </c>
      <c r="D43" t="str">
        <f>IFERROR(_xlfn.XLOOKUP(tblStates[[#This Row],[StateID]],tblQuestObjectives[ObjectiveID],tblQuestObjectives[QuestTargetID]),"")</f>
        <v>quest.once_upon_a_forest_chapter_12.finished</v>
      </c>
      <c r="E43" t="str">
        <f>IFERROR(_xlfn.XLOOKUP(tblStates[[#This Row],[StateID]],tblDependencies[DependencyID],tblDependencies[TargetID]),"")</f>
        <v/>
      </c>
      <c r="F43" t="str">
        <f>_xlfn.XLOOKUP(tblStates[[#This Row],[StateID]],tblTargets[TargetID],tblTargets[StateType],"")</f>
        <v>COMPLETE</v>
      </c>
      <c r="G43" t="b">
        <f>_xlfn.XLOOKUP(tblStates[[#This Row],[StateID]],tblTargets[TargetID],tblTargets[Trackable],"")</f>
        <v>1</v>
      </c>
    </row>
    <row r="44" spans="1:7">
      <c r="A44" t="s">
        <v>5798</v>
      </c>
      <c r="B44" t="str">
        <f>_xlfn.XLOOKUP(tblStates[[#This Row],[StateID]],tblTargets[TargetID],tblTargets[DisplayName],"")</f>
        <v>Complete Lvl1 Any Project</v>
      </c>
      <c r="C44" t="str">
        <f>IFERROR(_xlfn.XLOOKUP(tblStates[[#This Row],[StateID]],tblQuestObjectives[ObjectiveID],tblQuestObjectives[QuestTargetID]),_xlfn.XLOOKUP(tblStates[[#This Row],[StateID]],tblDependencies[DependencyID],tblDependencies[TargetID]))</f>
        <v>quest.ahead_of_time_chapter_1.accepted</v>
      </c>
      <c r="D44" t="str">
        <f>IFERROR(_xlfn.XLOOKUP(tblStates[[#This Row],[StateID]],tblQuestObjectives[ObjectiveID],tblQuestObjectives[QuestTargetID]),"")</f>
        <v/>
      </c>
      <c r="E44" t="str">
        <f>IFERROR(_xlfn.XLOOKUP(tblStates[[#This Row],[StateID]],tblDependencies[DependencyID],tblDependencies[TargetID]),"")</f>
        <v>quest.ahead_of_time_chapter_1.accepted</v>
      </c>
      <c r="F44" t="str">
        <f>_xlfn.XLOOKUP(tblStates[[#This Row],[StateID]],tblTargets[TargetID],tblTargets[StateType],"")</f>
        <v>COMPLETE</v>
      </c>
      <c r="G44" t="b">
        <f>_xlfn.XLOOKUP(tblStates[[#This Row],[StateID]],tblTargets[TargetID],tblTargets[Trackable],"")</f>
        <v>1</v>
      </c>
    </row>
    <row r="45" spans="1:7">
      <c r="A45" t="s">
        <v>6098</v>
      </c>
      <c r="B45" t="str">
        <f>_xlfn.XLOOKUP(tblStates[[#This Row],[StateID]],tblTargets[TargetID],tblTargets[DisplayName],"")</f>
        <v>Defeat Bone Dragon in 4C</v>
      </c>
      <c r="C45" t="str">
        <f>IFERROR(_xlfn.XLOOKUP(tblStates[[#This Row],[StateID]],tblQuestObjectives[ObjectiveID],tblQuestObjectives[QuestTargetID]),_xlfn.XLOOKUP(tblStates[[#This Row],[StateID]],tblDependencies[DependencyID],tblDependencies[TargetID]))</f>
        <v>quest.dragon_teeth.finished</v>
      </c>
      <c r="D45" t="str">
        <f>IFERROR(_xlfn.XLOOKUP(tblStates[[#This Row],[StateID]],tblQuestObjectives[ObjectiveID],tblQuestObjectives[QuestTargetID]),"")</f>
        <v>quest.dragon_teeth.finished</v>
      </c>
      <c r="E45" t="str">
        <f>IFERROR(_xlfn.XLOOKUP(tblStates[[#This Row],[StateID]],tblDependencies[DependencyID],tblDependencies[TargetID]),"")</f>
        <v/>
      </c>
      <c r="F45" t="str">
        <f>_xlfn.XLOOKUP(tblStates[[#This Row],[StateID]],tblTargets[TargetID],tblTargets[StateType],"")</f>
        <v>ACTION</v>
      </c>
      <c r="G45" t="b">
        <f>_xlfn.XLOOKUP(tblStates[[#This Row],[StateID]],tblTargets[TargetID],tblTargets[Trackable],"")</f>
        <v>1</v>
      </c>
    </row>
    <row r="46" spans="1:7">
      <c r="A46" t="s">
        <v>5805</v>
      </c>
      <c r="B46" t="str">
        <f>_xlfn.XLOOKUP(tblStates[[#This Row],[StateID]],tblTargets[TargetID],tblTargets[DisplayName],"")</f>
        <v>Deliver Ambrosia to Dark Lady in F3</v>
      </c>
      <c r="C46" t="str">
        <f>IFERROR(_xlfn.XLOOKUP(tblStates[[#This Row],[StateID]],tblQuestObjectives[ObjectiveID],tblQuestObjectives[QuestTargetID]),_xlfn.XLOOKUP(tblStates[[#This Row],[StateID]],tblDependencies[DependencyID],tblDependencies[TargetID]))</f>
        <v>quest.once_upon_a_forest_chapter_7.finished</v>
      </c>
      <c r="D46" t="str">
        <f>IFERROR(_xlfn.XLOOKUP(tblStates[[#This Row],[StateID]],tblQuestObjectives[ObjectiveID],tblQuestObjectives[QuestTargetID]),"")</f>
        <v>quest.once_upon_a_forest_chapter_7.finished</v>
      </c>
      <c r="E46" t="str">
        <f>IFERROR(_xlfn.XLOOKUP(tblStates[[#This Row],[StateID]],tblDependencies[DependencyID],tblDependencies[TargetID]),"")</f>
        <v/>
      </c>
      <c r="F46" t="str">
        <f>_xlfn.XLOOKUP(tblStates[[#This Row],[StateID]],tblTargets[TargetID],tblTargets[StateType],"")</f>
        <v>DELIVER</v>
      </c>
      <c r="G46" t="b">
        <f>_xlfn.XLOOKUP(tblStates[[#This Row],[StateID]],tblTargets[TargetID],tblTargets[Trackable],"")</f>
        <v>1</v>
      </c>
    </row>
    <row r="47" spans="1:7">
      <c r="A47" t="s">
        <v>5771</v>
      </c>
      <c r="B47" t="str">
        <f>_xlfn.XLOOKUP(tblStates[[#This Row],[StateID]],tblTargets[TargetID],tblTargets[DisplayName],"")</f>
        <v>Deliver Balm To Hunter @F2</v>
      </c>
      <c r="C47" t="str">
        <f>IFERROR(_xlfn.XLOOKUP(tblStates[[#This Row],[StateID]],tblQuestObjectives[ObjectiveID],tblQuestObjectives[QuestTargetID]),_xlfn.XLOOKUP(tblStates[[#This Row],[StateID]],tblDependencies[DependencyID],tblDependencies[TargetID]))</f>
        <v>quest.once_upon_a_forest_chapter_10.finished</v>
      </c>
      <c r="D47" t="str">
        <f>IFERROR(_xlfn.XLOOKUP(tblStates[[#This Row],[StateID]],tblQuestObjectives[ObjectiveID],tblQuestObjectives[QuestTargetID]),"")</f>
        <v>quest.once_upon_a_forest_chapter_10.finished</v>
      </c>
      <c r="E47" t="str">
        <f>IFERROR(_xlfn.XLOOKUP(tblStates[[#This Row],[StateID]],tblDependencies[DependencyID],tblDependencies[TargetID]),"")</f>
        <v/>
      </c>
      <c r="F47" t="str">
        <f>_xlfn.XLOOKUP(tblStates[[#This Row],[StateID]],tblTargets[TargetID],tblTargets[StateType],"")</f>
        <v>DELIVER</v>
      </c>
      <c r="G47" t="b">
        <f>_xlfn.XLOOKUP(tblStates[[#This Row],[StateID]],tblTargets[TargetID],tblTargets[Trackable],"")</f>
        <v>1</v>
      </c>
    </row>
    <row r="48" spans="1:7">
      <c r="A48" t="s">
        <v>5923</v>
      </c>
      <c r="B48" t="str">
        <f>_xlfn.XLOOKUP(tblStates[[#This Row],[StateID]],tblTargets[TargetID],tblTargets[DisplayName],"")</f>
        <v>Deliver Bedroll to  4B </v>
      </c>
      <c r="C48" t="str">
        <f>IFERROR(_xlfn.XLOOKUP(tblStates[[#This Row],[StateID]],tblQuestObjectives[ObjectiveID],tblQuestObjectives[QuestTargetID]),_xlfn.XLOOKUP(tblStates[[#This Row],[StateID]],tblDependencies[DependencyID],tblDependencies[TargetID]))</f>
        <v>quest.ahead_of_time_chapter_1.finished</v>
      </c>
      <c r="D48" t="str">
        <f>IFERROR(_xlfn.XLOOKUP(tblStates[[#This Row],[StateID]],tblQuestObjectives[ObjectiveID],tblQuestObjectives[QuestTargetID]),"")</f>
        <v>quest.ahead_of_time_chapter_1.finished</v>
      </c>
      <c r="E48" t="str">
        <f>IFERROR(_xlfn.XLOOKUP(tblStates[[#This Row],[StateID]],tblDependencies[DependencyID],tblDependencies[TargetID]),"")</f>
        <v/>
      </c>
      <c r="F48" t="str">
        <f>_xlfn.XLOOKUP(tblStates[[#This Row],[StateID]],tblTargets[TargetID],tblTargets[StateType],"")</f>
        <v>DELIVER</v>
      </c>
      <c r="G48" t="b">
        <f>_xlfn.XLOOKUP(tblStates[[#This Row],[StateID]],tblTargets[TargetID],tblTargets[Trackable],"")</f>
        <v>1</v>
      </c>
    </row>
    <row r="49" spans="1:7">
      <c r="A49" t="s">
        <v>5680</v>
      </c>
      <c r="B49" t="str">
        <f>_xlfn.XLOOKUP(tblStates[[#This Row],[StateID]],tblTargets[TargetID],tblTargets[DisplayName],"")</f>
        <v>Deliver Cheese to Rat in 6B</v>
      </c>
      <c r="C49" t="str">
        <f>IFERROR(_xlfn.XLOOKUP(tblStates[[#This Row],[StateID]],tblQuestObjectives[ObjectiveID],tblQuestObjectives[QuestTargetID]),_xlfn.XLOOKUP(tblStates[[#This Row],[StateID]],tblDependencies[DependencyID],tblDependencies[TargetID]))</f>
        <v>quest.the_ordinary_days_of_an_adventurer_chapter_6.finished</v>
      </c>
      <c r="D49" t="str">
        <f>IFERROR(_xlfn.XLOOKUP(tblStates[[#This Row],[StateID]],tblQuestObjectives[ObjectiveID],tblQuestObjectives[QuestTargetID]),"")</f>
        <v>quest.the_ordinary_days_of_an_adventurer_chapter_6.finished</v>
      </c>
      <c r="E49" t="str">
        <f>IFERROR(_xlfn.XLOOKUP(tblStates[[#This Row],[StateID]],tblDependencies[DependencyID],tblDependencies[TargetID]),"")</f>
        <v/>
      </c>
      <c r="F49" t="str">
        <f>_xlfn.XLOOKUP(tblStates[[#This Row],[StateID]],tblTargets[TargetID],tblTargets[StateType],"")</f>
        <v>DELIVER</v>
      </c>
      <c r="G49" t="b">
        <f>_xlfn.XLOOKUP(tblStates[[#This Row],[StateID]],tblTargets[TargetID],tblTargets[Trackable],"")</f>
        <v>1</v>
      </c>
    </row>
    <row r="50" spans="1:7">
      <c r="A50" t="s">
        <v>5800</v>
      </c>
      <c r="B50" t="str">
        <f>_xlfn.XLOOKUP(tblStates[[#This Row],[StateID]],tblTargets[TargetID],tblTargets[DisplayName],"")</f>
        <v>Deliver Horn to  2C </v>
      </c>
      <c r="C50" t="str">
        <f>IFERROR(_xlfn.XLOOKUP(tblStates[[#This Row],[StateID]],tblQuestObjectives[ObjectiveID],tblQuestObjectives[QuestTargetID]),_xlfn.XLOOKUP(tblStates[[#This Row],[StateID]],tblDependencies[DependencyID],tblDependencies[TargetID]))</f>
        <v>quest.ahead_of_time_chapter_1.finished</v>
      </c>
      <c r="D50" t="str">
        <f>IFERROR(_xlfn.XLOOKUP(tblStates[[#This Row],[StateID]],tblQuestObjectives[ObjectiveID],tblQuestObjectives[QuestTargetID]),"")</f>
        <v>quest.ahead_of_time_chapter_1.finished</v>
      </c>
      <c r="E50" t="str">
        <f>IFERROR(_xlfn.XLOOKUP(tblStates[[#This Row],[StateID]],tblDependencies[DependencyID],tblDependencies[TargetID]),"")</f>
        <v/>
      </c>
      <c r="F50" t="str">
        <f>_xlfn.XLOOKUP(tblStates[[#This Row],[StateID]],tblTargets[TargetID],tblTargets[StateType],"")</f>
        <v>DELIVER</v>
      </c>
      <c r="G50" t="b">
        <f>_xlfn.XLOOKUP(tblStates[[#This Row],[StateID]],tblTargets[TargetID],tblTargets[Trackable],"")</f>
        <v>1</v>
      </c>
    </row>
    <row r="51" spans="1:7">
      <c r="A51" t="s">
        <v>5768</v>
      </c>
      <c r="B51" t="str">
        <f>_xlfn.XLOOKUP(tblStates[[#This Row],[StateID]],tblTargets[TargetID],tblTargets[DisplayName],"")</f>
        <v>Deliver Inarizushi to 4B</v>
      </c>
      <c r="C51" t="str">
        <f>IFERROR(_xlfn.XLOOKUP(tblStates[[#This Row],[StateID]],tblQuestObjectives[ObjectiveID],tblQuestObjectives[QuestTargetID]),_xlfn.XLOOKUP(tblStates[[#This Row],[StateID]],tblDependencies[DependencyID],tblDependencies[TargetID]))</f>
        <v>quest.magic_beans.finished</v>
      </c>
      <c r="D51" t="str">
        <f>IFERROR(_xlfn.XLOOKUP(tblStates[[#This Row],[StateID]],tblQuestObjectives[ObjectiveID],tblQuestObjectives[QuestTargetID]),"")</f>
        <v>quest.magic_beans.finished</v>
      </c>
      <c r="E51" t="str">
        <f>IFERROR(_xlfn.XLOOKUP(tblStates[[#This Row],[StateID]],tblDependencies[DependencyID],tblDependencies[TargetID]),"")</f>
        <v/>
      </c>
      <c r="F51" t="str">
        <f>_xlfn.XLOOKUP(tblStates[[#This Row],[StateID]],tblTargets[TargetID],tblTargets[StateType],"")</f>
        <v>DELIVER</v>
      </c>
      <c r="G51" t="b">
        <f>_xlfn.XLOOKUP(tblStates[[#This Row],[StateID]],tblTargets[TargetID],tblTargets[Trackable],"")</f>
        <v>1</v>
      </c>
    </row>
    <row r="52" spans="1:7">
      <c r="A52" t="s">
        <v>5801</v>
      </c>
      <c r="B52" t="str">
        <f>_xlfn.XLOOKUP(tblStates[[#This Row],[StateID]],tblTargets[TargetID],tblTargets[DisplayName],"")</f>
        <v>Deliver Pizza Diavola to  5B </v>
      </c>
      <c r="C52" t="str">
        <f>IFERROR(_xlfn.XLOOKUP(tblStates[[#This Row],[StateID]],tblQuestObjectives[ObjectiveID],tblQuestObjectives[QuestTargetID]),_xlfn.XLOOKUP(tblStates[[#This Row],[StateID]],tblDependencies[DependencyID],tblDependencies[TargetID]))</f>
        <v>quest.ahead_of_time_chapter_1.finished</v>
      </c>
      <c r="D52" t="str">
        <f>IFERROR(_xlfn.XLOOKUP(tblStates[[#This Row],[StateID]],tblQuestObjectives[ObjectiveID],tblQuestObjectives[QuestTargetID]),"")</f>
        <v>quest.ahead_of_time_chapter_1.finished</v>
      </c>
      <c r="E52" t="str">
        <f>IFERROR(_xlfn.XLOOKUP(tblStates[[#This Row],[StateID]],tblDependencies[DependencyID],tblDependencies[TargetID]),"")</f>
        <v/>
      </c>
      <c r="F52" t="str">
        <f>_xlfn.XLOOKUP(tblStates[[#This Row],[StateID]],tblTargets[TargetID],tblTargets[StateType],"")</f>
        <v>DELIVER</v>
      </c>
      <c r="G52" t="b">
        <f>_xlfn.XLOOKUP(tblStates[[#This Row],[StateID]],tblTargets[TargetID],tblTargets[Trackable],"")</f>
        <v>1</v>
      </c>
    </row>
    <row r="53" spans="1:7">
      <c r="A53" t="s">
        <v>5802</v>
      </c>
      <c r="B53" t="str">
        <f>_xlfn.XLOOKUP(tblStates[[#This Row],[StateID]],tblTargets[TargetID],tblTargets[DisplayName],"")</f>
        <v>Deliver Pizza Diavola to  5C </v>
      </c>
      <c r="C53" t="str">
        <f>IFERROR(_xlfn.XLOOKUP(tblStates[[#This Row],[StateID]],tblQuestObjectives[ObjectiveID],tblQuestObjectives[QuestTargetID]),_xlfn.XLOOKUP(tblStates[[#This Row],[StateID]],tblDependencies[DependencyID],tblDependencies[TargetID]))</f>
        <v>quest.ahead_of_time_chapter_1.finished</v>
      </c>
      <c r="D53" t="str">
        <f>IFERROR(_xlfn.XLOOKUP(tblStates[[#This Row],[StateID]],tblQuestObjectives[ObjectiveID],tblQuestObjectives[QuestTargetID]),"")</f>
        <v>quest.ahead_of_time_chapter_1.finished</v>
      </c>
      <c r="E53" t="str">
        <f>IFERROR(_xlfn.XLOOKUP(tblStates[[#This Row],[StateID]],tblDependencies[DependencyID],tblDependencies[TargetID]),"")</f>
        <v/>
      </c>
      <c r="F53" t="str">
        <f>_xlfn.XLOOKUP(tblStates[[#This Row],[StateID]],tblTargets[TargetID],tblTargets[StateType],"")</f>
        <v>DELIVER</v>
      </c>
      <c r="G53" t="b">
        <f>_xlfn.XLOOKUP(tblStates[[#This Row],[StateID]],tblTargets[TargetID],tblTargets[Trackable],"")</f>
        <v>1</v>
      </c>
    </row>
    <row r="54" spans="1:7">
      <c r="A54" t="s">
        <v>5803</v>
      </c>
      <c r="B54" t="str">
        <f>_xlfn.XLOOKUP(tblStates[[#This Row],[StateID]],tblTargets[TargetID],tblTargets[DisplayName],"")</f>
        <v>Deliver Porcini pasta to  3C </v>
      </c>
      <c r="C54" t="str">
        <f>IFERROR(_xlfn.XLOOKUP(tblStates[[#This Row],[StateID]],tblQuestObjectives[ObjectiveID],tblQuestObjectives[QuestTargetID]),_xlfn.XLOOKUP(tblStates[[#This Row],[StateID]],tblDependencies[DependencyID],tblDependencies[TargetID]))</f>
        <v>quest.ahead_of_time_chapter_1.finished</v>
      </c>
      <c r="D54" t="str">
        <f>IFERROR(_xlfn.XLOOKUP(tblStates[[#This Row],[StateID]],tblQuestObjectives[ObjectiveID],tblQuestObjectives[QuestTargetID]),"")</f>
        <v>quest.ahead_of_time_chapter_1.finished</v>
      </c>
      <c r="E54" t="str">
        <f>IFERROR(_xlfn.XLOOKUP(tblStates[[#This Row],[StateID]],tblDependencies[DependencyID],tblDependencies[TargetID]),"")</f>
        <v/>
      </c>
      <c r="F54" t="str">
        <f>_xlfn.XLOOKUP(tblStates[[#This Row],[StateID]],tblTargets[TargetID],tblTargets[StateType],"")</f>
        <v>DELIVER</v>
      </c>
      <c r="G54" t="b">
        <f>_xlfn.XLOOKUP(tblStates[[#This Row],[StateID]],tblTargets[TargetID],tblTargets[Trackable],"")</f>
        <v>1</v>
      </c>
    </row>
    <row r="55" spans="1:7">
      <c r="A55" t="s">
        <v>5804</v>
      </c>
      <c r="B55" t="str">
        <f>_xlfn.XLOOKUP(tblStates[[#This Row],[StateID]],tblTargets[TargetID],tblTargets[DisplayName],"")</f>
        <v>Deliver Potion Ambrosia to  3B </v>
      </c>
      <c r="C55" t="str">
        <f>IFERROR(_xlfn.XLOOKUP(tblStates[[#This Row],[StateID]],tblQuestObjectives[ObjectiveID],tblQuestObjectives[QuestTargetID]),_xlfn.XLOOKUP(tblStates[[#This Row],[StateID]],tblDependencies[DependencyID],tblDependencies[TargetID]))</f>
        <v>quest.ahead_of_time_chapter_1.finished</v>
      </c>
      <c r="D55" t="str">
        <f>IFERROR(_xlfn.XLOOKUP(tblStates[[#This Row],[StateID]],tblQuestObjectives[ObjectiveID],tblQuestObjectives[QuestTargetID]),"")</f>
        <v>quest.ahead_of_time_chapter_1.finished</v>
      </c>
      <c r="E55" t="str">
        <f>IFERROR(_xlfn.XLOOKUP(tblStates[[#This Row],[StateID]],tblDependencies[DependencyID],tblDependencies[TargetID]),"")</f>
        <v/>
      </c>
      <c r="F55" t="str">
        <f>_xlfn.XLOOKUP(tblStates[[#This Row],[StateID]],tblTargets[TargetID],tblTargets[StateType],"")</f>
        <v>DELIVER</v>
      </c>
      <c r="G55" t="b">
        <f>_xlfn.XLOOKUP(tblStates[[#This Row],[StateID]],tblTargets[TargetID],tblTargets[Trackable],"")</f>
        <v>1</v>
      </c>
    </row>
    <row r="56" spans="1:7">
      <c r="A56" t="s">
        <v>5782</v>
      </c>
      <c r="B56" t="str">
        <f>_xlfn.XLOOKUP(tblStates[[#This Row],[StateID]],tblTargets[TargetID],tblTargets[DisplayName],"")</f>
        <v>Deliver Potion Berserker rage to  1C </v>
      </c>
      <c r="C56" t="str">
        <f>IFERROR(_xlfn.XLOOKUP(tblStates[[#This Row],[StateID]],tblQuestObjectives[ObjectiveID],tblQuestObjectives[QuestTargetID]),_xlfn.XLOOKUP(tblStates[[#This Row],[StateID]],tblDependencies[DependencyID],tblDependencies[TargetID]))</f>
        <v>quest.ahead_of_time_chapter_1.finished</v>
      </c>
      <c r="D56" t="str">
        <f>IFERROR(_xlfn.XLOOKUP(tblStates[[#This Row],[StateID]],tblQuestObjectives[ObjectiveID],tblQuestObjectives[QuestTargetID]),"")</f>
        <v>quest.ahead_of_time_chapter_1.finished</v>
      </c>
      <c r="E56" t="str">
        <f>IFERROR(_xlfn.XLOOKUP(tblStates[[#This Row],[StateID]],tblDependencies[DependencyID],tblDependencies[TargetID]),"")</f>
        <v/>
      </c>
      <c r="F56" t="str">
        <f>_xlfn.XLOOKUP(tblStates[[#This Row],[StateID]],tblTargets[TargetID],tblTargets[StateType],"")</f>
        <v>DELIVER</v>
      </c>
      <c r="G56" t="b">
        <f>_xlfn.XLOOKUP(tblStates[[#This Row],[StateID]],tblTargets[TargetID],tblTargets[Trackable],"")</f>
        <v>1</v>
      </c>
    </row>
    <row r="57" spans="1:7">
      <c r="A57" t="s">
        <v>5921</v>
      </c>
      <c r="B57" t="str">
        <f>_xlfn.XLOOKUP(tblStates[[#This Row],[StateID]],tblTargets[TargetID],tblTargets[DisplayName],"")</f>
        <v>Deliver Potion of Mental Power to F2</v>
      </c>
      <c r="C57" t="str">
        <f>IFERROR(_xlfn.XLOOKUP(tblStates[[#This Row],[StateID]],tblQuestObjectives[ObjectiveID],tblQuestObjectives[QuestTargetID]),_xlfn.XLOOKUP(tblStates[[#This Row],[StateID]],tblDependencies[DependencyID],tblDependencies[TargetID]))</f>
        <v>quest.once_upon_a_forest_chapter_6.finished</v>
      </c>
      <c r="D57" t="str">
        <f>IFERROR(_xlfn.XLOOKUP(tblStates[[#This Row],[StateID]],tblQuestObjectives[ObjectiveID],tblQuestObjectives[QuestTargetID]),"")</f>
        <v>quest.once_upon_a_forest_chapter_6.finished</v>
      </c>
      <c r="E57" t="str">
        <f>IFERROR(_xlfn.XLOOKUP(tblStates[[#This Row],[StateID]],tblDependencies[DependencyID],tblDependencies[TargetID]),"")</f>
        <v/>
      </c>
      <c r="F57" t="str">
        <f>_xlfn.XLOOKUP(tblStates[[#This Row],[StateID]],tblTargets[TargetID],tblTargets[StateType],"")</f>
        <v>DELIVER</v>
      </c>
      <c r="G57" t="b">
        <f>_xlfn.XLOOKUP(tblStates[[#This Row],[StateID]],tblTargets[TargetID],tblTargets[Trackable],"")</f>
        <v>1</v>
      </c>
    </row>
    <row r="58" spans="1:7">
      <c r="A58" t="s">
        <v>5769</v>
      </c>
      <c r="B58" t="str">
        <f>_xlfn.XLOOKUP(tblStates[[#This Row],[StateID]],tblTargets[TargetID],tblTargets[DisplayName],"")</f>
        <v>Deliver Teriyaki Salmon to 4C</v>
      </c>
      <c r="C58" t="str">
        <f>IFERROR(_xlfn.XLOOKUP(tblStates[[#This Row],[StateID]],tblQuestObjectives[ObjectiveID],tblQuestObjectives[QuestTargetID]),_xlfn.XLOOKUP(tblStates[[#This Row],[StateID]],tblDependencies[DependencyID],tblDependencies[TargetID]))</f>
        <v>quest.magic_beans.finished</v>
      </c>
      <c r="D58" t="str">
        <f>IFERROR(_xlfn.XLOOKUP(tblStates[[#This Row],[StateID]],tblQuestObjectives[ObjectiveID],tblQuestObjectives[QuestTargetID]),"")</f>
        <v>quest.magic_beans.finished</v>
      </c>
      <c r="E58" t="str">
        <f>IFERROR(_xlfn.XLOOKUP(tblStates[[#This Row],[StateID]],tblDependencies[DependencyID],tblDependencies[TargetID]),"")</f>
        <v/>
      </c>
      <c r="F58" t="str">
        <f>_xlfn.XLOOKUP(tblStates[[#This Row],[StateID]],tblTargets[TargetID],tblTargets[StateType],"")</f>
        <v>DELIVER</v>
      </c>
      <c r="G58" t="b">
        <f>_xlfn.XLOOKUP(tblStates[[#This Row],[StateID]],tblTargets[TargetID],tblTargets[Trackable],"")</f>
        <v>1</v>
      </c>
    </row>
    <row r="59" spans="1:7">
      <c r="A59" t="s">
        <v>5770</v>
      </c>
      <c r="B59" t="str">
        <f>_xlfn.XLOOKUP(tblStates[[#This Row],[StateID]],tblTargets[TargetID],tblTargets[DisplayName],"")</f>
        <v>Deliver Tofu to 4A</v>
      </c>
      <c r="C59" t="str">
        <f>IFERROR(_xlfn.XLOOKUP(tblStates[[#This Row],[StateID]],tblQuestObjectives[ObjectiveID],tblQuestObjectives[QuestTargetID]),_xlfn.XLOOKUP(tblStates[[#This Row],[StateID]],tblDependencies[DependencyID],tblDependencies[TargetID]))</f>
        <v>quest.magic_beans.finished</v>
      </c>
      <c r="D59" t="str">
        <f>IFERROR(_xlfn.XLOOKUP(tblStates[[#This Row],[StateID]],tblQuestObjectives[ObjectiveID],tblQuestObjectives[QuestTargetID]),"")</f>
        <v>quest.magic_beans.finished</v>
      </c>
      <c r="E59" t="str">
        <f>IFERROR(_xlfn.XLOOKUP(tblStates[[#This Row],[StateID]],tblDependencies[DependencyID],tblDependencies[TargetID]),"")</f>
        <v/>
      </c>
      <c r="F59" t="str">
        <f>_xlfn.XLOOKUP(tblStates[[#This Row],[StateID]],tblTargets[TargetID],tblTargets[StateType],"")</f>
        <v>DELIVER</v>
      </c>
      <c r="G59" t="b">
        <f>_xlfn.XLOOKUP(tblStates[[#This Row],[StateID]],tblTargets[TargetID],tblTargets[Trackable],"")</f>
        <v>1</v>
      </c>
    </row>
    <row r="60" spans="1:7">
      <c r="A60" t="s">
        <v>5757</v>
      </c>
      <c r="B60" t="str">
        <f>_xlfn.XLOOKUP(tblStates[[#This Row],[StateID]],tblTargets[TargetID],tblTargets[DisplayName],"")</f>
        <v>Deliver Yuba to  4C </v>
      </c>
      <c r="C60" t="str">
        <f>IFERROR(_xlfn.XLOOKUP(tblStates[[#This Row],[StateID]],tblQuestObjectives[ObjectiveID],tblQuestObjectives[QuestTargetID]),_xlfn.XLOOKUP(tblStates[[#This Row],[StateID]],tblDependencies[DependencyID],tblDependencies[TargetID]))</f>
        <v>quest.ahead_of_time_chapter_1.finished</v>
      </c>
      <c r="D60" t="str">
        <f>IFERROR(_xlfn.XLOOKUP(tblStates[[#This Row],[StateID]],tblQuestObjectives[ObjectiveID],tblQuestObjectives[QuestTargetID]),"")</f>
        <v>quest.ahead_of_time_chapter_1.finished</v>
      </c>
      <c r="E60" t="str">
        <f>IFERROR(_xlfn.XLOOKUP(tblStates[[#This Row],[StateID]],tblDependencies[DependencyID],tblDependencies[TargetID]),"")</f>
        <v/>
      </c>
      <c r="F60" t="str">
        <f>_xlfn.XLOOKUP(tblStates[[#This Row],[StateID]],tblTargets[TargetID],tblTargets[StateType],"")</f>
        <v>DELIVER</v>
      </c>
      <c r="G60" t="b">
        <f>_xlfn.XLOOKUP(tblStates[[#This Row],[StateID]],tblTargets[TargetID],tblTargets[Trackable],"")</f>
        <v>1</v>
      </c>
    </row>
    <row r="61" spans="1:7">
      <c r="A61" t="s">
        <v>6100</v>
      </c>
      <c r="B61" t="str">
        <f>_xlfn.XLOOKUP(tblStates[[#This Row],[StateID]],tblTargets[TargetID],tblTargets[DisplayName],"")</f>
        <v>Discover the gate in 3C to F2</v>
      </c>
      <c r="C61" t="str">
        <f>IFERROR(_xlfn.XLOOKUP(tblStates[[#This Row],[StateID]],tblQuestObjectives[ObjectiveID],tblQuestObjectives[QuestTargetID]),_xlfn.XLOOKUP(tblStates[[#This Row],[StateID]],tblDependencies[DependencyID],tblDependencies[TargetID]))</f>
        <v>quest.once_upon_a_forest_chapter_4.finished</v>
      </c>
      <c r="D61" t="str">
        <f>IFERROR(_xlfn.XLOOKUP(tblStates[[#This Row],[StateID]],tblQuestObjectives[ObjectiveID],tblQuestObjectives[QuestTargetID]),"")</f>
        <v>quest.once_upon_a_forest_chapter_4.finished</v>
      </c>
      <c r="E61" t="str">
        <f>IFERROR(_xlfn.XLOOKUP(tblStates[[#This Row],[StateID]],tblDependencies[DependencyID],tblDependencies[TargetID]),"")</f>
        <v/>
      </c>
      <c r="F61" t="str">
        <f>_xlfn.XLOOKUP(tblStates[[#This Row],[StateID]],tblTargets[TargetID],tblTargets[StateType],"")</f>
        <v>FIND</v>
      </c>
      <c r="G61" t="b">
        <f>_xlfn.XLOOKUP(tblStates[[#This Row],[StateID]],tblTargets[TargetID],tblTargets[Trackable],"")</f>
        <v>1</v>
      </c>
    </row>
    <row r="62" spans="1:7">
      <c r="A62" t="s">
        <v>6101</v>
      </c>
      <c r="B62" t="str">
        <f>_xlfn.XLOOKUP(tblStates[[#This Row],[StateID]],tblTargets[TargetID],tblTargets[DisplayName],"")</f>
        <v>Discover the gate in 4C to F3</v>
      </c>
      <c r="C62" t="str">
        <f>IFERROR(_xlfn.XLOOKUP(tblStates[[#This Row],[StateID]],tblQuestObjectives[ObjectiveID],tblQuestObjectives[QuestTargetID]),_xlfn.XLOOKUP(tblStates[[#This Row],[StateID]],tblDependencies[DependencyID],tblDependencies[TargetID]))</f>
        <v>quest.once_upon_a_forest_chapter_4.finished</v>
      </c>
      <c r="D62" t="str">
        <f>IFERROR(_xlfn.XLOOKUP(tblStates[[#This Row],[StateID]],tblQuestObjectives[ObjectiveID],tblQuestObjectives[QuestTargetID]),"")</f>
        <v>quest.once_upon_a_forest_chapter_4.finished</v>
      </c>
      <c r="E62" t="str">
        <f>IFERROR(_xlfn.XLOOKUP(tblStates[[#This Row],[StateID]],tblDependencies[DependencyID],tblDependencies[TargetID]),"")</f>
        <v/>
      </c>
      <c r="F62" t="str">
        <f>_xlfn.XLOOKUP(tblStates[[#This Row],[StateID]],tblTargets[TargetID],tblTargets[StateType],"")</f>
        <v>FIND</v>
      </c>
      <c r="G62" t="b">
        <f>_xlfn.XLOOKUP(tblStates[[#This Row],[StateID]],tblTargets[TargetID],tblTargets[Trackable],"")</f>
        <v>1</v>
      </c>
    </row>
    <row r="63" spans="1:7">
      <c r="A63" t="s">
        <v>6102</v>
      </c>
      <c r="B63" t="str">
        <f>_xlfn.XLOOKUP(tblStates[[#This Row],[StateID]],tblTargets[TargetID],tblTargets[DisplayName],"")</f>
        <v>Discover the gate in 5C to F4</v>
      </c>
      <c r="C63" t="str">
        <f>IFERROR(_xlfn.XLOOKUP(tblStates[[#This Row],[StateID]],tblQuestObjectives[ObjectiveID],tblQuestObjectives[QuestTargetID]),_xlfn.XLOOKUP(tblStates[[#This Row],[StateID]],tblDependencies[DependencyID],tblDependencies[TargetID]))</f>
        <v>quest.once_upon_a_forest_chapter_4.finished</v>
      </c>
      <c r="D63" t="str">
        <f>IFERROR(_xlfn.XLOOKUP(tblStates[[#This Row],[StateID]],tblQuestObjectives[ObjectiveID],tblQuestObjectives[QuestTargetID]),"")</f>
        <v>quest.once_upon_a_forest_chapter_4.finished</v>
      </c>
      <c r="E63" t="str">
        <f>IFERROR(_xlfn.XLOOKUP(tblStates[[#This Row],[StateID]],tblDependencies[DependencyID],tblDependencies[TargetID]),"")</f>
        <v/>
      </c>
      <c r="F63" t="str">
        <f>_xlfn.XLOOKUP(tblStates[[#This Row],[StateID]],tblTargets[TargetID],tblTargets[StateType],"")</f>
        <v>FIND</v>
      </c>
      <c r="G63" t="b">
        <f>_xlfn.XLOOKUP(tblStates[[#This Row],[StateID]],tblTargets[TargetID],tblTargets[Trackable],"")</f>
        <v>1</v>
      </c>
    </row>
    <row r="64" spans="1:7">
      <c r="A64" t="s">
        <v>5772</v>
      </c>
      <c r="B64" t="str">
        <f>_xlfn.XLOOKUP(tblStates[[#This Row],[StateID]],tblTargets[TargetID],tblTargets[DisplayName],"")</f>
        <v>Find Goat in 6B</v>
      </c>
      <c r="C64" t="str">
        <f>IFERROR(_xlfn.XLOOKUP(tblStates[[#This Row],[StateID]],tblQuestObjectives[ObjectiveID],tblQuestObjectives[QuestTargetID]),_xlfn.XLOOKUP(tblStates[[#This Row],[StateID]],tblDependencies[DependencyID],tblDependencies[TargetID]))</f>
        <v>quest.the_ordinary_days_of_an_adventurer_chapter_1.finished</v>
      </c>
      <c r="D64" t="str">
        <f>IFERROR(_xlfn.XLOOKUP(tblStates[[#This Row],[StateID]],tblQuestObjectives[ObjectiveID],tblQuestObjectives[QuestTargetID]),"")</f>
        <v>quest.the_ordinary_days_of_an_adventurer_chapter_1.finished</v>
      </c>
      <c r="E64" t="str">
        <f>IFERROR(_xlfn.XLOOKUP(tblStates[[#This Row],[StateID]],tblDependencies[DependencyID],tblDependencies[TargetID]),"")</f>
        <v/>
      </c>
      <c r="F64" t="str">
        <f>_xlfn.XLOOKUP(tblStates[[#This Row],[StateID]],tblTargets[TargetID],tblTargets[StateType],"")</f>
        <v>FIND</v>
      </c>
      <c r="G64" t="b">
        <f>_xlfn.XLOOKUP(tblStates[[#This Row],[StateID]],tblTargets[TargetID],tblTargets[Trackable],"")</f>
        <v>1</v>
      </c>
    </row>
    <row r="65" spans="1:7">
      <c r="A65" t="s">
        <v>5690</v>
      </c>
      <c r="B65" t="str">
        <f>_xlfn.XLOOKUP(tblStates[[#This Row],[StateID]],tblTargets[TargetID],tblTargets[DisplayName],"")</f>
        <v>Find Jade Gate in 2C</v>
      </c>
      <c r="C65" t="str">
        <f>IFERROR(_xlfn.XLOOKUP(tblStates[[#This Row],[StateID]],tblQuestObjectives[ObjectiveID],tblQuestObjectives[QuestTargetID]),_xlfn.XLOOKUP(tblStates[[#This Row],[StateID]],tblDependencies[DependencyID],tblDependencies[TargetID]))</f>
        <v>quest.once_upon_a_forest_chapter_1.finished</v>
      </c>
      <c r="D65" t="str">
        <f>IFERROR(_xlfn.XLOOKUP(tblStates[[#This Row],[StateID]],tblQuestObjectives[ObjectiveID],tblQuestObjectives[QuestTargetID]),"")</f>
        <v>quest.once_upon_a_forest_chapter_1.finished</v>
      </c>
      <c r="E65" t="str">
        <f>IFERROR(_xlfn.XLOOKUP(tblStates[[#This Row],[StateID]],tblDependencies[DependencyID],tblDependencies[TargetID]),"")</f>
        <v>state.obtain_strawberry@f1</v>
      </c>
      <c r="F65" t="str">
        <f>_xlfn.XLOOKUP(tblStates[[#This Row],[StateID]],tblTargets[TargetID],tblTargets[StateType],"")</f>
        <v>FIND</v>
      </c>
      <c r="G65" t="b">
        <f>_xlfn.XLOOKUP(tblStates[[#This Row],[StateID]],tblTargets[TargetID],tblTargets[Trackable],"")</f>
        <v>1</v>
      </c>
    </row>
    <row r="66" spans="1:7">
      <c r="A66" t="s">
        <v>5758</v>
      </c>
      <c r="B66" t="str">
        <f>_xlfn.XLOOKUP(tblStates[[#This Row],[StateID]],tblTargets[TargetID],tblTargets[DisplayName],"")</f>
        <v>Meet Alchemist in 6D</v>
      </c>
      <c r="C66" t="str">
        <f>IFERROR(_xlfn.XLOOKUP(tblStates[[#This Row],[StateID]],tblQuestObjectives[ObjectiveID],tblQuestObjectives[QuestTargetID]),_xlfn.XLOOKUP(tblStates[[#This Row],[StateID]],tblDependencies[DependencyID],tblDependencies[TargetID]))</f>
        <v>quest.ahead_of_time_chapter_3.finished</v>
      </c>
      <c r="D66" t="str">
        <f>IFERROR(_xlfn.XLOOKUP(tblStates[[#This Row],[StateID]],tblQuestObjectives[ObjectiveID],tblQuestObjectives[QuestTargetID]),"")</f>
        <v>quest.ahead_of_time_chapter_3.finished</v>
      </c>
      <c r="E66" t="str">
        <f>IFERROR(_xlfn.XLOOKUP(tblStates[[#This Row],[StateID]],tblDependencies[DependencyID],tblDependencies[TargetID]),"")</f>
        <v/>
      </c>
      <c r="F66" t="str">
        <f>_xlfn.XLOOKUP(tblStates[[#This Row],[StateID]],tblTargets[TargetID],tblTargets[StateType],"")</f>
        <v>MEET</v>
      </c>
      <c r="G66" t="b">
        <f>_xlfn.XLOOKUP(tblStates[[#This Row],[StateID]],tblTargets[TargetID],tblTargets[Trackable],"")</f>
        <v>1</v>
      </c>
    </row>
    <row r="67" spans="1:7">
      <c r="A67" t="s">
        <v>3504</v>
      </c>
      <c r="B67" t="str">
        <f>_xlfn.XLOOKUP(tblStates[[#This Row],[StateID]],tblTargets[TargetID],tblTargets[DisplayName],"")</f>
        <v>Meet Dark Lady@4A</v>
      </c>
      <c r="C67" t="str">
        <f>IFERROR(_xlfn.XLOOKUP(tblStates[[#This Row],[StateID]],tblQuestObjectives[ObjectiveID],tblQuestObjectives[QuestTargetID]),_xlfn.XLOOKUP(tblStates[[#This Row],[StateID]],tblDependencies[DependencyID],tblDependencies[TargetID]))</f>
        <v>quest.the_ring_of_the_dark_lady.accepted</v>
      </c>
      <c r="D67" t="str">
        <f>IFERROR(_xlfn.XLOOKUP(tblStates[[#This Row],[StateID]],tblQuestObjectives[ObjectiveID],tblQuestObjectives[QuestTargetID]),"")</f>
        <v/>
      </c>
      <c r="E67" t="str">
        <f>IFERROR(_xlfn.XLOOKUP(tblStates[[#This Row],[StateID]],tblDependencies[DependencyID],tblDependencies[TargetID]),"")</f>
        <v>quest.the_ring_of_the_dark_lady.accepted</v>
      </c>
      <c r="F67" t="str">
        <f>_xlfn.XLOOKUP(tblStates[[#This Row],[StateID]],tblTargets[TargetID],tblTargets[StateType],"")</f>
        <v>MEET</v>
      </c>
      <c r="G67" t="b">
        <f>_xlfn.XLOOKUP(tblStates[[#This Row],[StateID]],tblTargets[TargetID],tblTargets[Trackable],"")</f>
        <v>1</v>
      </c>
    </row>
    <row r="68" spans="1:7">
      <c r="A68" t="s">
        <v>3494</v>
      </c>
      <c r="B68" t="str">
        <f>_xlfn.XLOOKUP(tblStates[[#This Row],[StateID]],tblTargets[TargetID],tblTargets[DisplayName],"")</f>
        <v>Meet Dark Lady@6A</v>
      </c>
      <c r="C68" t="str">
        <f>IFERROR(_xlfn.XLOOKUP(tblStates[[#This Row],[StateID]],tblQuestObjectives[ObjectiveID],tblQuestObjectives[QuestTargetID]),_xlfn.XLOOKUP(tblStates[[#This Row],[StateID]],tblDependencies[DependencyID],tblDependencies[TargetID]))</f>
        <v>quest.the_ordinary_days_of_an_adventurer_chapter_3.accepted</v>
      </c>
      <c r="D68" t="str">
        <f>IFERROR(_xlfn.XLOOKUP(tblStates[[#This Row],[StateID]],tblQuestObjectives[ObjectiveID],tblQuestObjectives[QuestTargetID]),"")</f>
        <v/>
      </c>
      <c r="E68" t="str">
        <f>IFERROR(_xlfn.XLOOKUP(tblStates[[#This Row],[StateID]],tblDependencies[DependencyID],tblDependencies[TargetID]),"")</f>
        <v>quest.the_ordinary_days_of_an_adventurer_chapter_3.accepted</v>
      </c>
      <c r="F68" t="str">
        <f>_xlfn.XLOOKUP(tblStates[[#This Row],[StateID]],tblTargets[TargetID],tblTargets[StateType],"")</f>
        <v>MEET</v>
      </c>
      <c r="G68" t="b">
        <f>_xlfn.XLOOKUP(tblStates[[#This Row],[StateID]],tblTargets[TargetID],tblTargets[Trackable],"")</f>
        <v>1</v>
      </c>
    </row>
    <row r="69" spans="1:7">
      <c r="A69" t="s">
        <v>3497</v>
      </c>
      <c r="B69" t="str">
        <f>_xlfn.XLOOKUP(tblStates[[#This Row],[StateID]],tblTargets[TargetID],tblTargets[DisplayName],"")</f>
        <v>Meet Dark Lady@6B</v>
      </c>
      <c r="C69" t="str">
        <f>IFERROR(_xlfn.XLOOKUP(tblStates[[#This Row],[StateID]],tblQuestObjectives[ObjectiveID],tblQuestObjectives[QuestTargetID]),_xlfn.XLOOKUP(tblStates[[#This Row],[StateID]],tblDependencies[DependencyID],tblDependencies[TargetID]))</f>
        <v>quest.the_ordinary_days_of_an_adventurer_chapter_4.accepted</v>
      </c>
      <c r="D69" t="str">
        <f>IFERROR(_xlfn.XLOOKUP(tblStates[[#This Row],[StateID]],tblQuestObjectives[ObjectiveID],tblQuestObjectives[QuestTargetID]),"")</f>
        <v/>
      </c>
      <c r="E69" t="str">
        <f>IFERROR(_xlfn.XLOOKUP(tblStates[[#This Row],[StateID]],tblDependencies[DependencyID],tblDependencies[TargetID]),"")</f>
        <v>quest.the_ordinary_days_of_an_adventurer_chapter_4.accepted</v>
      </c>
      <c r="F69" t="str">
        <f>_xlfn.XLOOKUP(tblStates[[#This Row],[StateID]],tblTargets[TargetID],tblTargets[StateType],"")</f>
        <v>MEET</v>
      </c>
      <c r="G69" t="b">
        <f>_xlfn.XLOOKUP(tblStates[[#This Row],[StateID]],tblTargets[TargetID],tblTargets[Trackable],"")</f>
        <v>1</v>
      </c>
    </row>
    <row r="70" spans="1:7">
      <c r="A70" t="s">
        <v>3460</v>
      </c>
      <c r="B70" t="str">
        <f>_xlfn.XLOOKUP(tblStates[[#This Row],[StateID]],tblTargets[TargetID],tblTargets[DisplayName],"")</f>
        <v>Meet Dark Lady@F2</v>
      </c>
      <c r="C70" t="str">
        <f>IFERROR(_xlfn.XLOOKUP(tblStates[[#This Row],[StateID]],tblQuestObjectives[ObjectiveID],tblQuestObjectives[QuestTargetID]),_xlfn.XLOOKUP(tblStates[[#This Row],[StateID]],tblDependencies[DependencyID],tblDependencies[TargetID]))</f>
        <v>quest.once_upon_a_forest_chapter_7.accepted</v>
      </c>
      <c r="D70" t="str">
        <f>IFERROR(_xlfn.XLOOKUP(tblStates[[#This Row],[StateID]],tblQuestObjectives[ObjectiveID],tblQuestObjectives[QuestTargetID]),"")</f>
        <v/>
      </c>
      <c r="E70" t="str">
        <f>IFERROR(_xlfn.XLOOKUP(tblStates[[#This Row],[StateID]],tblDependencies[DependencyID],tblDependencies[TargetID]),"")</f>
        <v>quest.once_upon_a_forest_chapter_7.accepted</v>
      </c>
      <c r="F70" t="str">
        <f>_xlfn.XLOOKUP(tblStates[[#This Row],[StateID]],tblTargets[TargetID],tblTargets[StateType],"")</f>
        <v>MEET</v>
      </c>
      <c r="G70" t="b">
        <f>_xlfn.XLOOKUP(tblStates[[#This Row],[StateID]],tblTargets[TargetID],tblTargets[Trackable],"")</f>
        <v>1</v>
      </c>
    </row>
    <row r="71" spans="1:7">
      <c r="A71" t="s">
        <v>5759</v>
      </c>
      <c r="B71" t="str">
        <f>_xlfn.XLOOKUP(tblStates[[#This Row],[StateID]],tblTargets[TargetID],tblTargets[DisplayName],"")</f>
        <v>Meet Dark Lady in 6D</v>
      </c>
      <c r="C71" t="str">
        <f>IFERROR(_xlfn.XLOOKUP(tblStates[[#This Row],[StateID]],tblQuestObjectives[ObjectiveID],tblQuestObjectives[QuestTargetID]),_xlfn.XLOOKUP(tblStates[[#This Row],[StateID]],tblDependencies[DependencyID],tblDependencies[TargetID]))</f>
        <v>quest.ahead_of_time_chapter_3.finished</v>
      </c>
      <c r="D71" t="str">
        <f>IFERROR(_xlfn.XLOOKUP(tblStates[[#This Row],[StateID]],tblQuestObjectives[ObjectiveID],tblQuestObjectives[QuestTargetID]),"")</f>
        <v>quest.ahead_of_time_chapter_3.finished</v>
      </c>
      <c r="E71" t="str">
        <f>IFERROR(_xlfn.XLOOKUP(tblStates[[#This Row],[StateID]],tblDependencies[DependencyID],tblDependencies[TargetID]),"")</f>
        <v/>
      </c>
      <c r="F71" t="str">
        <f>_xlfn.XLOOKUP(tblStates[[#This Row],[StateID]],tblTargets[TargetID],tblTargets[StateType],"")</f>
        <v>MEET</v>
      </c>
      <c r="G71" t="b">
        <f>_xlfn.XLOOKUP(tblStates[[#This Row],[StateID]],tblTargets[TargetID],tblTargets[Trackable],"")</f>
        <v>1</v>
      </c>
    </row>
    <row r="72" spans="1:7">
      <c r="A72" t="s">
        <v>3438</v>
      </c>
      <c r="B72" t="str">
        <f>_xlfn.XLOOKUP(tblStates[[#This Row],[StateID]],tblTargets[TargetID],tblTargets[DisplayName],"")</f>
        <v>Meet Fat Demon@4A</v>
      </c>
      <c r="C72" t="str">
        <f>IFERROR(_xlfn.XLOOKUP(tblStates[[#This Row],[StateID]],tblQuestObjectives[ObjectiveID],tblQuestObjectives[QuestTargetID]),_xlfn.XLOOKUP(tblStates[[#This Row],[StateID]],tblDependencies[DependencyID],tblDependencies[TargetID]))</f>
        <v>quest.culinary_battle.accepted</v>
      </c>
      <c r="D72" t="str">
        <f>IFERROR(_xlfn.XLOOKUP(tblStates[[#This Row],[StateID]],tblQuestObjectives[ObjectiveID],tblQuestObjectives[QuestTargetID]),"")</f>
        <v/>
      </c>
      <c r="E72" t="str">
        <f>IFERROR(_xlfn.XLOOKUP(tblStates[[#This Row],[StateID]],tblDependencies[DependencyID],tblDependencies[TargetID]),"")</f>
        <v>quest.culinary_battle.accepted</v>
      </c>
      <c r="F72" t="str">
        <f>_xlfn.XLOOKUP(tblStates[[#This Row],[StateID]],tblTargets[TargetID],tblTargets[StateType],"")</f>
        <v>MEET</v>
      </c>
      <c r="G72" t="b">
        <f>_xlfn.XLOOKUP(tblStates[[#This Row],[StateID]],tblTargets[TargetID],tblTargets[Trackable],"")</f>
        <v>1</v>
      </c>
    </row>
    <row r="73" spans="1:7">
      <c r="A73" t="s">
        <v>3474</v>
      </c>
      <c r="B73" t="str">
        <f>_xlfn.XLOOKUP(tblStates[[#This Row],[StateID]],tblTargets[TargetID],tblTargets[DisplayName],"")</f>
        <v>Meet Foodie Demon@F2</v>
      </c>
      <c r="C73" t="str">
        <f>IFERROR(_xlfn.XLOOKUP(tblStates[[#This Row],[StateID]],tblQuestObjectives[ObjectiveID],tblQuestObjectives[QuestTargetID]),_xlfn.XLOOKUP(tblStates[[#This Row],[StateID]],tblDependencies[DependencyID],tblDependencies[TargetID]))</f>
        <v>quest.once_upon_a_forest_chapter_12.finished</v>
      </c>
      <c r="D73" t="str">
        <f>IFERROR(_xlfn.XLOOKUP(tblStates[[#This Row],[StateID]],tblQuestObjectives[ObjectiveID],tblQuestObjectives[QuestTargetID]),"")</f>
        <v>quest.once_upon_a_forest_chapter_12.finished</v>
      </c>
      <c r="E73" t="str">
        <f>IFERROR(_xlfn.XLOOKUP(tblStates[[#This Row],[StateID]],tblDependencies[DependencyID],tblDependencies[TargetID]),"")</f>
        <v>quest.once_upon_a_forest_chapter_13.accepted</v>
      </c>
      <c r="F73" t="str">
        <f>_xlfn.XLOOKUP(tblStates[[#This Row],[StateID]],tblTargets[TargetID],tblTargets[StateType],"")</f>
        <v>MEET</v>
      </c>
      <c r="G73" t="b">
        <f>_xlfn.XLOOKUP(tblStates[[#This Row],[StateID]],tblTargets[TargetID],tblTargets[Trackable],"")</f>
        <v>1</v>
      </c>
    </row>
    <row r="74" spans="1:7">
      <c r="A74" t="s">
        <v>6039</v>
      </c>
      <c r="B74" t="str">
        <f>_xlfn.XLOOKUP(tblStates[[#This Row],[StateID]],tblTargets[TargetID],tblTargets[DisplayName],"")</f>
        <v>Meet Forest Fairy@F2</v>
      </c>
      <c r="C74" t="str">
        <f>IFERROR(_xlfn.XLOOKUP(tblStates[[#This Row],[StateID]],tblQuestObjectives[ObjectiveID],tblQuestObjectives[QuestTargetID]),_xlfn.XLOOKUP(tblStates[[#This Row],[StateID]],tblDependencies[DependencyID],tblDependencies[TargetID]))</f>
        <v>quest.once_upon_a_forest_chapter_6.accepted</v>
      </c>
      <c r="D74" t="str">
        <f>IFERROR(_xlfn.XLOOKUP(tblStates[[#This Row],[StateID]],tblQuestObjectives[ObjectiveID],tblQuestObjectives[QuestTargetID]),"")</f>
        <v/>
      </c>
      <c r="E74" t="str">
        <f>IFERROR(_xlfn.XLOOKUP(tblStates[[#This Row],[StateID]],tblDependencies[DependencyID],tblDependencies[TargetID]),"")</f>
        <v>quest.once_upon_a_forest_chapter_6.accepted</v>
      </c>
      <c r="F74" t="str">
        <f>_xlfn.XLOOKUP(tblStates[[#This Row],[StateID]],tblTargets[TargetID],tblTargets[StateType],"")</f>
        <v>MEET</v>
      </c>
      <c r="G74" t="b">
        <f>_xlfn.XLOOKUP(tblStates[[#This Row],[StateID]],tblTargets[TargetID],tblTargets[Trackable],"")</f>
        <v>1</v>
      </c>
    </row>
    <row r="75" spans="1:7">
      <c r="A75" t="s">
        <v>3453</v>
      </c>
      <c r="B75" t="str">
        <f>_xlfn.XLOOKUP(tblStates[[#This Row],[StateID]],tblTargets[TargetID],tblTargets[DisplayName],"")</f>
        <v>Meet Inventor@5B</v>
      </c>
      <c r="C75" t="str">
        <f>IFERROR(_xlfn.XLOOKUP(tblStates[[#This Row],[StateID]],tblQuestObjectives[ObjectiveID],tblQuestObjectives[QuestTargetID]),_xlfn.XLOOKUP(tblStates[[#This Row],[StateID]],tblDependencies[DependencyID],tblDependencies[TargetID]))</f>
        <v>quest.once_upon_a_forest_chapter_9.accepted</v>
      </c>
      <c r="D75" t="str">
        <f>IFERROR(_xlfn.XLOOKUP(tblStates[[#This Row],[StateID]],tblQuestObjectives[ObjectiveID],tblQuestObjectives[QuestTargetID]),"")</f>
        <v/>
      </c>
      <c r="E75" t="str">
        <f>IFERROR(_xlfn.XLOOKUP(tblStates[[#This Row],[StateID]],tblDependencies[DependencyID],tblDependencies[TargetID]),"")</f>
        <v>quest.once_upon_a_forest_chapter_9.accepted</v>
      </c>
      <c r="F75" t="str">
        <f>_xlfn.XLOOKUP(tblStates[[#This Row],[StateID]],tblTargets[TargetID],tblTargets[StateType],"")</f>
        <v>MEET</v>
      </c>
      <c r="G75" t="b">
        <f>_xlfn.XLOOKUP(tblStates[[#This Row],[StateID]],tblTargets[TargetID],tblTargets[Trackable],"")</f>
        <v>1</v>
      </c>
    </row>
    <row r="76" spans="1:7">
      <c r="A76" t="s">
        <v>3448</v>
      </c>
      <c r="B76" t="str">
        <f>_xlfn.XLOOKUP(tblStates[[#This Row],[StateID]],tblTargets[TargetID],tblTargets[DisplayName],"")</f>
        <v>Meet Mech Adventurer@2B</v>
      </c>
      <c r="C76" t="str">
        <f>IFERROR(_xlfn.XLOOKUP(tblStates[[#This Row],[StateID]],tblQuestObjectives[ObjectiveID],tblQuestObjectives[QuestTargetID]),_xlfn.XLOOKUP(tblStates[[#This Row],[StateID]],tblDependencies[DependencyID],tblDependencies[TargetID]))</f>
        <v>quest.once_upon_a_forest_chapter_1.accepted</v>
      </c>
      <c r="D76" t="str">
        <f>IFERROR(_xlfn.XLOOKUP(tblStates[[#This Row],[StateID]],tblQuestObjectives[ObjectiveID],tblQuestObjectives[QuestTargetID]),"")</f>
        <v/>
      </c>
      <c r="E76" t="str">
        <f>IFERROR(_xlfn.XLOOKUP(tblStates[[#This Row],[StateID]],tblDependencies[DependencyID],tblDependencies[TargetID]),"")</f>
        <v>quest.once_upon_a_forest_chapter_1.accepted</v>
      </c>
      <c r="F76" t="str">
        <f>_xlfn.XLOOKUP(tblStates[[#This Row],[StateID]],tblTargets[TargetID],tblTargets[StateType],"")</f>
        <v>MEET</v>
      </c>
      <c r="G76" t="b">
        <f>_xlfn.XLOOKUP(tblStates[[#This Row],[StateID]],tblTargets[TargetID],tblTargets[Trackable],"")</f>
        <v>1</v>
      </c>
    </row>
    <row r="77" spans="1:7">
      <c r="A77" t="s">
        <v>5755</v>
      </c>
      <c r="B77" t="str">
        <f>_xlfn.XLOOKUP(tblStates[[#This Row],[StateID]],tblTargets[TargetID],tblTargets[DisplayName],"")</f>
        <v>Meet mechanical adventurer in Dungeon 3A</v>
      </c>
      <c r="C77" t="str">
        <f>IFERROR(_xlfn.XLOOKUP(tblStates[[#This Row],[StateID]],tblQuestObjectives[ObjectiveID],tblQuestObjectives[QuestTargetID]),_xlfn.XLOOKUP(tblStates[[#This Row],[StateID]],tblDependencies[DependencyID],tblDependencies[TargetID]))</f>
        <v>quest.ahead_of_time_chapter_1.accepted</v>
      </c>
      <c r="D77" t="str">
        <f>IFERROR(_xlfn.XLOOKUP(tblStates[[#This Row],[StateID]],tblQuestObjectives[ObjectiveID],tblQuestObjectives[QuestTargetID]),"")</f>
        <v/>
      </c>
      <c r="E77" t="str">
        <f>IFERROR(_xlfn.XLOOKUP(tblStates[[#This Row],[StateID]],tblDependencies[DependencyID],tblDependencies[TargetID]),"")</f>
        <v>quest.ahead_of_time_chapter_1.accepted</v>
      </c>
      <c r="F77" t="str">
        <f>_xlfn.XLOOKUP(tblStates[[#This Row],[StateID]],tblTargets[TargetID],tblTargets[StateType],"")</f>
        <v>MEET</v>
      </c>
      <c r="G77" t="b">
        <f>_xlfn.XLOOKUP(tblStates[[#This Row],[StateID]],tblTargets[TargetID],tblTargets[Trackable],"")</f>
        <v>1</v>
      </c>
    </row>
    <row r="78" spans="1:7">
      <c r="A78" t="s">
        <v>5692</v>
      </c>
      <c r="B78" t="str">
        <f>_xlfn.XLOOKUP(tblStates[[#This Row],[StateID]],tblTargets[TargetID],tblTargets[DisplayName],"")</f>
        <v>Meet mechanical adventurer in Dungeon F1</v>
      </c>
      <c r="C78" t="str">
        <f>IFERROR(_xlfn.XLOOKUP(tblStates[[#This Row],[StateID]],tblQuestObjectives[ObjectiveID],tblQuestObjectives[QuestTargetID]),_xlfn.XLOOKUP(tblStates[[#This Row],[StateID]],tblDependencies[DependencyID],tblDependencies[TargetID]))</f>
        <v>quest.once_upon_a_forest_chapter_3.accepted</v>
      </c>
      <c r="D78" t="str">
        <f>IFERROR(_xlfn.XLOOKUP(tblStates[[#This Row],[StateID]],tblQuestObjectives[ObjectiveID],tblQuestObjectives[QuestTargetID]),"")</f>
        <v/>
      </c>
      <c r="E78" t="str">
        <f>IFERROR(_xlfn.XLOOKUP(tblStates[[#This Row],[StateID]],tblDependencies[DependencyID],tblDependencies[TargetID]),"")</f>
        <v>quest.once_upon_a_forest_chapter_3.accepted</v>
      </c>
      <c r="F78" t="str">
        <f>_xlfn.XLOOKUP(tblStates[[#This Row],[StateID]],tblTargets[TargetID],tblTargets[StateType],"")</f>
        <v>MEET</v>
      </c>
      <c r="G78" t="b">
        <f>_xlfn.XLOOKUP(tblStates[[#This Row],[StateID]],tblTargets[TargetID],tblTargets[Trackable],"")</f>
        <v>1</v>
      </c>
    </row>
    <row r="79" spans="1:7">
      <c r="A79" t="s">
        <v>3489</v>
      </c>
      <c r="B79" t="str">
        <f>_xlfn.XLOOKUP(tblStates[[#This Row],[StateID]],tblTargets[TargetID],tblTargets[DisplayName],"")</f>
        <v>Meet Methusalem@F3</v>
      </c>
      <c r="C79" t="str">
        <f>IFERROR(_xlfn.XLOOKUP(tblStates[[#This Row],[StateID]],tblQuestObjectives[ObjectiveID],tblQuestObjectives[QuestTargetID]),_xlfn.XLOOKUP(tblStates[[#This Row],[StateID]],tblDependencies[DependencyID],tblDependencies[TargetID]))</f>
        <v>quest.the_ordinary_days_of_an_adventurer_chapter_1.accepted</v>
      </c>
      <c r="D79" t="str">
        <f>IFERROR(_xlfn.XLOOKUP(tblStates[[#This Row],[StateID]],tblQuestObjectives[ObjectiveID],tblQuestObjectives[QuestTargetID]),"")</f>
        <v/>
      </c>
      <c r="E79" t="str">
        <f>IFERROR(_xlfn.XLOOKUP(tblStates[[#This Row],[StateID]],tblDependencies[DependencyID],tblDependencies[TargetID]),"")</f>
        <v>quest.the_ordinary_days_of_an_adventurer_chapter_1.accepted</v>
      </c>
      <c r="F79" t="str">
        <f>_xlfn.XLOOKUP(tblStates[[#This Row],[StateID]],tblTargets[TargetID],tblTargets[StateType],"")</f>
        <v>MEET</v>
      </c>
      <c r="G79" t="b">
        <f>_xlfn.XLOOKUP(tblStates[[#This Row],[StateID]],tblTargets[TargetID],tblTargets[Trackable],"")</f>
        <v>1</v>
      </c>
    </row>
    <row r="80" spans="1:7">
      <c r="A80" t="s">
        <v>3471</v>
      </c>
      <c r="B80" t="str">
        <f>_xlfn.XLOOKUP(tblStates[[#This Row],[StateID]],tblTargets[TargetID],tblTargets[DisplayName],"")</f>
        <v>Meet Mr Diligence@F1</v>
      </c>
      <c r="C80" t="str">
        <f>IFERROR(_xlfn.XLOOKUP(tblStates[[#This Row],[StateID]],tblQuestObjectives[ObjectiveID],tblQuestObjectives[QuestTargetID]),_xlfn.XLOOKUP(tblStates[[#This Row],[StateID]],tblDependencies[DependencyID],tblDependencies[TargetID]))</f>
        <v>quest.once_upon_a_forest_chapter_12.accepted</v>
      </c>
      <c r="D80" t="str">
        <f>IFERROR(_xlfn.XLOOKUP(tblStates[[#This Row],[StateID]],tblQuestObjectives[ObjectiveID],tblQuestObjectives[QuestTargetID]),"")</f>
        <v/>
      </c>
      <c r="E80" t="str">
        <f>IFERROR(_xlfn.XLOOKUP(tblStates[[#This Row],[StateID]],tblDependencies[DependencyID],tblDependencies[TargetID]),"")</f>
        <v>quest.once_upon_a_forest_chapter_12.accepted</v>
      </c>
      <c r="F80" t="str">
        <f>_xlfn.XLOOKUP(tblStates[[#This Row],[StateID]],tblTargets[TargetID],tblTargets[StateType],"")</f>
        <v>MEET</v>
      </c>
      <c r="G80" t="b">
        <f>_xlfn.XLOOKUP(tblStates[[#This Row],[StateID]],tblTargets[TargetID],tblTargets[Trackable],"")</f>
        <v>1</v>
      </c>
    </row>
    <row r="81" spans="1:7">
      <c r="A81" t="s">
        <v>3456</v>
      </c>
      <c r="B81" t="str">
        <f>_xlfn.XLOOKUP(tblStates[[#This Row],[StateID]],tblTargets[TargetID],tblTargets[DisplayName],"")</f>
        <v>Meet Mrs Diligance@F2</v>
      </c>
      <c r="C81" t="str">
        <f>IFERROR(_xlfn.XLOOKUP(tblStates[[#This Row],[StateID]],tblQuestObjectives[ObjectiveID],tblQuestObjectives[QuestTargetID]),_xlfn.XLOOKUP(tblStates[[#This Row],[StateID]],tblDependencies[DependencyID],tblDependencies[TargetID]))</f>
        <v>quest.once_upon_a_forest_chapter_5.accepted</v>
      </c>
      <c r="D81" t="str">
        <f>IFERROR(_xlfn.XLOOKUP(tblStates[[#This Row],[StateID]],tblQuestObjectives[ObjectiveID],tblQuestObjectives[QuestTargetID]),"")</f>
        <v/>
      </c>
      <c r="E81" t="str">
        <f>IFERROR(_xlfn.XLOOKUP(tblStates[[#This Row],[StateID]],tblDependencies[DependencyID],tblDependencies[TargetID]),"")</f>
        <v>quest.once_upon_a_forest_chapter_5.accepted</v>
      </c>
      <c r="F81" t="str">
        <f>_xlfn.XLOOKUP(tblStates[[#This Row],[StateID]],tblTargets[TargetID],tblTargets[StateType],"")</f>
        <v>MEET</v>
      </c>
      <c r="G81" t="b">
        <f>_xlfn.XLOOKUP(tblStates[[#This Row],[StateID]],tblTargets[TargetID],tblTargets[Trackable],"")</f>
        <v>1</v>
      </c>
    </row>
    <row r="82" spans="1:7">
      <c r="A82" t="s">
        <v>3440</v>
      </c>
      <c r="B82" t="str">
        <f>_xlfn.XLOOKUP(tblStates[[#This Row],[StateID]],tblTargets[TargetID],tblTargets[DisplayName],"")</f>
        <v>Meet Old Man@4C</v>
      </c>
      <c r="C82" t="str">
        <f>IFERROR(_xlfn.XLOOKUP(tblStates[[#This Row],[StateID]],tblQuestObjectives[ObjectiveID],tblQuestObjectives[QuestTargetID]),_xlfn.XLOOKUP(tblStates[[#This Row],[StateID]],tblDependencies[DependencyID],tblDependencies[TargetID]))</f>
        <v>quest.dragon_teeth.accepted</v>
      </c>
      <c r="D82" t="str">
        <f>IFERROR(_xlfn.XLOOKUP(tblStates[[#This Row],[StateID]],tblQuestObjectives[ObjectiveID],tblQuestObjectives[QuestTargetID]),"")</f>
        <v/>
      </c>
      <c r="E82" t="str">
        <f>IFERROR(_xlfn.XLOOKUP(tblStates[[#This Row],[StateID]],tblDependencies[DependencyID],tblDependencies[TargetID]),"")</f>
        <v>quest.dragon_teeth.accepted</v>
      </c>
      <c r="F82" t="str">
        <f>_xlfn.XLOOKUP(tblStates[[#This Row],[StateID]],tblTargets[TargetID],tblTargets[StateType],"")</f>
        <v>MEET</v>
      </c>
      <c r="G82" t="b">
        <f>_xlfn.XLOOKUP(tblStates[[#This Row],[StateID]],tblTargets[TargetID],tblTargets[Trackable],"")</f>
        <v>1</v>
      </c>
    </row>
    <row r="83" spans="1:7">
      <c r="A83" t="s">
        <v>3468</v>
      </c>
      <c r="B83" t="str">
        <f>_xlfn.XLOOKUP(tblStates[[#This Row],[StateID]],tblTargets[TargetID],tblTargets[DisplayName],"")</f>
        <v>Meet Pilot@F3</v>
      </c>
      <c r="C83" t="str">
        <f>IFERROR(_xlfn.XLOOKUP(tblStates[[#This Row],[StateID]],tblQuestObjectives[ObjectiveID],tblQuestObjectives[QuestTargetID]),_xlfn.XLOOKUP(tblStates[[#This Row],[StateID]],tblDependencies[DependencyID],tblDependencies[TargetID]))</f>
        <v>quest.once_upon_a_forest_chapter_11.accepted</v>
      </c>
      <c r="D83" t="str">
        <f>IFERROR(_xlfn.XLOOKUP(tblStates[[#This Row],[StateID]],tblQuestObjectives[ObjectiveID],tblQuestObjectives[QuestTargetID]),"")</f>
        <v/>
      </c>
      <c r="E83" t="str">
        <f>IFERROR(_xlfn.XLOOKUP(tblStates[[#This Row],[StateID]],tblDependencies[DependencyID],tblDependencies[TargetID]),"")</f>
        <v>quest.once_upon_a_forest_chapter_11.accepted</v>
      </c>
      <c r="F83" t="str">
        <f>_xlfn.XLOOKUP(tblStates[[#This Row],[StateID]],tblTargets[TargetID],tblTargets[StateType],"")</f>
        <v>MEET</v>
      </c>
      <c r="G83" t="b">
        <f>_xlfn.XLOOKUP(tblStates[[#This Row],[StateID]],tblTargets[TargetID],tblTargets[Trackable],"")</f>
        <v>1</v>
      </c>
    </row>
    <row r="84" spans="1:7">
      <c r="A84" t="s">
        <v>3508</v>
      </c>
      <c r="B84" t="str">
        <f>_xlfn.XLOOKUP(tblStates[[#This Row],[StateID]],tblTargets[TargetID],tblTargets[DisplayName],"")</f>
        <v>Meet Pirate Skeleton@3A</v>
      </c>
      <c r="C84" t="str">
        <f>IFERROR(_xlfn.XLOOKUP(tblStates[[#This Row],[StateID]],tblQuestObjectives[ObjectiveID],tblQuestObjectives[QuestTargetID]),_xlfn.XLOOKUP(tblStates[[#This Row],[StateID]],tblDependencies[DependencyID],tblDependencies[TargetID]))</f>
        <v>quest.treasure_island.accepted</v>
      </c>
      <c r="D84" t="str">
        <f>IFERROR(_xlfn.XLOOKUP(tblStates[[#This Row],[StateID]],tblQuestObjectives[ObjectiveID],tblQuestObjectives[QuestTargetID]),"")</f>
        <v/>
      </c>
      <c r="E84" t="str">
        <f>IFERROR(_xlfn.XLOOKUP(tblStates[[#This Row],[StateID]],tblDependencies[DependencyID],tblDependencies[TargetID]),"")</f>
        <v>quest.treasure_island.accepted</v>
      </c>
      <c r="F84" t="str">
        <f>_xlfn.XLOOKUP(tblStates[[#This Row],[StateID]],tblTargets[TargetID],tblTargets[StateType],"")</f>
        <v>MEET</v>
      </c>
      <c r="G84" t="b">
        <f>_xlfn.XLOOKUP(tblStates[[#This Row],[StateID]],tblTargets[TargetID],tblTargets[Trackable],"")</f>
        <v>1</v>
      </c>
    </row>
    <row r="85" spans="1:7">
      <c r="A85" t="s">
        <v>6104</v>
      </c>
      <c r="B85" t="str">
        <f>_xlfn.XLOOKUP(tblStates[[#This Row],[StateID]],tblTargets[TargetID],tblTargets[DisplayName],"")</f>
        <v>Meet Raven@F1</v>
      </c>
      <c r="C85" t="str">
        <f>IFERROR(_xlfn.XLOOKUP(tblStates[[#This Row],[StateID]],tblQuestObjectives[ObjectiveID],tblQuestObjectives[QuestTargetID]),_xlfn.XLOOKUP(tblStates[[#This Row],[StateID]],tblDependencies[DependencyID],tblDependencies[TargetID]))</f>
        <v>quest.once_upon_a_forest_chapter_15.accepted</v>
      </c>
      <c r="D85" t="str">
        <f>IFERROR(_xlfn.XLOOKUP(tblStates[[#This Row],[StateID]],tblQuestObjectives[ObjectiveID],tblQuestObjectives[QuestTargetID]),"")</f>
        <v/>
      </c>
      <c r="E85" t="str">
        <f>IFERROR(_xlfn.XLOOKUP(tblStates[[#This Row],[StateID]],tblDependencies[DependencyID],tblDependencies[TargetID]),"")</f>
        <v>quest.once_upon_a_forest_chapter_15.accepted</v>
      </c>
      <c r="F85" t="str">
        <f>_xlfn.XLOOKUP(tblStates[[#This Row],[StateID]],tblTargets[TargetID],tblTargets[StateType],"")</f>
        <v>MEET</v>
      </c>
      <c r="G85" t="b">
        <v>1</v>
      </c>
    </row>
    <row r="86" spans="1:7">
      <c r="A86" t="s">
        <v>6040</v>
      </c>
      <c r="B86" t="str">
        <f>_xlfn.XLOOKUP(tblStates[[#This Row],[StateID]],tblTargets[TargetID],tblTargets[DisplayName],"")</f>
        <v>Meet Raven @F1 on first entrance</v>
      </c>
      <c r="C86" t="str">
        <f>IFERROR(_xlfn.XLOOKUP(tblStates[[#This Row],[StateID]],tblQuestObjectives[ObjectiveID],tblQuestObjectives[QuestTargetID]),_xlfn.XLOOKUP(tblStates[[#This Row],[StateID]],tblDependencies[DependencyID],tblDependencies[TargetID]))</f>
        <v>quest.once_upon_a_forest_chapter_2.accepted</v>
      </c>
      <c r="D86" t="str">
        <f>IFERROR(_xlfn.XLOOKUP(tblStates[[#This Row],[StateID]],tblQuestObjectives[ObjectiveID],tblQuestObjectives[QuestTargetID]),"")</f>
        <v/>
      </c>
      <c r="E86" t="str">
        <f>IFERROR(_xlfn.XLOOKUP(tblStates[[#This Row],[StateID]],tblDependencies[DependencyID],tblDependencies[TargetID]),"")</f>
        <v>quest.once_upon_a_forest_chapter_2.accepted</v>
      </c>
      <c r="F86" t="str">
        <f>_xlfn.XLOOKUP(tblStates[[#This Row],[StateID]],tblTargets[TargetID],tblTargets[StateType],"")</f>
        <v>MEET</v>
      </c>
    </row>
    <row r="87" spans="1:7">
      <c r="A87" t="s">
        <v>5920</v>
      </c>
      <c r="B87" t="str">
        <f>_xlfn.XLOOKUP(tblStates[[#This Row],[StateID]],tblTargets[TargetID],tblTargets[DisplayName],"")</f>
        <v>Meet the raven in F2</v>
      </c>
      <c r="C87" t="str">
        <f>IFERROR(_xlfn.XLOOKUP(tblStates[[#This Row],[StateID]],tblQuestObjectives[ObjectiveID],tblQuestObjectives[QuestTargetID]),_xlfn.XLOOKUP(tblStates[[#This Row],[StateID]],tblDependencies[DependencyID],tblDependencies[TargetID]))</f>
        <v>quest.once_upon_a_forest_chapter_15.finished</v>
      </c>
      <c r="D87" t="str">
        <f>IFERROR(_xlfn.XLOOKUP(tblStates[[#This Row],[StateID]],tblQuestObjectives[ObjectiveID],tblQuestObjectives[QuestTargetID]),"")</f>
        <v>quest.once_upon_a_forest_chapter_15.finished</v>
      </c>
      <c r="E87" t="str">
        <f>IFERROR(_xlfn.XLOOKUP(tblStates[[#This Row],[StateID]],tblDependencies[DependencyID],tblDependencies[TargetID]),"")</f>
        <v/>
      </c>
      <c r="F87" t="str">
        <f>_xlfn.XLOOKUP(tblStates[[#This Row],[StateID]],tblTargets[TargetID],tblTargets[StateType],"")</f>
        <v>MEET</v>
      </c>
      <c r="G87" t="b">
        <v>1</v>
      </c>
    </row>
    <row r="88" spans="1:7">
      <c r="A88" t="s">
        <v>3463</v>
      </c>
      <c r="B88" t="str">
        <f>_xlfn.XLOOKUP(tblStates[[#This Row],[StateID]],tblTargets[TargetID],tblTargets[DisplayName],"")</f>
        <v>Meet Raven@F3</v>
      </c>
      <c r="C88" t="str">
        <f>IFERROR(_xlfn.XLOOKUP(tblStates[[#This Row],[StateID]],tblQuestObjectives[ObjectiveID],tblQuestObjectives[QuestTargetID]),_xlfn.XLOOKUP(tblStates[[#This Row],[StateID]],tblDependencies[DependencyID],tblDependencies[TargetID]))</f>
        <v>quest.once_upon_a_forest_chapter_8.accepted</v>
      </c>
      <c r="D88" t="str">
        <f>IFERROR(_xlfn.XLOOKUP(tblStates[[#This Row],[StateID]],tblQuestObjectives[ObjectiveID],tblQuestObjectives[QuestTargetID]),"")</f>
        <v/>
      </c>
      <c r="E88" t="str">
        <f>IFERROR(_xlfn.XLOOKUP(tblStates[[#This Row],[StateID]],tblDependencies[DependencyID],tblDependencies[TargetID]),"")</f>
        <v>quest.once_upon_a_forest_chapter_8.accepted</v>
      </c>
      <c r="F88" t="str">
        <f>_xlfn.XLOOKUP(tblStates[[#This Row],[StateID]],tblTargets[TargetID],tblTargets[StateType],"")</f>
        <v>MEET</v>
      </c>
      <c r="G88" t="b">
        <v>1</v>
      </c>
    </row>
    <row r="89" spans="1:7">
      <c r="A89" t="s">
        <v>3491</v>
      </c>
      <c r="B89" t="str">
        <f>_xlfn.XLOOKUP(tblStates[[#This Row],[StateID]],tblTargets[TargetID],tblTargets[DisplayName],"")</f>
        <v>Meet Samurai Panda@6A</v>
      </c>
      <c r="C89" t="str">
        <f>IFERROR(_xlfn.XLOOKUP(tblStates[[#This Row],[StateID]],tblQuestObjectives[ObjectiveID],tblQuestObjectives[QuestTargetID]),_xlfn.XLOOKUP(tblStates[[#This Row],[StateID]],tblDependencies[DependencyID],tblDependencies[TargetID]))</f>
        <v>quest.the_ordinary_days_of_an_adventurer_chapter_2.accepted</v>
      </c>
      <c r="D89" t="str">
        <f>IFERROR(_xlfn.XLOOKUP(tblStates[[#This Row],[StateID]],tblQuestObjectives[ObjectiveID],tblQuestObjectives[QuestTargetID]),"")</f>
        <v/>
      </c>
      <c r="E89" t="str">
        <f>IFERROR(_xlfn.XLOOKUP(tblStates[[#This Row],[StateID]],tblDependencies[DependencyID],tblDependencies[TargetID]),"")</f>
        <v>quest.the_ordinary_days_of_an_adventurer_chapter_2.accepted</v>
      </c>
      <c r="F89" t="str">
        <f>_xlfn.XLOOKUP(tblStates[[#This Row],[StateID]],tblTargets[TargetID],tblTargets[StateType],"")</f>
        <v>MEET</v>
      </c>
      <c r="G89" t="b">
        <v>1</v>
      </c>
    </row>
    <row r="90" spans="1:7">
      <c r="A90" t="s">
        <v>5756</v>
      </c>
      <c r="B90" t="str">
        <f>_xlfn.XLOOKUP(tblStates[[#This Row],[StateID]],tblTargets[TargetID],tblTargets[DisplayName],"")</f>
        <v>Meet Traveling Merchant @1B</v>
      </c>
      <c r="C90" t="str">
        <f>IFERROR(_xlfn.XLOOKUP(tblStates[[#This Row],[StateID]],tblQuestObjectives[ObjectiveID],tblQuestObjectives[QuestTargetID]),_xlfn.XLOOKUP(tblStates[[#This Row],[StateID]],tblDependencies[DependencyID],tblDependencies[TargetID]))</f>
        <v>quest.green_potion.accepted</v>
      </c>
      <c r="D90" t="str">
        <f>IFERROR(_xlfn.XLOOKUP(tblStates[[#This Row],[StateID]],tblQuestObjectives[ObjectiveID],tblQuestObjectives[QuestTargetID]),"")</f>
        <v/>
      </c>
      <c r="E90" t="str">
        <f>IFERROR(_xlfn.XLOOKUP(tblStates[[#This Row],[StateID]],tblDependencies[DependencyID],tblDependencies[TargetID]),"")</f>
        <v>quest.green_potion.accepted</v>
      </c>
      <c r="F90" t="str">
        <f>_xlfn.XLOOKUP(tblStates[[#This Row],[StateID]],tblTargets[TargetID],tblTargets[StateType],"")</f>
        <v>MEET</v>
      </c>
      <c r="G90" t="b">
        <v>1</v>
      </c>
    </row>
    <row r="91" spans="1:7">
      <c r="A91" t="s">
        <v>5691</v>
      </c>
      <c r="B91" t="str">
        <f>_xlfn.XLOOKUP(tblStates[[#This Row],[StateID]],tblTargets[TargetID],tblTargets[DisplayName],"")</f>
        <v>Obtain 8 MALU</v>
      </c>
      <c r="C91" t="str">
        <f>IFERROR(_xlfn.XLOOKUP(tblStates[[#This Row],[StateID]],tblQuestObjectives[ObjectiveID],tblQuestObjectives[QuestTargetID]),_xlfn.XLOOKUP(tblStates[[#This Row],[StateID]],tblDependencies[DependencyID],tblDependencies[TargetID]))</f>
        <v>quest.once_upon_a_forest_chapter_3.finished</v>
      </c>
      <c r="D91" t="str">
        <f>IFERROR(_xlfn.XLOOKUP(tblStates[[#This Row],[StateID]],tblQuestObjectives[ObjectiveID],tblQuestObjectives[QuestTargetID]),"")</f>
        <v>quest.once_upon_a_forest_chapter_3.finished</v>
      </c>
      <c r="E91" t="str">
        <f>IFERROR(_xlfn.XLOOKUP(tblStates[[#This Row],[StateID]],tblDependencies[DependencyID],tblDependencies[TargetID]),"")</f>
        <v/>
      </c>
      <c r="F91" t="str">
        <f>_xlfn.XLOOKUP(tblStates[[#This Row],[StateID]],tblTargets[TargetID],tblTargets[StateType],"")</f>
        <v>OBTAIN</v>
      </c>
      <c r="G91" t="b">
        <v>1</v>
      </c>
    </row>
    <row r="92" spans="1:7">
      <c r="A92" t="s">
        <v>5712</v>
      </c>
      <c r="B92" t="str">
        <f>_xlfn.XLOOKUP(tblStates[[#This Row],[StateID]],tblTargets[TargetID],tblTargets[DisplayName],"")</f>
        <v>Obtain all emerald shards</v>
      </c>
      <c r="C92" t="str">
        <f>IFERROR(_xlfn.XLOOKUP(tblStates[[#This Row],[StateID]],tblQuestObjectives[ObjectiveID],tblQuestObjectives[QuestTargetID]),_xlfn.XLOOKUP(tblStates[[#This Row],[StateID]],tblDependencies[DependencyID],tblDependencies[TargetID]))</f>
        <v>quest.quest_for_knowledge_chapter_3.finished</v>
      </c>
      <c r="D92" t="str">
        <f>IFERROR(_xlfn.XLOOKUP(tblStates[[#This Row],[StateID]],tblQuestObjectives[ObjectiveID],tblQuestObjectives[QuestTargetID]),"")</f>
        <v>quest.quest_for_knowledge_chapter_3.finished</v>
      </c>
      <c r="E92" t="str">
        <f>IFERROR(_xlfn.XLOOKUP(tblStates[[#This Row],[StateID]],tblDependencies[DependencyID],tblDependencies[TargetID]),"")</f>
        <v/>
      </c>
      <c r="F92" t="str">
        <f>_xlfn.XLOOKUP(tblStates[[#This Row],[StateID]],tblTargets[TargetID],tblTargets[StateType],"")</f>
        <v>OBTAIN</v>
      </c>
      <c r="G92" t="b">
        <v>1</v>
      </c>
    </row>
    <row r="93" spans="1:7">
      <c r="A93" t="s">
        <v>3479</v>
      </c>
      <c r="B93" t="str">
        <f>_xlfn.XLOOKUP(tblStates[[#This Row],[StateID]],tblTargets[TargetID],tblTargets[DisplayName],"")</f>
        <v>Obtain Any Artifact</v>
      </c>
      <c r="C93" t="str">
        <f>IFERROR(_xlfn.XLOOKUP(tblStates[[#This Row],[StateID]],tblQuestObjectives[ObjectiveID],tblQuestObjectives[QuestTargetID]),_xlfn.XLOOKUP(tblStates[[#This Row],[StateID]],tblDependencies[DependencyID],tblDependencies[TargetID]))</f>
        <v>quest.shoguns_katana_chapter_1.accepted</v>
      </c>
      <c r="D93" t="str">
        <f>IFERROR(_xlfn.XLOOKUP(tblStates[[#This Row],[StateID]],tblQuestObjectives[ObjectiveID],tblQuestObjectives[QuestTargetID]),"")</f>
        <v/>
      </c>
      <c r="E93" t="str">
        <f>IFERROR(_xlfn.XLOOKUP(tblStates[[#This Row],[StateID]],tblDependencies[DependencyID],tblDependencies[TargetID]),"")</f>
        <v>quest.shoguns_katana_chapter_1.accepted</v>
      </c>
      <c r="F93" t="str">
        <f>_xlfn.XLOOKUP(tblStates[[#This Row],[StateID]],tblTargets[TargetID],tblTargets[StateType],"")</f>
        <v>OBTAIN</v>
      </c>
      <c r="G93" t="b">
        <v>1</v>
      </c>
    </row>
    <row r="94" spans="1:7">
      <c r="A94" t="s">
        <v>5780</v>
      </c>
      <c r="B94" t="str">
        <f>_xlfn.XLOOKUP(tblStates[[#This Row],[StateID]],tblTargets[TargetID],tblTargets[DisplayName],"")</f>
        <v>Craft Armor 4</v>
      </c>
      <c r="C94" t="str">
        <f>IFERROR(_xlfn.XLOOKUP(tblStates[[#This Row],[StateID]],tblQuestObjectives[ObjectiveID],tblQuestObjectives[QuestTargetID]),_xlfn.XLOOKUP(tblStates[[#This Row],[StateID]],tblDependencies[DependencyID],tblDependencies[TargetID]))</f>
        <v>quest.once_upon_a_forest_chapter_9.finished</v>
      </c>
      <c r="D94" t="str">
        <f>IFERROR(_xlfn.XLOOKUP(tblStates[[#This Row],[StateID]],tblQuestObjectives[ObjectiveID],tblQuestObjectives[QuestTargetID]),"")</f>
        <v>quest.once_upon_a_forest_chapter_9.finished</v>
      </c>
      <c r="E94" t="str">
        <f>IFERROR(_xlfn.XLOOKUP(tblStates[[#This Row],[StateID]],tblDependencies[DependencyID],tblDependencies[TargetID]),"")</f>
        <v/>
      </c>
      <c r="F94" t="str">
        <f>_xlfn.XLOOKUP(tblStates[[#This Row],[StateID]],tblTargets[TargetID],tblTargets[StateType],"")</f>
        <v>OBTAIN</v>
      </c>
      <c r="G94" t="b">
        <v>1</v>
      </c>
    </row>
    <row r="95" spans="1:7">
      <c r="A95" t="s">
        <v>5679</v>
      </c>
      <c r="B95" t="str">
        <f>_xlfn.XLOOKUP(tblStates[[#This Row],[StateID]],tblTargets[TargetID],tblTargets[DisplayName],"")</f>
        <v>Craft Armor 4+</v>
      </c>
      <c r="C95" t="str">
        <f>IFERROR(_xlfn.XLOOKUP(tblStates[[#This Row],[StateID]],tblQuestObjectives[ObjectiveID],tblQuestObjectives[QuestTargetID]),_xlfn.XLOOKUP(tblStates[[#This Row],[StateID]],tblDependencies[DependencyID],tblDependencies[TargetID]))</f>
        <v>quest.the_ordinary_days_of_an_adventurer_chapter_4.finished</v>
      </c>
      <c r="D95" t="str">
        <f>IFERROR(_xlfn.XLOOKUP(tblStates[[#This Row],[StateID]],tblQuestObjectives[ObjectiveID],tblQuestObjectives[QuestTargetID]),"")</f>
        <v>quest.the_ordinary_days_of_an_adventurer_chapter_4.finished</v>
      </c>
      <c r="E95" t="str">
        <f>IFERROR(_xlfn.XLOOKUP(tblStates[[#This Row],[StateID]],tblDependencies[DependencyID],tblDependencies[TargetID]),"")</f>
        <v/>
      </c>
      <c r="F95" t="str">
        <f>_xlfn.XLOOKUP(tblStates[[#This Row],[StateID]],tblTargets[TargetID],tblTargets[StateType],"")</f>
        <v>OBTAIN</v>
      </c>
      <c r="G95" t="b">
        <v>1</v>
      </c>
    </row>
    <row r="96" spans="1:7">
      <c r="A96" t="s">
        <v>5641</v>
      </c>
      <c r="B96" t="str">
        <f>_xlfn.XLOOKUP(tblStates[[#This Row],[StateID]],tblTargets[TargetID],tblTargets[DisplayName],"")</f>
        <v>Obtain Blueprint</v>
      </c>
      <c r="C96" t="str">
        <f>IFERROR(_xlfn.XLOOKUP(tblStates[[#This Row],[StateID]],tblQuestObjectives[ObjectiveID],tblQuestObjectives[QuestTargetID]),_xlfn.XLOOKUP(tblStates[[#This Row],[StateID]],tblDependencies[DependencyID],tblDependencies[TargetID]))</f>
        <v>quest.journey_through_japan_by_train.finished</v>
      </c>
      <c r="D96" t="str">
        <f>IFERROR(_xlfn.XLOOKUP(tblStates[[#This Row],[StateID]],tblQuestObjectives[ObjectiveID],tblQuestObjectives[QuestTargetID]),"")</f>
        <v>quest.journey_through_japan_by_train.finished</v>
      </c>
      <c r="E96" t="str">
        <f>IFERROR(_xlfn.XLOOKUP(tblStates[[#This Row],[StateID]],tblDependencies[DependencyID],tblDependencies[TargetID]),"")</f>
        <v/>
      </c>
      <c r="F96" t="str">
        <f>_xlfn.XLOOKUP(tblStates[[#This Row],[StateID]],tblTargets[TargetID],tblTargets[StateType],"")</f>
        <v>OBTAIN</v>
      </c>
      <c r="G96" t="b">
        <v>1</v>
      </c>
    </row>
    <row r="97" spans="1:7">
      <c r="A97" t="s">
        <v>5700</v>
      </c>
      <c r="B97" t="str">
        <f>_xlfn.XLOOKUP(tblStates[[#This Row],[StateID]],tblTargets[TargetID],tblTargets[DisplayName],"")</f>
        <v>Obtain Hide</v>
      </c>
      <c r="C97" t="str">
        <f>IFERROR(_xlfn.XLOOKUP(tblStates[[#This Row],[StateID]],tblQuestObjectives[ObjectiveID],tblQuestObjectives[QuestTargetID]),_xlfn.XLOOKUP(tblStates[[#This Row],[StateID]],tblDependencies[DependencyID],tblDependencies[TargetID]))</f>
        <v>quest.once_upon_a_forest_chapter_9.finished</v>
      </c>
      <c r="D97" t="str">
        <f>IFERROR(_xlfn.XLOOKUP(tblStates[[#This Row],[StateID]],tblQuestObjectives[ObjectiveID],tblQuestObjectives[QuestTargetID]),"")</f>
        <v>quest.once_upon_a_forest_chapter_9.finished</v>
      </c>
      <c r="E97" t="str">
        <f>IFERROR(_xlfn.XLOOKUP(tblStates[[#This Row],[StateID]],tblDependencies[DependencyID],tblDependencies[TargetID]),"")</f>
        <v/>
      </c>
      <c r="F97" t="str">
        <f>_xlfn.XLOOKUP(tblStates[[#This Row],[StateID]],tblTargets[TargetID],tblTargets[StateType],"")</f>
        <v>OBTAIN</v>
      </c>
      <c r="G97" t="b">
        <v>1</v>
      </c>
    </row>
    <row r="98" spans="1:7">
      <c r="A98" t="s">
        <v>5720</v>
      </c>
      <c r="B98" t="str">
        <f>_xlfn.XLOOKUP(tblStates[[#This Row],[StateID]],tblTargets[TargetID],tblTargets[DisplayName],"")</f>
        <v>Obtain level 2 artifact</v>
      </c>
      <c r="C98" t="str">
        <f>IFERROR(_xlfn.XLOOKUP(tblStates[[#This Row],[StateID]],tblQuestObjectives[ObjectiveID],tblQuestObjectives[QuestTargetID]),_xlfn.XLOOKUP(tblStates[[#This Row],[StateID]],tblDependencies[DependencyID],tblDependencies[TargetID]))</f>
        <v>quest.shoguns_katana_chapter_1.finished</v>
      </c>
      <c r="D98" t="str">
        <f>IFERROR(_xlfn.XLOOKUP(tblStates[[#This Row],[StateID]],tblQuestObjectives[ObjectiveID],tblQuestObjectives[QuestTargetID]),"")</f>
        <v>quest.shoguns_katana_chapter_1.finished</v>
      </c>
      <c r="E98" t="str">
        <f>IFERROR(_xlfn.XLOOKUP(tblStates[[#This Row],[StateID]],tblDependencies[DependencyID],tblDependencies[TargetID]),"")</f>
        <v/>
      </c>
      <c r="F98" t="str">
        <f>_xlfn.XLOOKUP(tblStates[[#This Row],[StateID]],tblTargets[TargetID],tblTargets[StateType],"")</f>
        <v>OBTAIN</v>
      </c>
      <c r="G98" t="b">
        <v>1</v>
      </c>
    </row>
    <row r="99" spans="1:7">
      <c r="A99" t="s">
        <v>5719</v>
      </c>
      <c r="B99" t="str">
        <f>_xlfn.XLOOKUP(tblStates[[#This Row],[StateID]],tblTargets[TargetID],tblTargets[DisplayName],"")</f>
        <v>Craft level 2 map</v>
      </c>
      <c r="C99" t="str">
        <f>IFERROR(_xlfn.XLOOKUP(tblStates[[#This Row],[StateID]],tblQuestObjectives[ObjectiveID],tblQuestObjectives[QuestTargetID]),_xlfn.XLOOKUP(tblStates[[#This Row],[StateID]],tblDependencies[DependencyID],tblDependencies[TargetID]))</f>
        <v>quest.shoguns_katana_chapter_1.finished</v>
      </c>
      <c r="D99" t="str">
        <f>IFERROR(_xlfn.XLOOKUP(tblStates[[#This Row],[StateID]],tblQuestObjectives[ObjectiveID],tblQuestObjectives[QuestTargetID]),"")</f>
        <v>quest.shoguns_katana_chapter_1.finished</v>
      </c>
      <c r="E99" t="str">
        <f>IFERROR(_xlfn.XLOOKUP(tblStates[[#This Row],[StateID]],tblDependencies[DependencyID],tblDependencies[TargetID]),"")</f>
        <v/>
      </c>
      <c r="F99" t="str">
        <f>_xlfn.XLOOKUP(tblStates[[#This Row],[StateID]],tblTargets[TargetID],tblTargets[StateType],"")</f>
        <v>OBTAIN</v>
      </c>
      <c r="G99" t="b">
        <v>1</v>
      </c>
    </row>
    <row r="100" spans="1:7">
      <c r="A100" t="s">
        <v>5721</v>
      </c>
      <c r="B100" t="str">
        <f>_xlfn.XLOOKUP(tblStates[[#This Row],[StateID]],tblTargets[TargetID],tblTargets[DisplayName],"")</f>
        <v>Obtain level 3 artifact</v>
      </c>
      <c r="C100" t="str">
        <f>IFERROR(_xlfn.XLOOKUP(tblStates[[#This Row],[StateID]],tblQuestObjectives[ObjectiveID],tblQuestObjectives[QuestTargetID]),_xlfn.XLOOKUP(tblStates[[#This Row],[StateID]],tblDependencies[DependencyID],tblDependencies[TargetID]))</f>
        <v>quest.shoguns_katana_chapter_2.finished</v>
      </c>
      <c r="D100" t="str">
        <f>IFERROR(_xlfn.XLOOKUP(tblStates[[#This Row],[StateID]],tblQuestObjectives[ObjectiveID],tblQuestObjectives[QuestTargetID]),"")</f>
        <v>quest.shoguns_katana_chapter_2.finished</v>
      </c>
      <c r="E100" t="str">
        <f>IFERROR(_xlfn.XLOOKUP(tblStates[[#This Row],[StateID]],tblDependencies[DependencyID],tblDependencies[TargetID]),"")</f>
        <v/>
      </c>
      <c r="F100" t="str">
        <f>_xlfn.XLOOKUP(tblStates[[#This Row],[StateID]],tblTargets[TargetID],tblTargets[StateType],"")</f>
        <v>OBTAIN</v>
      </c>
      <c r="G100" t="b">
        <v>1</v>
      </c>
    </row>
    <row r="101" spans="1:7">
      <c r="A101" t="s">
        <v>6038</v>
      </c>
      <c r="B101" t="str">
        <f>_xlfn.XLOOKUP(tblStates[[#This Row],[StateID]],tblTargets[TargetID],tblTargets[DisplayName],"")</f>
        <v>Map Catacombs</v>
      </c>
      <c r="C101" t="str">
        <f>IFERROR(_xlfn.XLOOKUP(tblStates[[#This Row],[StateID]],tblQuestObjectives[ObjectiveID],tblQuestObjectives[QuestTargetID]),_xlfn.XLOOKUP(tblStates[[#This Row],[StateID]],tblDependencies[DependencyID],tblDependencies[TargetID]))</f>
        <v>quest.quest_for_knowledge_chapter_4.accepted</v>
      </c>
      <c r="D101" t="str">
        <f>IFERROR(_xlfn.XLOOKUP(tblStates[[#This Row],[StateID]],tblQuestObjectives[ObjectiveID],tblQuestObjectives[QuestTargetID]),"")</f>
        <v/>
      </c>
      <c r="E101" t="str">
        <f>IFERROR(_xlfn.XLOOKUP(tblStates[[#This Row],[StateID]],tblDependencies[DependencyID],tblDependencies[TargetID]),"")</f>
        <v>quest.quest_for_knowledge_chapter_4.accepted</v>
      </c>
      <c r="F101" t="str">
        <f>_xlfn.XLOOKUP(tblStates[[#This Row],[StateID]],tblTargets[TargetID],tblTargets[StateType],"")</f>
        <v>OBTAIN</v>
      </c>
      <c r="G101" t="b">
        <f>_xlfn.XLOOKUP(tblStates[[#This Row],[StateID]],tblTargets[TargetID],tblTargets[Trackable],"")</f>
        <v>1</v>
      </c>
    </row>
    <row r="102" spans="1:7">
      <c r="A102" t="s">
        <v>5727</v>
      </c>
      <c r="B102" t="str">
        <f>_xlfn.XLOOKUP(tblStates[[#This Row],[StateID]],tblTargets[TargetID],tblTargets[DisplayName],"")</f>
        <v>Craft level 4 map</v>
      </c>
      <c r="C102" t="str">
        <f>IFERROR(_xlfn.XLOOKUP(tblStates[[#This Row],[StateID]],tblQuestObjectives[ObjectiveID],tblQuestObjectives[QuestTargetID]),_xlfn.XLOOKUP(tblStates[[#This Row],[StateID]],tblDependencies[DependencyID],tblDependencies[TargetID]))</f>
        <v>quest.shoguns_katana_chapter_6.finished</v>
      </c>
      <c r="D102" t="str">
        <f>IFERROR(_xlfn.XLOOKUP(tblStates[[#This Row],[StateID]],tblQuestObjectives[ObjectiveID],tblQuestObjectives[QuestTargetID]),"")</f>
        <v>quest.shoguns_katana_chapter_6.finished</v>
      </c>
      <c r="E102" t="str">
        <f>IFERROR(_xlfn.XLOOKUP(tblStates[[#This Row],[StateID]],tblDependencies[DependencyID],tblDependencies[TargetID]),"")</f>
        <v>state.obtain_shoguns_mortar</v>
      </c>
      <c r="F102" t="str">
        <f>_xlfn.XLOOKUP(tblStates[[#This Row],[StateID]],tblTargets[TargetID],tblTargets[StateType],"")</f>
        <v>OBTAIN</v>
      </c>
      <c r="G102" t="b">
        <v>1</v>
      </c>
    </row>
    <row r="103" spans="1:7">
      <c r="A103" t="s">
        <v>5729</v>
      </c>
      <c r="B103" t="str">
        <f>_xlfn.XLOOKUP(tblStates[[#This Row],[StateID]],tblTargets[TargetID],tblTargets[DisplayName],"")</f>
        <v>Craft level 4 map again</v>
      </c>
      <c r="C103" t="str">
        <f>IFERROR(_xlfn.XLOOKUP(tblStates[[#This Row],[StateID]],tblQuestObjectives[ObjectiveID],tblQuestObjectives[QuestTargetID]),_xlfn.XLOOKUP(tblStates[[#This Row],[StateID]],tblDependencies[DependencyID],tblDependencies[TargetID]))</f>
        <v>quest.shoguns_katana_chapter_7.finished</v>
      </c>
      <c r="D103" t="str">
        <f>IFERROR(_xlfn.XLOOKUP(tblStates[[#This Row],[StateID]],tblQuestObjectives[ObjectiveID],tblQuestObjectives[QuestTargetID]),"")</f>
        <v>quest.shoguns_katana_chapter_7.finished</v>
      </c>
      <c r="E103" t="str">
        <f>IFERROR(_xlfn.XLOOKUP(tblStates[[#This Row],[StateID]],tblDependencies[DependencyID],tblDependencies[TargetID]),"")</f>
        <v/>
      </c>
      <c r="F103" t="str">
        <f>_xlfn.XLOOKUP(tblStates[[#This Row],[StateID]],tblTargets[TargetID],tblTargets[StateType],"")</f>
        <v>OBTAIN</v>
      </c>
      <c r="G103" t="b">
        <v>1</v>
      </c>
    </row>
    <row r="104" spans="1:7">
      <c r="A104" t="s">
        <v>5714</v>
      </c>
      <c r="B104" t="str">
        <f>_xlfn.XLOOKUP(tblStates[[#This Row],[StateID]],tblTargets[TargetID],tblTargets[DisplayName],"")</f>
        <v>Craft mechanism</v>
      </c>
      <c r="C104" t="str">
        <f>IFERROR(_xlfn.XLOOKUP(tblStates[[#This Row],[StateID]],tblQuestObjectives[ObjectiveID],tblQuestObjectives[QuestTargetID]),_xlfn.XLOOKUP(tblStates[[#This Row],[StateID]],tblDependencies[DependencyID],tblDependencies[TargetID]))</f>
        <v>quest.quest_for_knowledge_chapter_5.finished</v>
      </c>
      <c r="D104" t="str">
        <f>IFERROR(_xlfn.XLOOKUP(tblStates[[#This Row],[StateID]],tblQuestObjectives[ObjectiveID],tblQuestObjectives[QuestTargetID]),"")</f>
        <v>quest.quest_for_knowledge_chapter_5.finished</v>
      </c>
      <c r="E104" t="str">
        <f>IFERROR(_xlfn.XLOOKUP(tblStates[[#This Row],[StateID]],tblDependencies[DependencyID],tblDependencies[TargetID]),"")</f>
        <v/>
      </c>
      <c r="F104" t="str">
        <f>_xlfn.XLOOKUP(tblStates[[#This Row],[StateID]],tblTargets[TargetID],tblTargets[StateType],"")</f>
        <v>OBTAIN</v>
      </c>
      <c r="G104" t="b">
        <v>1</v>
      </c>
    </row>
    <row r="105" spans="1:7">
      <c r="A105" t="s">
        <v>5697</v>
      </c>
      <c r="B105" t="str">
        <f>_xlfn.XLOOKUP(tblStates[[#This Row],[StateID]],tblTargets[TargetID],tblTargets[DisplayName],"")</f>
        <v>Craft Potion of Mental Power</v>
      </c>
      <c r="C105" t="str">
        <f>IFERROR(_xlfn.XLOOKUP(tblStates[[#This Row],[StateID]],tblQuestObjectives[ObjectiveID],tblQuestObjectives[QuestTargetID]),_xlfn.XLOOKUP(tblStates[[#This Row],[StateID]],tblDependencies[DependencyID],tblDependencies[TargetID]))</f>
        <v>quest.once_upon_a_forest_chapter_6.finished</v>
      </c>
      <c r="D105" t="str">
        <f>IFERROR(_xlfn.XLOOKUP(tblStates[[#This Row],[StateID]],tblQuestObjectives[ObjectiveID],tblQuestObjectives[QuestTargetID]),"")</f>
        <v>quest.once_upon_a_forest_chapter_6.finished</v>
      </c>
      <c r="E105" t="str">
        <f>IFERROR(_xlfn.XLOOKUP(tblStates[[#This Row],[StateID]],tblDependencies[DependencyID],tblDependencies[TargetID]),"")</f>
        <v/>
      </c>
      <c r="F105" t="str">
        <f>_xlfn.XLOOKUP(tblStates[[#This Row],[StateID]],tblTargets[TargetID],tblTargets[StateType],"")</f>
        <v>OBTAIN</v>
      </c>
      <c r="G105" t="b">
        <v>1</v>
      </c>
    </row>
    <row r="106" spans="1:7">
      <c r="A106" t="s">
        <v>5722</v>
      </c>
      <c r="B106" t="str">
        <f>_xlfn.XLOOKUP(tblStates[[#This Row],[StateID]],tblTargets[TargetID],tblTargets[DisplayName],"")</f>
        <v>Obtain Reagent from 3A</v>
      </c>
      <c r="C106" t="str">
        <f>IFERROR(_xlfn.XLOOKUP(tblStates[[#This Row],[StateID]],tblQuestObjectives[ObjectiveID],tblQuestObjectives[QuestTargetID]),_xlfn.XLOOKUP(tblStates[[#This Row],[StateID]],tblDependencies[DependencyID],tblDependencies[TargetID]))</f>
        <v>quest.green_potion.finished</v>
      </c>
      <c r="D106" t="str">
        <f>IFERROR(_xlfn.XLOOKUP(tblStates[[#This Row],[StateID]],tblQuestObjectives[ObjectiveID],tblQuestObjectives[QuestTargetID]),"")</f>
        <v>quest.green_potion.finished</v>
      </c>
      <c r="E106" t="str">
        <f>IFERROR(_xlfn.XLOOKUP(tblStates[[#This Row],[StateID]],tblDependencies[DependencyID],tblDependencies[TargetID]),"")</f>
        <v/>
      </c>
      <c r="F106" t="str">
        <f>_xlfn.XLOOKUP(tblStates[[#This Row],[StateID]],tblTargets[TargetID],tblTargets[StateType],"")</f>
        <v>OBTAIN</v>
      </c>
      <c r="G106" t="b">
        <v>1</v>
      </c>
    </row>
    <row r="107" spans="1:7">
      <c r="A107" t="s">
        <v>5671</v>
      </c>
      <c r="B107" t="str">
        <f>_xlfn.XLOOKUP(tblStates[[#This Row],[StateID]],tblTargets[TargetID],tblTargets[DisplayName],"")</f>
        <v>Obtain the Red Diamond in 6A</v>
      </c>
      <c r="C107" t="str">
        <f>IFERROR(_xlfn.XLOOKUP(tblStates[[#This Row],[StateID]],tblQuestObjectives[ObjectiveID],tblQuestObjectives[QuestTargetID]),_xlfn.XLOOKUP(tblStates[[#This Row],[StateID]],tblDependencies[DependencyID],tblDependencies[TargetID]))</f>
        <v>quest.the_ordinary_days_of_an_adventurer_chapter_3.finished</v>
      </c>
      <c r="D107" t="str">
        <f>IFERROR(_xlfn.XLOOKUP(tblStates[[#This Row],[StateID]],tblQuestObjectives[ObjectiveID],tblQuestObjectives[QuestTargetID]),"")</f>
        <v>quest.the_ordinary_days_of_an_adventurer_chapter_3.finished</v>
      </c>
      <c r="E107" t="str">
        <f>IFERROR(_xlfn.XLOOKUP(tblStates[[#This Row],[StateID]],tblDependencies[DependencyID],tblDependencies[TargetID]),"")</f>
        <v/>
      </c>
      <c r="F107" t="str">
        <f>_xlfn.XLOOKUP(tblStates[[#This Row],[StateID]],tblTargets[TargetID],tblTargets[StateType],"")</f>
        <v>OBTAIN</v>
      </c>
      <c r="G107" t="b">
        <v>1</v>
      </c>
    </row>
    <row r="108" spans="1:7">
      <c r="A108" t="s">
        <v>5672</v>
      </c>
      <c r="B108" t="str">
        <f>_xlfn.XLOOKUP(tblStates[[#This Row],[StateID]],tblTargets[TargetID],tblTargets[DisplayName],"")</f>
        <v>Obtain the Red Diamond in 6B</v>
      </c>
      <c r="C108" t="str">
        <f>IFERROR(_xlfn.XLOOKUP(tblStates[[#This Row],[StateID]],tblQuestObjectives[ObjectiveID],tblQuestObjectives[QuestTargetID]),_xlfn.XLOOKUP(tblStates[[#This Row],[StateID]],tblDependencies[DependencyID],tblDependencies[TargetID]))</f>
        <v>quest.the_ordinary_days_of_an_adventurer_chapter_3.finished</v>
      </c>
      <c r="D108" t="str">
        <f>IFERROR(_xlfn.XLOOKUP(tblStates[[#This Row],[StateID]],tblQuestObjectives[ObjectiveID],tblQuestObjectives[QuestTargetID]),"")</f>
        <v>quest.the_ordinary_days_of_an_adventurer_chapter_3.finished</v>
      </c>
      <c r="E108" t="str">
        <f>IFERROR(_xlfn.XLOOKUP(tblStates[[#This Row],[StateID]],tblDependencies[DependencyID],tblDependencies[TargetID]),"")</f>
        <v/>
      </c>
      <c r="F108" t="str">
        <f>_xlfn.XLOOKUP(tblStates[[#This Row],[StateID]],tblTargets[TargetID],tblTargets[StateType],"")</f>
        <v>OBTAIN</v>
      </c>
      <c r="G108" t="b">
        <v>1</v>
      </c>
    </row>
    <row r="109" spans="1:7">
      <c r="A109" t="s">
        <v>5673</v>
      </c>
      <c r="B109" t="str">
        <f>_xlfn.XLOOKUP(tblStates[[#This Row],[StateID]],tblTargets[TargetID],tblTargets[DisplayName],"")</f>
        <v>Obtain the Red Diamond in 6C</v>
      </c>
      <c r="C109" t="str">
        <f>IFERROR(_xlfn.XLOOKUP(tblStates[[#This Row],[StateID]],tblQuestObjectives[ObjectiveID],tblQuestObjectives[QuestTargetID]),_xlfn.XLOOKUP(tblStates[[#This Row],[StateID]],tblDependencies[DependencyID],tblDependencies[TargetID]))</f>
        <v>quest.the_ordinary_days_of_an_adventurer_chapter_3.finished</v>
      </c>
      <c r="D109" t="str">
        <f>IFERROR(_xlfn.XLOOKUP(tblStates[[#This Row],[StateID]],tblQuestObjectives[ObjectiveID],tblQuestObjectives[QuestTargetID]),"")</f>
        <v>quest.the_ordinary_days_of_an_adventurer_chapter_3.finished</v>
      </c>
      <c r="E109" t="str">
        <f>IFERROR(_xlfn.XLOOKUP(tblStates[[#This Row],[StateID]],tblDependencies[DependencyID],tblDependencies[TargetID]),"")</f>
        <v/>
      </c>
      <c r="F109" t="str">
        <f>_xlfn.XLOOKUP(tblStates[[#This Row],[StateID]],tblTargets[TargetID],tblTargets[StateType],"")</f>
        <v>OBTAIN</v>
      </c>
      <c r="G109" t="b">
        <v>1</v>
      </c>
    </row>
    <row r="110" spans="1:7">
      <c r="A110" t="s">
        <v>5678</v>
      </c>
      <c r="B110" t="str">
        <f>_xlfn.XLOOKUP(tblStates[[#This Row],[StateID]],tblTargets[TargetID],tblTargets[DisplayName],"")</f>
        <v>Craft Shield 4+</v>
      </c>
      <c r="C110" t="str">
        <f>IFERROR(_xlfn.XLOOKUP(tblStates[[#This Row],[StateID]],tblQuestObjectives[ObjectiveID],tblQuestObjectives[QuestTargetID]),_xlfn.XLOOKUP(tblStates[[#This Row],[StateID]],tblDependencies[DependencyID],tblDependencies[TargetID]))</f>
        <v>quest.the_ordinary_days_of_an_adventurer_chapter_4.finished</v>
      </c>
      <c r="D110" t="str">
        <f>IFERROR(_xlfn.XLOOKUP(tblStates[[#This Row],[StateID]],tblQuestObjectives[ObjectiveID],tblQuestObjectives[QuestTargetID]),"")</f>
        <v>quest.the_ordinary_days_of_an_adventurer_chapter_4.finished</v>
      </c>
      <c r="E110" t="str">
        <f>IFERROR(_xlfn.XLOOKUP(tblStates[[#This Row],[StateID]],tblDependencies[DependencyID],tblDependencies[TargetID]),"")</f>
        <v/>
      </c>
      <c r="F110" t="str">
        <f>_xlfn.XLOOKUP(tblStates[[#This Row],[StateID]],tblTargets[TargetID],tblTargets[StateType],"")</f>
        <v>OBTAIN</v>
      </c>
      <c r="G110" t="b">
        <v>1</v>
      </c>
    </row>
    <row r="111" spans="1:7">
      <c r="A111" t="s">
        <v>5723</v>
      </c>
      <c r="B111" t="str">
        <f>_xlfn.XLOOKUP(tblStates[[#This Row],[StateID]],tblTargets[TargetID],tblTargets[DisplayName],"")</f>
        <v>Obtain Ship in a bottle</v>
      </c>
      <c r="C111" t="str">
        <f>IFERROR(_xlfn.XLOOKUP(tblStates[[#This Row],[StateID]],tblQuestObjectives[ObjectiveID],tblQuestObjectives[QuestTargetID]),_xlfn.XLOOKUP(tblStates[[#This Row],[StateID]],tblDependencies[DependencyID],tblDependencies[TargetID]))</f>
        <v>quest.shoguns_katana_chapter_4.finished</v>
      </c>
      <c r="D111" t="str">
        <f>IFERROR(_xlfn.XLOOKUP(tblStates[[#This Row],[StateID]],tblQuestObjectives[ObjectiveID],tblQuestObjectives[QuestTargetID]),"")</f>
        <v>quest.shoguns_katana_chapter_4.finished</v>
      </c>
      <c r="E111" t="str">
        <f>IFERROR(_xlfn.XLOOKUP(tblStates[[#This Row],[StateID]],tblDependencies[DependencyID],tblDependencies[TargetID]),"")</f>
        <v/>
      </c>
      <c r="F111" t="str">
        <f>_xlfn.XLOOKUP(tblStates[[#This Row],[StateID]],tblTargets[TargetID],tblTargets[StateType],"")</f>
        <v>OBTAIN</v>
      </c>
      <c r="G111" t="b">
        <v>1</v>
      </c>
    </row>
    <row r="112" spans="1:7">
      <c r="A112" t="s">
        <v>5731</v>
      </c>
      <c r="B112" t="str">
        <f>_xlfn.XLOOKUP(tblStates[[#This Row],[StateID]],tblTargets[TargetID],tblTargets[DisplayName],"")</f>
        <v>Obtain Shogun's Katana</v>
      </c>
      <c r="C112" t="str">
        <f>IFERROR(_xlfn.XLOOKUP(tblStates[[#This Row],[StateID]],tblQuestObjectives[ObjectiveID],tblQuestObjectives[QuestTargetID]),_xlfn.XLOOKUP(tblStates[[#This Row],[StateID]],tblDependencies[DependencyID],tblDependencies[TargetID]))</f>
        <v>quest.shoguns_katana_chapter_7.finished</v>
      </c>
      <c r="D112" t="str">
        <f>IFERROR(_xlfn.XLOOKUP(tblStates[[#This Row],[StateID]],tblQuestObjectives[ObjectiveID],tblQuestObjectives[QuestTargetID]),"")</f>
        <v>quest.shoguns_katana_chapter_7.finished</v>
      </c>
      <c r="E112" t="str">
        <f>IFERROR(_xlfn.XLOOKUP(tblStates[[#This Row],[StateID]],tblDependencies[DependencyID],tblDependencies[TargetID]),"")</f>
        <v/>
      </c>
      <c r="F112" t="str">
        <f>_xlfn.XLOOKUP(tblStates[[#This Row],[StateID]],tblTargets[TargetID],tblTargets[StateType],"")</f>
        <v>OBTAIN</v>
      </c>
      <c r="G112" t="b">
        <v>1</v>
      </c>
    </row>
    <row r="113" spans="1:7">
      <c r="A113" t="s">
        <v>5725</v>
      </c>
      <c r="B113" t="str">
        <f>_xlfn.XLOOKUP(tblStates[[#This Row],[StateID]],tblTargets[TargetID],tblTargets[DisplayName],"")</f>
        <v>Purchase Smuggler's map for 10 spices</v>
      </c>
      <c r="C113" t="str">
        <f>IFERROR(_xlfn.XLOOKUP(tblStates[[#This Row],[StateID]],tblQuestObjectives[ObjectiveID],tblQuestObjectives[QuestTargetID]),_xlfn.XLOOKUP(tblStates[[#This Row],[StateID]],tblDependencies[DependencyID],tblDependencies[TargetID]))</f>
        <v>quest.shoguns_katana_chapter_4.finished</v>
      </c>
      <c r="D113" t="str">
        <f>IFERROR(_xlfn.XLOOKUP(tblStates[[#This Row],[StateID]],tblQuestObjectives[ObjectiveID],tblQuestObjectives[QuestTargetID]),"")</f>
        <v>quest.shoguns_katana_chapter_4.finished</v>
      </c>
      <c r="E113" t="str">
        <f>IFERROR(_xlfn.XLOOKUP(tblStates[[#This Row],[StateID]],tblDependencies[DependencyID],tblDependencies[TargetID]),"")</f>
        <v/>
      </c>
      <c r="F113" t="str">
        <f>_xlfn.XLOOKUP(tblStates[[#This Row],[StateID]],tblTargets[TargetID],tblTargets[StateType],"")</f>
        <v>OBTAIN</v>
      </c>
      <c r="G113" t="b">
        <v>1</v>
      </c>
    </row>
    <row r="114" spans="1:7">
      <c r="A114" t="s">
        <v>5724</v>
      </c>
      <c r="B114" t="str">
        <f>_xlfn.XLOOKUP(tblStates[[#This Row],[StateID]],tblTargets[TargetID],tblTargets[DisplayName],"")</f>
        <v>Purchase Smuggler's map for 100 coffee beans</v>
      </c>
      <c r="C114" t="str">
        <f>IFERROR(_xlfn.XLOOKUP(tblStates[[#This Row],[StateID]],tblQuestObjectives[ObjectiveID],tblQuestObjectives[QuestTargetID]),_xlfn.XLOOKUP(tblStates[[#This Row],[StateID]],tblDependencies[DependencyID],tblDependencies[TargetID]))</f>
        <v>quest.shoguns_katana_chapter_3.finished</v>
      </c>
      <c r="D114" t="str">
        <f>IFERROR(_xlfn.XLOOKUP(tblStates[[#This Row],[StateID]],tblQuestObjectives[ObjectiveID],tblQuestObjectives[QuestTargetID]),"")</f>
        <v>quest.shoguns_katana_chapter_3.finished</v>
      </c>
      <c r="E114" t="str">
        <f>IFERROR(_xlfn.XLOOKUP(tblStates[[#This Row],[StateID]],tblDependencies[DependencyID],tblDependencies[TargetID]),"")</f>
        <v>state.obtain_pirate_hat</v>
      </c>
      <c r="F114" t="str">
        <f>_xlfn.XLOOKUP(tblStates[[#This Row],[StateID]],tblTargets[TargetID],tblTargets[StateType],"")</f>
        <v>OBTAIN</v>
      </c>
      <c r="G114" t="b">
        <v>1</v>
      </c>
    </row>
    <row r="115" spans="1:7">
      <c r="A115" t="s">
        <v>5726</v>
      </c>
      <c r="B115" t="str">
        <f>_xlfn.XLOOKUP(tblStates[[#This Row],[StateID]],tblTargets[TargetID],tblTargets[DisplayName],"")</f>
        <v>Purchase Smuggler's map for 15 pearl</v>
      </c>
      <c r="C115" t="str">
        <f>IFERROR(_xlfn.XLOOKUP(tblStates[[#This Row],[StateID]],tblQuestObjectives[ObjectiveID],tblQuestObjectives[QuestTargetID]),_xlfn.XLOOKUP(tblStates[[#This Row],[StateID]],tblDependencies[DependencyID],tblDependencies[TargetID]))</f>
        <v>quest.shoguns_katana_chapter_5.finished</v>
      </c>
      <c r="D115" t="str">
        <f>IFERROR(_xlfn.XLOOKUP(tblStates[[#This Row],[StateID]],tblQuestObjectives[ObjectiveID],tblQuestObjectives[QuestTargetID]),"")</f>
        <v>quest.shoguns_katana_chapter_5.finished</v>
      </c>
      <c r="E115" t="str">
        <f>IFERROR(_xlfn.XLOOKUP(tblStates[[#This Row],[StateID]],tblDependencies[DependencyID],tblDependencies[TargetID]),"")</f>
        <v>state.obtain_black_pearl</v>
      </c>
      <c r="F115" t="str">
        <f>_xlfn.XLOOKUP(tblStates[[#This Row],[StateID]],tblTargets[TargetID],tblTargets[StateType],"")</f>
        <v>OBTAIN</v>
      </c>
      <c r="G115" t="b">
        <v>1</v>
      </c>
    </row>
    <row r="116" spans="1:7">
      <c r="A116" t="s">
        <v>5630</v>
      </c>
      <c r="B116" t="str">
        <f>_xlfn.XLOOKUP(tblStates[[#This Row],[StateID]],tblTargets[TargetID],tblTargets[DisplayName],"")</f>
        <v>Obtain Spices from Spice Island</v>
      </c>
      <c r="C116" t="str">
        <f>IFERROR(_xlfn.XLOOKUP(tblStates[[#This Row],[StateID]],tblQuestObjectives[ObjectiveID],tblQuestObjectives[QuestTargetID]),_xlfn.XLOOKUP(tblStates[[#This Row],[StateID]],tblDependencies[DependencyID],tblDependencies[TargetID]))</f>
        <v>quest.spicy_odyssey.finished</v>
      </c>
      <c r="D116" t="str">
        <f>IFERROR(_xlfn.XLOOKUP(tblStates[[#This Row],[StateID]],tblQuestObjectives[ObjectiveID],tblQuestObjectives[QuestTargetID]),"")</f>
        <v>quest.spicy_odyssey.finished</v>
      </c>
      <c r="E116" t="str">
        <f>IFERROR(_xlfn.XLOOKUP(tblStates[[#This Row],[StateID]],tblDependencies[DependencyID],tblDependencies[TargetID]),"")</f>
        <v/>
      </c>
      <c r="F116" t="str">
        <f>_xlfn.XLOOKUP(tblStates[[#This Row],[StateID]],tblTargets[TargetID],tblTargets[StateType],"")</f>
        <v>OBTAIN</v>
      </c>
      <c r="G116" t="b">
        <v>1</v>
      </c>
    </row>
    <row r="117" spans="1:7">
      <c r="A117" t="s">
        <v>5715</v>
      </c>
      <c r="B117" t="str">
        <f>_xlfn.XLOOKUP(tblStates[[#This Row],[StateID]],tblTargets[TargetID],tblTargets[DisplayName],"")</f>
        <v>Craft steamobile</v>
      </c>
      <c r="C117" t="str">
        <f>IFERROR(_xlfn.XLOOKUP(tblStates[[#This Row],[StateID]],tblQuestObjectives[ObjectiveID],tblQuestObjectives[QuestTargetID]),_xlfn.XLOOKUP(tblStates[[#This Row],[StateID]],tblDependencies[DependencyID],tblDependencies[TargetID]))</f>
        <v>quest.quest_for_knowledge_chapter_5.finished</v>
      </c>
      <c r="D117" t="str">
        <f>IFERROR(_xlfn.XLOOKUP(tblStates[[#This Row],[StateID]],tblQuestObjectives[ObjectiveID],tblQuestObjectives[QuestTargetID]),"")</f>
        <v>quest.quest_for_knowledge_chapter_5.finished</v>
      </c>
      <c r="E117" t="str">
        <f>IFERROR(_xlfn.XLOOKUP(tblStates[[#This Row],[StateID]],tblDependencies[DependencyID],tblDependencies[TargetID]),"")</f>
        <v/>
      </c>
      <c r="F117" t="str">
        <f>_xlfn.XLOOKUP(tblStates[[#This Row],[StateID]],tblTargets[TargetID],tblTargets[StateType],"")</f>
        <v>OBTAIN</v>
      </c>
      <c r="G117" t="b">
        <v>1</v>
      </c>
    </row>
    <row r="118" spans="1:7">
      <c r="A118" t="s">
        <v>5794</v>
      </c>
      <c r="B118" t="str">
        <f>_xlfn.XLOOKUP(tblStates[[#This Row],[StateID]],tblTargets[TargetID],tblTargets[DisplayName],"")</f>
        <v xml:space="preserve">Obtain Strawberry@F1 </v>
      </c>
      <c r="C118" t="str">
        <f>IFERROR(_xlfn.XLOOKUP(tblStates[[#This Row],[StateID]],tblQuestObjectives[ObjectiveID],tblQuestObjectives[QuestTargetID]),_xlfn.XLOOKUP(tblStates[[#This Row],[StateID]],tblDependencies[DependencyID],tblDependencies[TargetID]))</f>
        <v>tech.food_stall.jam</v>
      </c>
      <c r="D118" t="str">
        <f>IFERROR(_xlfn.XLOOKUP(tblStates[[#This Row],[StateID]],tblQuestObjectives[ObjectiveID],tblQuestObjectives[QuestTargetID]),"")</f>
        <v/>
      </c>
      <c r="E118" t="str">
        <f>IFERROR(_xlfn.XLOOKUP(tblStates[[#This Row],[StateID]],tblDependencies[DependencyID],tblDependencies[TargetID]),"")</f>
        <v>tech.food_stall.jam</v>
      </c>
      <c r="F118" t="str">
        <f>_xlfn.XLOOKUP(tblStates[[#This Row],[StateID]],tblTargets[TargetID],tblTargets[StateType],"")</f>
        <v>OBTAIN</v>
      </c>
      <c r="G118" t="b">
        <v>1</v>
      </c>
    </row>
    <row r="119" spans="1:7">
      <c r="A119" t="s">
        <v>5638</v>
      </c>
      <c r="B119" t="str">
        <f>_xlfn.XLOOKUP(tblStates[[#This Row],[StateID]],tblTargets[TargetID],tblTargets[DisplayName],"")</f>
        <v>Craft Sword for a Hero Lvl 4</v>
      </c>
      <c r="C119" t="str">
        <f>IFERROR(_xlfn.XLOOKUP(tblStates[[#This Row],[StateID]],tblQuestObjectives[ObjectiveID],tblQuestObjectives[QuestTargetID]),_xlfn.XLOOKUP(tblStates[[#This Row],[StateID]],tblDependencies[DependencyID],tblDependencies[TargetID]))</f>
        <v>quest.dragon_teeth.finished</v>
      </c>
      <c r="D119" t="str">
        <f>IFERROR(_xlfn.XLOOKUP(tblStates[[#This Row],[StateID]],tblQuestObjectives[ObjectiveID],tblQuestObjectives[QuestTargetID]),"")</f>
        <v>quest.dragon_teeth.finished</v>
      </c>
      <c r="E119" t="str">
        <f>IFERROR(_xlfn.XLOOKUP(tblStates[[#This Row],[StateID]],tblDependencies[DependencyID],tblDependencies[TargetID]),"")</f>
        <v/>
      </c>
      <c r="F119" t="str">
        <f>_xlfn.XLOOKUP(tblStates[[#This Row],[StateID]],tblTargets[TargetID],tblTargets[StateType],"")</f>
        <v>OBTAIN</v>
      </c>
      <c r="G119" t="b">
        <v>1</v>
      </c>
    </row>
    <row r="120" spans="1:7">
      <c r="A120" t="s">
        <v>5677</v>
      </c>
      <c r="B120" t="str">
        <f>_xlfn.XLOOKUP(tblStates[[#This Row],[StateID]],tblTargets[TargetID],tblTargets[DisplayName],"")</f>
        <v>Craft sword 4+</v>
      </c>
      <c r="C120" t="str">
        <f>IFERROR(_xlfn.XLOOKUP(tblStates[[#This Row],[StateID]],tblQuestObjectives[ObjectiveID],tblQuestObjectives[QuestTargetID]),_xlfn.XLOOKUP(tblStates[[#This Row],[StateID]],tblDependencies[DependencyID],tblDependencies[TargetID]))</f>
        <v>quest.the_ordinary_days_of_an_adventurer_chapter_4.finished</v>
      </c>
      <c r="D120" t="str">
        <f>IFERROR(_xlfn.XLOOKUP(tblStates[[#This Row],[StateID]],tblQuestObjectives[ObjectiveID],tblQuestObjectives[QuestTargetID]),"")</f>
        <v>quest.the_ordinary_days_of_an_adventurer_chapter_4.finished</v>
      </c>
      <c r="E120" t="str">
        <f>IFERROR(_xlfn.XLOOKUP(tblStates[[#This Row],[StateID]],tblDependencies[DependencyID],tblDependencies[TargetID]),"")</f>
        <v/>
      </c>
      <c r="F120" t="str">
        <f>_xlfn.XLOOKUP(tblStates[[#This Row],[StateID]],tblTargets[TargetID],tblTargets[StateType],"")</f>
        <v>OBTAIN</v>
      </c>
      <c r="G120" t="b">
        <v>1</v>
      </c>
    </row>
    <row r="121" spans="1:7">
      <c r="A121" t="s">
        <v>5701</v>
      </c>
      <c r="B121" t="str">
        <f>_xlfn.XLOOKUP(tblStates[[#This Row],[StateID]],tblTargets[TargetID],tblTargets[DisplayName],"")</f>
        <v>Obtain Titanium</v>
      </c>
      <c r="C121" t="str">
        <f>IFERROR(_xlfn.XLOOKUP(tblStates[[#This Row],[StateID]],tblQuestObjectives[ObjectiveID],tblQuestObjectives[QuestTargetID]),_xlfn.XLOOKUP(tblStates[[#This Row],[StateID]],tblDependencies[DependencyID],tblDependencies[TargetID]))</f>
        <v>quest.once_upon_a_forest_chapter_9.finished</v>
      </c>
      <c r="D121" t="str">
        <f>IFERROR(_xlfn.XLOOKUP(tblStates[[#This Row],[StateID]],tblQuestObjectives[ObjectiveID],tblQuestObjectives[QuestTargetID]),"")</f>
        <v>quest.once_upon_a_forest_chapter_9.finished</v>
      </c>
      <c r="E121" t="str">
        <f>IFERROR(_xlfn.XLOOKUP(tblStates[[#This Row],[StateID]],tblDependencies[DependencyID],tblDependencies[TargetID]),"")</f>
        <v/>
      </c>
      <c r="F121" t="str">
        <f>_xlfn.XLOOKUP(tblStates[[#This Row],[StateID]],tblTargets[TargetID],tblTargets[StateType],"")</f>
        <v>OBTAIN</v>
      </c>
      <c r="G121" t="b">
        <v>1</v>
      </c>
    </row>
    <row r="122" spans="1:7">
      <c r="A122" t="s">
        <v>3510</v>
      </c>
      <c r="B122" t="str">
        <f>_xlfn.XLOOKUP(tblStates[[#This Row],[StateID]],tblTargets[TargetID],tblTargets[DisplayName],"")</f>
        <v>Obtain Treasure</v>
      </c>
      <c r="C122" t="str">
        <f>IFERROR(_xlfn.XLOOKUP(tblStates[[#This Row],[StateID]],tblQuestObjectives[ObjectiveID],tblQuestObjectives[QuestTargetID]),_xlfn.XLOOKUP(tblStates[[#This Row],[StateID]],tblDependencies[DependencyID],tblDependencies[TargetID]))</f>
        <v>quest.treasure_island.finished</v>
      </c>
      <c r="D122" t="str">
        <f>IFERROR(_xlfn.XLOOKUP(tblStates[[#This Row],[StateID]],tblQuestObjectives[ObjectiveID],tblQuestObjectives[QuestTargetID]),"")</f>
        <v>quest.treasure_island.finished</v>
      </c>
      <c r="E122" t="str">
        <f>IFERROR(_xlfn.XLOOKUP(tblStates[[#This Row],[StateID]],tblDependencies[DependencyID],tblDependencies[TargetID]),"")</f>
        <v/>
      </c>
      <c r="F122" t="str">
        <f>_xlfn.XLOOKUP(tblStates[[#This Row],[StateID]],tblTargets[TargetID],tblTargets[StateType],"")</f>
        <v>OBTAIN</v>
      </c>
      <c r="G122" t="b">
        <v>1</v>
      </c>
    </row>
    <row r="123" spans="1:7">
      <c r="A123" t="s">
        <v>6103</v>
      </c>
      <c r="B123" t="str">
        <f>_xlfn.XLOOKUP(tblStates[[#This Row],[StateID]],tblTargets[TargetID],tblTargets[DisplayName],"")</f>
        <v>Repeat Visit Dungeon@ F1</v>
      </c>
      <c r="C123" t="str">
        <f>IFERROR(_xlfn.XLOOKUP(tblStates[[#This Row],[StateID]],tblQuestObjectives[ObjectiveID],tblQuestObjectives[QuestTargetID]),_xlfn.XLOOKUP(tblStates[[#This Row],[StateID]],tblDependencies[DependencyID],tblDependencies[TargetID]))</f>
        <v>quest.once_upon_a_forest_chapter_4.accepted</v>
      </c>
      <c r="D123" t="str">
        <f>IFERROR(_xlfn.XLOOKUP(tblStates[[#This Row],[StateID]],tblQuestObjectives[ObjectiveID],tblQuestObjectives[QuestTargetID]),"")</f>
        <v/>
      </c>
      <c r="E123" t="str">
        <f>IFERROR(_xlfn.XLOOKUP(tblStates[[#This Row],[StateID]],tblDependencies[DependencyID],tblDependencies[TargetID]),"")</f>
        <v>quest.once_upon_a_forest_chapter_4.accepted</v>
      </c>
      <c r="F123" t="str">
        <f>_xlfn.XLOOKUP(tblStates[[#This Row],[StateID]],tblTargets[TargetID],tblTargets[StateType],"")</f>
        <v>MEET</v>
      </c>
      <c r="G123" t="b">
        <v>1</v>
      </c>
    </row>
    <row r="124" spans="1:7">
      <c r="A124" t="s">
        <v>6097</v>
      </c>
      <c r="B124" t="str">
        <f>_xlfn.XLOOKUP(tblStates[[#This Row],[StateID]],tblTargets[TargetID],tblTargets[DisplayName],"")</f>
        <v>Return the ring</v>
      </c>
      <c r="C124" t="str">
        <f>IFERROR(_xlfn.XLOOKUP(tblStates[[#This Row],[StateID]],tblQuestObjectives[ObjectiveID],tblQuestObjectives[QuestTargetID]),_xlfn.XLOOKUP(tblStates[[#This Row],[StateID]],tblDependencies[DependencyID],tblDependencies[TargetID]))</f>
        <v>quest.the_ring_of_the_dark_lady.finished</v>
      </c>
      <c r="D124" t="str">
        <f>IFERROR(_xlfn.XLOOKUP(tblStates[[#This Row],[StateID]],tblQuestObjectives[ObjectiveID],tblQuestObjectives[QuestTargetID]),"")</f>
        <v>quest.the_ring_of_the_dark_lady.finished</v>
      </c>
      <c r="E124" t="str">
        <f>IFERROR(_xlfn.XLOOKUP(tblStates[[#This Row],[StateID]],tblDependencies[DependencyID],tblDependencies[TargetID]),"")</f>
        <v/>
      </c>
      <c r="F124" t="str">
        <f>_xlfn.XLOOKUP(tblStates[[#This Row],[StateID]],tblTargets[TargetID],tblTargets[StateType],"")</f>
        <v>DELIVER</v>
      </c>
      <c r="G124" t="b">
        <v>1</v>
      </c>
    </row>
    <row r="125" spans="1:7">
      <c r="A125" t="s">
        <v>6099</v>
      </c>
      <c r="B125" t="str">
        <f>_xlfn.XLOOKUP(tblStates[[#This Row],[StateID]],tblTargets[TargetID],tblTargets[DisplayName],"")</f>
        <v>Tame A Critter</v>
      </c>
      <c r="C125" t="str">
        <f>IFERROR(_xlfn.XLOOKUP(tblStates[[#This Row],[StateID]],tblQuestObjectives[ObjectiveID],tblQuestObjectives[QuestTargetID]),_xlfn.XLOOKUP(tblStates[[#This Row],[StateID]],tblDependencies[DependencyID],tblDependencies[TargetID]))</f>
        <v>citadel.lair_lvl_1</v>
      </c>
      <c r="D125" t="str">
        <f>IFERROR(_xlfn.XLOOKUP(tblStates[[#This Row],[StateID]],tblQuestObjectives[ObjectiveID],tblQuestObjectives[QuestTargetID]),"")</f>
        <v/>
      </c>
      <c r="E125" t="str">
        <f>IFERROR(_xlfn.XLOOKUP(tblStates[[#This Row],[StateID]],tblDependencies[DependencyID],tblDependencies[TargetID]),"")</f>
        <v>citadel.lair_lvl_1</v>
      </c>
      <c r="F125" t="str">
        <f>_xlfn.XLOOKUP(tblStates[[#This Row],[StateID]],tblTargets[TargetID],tblTargets[StateType],"")</f>
        <v>ACTION</v>
      </c>
      <c r="G125" t="b">
        <v>1</v>
      </c>
    </row>
    <row r="126" spans="1:7">
      <c r="A126" t="s">
        <v>5760</v>
      </c>
      <c r="B126" t="str">
        <f>_xlfn.XLOOKUP(tblStates[[#This Row],[StateID]],tblTargets[TargetID],tblTargets[DisplayName],"")</f>
        <v>Visit Aomori</v>
      </c>
      <c r="C126" t="str">
        <f>IFERROR(_xlfn.XLOOKUP(tblStates[[#This Row],[StateID]],tblQuestObjectives[ObjectiveID],tblQuestObjectives[QuestTargetID]),_xlfn.XLOOKUP(tblStates[[#This Row],[StateID]],tblDependencies[DependencyID],tblDependencies[TargetID]))</f>
        <v>quest.journey_through_japan_by_train.finished</v>
      </c>
      <c r="D126" t="str">
        <f>IFERROR(_xlfn.XLOOKUP(tblStates[[#This Row],[StateID]],tblQuestObjectives[ObjectiveID],tblQuestObjectives[QuestTargetID]),"")</f>
        <v>quest.journey_through_japan_by_train.finished</v>
      </c>
      <c r="E126" t="str">
        <f>IFERROR(_xlfn.XLOOKUP(tblStates[[#This Row],[StateID]],tblDependencies[DependencyID],tblDependencies[TargetID]),"")</f>
        <v/>
      </c>
      <c r="F126" t="str">
        <f>_xlfn.XLOOKUP(tblStates[[#This Row],[StateID]],tblTargets[TargetID],tblTargets[StateType],"")</f>
        <v>VISIT</v>
      </c>
      <c r="G126" t="b">
        <v>1</v>
      </c>
    </row>
    <row r="127" spans="1:7">
      <c r="A127" t="s">
        <v>5741</v>
      </c>
      <c r="B127" t="str">
        <f>_xlfn.XLOOKUP(tblStates[[#This Row],[StateID]],tblTargets[TargetID],tblTargets[DisplayName],"")</f>
        <v>Visit Athens</v>
      </c>
      <c r="C127" t="str">
        <f>IFERROR(_xlfn.XLOOKUP(tblStates[[#This Row],[StateID]],tblQuestObjectives[ObjectiveID],tblQuestObjectives[QuestTargetID]),_xlfn.XLOOKUP(tblStates[[#This Row],[StateID]],tblDependencies[DependencyID],tblDependencies[TargetID]))</f>
        <v>quest.silk_road.finished</v>
      </c>
      <c r="D127" t="str">
        <f>IFERROR(_xlfn.XLOOKUP(tblStates[[#This Row],[StateID]],tblQuestObjectives[ObjectiveID],tblQuestObjectives[QuestTargetID]),"")</f>
        <v>quest.silk_road.finished</v>
      </c>
      <c r="E127" t="str">
        <f>IFERROR(_xlfn.XLOOKUP(tblStates[[#This Row],[StateID]],tblDependencies[DependencyID],tblDependencies[TargetID]),"")</f>
        <v/>
      </c>
      <c r="F127" t="str">
        <f>_xlfn.XLOOKUP(tblStates[[#This Row],[StateID]],tblTargets[TargetID],tblTargets[StateType],"")</f>
        <v>VISIT</v>
      </c>
      <c r="G127" t="b">
        <v>1</v>
      </c>
    </row>
    <row r="128" spans="1:7">
      <c r="A128" t="s">
        <v>5742</v>
      </c>
      <c r="B128" t="str">
        <f>_xlfn.XLOOKUP(tblStates[[#This Row],[StateID]],tblTargets[TargetID],tblTargets[DisplayName],"")</f>
        <v>Visit Baghdad</v>
      </c>
      <c r="C128" t="str">
        <f>IFERROR(_xlfn.XLOOKUP(tblStates[[#This Row],[StateID]],tblQuestObjectives[ObjectiveID],tblQuestObjectives[QuestTargetID]),_xlfn.XLOOKUP(tblStates[[#This Row],[StateID]],tblDependencies[DependencyID],tblDependencies[TargetID]))</f>
        <v>quest.silk_road.finished</v>
      </c>
      <c r="D128" t="str">
        <f>IFERROR(_xlfn.XLOOKUP(tblStates[[#This Row],[StateID]],tblQuestObjectives[ObjectiveID],tblQuestObjectives[QuestTargetID]),"")</f>
        <v>quest.silk_road.finished</v>
      </c>
      <c r="E128" t="str">
        <f>IFERROR(_xlfn.XLOOKUP(tblStates[[#This Row],[StateID]],tblDependencies[DependencyID],tblDependencies[TargetID]),"")</f>
        <v/>
      </c>
      <c r="F128" t="str">
        <f>_xlfn.XLOOKUP(tblStates[[#This Row],[StateID]],tblTargets[TargetID],tblTargets[StateType],"")</f>
        <v>VISIT</v>
      </c>
      <c r="G128" t="b">
        <v>1</v>
      </c>
    </row>
    <row r="129" spans="1:7">
      <c r="A129" t="s">
        <v>5743</v>
      </c>
      <c r="B129" t="str">
        <f>_xlfn.XLOOKUP(tblStates[[#This Row],[StateID]],tblTargets[TargetID],tblTargets[DisplayName],"")</f>
        <v>Visit Beijing</v>
      </c>
      <c r="C129" t="str">
        <f>IFERROR(_xlfn.XLOOKUP(tblStates[[#This Row],[StateID]],tblQuestObjectives[ObjectiveID],tblQuestObjectives[QuestTargetID]),_xlfn.XLOOKUP(tblStates[[#This Row],[StateID]],tblDependencies[DependencyID],tblDependencies[TargetID]))</f>
        <v>quest.silk_road.finished</v>
      </c>
      <c r="D129" t="str">
        <f>IFERROR(_xlfn.XLOOKUP(tblStates[[#This Row],[StateID]],tblQuestObjectives[ObjectiveID],tblQuestObjectives[QuestTargetID]),"")</f>
        <v>quest.silk_road.finished</v>
      </c>
      <c r="E129" t="str">
        <f>IFERROR(_xlfn.XLOOKUP(tblStates[[#This Row],[StateID]],tblDependencies[DependencyID],tblDependencies[TargetID]),"")</f>
        <v/>
      </c>
      <c r="F129" t="str">
        <f>_xlfn.XLOOKUP(tblStates[[#This Row],[StateID]],tblTargets[TargetID],tblTargets[StateType],"")</f>
        <v>VISIT</v>
      </c>
      <c r="G129" t="b">
        <v>1</v>
      </c>
    </row>
    <row r="130" spans="1:7">
      <c r="A130" t="s">
        <v>5744</v>
      </c>
      <c r="B130" t="str">
        <f>_xlfn.XLOOKUP(tblStates[[#This Row],[StateID]],tblTargets[TargetID],tblTargets[DisplayName],"")</f>
        <v>Visit Cairo</v>
      </c>
      <c r="C130" t="str">
        <f>IFERROR(_xlfn.XLOOKUP(tblStates[[#This Row],[StateID]],tblQuestObjectives[ObjectiveID],tblQuestObjectives[QuestTargetID]),_xlfn.XLOOKUP(tblStates[[#This Row],[StateID]],tblDependencies[DependencyID],tblDependencies[TargetID]))</f>
        <v>quest.silk_road.finished</v>
      </c>
      <c r="D130" t="str">
        <f>IFERROR(_xlfn.XLOOKUP(tblStates[[#This Row],[StateID]],tblQuestObjectives[ObjectiveID],tblQuestObjectives[QuestTargetID]),"")</f>
        <v>quest.silk_road.finished</v>
      </c>
      <c r="E130" t="str">
        <f>IFERROR(_xlfn.XLOOKUP(tblStates[[#This Row],[StateID]],tblDependencies[DependencyID],tblDependencies[TargetID]),"")</f>
        <v/>
      </c>
      <c r="F130" t="str">
        <f>_xlfn.XLOOKUP(tblStates[[#This Row],[StateID]],tblTargets[TargetID],tblTargets[StateType],"")</f>
        <v>VISIT</v>
      </c>
      <c r="G130" t="b">
        <v>1</v>
      </c>
    </row>
    <row r="131" spans="1:7">
      <c r="A131" t="s">
        <v>5745</v>
      </c>
      <c r="B131" t="str">
        <f>_xlfn.XLOOKUP(tblStates[[#This Row],[StateID]],tblTargets[TargetID],tblTargets[DisplayName],"")</f>
        <v>Visit Delhi</v>
      </c>
      <c r="C131" t="str">
        <f>IFERROR(_xlfn.XLOOKUP(tblStates[[#This Row],[StateID]],tblQuestObjectives[ObjectiveID],tblQuestObjectives[QuestTargetID]),_xlfn.XLOOKUP(tblStates[[#This Row],[StateID]],tblDependencies[DependencyID],tblDependencies[TargetID]))</f>
        <v>quest.silk_road.finished</v>
      </c>
      <c r="D131" t="str">
        <f>IFERROR(_xlfn.XLOOKUP(tblStates[[#This Row],[StateID]],tblQuestObjectives[ObjectiveID],tblQuestObjectives[QuestTargetID]),"")</f>
        <v>quest.silk_road.finished</v>
      </c>
      <c r="E131" t="str">
        <f>IFERROR(_xlfn.XLOOKUP(tblStates[[#This Row],[StateID]],tblDependencies[DependencyID],tblDependencies[TargetID]),"")</f>
        <v/>
      </c>
      <c r="F131" t="str">
        <f>_xlfn.XLOOKUP(tblStates[[#This Row],[StateID]],tblTargets[TargetID],tblTargets[StateType],"")</f>
        <v>VISIT</v>
      </c>
      <c r="G131" t="b">
        <v>1</v>
      </c>
    </row>
    <row r="132" spans="1:7">
      <c r="A132" t="s">
        <v>3446</v>
      </c>
      <c r="B132" t="str">
        <f>_xlfn.XLOOKUP(tblStates[[#This Row],[StateID]],tblTargets[TargetID],tblTargets[DisplayName],"")</f>
        <v>Visit Dungeon@4A</v>
      </c>
      <c r="C132" t="str">
        <f>IFERROR(_xlfn.XLOOKUP(tblStates[[#This Row],[StateID]],tblQuestObjectives[ObjectiveID],tblQuestObjectives[QuestTargetID]),_xlfn.XLOOKUP(tblStates[[#This Row],[StateID]],tblDependencies[DependencyID],tblDependencies[TargetID]))</f>
        <v>quest.magic_beans.accepted</v>
      </c>
      <c r="D132" t="str">
        <f>IFERROR(_xlfn.XLOOKUP(tblStates[[#This Row],[StateID]],tblQuestObjectives[ObjectiveID],tblQuestObjectives[QuestTargetID]),"")</f>
        <v/>
      </c>
      <c r="E132" t="str">
        <f>IFERROR(_xlfn.XLOOKUP(tblStates[[#This Row],[StateID]],tblDependencies[DependencyID],tblDependencies[TargetID]),"")</f>
        <v>quest.magic_beans.accepted</v>
      </c>
      <c r="F132" t="str">
        <f>_xlfn.XLOOKUP(tblStates[[#This Row],[StateID]],tblTargets[TargetID],tblTargets[StateType],"")</f>
        <v>VISIT</v>
      </c>
      <c r="G132" t="b">
        <v>1</v>
      </c>
    </row>
    <row r="133" spans="1:7">
      <c r="A133" t="s">
        <v>6042</v>
      </c>
      <c r="B133" t="str">
        <f>_xlfn.XLOOKUP(tblStates[[#This Row],[StateID]],tblTargets[TargetID],tblTargets[DisplayName],"")</f>
        <v xml:space="preserve">Visit Dungeon@5A </v>
      </c>
      <c r="C133" t="str">
        <f>IFERROR(_xlfn.XLOOKUP(tblStates[[#This Row],[StateID]],tblQuestObjectives[ObjectiveID],tblQuestObjectives[QuestTargetID]),_xlfn.XLOOKUP(tblStates[[#This Row],[StateID]],tblDependencies[DependencyID],tblDependencies[TargetID]))</f>
        <v>quest.undead_revenge.accepted</v>
      </c>
      <c r="D133" t="str">
        <f>IFERROR(_xlfn.XLOOKUP(tblStates[[#This Row],[StateID]],tblQuestObjectives[ObjectiveID],tblQuestObjectives[QuestTargetID]),"")</f>
        <v/>
      </c>
      <c r="E133" t="str">
        <f>IFERROR(_xlfn.XLOOKUP(tblStates[[#This Row],[StateID]],tblDependencies[DependencyID],tblDependencies[TargetID]),"")</f>
        <v>quest.undead_revenge.accepted</v>
      </c>
      <c r="F133" t="str">
        <f>_xlfn.XLOOKUP(tblStates[[#This Row],[StateID]],tblTargets[TargetID],tblTargets[StateType],"")</f>
        <v>VISIT</v>
      </c>
      <c r="G133" t="b">
        <v>1</v>
      </c>
    </row>
    <row r="134" spans="1:7">
      <c r="A134" t="s">
        <v>3434</v>
      </c>
      <c r="B134" t="str">
        <f>_xlfn.XLOOKUP(tblStates[[#This Row],[StateID]],tblTargets[TargetID],tblTargets[DisplayName],"")</f>
        <v>Visit Dungeon@6A</v>
      </c>
      <c r="C134" t="str">
        <f>IFERROR(_xlfn.XLOOKUP(tblStates[[#This Row],[StateID]],tblQuestObjectives[ObjectiveID],tblQuestObjectives[QuestTargetID]),_xlfn.XLOOKUP(tblStates[[#This Row],[StateID]],tblDependencies[DependencyID],tblDependencies[TargetID]))</f>
        <v>quest.ahead_of_time_chapter_2.accepted</v>
      </c>
      <c r="D134" t="str">
        <f>IFERROR(_xlfn.XLOOKUP(tblStates[[#This Row],[StateID]],tblQuestObjectives[ObjectiveID],tblQuestObjectives[QuestTargetID]),"")</f>
        <v/>
      </c>
      <c r="E134" t="str">
        <f>IFERROR(_xlfn.XLOOKUP(tblStates[[#This Row],[StateID]],tblDependencies[DependencyID],tblDependencies[TargetID]),"")</f>
        <v>quest.ahead_of_time_chapter_2.accepted</v>
      </c>
      <c r="F134" t="str">
        <f>_xlfn.XLOOKUP(tblStates[[#This Row],[StateID]],tblTargets[TargetID],tblTargets[StateType],"")</f>
        <v>VISIT</v>
      </c>
      <c r="G134" t="b">
        <v>1</v>
      </c>
    </row>
    <row r="135" spans="1:7">
      <c r="A135" t="s">
        <v>6266</v>
      </c>
      <c r="B135" t="str">
        <f>_xlfn.XLOOKUP(tblStates[[#This Row],[StateID]],tblTargets[TargetID],tblTargets[DisplayName],"")</f>
        <v>Visit Dungeon@ 6B</v>
      </c>
      <c r="C135" t="str">
        <f>IFERROR(_xlfn.XLOOKUP(tblStates[[#This Row],[StateID]],tblQuestObjectives[ObjectiveID],tblQuestObjectives[QuestTargetID]),_xlfn.XLOOKUP(tblStates[[#This Row],[StateID]],tblDependencies[DependencyID],tblDependencies[TargetID]))</f>
        <v>quest.the_ordinary_days_of_an_adventurer_chapter_6.accepted</v>
      </c>
      <c r="D135" t="str">
        <f>IFERROR(_xlfn.XLOOKUP(tblStates[[#This Row],[StateID]],tblQuestObjectives[ObjectiveID],tblQuestObjectives[QuestTargetID]),"")</f>
        <v/>
      </c>
      <c r="E135" t="str">
        <f>IFERROR(_xlfn.XLOOKUP(tblStates[[#This Row],[StateID]],tblDependencies[DependencyID],tblDependencies[TargetID]),"")</f>
        <v>quest.the_ordinary_days_of_an_adventurer_chapter_6.accepted</v>
      </c>
      <c r="F135" t="str">
        <f>_xlfn.XLOOKUP(tblStates[[#This Row],[StateID]],tblTargets[TargetID],tblTargets[StateType],"")</f>
        <v>MEET</v>
      </c>
      <c r="G135" t="b">
        <v>1</v>
      </c>
    </row>
    <row r="136" spans="1:7">
      <c r="A136" t="s">
        <v>6105</v>
      </c>
      <c r="B136" t="str">
        <f>_xlfn.XLOOKUP(tblStates[[#This Row],[StateID]],tblTargets[TargetID],tblTargets[DisplayName],"")</f>
        <v>Visit Dungeon@F1</v>
      </c>
      <c r="C136" t="str">
        <f>IFERROR(_xlfn.XLOOKUP(tblStates[[#This Row],[StateID]],tblQuestObjectives[ObjectiveID],tblQuestObjectives[QuestTargetID]),_xlfn.XLOOKUP(tblStates[[#This Row],[StateID]],tblDependencies[DependencyID],tblDependencies[TargetID]))</f>
        <v>quest.once_upon_a_forest_chapter_10.accepted</v>
      </c>
      <c r="D136" t="str">
        <f>IFERROR(_xlfn.XLOOKUP(tblStates[[#This Row],[StateID]],tblQuestObjectives[ObjectiveID],tblQuestObjectives[QuestTargetID]),"")</f>
        <v/>
      </c>
      <c r="E136" t="str">
        <f>IFERROR(_xlfn.XLOOKUP(tblStates[[#This Row],[StateID]],tblDependencies[DependencyID],tblDependencies[TargetID]),"")</f>
        <v>quest.once_upon_a_forest_chapter_10.accepted</v>
      </c>
      <c r="F136" t="str">
        <f>_xlfn.XLOOKUP(tblStates[[#This Row],[StateID]],tblTargets[TargetID],tblTargets[StateType],"")</f>
        <v>MEET</v>
      </c>
      <c r="G136" t="b">
        <v>1</v>
      </c>
    </row>
    <row r="137" spans="1:7">
      <c r="A137" t="s">
        <v>5761</v>
      </c>
      <c r="B137" t="str">
        <f>_xlfn.XLOOKUP(tblStates[[#This Row],[StateID]],tblTargets[TargetID],tblTargets[DisplayName],"")</f>
        <v>Visit Fukushima</v>
      </c>
      <c r="C137" t="str">
        <f>IFERROR(_xlfn.XLOOKUP(tblStates[[#This Row],[StateID]],tblQuestObjectives[ObjectiveID],tblQuestObjectives[QuestTargetID]),_xlfn.XLOOKUP(tblStates[[#This Row],[StateID]],tblDependencies[DependencyID],tblDependencies[TargetID]))</f>
        <v>quest.journey_through_japan_by_train.finished</v>
      </c>
      <c r="D137" t="str">
        <f>IFERROR(_xlfn.XLOOKUP(tblStates[[#This Row],[StateID]],tblQuestObjectives[ObjectiveID],tblQuestObjectives[QuestTargetID]),"")</f>
        <v>quest.journey_through_japan_by_train.finished</v>
      </c>
      <c r="E137" t="str">
        <f>IFERROR(_xlfn.XLOOKUP(tblStates[[#This Row],[StateID]],tblDependencies[DependencyID],tblDependencies[TargetID]),"")</f>
        <v/>
      </c>
      <c r="F137" t="str">
        <f>_xlfn.XLOOKUP(tblStates[[#This Row],[StateID]],tblTargets[TargetID],tblTargets[StateType],"")</f>
        <v>VISIT</v>
      </c>
      <c r="G137" t="b">
        <v>1</v>
      </c>
    </row>
    <row r="138" spans="1:7">
      <c r="A138" t="s">
        <v>5746</v>
      </c>
      <c r="B138" t="str">
        <f>_xlfn.XLOOKUP(tblStates[[#This Row],[StateID]],tblTargets[TargetID],tblTargets[DisplayName],"")</f>
        <v>Visit Kyiv</v>
      </c>
      <c r="C138" t="str">
        <f>IFERROR(_xlfn.XLOOKUP(tblStates[[#This Row],[StateID]],tblQuestObjectives[ObjectiveID],tblQuestObjectives[QuestTargetID]),_xlfn.XLOOKUP(tblStates[[#This Row],[StateID]],tblDependencies[DependencyID],tblDependencies[TargetID]))</f>
        <v>quest.silk_road.finished</v>
      </c>
      <c r="D138" t="str">
        <f>IFERROR(_xlfn.XLOOKUP(tblStates[[#This Row],[StateID]],tblQuestObjectives[ObjectiveID],tblQuestObjectives[QuestTargetID]),"")</f>
        <v>quest.silk_road.finished</v>
      </c>
      <c r="E138" t="str">
        <f>IFERROR(_xlfn.XLOOKUP(tblStates[[#This Row],[StateID]],tblDependencies[DependencyID],tblDependencies[TargetID]),"")</f>
        <v/>
      </c>
      <c r="F138" t="str">
        <f>_xlfn.XLOOKUP(tblStates[[#This Row],[StateID]],tblTargets[TargetID],tblTargets[StateType],"")</f>
        <v>VISIT</v>
      </c>
      <c r="G138" t="b">
        <v>1</v>
      </c>
    </row>
    <row r="139" spans="1:7">
      <c r="A139" t="s">
        <v>5762</v>
      </c>
      <c r="B139" t="str">
        <f>_xlfn.XLOOKUP(tblStates[[#This Row],[StateID]],tblTargets[TargetID],tblTargets[DisplayName],"")</f>
        <v>Visit Kyoto</v>
      </c>
      <c r="C139" t="str">
        <f>IFERROR(_xlfn.XLOOKUP(tblStates[[#This Row],[StateID]],tblQuestObjectives[ObjectiveID],tblQuestObjectives[QuestTargetID]),_xlfn.XLOOKUP(tblStates[[#This Row],[StateID]],tblDependencies[DependencyID],tblDependencies[TargetID]))</f>
        <v>quest.journey_through_japan_by_train.finished</v>
      </c>
      <c r="D139" t="str">
        <f>IFERROR(_xlfn.XLOOKUP(tblStates[[#This Row],[StateID]],tblQuestObjectives[ObjectiveID],tblQuestObjectives[QuestTargetID]),"")</f>
        <v>quest.journey_through_japan_by_train.finished</v>
      </c>
      <c r="E139" t="str">
        <f>IFERROR(_xlfn.XLOOKUP(tblStates[[#This Row],[StateID]],tblDependencies[DependencyID],tblDependencies[TargetID]),"")</f>
        <v/>
      </c>
      <c r="F139" t="str">
        <f>_xlfn.XLOOKUP(tblStates[[#This Row],[StateID]],tblTargets[TargetID],tblTargets[StateType],"")</f>
        <v>VISIT</v>
      </c>
      <c r="G139" t="b">
        <v>1</v>
      </c>
    </row>
    <row r="140" spans="1:7">
      <c r="A140" t="s">
        <v>5705</v>
      </c>
      <c r="B140" t="str">
        <f>_xlfn.XLOOKUP(tblStates[[#This Row],[StateID]],tblTargets[TargetID],tblTargets[DisplayName],"")</f>
        <v>Visit Melbourne in Airship</v>
      </c>
      <c r="C140" t="str">
        <f>IFERROR(_xlfn.XLOOKUP(tblStates[[#This Row],[StateID]],tblQuestObjectives[ObjectiveID],tblQuestObjectives[QuestTargetID]),_xlfn.XLOOKUP(tblStates[[#This Row],[StateID]],tblDependencies[DependencyID],tblDependencies[TargetID]))</f>
        <v>quest.once_upon_a_forest_chapter_11.finished</v>
      </c>
      <c r="D140" t="str">
        <f>IFERROR(_xlfn.XLOOKUP(tblStates[[#This Row],[StateID]],tblQuestObjectives[ObjectiveID],tblQuestObjectives[QuestTargetID]),"")</f>
        <v>quest.once_upon_a_forest_chapter_11.finished</v>
      </c>
      <c r="E140" t="str">
        <f>IFERROR(_xlfn.XLOOKUP(tblStates[[#This Row],[StateID]],tblDependencies[DependencyID],tblDependencies[TargetID]),"")</f>
        <v/>
      </c>
      <c r="F140" t="str">
        <f>_xlfn.XLOOKUP(tblStates[[#This Row],[StateID]],tblTargets[TargetID],tblTargets[StateType],"")</f>
        <v>VISIT</v>
      </c>
      <c r="G140" t="b">
        <v>1</v>
      </c>
    </row>
    <row r="141" spans="1:7">
      <c r="A141" t="s">
        <v>5763</v>
      </c>
      <c r="B141" t="str">
        <f>_xlfn.XLOOKUP(tblStates[[#This Row],[StateID]],tblTargets[TargetID],tblTargets[DisplayName],"")</f>
        <v>Visit Nagasaki</v>
      </c>
      <c r="C141" t="str">
        <f>IFERROR(_xlfn.XLOOKUP(tblStates[[#This Row],[StateID]],tblQuestObjectives[ObjectiveID],tblQuestObjectives[QuestTargetID]),_xlfn.XLOOKUP(tblStates[[#This Row],[StateID]],tblDependencies[DependencyID],tblDependencies[TargetID]))</f>
        <v>quest.journey_through_japan_by_train.finished</v>
      </c>
      <c r="D141" t="str">
        <f>IFERROR(_xlfn.XLOOKUP(tblStates[[#This Row],[StateID]],tblQuestObjectives[ObjectiveID],tblQuestObjectives[QuestTargetID]),"")</f>
        <v>quest.journey_through_japan_by_train.finished</v>
      </c>
      <c r="E141" t="str">
        <f>IFERROR(_xlfn.XLOOKUP(tblStates[[#This Row],[StateID]],tblDependencies[DependencyID],tblDependencies[TargetID]),"")</f>
        <v/>
      </c>
      <c r="F141" t="str">
        <f>_xlfn.XLOOKUP(tblStates[[#This Row],[StateID]],tblTargets[TargetID],tblTargets[StateType],"")</f>
        <v>VISIT</v>
      </c>
      <c r="G141" t="b">
        <v>1</v>
      </c>
    </row>
    <row r="142" spans="1:7">
      <c r="A142" t="s">
        <v>5764</v>
      </c>
      <c r="B142" t="str">
        <f>_xlfn.XLOOKUP(tblStates[[#This Row],[StateID]],tblTargets[TargetID],tblTargets[DisplayName],"")</f>
        <v>Visit Osaka</v>
      </c>
      <c r="C142" t="str">
        <f>IFERROR(_xlfn.XLOOKUP(tblStates[[#This Row],[StateID]],tblQuestObjectives[ObjectiveID],tblQuestObjectives[QuestTargetID]),_xlfn.XLOOKUP(tblStates[[#This Row],[StateID]],tblDependencies[DependencyID],tblDependencies[TargetID]))</f>
        <v>quest.journey_through_japan_by_train.finished</v>
      </c>
      <c r="D142" t="str">
        <f>IFERROR(_xlfn.XLOOKUP(tblStates[[#This Row],[StateID]],tblQuestObjectives[ObjectiveID],tblQuestObjectives[QuestTargetID]),"")</f>
        <v>quest.journey_through_japan_by_train.finished</v>
      </c>
      <c r="E142" t="str">
        <f>IFERROR(_xlfn.XLOOKUP(tblStates[[#This Row],[StateID]],tblDependencies[DependencyID],tblDependencies[TargetID]),"")</f>
        <v/>
      </c>
      <c r="F142" t="str">
        <f>_xlfn.XLOOKUP(tblStates[[#This Row],[StateID]],tblTargets[TargetID],tblTargets[StateType],"")</f>
        <v>VISIT</v>
      </c>
      <c r="G142" t="b">
        <v>1</v>
      </c>
    </row>
    <row r="143" spans="1:7">
      <c r="A143" t="s">
        <v>5688</v>
      </c>
      <c r="B143" t="str">
        <f>_xlfn.XLOOKUP(tblStates[[#This Row],[StateID]],tblTargets[TargetID],tblTargets[DisplayName],"")</f>
        <v>Visit Paris in the Airship</v>
      </c>
      <c r="C143" t="str">
        <f>IFERROR(_xlfn.XLOOKUP(tblStates[[#This Row],[StateID]],tblQuestObjectives[ObjectiveID],tblQuestObjectives[QuestTargetID]),_xlfn.XLOOKUP(tblStates[[#This Row],[StateID]],tblDependencies[DependencyID],tblDependencies[TargetID]))</f>
        <v>quest.the_ordinary_days_of_an_adventurer_chapter_8.finished</v>
      </c>
      <c r="D143" t="str">
        <f>IFERROR(_xlfn.XLOOKUP(tblStates[[#This Row],[StateID]],tblQuestObjectives[ObjectiveID],tblQuestObjectives[QuestTargetID]),"")</f>
        <v>quest.the_ordinary_days_of_an_adventurer_chapter_8.finished</v>
      </c>
      <c r="E143" t="str">
        <f>IFERROR(_xlfn.XLOOKUP(tblStates[[#This Row],[StateID]],tblDependencies[DependencyID],tblDependencies[TargetID]),"")</f>
        <v/>
      </c>
      <c r="F143" t="str">
        <f>_xlfn.XLOOKUP(tblStates[[#This Row],[StateID]],tblTargets[TargetID],tblTargets[StateType],"")</f>
        <v>VISIT</v>
      </c>
      <c r="G143" t="b">
        <v>1</v>
      </c>
    </row>
    <row r="144" spans="1:7">
      <c r="A144" t="s">
        <v>5747</v>
      </c>
      <c r="B144" t="str">
        <f>_xlfn.XLOOKUP(tblStates[[#This Row],[StateID]],tblTargets[TargetID],tblTargets[DisplayName],"")</f>
        <v>Visit Rome</v>
      </c>
      <c r="C144" t="str">
        <f>IFERROR(_xlfn.XLOOKUP(tblStates[[#This Row],[StateID]],tblQuestObjectives[ObjectiveID],tblQuestObjectives[QuestTargetID]),_xlfn.XLOOKUP(tblStates[[#This Row],[StateID]],tblDependencies[DependencyID],tblDependencies[TargetID]))</f>
        <v>quest.silk_road.finished</v>
      </c>
      <c r="D144" t="str">
        <f>IFERROR(_xlfn.XLOOKUP(tblStates[[#This Row],[StateID]],tblQuestObjectives[ObjectiveID],tblQuestObjectives[QuestTargetID]),"")</f>
        <v>quest.silk_road.finished</v>
      </c>
      <c r="E144" t="str">
        <f>IFERROR(_xlfn.XLOOKUP(tblStates[[#This Row],[StateID]],tblDependencies[DependencyID],tblDependencies[TargetID]),"")</f>
        <v/>
      </c>
      <c r="F144" t="str">
        <f>_xlfn.XLOOKUP(tblStates[[#This Row],[StateID]],tblTargets[TargetID],tblTargets[StateType],"")</f>
        <v>VISIT</v>
      </c>
      <c r="G144" t="b">
        <v>1</v>
      </c>
    </row>
    <row r="145" spans="1:7">
      <c r="A145" t="s">
        <v>5765</v>
      </c>
      <c r="B145" t="str">
        <f>_xlfn.XLOOKUP(tblStates[[#This Row],[StateID]],tblTargets[TargetID],tblTargets[DisplayName],"")</f>
        <v>Visit Tokyo</v>
      </c>
      <c r="C145" t="str">
        <f>IFERROR(_xlfn.XLOOKUP(tblStates[[#This Row],[StateID]],tblQuestObjectives[ObjectiveID],tblQuestObjectives[QuestTargetID]),_xlfn.XLOOKUP(tblStates[[#This Row],[StateID]],tblDependencies[DependencyID],tblDependencies[TargetID]))</f>
        <v>quest.journey_through_japan_by_train.finished</v>
      </c>
      <c r="D145" t="str">
        <f>IFERROR(_xlfn.XLOOKUP(tblStates[[#This Row],[StateID]],tblQuestObjectives[ObjectiveID],tblQuestObjectives[QuestTargetID]),"")</f>
        <v>quest.journey_through_japan_by_train.finished</v>
      </c>
      <c r="E145" t="str">
        <f>IFERROR(_xlfn.XLOOKUP(tblStates[[#This Row],[StateID]],tblDependencies[DependencyID],tblDependencies[TargetID]),"")</f>
        <v/>
      </c>
      <c r="F145" t="str">
        <f>_xlfn.XLOOKUP(tblStates[[#This Row],[StateID]],tblTargets[TargetID],tblTargets[StateType],"")</f>
        <v>VISIT</v>
      </c>
      <c r="G145" t="b">
        <v>1</v>
      </c>
    </row>
    <row r="146" spans="1:7">
      <c r="A146" t="s">
        <v>5766</v>
      </c>
      <c r="B146" t="str">
        <f>_xlfn.XLOOKUP(tblStates[[#This Row],[StateID]],tblTargets[TargetID],tblTargets[DisplayName],"")</f>
        <v>Visit Wakayama</v>
      </c>
      <c r="C146" t="str">
        <f>IFERROR(_xlfn.XLOOKUP(tblStates[[#This Row],[StateID]],tblQuestObjectives[ObjectiveID],tblQuestObjectives[QuestTargetID]),_xlfn.XLOOKUP(tblStates[[#This Row],[StateID]],tblDependencies[DependencyID],tblDependencies[TargetID]))</f>
        <v>quest.journey_through_japan_by_train.finished</v>
      </c>
      <c r="D146" t="str">
        <f>IFERROR(_xlfn.XLOOKUP(tblStates[[#This Row],[StateID]],tblQuestObjectives[ObjectiveID],tblQuestObjectives[QuestTargetID]),"")</f>
        <v>quest.journey_through_japan_by_train.finished</v>
      </c>
      <c r="E146" t="str">
        <f>IFERROR(_xlfn.XLOOKUP(tblStates[[#This Row],[StateID]],tblDependencies[DependencyID],tblDependencies[TargetID]),"")</f>
        <v/>
      </c>
      <c r="F146" t="str">
        <f>_xlfn.XLOOKUP(tblStates[[#This Row],[StateID]],tblTargets[TargetID],tblTargets[StateType],"")</f>
        <v>VISIT</v>
      </c>
      <c r="G146" t="b">
        <v>1</v>
      </c>
    </row>
    <row r="147" spans="1:7">
      <c r="A147" t="s">
        <v>5748</v>
      </c>
      <c r="B147" t="str">
        <f>_xlfn.XLOOKUP(tblStates[[#This Row],[StateID]],tblTargets[TargetID],tblTargets[DisplayName],"")</f>
        <v>Visit Xian</v>
      </c>
      <c r="C147" t="str">
        <f>IFERROR(_xlfn.XLOOKUP(tblStates[[#This Row],[StateID]],tblQuestObjectives[ObjectiveID],tblQuestObjectives[QuestTargetID]),_xlfn.XLOOKUP(tblStates[[#This Row],[StateID]],tblDependencies[DependencyID],tblDependencies[TargetID]))</f>
        <v>quest.silk_road.finished</v>
      </c>
      <c r="D147" t="str">
        <f>IFERROR(_xlfn.XLOOKUP(tblStates[[#This Row],[StateID]],tblQuestObjectives[ObjectiveID],tblQuestObjectives[QuestTargetID]),"")</f>
        <v>quest.silk_road.finished</v>
      </c>
      <c r="E147" t="str">
        <f>IFERROR(_xlfn.XLOOKUP(tblStates[[#This Row],[StateID]],tblDependencies[DependencyID],tblDependencies[TargetID]),"")</f>
        <v/>
      </c>
      <c r="F147" t="str">
        <f>_xlfn.XLOOKUP(tblStates[[#This Row],[StateID]],tblTargets[TargetID],tblTargets[StateType],"")</f>
        <v>VISIT</v>
      </c>
      <c r="G147" t="b">
        <v>1</v>
      </c>
    </row>
  </sheetData>
  <phoneticPr fontId="4"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688D-B113-4092-8A89-71F22C412DFB}">
  <sheetPr>
    <tabColor rgb="FF00B050"/>
  </sheetPr>
  <dimension ref="A1:CU120"/>
  <sheetViews>
    <sheetView workbookViewId="0"/>
  </sheetViews>
  <sheetFormatPr defaultColWidth="30.36328125" defaultRowHeight="14.5"/>
  <cols>
    <col min="1" max="1" width="27.81640625" style="2" customWidth="1"/>
    <col min="2" max="2" width="26.453125" style="2" bestFit="1" customWidth="1"/>
    <col min="3" max="3" width="26.7265625" style="2" bestFit="1" customWidth="1"/>
    <col min="4" max="4" width="35.54296875" style="2" bestFit="1" customWidth="1"/>
    <col min="5" max="5" width="11.453125" style="2" bestFit="1" customWidth="1"/>
    <col min="6" max="6" width="13.81640625" style="2" bestFit="1" customWidth="1"/>
    <col min="7" max="7" width="40.7265625" style="2" bestFit="1" customWidth="1"/>
    <col min="8" max="8" width="14" style="2" bestFit="1" customWidth="1"/>
    <col min="9" max="9" width="26.90625" style="2" customWidth="1"/>
    <col min="10" max="10" width="27.26953125" style="2" customWidth="1"/>
    <col min="11" max="11" width="26.453125" style="2" customWidth="1"/>
    <col min="12" max="12" width="25.1796875" style="2" customWidth="1"/>
    <col min="13" max="13" width="30.36328125" style="2" bestFit="1" customWidth="1"/>
    <col min="14" max="14" width="14.6328125" style="31" bestFit="1" customWidth="1"/>
    <col min="15" max="15" width="18" style="31" bestFit="1" customWidth="1"/>
    <col min="16" max="16" width="12.81640625" style="2" bestFit="1" customWidth="1"/>
    <col min="17" max="17" width="8.453125" style="2" bestFit="1" customWidth="1"/>
    <col min="18" max="18" width="11.453125" style="2" bestFit="1" customWidth="1"/>
    <col min="19" max="19" width="12.36328125" style="2" bestFit="1" customWidth="1"/>
    <col min="20" max="20" width="10.1796875" style="2" bestFit="1" customWidth="1"/>
    <col min="21" max="21" width="10.6328125" style="2" bestFit="1" customWidth="1"/>
    <col min="22" max="22" width="14.90625" style="2" bestFit="1" customWidth="1"/>
    <col min="23" max="23" width="13.26953125" style="2" bestFit="1" customWidth="1"/>
    <col min="24" max="25" width="13.26953125" style="2" customWidth="1"/>
    <col min="26" max="26" width="12.08984375" style="2" bestFit="1" customWidth="1"/>
    <col min="27" max="27" width="12.6328125" style="2" bestFit="1" customWidth="1"/>
    <col min="28" max="28" width="14.08984375" style="2" bestFit="1" customWidth="1"/>
    <col min="29" max="29" width="12.81640625" style="2" bestFit="1" customWidth="1"/>
    <col min="30" max="30" width="9.1796875" style="2" bestFit="1" customWidth="1"/>
    <col min="31" max="31" width="10.90625" style="2" bestFit="1" customWidth="1"/>
    <col min="32" max="32" width="12.90625" style="2" bestFit="1" customWidth="1"/>
    <col min="33" max="33" width="8.453125" style="2" bestFit="1" customWidth="1"/>
    <col min="34" max="34" width="9.81640625" style="2" bestFit="1" customWidth="1"/>
    <col min="35" max="35" width="12.08984375" style="2" bestFit="1" customWidth="1"/>
    <col min="36" max="36" width="8.1796875" style="2" bestFit="1" customWidth="1"/>
    <col min="37" max="37" width="12.81640625" style="2" bestFit="1" customWidth="1"/>
    <col min="38" max="38" width="13.1796875" style="2" bestFit="1" customWidth="1"/>
    <col min="39" max="39" width="10.90625" style="2" bestFit="1" customWidth="1"/>
    <col min="40" max="40" width="9.54296875" style="2" bestFit="1" customWidth="1"/>
    <col min="41" max="41" width="10.08984375" style="2" bestFit="1" customWidth="1"/>
    <col min="42" max="42" width="11" style="2" bestFit="1" customWidth="1"/>
    <col min="43" max="43" width="9.81640625" style="2" bestFit="1" customWidth="1"/>
    <col min="44" max="44" width="10.1796875" style="2" bestFit="1" customWidth="1"/>
    <col min="45" max="45" width="16.1796875" style="2" bestFit="1" customWidth="1"/>
    <col min="46" max="46" width="12.6328125" style="2" bestFit="1" customWidth="1"/>
    <col min="47" max="47" width="14.90625" style="2" bestFit="1" customWidth="1"/>
    <col min="48" max="48" width="10.36328125" style="2" bestFit="1" customWidth="1"/>
    <col min="49" max="49" width="9.26953125" style="2" bestFit="1" customWidth="1"/>
    <col min="50" max="50" width="10.7265625" style="2" bestFit="1" customWidth="1"/>
    <col min="51" max="51" width="9.453125" style="2" bestFit="1" customWidth="1"/>
    <col min="52" max="52" width="9.81640625" style="2" bestFit="1" customWidth="1"/>
    <col min="53" max="53" width="13.81640625" style="2" bestFit="1" customWidth="1"/>
    <col min="54" max="54" width="15.36328125" style="2" bestFit="1" customWidth="1"/>
    <col min="55" max="55" width="12.54296875" style="2" bestFit="1" customWidth="1"/>
    <col min="56" max="56" width="14" style="2" bestFit="1" customWidth="1"/>
    <col min="57" max="57" width="9.1796875" style="2" bestFit="1" customWidth="1"/>
    <col min="58" max="58" width="10.453125" style="2" bestFit="1" customWidth="1"/>
    <col min="59" max="59" width="14.36328125" style="2" bestFit="1" customWidth="1"/>
    <col min="60" max="60" width="12.54296875" style="2" bestFit="1" customWidth="1"/>
    <col min="61" max="61" width="11.453125" style="2" bestFit="1" customWidth="1"/>
    <col min="62" max="62" width="8.1796875" style="2" bestFit="1" customWidth="1"/>
    <col min="63" max="63" width="7.6328125" style="2" bestFit="1" customWidth="1"/>
    <col min="64" max="64" width="10.90625" style="2" bestFit="1" customWidth="1"/>
    <col min="65" max="65" width="9.54296875" style="2" bestFit="1" customWidth="1"/>
    <col min="66" max="66" width="10.36328125" style="2" bestFit="1" customWidth="1"/>
    <col min="67" max="67" width="10.36328125" style="2" customWidth="1"/>
    <col min="68" max="68" width="10.08984375" style="2" bestFit="1" customWidth="1"/>
    <col min="69" max="69" width="8.7265625" style="2" bestFit="1" customWidth="1"/>
    <col min="70" max="70" width="9.6328125" style="2" bestFit="1" customWidth="1"/>
    <col min="71" max="71" width="10.7265625" style="2" bestFit="1" customWidth="1"/>
    <col min="72" max="72" width="12" style="2" bestFit="1" customWidth="1"/>
    <col min="73" max="73" width="14" style="2" bestFit="1" customWidth="1"/>
    <col min="74" max="74" width="15.90625" style="2" bestFit="1" customWidth="1"/>
    <col min="75" max="75" width="8.7265625" style="2" bestFit="1" customWidth="1"/>
    <col min="76" max="76" width="9.6328125" style="2" bestFit="1" customWidth="1"/>
    <col min="77" max="77" width="9.26953125" style="2" bestFit="1" customWidth="1"/>
    <col min="78" max="80" width="11.7265625" style="2" bestFit="1" customWidth="1"/>
    <col min="81" max="82" width="8.453125" style="2" bestFit="1" customWidth="1"/>
    <col min="83" max="83" width="11" style="2" bestFit="1" customWidth="1"/>
    <col min="84" max="84" width="15.08984375" style="2" bestFit="1" customWidth="1"/>
    <col min="85" max="85" width="9.81640625" style="2" bestFit="1" customWidth="1"/>
    <col min="86" max="86" width="10.36328125" style="2" bestFit="1" customWidth="1"/>
    <col min="87" max="87" width="14.54296875" style="2" bestFit="1" customWidth="1"/>
    <col min="88" max="88" width="10.08984375" style="2" bestFit="1" customWidth="1"/>
    <col min="89" max="90" width="11.54296875" style="2" bestFit="1" customWidth="1"/>
    <col min="91" max="91" width="11" style="2" bestFit="1" customWidth="1"/>
    <col min="92" max="92" width="12.6328125" style="2" bestFit="1" customWidth="1"/>
    <col min="93" max="93" width="9" style="2" bestFit="1" customWidth="1"/>
    <col min="94" max="94" width="10.453125" style="2" bestFit="1" customWidth="1"/>
    <col min="95" max="95" width="9.26953125" style="2" bestFit="1" customWidth="1"/>
    <col min="96" max="96" width="10.90625" style="2" bestFit="1" customWidth="1"/>
    <col min="97" max="97" width="16.1796875" style="2" bestFit="1" customWidth="1"/>
    <col min="98" max="98" width="10.6328125" style="2" bestFit="1" customWidth="1"/>
    <col min="99" max="99" width="10.08984375" style="2" bestFit="1" customWidth="1"/>
    <col min="100" max="100" width="7.6328125" style="2" customWidth="1"/>
    <col min="101" max="16384" width="30.36328125" style="2"/>
  </cols>
  <sheetData>
    <row r="1" spans="1:99">
      <c r="A1" s="2" t="s">
        <v>725</v>
      </c>
      <c r="B1" s="2" t="s">
        <v>6</v>
      </c>
      <c r="C1" s="2" t="s">
        <v>727</v>
      </c>
      <c r="D1" s="2" t="s">
        <v>8</v>
      </c>
      <c r="E1" s="2" t="s">
        <v>11</v>
      </c>
      <c r="F1" s="2" t="s">
        <v>726</v>
      </c>
      <c r="G1" s="12" t="s">
        <v>922</v>
      </c>
      <c r="H1" s="12" t="s">
        <v>923</v>
      </c>
      <c r="I1" s="12" t="s">
        <v>552</v>
      </c>
      <c r="J1" s="12" t="s">
        <v>568</v>
      </c>
      <c r="K1" s="12" t="s">
        <v>924</v>
      </c>
      <c r="L1" s="12" t="s">
        <v>925</v>
      </c>
      <c r="M1" s="12" t="s">
        <v>241</v>
      </c>
      <c r="N1" s="36" t="s">
        <v>3656</v>
      </c>
      <c r="O1" s="30" t="s">
        <v>3657</v>
      </c>
      <c r="P1" s="12" t="s">
        <v>926</v>
      </c>
      <c r="Q1" s="12" t="s">
        <v>655</v>
      </c>
      <c r="R1" s="12" t="s">
        <v>927</v>
      </c>
      <c r="S1" s="12" t="s">
        <v>657</v>
      </c>
      <c r="T1" s="12" t="s">
        <v>658</v>
      </c>
      <c r="U1" s="12" t="s">
        <v>659</v>
      </c>
      <c r="V1" s="12" t="s">
        <v>661</v>
      </c>
      <c r="W1" s="12" t="s">
        <v>662</v>
      </c>
      <c r="X1" s="12" t="s">
        <v>3653</v>
      </c>
      <c r="Y1" s="12" t="s">
        <v>3652</v>
      </c>
      <c r="Z1" s="12" t="s">
        <v>928</v>
      </c>
      <c r="AA1" s="12" t="s">
        <v>663</v>
      </c>
      <c r="AB1" s="12" t="s">
        <v>664</v>
      </c>
      <c r="AC1" s="12" t="s">
        <v>929</v>
      </c>
      <c r="AD1" s="12" t="s">
        <v>666</v>
      </c>
      <c r="AE1" s="12" t="s">
        <v>667</v>
      </c>
      <c r="AF1" s="12" t="s">
        <v>930</v>
      </c>
      <c r="AG1" s="12" t="s">
        <v>669</v>
      </c>
      <c r="AH1" s="12" t="s">
        <v>931</v>
      </c>
      <c r="AI1" s="12" t="s">
        <v>670</v>
      </c>
      <c r="AJ1" s="12" t="s">
        <v>671</v>
      </c>
      <c r="AK1" s="12" t="s">
        <v>932</v>
      </c>
      <c r="AL1" s="12" t="s">
        <v>933</v>
      </c>
      <c r="AM1" s="12" t="s">
        <v>672</v>
      </c>
      <c r="AN1" s="12" t="s">
        <v>934</v>
      </c>
      <c r="AO1" s="12" t="s">
        <v>673</v>
      </c>
      <c r="AP1" s="12" t="s">
        <v>935</v>
      </c>
      <c r="AQ1" s="12" t="s">
        <v>674</v>
      </c>
      <c r="AR1" s="12" t="s">
        <v>936</v>
      </c>
      <c r="AS1" s="12" t="s">
        <v>676</v>
      </c>
      <c r="AT1" s="12" t="s">
        <v>677</v>
      </c>
      <c r="AU1" s="12" t="s">
        <v>678</v>
      </c>
      <c r="AV1" s="12" t="s">
        <v>679</v>
      </c>
      <c r="AW1" s="12" t="s">
        <v>937</v>
      </c>
      <c r="AX1" s="12" t="s">
        <v>938</v>
      </c>
      <c r="AY1" s="12" t="s">
        <v>939</v>
      </c>
      <c r="AZ1" s="12" t="s">
        <v>680</v>
      </c>
      <c r="BA1" s="12" t="s">
        <v>940</v>
      </c>
      <c r="BB1" s="12" t="s">
        <v>686</v>
      </c>
      <c r="BC1" s="12" t="s">
        <v>687</v>
      </c>
      <c r="BD1" s="12" t="s">
        <v>688</v>
      </c>
      <c r="BE1" s="12" t="s">
        <v>689</v>
      </c>
      <c r="BF1" s="12" t="s">
        <v>690</v>
      </c>
      <c r="BG1" s="12" t="s">
        <v>941</v>
      </c>
      <c r="BH1" s="12" t="s">
        <v>692</v>
      </c>
      <c r="BI1" s="12" t="s">
        <v>693</v>
      </c>
      <c r="BJ1" s="12" t="s">
        <v>942</v>
      </c>
      <c r="BK1" s="12" t="s">
        <v>695</v>
      </c>
      <c r="BL1" s="12" t="s">
        <v>943</v>
      </c>
      <c r="BM1" s="12" t="s">
        <v>696</v>
      </c>
      <c r="BN1" s="12" t="s">
        <v>697</v>
      </c>
      <c r="BO1" s="12" t="s">
        <v>698</v>
      </c>
      <c r="BP1" s="12" t="s">
        <v>701</v>
      </c>
      <c r="BQ1" s="12" t="s">
        <v>944</v>
      </c>
      <c r="BR1" s="12" t="s">
        <v>945</v>
      </c>
      <c r="BS1" s="12" t="s">
        <v>703</v>
      </c>
      <c r="BT1" s="12" t="s">
        <v>705</v>
      </c>
      <c r="BU1" s="12" t="s">
        <v>706</v>
      </c>
      <c r="BV1" s="12" t="s">
        <v>946</v>
      </c>
      <c r="BW1" s="12" t="s">
        <v>707</v>
      </c>
      <c r="BX1" s="12" t="s">
        <v>947</v>
      </c>
      <c r="BY1" s="12" t="s">
        <v>708</v>
      </c>
      <c r="BZ1" s="12" t="s">
        <v>948</v>
      </c>
      <c r="CA1" s="12" t="s">
        <v>949</v>
      </c>
      <c r="CB1" s="12" t="s">
        <v>950</v>
      </c>
      <c r="CC1" s="12" t="s">
        <v>711</v>
      </c>
      <c r="CD1" s="12" t="s">
        <v>713</v>
      </c>
      <c r="CE1" s="12" t="s">
        <v>715</v>
      </c>
      <c r="CF1" s="12" t="s">
        <v>911</v>
      </c>
      <c r="CG1" s="12" t="s">
        <v>716</v>
      </c>
      <c r="CH1" s="12" t="s">
        <v>717</v>
      </c>
      <c r="CI1" s="12" t="s">
        <v>951</v>
      </c>
      <c r="CJ1" s="12" t="s">
        <v>718</v>
      </c>
      <c r="CK1" s="12" t="s">
        <v>952</v>
      </c>
      <c r="CL1" s="12" t="s">
        <v>953</v>
      </c>
      <c r="CM1" s="12" t="s">
        <v>719</v>
      </c>
      <c r="CN1" s="12" t="s">
        <v>720</v>
      </c>
      <c r="CO1" s="12" t="s">
        <v>954</v>
      </c>
      <c r="CP1" s="12" t="s">
        <v>955</v>
      </c>
      <c r="CQ1" s="12" t="s">
        <v>956</v>
      </c>
      <c r="CR1" s="12" t="s">
        <v>957</v>
      </c>
      <c r="CS1" s="12" t="s">
        <v>958</v>
      </c>
      <c r="CT1" s="12" t="s">
        <v>722</v>
      </c>
      <c r="CU1" s="17" t="s">
        <v>723</v>
      </c>
    </row>
    <row r="2" spans="1:99" ht="58" hidden="1">
      <c r="A2" s="2" t="s">
        <v>2093</v>
      </c>
      <c r="B2" s="2" t="s">
        <v>833</v>
      </c>
      <c r="C2" s="2" t="s">
        <v>744</v>
      </c>
      <c r="D2" s="2" t="str">
        <f>_xlfn.XLOOKUP(tblTechnologies[[#This Row],[TechnologyID]],tblTargets[TargetID],tblTargets[DisplayName],"")</f>
        <v>Airship - Titanium Longerons</v>
      </c>
      <c r="E2" s="2" t="b">
        <v>1</v>
      </c>
      <c r="F2" s="2" t="s">
        <v>14</v>
      </c>
      <c r="G2" s="18" t="s">
        <v>959</v>
      </c>
      <c r="H2" s="13" t="s">
        <v>728</v>
      </c>
      <c r="I2" s="13" t="s">
        <v>960</v>
      </c>
      <c r="J2" s="13" t="s">
        <v>961</v>
      </c>
      <c r="K2" s="13" t="s">
        <v>962</v>
      </c>
      <c r="L2" s="13" t="s">
        <v>963</v>
      </c>
      <c r="M2" s="13" t="s">
        <v>964</v>
      </c>
      <c r="N2" s="31">
        <f>IF(tblTechnologies[[#This Row],[costtext]]="", 0, LEN(tblTechnologies[[#This Row],[costtext]]) - LEN(SUBSTITUTE(tblTechnologies[[#This Row],[costtext]], ",", "")) + 1)</f>
        <v>6</v>
      </c>
      <c r="O2" s="31">
        <f>COUNTA(tblTechnologies[[#This Row],[amazake]:[wood]])</f>
        <v>6</v>
      </c>
      <c r="P2" s="13"/>
      <c r="Q2" s="13">
        <v>10</v>
      </c>
      <c r="R2" s="13"/>
      <c r="S2" s="13"/>
      <c r="T2" s="13"/>
      <c r="U2" s="13"/>
      <c r="V2" s="13"/>
      <c r="W2" s="13">
        <v>30</v>
      </c>
      <c r="X2" s="13"/>
      <c r="Y2" s="13"/>
      <c r="Z2" s="13"/>
      <c r="AA2" s="13"/>
      <c r="AB2" s="13"/>
      <c r="AC2" s="13"/>
      <c r="AD2" s="13">
        <v>1000</v>
      </c>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v>20</v>
      </c>
      <c r="BU2" s="13"/>
      <c r="BV2" s="13"/>
      <c r="BW2" s="13"/>
      <c r="BX2" s="13"/>
      <c r="BY2" s="13">
        <v>5</v>
      </c>
      <c r="BZ2" s="13"/>
      <c r="CA2" s="13"/>
      <c r="CB2" s="13"/>
      <c r="CC2" s="13"/>
      <c r="CD2" s="13"/>
      <c r="CE2" s="13"/>
      <c r="CF2" s="13"/>
      <c r="CG2" s="13"/>
      <c r="CH2" s="13"/>
      <c r="CI2" s="13"/>
      <c r="CJ2" s="13"/>
      <c r="CK2" s="13"/>
      <c r="CL2" s="13"/>
      <c r="CM2" s="13"/>
      <c r="CN2" s="13"/>
      <c r="CO2" s="13"/>
      <c r="CP2" s="13">
        <v>30</v>
      </c>
      <c r="CQ2" s="13"/>
      <c r="CR2" s="13"/>
      <c r="CS2" s="13"/>
      <c r="CT2" s="13"/>
      <c r="CU2" s="13"/>
    </row>
    <row r="3" spans="1:99" ht="29" hidden="1">
      <c r="A3" s="2" t="s">
        <v>2096</v>
      </c>
      <c r="B3" s="2" t="s">
        <v>834</v>
      </c>
      <c r="C3" s="2" t="s">
        <v>745</v>
      </c>
      <c r="D3" s="2" t="str">
        <f>_xlfn.XLOOKUP(tblTechnologies[[#This Row],[TechnologyID]],tblTargets[TargetID],tblTargets[DisplayName],"")</f>
        <v>Alchemists Hut - Greek Grenade</v>
      </c>
      <c r="E3" s="2" t="b">
        <v>1</v>
      </c>
      <c r="F3" s="2" t="s">
        <v>17</v>
      </c>
      <c r="G3" s="19" t="s">
        <v>965</v>
      </c>
      <c r="H3" s="14" t="s">
        <v>18</v>
      </c>
      <c r="I3" s="14" t="s">
        <v>966</v>
      </c>
      <c r="J3" s="14" t="s">
        <v>967</v>
      </c>
      <c r="K3" s="14" t="s">
        <v>968</v>
      </c>
      <c r="L3" s="14"/>
      <c r="M3" s="15" t="s">
        <v>969</v>
      </c>
      <c r="N3" s="32">
        <f>IF(tblTechnologies[[#This Row],[costtext]]="", 0, LEN(tblTechnologies[[#This Row],[costtext]]) - LEN(SUBSTITUTE(tblTechnologies[[#This Row],[costtext]], ",", "")) + 1)</f>
        <v>6</v>
      </c>
      <c r="O3" s="32">
        <f>COUNTA(tblTechnologies[[#This Row],[amazake]:[wood]])</f>
        <v>6</v>
      </c>
      <c r="P3" s="14"/>
      <c r="Q3" s="14"/>
      <c r="R3" s="14"/>
      <c r="S3" s="14"/>
      <c r="T3" s="14"/>
      <c r="U3" s="14"/>
      <c r="V3" s="14"/>
      <c r="W3" s="14"/>
      <c r="X3" s="14"/>
      <c r="Y3" s="14"/>
      <c r="Z3" s="14"/>
      <c r="AA3" s="14"/>
      <c r="AB3" s="14">
        <v>40</v>
      </c>
      <c r="AC3" s="14"/>
      <c r="AD3" s="14">
        <v>300</v>
      </c>
      <c r="AE3" s="14"/>
      <c r="AF3" s="14"/>
      <c r="AG3" s="14"/>
      <c r="AH3" s="14"/>
      <c r="AI3" s="14"/>
      <c r="AJ3" s="14"/>
      <c r="AK3" s="14"/>
      <c r="AL3" s="14"/>
      <c r="AM3" s="14"/>
      <c r="AN3" s="14"/>
      <c r="AO3" s="14"/>
      <c r="AP3" s="14"/>
      <c r="AQ3" s="14">
        <v>10</v>
      </c>
      <c r="AR3" s="14"/>
      <c r="AS3" s="14"/>
      <c r="AT3" s="14"/>
      <c r="AU3" s="14"/>
      <c r="AV3" s="14"/>
      <c r="AW3" s="14"/>
      <c r="AX3" s="14"/>
      <c r="AY3" s="14"/>
      <c r="AZ3" s="14"/>
      <c r="BA3" s="14"/>
      <c r="BB3" s="14"/>
      <c r="BC3" s="14"/>
      <c r="BD3" s="14"/>
      <c r="BE3" s="14"/>
      <c r="BF3" s="14"/>
      <c r="BG3" s="14"/>
      <c r="BH3" s="14"/>
      <c r="BI3" s="14"/>
      <c r="BJ3" s="14"/>
      <c r="BK3" s="14">
        <v>10</v>
      </c>
      <c r="BL3" s="14"/>
      <c r="BM3" s="14">
        <v>20</v>
      </c>
      <c r="BN3" s="14"/>
      <c r="BO3" s="14"/>
      <c r="BP3" s="14"/>
      <c r="BQ3" s="14"/>
      <c r="BR3" s="14"/>
      <c r="BS3" s="14"/>
      <c r="BT3" s="14"/>
      <c r="BU3" s="14"/>
      <c r="BV3" s="14"/>
      <c r="BW3" s="14"/>
      <c r="BX3" s="14"/>
      <c r="BY3" s="14">
        <v>1</v>
      </c>
      <c r="BZ3" s="14"/>
      <c r="CA3" s="14"/>
      <c r="CB3" s="14"/>
      <c r="CC3" s="14"/>
      <c r="CD3" s="14"/>
      <c r="CE3" s="14"/>
      <c r="CF3" s="14"/>
      <c r="CG3" s="14"/>
      <c r="CH3" s="14"/>
      <c r="CI3" s="14"/>
      <c r="CJ3" s="14"/>
      <c r="CK3" s="14"/>
      <c r="CL3" s="14"/>
      <c r="CM3" s="14"/>
      <c r="CN3" s="14"/>
      <c r="CO3" s="14"/>
      <c r="CP3" s="14"/>
      <c r="CQ3" s="14"/>
      <c r="CR3" s="14"/>
      <c r="CS3" s="14"/>
      <c r="CT3" s="14"/>
      <c r="CU3" s="14"/>
    </row>
    <row r="4" spans="1:99" ht="43.5" hidden="1">
      <c r="A4" s="2" t="s">
        <v>2098</v>
      </c>
      <c r="B4" s="2" t="s">
        <v>835</v>
      </c>
      <c r="C4" s="2" t="s">
        <v>746</v>
      </c>
      <c r="D4" s="2" t="str">
        <f>_xlfn.XLOOKUP(tblTechnologies[[#This Row],[TechnologyID]],tblTargets[TargetID],tblTargets[DisplayName],"")</f>
        <v>Alchemists Hut - Synthetic Fertilizer</v>
      </c>
      <c r="E4" s="2" t="b">
        <v>1</v>
      </c>
      <c r="F4" s="2" t="s">
        <v>17</v>
      </c>
      <c r="G4" s="19" t="s">
        <v>970</v>
      </c>
      <c r="H4" s="14" t="s">
        <v>18</v>
      </c>
      <c r="I4" s="14" t="s">
        <v>966</v>
      </c>
      <c r="J4" s="14" t="s">
        <v>967</v>
      </c>
      <c r="K4" s="14" t="s">
        <v>971</v>
      </c>
      <c r="L4" s="14"/>
      <c r="M4" s="15" t="s">
        <v>972</v>
      </c>
      <c r="N4" s="32">
        <f>IF(tblTechnologies[[#This Row],[costtext]]="", 0, LEN(tblTechnologies[[#This Row],[costtext]]) - LEN(SUBSTITUTE(tblTechnologies[[#This Row],[costtext]], ",", "")) + 1)</f>
        <v>6</v>
      </c>
      <c r="O4" s="32">
        <f>COUNTA(tblTechnologies[[#This Row],[amazake]:[wood]])</f>
        <v>6</v>
      </c>
      <c r="P4" s="14"/>
      <c r="Q4" s="14"/>
      <c r="R4" s="14"/>
      <c r="S4" s="14"/>
      <c r="T4" s="14"/>
      <c r="U4" s="14"/>
      <c r="V4" s="14"/>
      <c r="W4" s="14">
        <v>15</v>
      </c>
      <c r="X4" s="14"/>
      <c r="Y4" s="14"/>
      <c r="Z4" s="14"/>
      <c r="AA4" s="14">
        <v>100</v>
      </c>
      <c r="AB4" s="14">
        <v>50</v>
      </c>
      <c r="AC4" s="14"/>
      <c r="AD4" s="14">
        <v>300</v>
      </c>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v>10</v>
      </c>
      <c r="BU4" s="14"/>
      <c r="BV4" s="14"/>
      <c r="BW4" s="14"/>
      <c r="BX4" s="14"/>
      <c r="BY4" s="14">
        <v>1</v>
      </c>
      <c r="BZ4" s="14"/>
      <c r="CA4" s="14"/>
      <c r="CB4" s="14"/>
      <c r="CC4" s="14"/>
      <c r="CD4" s="14"/>
      <c r="CE4" s="14"/>
      <c r="CF4" s="14"/>
      <c r="CG4" s="14"/>
      <c r="CH4" s="14"/>
      <c r="CI4" s="14"/>
      <c r="CJ4" s="14"/>
      <c r="CK4" s="14"/>
      <c r="CL4" s="14"/>
      <c r="CM4" s="14"/>
      <c r="CN4" s="14"/>
      <c r="CO4" s="14"/>
      <c r="CP4" s="14"/>
      <c r="CQ4" s="14"/>
      <c r="CR4" s="14"/>
      <c r="CS4" s="14"/>
      <c r="CT4" s="14"/>
      <c r="CU4" s="14"/>
    </row>
    <row r="5" spans="1:99" ht="43.5" hidden="1">
      <c r="A5" s="2" t="s">
        <v>2100</v>
      </c>
      <c r="B5" s="2" t="s">
        <v>836</v>
      </c>
      <c r="C5" s="2" t="s">
        <v>747</v>
      </c>
      <c r="D5" s="2" t="str">
        <f>_xlfn.XLOOKUP(tblTechnologies[[#This Row],[TechnologyID]],tblTargets[TargetID],tblTargets[DisplayName],"")</f>
        <v>Alchemists Hut - Balm</v>
      </c>
      <c r="E5" s="2" t="b">
        <v>1</v>
      </c>
      <c r="F5" s="2" t="s">
        <v>17</v>
      </c>
      <c r="G5" s="19" t="s">
        <v>973</v>
      </c>
      <c r="H5" s="14" t="s">
        <v>18</v>
      </c>
      <c r="I5" s="14" t="s">
        <v>974</v>
      </c>
      <c r="J5" s="14" t="s">
        <v>975</v>
      </c>
      <c r="K5" s="14" t="s">
        <v>976</v>
      </c>
      <c r="L5" s="14" t="s">
        <v>977</v>
      </c>
      <c r="M5" s="15" t="s">
        <v>978</v>
      </c>
      <c r="N5" s="32">
        <f>IF(tblTechnologies[[#This Row],[costtext]]="", 0, LEN(tblTechnologies[[#This Row],[costtext]]) - LEN(SUBSTITUTE(tblTechnologies[[#This Row],[costtext]], ",", "")) + 1)</f>
        <v>7</v>
      </c>
      <c r="O5" s="32">
        <f>COUNTA(tblTechnologies[[#This Row],[amazake]:[wood]])</f>
        <v>7</v>
      </c>
      <c r="P5" s="14"/>
      <c r="Q5" s="14"/>
      <c r="R5" s="14"/>
      <c r="S5" s="14"/>
      <c r="T5" s="14"/>
      <c r="U5" s="14"/>
      <c r="V5" s="14"/>
      <c r="W5" s="14"/>
      <c r="X5" s="14"/>
      <c r="Y5" s="14"/>
      <c r="Z5" s="14"/>
      <c r="AA5" s="14"/>
      <c r="AB5" s="14"/>
      <c r="AC5" s="14">
        <v>9</v>
      </c>
      <c r="AD5" s="14">
        <v>300</v>
      </c>
      <c r="AE5" s="14"/>
      <c r="AF5" s="14"/>
      <c r="AG5" s="14"/>
      <c r="AH5" s="14"/>
      <c r="AI5" s="14"/>
      <c r="AJ5" s="14"/>
      <c r="AK5" s="14"/>
      <c r="AL5" s="14"/>
      <c r="AM5" s="14"/>
      <c r="AN5" s="14"/>
      <c r="AO5" s="14"/>
      <c r="AP5" s="14"/>
      <c r="AQ5" s="14">
        <v>10</v>
      </c>
      <c r="AR5" s="14"/>
      <c r="AS5" s="14"/>
      <c r="AT5" s="14">
        <v>10</v>
      </c>
      <c r="AU5" s="14"/>
      <c r="AV5" s="14">
        <v>30</v>
      </c>
      <c r="AW5" s="14"/>
      <c r="AX5" s="14"/>
      <c r="AY5" s="14"/>
      <c r="AZ5" s="14"/>
      <c r="BA5" s="14"/>
      <c r="BB5" s="14"/>
      <c r="BC5" s="14"/>
      <c r="BD5" s="14"/>
      <c r="BE5" s="14"/>
      <c r="BF5" s="14"/>
      <c r="BG5" s="14"/>
      <c r="BH5" s="14"/>
      <c r="BI5" s="14"/>
      <c r="BJ5" s="14"/>
      <c r="BK5" s="14">
        <v>5</v>
      </c>
      <c r="BL5" s="14"/>
      <c r="BM5" s="14"/>
      <c r="BN5" s="14"/>
      <c r="BO5" s="14"/>
      <c r="BP5" s="14"/>
      <c r="BQ5" s="14"/>
      <c r="BR5" s="14"/>
      <c r="BS5" s="14"/>
      <c r="BT5" s="14"/>
      <c r="BU5" s="14"/>
      <c r="BV5" s="14"/>
      <c r="BW5" s="14"/>
      <c r="BX5" s="14"/>
      <c r="BY5" s="14">
        <v>1</v>
      </c>
      <c r="BZ5" s="14"/>
      <c r="CA5" s="14"/>
      <c r="CB5" s="14"/>
      <c r="CC5" s="14"/>
      <c r="CD5" s="14"/>
      <c r="CE5" s="14"/>
      <c r="CF5" s="14"/>
      <c r="CG5" s="14"/>
      <c r="CH5" s="14"/>
      <c r="CI5" s="14"/>
      <c r="CJ5" s="14"/>
      <c r="CK5" s="14"/>
      <c r="CL5" s="14"/>
      <c r="CM5" s="14"/>
      <c r="CN5" s="14"/>
      <c r="CO5" s="14"/>
      <c r="CP5" s="14"/>
      <c r="CQ5" s="14"/>
      <c r="CR5" s="14"/>
      <c r="CS5" s="14"/>
      <c r="CT5" s="14"/>
      <c r="CU5" s="14"/>
    </row>
    <row r="6" spans="1:99" ht="43.5" hidden="1">
      <c r="A6" s="2" t="s">
        <v>2102</v>
      </c>
      <c r="B6" s="2" t="s">
        <v>837</v>
      </c>
      <c r="C6" s="2" t="s">
        <v>748</v>
      </c>
      <c r="D6" s="2" t="str">
        <f>_xlfn.XLOOKUP(tblTechnologies[[#This Row],[TechnologyID]],tblTargets[TargetID],tblTargets[DisplayName],"")</f>
        <v>Alchemists Hut - Potion Of Mental Power</v>
      </c>
      <c r="E6" s="2" t="b">
        <v>1</v>
      </c>
      <c r="F6" s="2" t="s">
        <v>17</v>
      </c>
      <c r="G6" s="19" t="s">
        <v>979</v>
      </c>
      <c r="H6" s="14" t="s">
        <v>18</v>
      </c>
      <c r="I6" s="14" t="s">
        <v>974</v>
      </c>
      <c r="J6" s="14" t="s">
        <v>975</v>
      </c>
      <c r="K6" s="14" t="s">
        <v>980</v>
      </c>
      <c r="L6" s="14" t="s">
        <v>981</v>
      </c>
      <c r="M6" s="15" t="s">
        <v>982</v>
      </c>
      <c r="N6" s="32">
        <f>IF(tblTechnologies[[#This Row],[costtext]]="", 0, LEN(tblTechnologies[[#This Row],[costtext]]) - LEN(SUBSTITUTE(tblTechnologies[[#This Row],[costtext]], ",", "")) + 1)</f>
        <v>8</v>
      </c>
      <c r="O6" s="32">
        <f>COUNTA(tblTechnologies[[#This Row],[amazake]:[wood]])</f>
        <v>8</v>
      </c>
      <c r="P6" s="14"/>
      <c r="Q6" s="14"/>
      <c r="R6" s="14"/>
      <c r="S6" s="14"/>
      <c r="T6" s="14"/>
      <c r="U6" s="14"/>
      <c r="V6" s="14"/>
      <c r="W6" s="14"/>
      <c r="X6" s="14"/>
      <c r="Y6" s="14"/>
      <c r="Z6" s="14"/>
      <c r="AA6" s="14"/>
      <c r="AB6" s="14"/>
      <c r="AC6" s="14">
        <v>15</v>
      </c>
      <c r="AD6" s="14">
        <v>300</v>
      </c>
      <c r="AE6" s="14"/>
      <c r="AF6" s="14"/>
      <c r="AG6" s="14"/>
      <c r="AH6" s="14"/>
      <c r="AI6" s="14"/>
      <c r="AJ6" s="14"/>
      <c r="AK6" s="14"/>
      <c r="AL6" s="14"/>
      <c r="AM6" s="14"/>
      <c r="AN6" s="14"/>
      <c r="AO6" s="14"/>
      <c r="AP6" s="14">
        <v>20</v>
      </c>
      <c r="AQ6" s="14">
        <v>10</v>
      </c>
      <c r="AR6" s="14"/>
      <c r="AS6" s="14"/>
      <c r="AT6" s="14">
        <v>10</v>
      </c>
      <c r="AU6" s="14"/>
      <c r="AV6" s="14">
        <v>10</v>
      </c>
      <c r="AW6" s="14"/>
      <c r="AX6" s="14"/>
      <c r="AY6" s="14"/>
      <c r="AZ6" s="14"/>
      <c r="BA6" s="14"/>
      <c r="BB6" s="14"/>
      <c r="BC6" s="14"/>
      <c r="BD6" s="14"/>
      <c r="BE6" s="14"/>
      <c r="BF6" s="14"/>
      <c r="BG6" s="14"/>
      <c r="BH6" s="14"/>
      <c r="BI6" s="14"/>
      <c r="BJ6" s="14"/>
      <c r="BK6" s="14"/>
      <c r="BL6" s="14"/>
      <c r="BM6" s="14"/>
      <c r="BN6" s="14"/>
      <c r="BO6" s="14"/>
      <c r="BP6" s="14"/>
      <c r="BQ6" s="14"/>
      <c r="BR6" s="14"/>
      <c r="BS6" s="14"/>
      <c r="BT6" s="14">
        <v>10</v>
      </c>
      <c r="BU6" s="14"/>
      <c r="BV6" s="14"/>
      <c r="BW6" s="14"/>
      <c r="BX6" s="14"/>
      <c r="BY6" s="14">
        <v>1</v>
      </c>
      <c r="BZ6" s="14"/>
      <c r="CA6" s="14"/>
      <c r="CB6" s="14"/>
      <c r="CC6" s="14"/>
      <c r="CD6" s="14"/>
      <c r="CE6" s="14"/>
      <c r="CF6" s="14"/>
      <c r="CG6" s="14"/>
      <c r="CH6" s="14"/>
      <c r="CI6" s="14"/>
      <c r="CJ6" s="14"/>
      <c r="CK6" s="14"/>
      <c r="CL6" s="14"/>
      <c r="CM6" s="14"/>
      <c r="CN6" s="14"/>
      <c r="CO6" s="14"/>
      <c r="CP6" s="14"/>
      <c r="CQ6" s="14"/>
      <c r="CR6" s="14"/>
      <c r="CS6" s="14"/>
      <c r="CT6" s="14"/>
      <c r="CU6" s="14"/>
    </row>
    <row r="7" spans="1:99" ht="58" hidden="1">
      <c r="A7" s="2" t="s">
        <v>2104</v>
      </c>
      <c r="B7" s="2" t="s">
        <v>687</v>
      </c>
      <c r="C7" s="2" t="s">
        <v>749</v>
      </c>
      <c r="D7" s="2" t="str">
        <f>_xlfn.XLOOKUP(tblTechnologies[[#This Row],[TechnologyID]],tblTargets[TargetID],tblTargets[DisplayName],"")</f>
        <v>Alchemists Hut - Mercury</v>
      </c>
      <c r="E7" s="2" t="b">
        <v>1</v>
      </c>
      <c r="F7" s="2" t="s">
        <v>17</v>
      </c>
      <c r="G7" s="19" t="s">
        <v>983</v>
      </c>
      <c r="H7" s="14" t="s">
        <v>18</v>
      </c>
      <c r="I7" s="14" t="s">
        <v>984</v>
      </c>
      <c r="J7" s="14" t="s">
        <v>985</v>
      </c>
      <c r="K7" s="14" t="s">
        <v>986</v>
      </c>
      <c r="L7" s="14" t="s">
        <v>987</v>
      </c>
      <c r="M7" s="15" t="s">
        <v>988</v>
      </c>
      <c r="N7" s="32">
        <f>IF(tblTechnologies[[#This Row],[costtext]]="", 0, LEN(tblTechnologies[[#This Row],[costtext]]) - LEN(SUBSTITUTE(tblTechnologies[[#This Row],[costtext]], ",", "")) + 1)</f>
        <v>7</v>
      </c>
      <c r="O7" s="32">
        <f>COUNTA(tblTechnologies[[#This Row],[amazake]:[wood]])</f>
        <v>7</v>
      </c>
      <c r="P7" s="14"/>
      <c r="Q7" s="14"/>
      <c r="R7" s="14"/>
      <c r="S7" s="14"/>
      <c r="T7" s="14"/>
      <c r="U7" s="14"/>
      <c r="V7" s="14"/>
      <c r="W7" s="14"/>
      <c r="X7" s="14"/>
      <c r="Y7" s="14"/>
      <c r="Z7" s="14"/>
      <c r="AA7" s="14">
        <v>100</v>
      </c>
      <c r="AB7" s="14"/>
      <c r="AC7" s="14">
        <v>30</v>
      </c>
      <c r="AD7" s="14">
        <v>400</v>
      </c>
      <c r="AE7" s="14"/>
      <c r="AF7" s="14"/>
      <c r="AG7" s="14"/>
      <c r="AH7" s="14"/>
      <c r="AI7" s="14"/>
      <c r="AJ7" s="14"/>
      <c r="AK7" s="14"/>
      <c r="AL7" s="14"/>
      <c r="AM7" s="14"/>
      <c r="AN7" s="14"/>
      <c r="AO7" s="14"/>
      <c r="AP7" s="14"/>
      <c r="AQ7" s="14">
        <v>10</v>
      </c>
      <c r="AR7" s="14"/>
      <c r="AS7" s="14"/>
      <c r="AT7" s="14">
        <v>10</v>
      </c>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v>10</v>
      </c>
      <c r="BU7" s="14"/>
      <c r="BV7" s="14"/>
      <c r="BW7" s="14"/>
      <c r="BX7" s="14"/>
      <c r="BY7" s="14">
        <v>1</v>
      </c>
      <c r="BZ7" s="14"/>
      <c r="CA7" s="14"/>
      <c r="CB7" s="14"/>
      <c r="CC7" s="14"/>
      <c r="CD7" s="14"/>
      <c r="CE7" s="14"/>
      <c r="CF7" s="14"/>
      <c r="CG7" s="14"/>
      <c r="CH7" s="14"/>
      <c r="CI7" s="14"/>
      <c r="CJ7" s="14"/>
      <c r="CK7" s="14"/>
      <c r="CL7" s="14"/>
      <c r="CM7" s="14"/>
      <c r="CN7" s="14"/>
      <c r="CO7" s="14"/>
      <c r="CP7" s="14"/>
      <c r="CQ7" s="14"/>
      <c r="CR7" s="14"/>
      <c r="CS7" s="14"/>
      <c r="CT7" s="14"/>
      <c r="CU7" s="14"/>
    </row>
    <row r="8" spans="1:99" ht="58" hidden="1">
      <c r="A8" s="2" t="s">
        <v>2106</v>
      </c>
      <c r="B8" s="2" t="s">
        <v>838</v>
      </c>
      <c r="C8" s="2" t="s">
        <v>750</v>
      </c>
      <c r="D8" s="2" t="str">
        <f>_xlfn.XLOOKUP(tblTechnologies[[#This Row],[TechnologyID]],tblTargets[TargetID],tblTargets[DisplayName],"")</f>
        <v>Alchemists Hut - Gold Ingot</v>
      </c>
      <c r="E8" s="2" t="b">
        <v>1</v>
      </c>
      <c r="F8" s="2" t="s">
        <v>17</v>
      </c>
      <c r="G8" s="19" t="s">
        <v>989</v>
      </c>
      <c r="H8" s="14" t="s">
        <v>18</v>
      </c>
      <c r="I8" s="14" t="s">
        <v>990</v>
      </c>
      <c r="J8" s="14" t="s">
        <v>991</v>
      </c>
      <c r="K8" s="14" t="s">
        <v>992</v>
      </c>
      <c r="L8" s="14" t="s">
        <v>987</v>
      </c>
      <c r="M8" s="15" t="s">
        <v>993</v>
      </c>
      <c r="N8" s="32">
        <f>IF(tblTechnologies[[#This Row],[costtext]]="", 0, LEN(tblTechnologies[[#This Row],[costtext]]) - LEN(SUBSTITUTE(tblTechnologies[[#This Row],[costtext]], ",", "")) + 1)</f>
        <v>6</v>
      </c>
      <c r="O8" s="32">
        <f>COUNTA(tblTechnologies[[#This Row],[amazake]:[wood]])</f>
        <v>6</v>
      </c>
      <c r="P8" s="14"/>
      <c r="Q8" s="14">
        <v>20</v>
      </c>
      <c r="R8" s="14"/>
      <c r="S8" s="14"/>
      <c r="T8" s="14"/>
      <c r="U8" s="14"/>
      <c r="V8" s="14"/>
      <c r="W8" s="14"/>
      <c r="X8" s="14"/>
      <c r="Y8" s="14"/>
      <c r="Z8" s="14"/>
      <c r="AA8" s="14">
        <v>100</v>
      </c>
      <c r="AB8" s="14"/>
      <c r="AC8" s="14"/>
      <c r="AD8" s="14"/>
      <c r="AE8" s="14"/>
      <c r="AF8" s="14"/>
      <c r="AG8" s="14"/>
      <c r="AH8" s="14"/>
      <c r="AI8" s="14"/>
      <c r="AJ8" s="14"/>
      <c r="AK8" s="14"/>
      <c r="AL8" s="14"/>
      <c r="AM8" s="14"/>
      <c r="AN8" s="14"/>
      <c r="AO8" s="14"/>
      <c r="AP8" s="14"/>
      <c r="AQ8" s="14"/>
      <c r="AR8" s="14"/>
      <c r="AS8" s="14"/>
      <c r="AT8" s="14">
        <v>10</v>
      </c>
      <c r="AU8" s="14"/>
      <c r="AV8" s="14"/>
      <c r="AW8" s="14"/>
      <c r="AX8" s="14"/>
      <c r="AY8" s="14"/>
      <c r="AZ8" s="14">
        <v>20</v>
      </c>
      <c r="BA8" s="14"/>
      <c r="BB8" s="14"/>
      <c r="BC8" s="14">
        <v>15</v>
      </c>
      <c r="BD8" s="14"/>
      <c r="BE8" s="14"/>
      <c r="BF8" s="14"/>
      <c r="BG8" s="14"/>
      <c r="BH8" s="14"/>
      <c r="BI8" s="14"/>
      <c r="BJ8" s="14"/>
      <c r="BK8" s="14"/>
      <c r="BL8" s="14"/>
      <c r="BM8" s="14"/>
      <c r="BN8" s="14"/>
      <c r="BO8" s="14"/>
      <c r="BP8" s="14"/>
      <c r="BQ8" s="14"/>
      <c r="BR8" s="14"/>
      <c r="BS8" s="14"/>
      <c r="BT8" s="14"/>
      <c r="BU8" s="14"/>
      <c r="BV8" s="14"/>
      <c r="BW8" s="14"/>
      <c r="BX8" s="14"/>
      <c r="BY8" s="14">
        <v>3</v>
      </c>
      <c r="BZ8" s="14"/>
      <c r="CA8" s="14"/>
      <c r="CB8" s="14"/>
      <c r="CC8" s="14"/>
      <c r="CD8" s="14"/>
      <c r="CE8" s="14"/>
      <c r="CF8" s="14"/>
      <c r="CG8" s="14"/>
      <c r="CH8" s="14"/>
      <c r="CI8" s="14"/>
      <c r="CJ8" s="14"/>
      <c r="CK8" s="14"/>
      <c r="CL8" s="14"/>
      <c r="CM8" s="14"/>
      <c r="CN8" s="14"/>
      <c r="CO8" s="14"/>
      <c r="CP8" s="14"/>
      <c r="CQ8" s="14"/>
      <c r="CR8" s="14"/>
      <c r="CS8" s="14"/>
      <c r="CT8" s="14"/>
      <c r="CU8" s="14"/>
    </row>
    <row r="9" spans="1:99" ht="58" hidden="1">
      <c r="A9" s="2" t="s">
        <v>2108</v>
      </c>
      <c r="B9" s="2" t="s">
        <v>839</v>
      </c>
      <c r="C9" s="2" t="s">
        <v>751</v>
      </c>
      <c r="D9" s="2" t="str">
        <f>_xlfn.XLOOKUP(tblTechnologies[[#This Row],[TechnologyID]],tblTargets[TargetID],tblTargets[DisplayName],"")</f>
        <v>Alchemists Hut - Madness Grenade</v>
      </c>
      <c r="E9" s="2" t="b">
        <v>1</v>
      </c>
      <c r="F9" s="2" t="s">
        <v>17</v>
      </c>
      <c r="G9" s="19" t="s">
        <v>994</v>
      </c>
      <c r="H9" s="14" t="s">
        <v>18</v>
      </c>
      <c r="I9" s="14" t="s">
        <v>990</v>
      </c>
      <c r="J9" s="14" t="s">
        <v>991</v>
      </c>
      <c r="K9" s="14" t="s">
        <v>995</v>
      </c>
      <c r="L9" s="14" t="s">
        <v>987</v>
      </c>
      <c r="M9" s="15" t="s">
        <v>996</v>
      </c>
      <c r="N9" s="32">
        <f>IF(tblTechnologies[[#This Row],[costtext]]="", 0, LEN(tblTechnologies[[#This Row],[costtext]]) - LEN(SUBSTITUTE(tblTechnologies[[#This Row],[costtext]], ",", "")) + 1)</f>
        <v>8</v>
      </c>
      <c r="O9" s="32">
        <f>COUNTA(tblTechnologies[[#This Row],[amazake]:[wood]])</f>
        <v>8</v>
      </c>
      <c r="P9" s="14"/>
      <c r="Q9" s="14">
        <v>5</v>
      </c>
      <c r="R9" s="14"/>
      <c r="S9" s="14"/>
      <c r="T9" s="14"/>
      <c r="U9" s="14"/>
      <c r="V9" s="14"/>
      <c r="W9" s="14"/>
      <c r="X9" s="14"/>
      <c r="Y9" s="14"/>
      <c r="Z9" s="14"/>
      <c r="AA9" s="14"/>
      <c r="AB9" s="14"/>
      <c r="AC9" s="14"/>
      <c r="AD9" s="14">
        <v>300</v>
      </c>
      <c r="AE9" s="14"/>
      <c r="AF9" s="14"/>
      <c r="AG9" s="14"/>
      <c r="AH9" s="14"/>
      <c r="AI9" s="14"/>
      <c r="AJ9" s="14"/>
      <c r="AK9" s="14"/>
      <c r="AL9" s="14"/>
      <c r="AM9" s="14"/>
      <c r="AN9" s="14"/>
      <c r="AO9" s="14"/>
      <c r="AP9" s="14"/>
      <c r="AQ9" s="14">
        <v>10</v>
      </c>
      <c r="AR9" s="14"/>
      <c r="AS9" s="14"/>
      <c r="AT9" s="14">
        <v>10</v>
      </c>
      <c r="AU9" s="14">
        <v>100</v>
      </c>
      <c r="AV9" s="14">
        <v>10</v>
      </c>
      <c r="AW9" s="14"/>
      <c r="AX9" s="14"/>
      <c r="AY9" s="14"/>
      <c r="AZ9" s="14"/>
      <c r="BA9" s="14"/>
      <c r="BB9" s="14"/>
      <c r="BC9" s="14">
        <v>10</v>
      </c>
      <c r="BD9" s="14"/>
      <c r="BE9" s="14"/>
      <c r="BF9" s="14"/>
      <c r="BG9" s="14"/>
      <c r="BH9" s="14"/>
      <c r="BI9" s="14"/>
      <c r="BJ9" s="14"/>
      <c r="BK9" s="14"/>
      <c r="BL9" s="14"/>
      <c r="BM9" s="14"/>
      <c r="BN9" s="14"/>
      <c r="BO9" s="14"/>
      <c r="BP9" s="14"/>
      <c r="BQ9" s="14"/>
      <c r="BR9" s="14"/>
      <c r="BS9" s="14"/>
      <c r="BT9" s="14"/>
      <c r="BU9" s="14"/>
      <c r="BV9" s="14"/>
      <c r="BW9" s="14"/>
      <c r="BX9" s="14"/>
      <c r="BY9" s="14">
        <v>1</v>
      </c>
      <c r="BZ9" s="14"/>
      <c r="CA9" s="14"/>
      <c r="CB9" s="14"/>
      <c r="CC9" s="14"/>
      <c r="CD9" s="14"/>
      <c r="CE9" s="14"/>
      <c r="CF9" s="14"/>
      <c r="CG9" s="14"/>
      <c r="CH9" s="14"/>
      <c r="CI9" s="14"/>
      <c r="CJ9" s="14"/>
      <c r="CK9" s="14"/>
      <c r="CL9" s="14"/>
      <c r="CM9" s="14"/>
      <c r="CN9" s="14"/>
      <c r="CO9" s="14"/>
      <c r="CP9" s="14"/>
      <c r="CQ9" s="14"/>
      <c r="CR9" s="14"/>
      <c r="CS9" s="14"/>
      <c r="CT9" s="14"/>
      <c r="CU9" s="14"/>
    </row>
    <row r="10" spans="1:99" ht="29" hidden="1">
      <c r="A10" s="2" t="s">
        <v>2110</v>
      </c>
      <c r="B10" s="2" t="s">
        <v>840</v>
      </c>
      <c r="C10" s="2" t="s">
        <v>752</v>
      </c>
      <c r="D10" s="2" t="str">
        <f>_xlfn.XLOOKUP(tblTechnologies[[#This Row],[TechnologyID]],tblTargets[TargetID],tblTargets[DisplayName],"")</f>
        <v>Alchemists Hut - Potion Of Healing</v>
      </c>
      <c r="E10" s="2" t="b">
        <v>1</v>
      </c>
      <c r="F10" s="2" t="s">
        <v>17</v>
      </c>
      <c r="G10" s="19" t="s">
        <v>997</v>
      </c>
      <c r="H10" s="14" t="s">
        <v>18</v>
      </c>
      <c r="I10" s="14" t="s">
        <v>966</v>
      </c>
      <c r="J10" s="14" t="s">
        <v>967</v>
      </c>
      <c r="K10" s="14" t="s">
        <v>998</v>
      </c>
      <c r="L10" s="14"/>
      <c r="M10" s="15" t="s">
        <v>999</v>
      </c>
      <c r="N10" s="32">
        <f>IF(tblTechnologies[[#This Row],[costtext]]="", 0, LEN(tblTechnologies[[#This Row],[costtext]]) - LEN(SUBSTITUTE(tblTechnologies[[#This Row],[costtext]], ",", "")) + 1)</f>
        <v>6</v>
      </c>
      <c r="O10" s="32">
        <f>COUNTA(tblTechnologies[[#This Row],[amazake]:[wood]])</f>
        <v>6</v>
      </c>
      <c r="P10" s="14"/>
      <c r="Q10" s="14"/>
      <c r="R10" s="14"/>
      <c r="S10" s="14"/>
      <c r="T10" s="14"/>
      <c r="U10" s="14"/>
      <c r="V10" s="14"/>
      <c r="W10" s="14"/>
      <c r="X10" s="14"/>
      <c r="Y10" s="14"/>
      <c r="Z10" s="14"/>
      <c r="AA10" s="14"/>
      <c r="AB10" s="14"/>
      <c r="AC10" s="14"/>
      <c r="AD10" s="14">
        <v>300</v>
      </c>
      <c r="AE10" s="14">
        <v>50</v>
      </c>
      <c r="AF10" s="14"/>
      <c r="AG10" s="14"/>
      <c r="AH10" s="14"/>
      <c r="AI10" s="14"/>
      <c r="AJ10" s="14"/>
      <c r="AK10" s="14"/>
      <c r="AL10" s="14"/>
      <c r="AM10" s="14"/>
      <c r="AN10" s="14"/>
      <c r="AO10" s="14"/>
      <c r="AP10" s="14"/>
      <c r="AQ10" s="14">
        <v>10</v>
      </c>
      <c r="AR10" s="14"/>
      <c r="AS10" s="14"/>
      <c r="AT10" s="14"/>
      <c r="AU10" s="14"/>
      <c r="AV10" s="14"/>
      <c r="AW10" s="14"/>
      <c r="AX10" s="14"/>
      <c r="AY10" s="14"/>
      <c r="AZ10" s="14"/>
      <c r="BA10" s="14"/>
      <c r="BB10" s="14"/>
      <c r="BC10" s="14"/>
      <c r="BD10" s="14"/>
      <c r="BE10" s="14"/>
      <c r="BF10" s="14"/>
      <c r="BG10" s="14"/>
      <c r="BH10" s="14"/>
      <c r="BI10" s="14"/>
      <c r="BJ10" s="14"/>
      <c r="BK10" s="14"/>
      <c r="BL10" s="14"/>
      <c r="BM10" s="14">
        <v>15</v>
      </c>
      <c r="BN10" s="14"/>
      <c r="BO10" s="14"/>
      <c r="BP10" s="14"/>
      <c r="BQ10" s="14"/>
      <c r="BR10" s="14"/>
      <c r="BS10" s="14"/>
      <c r="BT10" s="14">
        <v>15</v>
      </c>
      <c r="BU10" s="14"/>
      <c r="BV10" s="14"/>
      <c r="BW10" s="14"/>
      <c r="BX10" s="14"/>
      <c r="BY10" s="14">
        <v>1</v>
      </c>
      <c r="BZ10" s="14"/>
      <c r="CA10" s="14"/>
      <c r="CB10" s="14"/>
      <c r="CC10" s="14"/>
      <c r="CD10" s="14"/>
      <c r="CE10" s="14"/>
      <c r="CF10" s="14"/>
      <c r="CG10" s="14"/>
      <c r="CH10" s="14"/>
      <c r="CI10" s="14"/>
      <c r="CJ10" s="14"/>
      <c r="CK10" s="14"/>
      <c r="CL10" s="14"/>
      <c r="CM10" s="14"/>
      <c r="CN10" s="14"/>
      <c r="CO10" s="14"/>
      <c r="CP10" s="14"/>
      <c r="CQ10" s="14"/>
      <c r="CR10" s="14"/>
      <c r="CS10" s="14"/>
      <c r="CT10" s="14"/>
      <c r="CU10" s="14"/>
    </row>
    <row r="11" spans="1:99" ht="29" hidden="1">
      <c r="A11" s="2" t="s">
        <v>2112</v>
      </c>
      <c r="B11" s="2" t="s">
        <v>841</v>
      </c>
      <c r="C11" s="2" t="s">
        <v>753</v>
      </c>
      <c r="D11" s="2" t="str">
        <f>_xlfn.XLOOKUP(tblTechnologies[[#This Row],[TechnologyID]],tblTargets[TargetID],tblTargets[DisplayName],"")</f>
        <v>Alchemists Hut - Potion Of Energy</v>
      </c>
      <c r="E11" s="2" t="b">
        <v>1</v>
      </c>
      <c r="F11" s="2" t="s">
        <v>17</v>
      </c>
      <c r="G11" s="19" t="s">
        <v>1000</v>
      </c>
      <c r="H11" s="14" t="s">
        <v>18</v>
      </c>
      <c r="I11" s="14" t="s">
        <v>966</v>
      </c>
      <c r="J11" s="14" t="s">
        <v>967</v>
      </c>
      <c r="K11" s="14" t="s">
        <v>1001</v>
      </c>
      <c r="L11" s="14"/>
      <c r="M11" s="15" t="s">
        <v>999</v>
      </c>
      <c r="N11" s="32">
        <f>IF(tblTechnologies[[#This Row],[costtext]]="", 0, LEN(tblTechnologies[[#This Row],[costtext]]) - LEN(SUBSTITUTE(tblTechnologies[[#This Row],[costtext]], ",", "")) + 1)</f>
        <v>6</v>
      </c>
      <c r="O11" s="32">
        <f>COUNTA(tblTechnologies[[#This Row],[amazake]:[wood]])</f>
        <v>6</v>
      </c>
      <c r="P11" s="14"/>
      <c r="Q11" s="14"/>
      <c r="R11" s="14"/>
      <c r="S11" s="14"/>
      <c r="T11" s="14"/>
      <c r="U11" s="14"/>
      <c r="V11" s="14"/>
      <c r="W11" s="14"/>
      <c r="X11" s="14"/>
      <c r="Y11" s="14"/>
      <c r="Z11" s="14"/>
      <c r="AA11" s="14"/>
      <c r="AB11" s="14"/>
      <c r="AC11" s="14"/>
      <c r="AD11" s="14">
        <v>300</v>
      </c>
      <c r="AE11" s="14">
        <v>50</v>
      </c>
      <c r="AF11" s="14"/>
      <c r="AG11" s="14"/>
      <c r="AH11" s="14"/>
      <c r="AI11" s="14"/>
      <c r="AJ11" s="14"/>
      <c r="AK11" s="14"/>
      <c r="AL11" s="14"/>
      <c r="AM11" s="14"/>
      <c r="AN11" s="14"/>
      <c r="AO11" s="14"/>
      <c r="AP11" s="14"/>
      <c r="AQ11" s="14">
        <v>10</v>
      </c>
      <c r="AR11" s="14"/>
      <c r="AS11" s="14"/>
      <c r="AT11" s="14"/>
      <c r="AU11" s="14"/>
      <c r="AV11" s="14"/>
      <c r="AW11" s="14"/>
      <c r="AX11" s="14"/>
      <c r="AY11" s="14"/>
      <c r="AZ11" s="14"/>
      <c r="BA11" s="14"/>
      <c r="BB11" s="14"/>
      <c r="BC11" s="14"/>
      <c r="BD11" s="14"/>
      <c r="BE11" s="14"/>
      <c r="BF11" s="14"/>
      <c r="BG11" s="14"/>
      <c r="BH11" s="14"/>
      <c r="BI11" s="14"/>
      <c r="BJ11" s="14"/>
      <c r="BK11" s="14"/>
      <c r="BL11" s="14"/>
      <c r="BM11" s="14">
        <v>15</v>
      </c>
      <c r="BN11" s="14"/>
      <c r="BO11" s="14"/>
      <c r="BP11" s="14"/>
      <c r="BQ11" s="14"/>
      <c r="BR11" s="14"/>
      <c r="BS11" s="14"/>
      <c r="BT11" s="14">
        <v>15</v>
      </c>
      <c r="BU11" s="14"/>
      <c r="BV11" s="14"/>
      <c r="BW11" s="14"/>
      <c r="BX11" s="14"/>
      <c r="BY11" s="14">
        <v>1</v>
      </c>
      <c r="BZ11" s="14"/>
      <c r="CA11" s="14"/>
      <c r="CB11" s="14"/>
      <c r="CC11" s="14"/>
      <c r="CD11" s="14"/>
      <c r="CE11" s="14"/>
      <c r="CF11" s="14"/>
      <c r="CG11" s="14"/>
      <c r="CH11" s="14"/>
      <c r="CI11" s="14"/>
      <c r="CJ11" s="14"/>
      <c r="CK11" s="14"/>
      <c r="CL11" s="14"/>
      <c r="CM11" s="14"/>
      <c r="CN11" s="14"/>
      <c r="CO11" s="14"/>
      <c r="CP11" s="14"/>
      <c r="CQ11" s="14"/>
      <c r="CR11" s="14"/>
      <c r="CS11" s="14"/>
      <c r="CT11" s="14"/>
      <c r="CU11" s="14"/>
    </row>
    <row r="12" spans="1:99" ht="29" hidden="1">
      <c r="A12" s="2" t="s">
        <v>2114</v>
      </c>
      <c r="B12" s="2" t="s">
        <v>914</v>
      </c>
      <c r="C12" s="2" t="s">
        <v>916</v>
      </c>
      <c r="D12" s="2" t="str">
        <f>_xlfn.XLOOKUP(tblTechnologies[[#This Row],[TechnologyID]],tblTargets[TargetID],tblTargets[DisplayName],"")</f>
        <v>Alchemists Hut - Potion Berserker Rage</v>
      </c>
      <c r="E12" s="2" t="b">
        <v>1</v>
      </c>
      <c r="F12" s="2" t="s">
        <v>17</v>
      </c>
      <c r="G12" s="19" t="s">
        <v>1002</v>
      </c>
      <c r="H12" s="14" t="s">
        <v>18</v>
      </c>
      <c r="I12" s="14" t="s">
        <v>966</v>
      </c>
      <c r="J12" s="14" t="s">
        <v>967</v>
      </c>
      <c r="K12" s="14" t="s">
        <v>1003</v>
      </c>
      <c r="L12" s="14"/>
      <c r="M12" s="15" t="s">
        <v>1004</v>
      </c>
      <c r="N12" s="32">
        <f>IF(tblTechnologies[[#This Row],[costtext]]="", 0, LEN(tblTechnologies[[#This Row],[costtext]]) - LEN(SUBSTITUTE(tblTechnologies[[#This Row],[costtext]], ",", "")) + 1)</f>
        <v>7</v>
      </c>
      <c r="O12" s="32">
        <f>COUNTA(tblTechnologies[[#This Row],[amazake]:[wood]])</f>
        <v>7</v>
      </c>
      <c r="P12" s="14"/>
      <c r="Q12" s="14"/>
      <c r="R12" s="14"/>
      <c r="S12" s="14"/>
      <c r="T12" s="14"/>
      <c r="U12" s="14"/>
      <c r="V12" s="14"/>
      <c r="W12" s="14"/>
      <c r="X12" s="14"/>
      <c r="Y12" s="14"/>
      <c r="Z12" s="14"/>
      <c r="AA12" s="14"/>
      <c r="AB12" s="14"/>
      <c r="AC12" s="14"/>
      <c r="AD12" s="14">
        <v>500</v>
      </c>
      <c r="AE12" s="14"/>
      <c r="AF12" s="14"/>
      <c r="AG12" s="14"/>
      <c r="AH12" s="14"/>
      <c r="AI12" s="14"/>
      <c r="AJ12" s="14"/>
      <c r="AK12" s="14"/>
      <c r="AL12" s="14"/>
      <c r="AM12" s="14"/>
      <c r="AN12" s="14"/>
      <c r="AO12" s="14"/>
      <c r="AP12" s="14"/>
      <c r="AQ12" s="14">
        <v>10</v>
      </c>
      <c r="AR12" s="14"/>
      <c r="AS12" s="14"/>
      <c r="AT12" s="14"/>
      <c r="AU12" s="14"/>
      <c r="AV12" s="14"/>
      <c r="AW12" s="14"/>
      <c r="AX12" s="14"/>
      <c r="AY12" s="14"/>
      <c r="AZ12" s="14"/>
      <c r="BA12" s="14">
        <v>10</v>
      </c>
      <c r="BB12" s="14"/>
      <c r="BC12" s="14"/>
      <c r="BD12" s="14"/>
      <c r="BE12" s="14"/>
      <c r="BF12" s="14"/>
      <c r="BG12" s="14"/>
      <c r="BH12" s="14"/>
      <c r="BI12" s="14"/>
      <c r="BJ12" s="14"/>
      <c r="BK12" s="14"/>
      <c r="BL12" s="14"/>
      <c r="BM12" s="14">
        <v>20</v>
      </c>
      <c r="BN12" s="14"/>
      <c r="BO12" s="14"/>
      <c r="BP12" s="14"/>
      <c r="BQ12" s="14"/>
      <c r="BR12" s="14"/>
      <c r="BS12" s="14"/>
      <c r="BT12" s="14">
        <v>20</v>
      </c>
      <c r="BU12" s="14"/>
      <c r="BV12" s="14"/>
      <c r="BW12" s="14"/>
      <c r="BX12" s="14"/>
      <c r="BY12" s="14">
        <v>3</v>
      </c>
      <c r="BZ12" s="14"/>
      <c r="CA12" s="14"/>
      <c r="CB12" s="14"/>
      <c r="CC12" s="14"/>
      <c r="CD12" s="14"/>
      <c r="CE12" s="14">
        <v>3</v>
      </c>
      <c r="CF12" s="14"/>
      <c r="CG12" s="14"/>
      <c r="CH12" s="14"/>
      <c r="CI12" s="14"/>
      <c r="CJ12" s="14"/>
      <c r="CK12" s="14"/>
      <c r="CL12" s="14"/>
      <c r="CM12" s="14"/>
      <c r="CN12" s="14"/>
      <c r="CO12" s="14"/>
      <c r="CP12" s="14"/>
      <c r="CQ12" s="14"/>
      <c r="CR12" s="14"/>
      <c r="CS12" s="14"/>
      <c r="CT12" s="14"/>
      <c r="CU12" s="14"/>
    </row>
    <row r="13" spans="1:99" ht="43.5" hidden="1">
      <c r="A13" s="2" t="s">
        <v>2116</v>
      </c>
      <c r="B13" s="2" t="s">
        <v>842</v>
      </c>
      <c r="C13" s="2" t="s">
        <v>754</v>
      </c>
      <c r="D13" s="2" t="str">
        <f>_xlfn.XLOOKUP(tblTechnologies[[#This Row],[TechnologyID]],tblTargets[TargetID],tblTargets[DisplayName],"")</f>
        <v>Alchemists Hut - Potion Of Healing Lvl 2</v>
      </c>
      <c r="E13" s="2" t="b">
        <v>1</v>
      </c>
      <c r="F13" s="2" t="s">
        <v>17</v>
      </c>
      <c r="G13" s="19" t="s">
        <v>1005</v>
      </c>
      <c r="H13" s="14" t="s">
        <v>18</v>
      </c>
      <c r="I13" s="14" t="s">
        <v>1006</v>
      </c>
      <c r="J13" s="14" t="s">
        <v>1007</v>
      </c>
      <c r="K13" s="14" t="s">
        <v>1008</v>
      </c>
      <c r="L13" s="14"/>
      <c r="M13" s="15" t="s">
        <v>1009</v>
      </c>
      <c r="N13" s="32">
        <f>IF(tblTechnologies[[#This Row],[costtext]]="", 0, LEN(tblTechnologies[[#This Row],[costtext]]) - LEN(SUBSTITUTE(tblTechnologies[[#This Row],[costtext]], ",", "")) + 1)</f>
        <v>7</v>
      </c>
      <c r="O13" s="32">
        <f>COUNTA(tblTechnologies[[#This Row],[amazake]:[wood]])</f>
        <v>7</v>
      </c>
      <c r="P13" s="14"/>
      <c r="Q13" s="14"/>
      <c r="R13" s="14"/>
      <c r="S13" s="14"/>
      <c r="T13" s="14"/>
      <c r="U13" s="14"/>
      <c r="V13" s="14"/>
      <c r="W13" s="14"/>
      <c r="X13" s="14"/>
      <c r="Y13" s="14"/>
      <c r="Z13" s="14">
        <v>15</v>
      </c>
      <c r="AA13" s="14"/>
      <c r="AB13" s="14"/>
      <c r="AC13" s="14"/>
      <c r="AD13" s="14">
        <v>500</v>
      </c>
      <c r="AE13" s="14"/>
      <c r="AF13" s="14"/>
      <c r="AG13" s="14"/>
      <c r="AH13" s="14"/>
      <c r="AI13" s="14"/>
      <c r="AJ13" s="14"/>
      <c r="AK13" s="14"/>
      <c r="AL13" s="14"/>
      <c r="AM13" s="14"/>
      <c r="AN13" s="14"/>
      <c r="AO13" s="14"/>
      <c r="AP13" s="14"/>
      <c r="AQ13" s="14"/>
      <c r="AR13" s="14"/>
      <c r="AS13" s="14"/>
      <c r="AT13" s="14"/>
      <c r="AU13" s="14"/>
      <c r="AV13" s="14"/>
      <c r="AW13" s="14"/>
      <c r="AX13" s="14"/>
      <c r="AY13" s="14"/>
      <c r="AZ13" s="14"/>
      <c r="BA13" s="14">
        <v>10</v>
      </c>
      <c r="BB13" s="14"/>
      <c r="BC13" s="14"/>
      <c r="BD13" s="14"/>
      <c r="BE13" s="14"/>
      <c r="BF13" s="14"/>
      <c r="BG13" s="14"/>
      <c r="BH13" s="14"/>
      <c r="BI13" s="14"/>
      <c r="BJ13" s="14"/>
      <c r="BK13" s="14"/>
      <c r="BL13" s="14"/>
      <c r="BM13" s="14">
        <v>20</v>
      </c>
      <c r="BN13" s="14"/>
      <c r="BO13" s="14"/>
      <c r="BP13" s="14"/>
      <c r="BQ13" s="14">
        <v>12</v>
      </c>
      <c r="BR13" s="14"/>
      <c r="BS13" s="14"/>
      <c r="BT13" s="14">
        <v>20</v>
      </c>
      <c r="BU13" s="14"/>
      <c r="BV13" s="14"/>
      <c r="BW13" s="14"/>
      <c r="BX13" s="14"/>
      <c r="BY13" s="14">
        <v>3</v>
      </c>
      <c r="BZ13" s="14"/>
      <c r="CA13" s="14"/>
      <c r="CB13" s="14"/>
      <c r="CC13" s="14"/>
      <c r="CD13" s="14"/>
      <c r="CE13" s="14"/>
      <c r="CF13" s="14"/>
      <c r="CG13" s="14"/>
      <c r="CH13" s="14"/>
      <c r="CI13" s="14"/>
      <c r="CJ13" s="14"/>
      <c r="CK13" s="14"/>
      <c r="CL13" s="14"/>
      <c r="CM13" s="14"/>
      <c r="CN13" s="14"/>
      <c r="CO13" s="14"/>
      <c r="CP13" s="14"/>
      <c r="CQ13" s="14"/>
      <c r="CR13" s="14"/>
      <c r="CS13" s="14"/>
      <c r="CT13" s="14"/>
      <c r="CU13" s="14"/>
    </row>
    <row r="14" spans="1:99" ht="43.5" hidden="1">
      <c r="A14" s="2" t="s">
        <v>2118</v>
      </c>
      <c r="B14" s="2" t="s">
        <v>913</v>
      </c>
      <c r="C14" s="2" t="s">
        <v>917</v>
      </c>
      <c r="D14" s="2" t="str">
        <f>_xlfn.XLOOKUP(tblTechnologies[[#This Row],[TechnologyID]],tblTargets[TargetID],tblTargets[DisplayName],"")</f>
        <v>Alchemists Hut - Potion Ambrosia</v>
      </c>
      <c r="E14" s="2" t="b">
        <v>1</v>
      </c>
      <c r="F14" s="2" t="s">
        <v>17</v>
      </c>
      <c r="G14" s="19" t="s">
        <v>1010</v>
      </c>
      <c r="H14" s="14" t="s">
        <v>18</v>
      </c>
      <c r="I14" s="14" t="s">
        <v>1011</v>
      </c>
      <c r="J14" s="14" t="s">
        <v>1012</v>
      </c>
      <c r="K14" s="14" t="s">
        <v>1013</v>
      </c>
      <c r="L14" s="14"/>
      <c r="M14" s="15" t="s">
        <v>1014</v>
      </c>
      <c r="N14" s="32">
        <f>IF(tblTechnologies[[#This Row],[costtext]]="", 0, LEN(tblTechnologies[[#This Row],[costtext]]) - LEN(SUBSTITUTE(tblTechnologies[[#This Row],[costtext]], ",", "")) + 1)</f>
        <v>7</v>
      </c>
      <c r="O14" s="32">
        <f>COUNTA(tblTechnologies[[#This Row],[amazake]:[wood]])</f>
        <v>7</v>
      </c>
      <c r="P14" s="14"/>
      <c r="Q14" s="14"/>
      <c r="R14" s="14"/>
      <c r="S14" s="14"/>
      <c r="T14" s="14"/>
      <c r="U14" s="14"/>
      <c r="V14" s="14"/>
      <c r="W14" s="14"/>
      <c r="X14" s="14"/>
      <c r="Y14" s="14"/>
      <c r="Z14" s="14">
        <v>20</v>
      </c>
      <c r="AA14" s="14"/>
      <c r="AB14" s="14"/>
      <c r="AC14" s="14"/>
      <c r="AD14" s="14">
        <v>1000</v>
      </c>
      <c r="AE14" s="14"/>
      <c r="AF14" s="14"/>
      <c r="AG14" s="14"/>
      <c r="AH14" s="14"/>
      <c r="AI14" s="14"/>
      <c r="AJ14" s="14"/>
      <c r="AK14" s="14"/>
      <c r="AL14" s="14"/>
      <c r="AM14" s="14"/>
      <c r="AN14" s="14"/>
      <c r="AO14" s="14"/>
      <c r="AP14" s="14"/>
      <c r="AQ14" s="14"/>
      <c r="AR14" s="14"/>
      <c r="AS14" s="14"/>
      <c r="AT14" s="14"/>
      <c r="AU14" s="14"/>
      <c r="AV14" s="14"/>
      <c r="AW14" s="14"/>
      <c r="AX14" s="14"/>
      <c r="AY14" s="14"/>
      <c r="AZ14" s="14"/>
      <c r="BA14" s="14">
        <v>15</v>
      </c>
      <c r="BB14" s="14"/>
      <c r="BC14" s="14"/>
      <c r="BD14" s="14"/>
      <c r="BE14" s="14"/>
      <c r="BF14" s="14"/>
      <c r="BG14" s="14"/>
      <c r="BH14" s="14"/>
      <c r="BI14" s="14"/>
      <c r="BJ14" s="14"/>
      <c r="BK14" s="14"/>
      <c r="BL14" s="14"/>
      <c r="BM14" s="14">
        <v>30</v>
      </c>
      <c r="BN14" s="14"/>
      <c r="BO14" s="14"/>
      <c r="BP14" s="14"/>
      <c r="BQ14" s="14"/>
      <c r="BR14" s="14">
        <v>12</v>
      </c>
      <c r="BS14" s="14"/>
      <c r="BT14" s="14">
        <v>30</v>
      </c>
      <c r="BU14" s="14"/>
      <c r="BV14" s="14"/>
      <c r="BW14" s="14"/>
      <c r="BX14" s="14"/>
      <c r="BY14" s="14">
        <v>5</v>
      </c>
      <c r="BZ14" s="14"/>
      <c r="CA14" s="14"/>
      <c r="CB14" s="14"/>
      <c r="CC14" s="14"/>
      <c r="CD14" s="14"/>
      <c r="CE14" s="14"/>
      <c r="CF14" s="14"/>
      <c r="CG14" s="14"/>
      <c r="CH14" s="14"/>
      <c r="CI14" s="14"/>
      <c r="CJ14" s="14"/>
      <c r="CK14" s="14"/>
      <c r="CL14" s="14"/>
      <c r="CM14" s="14"/>
      <c r="CN14" s="14"/>
      <c r="CO14" s="14"/>
      <c r="CP14" s="14"/>
      <c r="CQ14" s="14"/>
      <c r="CR14" s="14"/>
      <c r="CS14" s="14"/>
      <c r="CT14" s="14"/>
      <c r="CU14" s="14"/>
    </row>
    <row r="15" spans="1:99" ht="72.5" hidden="1">
      <c r="A15" s="2" t="s">
        <v>2120</v>
      </c>
      <c r="B15" s="2" t="s">
        <v>920</v>
      </c>
      <c r="C15" s="2" t="s">
        <v>755</v>
      </c>
      <c r="D15" s="2" t="str">
        <f>_xlfn.XLOOKUP(tblTechnologies[[#This Row],[TechnologyID]],tblTargets[TargetID],tblTargets[DisplayName],"")</f>
        <v>Alchemists Hut - Conveyor Lvl 1</v>
      </c>
      <c r="E15" s="2" t="b">
        <v>1</v>
      </c>
      <c r="F15" s="2" t="s">
        <v>17</v>
      </c>
      <c r="G15" s="19" t="s">
        <v>1015</v>
      </c>
      <c r="H15" s="14" t="s">
        <v>18</v>
      </c>
      <c r="I15" s="14" t="s">
        <v>966</v>
      </c>
      <c r="J15" s="14" t="s">
        <v>967</v>
      </c>
      <c r="K15" s="14" t="s">
        <v>1016</v>
      </c>
      <c r="L15" s="14"/>
      <c r="M15" s="15" t="s">
        <v>1017</v>
      </c>
      <c r="N15" s="32">
        <f>IF(tblTechnologies[[#This Row],[costtext]]="", 0, LEN(tblTechnologies[[#This Row],[costtext]]) - LEN(SUBSTITUTE(tblTechnologies[[#This Row],[costtext]], ",", "")) + 1)</f>
        <v>6</v>
      </c>
      <c r="O15" s="32">
        <f>COUNTA(tblTechnologies[[#This Row],[amazake]:[wood]])</f>
        <v>6</v>
      </c>
      <c r="P15" s="14"/>
      <c r="Q15" s="14"/>
      <c r="R15" s="14"/>
      <c r="S15" s="14"/>
      <c r="T15" s="14"/>
      <c r="U15" s="14"/>
      <c r="V15" s="14"/>
      <c r="W15" s="14">
        <v>10</v>
      </c>
      <c r="X15" s="14"/>
      <c r="Y15" s="14"/>
      <c r="Z15" s="14"/>
      <c r="AA15" s="14"/>
      <c r="AB15" s="14"/>
      <c r="AC15" s="14"/>
      <c r="AD15" s="14">
        <v>400</v>
      </c>
      <c r="AE15" s="14"/>
      <c r="AF15" s="14"/>
      <c r="AG15" s="14"/>
      <c r="AH15" s="14">
        <v>40</v>
      </c>
      <c r="AI15" s="14"/>
      <c r="AJ15" s="14"/>
      <c r="AK15" s="14"/>
      <c r="AL15" s="14"/>
      <c r="AM15" s="14"/>
      <c r="AN15" s="14"/>
      <c r="AO15" s="14"/>
      <c r="AP15" s="14"/>
      <c r="AQ15" s="14"/>
      <c r="AR15" s="14"/>
      <c r="AS15" s="14"/>
      <c r="AT15" s="14"/>
      <c r="AU15" s="14"/>
      <c r="AV15" s="14"/>
      <c r="AW15" s="14"/>
      <c r="AX15" s="14"/>
      <c r="AY15" s="14"/>
      <c r="AZ15" s="14"/>
      <c r="BA15" s="14"/>
      <c r="BB15" s="14">
        <v>10</v>
      </c>
      <c r="BC15" s="14"/>
      <c r="BD15" s="14"/>
      <c r="BE15" s="14"/>
      <c r="BF15" s="14"/>
      <c r="BG15" s="14"/>
      <c r="BH15" s="14"/>
      <c r="BI15" s="14">
        <v>20</v>
      </c>
      <c r="BJ15" s="14"/>
      <c r="BK15" s="14"/>
      <c r="BL15" s="14"/>
      <c r="BM15" s="14"/>
      <c r="BN15" s="14"/>
      <c r="BO15" s="14"/>
      <c r="BP15" s="14"/>
      <c r="BQ15" s="14"/>
      <c r="BR15" s="14"/>
      <c r="BS15" s="14"/>
      <c r="BT15" s="14"/>
      <c r="BU15" s="14"/>
      <c r="BV15" s="14"/>
      <c r="BW15" s="14"/>
      <c r="BX15" s="14"/>
      <c r="BY15" s="14">
        <v>2</v>
      </c>
      <c r="BZ15" s="14"/>
      <c r="CA15" s="14"/>
      <c r="CB15" s="14"/>
      <c r="CC15" s="14"/>
      <c r="CD15" s="14"/>
      <c r="CE15" s="14"/>
      <c r="CF15" s="14"/>
      <c r="CG15" s="14"/>
      <c r="CH15" s="14"/>
      <c r="CI15" s="14"/>
      <c r="CJ15" s="14"/>
      <c r="CK15" s="14"/>
      <c r="CL15" s="14"/>
      <c r="CM15" s="14"/>
      <c r="CN15" s="14"/>
      <c r="CO15" s="14"/>
      <c r="CP15" s="14"/>
      <c r="CQ15" s="14"/>
      <c r="CR15" s="14"/>
      <c r="CS15" s="14"/>
      <c r="CT15" s="14"/>
      <c r="CU15" s="14"/>
    </row>
    <row r="16" spans="1:99" ht="72.5" hidden="1">
      <c r="A16" s="2" t="s">
        <v>2122</v>
      </c>
      <c r="B16" s="2" t="s">
        <v>921</v>
      </c>
      <c r="C16" s="2" t="s">
        <v>756</v>
      </c>
      <c r="D16" s="2" t="str">
        <f>_xlfn.XLOOKUP(tblTechnologies[[#This Row],[TechnologyID]],tblTargets[TargetID],tblTargets[DisplayName],"")</f>
        <v>Alchemists Hut - Conveyor Lvl 2</v>
      </c>
      <c r="E16" s="2" t="b">
        <v>1</v>
      </c>
      <c r="F16" s="2" t="s">
        <v>17</v>
      </c>
      <c r="G16" s="19" t="s">
        <v>1018</v>
      </c>
      <c r="H16" s="14" t="s">
        <v>18</v>
      </c>
      <c r="I16" s="14" t="s">
        <v>1019</v>
      </c>
      <c r="J16" s="14" t="s">
        <v>1020</v>
      </c>
      <c r="K16" s="14" t="s">
        <v>1021</v>
      </c>
      <c r="L16" s="14"/>
      <c r="M16" s="15" t="s">
        <v>1022</v>
      </c>
      <c r="N16" s="32">
        <f>IF(tblTechnologies[[#This Row],[costtext]]="", 0, LEN(tblTechnologies[[#This Row],[costtext]]) - LEN(SUBSTITUTE(tblTechnologies[[#This Row],[costtext]], ",", "")) + 1)</f>
        <v>6</v>
      </c>
      <c r="O16" s="32">
        <f>COUNTA(tblTechnologies[[#This Row],[amazake]:[wood]])</f>
        <v>6</v>
      </c>
      <c r="P16" s="14"/>
      <c r="Q16" s="14"/>
      <c r="R16" s="14"/>
      <c r="S16" s="14"/>
      <c r="T16" s="14"/>
      <c r="U16" s="14"/>
      <c r="V16" s="14"/>
      <c r="W16" s="14">
        <v>15</v>
      </c>
      <c r="X16" s="14"/>
      <c r="Y16" s="14"/>
      <c r="Z16" s="14"/>
      <c r="AA16" s="14"/>
      <c r="AB16" s="14"/>
      <c r="AC16" s="14"/>
      <c r="AD16" s="14">
        <v>500</v>
      </c>
      <c r="AE16" s="14"/>
      <c r="AF16" s="14"/>
      <c r="AG16" s="14"/>
      <c r="AH16" s="14">
        <v>60</v>
      </c>
      <c r="AI16" s="14"/>
      <c r="AJ16" s="14"/>
      <c r="AK16" s="14"/>
      <c r="AL16" s="14"/>
      <c r="AM16" s="14"/>
      <c r="AN16" s="14"/>
      <c r="AO16" s="14"/>
      <c r="AP16" s="14"/>
      <c r="AQ16" s="14"/>
      <c r="AR16" s="14"/>
      <c r="AS16" s="14"/>
      <c r="AT16" s="14"/>
      <c r="AU16" s="14"/>
      <c r="AV16" s="14"/>
      <c r="AW16" s="14"/>
      <c r="AX16" s="14"/>
      <c r="AY16" s="14"/>
      <c r="AZ16" s="14"/>
      <c r="BA16" s="14"/>
      <c r="BB16" s="14">
        <v>15</v>
      </c>
      <c r="BC16" s="14"/>
      <c r="BD16" s="14"/>
      <c r="BE16" s="14"/>
      <c r="BF16" s="14"/>
      <c r="BG16" s="14"/>
      <c r="BH16" s="14"/>
      <c r="BI16" s="14">
        <v>30</v>
      </c>
      <c r="BJ16" s="14"/>
      <c r="BK16" s="14"/>
      <c r="BL16" s="14"/>
      <c r="BM16" s="14"/>
      <c r="BN16" s="14"/>
      <c r="BO16" s="14"/>
      <c r="BP16" s="14"/>
      <c r="BQ16" s="14"/>
      <c r="BR16" s="14"/>
      <c r="BS16" s="14"/>
      <c r="BT16" s="14"/>
      <c r="BU16" s="14"/>
      <c r="BV16" s="14"/>
      <c r="BW16" s="14"/>
      <c r="BX16" s="14"/>
      <c r="BY16" s="14">
        <v>3</v>
      </c>
      <c r="BZ16" s="14"/>
      <c r="CA16" s="14"/>
      <c r="CB16" s="14"/>
      <c r="CC16" s="14"/>
      <c r="CD16" s="14"/>
      <c r="CE16" s="14"/>
      <c r="CF16" s="14"/>
      <c r="CG16" s="14"/>
      <c r="CH16" s="14"/>
      <c r="CI16" s="14"/>
      <c r="CJ16" s="14"/>
      <c r="CK16" s="14"/>
      <c r="CL16" s="14"/>
      <c r="CM16" s="14"/>
      <c r="CN16" s="14"/>
      <c r="CO16" s="14"/>
      <c r="CP16" s="14"/>
      <c r="CQ16" s="14"/>
      <c r="CR16" s="14"/>
      <c r="CS16" s="14"/>
      <c r="CT16" s="14"/>
      <c r="CU16" s="14"/>
    </row>
    <row r="17" spans="1:99" ht="43.5" hidden="1">
      <c r="A17" s="2" t="s">
        <v>2124</v>
      </c>
      <c r="B17" s="2" t="s">
        <v>843</v>
      </c>
      <c r="C17" s="2" t="s">
        <v>757</v>
      </c>
      <c r="D17" s="2" t="str">
        <f>_xlfn.XLOOKUP(tblTechnologies[[#This Row],[TechnologyID]],tblTargets[TargetID],tblTargets[DisplayName],"")</f>
        <v>Alchemists Hut - Galvanization</v>
      </c>
      <c r="E17" s="2" t="b">
        <v>1</v>
      </c>
      <c r="F17" s="2" t="s">
        <v>17</v>
      </c>
      <c r="G17" s="19" t="s">
        <v>1023</v>
      </c>
      <c r="H17" s="14" t="s">
        <v>18</v>
      </c>
      <c r="I17" s="14" t="s">
        <v>966</v>
      </c>
      <c r="J17" s="14" t="s">
        <v>967</v>
      </c>
      <c r="K17" s="14" t="s">
        <v>1024</v>
      </c>
      <c r="L17" s="14" t="s">
        <v>1025</v>
      </c>
      <c r="M17" s="15" t="s">
        <v>1026</v>
      </c>
      <c r="N17" s="32">
        <f>IF(tblTechnologies[[#This Row],[costtext]]="", 0, LEN(tblTechnologies[[#This Row],[costtext]]) - LEN(SUBSTITUTE(tblTechnologies[[#This Row],[costtext]], ",", "")) + 1)</f>
        <v>5</v>
      </c>
      <c r="O17" s="32">
        <f>COUNTA(tblTechnologies[[#This Row],[amazake]:[wood]])</f>
        <v>5</v>
      </c>
      <c r="P17" s="14"/>
      <c r="Q17" s="14"/>
      <c r="R17" s="14"/>
      <c r="S17" s="14"/>
      <c r="T17" s="14"/>
      <c r="U17" s="14"/>
      <c r="V17" s="14"/>
      <c r="W17" s="14">
        <v>30</v>
      </c>
      <c r="X17" s="14"/>
      <c r="Y17" s="14"/>
      <c r="Z17" s="14">
        <v>20</v>
      </c>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v>25</v>
      </c>
      <c r="BA17" s="14"/>
      <c r="BB17" s="14"/>
      <c r="BC17" s="14"/>
      <c r="BD17" s="14"/>
      <c r="BE17" s="14"/>
      <c r="BF17" s="14"/>
      <c r="BG17" s="14"/>
      <c r="BH17" s="14"/>
      <c r="BI17" s="14"/>
      <c r="BJ17" s="14"/>
      <c r="BK17" s="14"/>
      <c r="BL17" s="14"/>
      <c r="BM17" s="14"/>
      <c r="BN17" s="14"/>
      <c r="BO17" s="14"/>
      <c r="BP17" s="14"/>
      <c r="BQ17" s="14"/>
      <c r="BR17" s="14"/>
      <c r="BS17" s="14"/>
      <c r="BT17" s="14">
        <v>40</v>
      </c>
      <c r="BU17" s="14"/>
      <c r="BV17" s="14"/>
      <c r="BW17" s="14"/>
      <c r="BX17" s="14"/>
      <c r="BY17" s="14">
        <v>2</v>
      </c>
      <c r="BZ17" s="14"/>
      <c r="CA17" s="14"/>
      <c r="CB17" s="14"/>
      <c r="CC17" s="14"/>
      <c r="CD17" s="14"/>
      <c r="CE17" s="14"/>
      <c r="CF17" s="14"/>
      <c r="CG17" s="14"/>
      <c r="CH17" s="14"/>
      <c r="CI17" s="14"/>
      <c r="CJ17" s="14"/>
      <c r="CK17" s="14"/>
      <c r="CL17" s="14"/>
      <c r="CM17" s="14"/>
      <c r="CN17" s="14"/>
      <c r="CO17" s="14"/>
      <c r="CP17" s="14"/>
      <c r="CQ17" s="14"/>
      <c r="CR17" s="14"/>
      <c r="CS17" s="14"/>
      <c r="CT17" s="14"/>
      <c r="CU17" s="14"/>
    </row>
    <row r="18" spans="1:99" ht="116" hidden="1">
      <c r="A18" s="2" t="s">
        <v>2126</v>
      </c>
      <c r="B18" s="2" t="s">
        <v>844</v>
      </c>
      <c r="C18" s="2" t="s">
        <v>758</v>
      </c>
      <c r="D18" s="2" t="str">
        <f>_xlfn.XLOOKUP(tblTechnologies[[#This Row],[TechnologyID]],tblTargets[TargetID],tblTargets[DisplayName],"")</f>
        <v>Alchemists Hut - Metamorphosis</v>
      </c>
      <c r="E18" s="2" t="b">
        <v>1</v>
      </c>
      <c r="F18" s="2" t="s">
        <v>17</v>
      </c>
      <c r="G18" s="19" t="s">
        <v>1027</v>
      </c>
      <c r="H18" s="14" t="s">
        <v>18</v>
      </c>
      <c r="I18" s="14" t="s">
        <v>990</v>
      </c>
      <c r="J18" s="14" t="s">
        <v>991</v>
      </c>
      <c r="K18" s="14" t="s">
        <v>1028</v>
      </c>
      <c r="L18" s="14" t="s">
        <v>1029</v>
      </c>
      <c r="M18" s="15" t="s">
        <v>1030</v>
      </c>
      <c r="N18" s="32">
        <f>IF(tblTechnologies[[#This Row],[costtext]]="", 0, LEN(tblTechnologies[[#This Row],[costtext]]) - LEN(SUBSTITUTE(tblTechnologies[[#This Row],[costtext]], ",", "")) + 1)</f>
        <v>6</v>
      </c>
      <c r="O18" s="32">
        <f>COUNTA(tblTechnologies[[#This Row],[amazake]:[wood]])</f>
        <v>6</v>
      </c>
      <c r="P18" s="14"/>
      <c r="Q18" s="14"/>
      <c r="R18" s="14"/>
      <c r="S18" s="14"/>
      <c r="T18" s="14"/>
      <c r="U18" s="14"/>
      <c r="V18" s="14"/>
      <c r="W18" s="14"/>
      <c r="X18" s="14"/>
      <c r="Y18" s="14"/>
      <c r="Z18" s="14"/>
      <c r="AA18" s="14"/>
      <c r="AB18" s="14"/>
      <c r="AC18" s="14"/>
      <c r="AD18" s="14">
        <v>300</v>
      </c>
      <c r="AE18" s="14"/>
      <c r="AF18" s="14"/>
      <c r="AG18" s="14"/>
      <c r="AH18" s="14"/>
      <c r="AI18" s="14"/>
      <c r="AJ18" s="14"/>
      <c r="AK18" s="14"/>
      <c r="AL18" s="14"/>
      <c r="AM18" s="14"/>
      <c r="AN18" s="14"/>
      <c r="AO18" s="14"/>
      <c r="AP18" s="14"/>
      <c r="AQ18" s="14"/>
      <c r="AR18" s="14"/>
      <c r="AS18" s="14"/>
      <c r="AT18" s="14">
        <v>5</v>
      </c>
      <c r="AU18" s="14"/>
      <c r="AV18" s="14"/>
      <c r="AW18" s="14"/>
      <c r="AX18" s="14"/>
      <c r="AY18" s="14"/>
      <c r="AZ18" s="14"/>
      <c r="BA18" s="14">
        <v>15</v>
      </c>
      <c r="BB18" s="14"/>
      <c r="BC18" s="14">
        <v>5</v>
      </c>
      <c r="BD18" s="14"/>
      <c r="BE18" s="14"/>
      <c r="BF18" s="14"/>
      <c r="BG18" s="14"/>
      <c r="BH18" s="14"/>
      <c r="BI18" s="14"/>
      <c r="BJ18" s="14"/>
      <c r="BK18" s="14"/>
      <c r="BL18" s="14"/>
      <c r="BM18" s="14"/>
      <c r="BN18" s="14"/>
      <c r="BO18" s="14"/>
      <c r="BP18" s="14"/>
      <c r="BQ18" s="14"/>
      <c r="BR18" s="14"/>
      <c r="BS18" s="14"/>
      <c r="BT18" s="14">
        <v>15</v>
      </c>
      <c r="BU18" s="14"/>
      <c r="BV18" s="14"/>
      <c r="BW18" s="14"/>
      <c r="BX18" s="14"/>
      <c r="BY18" s="14">
        <v>3</v>
      </c>
      <c r="BZ18" s="14"/>
      <c r="CA18" s="14"/>
      <c r="CB18" s="14"/>
      <c r="CC18" s="14"/>
      <c r="CD18" s="14"/>
      <c r="CE18" s="14"/>
      <c r="CF18" s="14"/>
      <c r="CG18" s="14"/>
      <c r="CH18" s="14"/>
      <c r="CI18" s="14"/>
      <c r="CJ18" s="14"/>
      <c r="CK18" s="14"/>
      <c r="CL18" s="14"/>
      <c r="CM18" s="14"/>
      <c r="CN18" s="14"/>
      <c r="CO18" s="14"/>
      <c r="CP18" s="14"/>
      <c r="CQ18" s="14"/>
      <c r="CR18" s="14"/>
      <c r="CS18" s="14"/>
      <c r="CT18" s="14"/>
      <c r="CU18" s="14"/>
    </row>
    <row r="19" spans="1:99" ht="58" hidden="1">
      <c r="A19" s="2" t="s">
        <v>2128</v>
      </c>
      <c r="B19" s="2" t="s">
        <v>845</v>
      </c>
      <c r="C19" s="2" t="s">
        <v>759</v>
      </c>
      <c r="D19" s="2" t="str">
        <f>_xlfn.XLOOKUP(tblTechnologies[[#This Row],[TechnologyID]],tblTargets[TargetID],tblTargets[DisplayName],"")</f>
        <v>Alchemists Hut - Advanced Fertilizer</v>
      </c>
      <c r="E19" s="2" t="b">
        <v>1</v>
      </c>
      <c r="F19" s="2" t="s">
        <v>17</v>
      </c>
      <c r="G19" s="19" t="s">
        <v>1031</v>
      </c>
      <c r="H19" s="14" t="s">
        <v>18</v>
      </c>
      <c r="I19" s="14" t="s">
        <v>1032</v>
      </c>
      <c r="J19" s="14" t="s">
        <v>1033</v>
      </c>
      <c r="K19" s="14" t="s">
        <v>1034</v>
      </c>
      <c r="L19" s="14" t="s">
        <v>1035</v>
      </c>
      <c r="M19" s="15" t="s">
        <v>1036</v>
      </c>
      <c r="N19" s="32">
        <f>IF(tblTechnologies[[#This Row],[costtext]]="", 0, LEN(tblTechnologies[[#This Row],[costtext]]) - LEN(SUBSTITUTE(tblTechnologies[[#This Row],[costtext]], ",", "")) + 1)</f>
        <v>9</v>
      </c>
      <c r="O19" s="32">
        <f>COUNTA(tblTechnologies[[#This Row],[amazake]:[wood]])</f>
        <v>9</v>
      </c>
      <c r="P19" s="14"/>
      <c r="Q19" s="14"/>
      <c r="R19" s="14"/>
      <c r="S19" s="14"/>
      <c r="T19" s="14"/>
      <c r="U19" s="14"/>
      <c r="V19" s="14"/>
      <c r="W19" s="14">
        <v>30</v>
      </c>
      <c r="X19" s="14"/>
      <c r="Y19" s="14"/>
      <c r="Z19" s="14">
        <v>20</v>
      </c>
      <c r="AA19" s="14"/>
      <c r="AB19" s="14">
        <v>100</v>
      </c>
      <c r="AC19" s="14"/>
      <c r="AD19" s="14">
        <v>800</v>
      </c>
      <c r="AE19" s="14"/>
      <c r="AF19" s="14"/>
      <c r="AG19" s="14"/>
      <c r="AH19" s="14"/>
      <c r="AI19" s="14"/>
      <c r="AJ19" s="14"/>
      <c r="AK19" s="14">
        <v>50</v>
      </c>
      <c r="AL19" s="14"/>
      <c r="AM19" s="14"/>
      <c r="AN19" s="14"/>
      <c r="AO19" s="14"/>
      <c r="AP19" s="14"/>
      <c r="AQ19" s="14">
        <v>20</v>
      </c>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v>20</v>
      </c>
      <c r="BU19" s="14"/>
      <c r="BV19" s="14"/>
      <c r="BW19" s="14"/>
      <c r="BX19" s="14"/>
      <c r="BY19" s="14">
        <v>5</v>
      </c>
      <c r="BZ19" s="14"/>
      <c r="CA19" s="14"/>
      <c r="CB19" s="14"/>
      <c r="CC19" s="14"/>
      <c r="CD19" s="14"/>
      <c r="CE19" s="14"/>
      <c r="CF19" s="14"/>
      <c r="CG19" s="14"/>
      <c r="CH19" s="14"/>
      <c r="CI19" s="14"/>
      <c r="CJ19" s="14"/>
      <c r="CK19" s="14"/>
      <c r="CL19" s="14"/>
      <c r="CM19" s="14"/>
      <c r="CN19" s="14">
        <v>10</v>
      </c>
      <c r="CO19" s="14"/>
      <c r="CP19" s="14"/>
      <c r="CQ19" s="14"/>
      <c r="CR19" s="14"/>
      <c r="CS19" s="14"/>
      <c r="CT19" s="14"/>
      <c r="CU19" s="14"/>
    </row>
    <row r="20" spans="1:99" ht="58" hidden="1">
      <c r="A20" s="2" t="s">
        <v>2130</v>
      </c>
      <c r="B20" s="2" t="s">
        <v>846</v>
      </c>
      <c r="C20" s="2" t="s">
        <v>760</v>
      </c>
      <c r="D20" s="2" t="str">
        <f>_xlfn.XLOOKUP(tblTechnologies[[#This Row],[TechnologyID]],tblTargets[TargetID],tblTargets[DisplayName],"")</f>
        <v>Bridge - Koi Fish</v>
      </c>
      <c r="E20" s="2" t="b">
        <v>1</v>
      </c>
      <c r="F20" s="2" t="s">
        <v>28</v>
      </c>
      <c r="G20" s="19" t="s">
        <v>1037</v>
      </c>
      <c r="H20" s="14" t="s">
        <v>729</v>
      </c>
      <c r="I20" s="14" t="s">
        <v>1038</v>
      </c>
      <c r="J20" s="14" t="s">
        <v>1039</v>
      </c>
      <c r="K20" s="14" t="s">
        <v>1040</v>
      </c>
      <c r="L20" s="14" t="s">
        <v>1041</v>
      </c>
      <c r="M20" s="15" t="s">
        <v>1042</v>
      </c>
      <c r="N20" s="32">
        <f>IF(tblTechnologies[[#This Row],[costtext]]="", 0, LEN(tblTechnologies[[#This Row],[costtext]]) - LEN(SUBSTITUTE(tblTechnologies[[#This Row],[costtext]], ",", "")) + 1)</f>
        <v>6</v>
      </c>
      <c r="O20" s="32">
        <f>COUNTA(tblTechnologies[[#This Row],[amazake]:[wood]])</f>
        <v>6</v>
      </c>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v>20</v>
      </c>
      <c r="BA20" s="14"/>
      <c r="BB20" s="14"/>
      <c r="BC20" s="14"/>
      <c r="BD20" s="14"/>
      <c r="BE20" s="14"/>
      <c r="BF20" s="14"/>
      <c r="BG20" s="14"/>
      <c r="BH20" s="14"/>
      <c r="BI20" s="14"/>
      <c r="BJ20" s="14"/>
      <c r="BK20" s="14"/>
      <c r="BL20" s="14"/>
      <c r="BM20" s="14"/>
      <c r="BN20" s="14">
        <v>20</v>
      </c>
      <c r="BO20" s="14"/>
      <c r="BP20" s="14"/>
      <c r="BQ20" s="14"/>
      <c r="BR20" s="14"/>
      <c r="BS20" s="14"/>
      <c r="BT20" s="14"/>
      <c r="BU20" s="14"/>
      <c r="BV20" s="14"/>
      <c r="BW20" s="14"/>
      <c r="BX20" s="14"/>
      <c r="BY20" s="14">
        <v>20</v>
      </c>
      <c r="BZ20" s="14">
        <v>20</v>
      </c>
      <c r="CA20" s="14"/>
      <c r="CB20" s="14"/>
      <c r="CC20" s="14"/>
      <c r="CD20" s="14"/>
      <c r="CE20" s="14"/>
      <c r="CF20" s="14"/>
      <c r="CG20" s="14"/>
      <c r="CH20" s="14"/>
      <c r="CI20" s="14"/>
      <c r="CJ20" s="14"/>
      <c r="CK20" s="14"/>
      <c r="CL20" s="14"/>
      <c r="CM20" s="14"/>
      <c r="CN20" s="14"/>
      <c r="CO20" s="14"/>
      <c r="CP20" s="14"/>
      <c r="CQ20" s="14">
        <v>20</v>
      </c>
      <c r="CR20" s="14"/>
      <c r="CS20" s="14"/>
      <c r="CT20" s="14">
        <v>20</v>
      </c>
      <c r="CU20" s="14"/>
    </row>
    <row r="21" spans="1:99" ht="29" hidden="1">
      <c r="A21" s="2" t="s">
        <v>2132</v>
      </c>
      <c r="B21" s="2" t="s">
        <v>847</v>
      </c>
      <c r="C21" s="2" t="s">
        <v>761</v>
      </c>
      <c r="D21" s="2" t="str">
        <f>_xlfn.XLOOKUP(tblTechnologies[[#This Row],[TechnologyID]],tblTargets[TargetID],tblTargets[DisplayName],"")</f>
        <v>Bridge - Salmon Farming</v>
      </c>
      <c r="E21" s="2" t="b">
        <v>1</v>
      </c>
      <c r="F21" s="2" t="s">
        <v>28</v>
      </c>
      <c r="G21" s="19" t="s">
        <v>1043</v>
      </c>
      <c r="H21" s="14" t="s">
        <v>729</v>
      </c>
      <c r="I21" s="14" t="s">
        <v>1038</v>
      </c>
      <c r="J21" s="14" t="s">
        <v>1039</v>
      </c>
      <c r="K21" s="14" t="s">
        <v>1044</v>
      </c>
      <c r="L21" s="14"/>
      <c r="M21" s="15" t="s">
        <v>1045</v>
      </c>
      <c r="N21" s="32">
        <f>IF(tblTechnologies[[#This Row],[costtext]]="", 0, LEN(tblTechnologies[[#This Row],[costtext]]) - LEN(SUBSTITUTE(tblTechnologies[[#This Row],[costtext]], ",", "")) + 1)</f>
        <v>7</v>
      </c>
      <c r="O21" s="32">
        <f>COUNTA(tblTechnologies[[#This Row],[amazake]:[wood]])</f>
        <v>7</v>
      </c>
      <c r="P21" s="14"/>
      <c r="Q21" s="14"/>
      <c r="R21" s="14"/>
      <c r="S21" s="14"/>
      <c r="T21" s="14"/>
      <c r="U21" s="14"/>
      <c r="V21" s="14"/>
      <c r="W21" s="14">
        <v>20</v>
      </c>
      <c r="X21" s="14"/>
      <c r="Y21" s="14"/>
      <c r="Z21" s="14"/>
      <c r="AA21" s="14"/>
      <c r="AB21" s="14"/>
      <c r="AC21" s="14"/>
      <c r="AD21" s="14"/>
      <c r="AE21" s="14"/>
      <c r="AF21" s="14"/>
      <c r="AG21" s="14"/>
      <c r="AH21" s="14"/>
      <c r="AI21" s="14"/>
      <c r="AJ21" s="14"/>
      <c r="AK21" s="14"/>
      <c r="AL21" s="14"/>
      <c r="AM21" s="14"/>
      <c r="AN21" s="14">
        <v>40</v>
      </c>
      <c r="AO21" s="14"/>
      <c r="AP21" s="14"/>
      <c r="AQ21" s="14">
        <v>20</v>
      </c>
      <c r="AR21" s="14"/>
      <c r="AS21" s="14"/>
      <c r="AT21" s="14"/>
      <c r="AU21" s="14"/>
      <c r="AV21" s="14"/>
      <c r="AW21" s="14"/>
      <c r="AX21" s="14"/>
      <c r="AY21" s="14"/>
      <c r="AZ21" s="14"/>
      <c r="BA21" s="14"/>
      <c r="BB21" s="14"/>
      <c r="BC21" s="14"/>
      <c r="BD21" s="14"/>
      <c r="BE21" s="14"/>
      <c r="BF21" s="14"/>
      <c r="BG21" s="14"/>
      <c r="BH21" s="14"/>
      <c r="BI21" s="14"/>
      <c r="BJ21" s="14">
        <v>10</v>
      </c>
      <c r="BK21" s="14"/>
      <c r="BL21" s="14"/>
      <c r="BM21" s="14"/>
      <c r="BN21" s="14"/>
      <c r="BO21" s="14"/>
      <c r="BP21" s="14"/>
      <c r="BQ21" s="14"/>
      <c r="BR21" s="14"/>
      <c r="BS21" s="14"/>
      <c r="BT21" s="14"/>
      <c r="BU21" s="14"/>
      <c r="BV21" s="14"/>
      <c r="BW21" s="14"/>
      <c r="BX21" s="14"/>
      <c r="BY21" s="14">
        <v>15</v>
      </c>
      <c r="BZ21" s="14">
        <v>20</v>
      </c>
      <c r="CA21" s="14"/>
      <c r="CB21" s="14"/>
      <c r="CC21" s="14"/>
      <c r="CD21" s="14"/>
      <c r="CE21" s="14"/>
      <c r="CF21" s="14"/>
      <c r="CG21" s="14"/>
      <c r="CH21" s="14">
        <v>400</v>
      </c>
      <c r="CI21" s="14"/>
      <c r="CJ21" s="14"/>
      <c r="CK21" s="14"/>
      <c r="CL21" s="14"/>
      <c r="CM21" s="14"/>
      <c r="CN21" s="14"/>
      <c r="CO21" s="14"/>
      <c r="CP21" s="14"/>
      <c r="CQ21" s="14"/>
      <c r="CR21" s="14"/>
      <c r="CS21" s="14"/>
      <c r="CT21" s="14"/>
      <c r="CU21" s="14"/>
    </row>
    <row r="22" spans="1:99" ht="43.5" hidden="1">
      <c r="A22" s="2" t="s">
        <v>2134</v>
      </c>
      <c r="B22" s="2" t="s">
        <v>848</v>
      </c>
      <c r="C22" s="2" t="s">
        <v>762</v>
      </c>
      <c r="D22" s="2" t="str">
        <f>_xlfn.XLOOKUP(tblTechnologies[[#This Row],[TechnologyID]],tblTargets[TargetID],tblTargets[DisplayName],"")</f>
        <v>Dairy - Classical Music For The Farm</v>
      </c>
      <c r="E22" s="2" t="b">
        <v>1</v>
      </c>
      <c r="F22" s="2" t="s">
        <v>38</v>
      </c>
      <c r="G22" s="19" t="s">
        <v>1046</v>
      </c>
      <c r="H22" s="14" t="s">
        <v>730</v>
      </c>
      <c r="I22" s="14" t="s">
        <v>1047</v>
      </c>
      <c r="J22" s="14" t="s">
        <v>1048</v>
      </c>
      <c r="K22" s="14" t="s">
        <v>1049</v>
      </c>
      <c r="L22" s="14" t="s">
        <v>1050</v>
      </c>
      <c r="M22" s="15" t="s">
        <v>1051</v>
      </c>
      <c r="N22" s="32">
        <f>IF(tblTechnologies[[#This Row],[costtext]]="", 0, LEN(tblTechnologies[[#This Row],[costtext]]) - LEN(SUBSTITUTE(tblTechnologies[[#This Row],[costtext]], ",", "")) + 1)</f>
        <v>8</v>
      </c>
      <c r="O22" s="32">
        <f>COUNTA(tblTechnologies[[#This Row],[amazake]:[wood]])</f>
        <v>8</v>
      </c>
      <c r="P22" s="14"/>
      <c r="Q22" s="14"/>
      <c r="R22" s="14"/>
      <c r="S22" s="14"/>
      <c r="T22" s="14"/>
      <c r="U22" s="14"/>
      <c r="V22" s="14"/>
      <c r="W22" s="14">
        <v>20</v>
      </c>
      <c r="X22" s="14"/>
      <c r="Y22" s="14"/>
      <c r="Z22" s="14"/>
      <c r="AA22" s="14"/>
      <c r="AB22" s="14"/>
      <c r="AC22" s="14"/>
      <c r="AD22" s="14">
        <v>500</v>
      </c>
      <c r="AE22" s="14"/>
      <c r="AF22" s="14"/>
      <c r="AG22" s="14"/>
      <c r="AH22" s="14"/>
      <c r="AI22" s="14"/>
      <c r="AJ22" s="14"/>
      <c r="AK22" s="14"/>
      <c r="AL22" s="14"/>
      <c r="AM22" s="14"/>
      <c r="AN22" s="14"/>
      <c r="AO22" s="14"/>
      <c r="AP22" s="14"/>
      <c r="AQ22" s="14">
        <v>20</v>
      </c>
      <c r="AR22" s="14"/>
      <c r="AS22" s="14"/>
      <c r="AT22" s="14"/>
      <c r="AU22" s="14"/>
      <c r="AV22" s="14"/>
      <c r="AW22" s="14"/>
      <c r="AX22" s="14"/>
      <c r="AY22" s="14">
        <v>4</v>
      </c>
      <c r="AZ22" s="14"/>
      <c r="BA22" s="14"/>
      <c r="BB22" s="14">
        <v>15</v>
      </c>
      <c r="BC22" s="14"/>
      <c r="BD22" s="14"/>
      <c r="BE22" s="14">
        <v>20</v>
      </c>
      <c r="BF22" s="14"/>
      <c r="BG22" s="14"/>
      <c r="BH22" s="14"/>
      <c r="BI22" s="14"/>
      <c r="BJ22" s="14"/>
      <c r="BK22" s="14"/>
      <c r="BL22" s="14"/>
      <c r="BM22" s="14"/>
      <c r="BN22" s="14"/>
      <c r="BO22" s="14"/>
      <c r="BP22" s="14"/>
      <c r="BQ22" s="14"/>
      <c r="BR22" s="14"/>
      <c r="BS22" s="14">
        <v>20</v>
      </c>
      <c r="BT22" s="14"/>
      <c r="BU22" s="14"/>
      <c r="BV22" s="14"/>
      <c r="BW22" s="14"/>
      <c r="BX22" s="14"/>
      <c r="BY22" s="14">
        <v>3</v>
      </c>
      <c r="BZ22" s="14"/>
      <c r="CA22" s="14"/>
      <c r="CB22" s="14"/>
      <c r="CC22" s="14"/>
      <c r="CD22" s="14"/>
      <c r="CE22" s="14"/>
      <c r="CF22" s="14"/>
      <c r="CG22" s="14"/>
      <c r="CH22" s="14"/>
      <c r="CI22" s="14"/>
      <c r="CJ22" s="14"/>
      <c r="CK22" s="14"/>
      <c r="CL22" s="14"/>
      <c r="CM22" s="14"/>
      <c r="CN22" s="14"/>
      <c r="CO22" s="14"/>
      <c r="CP22" s="14"/>
      <c r="CQ22" s="14"/>
      <c r="CR22" s="14"/>
      <c r="CS22" s="14"/>
      <c r="CT22" s="14"/>
      <c r="CU22" s="14"/>
    </row>
    <row r="23" spans="1:99" ht="58" hidden="1">
      <c r="A23" s="2" t="s">
        <v>2136</v>
      </c>
      <c r="B23" s="2" t="s">
        <v>849</v>
      </c>
      <c r="C23" s="2" t="s">
        <v>763</v>
      </c>
      <c r="D23" s="2" t="str">
        <f>_xlfn.XLOOKUP(tblTechnologies[[#This Row],[TechnologyID]],tblTargets[TargetID],tblTargets[DisplayName],"")</f>
        <v>Dairy - Big Data Farming</v>
      </c>
      <c r="E23" s="2" t="b">
        <v>1</v>
      </c>
      <c r="F23" s="2" t="s">
        <v>38</v>
      </c>
      <c r="G23" s="19" t="s">
        <v>1052</v>
      </c>
      <c r="H23" s="14" t="s">
        <v>730</v>
      </c>
      <c r="I23" s="14" t="s">
        <v>1053</v>
      </c>
      <c r="J23" s="14" t="s">
        <v>1054</v>
      </c>
      <c r="K23" s="14" t="s">
        <v>1049</v>
      </c>
      <c r="L23" s="14" t="s">
        <v>1050</v>
      </c>
      <c r="M23" s="15" t="s">
        <v>1055</v>
      </c>
      <c r="N23" s="32">
        <f>IF(tblTechnologies[[#This Row],[costtext]]="", 0, LEN(tblTechnologies[[#This Row],[costtext]]) - LEN(SUBSTITUTE(tblTechnologies[[#This Row],[costtext]], ",", "")) + 1)</f>
        <v>9</v>
      </c>
      <c r="O23" s="32">
        <f>COUNTA(tblTechnologies[[#This Row],[amazake]:[wood]])</f>
        <v>9</v>
      </c>
      <c r="P23" s="14"/>
      <c r="Q23" s="14"/>
      <c r="R23" s="14"/>
      <c r="S23" s="14"/>
      <c r="T23" s="14"/>
      <c r="U23" s="14"/>
      <c r="V23" s="14"/>
      <c r="W23" s="14">
        <v>32</v>
      </c>
      <c r="X23" s="14"/>
      <c r="Y23" s="14"/>
      <c r="Z23" s="14"/>
      <c r="AA23" s="14"/>
      <c r="AB23" s="14"/>
      <c r="AC23" s="14"/>
      <c r="AD23" s="14">
        <v>1000</v>
      </c>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v>20</v>
      </c>
      <c r="BC23" s="14"/>
      <c r="BD23" s="14"/>
      <c r="BE23" s="14">
        <v>20</v>
      </c>
      <c r="BF23" s="14"/>
      <c r="BG23" s="14"/>
      <c r="BH23" s="14"/>
      <c r="BI23" s="14"/>
      <c r="BJ23" s="14"/>
      <c r="BK23" s="14"/>
      <c r="BL23" s="14"/>
      <c r="BM23" s="14"/>
      <c r="BN23" s="14">
        <v>40</v>
      </c>
      <c r="BO23" s="14"/>
      <c r="BP23" s="14"/>
      <c r="BQ23" s="14"/>
      <c r="BR23" s="14"/>
      <c r="BS23" s="14">
        <v>20</v>
      </c>
      <c r="BT23" s="14"/>
      <c r="BU23" s="14"/>
      <c r="BV23" s="14"/>
      <c r="BW23" s="14"/>
      <c r="BX23" s="14"/>
      <c r="BY23" s="14">
        <v>5</v>
      </c>
      <c r="BZ23" s="14"/>
      <c r="CA23" s="14"/>
      <c r="CB23" s="14"/>
      <c r="CC23" s="14"/>
      <c r="CD23" s="14"/>
      <c r="CE23" s="14"/>
      <c r="CF23" s="14"/>
      <c r="CG23" s="14"/>
      <c r="CH23" s="14"/>
      <c r="CI23" s="14"/>
      <c r="CJ23" s="14"/>
      <c r="CK23" s="14"/>
      <c r="CL23" s="14"/>
      <c r="CM23" s="14"/>
      <c r="CN23" s="14"/>
      <c r="CO23" s="14"/>
      <c r="CP23" s="14">
        <v>20</v>
      </c>
      <c r="CQ23" s="14"/>
      <c r="CR23" s="14"/>
      <c r="CS23" s="14">
        <v>10</v>
      </c>
      <c r="CT23" s="14"/>
      <c r="CU23" s="14"/>
    </row>
    <row r="24" spans="1:99" ht="29" hidden="1">
      <c r="A24" s="2" t="s">
        <v>2138</v>
      </c>
      <c r="B24" s="2" t="s">
        <v>850</v>
      </c>
      <c r="C24" s="2" t="s">
        <v>764</v>
      </c>
      <c r="D24" s="2" t="str">
        <f>_xlfn.XLOOKUP(tblTechnologies[[#This Row],[TechnologyID]],tblTargets[TargetID],tblTargets[DisplayName],"")</f>
        <v>Dungeon - Great Hall</v>
      </c>
      <c r="E24" s="2" t="b">
        <v>1</v>
      </c>
      <c r="F24" s="2" t="s">
        <v>41</v>
      </c>
      <c r="G24" s="19" t="s">
        <v>1056</v>
      </c>
      <c r="H24" s="14" t="s">
        <v>731</v>
      </c>
      <c r="I24" s="14" t="s">
        <v>1057</v>
      </c>
      <c r="J24" s="14" t="s">
        <v>1058</v>
      </c>
      <c r="K24" s="14"/>
      <c r="L24" s="14"/>
      <c r="M24" s="14" t="s">
        <v>1059</v>
      </c>
      <c r="N24" s="32">
        <f>IF(tblTechnologies[[#This Row],[costtext]]="", 0, LEN(tblTechnologies[[#This Row],[costtext]]) - LEN(SUBSTITUTE(tblTechnologies[[#This Row],[costtext]], ",", "")) + 1)</f>
        <v>5</v>
      </c>
      <c r="O24" s="32">
        <f>COUNTA(tblTechnologies[[#This Row],[amazake]:[wood]])</f>
        <v>5</v>
      </c>
      <c r="P24" s="14"/>
      <c r="Q24" s="14"/>
      <c r="R24" s="14"/>
      <c r="S24" s="14"/>
      <c r="T24" s="14"/>
      <c r="U24" s="14"/>
      <c r="V24" s="14"/>
      <c r="W24" s="14"/>
      <c r="X24" s="14"/>
      <c r="Y24" s="14"/>
      <c r="Z24" s="14"/>
      <c r="AA24" s="14"/>
      <c r="AB24" s="14"/>
      <c r="AC24" s="14"/>
      <c r="AD24" s="14">
        <v>300</v>
      </c>
      <c r="AE24" s="14"/>
      <c r="AF24" s="14"/>
      <c r="AG24" s="14"/>
      <c r="AH24" s="14"/>
      <c r="AI24" s="14"/>
      <c r="AJ24" s="14">
        <v>30</v>
      </c>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v>100</v>
      </c>
      <c r="CH24" s="14">
        <v>50</v>
      </c>
      <c r="CI24" s="14"/>
      <c r="CJ24" s="14"/>
      <c r="CK24" s="14"/>
      <c r="CL24" s="14"/>
      <c r="CM24" s="14"/>
      <c r="CN24" s="14"/>
      <c r="CO24" s="14"/>
      <c r="CP24" s="14"/>
      <c r="CQ24" s="14"/>
      <c r="CR24" s="14"/>
      <c r="CS24" s="14"/>
      <c r="CT24" s="14"/>
      <c r="CU24" s="14">
        <v>200</v>
      </c>
    </row>
    <row r="25" spans="1:99" ht="43.5" hidden="1">
      <c r="A25" s="2" t="s">
        <v>2140</v>
      </c>
      <c r="B25" s="2" t="s">
        <v>851</v>
      </c>
      <c r="C25" s="2" t="s">
        <v>765</v>
      </c>
      <c r="D25" s="2" t="str">
        <f>_xlfn.XLOOKUP(tblTechnologies[[#This Row],[TechnologyID]],tblTargets[TargetID],tblTargets[DisplayName],"")</f>
        <v>Fermentory - Pasteurization</v>
      </c>
      <c r="E25" s="2" t="b">
        <v>1</v>
      </c>
      <c r="F25" s="2" t="s">
        <v>47</v>
      </c>
      <c r="G25" s="19" t="s">
        <v>1060</v>
      </c>
      <c r="H25" s="14" t="s">
        <v>732</v>
      </c>
      <c r="I25" s="14" t="s">
        <v>1061</v>
      </c>
      <c r="J25" s="14" t="s">
        <v>1062</v>
      </c>
      <c r="K25" s="14" t="s">
        <v>1063</v>
      </c>
      <c r="L25" s="14"/>
      <c r="M25" s="15" t="s">
        <v>1064</v>
      </c>
      <c r="N25" s="32">
        <f>IF(tblTechnologies[[#This Row],[costtext]]="", 0, LEN(tblTechnologies[[#This Row],[costtext]]) - LEN(SUBSTITUTE(tblTechnologies[[#This Row],[costtext]], ",", "")) + 1)</f>
        <v>8</v>
      </c>
      <c r="O25" s="32">
        <f>COUNTA(tblTechnologies[[#This Row],[amazake]:[wood]])</f>
        <v>8</v>
      </c>
      <c r="P25" s="14">
        <v>20</v>
      </c>
      <c r="Q25" s="14"/>
      <c r="R25" s="14"/>
      <c r="S25" s="14"/>
      <c r="T25" s="14"/>
      <c r="U25" s="14"/>
      <c r="V25" s="14"/>
      <c r="W25" s="14">
        <v>40</v>
      </c>
      <c r="X25" s="14"/>
      <c r="Y25" s="14"/>
      <c r="Z25" s="14">
        <v>20</v>
      </c>
      <c r="AA25" s="14"/>
      <c r="AB25" s="14"/>
      <c r="AC25" s="14"/>
      <c r="AD25" s="14">
        <v>1000</v>
      </c>
      <c r="AE25" s="14"/>
      <c r="AF25" s="14"/>
      <c r="AG25" s="14"/>
      <c r="AH25" s="14"/>
      <c r="AI25" s="14">
        <v>10</v>
      </c>
      <c r="AJ25" s="14"/>
      <c r="AK25" s="14"/>
      <c r="AL25" s="14"/>
      <c r="AM25" s="14"/>
      <c r="AN25" s="14"/>
      <c r="AO25" s="14"/>
      <c r="AP25" s="14"/>
      <c r="AQ25" s="14">
        <v>30</v>
      </c>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v>10</v>
      </c>
      <c r="BZ25" s="14"/>
      <c r="CA25" s="14"/>
      <c r="CB25" s="14"/>
      <c r="CC25" s="14"/>
      <c r="CD25" s="14"/>
      <c r="CE25" s="14"/>
      <c r="CF25" s="14"/>
      <c r="CG25" s="14">
        <v>200</v>
      </c>
      <c r="CH25" s="14"/>
      <c r="CI25" s="14"/>
      <c r="CJ25" s="14"/>
      <c r="CK25" s="14"/>
      <c r="CL25" s="14"/>
      <c r="CM25" s="14"/>
      <c r="CN25" s="14"/>
      <c r="CO25" s="14"/>
      <c r="CP25" s="14"/>
      <c r="CQ25" s="14"/>
      <c r="CR25" s="14"/>
      <c r="CS25" s="14"/>
      <c r="CT25" s="14"/>
      <c r="CU25" s="14"/>
    </row>
    <row r="26" spans="1:99" ht="43.5" hidden="1">
      <c r="A26" s="2" t="s">
        <v>2142</v>
      </c>
      <c r="B26" s="2" t="s">
        <v>852</v>
      </c>
      <c r="C26" s="2" t="s">
        <v>766</v>
      </c>
      <c r="D26" s="2" t="str">
        <f>_xlfn.XLOOKUP(tblTechnologies[[#This Row],[TechnologyID]],tblTargets[TargetID],tblTargets[DisplayName],"")</f>
        <v>Field - Seed Drill</v>
      </c>
      <c r="E26" s="2" t="b">
        <v>1</v>
      </c>
      <c r="F26" s="2" t="s">
        <v>54</v>
      </c>
      <c r="G26" s="19" t="s">
        <v>1065</v>
      </c>
      <c r="H26" s="14" t="s">
        <v>733</v>
      </c>
      <c r="I26" s="14" t="s">
        <v>1066</v>
      </c>
      <c r="J26" s="14" t="s">
        <v>1067</v>
      </c>
      <c r="K26" s="14" t="s">
        <v>1068</v>
      </c>
      <c r="L26" s="14"/>
      <c r="M26" s="15" t="s">
        <v>1017</v>
      </c>
      <c r="N26" s="32">
        <f>IF(tblTechnologies[[#This Row],[costtext]]="", 0, LEN(tblTechnologies[[#This Row],[costtext]]) - LEN(SUBSTITUTE(tblTechnologies[[#This Row],[costtext]], ",", "")) + 1)</f>
        <v>6</v>
      </c>
      <c r="O26" s="32">
        <f>COUNTA(tblTechnologies[[#This Row],[amazake]:[wood]])</f>
        <v>6</v>
      </c>
      <c r="P26" s="14"/>
      <c r="Q26" s="14"/>
      <c r="R26" s="14"/>
      <c r="S26" s="14"/>
      <c r="T26" s="14"/>
      <c r="U26" s="14"/>
      <c r="V26" s="14"/>
      <c r="W26" s="14">
        <v>10</v>
      </c>
      <c r="X26" s="14"/>
      <c r="Y26" s="14"/>
      <c r="Z26" s="14"/>
      <c r="AA26" s="14"/>
      <c r="AB26" s="14"/>
      <c r="AC26" s="14"/>
      <c r="AD26" s="14">
        <v>400</v>
      </c>
      <c r="AE26" s="14"/>
      <c r="AF26" s="14"/>
      <c r="AG26" s="14"/>
      <c r="AH26" s="14">
        <v>40</v>
      </c>
      <c r="AI26" s="14"/>
      <c r="AJ26" s="14"/>
      <c r="AK26" s="14"/>
      <c r="AL26" s="14"/>
      <c r="AM26" s="14"/>
      <c r="AN26" s="14"/>
      <c r="AO26" s="14"/>
      <c r="AP26" s="14"/>
      <c r="AQ26" s="14"/>
      <c r="AR26" s="14"/>
      <c r="AS26" s="14"/>
      <c r="AT26" s="14"/>
      <c r="AU26" s="14"/>
      <c r="AV26" s="14"/>
      <c r="AW26" s="14"/>
      <c r="AX26" s="14"/>
      <c r="AY26" s="14"/>
      <c r="AZ26" s="14"/>
      <c r="BA26" s="14"/>
      <c r="BB26" s="14">
        <v>10</v>
      </c>
      <c r="BC26" s="14"/>
      <c r="BD26" s="14"/>
      <c r="BE26" s="14"/>
      <c r="BF26" s="14"/>
      <c r="BG26" s="14"/>
      <c r="BH26" s="14"/>
      <c r="BI26" s="14">
        <v>20</v>
      </c>
      <c r="BJ26" s="14"/>
      <c r="BK26" s="14"/>
      <c r="BL26" s="14"/>
      <c r="BM26" s="14"/>
      <c r="BN26" s="14"/>
      <c r="BO26" s="14"/>
      <c r="BP26" s="14"/>
      <c r="BQ26" s="14"/>
      <c r="BR26" s="14"/>
      <c r="BS26" s="14"/>
      <c r="BT26" s="14"/>
      <c r="BU26" s="14"/>
      <c r="BV26" s="14"/>
      <c r="BW26" s="14"/>
      <c r="BX26" s="14"/>
      <c r="BY26" s="14">
        <v>2</v>
      </c>
      <c r="BZ26" s="14"/>
      <c r="CA26" s="14"/>
      <c r="CB26" s="14"/>
      <c r="CC26" s="14"/>
      <c r="CD26" s="14"/>
      <c r="CE26" s="14"/>
      <c r="CF26" s="14"/>
      <c r="CG26" s="14"/>
      <c r="CH26" s="14"/>
      <c r="CI26" s="14"/>
      <c r="CJ26" s="14"/>
      <c r="CK26" s="14"/>
      <c r="CL26" s="14"/>
      <c r="CM26" s="14"/>
      <c r="CN26" s="14"/>
      <c r="CO26" s="14"/>
      <c r="CP26" s="14"/>
      <c r="CQ26" s="14"/>
      <c r="CR26" s="14"/>
      <c r="CS26" s="14"/>
      <c r="CT26" s="14"/>
      <c r="CU26" s="14"/>
    </row>
    <row r="27" spans="1:99" ht="43.5" hidden="1">
      <c r="A27" s="2" t="s">
        <v>2144</v>
      </c>
      <c r="B27" s="2" t="s">
        <v>853</v>
      </c>
      <c r="C27" s="2" t="s">
        <v>767</v>
      </c>
      <c r="D27" s="2" t="str">
        <f>_xlfn.XLOOKUP(tblTechnologies[[#This Row],[TechnologyID]],tblTargets[TargetID],tblTargets[DisplayName],"")</f>
        <v>Field - Combine Harvester</v>
      </c>
      <c r="E27" s="2" t="b">
        <v>1</v>
      </c>
      <c r="F27" s="2" t="s">
        <v>54</v>
      </c>
      <c r="G27" s="19" t="s">
        <v>1069</v>
      </c>
      <c r="H27" s="14" t="s">
        <v>733</v>
      </c>
      <c r="I27" s="14" t="s">
        <v>1070</v>
      </c>
      <c r="J27" s="14" t="s">
        <v>1071</v>
      </c>
      <c r="K27" s="14" t="s">
        <v>1072</v>
      </c>
      <c r="L27" s="14"/>
      <c r="M27" s="15" t="s">
        <v>1073</v>
      </c>
      <c r="N27" s="32">
        <f>IF(tblTechnologies[[#This Row],[costtext]]="", 0, LEN(tblTechnologies[[#This Row],[costtext]]) - LEN(SUBSTITUTE(tblTechnologies[[#This Row],[costtext]], ",", "")) + 1)</f>
        <v>6</v>
      </c>
      <c r="O27" s="32">
        <f>COUNTA(tblTechnologies[[#This Row],[amazake]:[wood]])</f>
        <v>6</v>
      </c>
      <c r="P27" s="14"/>
      <c r="Q27" s="14"/>
      <c r="R27" s="14"/>
      <c r="S27" s="14"/>
      <c r="T27" s="14"/>
      <c r="U27" s="14"/>
      <c r="V27" s="14"/>
      <c r="W27" s="14">
        <v>30</v>
      </c>
      <c r="X27" s="14"/>
      <c r="Y27" s="14"/>
      <c r="Z27" s="14"/>
      <c r="AA27" s="14"/>
      <c r="AB27" s="14"/>
      <c r="AC27" s="14"/>
      <c r="AD27" s="14">
        <v>600</v>
      </c>
      <c r="AE27" s="14"/>
      <c r="AF27" s="14"/>
      <c r="AG27" s="14"/>
      <c r="AH27" s="14">
        <v>60</v>
      </c>
      <c r="AI27" s="14"/>
      <c r="AJ27" s="14"/>
      <c r="AK27" s="14"/>
      <c r="AL27" s="14"/>
      <c r="AM27" s="14"/>
      <c r="AN27" s="14"/>
      <c r="AO27" s="14"/>
      <c r="AP27" s="14"/>
      <c r="AQ27" s="14"/>
      <c r="AR27" s="14"/>
      <c r="AS27" s="14"/>
      <c r="AT27" s="14"/>
      <c r="AU27" s="14"/>
      <c r="AV27" s="14"/>
      <c r="AW27" s="14"/>
      <c r="AX27" s="14"/>
      <c r="AY27" s="14"/>
      <c r="AZ27" s="14"/>
      <c r="BA27" s="14"/>
      <c r="BB27" s="14">
        <v>10</v>
      </c>
      <c r="BC27" s="14"/>
      <c r="BD27" s="14"/>
      <c r="BE27" s="14"/>
      <c r="BF27" s="14"/>
      <c r="BG27" s="14"/>
      <c r="BH27" s="14"/>
      <c r="BI27" s="14"/>
      <c r="BJ27" s="14"/>
      <c r="BK27" s="14"/>
      <c r="BL27" s="14"/>
      <c r="BM27" s="14"/>
      <c r="BN27" s="14"/>
      <c r="BO27" s="14"/>
      <c r="BP27" s="14"/>
      <c r="BQ27" s="14"/>
      <c r="BR27" s="14"/>
      <c r="BS27" s="14"/>
      <c r="BT27" s="14"/>
      <c r="BU27" s="14"/>
      <c r="BV27" s="14"/>
      <c r="BW27" s="14"/>
      <c r="BX27" s="14"/>
      <c r="BY27" s="14">
        <v>4</v>
      </c>
      <c r="BZ27" s="14"/>
      <c r="CA27" s="14"/>
      <c r="CB27" s="14"/>
      <c r="CC27" s="14"/>
      <c r="CD27" s="14"/>
      <c r="CE27" s="14"/>
      <c r="CF27" s="14">
        <v>10</v>
      </c>
      <c r="CG27" s="14"/>
      <c r="CH27" s="14"/>
      <c r="CI27" s="14"/>
      <c r="CJ27" s="14"/>
      <c r="CK27" s="14"/>
      <c r="CL27" s="14"/>
      <c r="CM27" s="14"/>
      <c r="CN27" s="14"/>
      <c r="CO27" s="14"/>
      <c r="CP27" s="14"/>
      <c r="CQ27" s="14"/>
      <c r="CR27" s="14"/>
      <c r="CS27" s="14"/>
      <c r="CT27" s="14"/>
      <c r="CU27" s="14"/>
    </row>
    <row r="28" spans="1:99" ht="43.5" hidden="1">
      <c r="A28" s="2" t="s">
        <v>2146</v>
      </c>
      <c r="B28" s="2" t="s">
        <v>714</v>
      </c>
      <c r="C28" s="2" t="s">
        <v>768</v>
      </c>
      <c r="D28" s="2" t="str">
        <f>_xlfn.XLOOKUP(tblTechnologies[[#This Row],[TechnologyID]],tblTargets[TargetID],tblTargets[DisplayName],"")</f>
        <v>Field - Soybean</v>
      </c>
      <c r="E28" s="2" t="b">
        <v>1</v>
      </c>
      <c r="F28" s="2" t="s">
        <v>54</v>
      </c>
      <c r="G28" s="19" t="s">
        <v>1074</v>
      </c>
      <c r="H28" s="14" t="s">
        <v>733</v>
      </c>
      <c r="I28" s="14" t="s">
        <v>1075</v>
      </c>
      <c r="J28" s="14" t="s">
        <v>1076</v>
      </c>
      <c r="K28" s="14" t="s">
        <v>1077</v>
      </c>
      <c r="L28" s="14" t="s">
        <v>1078</v>
      </c>
      <c r="M28" s="15" t="s">
        <v>1079</v>
      </c>
      <c r="N28" s="32">
        <f>IF(tblTechnologies[[#This Row],[costtext]]="", 0, LEN(tblTechnologies[[#This Row],[costtext]]) - LEN(SUBSTITUTE(tblTechnologies[[#This Row],[costtext]], ",", "")) + 1)</f>
        <v>8</v>
      </c>
      <c r="O28" s="32">
        <f>COUNTA(tblTechnologies[[#This Row],[amazake]:[wood]])</f>
        <v>8</v>
      </c>
      <c r="P28" s="14"/>
      <c r="Q28" s="14"/>
      <c r="R28" s="14"/>
      <c r="S28" s="14"/>
      <c r="T28" s="14"/>
      <c r="U28" s="14"/>
      <c r="V28" s="14"/>
      <c r="W28" s="14"/>
      <c r="X28" s="14"/>
      <c r="Y28" s="14"/>
      <c r="Z28" s="14"/>
      <c r="AA28" s="14"/>
      <c r="AB28" s="14"/>
      <c r="AC28" s="14"/>
      <c r="AD28" s="14">
        <v>800</v>
      </c>
      <c r="AE28" s="14"/>
      <c r="AF28" s="14"/>
      <c r="AG28" s="14"/>
      <c r="AH28" s="14"/>
      <c r="AI28" s="14"/>
      <c r="AJ28" s="14"/>
      <c r="AK28" s="14"/>
      <c r="AL28" s="14">
        <v>20</v>
      </c>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v>20</v>
      </c>
      <c r="BM28" s="14">
        <v>20</v>
      </c>
      <c r="BN28" s="14"/>
      <c r="BO28" s="14"/>
      <c r="BP28" s="14"/>
      <c r="BQ28" s="14"/>
      <c r="BR28" s="14"/>
      <c r="BS28" s="14"/>
      <c r="BT28" s="14"/>
      <c r="BU28" s="14"/>
      <c r="BV28" s="14"/>
      <c r="BW28" s="14"/>
      <c r="BX28" s="14"/>
      <c r="BY28" s="14">
        <v>5</v>
      </c>
      <c r="BZ28" s="14"/>
      <c r="CA28" s="14"/>
      <c r="CB28" s="14"/>
      <c r="CC28" s="14"/>
      <c r="CD28" s="14"/>
      <c r="CE28" s="14"/>
      <c r="CF28" s="14"/>
      <c r="CG28" s="14">
        <v>200</v>
      </c>
      <c r="CH28" s="14"/>
      <c r="CI28" s="14"/>
      <c r="CJ28" s="14"/>
      <c r="CK28" s="14"/>
      <c r="CL28" s="14"/>
      <c r="CM28" s="14">
        <v>20</v>
      </c>
      <c r="CN28" s="14"/>
      <c r="CO28" s="14"/>
      <c r="CP28" s="14"/>
      <c r="CQ28" s="14"/>
      <c r="CR28" s="14"/>
      <c r="CS28" s="14"/>
      <c r="CT28" s="14"/>
      <c r="CU28" s="14">
        <v>500</v>
      </c>
    </row>
    <row r="29" spans="1:99" ht="29" hidden="1">
      <c r="A29" s="2" t="s">
        <v>2148</v>
      </c>
      <c r="B29" s="2" t="s">
        <v>854</v>
      </c>
      <c r="C29" s="2" t="s">
        <v>769</v>
      </c>
      <c r="D29" s="2" t="str">
        <f>_xlfn.XLOOKUP(tblTechnologies[[#This Row],[TechnologyID]],tblTargets[TargetID],tblTargets[DisplayName],"")</f>
        <v>Food Stall - Quintessence Of Taste</v>
      </c>
      <c r="E29" s="2" t="b">
        <v>1</v>
      </c>
      <c r="F29" s="2" t="s">
        <v>57</v>
      </c>
      <c r="G29" s="19" t="s">
        <v>1080</v>
      </c>
      <c r="H29" s="14" t="s">
        <v>58</v>
      </c>
      <c r="I29" s="14" t="s">
        <v>1081</v>
      </c>
      <c r="J29" s="14" t="s">
        <v>1082</v>
      </c>
      <c r="K29" s="14" t="s">
        <v>1083</v>
      </c>
      <c r="L29" s="14"/>
      <c r="M29" s="15" t="s">
        <v>1084</v>
      </c>
      <c r="N29" s="32">
        <f>IF(tblTechnologies[[#This Row],[costtext]]="", 0, LEN(tblTechnologies[[#This Row],[costtext]]) - LEN(SUBSTITUTE(tblTechnologies[[#This Row],[costtext]], ",", "")) + 1)</f>
        <v>6</v>
      </c>
      <c r="O29" s="32">
        <f>COUNTA(tblTechnologies[[#This Row],[amazake]:[wood]])</f>
        <v>6</v>
      </c>
      <c r="P29" s="14"/>
      <c r="Q29" s="14"/>
      <c r="R29" s="14"/>
      <c r="S29" s="14"/>
      <c r="T29" s="14"/>
      <c r="U29" s="14">
        <v>10</v>
      </c>
      <c r="V29" s="14"/>
      <c r="W29" s="14">
        <v>10</v>
      </c>
      <c r="X29" s="14"/>
      <c r="Y29" s="14"/>
      <c r="Z29" s="14"/>
      <c r="AA29" s="14"/>
      <c r="AB29" s="14"/>
      <c r="AC29" s="14"/>
      <c r="AD29" s="14">
        <v>300</v>
      </c>
      <c r="AE29" s="14"/>
      <c r="AF29" s="14"/>
      <c r="AG29" s="14"/>
      <c r="AH29" s="14"/>
      <c r="AI29" s="14"/>
      <c r="AJ29" s="14"/>
      <c r="AK29" s="14"/>
      <c r="AL29" s="14"/>
      <c r="AM29" s="14"/>
      <c r="AN29" s="14"/>
      <c r="AO29" s="14"/>
      <c r="AP29" s="14"/>
      <c r="AQ29" s="14"/>
      <c r="AR29" s="14"/>
      <c r="AS29" s="14"/>
      <c r="AT29" s="14"/>
      <c r="AU29" s="14"/>
      <c r="AV29" s="14"/>
      <c r="AW29" s="14"/>
      <c r="AX29" s="14">
        <v>10</v>
      </c>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v>1</v>
      </c>
      <c r="BZ29" s="14"/>
      <c r="CA29" s="14"/>
      <c r="CB29" s="14"/>
      <c r="CC29" s="14"/>
      <c r="CD29" s="14"/>
      <c r="CE29" s="14">
        <v>1</v>
      </c>
      <c r="CF29" s="14"/>
      <c r="CG29" s="14"/>
      <c r="CH29" s="14"/>
      <c r="CI29" s="14"/>
      <c r="CJ29" s="14"/>
      <c r="CK29" s="14"/>
      <c r="CL29" s="14"/>
      <c r="CM29" s="14"/>
      <c r="CN29" s="14"/>
      <c r="CO29" s="14"/>
      <c r="CP29" s="14"/>
      <c r="CQ29" s="14"/>
      <c r="CR29" s="14"/>
      <c r="CS29" s="14"/>
      <c r="CT29" s="14"/>
      <c r="CU29" s="14"/>
    </row>
    <row r="30" spans="1:99" ht="43.5" hidden="1">
      <c r="A30" s="2" t="s">
        <v>2150</v>
      </c>
      <c r="B30" s="2" t="s">
        <v>855</v>
      </c>
      <c r="C30" s="2" t="s">
        <v>770</v>
      </c>
      <c r="D30" s="2" t="str">
        <f>_xlfn.XLOOKUP(tblTechnologies[[#This Row],[TechnologyID]],tblTargets[TargetID],tblTargets[DisplayName],"")</f>
        <v>Food Stall - Jam</v>
      </c>
      <c r="E30" s="2" t="b">
        <v>1</v>
      </c>
      <c r="F30" s="2" t="s">
        <v>57</v>
      </c>
      <c r="G30" s="19" t="s">
        <v>1085</v>
      </c>
      <c r="H30" s="14" t="s">
        <v>58</v>
      </c>
      <c r="I30" s="14" t="s">
        <v>1086</v>
      </c>
      <c r="J30" s="14" t="s">
        <v>1087</v>
      </c>
      <c r="K30" s="14" t="s">
        <v>1088</v>
      </c>
      <c r="L30" s="14"/>
      <c r="M30" s="15" t="s">
        <v>1089</v>
      </c>
      <c r="N30" s="32">
        <f>IF(tblTechnologies[[#This Row],[costtext]]="", 0, LEN(tblTechnologies[[#This Row],[costtext]]) - LEN(SUBSTITUTE(tblTechnologies[[#This Row],[costtext]], ",", "")) + 1)</f>
        <v>5</v>
      </c>
      <c r="O30" s="32">
        <f>COUNTA(tblTechnologies[[#This Row],[amazake]:[wood]])</f>
        <v>5</v>
      </c>
      <c r="P30" s="14"/>
      <c r="Q30" s="14"/>
      <c r="R30" s="14"/>
      <c r="S30" s="14"/>
      <c r="T30" s="14"/>
      <c r="U30" s="14"/>
      <c r="V30" s="14"/>
      <c r="W30" s="14"/>
      <c r="X30" s="14"/>
      <c r="Y30" s="14"/>
      <c r="Z30" s="14"/>
      <c r="AA30" s="14"/>
      <c r="AB30" s="14"/>
      <c r="AC30" s="14"/>
      <c r="AD30" s="14">
        <v>400</v>
      </c>
      <c r="AE30" s="14"/>
      <c r="AF30" s="14"/>
      <c r="AG30" s="14"/>
      <c r="AH30" s="14"/>
      <c r="AI30" s="14"/>
      <c r="AJ30" s="14"/>
      <c r="AK30" s="14"/>
      <c r="AL30" s="14"/>
      <c r="AM30" s="14"/>
      <c r="AN30" s="14"/>
      <c r="AO30" s="14"/>
      <c r="AP30" s="14"/>
      <c r="AQ30" s="14">
        <v>5</v>
      </c>
      <c r="AR30" s="14"/>
      <c r="AS30" s="14"/>
      <c r="AT30" s="14">
        <v>10</v>
      </c>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v>2</v>
      </c>
      <c r="BZ30" s="14"/>
      <c r="CA30" s="14"/>
      <c r="CB30" s="14"/>
      <c r="CC30" s="14"/>
      <c r="CD30" s="14"/>
      <c r="CE30" s="14"/>
      <c r="CF30" s="14"/>
      <c r="CG30" s="14"/>
      <c r="CH30" s="14"/>
      <c r="CI30" s="14">
        <v>20</v>
      </c>
      <c r="CJ30" s="14"/>
      <c r="CK30" s="14"/>
      <c r="CL30" s="14"/>
      <c r="CM30" s="14"/>
      <c r="CN30" s="14"/>
      <c r="CO30" s="14"/>
      <c r="CP30" s="14"/>
      <c r="CQ30" s="14"/>
      <c r="CR30" s="14"/>
      <c r="CS30" s="14"/>
      <c r="CT30" s="14"/>
      <c r="CU30" s="14"/>
    </row>
    <row r="31" spans="1:99" ht="29" hidden="1">
      <c r="A31" s="2" t="s">
        <v>2152</v>
      </c>
      <c r="B31" s="2" t="s">
        <v>856</v>
      </c>
      <c r="C31" s="2" t="s">
        <v>771</v>
      </c>
      <c r="D31" s="2" t="str">
        <f>_xlfn.XLOOKUP(tblTechnologies[[#This Row],[TechnologyID]],tblTargets[TargetID],tblTargets[DisplayName],"")</f>
        <v>Food Stall - Mayonnaise</v>
      </c>
      <c r="E31" s="2" t="b">
        <v>1</v>
      </c>
      <c r="F31" s="2" t="s">
        <v>57</v>
      </c>
      <c r="G31" s="19" t="s">
        <v>1090</v>
      </c>
      <c r="H31" s="14" t="s">
        <v>58</v>
      </c>
      <c r="I31" s="14" t="s">
        <v>1081</v>
      </c>
      <c r="J31" s="14" t="s">
        <v>1082</v>
      </c>
      <c r="K31" s="14" t="s">
        <v>1091</v>
      </c>
      <c r="L31" s="14"/>
      <c r="M31" s="15" t="s">
        <v>1092</v>
      </c>
      <c r="N31" s="32">
        <f>IF(tblTechnologies[[#This Row],[costtext]]="", 0, LEN(tblTechnologies[[#This Row],[costtext]]) - LEN(SUBSTITUTE(tblTechnologies[[#This Row],[costtext]], ",", "")) + 1)</f>
        <v>6</v>
      </c>
      <c r="O31" s="32">
        <f>COUNTA(tblTechnologies[[#This Row],[amazake]:[wood]])</f>
        <v>6</v>
      </c>
      <c r="P31" s="14"/>
      <c r="Q31" s="14"/>
      <c r="R31" s="14"/>
      <c r="S31" s="14"/>
      <c r="T31" s="14"/>
      <c r="U31" s="14"/>
      <c r="V31" s="14"/>
      <c r="W31" s="14">
        <v>15</v>
      </c>
      <c r="X31" s="14"/>
      <c r="Y31" s="14"/>
      <c r="Z31" s="14"/>
      <c r="AA31" s="14"/>
      <c r="AB31" s="14"/>
      <c r="AC31" s="14"/>
      <c r="AD31" s="14">
        <v>400</v>
      </c>
      <c r="AE31" s="14"/>
      <c r="AF31" s="14"/>
      <c r="AG31" s="14">
        <v>25</v>
      </c>
      <c r="AH31" s="14"/>
      <c r="AI31" s="14"/>
      <c r="AJ31" s="14"/>
      <c r="AK31" s="14"/>
      <c r="AL31" s="14"/>
      <c r="AM31" s="14"/>
      <c r="AN31" s="14"/>
      <c r="AO31" s="14"/>
      <c r="AP31" s="14"/>
      <c r="AQ31" s="14">
        <v>1</v>
      </c>
      <c r="AR31" s="14"/>
      <c r="AS31" s="14"/>
      <c r="AT31" s="14"/>
      <c r="AU31" s="14"/>
      <c r="AV31" s="14"/>
      <c r="AW31" s="14"/>
      <c r="AX31" s="14"/>
      <c r="AY31" s="14"/>
      <c r="AZ31" s="14"/>
      <c r="BA31" s="14"/>
      <c r="BB31" s="14"/>
      <c r="BC31" s="14"/>
      <c r="BD31" s="14"/>
      <c r="BE31" s="14"/>
      <c r="BF31" s="14"/>
      <c r="BG31" s="14"/>
      <c r="BH31" s="14"/>
      <c r="BI31" s="14"/>
      <c r="BJ31" s="14"/>
      <c r="BK31" s="14">
        <v>10</v>
      </c>
      <c r="BL31" s="14"/>
      <c r="BM31" s="14"/>
      <c r="BN31" s="14"/>
      <c r="BO31" s="14"/>
      <c r="BP31" s="14"/>
      <c r="BQ31" s="14"/>
      <c r="BR31" s="14"/>
      <c r="BS31" s="14"/>
      <c r="BT31" s="14"/>
      <c r="BU31" s="14"/>
      <c r="BV31" s="14"/>
      <c r="BW31" s="14"/>
      <c r="BX31" s="14"/>
      <c r="BY31" s="14">
        <v>2</v>
      </c>
      <c r="BZ31" s="14"/>
      <c r="CA31" s="14"/>
      <c r="CB31" s="14"/>
      <c r="CC31" s="14"/>
      <c r="CD31" s="14"/>
      <c r="CE31" s="14"/>
      <c r="CF31" s="14"/>
      <c r="CG31" s="14"/>
      <c r="CH31" s="14"/>
      <c r="CI31" s="14"/>
      <c r="CJ31" s="14"/>
      <c r="CK31" s="14"/>
      <c r="CL31" s="14"/>
      <c r="CM31" s="14"/>
      <c r="CN31" s="14"/>
      <c r="CO31" s="14"/>
      <c r="CP31" s="14"/>
      <c r="CQ31" s="14"/>
      <c r="CR31" s="14"/>
      <c r="CS31" s="14"/>
      <c r="CT31" s="14"/>
      <c r="CU31" s="14"/>
    </row>
    <row r="32" spans="1:99" ht="29" hidden="1">
      <c r="A32" s="2" t="s">
        <v>2154</v>
      </c>
      <c r="B32" s="2" t="s">
        <v>857</v>
      </c>
      <c r="C32" s="2" t="s">
        <v>919</v>
      </c>
      <c r="D32" s="2" t="str">
        <f>_xlfn.XLOOKUP(tblTechnologies[[#This Row],[TechnologyID]],tblTargets[TargetID],tblTargets[DisplayName],"")</f>
        <v>Food Stall - Mandra Cola</v>
      </c>
      <c r="E32" s="2" t="b">
        <v>1</v>
      </c>
      <c r="F32" s="2" t="s">
        <v>57</v>
      </c>
      <c r="G32" s="19" t="s">
        <v>1093</v>
      </c>
      <c r="H32" s="14" t="s">
        <v>58</v>
      </c>
      <c r="I32" s="14" t="s">
        <v>1081</v>
      </c>
      <c r="J32" s="14" t="s">
        <v>1082</v>
      </c>
      <c r="K32" s="14" t="s">
        <v>1094</v>
      </c>
      <c r="L32" s="14"/>
      <c r="M32" s="15" t="s">
        <v>1095</v>
      </c>
      <c r="N32" s="32">
        <f>IF(tblTechnologies[[#This Row],[costtext]]="", 0, LEN(tblTechnologies[[#This Row],[costtext]]) - LEN(SUBSTITUTE(tblTechnologies[[#This Row],[costtext]], ",", "")) + 1)</f>
        <v>7</v>
      </c>
      <c r="O32" s="32">
        <f>COUNTA(tblTechnologies[[#This Row],[amazake]:[wood]])</f>
        <v>7</v>
      </c>
      <c r="P32" s="14"/>
      <c r="Q32" s="14"/>
      <c r="R32" s="14"/>
      <c r="S32" s="14"/>
      <c r="T32" s="14"/>
      <c r="U32" s="14">
        <v>20</v>
      </c>
      <c r="V32" s="14"/>
      <c r="W32" s="14">
        <v>15</v>
      </c>
      <c r="X32" s="14"/>
      <c r="Y32" s="14"/>
      <c r="Z32" s="14"/>
      <c r="AA32" s="14"/>
      <c r="AB32" s="14"/>
      <c r="AC32" s="14"/>
      <c r="AD32" s="14">
        <v>400</v>
      </c>
      <c r="AE32" s="14"/>
      <c r="AF32" s="14"/>
      <c r="AG32" s="14"/>
      <c r="AH32" s="14"/>
      <c r="AI32" s="14"/>
      <c r="AJ32" s="14"/>
      <c r="AK32" s="14"/>
      <c r="AL32" s="14"/>
      <c r="AM32" s="14"/>
      <c r="AN32" s="14"/>
      <c r="AO32" s="14"/>
      <c r="AP32" s="14"/>
      <c r="AQ32" s="14">
        <v>5</v>
      </c>
      <c r="AR32" s="14"/>
      <c r="AS32" s="14"/>
      <c r="AT32" s="14"/>
      <c r="AU32" s="14"/>
      <c r="AV32" s="14"/>
      <c r="AW32" s="14"/>
      <c r="AX32" s="14">
        <v>10</v>
      </c>
      <c r="AY32" s="14"/>
      <c r="AZ32" s="14"/>
      <c r="BA32" s="14">
        <v>20</v>
      </c>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v>2</v>
      </c>
      <c r="BZ32" s="14"/>
      <c r="CA32" s="14"/>
      <c r="CB32" s="14"/>
      <c r="CC32" s="14"/>
      <c r="CD32" s="14"/>
      <c r="CE32" s="14"/>
      <c r="CF32" s="14"/>
      <c r="CG32" s="14"/>
      <c r="CH32" s="14"/>
      <c r="CI32" s="14"/>
      <c r="CJ32" s="14"/>
      <c r="CK32" s="14"/>
      <c r="CL32" s="14"/>
      <c r="CM32" s="14"/>
      <c r="CN32" s="14"/>
      <c r="CO32" s="14"/>
      <c r="CP32" s="14"/>
      <c r="CQ32" s="14"/>
      <c r="CR32" s="14"/>
      <c r="CS32" s="14"/>
      <c r="CT32" s="14"/>
      <c r="CU32" s="14"/>
    </row>
    <row r="33" spans="1:99" ht="29" hidden="1">
      <c r="A33" s="2" t="s">
        <v>2156</v>
      </c>
      <c r="B33" s="2" t="s">
        <v>858</v>
      </c>
      <c r="C33" s="2" t="s">
        <v>772</v>
      </c>
      <c r="D33" s="2" t="str">
        <f>_xlfn.XLOOKUP(tblTechnologies[[#This Row],[TechnologyID]],tblTargets[TargetID],tblTargets[DisplayName],"")</f>
        <v>Food Stall - Inarizushi</v>
      </c>
      <c r="E33" s="2" t="b">
        <v>1</v>
      </c>
      <c r="F33" s="2" t="s">
        <v>57</v>
      </c>
      <c r="G33" s="19" t="s">
        <v>1096</v>
      </c>
      <c r="H33" s="14" t="s">
        <v>58</v>
      </c>
      <c r="I33" s="14" t="s">
        <v>5637</v>
      </c>
      <c r="J33" s="14" t="s">
        <v>5634</v>
      </c>
      <c r="K33" s="14" t="s">
        <v>1097</v>
      </c>
      <c r="L33" s="14"/>
      <c r="M33" s="15" t="s">
        <v>1098</v>
      </c>
      <c r="N33" s="32">
        <f>IF(tblTechnologies[[#This Row],[costtext]]="", 0, LEN(tblTechnologies[[#This Row],[costtext]]) - LEN(SUBSTITUTE(tblTechnologies[[#This Row],[costtext]], ",", "")) + 1)</f>
        <v>5</v>
      </c>
      <c r="O33" s="32">
        <f>COUNTA(tblTechnologies[[#This Row],[amazake]:[wood]])</f>
        <v>5</v>
      </c>
      <c r="P33" s="14"/>
      <c r="Q33" s="14"/>
      <c r="R33" s="14"/>
      <c r="S33" s="14"/>
      <c r="T33" s="14"/>
      <c r="U33" s="14"/>
      <c r="V33" s="14"/>
      <c r="W33" s="14"/>
      <c r="X33" s="14"/>
      <c r="Y33" s="14"/>
      <c r="Z33" s="14"/>
      <c r="AA33" s="14"/>
      <c r="AB33" s="14"/>
      <c r="AC33" s="14"/>
      <c r="AD33" s="14">
        <v>400</v>
      </c>
      <c r="AE33" s="14"/>
      <c r="AF33" s="14"/>
      <c r="AG33" s="14"/>
      <c r="AH33" s="14"/>
      <c r="AI33" s="14"/>
      <c r="AJ33" s="14"/>
      <c r="AK33" s="14"/>
      <c r="AL33" s="14"/>
      <c r="AM33" s="14"/>
      <c r="AN33" s="14"/>
      <c r="AO33" s="14"/>
      <c r="AP33" s="14"/>
      <c r="AQ33" s="14"/>
      <c r="AR33" s="14"/>
      <c r="AS33" s="14"/>
      <c r="AT33" s="14">
        <v>13</v>
      </c>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v>2</v>
      </c>
      <c r="BZ33" s="14"/>
      <c r="CA33" s="14"/>
      <c r="CB33" s="14"/>
      <c r="CC33" s="14"/>
      <c r="CD33" s="14">
        <v>8</v>
      </c>
      <c r="CE33" s="14"/>
      <c r="CF33" s="14"/>
      <c r="CG33" s="14"/>
      <c r="CH33" s="14"/>
      <c r="CI33" s="14"/>
      <c r="CJ33" s="14"/>
      <c r="CK33" s="14"/>
      <c r="CL33" s="14"/>
      <c r="CM33" s="14"/>
      <c r="CN33" s="14"/>
      <c r="CO33" s="14">
        <v>10</v>
      </c>
      <c r="CP33" s="14"/>
      <c r="CQ33" s="14"/>
      <c r="CR33" s="14"/>
      <c r="CS33" s="14"/>
      <c r="CT33" s="14"/>
      <c r="CU33" s="14"/>
    </row>
    <row r="34" spans="1:99" ht="87" hidden="1">
      <c r="A34" s="2" t="s">
        <v>2158</v>
      </c>
      <c r="B34" s="2" t="s">
        <v>859</v>
      </c>
      <c r="C34" s="2" t="s">
        <v>773</v>
      </c>
      <c r="D34" s="2" t="str">
        <f>_xlfn.XLOOKUP(tblTechnologies[[#This Row],[TechnologyID]],tblTargets[TargetID],tblTargets[DisplayName],"")</f>
        <v>Food Stall - Conveyor Belt Sushi</v>
      </c>
      <c r="E34" s="2" t="b">
        <v>1</v>
      </c>
      <c r="F34" s="2" t="s">
        <v>57</v>
      </c>
      <c r="G34" s="19" t="s">
        <v>1099</v>
      </c>
      <c r="H34" s="14" t="s">
        <v>58</v>
      </c>
      <c r="I34" s="14" t="s">
        <v>1081</v>
      </c>
      <c r="J34" s="14" t="s">
        <v>1082</v>
      </c>
      <c r="K34" s="14" t="s">
        <v>1100</v>
      </c>
      <c r="L34" s="14" t="s">
        <v>1101</v>
      </c>
      <c r="M34" s="15" t="s">
        <v>1102</v>
      </c>
      <c r="N34" s="32">
        <f>IF(tblTechnologies[[#This Row],[costtext]]="", 0, LEN(tblTechnologies[[#This Row],[costtext]]) - LEN(SUBSTITUTE(tblTechnologies[[#This Row],[costtext]], ",", "")) + 1)</f>
        <v>6</v>
      </c>
      <c r="O34" s="32">
        <f>COUNTA(tblTechnologies[[#This Row],[amazake]:[wood]])</f>
        <v>6</v>
      </c>
      <c r="P34" s="14"/>
      <c r="Q34" s="14"/>
      <c r="R34" s="14"/>
      <c r="S34" s="14"/>
      <c r="T34" s="14"/>
      <c r="U34" s="14"/>
      <c r="V34" s="14"/>
      <c r="W34" s="14">
        <v>10</v>
      </c>
      <c r="X34" s="14"/>
      <c r="Y34" s="14"/>
      <c r="Z34" s="14"/>
      <c r="AA34" s="14"/>
      <c r="AB34" s="14"/>
      <c r="AC34" s="14"/>
      <c r="AD34" s="14">
        <v>300</v>
      </c>
      <c r="AE34" s="14"/>
      <c r="AF34" s="14"/>
      <c r="AG34" s="14"/>
      <c r="AH34" s="14">
        <v>40</v>
      </c>
      <c r="AI34" s="14"/>
      <c r="AJ34" s="14"/>
      <c r="AK34" s="14"/>
      <c r="AL34" s="14"/>
      <c r="AM34" s="14"/>
      <c r="AN34" s="14"/>
      <c r="AO34" s="14"/>
      <c r="AP34" s="14"/>
      <c r="AQ34" s="14"/>
      <c r="AR34" s="14"/>
      <c r="AS34" s="14"/>
      <c r="AT34" s="14"/>
      <c r="AU34" s="14"/>
      <c r="AV34" s="14"/>
      <c r="AW34" s="14"/>
      <c r="AX34" s="14"/>
      <c r="AY34" s="14"/>
      <c r="AZ34" s="14"/>
      <c r="BA34" s="14"/>
      <c r="BB34" s="14">
        <v>5</v>
      </c>
      <c r="BC34" s="14"/>
      <c r="BD34" s="14"/>
      <c r="BE34" s="14"/>
      <c r="BF34" s="14"/>
      <c r="BG34" s="14"/>
      <c r="BH34" s="14"/>
      <c r="BI34" s="14"/>
      <c r="BJ34" s="14"/>
      <c r="BK34" s="14"/>
      <c r="BL34" s="14"/>
      <c r="BM34" s="14"/>
      <c r="BN34" s="14"/>
      <c r="BO34" s="14"/>
      <c r="BP34" s="14"/>
      <c r="BQ34" s="14"/>
      <c r="BR34" s="14"/>
      <c r="BS34" s="14"/>
      <c r="BT34" s="14"/>
      <c r="BU34" s="14"/>
      <c r="BV34" s="14"/>
      <c r="BW34" s="14"/>
      <c r="BX34" s="14"/>
      <c r="BY34" s="14">
        <v>2</v>
      </c>
      <c r="BZ34" s="14"/>
      <c r="CA34" s="14"/>
      <c r="CB34" s="14"/>
      <c r="CC34" s="14"/>
      <c r="CD34" s="14"/>
      <c r="CE34" s="14"/>
      <c r="CF34" s="14"/>
      <c r="CG34" s="14">
        <v>20</v>
      </c>
      <c r="CH34" s="14"/>
      <c r="CI34" s="14"/>
      <c r="CJ34" s="14"/>
      <c r="CK34" s="14"/>
      <c r="CL34" s="14"/>
      <c r="CM34" s="14"/>
      <c r="CN34" s="14"/>
      <c r="CO34" s="14"/>
      <c r="CP34" s="14"/>
      <c r="CQ34" s="14"/>
      <c r="CR34" s="14"/>
      <c r="CS34" s="14"/>
      <c r="CT34" s="14"/>
      <c r="CU34" s="14"/>
    </row>
    <row r="35" spans="1:99" ht="58" hidden="1">
      <c r="A35" s="2" t="s">
        <v>2160</v>
      </c>
      <c r="B35" s="2" t="s">
        <v>860</v>
      </c>
      <c r="C35" s="2" t="s">
        <v>774</v>
      </c>
      <c r="D35" s="2" t="str">
        <f>_xlfn.XLOOKUP(tblTechnologies[[#This Row],[TechnologyID]],tblTargets[TargetID],tblTargets[DisplayName],"")</f>
        <v>Food Stall - Miso Soup</v>
      </c>
      <c r="E35" s="2" t="b">
        <v>1</v>
      </c>
      <c r="F35" s="2" t="s">
        <v>57</v>
      </c>
      <c r="G35" s="19" t="s">
        <v>1103</v>
      </c>
      <c r="H35" s="14" t="s">
        <v>58</v>
      </c>
      <c r="I35" s="14" t="s">
        <v>1081</v>
      </c>
      <c r="J35" s="14" t="s">
        <v>1082</v>
      </c>
      <c r="K35" s="14" t="s">
        <v>1104</v>
      </c>
      <c r="L35" s="14"/>
      <c r="M35" s="15" t="s">
        <v>1105</v>
      </c>
      <c r="N35" s="32">
        <f>IF(tblTechnologies[[#This Row],[costtext]]="", 0, LEN(tblTechnologies[[#This Row],[costtext]]) - LEN(SUBSTITUTE(tblTechnologies[[#This Row],[costtext]], ",", "")) + 1)</f>
        <v>7</v>
      </c>
      <c r="O35" s="32">
        <f>COUNTA(tblTechnologies[[#This Row],[amazake]:[wood]])</f>
        <v>7</v>
      </c>
      <c r="P35" s="14"/>
      <c r="Q35" s="14"/>
      <c r="R35" s="14"/>
      <c r="S35" s="14"/>
      <c r="T35" s="14"/>
      <c r="U35" s="14"/>
      <c r="V35" s="14"/>
      <c r="W35" s="14"/>
      <c r="X35" s="14"/>
      <c r="Y35" s="14"/>
      <c r="Z35" s="14"/>
      <c r="AA35" s="14"/>
      <c r="AB35" s="14"/>
      <c r="AC35" s="14"/>
      <c r="AD35" s="14">
        <v>500</v>
      </c>
      <c r="AE35" s="14"/>
      <c r="AF35" s="14"/>
      <c r="AG35" s="14"/>
      <c r="AH35" s="14">
        <v>20</v>
      </c>
      <c r="AI35" s="14"/>
      <c r="AJ35" s="14"/>
      <c r="AK35" s="14"/>
      <c r="AL35" s="14"/>
      <c r="AM35" s="14"/>
      <c r="AN35" s="14"/>
      <c r="AO35" s="14"/>
      <c r="AP35" s="14"/>
      <c r="AQ35" s="14"/>
      <c r="AR35" s="14"/>
      <c r="AS35" s="14"/>
      <c r="AT35" s="14">
        <v>10</v>
      </c>
      <c r="AU35" s="14"/>
      <c r="AV35" s="14"/>
      <c r="AW35" s="14"/>
      <c r="AX35" s="14"/>
      <c r="AY35" s="14"/>
      <c r="AZ35" s="14"/>
      <c r="BA35" s="14"/>
      <c r="BB35" s="14"/>
      <c r="BC35" s="14"/>
      <c r="BD35" s="14"/>
      <c r="BE35" s="14"/>
      <c r="BF35" s="14"/>
      <c r="BG35" s="14">
        <v>10</v>
      </c>
      <c r="BH35" s="14"/>
      <c r="BI35" s="14"/>
      <c r="BJ35" s="14"/>
      <c r="BK35" s="14"/>
      <c r="BL35" s="14"/>
      <c r="BM35" s="14"/>
      <c r="BN35" s="14"/>
      <c r="BO35" s="14"/>
      <c r="BP35" s="14"/>
      <c r="BQ35" s="14"/>
      <c r="BR35" s="14"/>
      <c r="BS35" s="14"/>
      <c r="BT35" s="14"/>
      <c r="BU35" s="14"/>
      <c r="BV35" s="14"/>
      <c r="BW35" s="14"/>
      <c r="BX35" s="14"/>
      <c r="BY35" s="14">
        <v>5</v>
      </c>
      <c r="BZ35" s="14"/>
      <c r="CA35" s="14"/>
      <c r="CB35" s="14"/>
      <c r="CC35" s="14"/>
      <c r="CD35" s="14"/>
      <c r="CE35" s="14"/>
      <c r="CF35" s="14"/>
      <c r="CG35" s="14"/>
      <c r="CH35" s="14"/>
      <c r="CI35" s="14"/>
      <c r="CJ35" s="14">
        <v>10</v>
      </c>
      <c r="CK35" s="14"/>
      <c r="CL35" s="14"/>
      <c r="CM35" s="14"/>
      <c r="CN35" s="14"/>
      <c r="CO35" s="14">
        <v>10</v>
      </c>
      <c r="CP35" s="14"/>
      <c r="CQ35" s="14"/>
      <c r="CR35" s="14"/>
      <c r="CS35" s="14"/>
      <c r="CT35" s="14"/>
      <c r="CU35" s="14"/>
    </row>
    <row r="36" spans="1:99" ht="29" hidden="1">
      <c r="A36" s="2" t="s">
        <v>2162</v>
      </c>
      <c r="B36" s="2" t="s">
        <v>861</v>
      </c>
      <c r="C36" s="2" t="s">
        <v>775</v>
      </c>
      <c r="D36" s="2" t="str">
        <f>_xlfn.XLOOKUP(tblTechnologies[[#This Row],[TechnologyID]],tblTargets[TargetID],tblTargets[DisplayName],"")</f>
        <v>Furnace - Meteoric Steel</v>
      </c>
      <c r="E36" s="2" t="b">
        <v>1</v>
      </c>
      <c r="F36" s="2" t="s">
        <v>62</v>
      </c>
      <c r="G36" s="19" t="s">
        <v>1106</v>
      </c>
      <c r="H36" s="14" t="s">
        <v>734</v>
      </c>
      <c r="I36" s="14" t="s">
        <v>1107</v>
      </c>
      <c r="J36" s="14" t="s">
        <v>1108</v>
      </c>
      <c r="K36" s="14" t="s">
        <v>1109</v>
      </c>
      <c r="L36" s="14"/>
      <c r="M36" s="15" t="s">
        <v>1110</v>
      </c>
      <c r="N36" s="32">
        <f>IF(tblTechnologies[[#This Row],[costtext]]="", 0, LEN(tblTechnologies[[#This Row],[costtext]]) - LEN(SUBSTITUTE(tblTechnologies[[#This Row],[costtext]], ",", "")) + 1)</f>
        <v>4</v>
      </c>
      <c r="O36" s="32">
        <f>COUNTA(tblTechnologies[[#This Row],[amazake]:[wood]])</f>
        <v>4</v>
      </c>
      <c r="P36" s="14"/>
      <c r="Q36" s="14"/>
      <c r="R36" s="14"/>
      <c r="S36" s="14"/>
      <c r="T36" s="14"/>
      <c r="U36" s="14"/>
      <c r="V36" s="14"/>
      <c r="W36" s="14">
        <v>15</v>
      </c>
      <c r="X36" s="14"/>
      <c r="Y36" s="14"/>
      <c r="Z36" s="14"/>
      <c r="AA36" s="14"/>
      <c r="AB36" s="14"/>
      <c r="AC36" s="14"/>
      <c r="AD36" s="14">
        <v>1000</v>
      </c>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v>50</v>
      </c>
      <c r="BG36" s="14"/>
      <c r="BH36" s="14"/>
      <c r="BI36" s="14"/>
      <c r="BJ36" s="14"/>
      <c r="BK36" s="14"/>
      <c r="BL36" s="14"/>
      <c r="BM36" s="14"/>
      <c r="BN36" s="14"/>
      <c r="BO36" s="14"/>
      <c r="BP36" s="14"/>
      <c r="BQ36" s="14"/>
      <c r="BR36" s="14"/>
      <c r="BS36" s="14"/>
      <c r="BT36" s="14"/>
      <c r="BU36" s="14"/>
      <c r="BV36" s="14"/>
      <c r="BW36" s="14"/>
      <c r="BX36" s="14"/>
      <c r="BY36" s="14">
        <v>3</v>
      </c>
      <c r="BZ36" s="14"/>
      <c r="CA36" s="14"/>
      <c r="CB36" s="14"/>
      <c r="CC36" s="14"/>
      <c r="CD36" s="14"/>
      <c r="CE36" s="14"/>
      <c r="CF36" s="14"/>
      <c r="CG36" s="14"/>
      <c r="CH36" s="14"/>
      <c r="CI36" s="14"/>
      <c r="CJ36" s="14"/>
      <c r="CK36" s="14"/>
      <c r="CL36" s="14"/>
      <c r="CM36" s="14"/>
      <c r="CN36" s="14"/>
      <c r="CO36" s="14"/>
      <c r="CP36" s="14"/>
      <c r="CQ36" s="14"/>
      <c r="CR36" s="14"/>
      <c r="CS36" s="14"/>
      <c r="CT36" s="14"/>
      <c r="CU36" s="14"/>
    </row>
    <row r="37" spans="1:99" ht="58" hidden="1">
      <c r="A37" s="2" t="s">
        <v>2164</v>
      </c>
      <c r="B37" s="2" t="s">
        <v>862</v>
      </c>
      <c r="C37" s="2" t="s">
        <v>776</v>
      </c>
      <c r="D37" s="2" t="str">
        <f>_xlfn.XLOOKUP(tblTechnologies[[#This Row],[TechnologyID]],tblTargets[TargetID],tblTargets[DisplayName],"")</f>
        <v>Furnace - Titanium Parts</v>
      </c>
      <c r="E37" s="2" t="b">
        <v>1</v>
      </c>
      <c r="F37" s="2" t="s">
        <v>62</v>
      </c>
      <c r="G37" s="19" t="s">
        <v>1111</v>
      </c>
      <c r="H37" s="14" t="s">
        <v>734</v>
      </c>
      <c r="I37" s="14" t="s">
        <v>1112</v>
      </c>
      <c r="J37" s="14" t="s">
        <v>1113</v>
      </c>
      <c r="K37" s="14" t="s">
        <v>1114</v>
      </c>
      <c r="L37" s="14" t="s">
        <v>963</v>
      </c>
      <c r="M37" s="15" t="s">
        <v>1115</v>
      </c>
      <c r="N37" s="32">
        <f>IF(tblTechnologies[[#This Row],[costtext]]="", 0, LEN(tblTechnologies[[#This Row],[costtext]]) - LEN(SUBSTITUTE(tblTechnologies[[#This Row],[costtext]], ",", "")) + 1)</f>
        <v>6</v>
      </c>
      <c r="O37" s="32">
        <f>COUNTA(tblTechnologies[[#This Row],[amazake]:[wood]])</f>
        <v>6</v>
      </c>
      <c r="P37" s="14"/>
      <c r="Q37" s="14"/>
      <c r="R37" s="14"/>
      <c r="S37" s="14"/>
      <c r="T37" s="14"/>
      <c r="U37" s="14"/>
      <c r="V37" s="14"/>
      <c r="W37" s="14">
        <v>20</v>
      </c>
      <c r="X37" s="14"/>
      <c r="Y37" s="14"/>
      <c r="Z37" s="14"/>
      <c r="AA37" s="14"/>
      <c r="AB37" s="14"/>
      <c r="AC37" s="14"/>
      <c r="AD37" s="14">
        <v>500</v>
      </c>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v>5</v>
      </c>
      <c r="BC37" s="14"/>
      <c r="BD37" s="14"/>
      <c r="BE37" s="14"/>
      <c r="BF37" s="14"/>
      <c r="BG37" s="14"/>
      <c r="BH37" s="14"/>
      <c r="BI37" s="14"/>
      <c r="BJ37" s="14"/>
      <c r="BK37" s="14"/>
      <c r="BL37" s="14"/>
      <c r="BM37" s="14"/>
      <c r="BN37" s="14"/>
      <c r="BO37" s="14"/>
      <c r="BP37" s="14"/>
      <c r="BQ37" s="14"/>
      <c r="BR37" s="14"/>
      <c r="BS37" s="14"/>
      <c r="BT37" s="14">
        <v>10</v>
      </c>
      <c r="BU37" s="14"/>
      <c r="BV37" s="14"/>
      <c r="BW37" s="14"/>
      <c r="BX37" s="14"/>
      <c r="BY37" s="14">
        <v>3</v>
      </c>
      <c r="BZ37" s="14"/>
      <c r="CA37" s="14"/>
      <c r="CB37" s="14"/>
      <c r="CC37" s="14"/>
      <c r="CD37" s="14"/>
      <c r="CE37" s="14"/>
      <c r="CF37" s="14"/>
      <c r="CG37" s="14"/>
      <c r="CH37" s="14"/>
      <c r="CI37" s="14"/>
      <c r="CJ37" s="14"/>
      <c r="CK37" s="14"/>
      <c r="CL37" s="14"/>
      <c r="CM37" s="14"/>
      <c r="CN37" s="14">
        <v>10</v>
      </c>
      <c r="CO37" s="14"/>
      <c r="CP37" s="14"/>
      <c r="CQ37" s="14"/>
      <c r="CR37" s="14"/>
      <c r="CS37" s="14"/>
      <c r="CT37" s="14"/>
      <c r="CU37" s="14"/>
    </row>
    <row r="38" spans="1:99" ht="58" hidden="1">
      <c r="A38" s="2" t="s">
        <v>2166</v>
      </c>
      <c r="B38" s="2" t="s">
        <v>674</v>
      </c>
      <c r="C38" s="2" t="s">
        <v>777</v>
      </c>
      <c r="D38" s="2" t="str">
        <f>_xlfn.XLOOKUP(tblTechnologies[[#This Row],[TechnologyID]],tblTargets[TargetID],tblTargets[DisplayName],"")</f>
        <v>Furnace - Glass</v>
      </c>
      <c r="E38" s="2" t="b">
        <v>1</v>
      </c>
      <c r="F38" s="2" t="s">
        <v>62</v>
      </c>
      <c r="G38" s="19" t="s">
        <v>1116</v>
      </c>
      <c r="H38" s="14" t="s">
        <v>734</v>
      </c>
      <c r="I38" s="14" t="s">
        <v>1117</v>
      </c>
      <c r="J38" s="14" t="s">
        <v>1118</v>
      </c>
      <c r="K38" s="14" t="s">
        <v>1119</v>
      </c>
      <c r="L38" s="14" t="s">
        <v>1120</v>
      </c>
      <c r="M38" s="15" t="s">
        <v>1121</v>
      </c>
      <c r="N38" s="32">
        <f>IF(tblTechnologies[[#This Row],[costtext]]="", 0, LEN(tblTechnologies[[#This Row],[costtext]]) - LEN(SUBSTITUTE(tblTechnologies[[#This Row],[costtext]], ",", "")) + 1)</f>
        <v>7</v>
      </c>
      <c r="O38" s="32">
        <f>COUNTA(tblTechnologies[[#This Row],[amazake]:[wood]])</f>
        <v>7</v>
      </c>
      <c r="P38" s="14"/>
      <c r="Q38" s="14"/>
      <c r="R38" s="14"/>
      <c r="S38" s="14"/>
      <c r="T38" s="14"/>
      <c r="U38" s="14"/>
      <c r="V38" s="14"/>
      <c r="W38" s="14">
        <v>20</v>
      </c>
      <c r="X38" s="14"/>
      <c r="Y38" s="14"/>
      <c r="Z38" s="14"/>
      <c r="AA38" s="14"/>
      <c r="AB38" s="14">
        <v>20</v>
      </c>
      <c r="AC38" s="14"/>
      <c r="AD38" s="14">
        <v>500</v>
      </c>
      <c r="AE38" s="14"/>
      <c r="AF38" s="14"/>
      <c r="AG38" s="14"/>
      <c r="AH38" s="14"/>
      <c r="AI38" s="14"/>
      <c r="AJ38" s="14"/>
      <c r="AK38" s="14"/>
      <c r="AL38" s="14"/>
      <c r="AM38" s="14"/>
      <c r="AN38" s="14"/>
      <c r="AO38" s="14"/>
      <c r="AP38" s="14"/>
      <c r="AQ38" s="14">
        <v>20</v>
      </c>
      <c r="AR38" s="14"/>
      <c r="AS38" s="14"/>
      <c r="AT38" s="14"/>
      <c r="AU38" s="14"/>
      <c r="AV38" s="14"/>
      <c r="AW38" s="14"/>
      <c r="AX38" s="14"/>
      <c r="AY38" s="14"/>
      <c r="AZ38" s="14"/>
      <c r="BA38" s="14"/>
      <c r="BB38" s="14">
        <v>5</v>
      </c>
      <c r="BC38" s="14"/>
      <c r="BD38" s="14"/>
      <c r="BE38" s="14"/>
      <c r="BF38" s="14"/>
      <c r="BG38" s="14"/>
      <c r="BH38" s="14"/>
      <c r="BI38" s="14"/>
      <c r="BJ38" s="14"/>
      <c r="BK38" s="14"/>
      <c r="BL38" s="14"/>
      <c r="BM38" s="14"/>
      <c r="BN38" s="14"/>
      <c r="BO38" s="14"/>
      <c r="BP38" s="14"/>
      <c r="BQ38" s="14"/>
      <c r="BR38" s="14"/>
      <c r="BS38" s="14">
        <v>40</v>
      </c>
      <c r="BT38" s="14"/>
      <c r="BU38" s="14"/>
      <c r="BV38" s="14"/>
      <c r="BW38" s="14"/>
      <c r="BX38" s="14"/>
      <c r="BY38" s="14">
        <v>3</v>
      </c>
      <c r="BZ38" s="14"/>
      <c r="CA38" s="14"/>
      <c r="CB38" s="14"/>
      <c r="CC38" s="14"/>
      <c r="CD38" s="14"/>
      <c r="CE38" s="14"/>
      <c r="CF38" s="14"/>
      <c r="CG38" s="14"/>
      <c r="CH38" s="14"/>
      <c r="CI38" s="14"/>
      <c r="CJ38" s="14"/>
      <c r="CK38" s="14"/>
      <c r="CL38" s="14"/>
      <c r="CM38" s="14"/>
      <c r="CN38" s="14"/>
      <c r="CO38" s="14"/>
      <c r="CP38" s="14"/>
      <c r="CQ38" s="14"/>
      <c r="CR38" s="14"/>
      <c r="CS38" s="14"/>
      <c r="CT38" s="14"/>
      <c r="CU38" s="14"/>
    </row>
    <row r="39" spans="1:99" ht="58" hidden="1">
      <c r="A39" s="2" t="s">
        <v>2168</v>
      </c>
      <c r="B39" s="2" t="s">
        <v>863</v>
      </c>
      <c r="C39" s="2" t="s">
        <v>778</v>
      </c>
      <c r="D39" s="2" t="str">
        <f>_xlfn.XLOOKUP(tblTechnologies[[#This Row],[TechnologyID]],tblTargets[TargetID],tblTargets[DisplayName],"")</f>
        <v>Furnace - Conveyor</v>
      </c>
      <c r="E39" s="2" t="b">
        <v>1</v>
      </c>
      <c r="F39" s="2" t="s">
        <v>62</v>
      </c>
      <c r="G39" s="19" t="s">
        <v>1122</v>
      </c>
      <c r="H39" s="14" t="s">
        <v>734</v>
      </c>
      <c r="I39" s="14" t="s">
        <v>1107</v>
      </c>
      <c r="J39" s="14" t="s">
        <v>1108</v>
      </c>
      <c r="K39" s="14" t="s">
        <v>1123</v>
      </c>
      <c r="L39" s="14"/>
      <c r="M39" s="15" t="s">
        <v>1124</v>
      </c>
      <c r="N39" s="32">
        <f>IF(tblTechnologies[[#This Row],[costtext]]="", 0, LEN(tblTechnologies[[#This Row],[costtext]]) - LEN(SUBSTITUTE(tblTechnologies[[#This Row],[costtext]], ",", "")) + 1)</f>
        <v>6</v>
      </c>
      <c r="O39" s="32">
        <f>COUNTA(tblTechnologies[[#This Row],[amazake]:[wood]])</f>
        <v>6</v>
      </c>
      <c r="P39" s="14"/>
      <c r="Q39" s="14"/>
      <c r="R39" s="14"/>
      <c r="S39" s="14"/>
      <c r="T39" s="14"/>
      <c r="U39" s="14"/>
      <c r="V39" s="14"/>
      <c r="W39" s="14">
        <v>15</v>
      </c>
      <c r="X39" s="14"/>
      <c r="Y39" s="14"/>
      <c r="Z39" s="14"/>
      <c r="AA39" s="14"/>
      <c r="AB39" s="14"/>
      <c r="AC39" s="14"/>
      <c r="AD39" s="14">
        <v>400</v>
      </c>
      <c r="AE39" s="14"/>
      <c r="AF39" s="14"/>
      <c r="AG39" s="14"/>
      <c r="AH39" s="14">
        <v>40</v>
      </c>
      <c r="AI39" s="14"/>
      <c r="AJ39" s="14"/>
      <c r="AK39" s="14"/>
      <c r="AL39" s="14"/>
      <c r="AM39" s="14"/>
      <c r="AN39" s="14"/>
      <c r="AO39" s="14"/>
      <c r="AP39" s="14"/>
      <c r="AQ39" s="14"/>
      <c r="AR39" s="14"/>
      <c r="AS39" s="14"/>
      <c r="AT39" s="14"/>
      <c r="AU39" s="14"/>
      <c r="AV39" s="14"/>
      <c r="AW39" s="14"/>
      <c r="AX39" s="14"/>
      <c r="AY39" s="14"/>
      <c r="AZ39" s="14"/>
      <c r="BA39" s="14"/>
      <c r="BB39" s="14">
        <v>10</v>
      </c>
      <c r="BC39" s="14"/>
      <c r="BD39" s="14"/>
      <c r="BE39" s="14"/>
      <c r="BF39" s="14"/>
      <c r="BG39" s="14"/>
      <c r="BH39" s="14"/>
      <c r="BI39" s="14">
        <v>20</v>
      </c>
      <c r="BJ39" s="14"/>
      <c r="BK39" s="14"/>
      <c r="BL39" s="14"/>
      <c r="BM39" s="14"/>
      <c r="BN39" s="14"/>
      <c r="BO39" s="14"/>
      <c r="BP39" s="14"/>
      <c r="BQ39" s="14"/>
      <c r="BR39" s="14"/>
      <c r="BS39" s="14"/>
      <c r="BT39" s="14"/>
      <c r="BU39" s="14"/>
      <c r="BV39" s="14"/>
      <c r="BW39" s="14"/>
      <c r="BX39" s="14"/>
      <c r="BY39" s="14">
        <v>2</v>
      </c>
      <c r="BZ39" s="14"/>
      <c r="CA39" s="14"/>
      <c r="CB39" s="14"/>
      <c r="CC39" s="14"/>
      <c r="CD39" s="14"/>
      <c r="CE39" s="14"/>
      <c r="CF39" s="14"/>
      <c r="CG39" s="14"/>
      <c r="CH39" s="14"/>
      <c r="CI39" s="14"/>
      <c r="CJ39" s="14"/>
      <c r="CK39" s="14"/>
      <c r="CL39" s="14"/>
      <c r="CM39" s="14"/>
      <c r="CN39" s="14"/>
      <c r="CO39" s="14"/>
      <c r="CP39" s="14"/>
      <c r="CQ39" s="14"/>
      <c r="CR39" s="14"/>
      <c r="CS39" s="14"/>
      <c r="CT39" s="14"/>
      <c r="CU39" s="14"/>
    </row>
    <row r="40" spans="1:99" ht="29" hidden="1">
      <c r="A40" s="2" t="s">
        <v>2170</v>
      </c>
      <c r="B40" s="2" t="s">
        <v>864</v>
      </c>
      <c r="C40" s="2" t="s">
        <v>779</v>
      </c>
      <c r="D40" s="2" t="str">
        <f>_xlfn.XLOOKUP(tblTechnologies[[#This Row],[TechnologyID]],tblTargets[TargetID],tblTargets[DisplayName],"")</f>
        <v>Garden - Sprinkler</v>
      </c>
      <c r="E40" s="2" t="b">
        <v>1</v>
      </c>
      <c r="F40" s="2" t="s">
        <v>66</v>
      </c>
      <c r="G40" s="19" t="s">
        <v>1125</v>
      </c>
      <c r="H40" s="14" t="s">
        <v>735</v>
      </c>
      <c r="I40" s="14" t="s">
        <v>1126</v>
      </c>
      <c r="J40" s="14" t="s">
        <v>1127</v>
      </c>
      <c r="K40" s="14" t="s">
        <v>1128</v>
      </c>
      <c r="L40" s="14"/>
      <c r="M40" s="15" t="s">
        <v>1129</v>
      </c>
      <c r="N40" s="32">
        <f>IF(tblTechnologies[[#This Row],[costtext]]="", 0, LEN(tblTechnologies[[#This Row],[costtext]]) - LEN(SUBSTITUTE(tblTechnologies[[#This Row],[costtext]], ",", "")) + 1)</f>
        <v>4</v>
      </c>
      <c r="O40" s="32">
        <f>COUNTA(tblTechnologies[[#This Row],[amazake]:[wood]])</f>
        <v>4</v>
      </c>
      <c r="P40" s="14"/>
      <c r="Q40" s="14"/>
      <c r="R40" s="14"/>
      <c r="S40" s="14"/>
      <c r="T40" s="14"/>
      <c r="U40" s="14"/>
      <c r="V40" s="14"/>
      <c r="W40" s="14">
        <v>30</v>
      </c>
      <c r="X40" s="14"/>
      <c r="Y40" s="14"/>
      <c r="Z40" s="14"/>
      <c r="AA40" s="14"/>
      <c r="AB40" s="14"/>
      <c r="AC40" s="14"/>
      <c r="AD40" s="14">
        <v>1500</v>
      </c>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v>50</v>
      </c>
      <c r="BG40" s="14"/>
      <c r="BH40" s="14"/>
      <c r="BI40" s="14"/>
      <c r="BJ40" s="14"/>
      <c r="BK40" s="14"/>
      <c r="BL40" s="14"/>
      <c r="BM40" s="14"/>
      <c r="BN40" s="14"/>
      <c r="BO40" s="14"/>
      <c r="BP40" s="14"/>
      <c r="BQ40" s="14"/>
      <c r="BR40" s="14"/>
      <c r="BS40" s="14"/>
      <c r="BT40" s="14"/>
      <c r="BU40" s="14"/>
      <c r="BV40" s="14"/>
      <c r="BW40" s="14"/>
      <c r="BX40" s="14"/>
      <c r="BY40" s="14">
        <v>6</v>
      </c>
      <c r="BZ40" s="14"/>
      <c r="CA40" s="14"/>
      <c r="CB40" s="14"/>
      <c r="CC40" s="14"/>
      <c r="CD40" s="14"/>
      <c r="CE40" s="14"/>
      <c r="CF40" s="14"/>
      <c r="CG40" s="14"/>
      <c r="CH40" s="14"/>
      <c r="CI40" s="14"/>
      <c r="CJ40" s="14"/>
      <c r="CK40" s="14"/>
      <c r="CL40" s="14"/>
      <c r="CM40" s="14"/>
      <c r="CN40" s="14"/>
      <c r="CO40" s="14"/>
      <c r="CP40" s="14"/>
      <c r="CQ40" s="14"/>
      <c r="CR40" s="14"/>
      <c r="CS40" s="14"/>
      <c r="CT40" s="14"/>
      <c r="CU40" s="14"/>
    </row>
    <row r="41" spans="1:99" ht="58" hidden="1">
      <c r="A41" s="2" t="s">
        <v>2172</v>
      </c>
      <c r="B41" s="2" t="s">
        <v>915</v>
      </c>
      <c r="C41" s="2" t="s">
        <v>918</v>
      </c>
      <c r="D41" s="2" t="str">
        <f>_xlfn.XLOOKUP(tblTechnologies[[#This Row],[TechnologyID]],tblTargets[TargetID],tblTargets[DisplayName],"")</f>
        <v>Laboratory - Research And Development</v>
      </c>
      <c r="E41" s="2" t="b">
        <v>1</v>
      </c>
      <c r="F41" s="2" t="s">
        <v>81</v>
      </c>
      <c r="G41" s="19" t="s">
        <v>1130</v>
      </c>
      <c r="H41" s="14" t="s">
        <v>82</v>
      </c>
      <c r="I41" s="14" t="s">
        <v>1131</v>
      </c>
      <c r="J41" s="14" t="s">
        <v>1132</v>
      </c>
      <c r="K41" s="14" t="s">
        <v>1133</v>
      </c>
      <c r="L41" s="14" t="s">
        <v>1134</v>
      </c>
      <c r="M41" s="15" t="s">
        <v>1135</v>
      </c>
      <c r="N41" s="32">
        <f>IF(tblTechnologies[[#This Row],[costtext]]="", 0, LEN(tblTechnologies[[#This Row],[costtext]]) - LEN(SUBSTITUTE(tblTechnologies[[#This Row],[costtext]], ",", "")) + 1)</f>
        <v>9</v>
      </c>
      <c r="O41" s="32">
        <f>COUNTA(tblTechnologies[[#This Row],[amazake]:[wood]])</f>
        <v>9</v>
      </c>
      <c r="P41" s="14">
        <v>20</v>
      </c>
      <c r="Q41" s="14"/>
      <c r="R41" s="14"/>
      <c r="S41" s="14"/>
      <c r="T41" s="14"/>
      <c r="U41" s="14"/>
      <c r="V41" s="14"/>
      <c r="W41" s="14">
        <v>30</v>
      </c>
      <c r="X41" s="14"/>
      <c r="Y41" s="14"/>
      <c r="Z41" s="14">
        <v>20</v>
      </c>
      <c r="AA41" s="14"/>
      <c r="AB41" s="14"/>
      <c r="AC41" s="14"/>
      <c r="AD41" s="14">
        <v>1000</v>
      </c>
      <c r="AE41" s="14"/>
      <c r="AF41" s="14"/>
      <c r="AG41" s="14"/>
      <c r="AH41" s="14"/>
      <c r="AI41" s="14">
        <v>10</v>
      </c>
      <c r="AJ41" s="14"/>
      <c r="AK41" s="14"/>
      <c r="AL41" s="14"/>
      <c r="AM41" s="14">
        <v>20</v>
      </c>
      <c r="AN41" s="14"/>
      <c r="AO41" s="14"/>
      <c r="AP41" s="14"/>
      <c r="AQ41" s="14"/>
      <c r="AR41" s="14"/>
      <c r="AS41" s="14"/>
      <c r="AT41" s="14"/>
      <c r="AU41" s="14"/>
      <c r="AV41" s="14"/>
      <c r="AW41" s="14"/>
      <c r="AX41" s="14"/>
      <c r="AY41" s="14"/>
      <c r="AZ41" s="14"/>
      <c r="BA41" s="14"/>
      <c r="BB41" s="14"/>
      <c r="BC41" s="14"/>
      <c r="BD41" s="14">
        <v>20</v>
      </c>
      <c r="BE41" s="14"/>
      <c r="BF41" s="14"/>
      <c r="BG41" s="14"/>
      <c r="BH41" s="14"/>
      <c r="BI41" s="14"/>
      <c r="BJ41" s="14"/>
      <c r="BK41" s="14"/>
      <c r="BL41" s="14"/>
      <c r="BM41" s="14"/>
      <c r="BN41" s="14"/>
      <c r="BO41" s="14"/>
      <c r="BP41" s="14"/>
      <c r="BQ41" s="14"/>
      <c r="BR41" s="14"/>
      <c r="BS41" s="14"/>
      <c r="BT41" s="14">
        <v>20</v>
      </c>
      <c r="BU41" s="14"/>
      <c r="BV41" s="14"/>
      <c r="BW41" s="14"/>
      <c r="BX41" s="14"/>
      <c r="BY41" s="14">
        <v>5</v>
      </c>
      <c r="BZ41" s="14"/>
      <c r="CA41" s="14"/>
      <c r="CB41" s="14"/>
      <c r="CC41" s="14"/>
      <c r="CD41" s="14"/>
      <c r="CE41" s="14"/>
      <c r="CF41" s="14"/>
      <c r="CG41" s="14"/>
      <c r="CH41" s="14"/>
      <c r="CI41" s="14"/>
      <c r="CJ41" s="14"/>
      <c r="CK41" s="14"/>
      <c r="CL41" s="14"/>
      <c r="CM41" s="14"/>
      <c r="CN41" s="14"/>
      <c r="CO41" s="14"/>
      <c r="CP41" s="14"/>
      <c r="CQ41" s="14"/>
      <c r="CR41" s="14"/>
      <c r="CS41" s="14"/>
      <c r="CT41" s="14"/>
      <c r="CU41" s="14"/>
    </row>
    <row r="42" spans="1:99" ht="58" hidden="1">
      <c r="A42" s="2" t="s">
        <v>2174</v>
      </c>
      <c r="B42" s="2" t="s">
        <v>865</v>
      </c>
      <c r="C42" s="2" t="s">
        <v>780</v>
      </c>
      <c r="D42" s="2" t="str">
        <f>_xlfn.XLOOKUP(tblTechnologies[[#This Row],[TechnologyID]],tblTargets[TargetID],tblTargets[DisplayName],"")</f>
        <v>Laboratory - Digitization</v>
      </c>
      <c r="E42" s="2" t="b">
        <v>1</v>
      </c>
      <c r="F42" s="2" t="s">
        <v>81</v>
      </c>
      <c r="G42" s="19" t="s">
        <v>1136</v>
      </c>
      <c r="H42" s="14" t="s">
        <v>82</v>
      </c>
      <c r="I42" s="14" t="s">
        <v>1131</v>
      </c>
      <c r="J42" s="14" t="s">
        <v>1132</v>
      </c>
      <c r="K42" s="14" t="s">
        <v>1137</v>
      </c>
      <c r="L42" s="14" t="s">
        <v>1138</v>
      </c>
      <c r="M42" s="15" t="s">
        <v>1139</v>
      </c>
      <c r="N42" s="32">
        <f>IF(tblTechnologies[[#This Row],[costtext]]="", 0, LEN(tblTechnologies[[#This Row],[costtext]]) - LEN(SUBSTITUTE(tblTechnologies[[#This Row],[costtext]], ",", "")) + 1)</f>
        <v>9</v>
      </c>
      <c r="O42" s="32">
        <f>COUNTA(tblTechnologies[[#This Row],[amazake]:[wood]])</f>
        <v>9</v>
      </c>
      <c r="P42" s="14"/>
      <c r="Q42" s="14"/>
      <c r="R42" s="14"/>
      <c r="S42" s="14"/>
      <c r="T42" s="14"/>
      <c r="U42" s="14"/>
      <c r="V42" s="14"/>
      <c r="W42" s="14">
        <v>30</v>
      </c>
      <c r="X42" s="14"/>
      <c r="Y42" s="14"/>
      <c r="Z42" s="14"/>
      <c r="AA42" s="14"/>
      <c r="AB42" s="14">
        <v>100</v>
      </c>
      <c r="AC42" s="14"/>
      <c r="AD42" s="14">
        <v>1000</v>
      </c>
      <c r="AE42" s="14"/>
      <c r="AF42" s="14"/>
      <c r="AG42" s="14"/>
      <c r="AH42" s="14"/>
      <c r="AI42" s="14"/>
      <c r="AJ42" s="14"/>
      <c r="AK42" s="14"/>
      <c r="AL42" s="14"/>
      <c r="AM42" s="14">
        <v>20</v>
      </c>
      <c r="AN42" s="14"/>
      <c r="AO42" s="14"/>
      <c r="AP42" s="14"/>
      <c r="AQ42" s="14"/>
      <c r="AR42" s="14"/>
      <c r="AS42" s="14"/>
      <c r="AT42" s="14"/>
      <c r="AU42" s="14"/>
      <c r="AV42" s="14"/>
      <c r="AW42" s="14"/>
      <c r="AX42" s="14"/>
      <c r="AY42" s="14"/>
      <c r="AZ42" s="14"/>
      <c r="BA42" s="14"/>
      <c r="BB42" s="14">
        <v>30</v>
      </c>
      <c r="BC42" s="14"/>
      <c r="BD42" s="14">
        <v>20</v>
      </c>
      <c r="BE42" s="14"/>
      <c r="BF42" s="14"/>
      <c r="BG42" s="14"/>
      <c r="BH42" s="14"/>
      <c r="BI42" s="14"/>
      <c r="BJ42" s="14"/>
      <c r="BK42" s="14"/>
      <c r="BL42" s="14"/>
      <c r="BM42" s="14"/>
      <c r="BN42" s="14">
        <v>40</v>
      </c>
      <c r="BO42" s="14"/>
      <c r="BP42" s="14"/>
      <c r="BQ42" s="14"/>
      <c r="BR42" s="14"/>
      <c r="BS42" s="14">
        <v>20</v>
      </c>
      <c r="BT42" s="14"/>
      <c r="BU42" s="14"/>
      <c r="BV42" s="14"/>
      <c r="BW42" s="14"/>
      <c r="BX42" s="14"/>
      <c r="BY42" s="14">
        <v>5</v>
      </c>
      <c r="BZ42" s="14"/>
      <c r="CA42" s="14"/>
      <c r="CB42" s="14"/>
      <c r="CC42" s="14"/>
      <c r="CD42" s="14"/>
      <c r="CE42" s="14"/>
      <c r="CF42" s="14"/>
      <c r="CG42" s="14"/>
      <c r="CH42" s="14"/>
      <c r="CI42" s="14"/>
      <c r="CJ42" s="14"/>
      <c r="CK42" s="14"/>
      <c r="CL42" s="14"/>
      <c r="CM42" s="14"/>
      <c r="CN42" s="14"/>
      <c r="CO42" s="14"/>
      <c r="CP42" s="14"/>
      <c r="CQ42" s="14"/>
      <c r="CR42" s="14"/>
      <c r="CS42" s="14"/>
      <c r="CT42" s="14"/>
      <c r="CU42" s="14"/>
    </row>
    <row r="43" spans="1:99" ht="58" hidden="1">
      <c r="A43" s="2" t="s">
        <v>2176</v>
      </c>
      <c r="B43" s="2" t="s">
        <v>866</v>
      </c>
      <c r="C43" s="2" t="s">
        <v>781</v>
      </c>
      <c r="D43" s="2" t="str">
        <f>_xlfn.XLOOKUP(tblTechnologies[[#This Row],[TechnologyID]],tblTargets[TargetID],tblTargets[DisplayName],"")</f>
        <v>Laboratory - Experiments</v>
      </c>
      <c r="E43" s="2" t="b">
        <v>1</v>
      </c>
      <c r="F43" s="2" t="s">
        <v>81</v>
      </c>
      <c r="G43" s="19" t="s">
        <v>1140</v>
      </c>
      <c r="H43" s="14" t="s">
        <v>82</v>
      </c>
      <c r="I43" s="14" t="s">
        <v>1141</v>
      </c>
      <c r="J43" s="14" t="s">
        <v>1142</v>
      </c>
      <c r="K43" s="14"/>
      <c r="L43" s="14"/>
      <c r="M43" s="15" t="s">
        <v>1143</v>
      </c>
      <c r="N43" s="32">
        <f>IF(tblTechnologies[[#This Row],[costtext]]="", 0, LEN(tblTechnologies[[#This Row],[costtext]]) - LEN(SUBSTITUTE(tblTechnologies[[#This Row],[costtext]], ",", "")) + 1)</f>
        <v>9</v>
      </c>
      <c r="O43" s="32">
        <f>COUNTA(tblTechnologies[[#This Row],[amazake]:[wood]])</f>
        <v>9</v>
      </c>
      <c r="P43" s="14"/>
      <c r="Q43" s="14"/>
      <c r="R43" s="14"/>
      <c r="S43" s="14"/>
      <c r="T43" s="14"/>
      <c r="U43" s="14"/>
      <c r="V43" s="14"/>
      <c r="W43" s="14">
        <v>40</v>
      </c>
      <c r="X43" s="14"/>
      <c r="Y43" s="14"/>
      <c r="Z43" s="14"/>
      <c r="AA43" s="14"/>
      <c r="AB43" s="14"/>
      <c r="AC43" s="14"/>
      <c r="AD43" s="14">
        <v>1000</v>
      </c>
      <c r="AE43" s="14"/>
      <c r="AF43" s="14">
        <v>2</v>
      </c>
      <c r="AG43" s="14"/>
      <c r="AH43" s="14"/>
      <c r="AI43" s="14"/>
      <c r="AJ43" s="14"/>
      <c r="AK43" s="14"/>
      <c r="AL43" s="14"/>
      <c r="AM43" s="14">
        <v>30</v>
      </c>
      <c r="AN43" s="14"/>
      <c r="AO43" s="14"/>
      <c r="AP43" s="14"/>
      <c r="AQ43" s="14"/>
      <c r="AR43" s="14"/>
      <c r="AS43" s="14"/>
      <c r="AT43" s="14"/>
      <c r="AU43" s="14"/>
      <c r="AV43" s="14"/>
      <c r="AW43" s="14"/>
      <c r="AX43" s="14"/>
      <c r="AY43" s="14"/>
      <c r="AZ43" s="14"/>
      <c r="BA43" s="14"/>
      <c r="BB43" s="14"/>
      <c r="BC43" s="14">
        <v>20</v>
      </c>
      <c r="BD43" s="14">
        <v>30</v>
      </c>
      <c r="BE43" s="14"/>
      <c r="BF43" s="14"/>
      <c r="BG43" s="14"/>
      <c r="BH43" s="14"/>
      <c r="BI43" s="14"/>
      <c r="BJ43" s="14"/>
      <c r="BK43" s="14"/>
      <c r="BL43" s="14"/>
      <c r="BM43" s="14"/>
      <c r="BN43" s="14"/>
      <c r="BO43" s="14"/>
      <c r="BP43" s="14"/>
      <c r="BQ43" s="14"/>
      <c r="BR43" s="14"/>
      <c r="BS43" s="14"/>
      <c r="BT43" s="14"/>
      <c r="BU43" s="14"/>
      <c r="BV43" s="14"/>
      <c r="BW43" s="14"/>
      <c r="BX43" s="14"/>
      <c r="BY43" s="14">
        <v>5</v>
      </c>
      <c r="BZ43" s="14"/>
      <c r="CA43" s="14"/>
      <c r="CB43" s="14"/>
      <c r="CC43" s="14"/>
      <c r="CD43" s="14"/>
      <c r="CE43" s="14"/>
      <c r="CF43" s="14"/>
      <c r="CG43" s="14"/>
      <c r="CH43" s="14"/>
      <c r="CI43" s="14"/>
      <c r="CJ43" s="14"/>
      <c r="CK43" s="14"/>
      <c r="CL43" s="14"/>
      <c r="CM43" s="14"/>
      <c r="CN43" s="14"/>
      <c r="CO43" s="14"/>
      <c r="CP43" s="14">
        <v>20</v>
      </c>
      <c r="CQ43" s="14"/>
      <c r="CR43" s="14"/>
      <c r="CS43" s="14">
        <v>10</v>
      </c>
      <c r="CT43" s="14"/>
      <c r="CU43" s="14"/>
    </row>
    <row r="44" spans="1:99" ht="29" hidden="1">
      <c r="A44" s="2" t="s">
        <v>2178</v>
      </c>
      <c r="B44" s="2" t="s">
        <v>867</v>
      </c>
      <c r="C44" s="2" t="s">
        <v>782</v>
      </c>
      <c r="D44" s="2" t="str">
        <f>_xlfn.XLOOKUP(tblTechnologies[[#This Row],[TechnologyID]],tblTargets[TargetID],tblTargets[DisplayName],"")</f>
        <v>Outpost - Sayonara Tax</v>
      </c>
      <c r="E44" s="2" t="b">
        <v>1</v>
      </c>
      <c r="F44" s="2" t="s">
        <v>98</v>
      </c>
      <c r="G44" s="19" t="s">
        <v>1144</v>
      </c>
      <c r="H44" s="14" t="s">
        <v>736</v>
      </c>
      <c r="I44" s="14" t="s">
        <v>1145</v>
      </c>
      <c r="J44" s="14" t="s">
        <v>1146</v>
      </c>
      <c r="K44" s="14" t="s">
        <v>1147</v>
      </c>
      <c r="L44" s="14"/>
      <c r="M44" s="15" t="s">
        <v>1148</v>
      </c>
      <c r="N44" s="32">
        <f>IF(tblTechnologies[[#This Row],[costtext]]="", 0, LEN(tblTechnologies[[#This Row],[costtext]]) - LEN(SUBSTITUTE(tblTechnologies[[#This Row],[costtext]], ",", "")) + 1)</f>
        <v>4</v>
      </c>
      <c r="O44" s="32">
        <f>COUNTA(tblTechnologies[[#This Row],[amazake]:[wood]])</f>
        <v>4</v>
      </c>
      <c r="P44" s="14"/>
      <c r="Q44" s="14"/>
      <c r="R44" s="14"/>
      <c r="S44" s="14"/>
      <c r="T44" s="14"/>
      <c r="U44" s="14"/>
      <c r="V44" s="14"/>
      <c r="W44" s="14">
        <v>30</v>
      </c>
      <c r="X44" s="14"/>
      <c r="Y44" s="14"/>
      <c r="Z44" s="14"/>
      <c r="AA44" s="14"/>
      <c r="AB44" s="14"/>
      <c r="AC44" s="14"/>
      <c r="AD44" s="14">
        <v>400</v>
      </c>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v>20</v>
      </c>
      <c r="BO44" s="14"/>
      <c r="BP44" s="14"/>
      <c r="BQ44" s="14"/>
      <c r="BR44" s="14"/>
      <c r="BS44" s="14"/>
      <c r="BT44" s="14"/>
      <c r="BU44" s="14"/>
      <c r="BV44" s="14"/>
      <c r="BW44" s="14"/>
      <c r="BX44" s="14"/>
      <c r="BY44" s="14">
        <v>2</v>
      </c>
      <c r="BZ44" s="14"/>
      <c r="CA44" s="14"/>
      <c r="CB44" s="14"/>
      <c r="CC44" s="14"/>
      <c r="CD44" s="14"/>
      <c r="CE44" s="14"/>
      <c r="CF44" s="14"/>
      <c r="CG44" s="14"/>
      <c r="CH44" s="14"/>
      <c r="CI44" s="14"/>
      <c r="CJ44" s="14"/>
      <c r="CK44" s="14"/>
      <c r="CL44" s="14"/>
      <c r="CM44" s="14"/>
      <c r="CN44" s="14"/>
      <c r="CO44" s="14"/>
      <c r="CP44" s="14"/>
      <c r="CQ44" s="14"/>
      <c r="CR44" s="14"/>
      <c r="CS44" s="14"/>
      <c r="CT44" s="14"/>
      <c r="CU44" s="14"/>
    </row>
    <row r="45" spans="1:99" ht="188.5" hidden="1">
      <c r="A45" s="2" t="s">
        <v>2180</v>
      </c>
      <c r="B45" s="2" t="s">
        <v>868</v>
      </c>
      <c r="C45" s="2" t="s">
        <v>783</v>
      </c>
      <c r="D45" s="2" t="str">
        <f>_xlfn.XLOOKUP(tblTechnologies[[#This Row],[TechnologyID]],tblTargets[TargetID],tblTargets[DisplayName],"")</f>
        <v>Outpost - Arsenal Lvl 1</v>
      </c>
      <c r="E45" s="2" t="b">
        <v>1</v>
      </c>
      <c r="F45" s="2" t="s">
        <v>98</v>
      </c>
      <c r="G45" s="19" t="s">
        <v>1149</v>
      </c>
      <c r="H45" s="14" t="s">
        <v>736</v>
      </c>
      <c r="I45" s="14" t="s">
        <v>1145</v>
      </c>
      <c r="J45" s="14" t="s">
        <v>1146</v>
      </c>
      <c r="K45" s="14" t="s">
        <v>1150</v>
      </c>
      <c r="L45" s="14"/>
      <c r="M45" s="15" t="s">
        <v>1151</v>
      </c>
      <c r="N45" s="32">
        <f>IF(tblTechnologies[[#This Row],[costtext]]="", 0, LEN(tblTechnologies[[#This Row],[costtext]]) - LEN(SUBSTITUTE(tblTechnologies[[#This Row],[costtext]], ",", "")) + 1)</f>
        <v>5</v>
      </c>
      <c r="O45" s="32">
        <f>COUNTA(tblTechnologies[[#This Row],[amazake]:[wood]])</f>
        <v>5</v>
      </c>
      <c r="P45" s="14"/>
      <c r="Q45" s="14"/>
      <c r="R45" s="14"/>
      <c r="S45" s="14"/>
      <c r="T45" s="14"/>
      <c r="U45" s="14"/>
      <c r="V45" s="14"/>
      <c r="W45" s="14">
        <v>40</v>
      </c>
      <c r="X45" s="14"/>
      <c r="Y45" s="14"/>
      <c r="Z45" s="14"/>
      <c r="AA45" s="14"/>
      <c r="AB45" s="14"/>
      <c r="AC45" s="14"/>
      <c r="AD45" s="14">
        <v>1000</v>
      </c>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v>400</v>
      </c>
      <c r="BQ45" s="14"/>
      <c r="BR45" s="14"/>
      <c r="BS45" s="14"/>
      <c r="BT45" s="14"/>
      <c r="BU45" s="14"/>
      <c r="BV45" s="14"/>
      <c r="BW45" s="14"/>
      <c r="BX45" s="14"/>
      <c r="BY45" s="14">
        <v>3</v>
      </c>
      <c r="BZ45" s="14"/>
      <c r="CA45" s="14"/>
      <c r="CB45" s="14"/>
      <c r="CC45" s="14"/>
      <c r="CD45" s="14"/>
      <c r="CE45" s="14"/>
      <c r="CF45" s="14"/>
      <c r="CG45" s="14">
        <v>200</v>
      </c>
      <c r="CH45" s="14"/>
      <c r="CI45" s="14"/>
      <c r="CJ45" s="14"/>
      <c r="CK45" s="14"/>
      <c r="CL45" s="14"/>
      <c r="CM45" s="14"/>
      <c r="CN45" s="14"/>
      <c r="CO45" s="14"/>
      <c r="CP45" s="14"/>
      <c r="CQ45" s="14"/>
      <c r="CR45" s="14"/>
      <c r="CS45" s="14"/>
      <c r="CT45" s="14"/>
      <c r="CU45" s="14"/>
    </row>
    <row r="46" spans="1:99" ht="188.5" hidden="1">
      <c r="A46" s="2" t="s">
        <v>2182</v>
      </c>
      <c r="B46" s="2" t="s">
        <v>869</v>
      </c>
      <c r="C46" s="2" t="s">
        <v>784</v>
      </c>
      <c r="D46" s="2" t="str">
        <f>_xlfn.XLOOKUP(tblTechnologies[[#This Row],[TechnologyID]],tblTargets[TargetID],tblTargets[DisplayName],"")</f>
        <v>Outpost - Arsenal Lvl 2</v>
      </c>
      <c r="E46" s="2" t="b">
        <v>1</v>
      </c>
      <c r="F46" s="2" t="s">
        <v>98</v>
      </c>
      <c r="G46" s="19" t="s">
        <v>1152</v>
      </c>
      <c r="H46" s="14" t="s">
        <v>736</v>
      </c>
      <c r="I46" s="14" t="s">
        <v>1153</v>
      </c>
      <c r="J46" s="14" t="s">
        <v>1154</v>
      </c>
      <c r="K46" s="14" t="s">
        <v>1150</v>
      </c>
      <c r="L46" s="14"/>
      <c r="M46" s="15" t="s">
        <v>1155</v>
      </c>
      <c r="N46" s="32">
        <f>IF(tblTechnologies[[#This Row],[costtext]]="", 0, LEN(tblTechnologies[[#This Row],[costtext]]) - LEN(SUBSTITUTE(tblTechnologies[[#This Row],[costtext]], ",", "")) + 1)</f>
        <v>5</v>
      </c>
      <c r="O46" s="32">
        <f>COUNTA(tblTechnologies[[#This Row],[amazake]:[wood]])</f>
        <v>5</v>
      </c>
      <c r="P46" s="14"/>
      <c r="Q46" s="14"/>
      <c r="R46" s="14"/>
      <c r="S46" s="14"/>
      <c r="T46" s="14"/>
      <c r="U46" s="14"/>
      <c r="V46" s="14"/>
      <c r="W46" s="14">
        <v>60</v>
      </c>
      <c r="X46" s="14"/>
      <c r="Y46" s="14"/>
      <c r="Z46" s="14"/>
      <c r="AA46" s="14"/>
      <c r="AB46" s="14"/>
      <c r="AC46" s="14"/>
      <c r="AD46" s="14">
        <v>1500</v>
      </c>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v>600</v>
      </c>
      <c r="BQ46" s="14"/>
      <c r="BR46" s="14"/>
      <c r="BS46" s="14"/>
      <c r="BT46" s="14"/>
      <c r="BU46" s="14"/>
      <c r="BV46" s="14"/>
      <c r="BW46" s="14"/>
      <c r="BX46" s="14"/>
      <c r="BY46" s="14">
        <v>5</v>
      </c>
      <c r="BZ46" s="14"/>
      <c r="CA46" s="14"/>
      <c r="CB46" s="14"/>
      <c r="CC46" s="14"/>
      <c r="CD46" s="14"/>
      <c r="CE46" s="14"/>
      <c r="CF46" s="14"/>
      <c r="CG46" s="14">
        <v>300</v>
      </c>
      <c r="CH46" s="14"/>
      <c r="CI46" s="14"/>
      <c r="CJ46" s="14"/>
      <c r="CK46" s="14"/>
      <c r="CL46" s="14"/>
      <c r="CM46" s="14"/>
      <c r="CN46" s="14"/>
      <c r="CO46" s="14"/>
      <c r="CP46" s="14"/>
      <c r="CQ46" s="14"/>
      <c r="CR46" s="14"/>
      <c r="CS46" s="14"/>
      <c r="CT46" s="14"/>
      <c r="CU46" s="14"/>
    </row>
    <row r="47" spans="1:99" ht="43.5" hidden="1">
      <c r="A47" s="2" t="s">
        <v>2184</v>
      </c>
      <c r="B47" s="2" t="s">
        <v>870</v>
      </c>
      <c r="C47" s="2" t="s">
        <v>785</v>
      </c>
      <c r="D47" s="2" t="str">
        <f>_xlfn.XLOOKUP(tblTechnologies[[#This Row],[TechnologyID]],tblTargets[TargetID],tblTargets[DisplayName],"")</f>
        <v>Outpost - Optional Contracts</v>
      </c>
      <c r="E47" s="2" t="b">
        <v>1</v>
      </c>
      <c r="F47" s="2" t="s">
        <v>98</v>
      </c>
      <c r="G47" s="19" t="s">
        <v>1156</v>
      </c>
      <c r="H47" s="14" t="s">
        <v>736</v>
      </c>
      <c r="I47" s="14" t="s">
        <v>1145</v>
      </c>
      <c r="J47" s="14" t="s">
        <v>1146</v>
      </c>
      <c r="K47" s="14" t="s">
        <v>1157</v>
      </c>
      <c r="L47" s="14"/>
      <c r="M47" s="15" t="s">
        <v>1158</v>
      </c>
      <c r="N47" s="32">
        <f>IF(tblTechnologies[[#This Row],[costtext]]="", 0, LEN(tblTechnologies[[#This Row],[costtext]]) - LEN(SUBSTITUTE(tblTechnologies[[#This Row],[costtext]], ",", "")) + 1)</f>
        <v>5</v>
      </c>
      <c r="O47" s="32">
        <f>COUNTA(tblTechnologies[[#This Row],[amazake]:[wood]])</f>
        <v>5</v>
      </c>
      <c r="P47" s="14"/>
      <c r="Q47" s="14"/>
      <c r="R47" s="14"/>
      <c r="S47" s="14"/>
      <c r="T47" s="14"/>
      <c r="U47" s="14"/>
      <c r="V47" s="14"/>
      <c r="W47" s="14"/>
      <c r="X47" s="14"/>
      <c r="Y47" s="14"/>
      <c r="Z47" s="14"/>
      <c r="AA47" s="14"/>
      <c r="AB47" s="14"/>
      <c r="AC47" s="14"/>
      <c r="AD47" s="14">
        <v>1000</v>
      </c>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v>25</v>
      </c>
      <c r="BL47" s="14"/>
      <c r="BM47" s="14">
        <v>40</v>
      </c>
      <c r="BN47" s="14">
        <v>20</v>
      </c>
      <c r="BO47" s="14"/>
      <c r="BP47" s="14"/>
      <c r="BQ47" s="14"/>
      <c r="BR47" s="14"/>
      <c r="BS47" s="14"/>
      <c r="BT47" s="14"/>
      <c r="BU47" s="14"/>
      <c r="BV47" s="14"/>
      <c r="BW47" s="14"/>
      <c r="BX47" s="14"/>
      <c r="BY47" s="14">
        <v>3</v>
      </c>
      <c r="BZ47" s="14"/>
      <c r="CA47" s="14"/>
      <c r="CB47" s="14"/>
      <c r="CC47" s="14"/>
      <c r="CD47" s="14"/>
      <c r="CE47" s="14"/>
      <c r="CF47" s="14"/>
      <c r="CG47" s="14"/>
      <c r="CH47" s="14"/>
      <c r="CI47" s="14"/>
      <c r="CJ47" s="14"/>
      <c r="CK47" s="14"/>
      <c r="CL47" s="14"/>
      <c r="CM47" s="14"/>
      <c r="CN47" s="14"/>
      <c r="CO47" s="14"/>
      <c r="CP47" s="14"/>
      <c r="CQ47" s="14"/>
      <c r="CR47" s="14"/>
      <c r="CS47" s="14"/>
      <c r="CT47" s="14"/>
      <c r="CU47" s="14"/>
    </row>
    <row r="48" spans="1:99" ht="43.5" hidden="1">
      <c r="A48" s="2" t="s">
        <v>2186</v>
      </c>
      <c r="B48" s="2" t="s">
        <v>871</v>
      </c>
      <c r="C48" s="2" t="s">
        <v>786</v>
      </c>
      <c r="D48" s="2" t="str">
        <f>_xlfn.XLOOKUP(tblTechnologies[[#This Row],[TechnologyID]],tblTargets[TargetID],tblTargets[DisplayName],"")</f>
        <v>Outpost - Futures Contracts</v>
      </c>
      <c r="E48" s="2" t="b">
        <v>1</v>
      </c>
      <c r="F48" s="2" t="s">
        <v>98</v>
      </c>
      <c r="G48" s="19" t="s">
        <v>1159</v>
      </c>
      <c r="H48" s="14" t="s">
        <v>736</v>
      </c>
      <c r="I48" s="14" t="s">
        <v>1160</v>
      </c>
      <c r="J48" s="14" t="s">
        <v>1161</v>
      </c>
      <c r="K48" s="14" t="s">
        <v>1162</v>
      </c>
      <c r="L48" s="14"/>
      <c r="M48" s="15" t="s">
        <v>1163</v>
      </c>
      <c r="N48" s="32">
        <f>IF(tblTechnologies[[#This Row],[costtext]]="", 0, LEN(tblTechnologies[[#This Row],[costtext]]) - LEN(SUBSTITUTE(tblTechnologies[[#This Row],[costtext]], ",", "")) + 1)</f>
        <v>6</v>
      </c>
      <c r="O48" s="32">
        <f>COUNTA(tblTechnologies[[#This Row],[amazake]:[wood]])</f>
        <v>6</v>
      </c>
      <c r="P48" s="14"/>
      <c r="Q48" s="14"/>
      <c r="R48" s="14"/>
      <c r="S48" s="14"/>
      <c r="T48" s="14"/>
      <c r="U48" s="14"/>
      <c r="V48" s="14"/>
      <c r="W48" s="14">
        <v>40</v>
      </c>
      <c r="X48" s="14"/>
      <c r="Y48" s="14"/>
      <c r="Z48" s="14"/>
      <c r="AA48" s="14"/>
      <c r="AB48" s="14"/>
      <c r="AC48" s="14"/>
      <c r="AD48" s="14">
        <v>1000</v>
      </c>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v>30</v>
      </c>
      <c r="BO48" s="14"/>
      <c r="BP48" s="14"/>
      <c r="BQ48" s="14"/>
      <c r="BR48" s="14"/>
      <c r="BS48" s="14"/>
      <c r="BT48" s="14"/>
      <c r="BU48" s="14"/>
      <c r="BV48" s="14"/>
      <c r="BW48" s="14">
        <v>50</v>
      </c>
      <c r="BX48" s="14"/>
      <c r="BY48" s="14">
        <v>5</v>
      </c>
      <c r="BZ48" s="14"/>
      <c r="CA48" s="14"/>
      <c r="CB48" s="14"/>
      <c r="CC48" s="14"/>
      <c r="CD48" s="14"/>
      <c r="CE48" s="14"/>
      <c r="CF48" s="14"/>
      <c r="CG48" s="14"/>
      <c r="CH48" s="14"/>
      <c r="CI48" s="14"/>
      <c r="CJ48" s="14"/>
      <c r="CK48" s="14"/>
      <c r="CL48" s="14"/>
      <c r="CM48" s="14"/>
      <c r="CN48" s="14"/>
      <c r="CO48" s="14"/>
      <c r="CP48" s="14"/>
      <c r="CQ48" s="14">
        <v>10</v>
      </c>
      <c r="CR48" s="14"/>
      <c r="CS48" s="14"/>
      <c r="CT48" s="14"/>
      <c r="CU48" s="14"/>
    </row>
    <row r="49" spans="1:99" ht="43.5" hidden="1">
      <c r="A49" s="2" t="s">
        <v>2188</v>
      </c>
      <c r="B49" s="2" t="s">
        <v>872</v>
      </c>
      <c r="C49" s="2" t="s">
        <v>787</v>
      </c>
      <c r="D49" s="2" t="str">
        <f>_xlfn.XLOOKUP(tblTechnologies[[#This Row],[TechnologyID]],tblTargets[TargetID],tblTargets[DisplayName],"")</f>
        <v>Outpost - Tax Return On Floppy Disk</v>
      </c>
      <c r="E49" s="2" t="b">
        <v>1</v>
      </c>
      <c r="F49" s="2" t="s">
        <v>98</v>
      </c>
      <c r="G49" s="19" t="s">
        <v>1164</v>
      </c>
      <c r="H49" s="14" t="s">
        <v>736</v>
      </c>
      <c r="I49" s="14" t="s">
        <v>1165</v>
      </c>
      <c r="J49" s="14" t="s">
        <v>1166</v>
      </c>
      <c r="K49" s="14" t="s">
        <v>1167</v>
      </c>
      <c r="L49" s="14" t="s">
        <v>172</v>
      </c>
      <c r="M49" s="15" t="s">
        <v>1168</v>
      </c>
      <c r="N49" s="32">
        <f>IF(tblTechnologies[[#This Row],[costtext]]="", 0, LEN(tblTechnologies[[#This Row],[costtext]]) - LEN(SUBSTITUTE(tblTechnologies[[#This Row],[costtext]], ",", "")) + 1)</f>
        <v>6</v>
      </c>
      <c r="O49" s="32">
        <f>COUNTA(tblTechnologies[[#This Row],[amazake]:[wood]])</f>
        <v>6</v>
      </c>
      <c r="P49" s="14"/>
      <c r="Q49" s="14"/>
      <c r="R49" s="14"/>
      <c r="S49" s="14"/>
      <c r="T49" s="14"/>
      <c r="U49" s="14"/>
      <c r="V49" s="14"/>
      <c r="W49" s="14">
        <v>30</v>
      </c>
      <c r="X49" s="14"/>
      <c r="Y49" s="14"/>
      <c r="Z49" s="14"/>
      <c r="AA49" s="14"/>
      <c r="AB49" s="14"/>
      <c r="AC49" s="14"/>
      <c r="AD49" s="14">
        <v>400</v>
      </c>
      <c r="AE49" s="14"/>
      <c r="AF49" s="14"/>
      <c r="AG49" s="14"/>
      <c r="AH49" s="14"/>
      <c r="AI49" s="14"/>
      <c r="AJ49" s="14"/>
      <c r="AK49" s="14"/>
      <c r="AL49" s="14"/>
      <c r="AM49" s="14">
        <v>40</v>
      </c>
      <c r="AN49" s="14"/>
      <c r="AO49" s="14"/>
      <c r="AP49" s="14"/>
      <c r="AQ49" s="14"/>
      <c r="AR49" s="14"/>
      <c r="AS49" s="14"/>
      <c r="AT49" s="14"/>
      <c r="AU49" s="14"/>
      <c r="AV49" s="14"/>
      <c r="AW49" s="14"/>
      <c r="AX49" s="14"/>
      <c r="AY49" s="14"/>
      <c r="AZ49" s="14"/>
      <c r="BA49" s="14"/>
      <c r="BB49" s="14"/>
      <c r="BC49" s="14"/>
      <c r="BD49" s="14">
        <v>30</v>
      </c>
      <c r="BE49" s="14"/>
      <c r="BF49" s="14"/>
      <c r="BG49" s="14"/>
      <c r="BH49" s="14"/>
      <c r="BI49" s="14"/>
      <c r="BJ49" s="14"/>
      <c r="BK49" s="14"/>
      <c r="BL49" s="14"/>
      <c r="BM49" s="14"/>
      <c r="BN49" s="14"/>
      <c r="BO49" s="14"/>
      <c r="BP49" s="14"/>
      <c r="BQ49" s="14"/>
      <c r="BR49" s="14"/>
      <c r="BS49" s="14"/>
      <c r="BT49" s="14"/>
      <c r="BU49" s="14"/>
      <c r="BV49" s="14"/>
      <c r="BW49" s="14"/>
      <c r="BX49" s="14"/>
      <c r="BY49" s="14">
        <v>3</v>
      </c>
      <c r="BZ49" s="14"/>
      <c r="CA49" s="14"/>
      <c r="CB49" s="14"/>
      <c r="CC49" s="14"/>
      <c r="CD49" s="14"/>
      <c r="CE49" s="14"/>
      <c r="CF49" s="14"/>
      <c r="CG49" s="14">
        <v>200</v>
      </c>
      <c r="CH49" s="14"/>
      <c r="CI49" s="14"/>
      <c r="CJ49" s="14"/>
      <c r="CK49" s="14"/>
      <c r="CL49" s="14"/>
      <c r="CM49" s="14"/>
      <c r="CN49" s="14"/>
      <c r="CO49" s="14"/>
      <c r="CP49" s="14"/>
      <c r="CQ49" s="14"/>
      <c r="CR49" s="14"/>
      <c r="CS49" s="14"/>
      <c r="CT49" s="14"/>
      <c r="CU49" s="14"/>
    </row>
    <row r="50" spans="1:99" ht="29" hidden="1">
      <c r="A50" s="2" t="s">
        <v>2190</v>
      </c>
      <c r="B50" s="2" t="s">
        <v>873</v>
      </c>
      <c r="C50" s="2" t="s">
        <v>788</v>
      </c>
      <c r="D50" s="2" t="str">
        <f>_xlfn.XLOOKUP(tblTechnologies[[#This Row],[TechnologyID]],tblTargets[TargetID],tblTargets[DisplayName],"")</f>
        <v>Rock Garden - Rake</v>
      </c>
      <c r="E50" s="2" t="b">
        <v>1</v>
      </c>
      <c r="F50" s="2" t="s">
        <v>112</v>
      </c>
      <c r="G50" s="19" t="s">
        <v>1169</v>
      </c>
      <c r="H50" s="14" t="s">
        <v>113</v>
      </c>
      <c r="I50" s="14" t="s">
        <v>1170</v>
      </c>
      <c r="J50" s="14" t="s">
        <v>1171</v>
      </c>
      <c r="K50" s="14" t="s">
        <v>1172</v>
      </c>
      <c r="L50" s="14"/>
      <c r="M50" s="15" t="s">
        <v>1129</v>
      </c>
      <c r="N50" s="32">
        <f>IF(tblTechnologies[[#This Row],[costtext]]="", 0, LEN(tblTechnologies[[#This Row],[costtext]]) - LEN(SUBSTITUTE(tblTechnologies[[#This Row],[costtext]], ",", "")) + 1)</f>
        <v>4</v>
      </c>
      <c r="O50" s="32">
        <f>COUNTA(tblTechnologies[[#This Row],[amazake]:[wood]])</f>
        <v>4</v>
      </c>
      <c r="P50" s="14"/>
      <c r="Q50" s="14"/>
      <c r="R50" s="14"/>
      <c r="S50" s="14"/>
      <c r="T50" s="14"/>
      <c r="U50" s="14"/>
      <c r="V50" s="14"/>
      <c r="W50" s="14">
        <v>30</v>
      </c>
      <c r="X50" s="14"/>
      <c r="Y50" s="14"/>
      <c r="Z50" s="14"/>
      <c r="AA50" s="14"/>
      <c r="AB50" s="14"/>
      <c r="AC50" s="14"/>
      <c r="AD50" s="14">
        <v>1500</v>
      </c>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v>50</v>
      </c>
      <c r="BG50" s="14"/>
      <c r="BH50" s="14"/>
      <c r="BI50" s="14"/>
      <c r="BJ50" s="14"/>
      <c r="BK50" s="14"/>
      <c r="BL50" s="14"/>
      <c r="BM50" s="14"/>
      <c r="BN50" s="14"/>
      <c r="BO50" s="14"/>
      <c r="BP50" s="14"/>
      <c r="BQ50" s="14"/>
      <c r="BR50" s="14"/>
      <c r="BS50" s="14"/>
      <c r="BT50" s="14"/>
      <c r="BU50" s="14"/>
      <c r="BV50" s="14"/>
      <c r="BW50" s="14"/>
      <c r="BX50" s="14"/>
      <c r="BY50" s="14">
        <v>6</v>
      </c>
      <c r="BZ50" s="14"/>
      <c r="CA50" s="14"/>
      <c r="CB50" s="14"/>
      <c r="CC50" s="14"/>
      <c r="CD50" s="14"/>
      <c r="CE50" s="14"/>
      <c r="CF50" s="14"/>
      <c r="CG50" s="14"/>
      <c r="CH50" s="14"/>
      <c r="CI50" s="14"/>
      <c r="CJ50" s="14"/>
      <c r="CK50" s="14"/>
      <c r="CL50" s="14"/>
      <c r="CM50" s="14"/>
      <c r="CN50" s="14"/>
      <c r="CO50" s="14"/>
      <c r="CP50" s="14"/>
      <c r="CQ50" s="14"/>
      <c r="CR50" s="14"/>
      <c r="CS50" s="14"/>
      <c r="CT50" s="14"/>
      <c r="CU50" s="14"/>
    </row>
    <row r="51" spans="1:99" ht="29" hidden="1">
      <c r="A51" s="2" t="s">
        <v>2192</v>
      </c>
      <c r="B51" s="2" t="s">
        <v>874</v>
      </c>
      <c r="C51" s="2" t="s">
        <v>789</v>
      </c>
      <c r="D51" s="2" t="str">
        <f>_xlfn.XLOOKUP(tblTechnologies[[#This Row],[TechnologyID]],tblTargets[TargetID],tblTargets[DisplayName],"")</f>
        <v>Shop - Pre Orders</v>
      </c>
      <c r="E51" s="2" t="b">
        <v>1</v>
      </c>
      <c r="F51" s="2" t="s">
        <v>122</v>
      </c>
      <c r="G51" s="19" t="s">
        <v>1173</v>
      </c>
      <c r="H51" s="14" t="s">
        <v>737</v>
      </c>
      <c r="I51" s="14" t="s">
        <v>1174</v>
      </c>
      <c r="J51" s="14" t="s">
        <v>1175</v>
      </c>
      <c r="K51" s="14" t="s">
        <v>1176</v>
      </c>
      <c r="L51" s="14"/>
      <c r="M51" s="15" t="s">
        <v>1177</v>
      </c>
      <c r="N51" s="32">
        <f>IF(tblTechnologies[[#This Row],[costtext]]="", 0, LEN(tblTechnologies[[#This Row],[costtext]]) - LEN(SUBSTITUTE(tblTechnologies[[#This Row],[costtext]], ",", "")) + 1)</f>
        <v>5</v>
      </c>
      <c r="O51" s="32">
        <f>COUNTA(tblTechnologies[[#This Row],[amazake]:[wood]])</f>
        <v>5</v>
      </c>
      <c r="P51" s="14"/>
      <c r="Q51" s="14"/>
      <c r="R51" s="14"/>
      <c r="S51" s="14"/>
      <c r="T51" s="14"/>
      <c r="U51" s="14">
        <v>20</v>
      </c>
      <c r="V51" s="14"/>
      <c r="W51" s="14">
        <v>30</v>
      </c>
      <c r="X51" s="14"/>
      <c r="Y51" s="14"/>
      <c r="Z51" s="14"/>
      <c r="AA51" s="14"/>
      <c r="AB51" s="14"/>
      <c r="AC51" s="14"/>
      <c r="AD51" s="14">
        <v>300</v>
      </c>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v>30</v>
      </c>
      <c r="BO51" s="14"/>
      <c r="BP51" s="14"/>
      <c r="BQ51" s="14"/>
      <c r="BR51" s="14"/>
      <c r="BS51" s="14"/>
      <c r="BT51" s="14"/>
      <c r="BU51" s="14"/>
      <c r="BV51" s="14"/>
      <c r="BW51" s="14"/>
      <c r="BX51" s="14"/>
      <c r="BY51" s="14">
        <v>1</v>
      </c>
      <c r="BZ51" s="14"/>
      <c r="CA51" s="14"/>
      <c r="CB51" s="14"/>
      <c r="CC51" s="14"/>
      <c r="CD51" s="14"/>
      <c r="CE51" s="14"/>
      <c r="CF51" s="14"/>
      <c r="CG51" s="14"/>
      <c r="CH51" s="14"/>
      <c r="CI51" s="14"/>
      <c r="CJ51" s="14"/>
      <c r="CK51" s="14"/>
      <c r="CL51" s="14"/>
      <c r="CM51" s="14"/>
      <c r="CN51" s="14"/>
      <c r="CO51" s="14"/>
      <c r="CP51" s="14"/>
      <c r="CQ51" s="14"/>
      <c r="CR51" s="14"/>
      <c r="CS51" s="14"/>
      <c r="CT51" s="14"/>
      <c r="CU51" s="14"/>
    </row>
    <row r="52" spans="1:99" ht="130.5" hidden="1">
      <c r="A52" s="2" t="s">
        <v>2194</v>
      </c>
      <c r="B52" s="2" t="s">
        <v>875</v>
      </c>
      <c r="C52" s="2" t="s">
        <v>790</v>
      </c>
      <c r="D52" s="2" t="str">
        <f>_xlfn.XLOOKUP(tblTechnologies[[#This Row],[TechnologyID]],tblTargets[TargetID],tblTargets[DisplayName],"")</f>
        <v>Shop - Glass Recycling</v>
      </c>
      <c r="E52" s="2" t="b">
        <v>1</v>
      </c>
      <c r="F52" s="2" t="s">
        <v>122</v>
      </c>
      <c r="G52" s="19" t="s">
        <v>1178</v>
      </c>
      <c r="H52" s="14" t="s">
        <v>737</v>
      </c>
      <c r="I52" s="14" t="s">
        <v>1174</v>
      </c>
      <c r="J52" s="14" t="s">
        <v>1175</v>
      </c>
      <c r="K52" s="14" t="s">
        <v>1179</v>
      </c>
      <c r="L52" s="14" t="s">
        <v>1180</v>
      </c>
      <c r="M52" s="15" t="s">
        <v>1181</v>
      </c>
      <c r="N52" s="32">
        <f>IF(tblTechnologies[[#This Row],[costtext]]="", 0, LEN(tblTechnologies[[#This Row],[costtext]]) - LEN(SUBSTITUTE(tblTechnologies[[#This Row],[costtext]], ",", "")) + 1)</f>
        <v>6</v>
      </c>
      <c r="O52" s="32">
        <f>COUNTA(tblTechnologies[[#This Row],[amazake]:[wood]])</f>
        <v>6</v>
      </c>
      <c r="P52" s="14"/>
      <c r="Q52" s="14"/>
      <c r="R52" s="14"/>
      <c r="S52" s="14"/>
      <c r="T52" s="14"/>
      <c r="U52" s="14"/>
      <c r="V52" s="14"/>
      <c r="W52" s="14">
        <v>20</v>
      </c>
      <c r="X52" s="14"/>
      <c r="Y52" s="14"/>
      <c r="Z52" s="14"/>
      <c r="AA52" s="14"/>
      <c r="AB52" s="14">
        <v>40</v>
      </c>
      <c r="AC52" s="14"/>
      <c r="AD52" s="14">
        <v>500</v>
      </c>
      <c r="AE52" s="14"/>
      <c r="AF52" s="14"/>
      <c r="AG52" s="14"/>
      <c r="AH52" s="14"/>
      <c r="AI52" s="14"/>
      <c r="AJ52" s="14"/>
      <c r="AK52" s="14"/>
      <c r="AL52" s="14"/>
      <c r="AM52" s="14"/>
      <c r="AN52" s="14"/>
      <c r="AO52" s="14"/>
      <c r="AP52" s="14"/>
      <c r="AQ52" s="14">
        <v>25</v>
      </c>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v>100</v>
      </c>
      <c r="BQ52" s="14"/>
      <c r="BR52" s="14"/>
      <c r="BS52" s="14"/>
      <c r="BT52" s="14"/>
      <c r="BU52" s="14"/>
      <c r="BV52" s="14"/>
      <c r="BW52" s="14"/>
      <c r="BX52" s="14"/>
      <c r="BY52" s="14">
        <v>5</v>
      </c>
      <c r="BZ52" s="14"/>
      <c r="CA52" s="14"/>
      <c r="CB52" s="14"/>
      <c r="CC52" s="14"/>
      <c r="CD52" s="14"/>
      <c r="CE52" s="14"/>
      <c r="CF52" s="14"/>
      <c r="CG52" s="14"/>
      <c r="CH52" s="14"/>
      <c r="CI52" s="14"/>
      <c r="CJ52" s="14"/>
      <c r="CK52" s="14"/>
      <c r="CL52" s="14"/>
      <c r="CM52" s="14"/>
      <c r="CN52" s="14"/>
      <c r="CO52" s="14"/>
      <c r="CP52" s="14"/>
      <c r="CQ52" s="14"/>
      <c r="CR52" s="14"/>
      <c r="CS52" s="14"/>
      <c r="CT52" s="14"/>
      <c r="CU52" s="14"/>
    </row>
    <row r="53" spans="1:99" hidden="1">
      <c r="A53" s="2" t="s">
        <v>2196</v>
      </c>
      <c r="B53" s="2" t="s">
        <v>876</v>
      </c>
      <c r="C53" s="2" t="s">
        <v>791</v>
      </c>
      <c r="D53" s="2" t="str">
        <f>_xlfn.XLOOKUP(tblTechnologies[[#This Row],[TechnologyID]],tblTargets[TargetID],tblTargets[DisplayName],"")</f>
        <v>Smithy - Throwing Knife</v>
      </c>
      <c r="E53" s="2" t="b">
        <v>1</v>
      </c>
      <c r="F53" s="2" t="s">
        <v>126</v>
      </c>
      <c r="G53" s="19" t="s">
        <v>1182</v>
      </c>
      <c r="H53" s="14" t="s">
        <v>738</v>
      </c>
      <c r="I53" s="14" t="s">
        <v>1183</v>
      </c>
      <c r="J53" s="14" t="s">
        <v>1184</v>
      </c>
      <c r="K53" s="14" t="s">
        <v>1185</v>
      </c>
      <c r="L53" s="14"/>
      <c r="M53" s="15" t="s">
        <v>1186</v>
      </c>
      <c r="N53" s="32">
        <f>IF(tblTechnologies[[#This Row],[costtext]]="", 0, LEN(tblTechnologies[[#This Row],[costtext]]) - LEN(SUBSTITUTE(tblTechnologies[[#This Row],[costtext]], ",", "")) + 1)</f>
        <v>4</v>
      </c>
      <c r="O53" s="32">
        <f>COUNTA(tblTechnologies[[#This Row],[amazake]:[wood]])</f>
        <v>4</v>
      </c>
      <c r="P53" s="14"/>
      <c r="Q53" s="14"/>
      <c r="R53" s="14"/>
      <c r="S53" s="14"/>
      <c r="T53" s="14"/>
      <c r="U53" s="14"/>
      <c r="V53" s="14"/>
      <c r="W53" s="14"/>
      <c r="X53" s="14"/>
      <c r="Y53" s="14"/>
      <c r="Z53" s="14"/>
      <c r="AA53" s="14"/>
      <c r="AB53" s="14"/>
      <c r="AC53" s="14"/>
      <c r="AD53" s="14">
        <v>300</v>
      </c>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v>30</v>
      </c>
      <c r="BG53" s="14"/>
      <c r="BH53" s="14"/>
      <c r="BI53" s="14"/>
      <c r="BJ53" s="14"/>
      <c r="BK53" s="14"/>
      <c r="BL53" s="14"/>
      <c r="BM53" s="14">
        <v>15</v>
      </c>
      <c r="BN53" s="14"/>
      <c r="BO53" s="14"/>
      <c r="BP53" s="14"/>
      <c r="BQ53" s="14"/>
      <c r="BR53" s="14"/>
      <c r="BS53" s="14"/>
      <c r="BT53" s="14"/>
      <c r="BU53" s="14"/>
      <c r="BV53" s="14"/>
      <c r="BW53" s="14"/>
      <c r="BX53" s="14"/>
      <c r="BY53" s="14">
        <v>2</v>
      </c>
      <c r="BZ53" s="14"/>
      <c r="CA53" s="14"/>
      <c r="CB53" s="14"/>
      <c r="CC53" s="14"/>
      <c r="CD53" s="14"/>
      <c r="CE53" s="14"/>
      <c r="CF53" s="14"/>
      <c r="CG53" s="14"/>
      <c r="CH53" s="14"/>
      <c r="CI53" s="14"/>
      <c r="CJ53" s="14"/>
      <c r="CK53" s="14"/>
      <c r="CL53" s="14"/>
      <c r="CM53" s="14"/>
      <c r="CN53" s="14"/>
      <c r="CO53" s="14"/>
      <c r="CP53" s="14"/>
      <c r="CQ53" s="14"/>
      <c r="CR53" s="14"/>
      <c r="CS53" s="14"/>
      <c r="CT53" s="14"/>
      <c r="CU53" s="14"/>
    </row>
    <row r="54" spans="1:99" ht="29" hidden="1">
      <c r="A54" s="2" t="s">
        <v>2198</v>
      </c>
      <c r="B54" s="2" t="s">
        <v>877</v>
      </c>
      <c r="C54" s="2" t="s">
        <v>792</v>
      </c>
      <c r="D54" s="2" t="str">
        <f>_xlfn.XLOOKUP(tblTechnologies[[#This Row],[TechnologyID]],tblTargets[TargetID],tblTargets[DisplayName],"")</f>
        <v>Smithy - Sword For A Hero Lvl 1</v>
      </c>
      <c r="E54" s="2" t="b">
        <v>1</v>
      </c>
      <c r="F54" s="2" t="s">
        <v>126</v>
      </c>
      <c r="G54" s="19" t="s">
        <v>1187</v>
      </c>
      <c r="H54" s="14" t="s">
        <v>738</v>
      </c>
      <c r="I54" s="14" t="s">
        <v>1183</v>
      </c>
      <c r="J54" s="14" t="s">
        <v>1184</v>
      </c>
      <c r="K54" s="14" t="s">
        <v>1188</v>
      </c>
      <c r="L54" s="14"/>
      <c r="M54" s="15" t="s">
        <v>1189</v>
      </c>
      <c r="N54" s="32">
        <f>IF(tblTechnologies[[#This Row],[costtext]]="", 0, LEN(tblTechnologies[[#This Row],[costtext]]) - LEN(SUBSTITUTE(tblTechnologies[[#This Row],[costtext]], ",", "")) + 1)</f>
        <v>6</v>
      </c>
      <c r="O54" s="32">
        <f>COUNTA(tblTechnologies[[#This Row],[amazake]:[wood]])</f>
        <v>6</v>
      </c>
      <c r="P54" s="14"/>
      <c r="Q54" s="14"/>
      <c r="R54" s="14"/>
      <c r="S54" s="14"/>
      <c r="T54" s="14"/>
      <c r="U54" s="14"/>
      <c r="V54" s="14"/>
      <c r="W54" s="14"/>
      <c r="X54" s="14"/>
      <c r="Y54" s="14"/>
      <c r="Z54" s="14"/>
      <c r="AA54" s="14">
        <v>50</v>
      </c>
      <c r="AB54" s="14"/>
      <c r="AC54" s="14"/>
      <c r="AD54" s="14">
        <v>300</v>
      </c>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v>40</v>
      </c>
      <c r="BG54" s="14"/>
      <c r="BH54" s="14"/>
      <c r="BI54" s="14"/>
      <c r="BJ54" s="14"/>
      <c r="BK54" s="14"/>
      <c r="BL54" s="14"/>
      <c r="BM54" s="14">
        <v>20</v>
      </c>
      <c r="BN54" s="14"/>
      <c r="BO54" s="14"/>
      <c r="BP54" s="14"/>
      <c r="BQ54" s="14"/>
      <c r="BR54" s="14"/>
      <c r="BS54" s="14"/>
      <c r="BT54" s="14"/>
      <c r="BU54" s="14"/>
      <c r="BV54" s="14"/>
      <c r="BW54" s="14"/>
      <c r="BX54" s="14"/>
      <c r="BY54" s="14">
        <v>2</v>
      </c>
      <c r="BZ54" s="14"/>
      <c r="CA54" s="14"/>
      <c r="CB54" s="14"/>
      <c r="CC54" s="14"/>
      <c r="CD54" s="14"/>
      <c r="CE54" s="14"/>
      <c r="CF54" s="14"/>
      <c r="CG54" s="14">
        <v>50</v>
      </c>
      <c r="CH54" s="14"/>
      <c r="CI54" s="14"/>
      <c r="CJ54" s="14"/>
      <c r="CK54" s="14"/>
      <c r="CL54" s="14"/>
      <c r="CM54" s="14"/>
      <c r="CN54" s="14"/>
      <c r="CO54" s="14"/>
      <c r="CP54" s="14"/>
      <c r="CQ54" s="14"/>
      <c r="CR54" s="14"/>
      <c r="CS54" s="14"/>
      <c r="CT54" s="14"/>
      <c r="CU54" s="14"/>
    </row>
    <row r="55" spans="1:99" ht="29" hidden="1">
      <c r="A55" s="2" t="s">
        <v>2200</v>
      </c>
      <c r="B55" s="2" t="s">
        <v>878</v>
      </c>
      <c r="C55" s="2" t="s">
        <v>793</v>
      </c>
      <c r="D55" s="2" t="str">
        <f>_xlfn.XLOOKUP(tblTechnologies[[#This Row],[TechnologyID]],tblTargets[TargetID],tblTargets[DisplayName],"")</f>
        <v>Smithy - Sword For A Hero Lvl 2</v>
      </c>
      <c r="E55" s="2" t="b">
        <v>1</v>
      </c>
      <c r="F55" s="2" t="s">
        <v>126</v>
      </c>
      <c r="G55" s="19" t="s">
        <v>1190</v>
      </c>
      <c r="H55" s="14" t="s">
        <v>738</v>
      </c>
      <c r="I55" s="14" t="s">
        <v>1191</v>
      </c>
      <c r="J55" s="14" t="s">
        <v>1192</v>
      </c>
      <c r="K55" s="14" t="s">
        <v>1193</v>
      </c>
      <c r="L55" s="14"/>
      <c r="M55" s="15" t="s">
        <v>1194</v>
      </c>
      <c r="N55" s="32">
        <f>IF(tblTechnologies[[#This Row],[costtext]]="", 0, LEN(tblTechnologies[[#This Row],[costtext]]) - LEN(SUBSTITUTE(tblTechnologies[[#This Row],[costtext]], ",", "")) + 1)</f>
        <v>6</v>
      </c>
      <c r="O55" s="32">
        <f>COUNTA(tblTechnologies[[#This Row],[amazake]:[wood]])</f>
        <v>6</v>
      </c>
      <c r="P55" s="14"/>
      <c r="Q55" s="14"/>
      <c r="R55" s="14"/>
      <c r="S55" s="14"/>
      <c r="T55" s="14"/>
      <c r="U55" s="14"/>
      <c r="V55" s="14"/>
      <c r="W55" s="14">
        <v>15</v>
      </c>
      <c r="X55" s="14"/>
      <c r="Y55" s="14"/>
      <c r="Z55" s="14"/>
      <c r="AA55" s="14">
        <v>100</v>
      </c>
      <c r="AB55" s="14"/>
      <c r="AC55" s="14"/>
      <c r="AD55" s="14">
        <v>500</v>
      </c>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v>40</v>
      </c>
      <c r="BJ55" s="14"/>
      <c r="BK55" s="14"/>
      <c r="BL55" s="14"/>
      <c r="BM55" s="14"/>
      <c r="BN55" s="14"/>
      <c r="BO55" s="14"/>
      <c r="BP55" s="14"/>
      <c r="BQ55" s="14"/>
      <c r="BR55" s="14"/>
      <c r="BS55" s="14"/>
      <c r="BT55" s="14"/>
      <c r="BU55" s="14"/>
      <c r="BV55" s="14"/>
      <c r="BW55" s="14"/>
      <c r="BX55" s="14"/>
      <c r="BY55" s="14">
        <v>3</v>
      </c>
      <c r="BZ55" s="14"/>
      <c r="CA55" s="14"/>
      <c r="CB55" s="14"/>
      <c r="CC55" s="14"/>
      <c r="CD55" s="14"/>
      <c r="CE55" s="14"/>
      <c r="CF55" s="14"/>
      <c r="CG55" s="14">
        <v>100</v>
      </c>
      <c r="CH55" s="14"/>
      <c r="CI55" s="14"/>
      <c r="CJ55" s="14"/>
      <c r="CK55" s="14"/>
      <c r="CL55" s="14"/>
      <c r="CM55" s="14"/>
      <c r="CN55" s="14"/>
      <c r="CO55" s="14"/>
      <c r="CP55" s="14"/>
      <c r="CQ55" s="14"/>
      <c r="CR55" s="14"/>
      <c r="CS55" s="14"/>
      <c r="CT55" s="14"/>
      <c r="CU55" s="14"/>
    </row>
    <row r="56" spans="1:99" ht="29" hidden="1">
      <c r="A56" s="2" t="s">
        <v>2202</v>
      </c>
      <c r="B56" s="2" t="s">
        <v>879</v>
      </c>
      <c r="C56" s="2" t="s">
        <v>794</v>
      </c>
      <c r="D56" s="2" t="str">
        <f>_xlfn.XLOOKUP(tblTechnologies[[#This Row],[TechnologyID]],tblTargets[TargetID],tblTargets[DisplayName],"")</f>
        <v>Smithy - Sword For A Hero Lvl 3</v>
      </c>
      <c r="E56" s="2" t="b">
        <v>1</v>
      </c>
      <c r="F56" s="2" t="s">
        <v>126</v>
      </c>
      <c r="G56" s="19" t="s">
        <v>1195</v>
      </c>
      <c r="H56" s="14" t="s">
        <v>738</v>
      </c>
      <c r="I56" s="14" t="s">
        <v>1196</v>
      </c>
      <c r="J56" s="14" t="s">
        <v>1197</v>
      </c>
      <c r="K56" s="14" t="s">
        <v>1198</v>
      </c>
      <c r="L56" s="14"/>
      <c r="M56" s="15" t="s">
        <v>1199</v>
      </c>
      <c r="N56" s="32">
        <f>IF(tblTechnologies[[#This Row],[costtext]]="", 0, LEN(tblTechnologies[[#This Row],[costtext]]) - LEN(SUBSTITUTE(tblTechnologies[[#This Row],[costtext]], ",", "")) + 1)</f>
        <v>6</v>
      </c>
      <c r="O56" s="32">
        <f>COUNTA(tblTechnologies[[#This Row],[amazake]:[wood]])</f>
        <v>6</v>
      </c>
      <c r="P56" s="14"/>
      <c r="Q56" s="14"/>
      <c r="R56" s="14"/>
      <c r="S56" s="14"/>
      <c r="T56" s="14"/>
      <c r="U56" s="14"/>
      <c r="V56" s="14"/>
      <c r="W56" s="14">
        <v>20</v>
      </c>
      <c r="X56" s="14"/>
      <c r="Y56" s="14"/>
      <c r="Z56" s="14"/>
      <c r="AA56" s="14">
        <v>200</v>
      </c>
      <c r="AB56" s="14"/>
      <c r="AC56" s="14"/>
      <c r="AD56" s="14">
        <v>1000</v>
      </c>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v>60</v>
      </c>
      <c r="BJ56" s="14"/>
      <c r="BK56" s="14"/>
      <c r="BL56" s="14"/>
      <c r="BM56" s="14"/>
      <c r="BN56" s="14"/>
      <c r="BO56" s="14"/>
      <c r="BP56" s="14"/>
      <c r="BQ56" s="14"/>
      <c r="BR56" s="14"/>
      <c r="BS56" s="14"/>
      <c r="BT56" s="14"/>
      <c r="BU56" s="14"/>
      <c r="BV56" s="14"/>
      <c r="BW56" s="14"/>
      <c r="BX56" s="14"/>
      <c r="BY56" s="14">
        <v>5</v>
      </c>
      <c r="BZ56" s="14"/>
      <c r="CA56" s="14"/>
      <c r="CB56" s="14"/>
      <c r="CC56" s="14"/>
      <c r="CD56" s="14"/>
      <c r="CE56" s="14"/>
      <c r="CF56" s="14"/>
      <c r="CG56" s="14">
        <v>200</v>
      </c>
      <c r="CH56" s="14"/>
      <c r="CI56" s="14"/>
      <c r="CJ56" s="14"/>
      <c r="CK56" s="14"/>
      <c r="CL56" s="14"/>
      <c r="CM56" s="14"/>
      <c r="CN56" s="14"/>
      <c r="CO56" s="14"/>
      <c r="CP56" s="14"/>
      <c r="CQ56" s="14"/>
      <c r="CR56" s="14"/>
      <c r="CS56" s="14"/>
      <c r="CT56" s="14"/>
      <c r="CU56" s="14"/>
    </row>
    <row r="57" spans="1:99" ht="29" hidden="1">
      <c r="A57" s="2" t="s">
        <v>2204</v>
      </c>
      <c r="B57" s="2" t="s">
        <v>880</v>
      </c>
      <c r="C57" s="2" t="s">
        <v>795</v>
      </c>
      <c r="D57" s="2" t="str">
        <f>_xlfn.XLOOKUP(tblTechnologies[[#This Row],[TechnologyID]],tblTargets[TargetID],tblTargets[DisplayName],"")</f>
        <v>Smithy - Sword For A Hero Lvl 4</v>
      </c>
      <c r="E57" s="2" t="b">
        <v>1</v>
      </c>
      <c r="F57" s="2" t="s">
        <v>126</v>
      </c>
      <c r="G57" s="19" t="s">
        <v>1200</v>
      </c>
      <c r="H57" s="14" t="s">
        <v>738</v>
      </c>
      <c r="I57" s="14" t="s">
        <v>1201</v>
      </c>
      <c r="J57" s="14" t="s">
        <v>1202</v>
      </c>
      <c r="K57" s="14" t="s">
        <v>1203</v>
      </c>
      <c r="L57" s="14" t="s">
        <v>1204</v>
      </c>
      <c r="M57" s="15" t="s">
        <v>1205</v>
      </c>
      <c r="N57" s="32">
        <f>IF(tblTechnologies[[#This Row],[costtext]]="", 0, LEN(tblTechnologies[[#This Row],[costtext]]) - LEN(SUBSTITUTE(tblTechnologies[[#This Row],[costtext]], ",", "")) + 1)</f>
        <v>6</v>
      </c>
      <c r="O57" s="32">
        <f>COUNTA(tblTechnologies[[#This Row],[amazake]:[wood]])</f>
        <v>6</v>
      </c>
      <c r="P57" s="14"/>
      <c r="Q57" s="14"/>
      <c r="R57" s="14"/>
      <c r="S57" s="14"/>
      <c r="T57" s="14"/>
      <c r="U57" s="14"/>
      <c r="V57" s="14"/>
      <c r="W57" s="14">
        <v>40</v>
      </c>
      <c r="X57" s="14"/>
      <c r="Y57" s="14"/>
      <c r="Z57" s="14"/>
      <c r="AA57" s="14"/>
      <c r="AB57" s="14"/>
      <c r="AC57" s="14"/>
      <c r="AD57" s="14">
        <v>1000</v>
      </c>
      <c r="AE57" s="14"/>
      <c r="AF57" s="14"/>
      <c r="AG57" s="14"/>
      <c r="AH57" s="14"/>
      <c r="AI57" s="14"/>
      <c r="AJ57" s="14"/>
      <c r="AK57" s="14"/>
      <c r="AL57" s="14"/>
      <c r="AM57" s="14"/>
      <c r="AN57" s="14"/>
      <c r="AO57" s="14">
        <v>20</v>
      </c>
      <c r="AP57" s="14"/>
      <c r="AQ57" s="14"/>
      <c r="AR57" s="14"/>
      <c r="AS57" s="14"/>
      <c r="AT57" s="14"/>
      <c r="AU57" s="14"/>
      <c r="AV57" s="14"/>
      <c r="AW57" s="14"/>
      <c r="AX57" s="14"/>
      <c r="AY57" s="14"/>
      <c r="AZ57" s="14"/>
      <c r="BA57" s="14"/>
      <c r="BB57" s="14">
        <v>20</v>
      </c>
      <c r="BC57" s="14"/>
      <c r="BD57" s="14"/>
      <c r="BE57" s="14"/>
      <c r="BF57" s="14"/>
      <c r="BG57" s="14"/>
      <c r="BH57" s="14"/>
      <c r="BI57" s="14"/>
      <c r="BJ57" s="14"/>
      <c r="BK57" s="14"/>
      <c r="BL57" s="14"/>
      <c r="BM57" s="14"/>
      <c r="BN57" s="14"/>
      <c r="BO57" s="14"/>
      <c r="BP57" s="14"/>
      <c r="BQ57" s="14"/>
      <c r="BR57" s="14"/>
      <c r="BS57" s="14"/>
      <c r="BT57" s="14"/>
      <c r="BU57" s="14"/>
      <c r="BV57" s="14"/>
      <c r="BW57" s="14"/>
      <c r="BX57" s="14"/>
      <c r="BY57" s="14">
        <v>5</v>
      </c>
      <c r="BZ57" s="14"/>
      <c r="CA57" s="14"/>
      <c r="CB57" s="14"/>
      <c r="CC57" s="14"/>
      <c r="CD57" s="14"/>
      <c r="CE57" s="14"/>
      <c r="CF57" s="14"/>
      <c r="CG57" s="14"/>
      <c r="CH57" s="14"/>
      <c r="CI57" s="14"/>
      <c r="CJ57" s="14"/>
      <c r="CK57" s="14">
        <v>3</v>
      </c>
      <c r="CL57" s="14"/>
      <c r="CM57" s="14"/>
      <c r="CN57" s="14"/>
      <c r="CO57" s="14"/>
      <c r="CP57" s="14"/>
      <c r="CQ57" s="14"/>
      <c r="CR57" s="14"/>
      <c r="CS57" s="14"/>
      <c r="CT57" s="14"/>
      <c r="CU57" s="14"/>
    </row>
    <row r="58" spans="1:99" ht="58">
      <c r="A58" s="2" t="s">
        <v>2206</v>
      </c>
      <c r="B58" s="2" t="s">
        <v>881</v>
      </c>
      <c r="C58" s="2" t="s">
        <v>796</v>
      </c>
      <c r="D58" s="2" t="str">
        <f>_xlfn.XLOOKUP(tblTechnologies[[#This Row],[TechnologyID]],tblTargets[TargetID],tblTargets[DisplayName],"")</f>
        <v>Smithy - Sword For A Hero Lvl 4+</v>
      </c>
      <c r="E58" s="2" t="b">
        <v>1</v>
      </c>
      <c r="F58" s="2" t="s">
        <v>126</v>
      </c>
      <c r="G58" s="19" t="s">
        <v>1206</v>
      </c>
      <c r="H58" s="14" t="s">
        <v>738</v>
      </c>
      <c r="I58" s="14" t="s">
        <v>1207</v>
      </c>
      <c r="J58" s="14" t="s">
        <v>1208</v>
      </c>
      <c r="K58" s="14" t="s">
        <v>1209</v>
      </c>
      <c r="L58" s="14" t="s">
        <v>1210</v>
      </c>
      <c r="M58" s="15" t="s">
        <v>1211</v>
      </c>
      <c r="N58" s="32">
        <f>IF(tblTechnologies[[#This Row],[costtext]]="", 0, LEN(tblTechnologies[[#This Row],[costtext]]) - LEN(SUBSTITUTE(tblTechnologies[[#This Row],[costtext]], ",", "")) + 1)</f>
        <v>9</v>
      </c>
      <c r="O58" s="32">
        <f>COUNTA(tblTechnologies[[#This Row],[amazake]:[wood]])</f>
        <v>9</v>
      </c>
      <c r="P58" s="14"/>
      <c r="Q58" s="14"/>
      <c r="R58" s="14"/>
      <c r="S58" s="14">
        <v>20</v>
      </c>
      <c r="T58" s="14"/>
      <c r="U58" s="14"/>
      <c r="V58" s="14">
        <v>25</v>
      </c>
      <c r="W58" s="14"/>
      <c r="X58" s="14"/>
      <c r="Y58" s="14"/>
      <c r="Z58" s="14"/>
      <c r="AA58" s="14"/>
      <c r="AB58" s="14"/>
      <c r="AC58" s="14"/>
      <c r="AD58" s="14">
        <v>1000</v>
      </c>
      <c r="AE58" s="14"/>
      <c r="AF58" s="14"/>
      <c r="AG58" s="14"/>
      <c r="AH58" s="14"/>
      <c r="AI58" s="14"/>
      <c r="AJ58" s="14"/>
      <c r="AK58" s="14"/>
      <c r="AL58" s="14"/>
      <c r="AM58" s="14"/>
      <c r="AN58" s="14"/>
      <c r="AO58" s="14"/>
      <c r="AP58" s="14"/>
      <c r="AQ58" s="14"/>
      <c r="AR58" s="14"/>
      <c r="AS58" s="14"/>
      <c r="AT58" s="14">
        <v>10</v>
      </c>
      <c r="AU58" s="14"/>
      <c r="AV58" s="14"/>
      <c r="AW58" s="14"/>
      <c r="AX58" s="14"/>
      <c r="AY58" s="14"/>
      <c r="AZ58" s="14"/>
      <c r="BA58" s="14"/>
      <c r="BB58" s="14"/>
      <c r="BC58" s="14">
        <v>10</v>
      </c>
      <c r="BD58" s="14"/>
      <c r="BE58" s="14"/>
      <c r="BF58" s="14"/>
      <c r="BG58" s="14"/>
      <c r="BH58" s="14"/>
      <c r="BI58" s="14"/>
      <c r="BJ58" s="14"/>
      <c r="BK58" s="14"/>
      <c r="BL58" s="14"/>
      <c r="BM58" s="14"/>
      <c r="BN58" s="14"/>
      <c r="BO58" s="14"/>
      <c r="BP58" s="14"/>
      <c r="BQ58" s="14"/>
      <c r="BR58" s="14"/>
      <c r="BS58" s="14">
        <v>10</v>
      </c>
      <c r="BT58" s="14"/>
      <c r="BU58" s="14"/>
      <c r="BV58" s="14">
        <v>1</v>
      </c>
      <c r="BW58" s="14"/>
      <c r="BX58" s="14"/>
      <c r="BY58" s="14">
        <v>5</v>
      </c>
      <c r="BZ58" s="14"/>
      <c r="CA58" s="14"/>
      <c r="CB58" s="14"/>
      <c r="CC58" s="14"/>
      <c r="CD58" s="14"/>
      <c r="CE58" s="14"/>
      <c r="CF58" s="14"/>
      <c r="CG58" s="14"/>
      <c r="CH58" s="14"/>
      <c r="CI58" s="14"/>
      <c r="CJ58" s="14"/>
      <c r="CK58" s="14"/>
      <c r="CL58" s="14">
        <v>1</v>
      </c>
      <c r="CM58" s="14"/>
      <c r="CN58" s="14"/>
      <c r="CO58" s="14"/>
      <c r="CP58" s="14"/>
      <c r="CQ58" s="14"/>
      <c r="CR58" s="14"/>
      <c r="CS58" s="14"/>
      <c r="CT58" s="14"/>
      <c r="CU58" s="14"/>
    </row>
    <row r="59" spans="1:99" ht="58" hidden="1">
      <c r="A59" s="2" t="s">
        <v>2208</v>
      </c>
      <c r="B59" s="2" t="s">
        <v>882</v>
      </c>
      <c r="C59" s="2" t="s">
        <v>797</v>
      </c>
      <c r="D59" s="2" t="str">
        <f>_xlfn.XLOOKUP(tblTechnologies[[#This Row],[TechnologyID]],tblTargets[TargetID],tblTargets[DisplayName],"")</f>
        <v>Smithy - Weapon Grease</v>
      </c>
      <c r="E59" s="2" t="b">
        <v>1</v>
      </c>
      <c r="F59" s="2" t="s">
        <v>126</v>
      </c>
      <c r="G59" s="19" t="s">
        <v>1212</v>
      </c>
      <c r="H59" s="14" t="s">
        <v>738</v>
      </c>
      <c r="I59" s="14" t="s">
        <v>1191</v>
      </c>
      <c r="J59" s="14" t="s">
        <v>1192</v>
      </c>
      <c r="K59" s="14" t="s">
        <v>1213</v>
      </c>
      <c r="L59" s="14" t="s">
        <v>1025</v>
      </c>
      <c r="M59" s="15" t="s">
        <v>1214</v>
      </c>
      <c r="N59" s="32">
        <f>IF(tblTechnologies[[#This Row],[costtext]]="", 0, LEN(tblTechnologies[[#This Row],[costtext]]) - LEN(SUBSTITUTE(tblTechnologies[[#This Row],[costtext]], ",", "")) + 1)</f>
        <v>5</v>
      </c>
      <c r="O59" s="32">
        <f>COUNTA(tblTechnologies[[#This Row],[amazake]:[wood]])</f>
        <v>5</v>
      </c>
      <c r="P59" s="14"/>
      <c r="Q59" s="14"/>
      <c r="R59" s="14"/>
      <c r="S59" s="14"/>
      <c r="T59" s="14"/>
      <c r="U59" s="14"/>
      <c r="V59" s="14"/>
      <c r="W59" s="14">
        <v>15</v>
      </c>
      <c r="X59" s="14"/>
      <c r="Y59" s="14"/>
      <c r="Z59" s="14"/>
      <c r="AA59" s="14"/>
      <c r="AB59" s="14"/>
      <c r="AC59" s="14"/>
      <c r="AD59" s="14">
        <v>500</v>
      </c>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v>10</v>
      </c>
      <c r="BL59" s="14"/>
      <c r="BM59" s="14"/>
      <c r="BN59" s="14"/>
      <c r="BO59" s="14"/>
      <c r="BP59" s="14"/>
      <c r="BQ59" s="14"/>
      <c r="BR59" s="14"/>
      <c r="BS59" s="14"/>
      <c r="BT59" s="14">
        <v>15</v>
      </c>
      <c r="BU59" s="14"/>
      <c r="BV59" s="14"/>
      <c r="BW59" s="14"/>
      <c r="BX59" s="14"/>
      <c r="BY59" s="14">
        <v>2</v>
      </c>
      <c r="BZ59" s="14"/>
      <c r="CA59" s="14"/>
      <c r="CB59" s="14"/>
      <c r="CC59" s="14"/>
      <c r="CD59" s="14"/>
      <c r="CE59" s="14"/>
      <c r="CF59" s="14"/>
      <c r="CG59" s="14"/>
      <c r="CH59" s="14"/>
      <c r="CI59" s="14"/>
      <c r="CJ59" s="14"/>
      <c r="CK59" s="14"/>
      <c r="CL59" s="14"/>
      <c r="CM59" s="14"/>
      <c r="CN59" s="14"/>
      <c r="CO59" s="14"/>
      <c r="CP59" s="14"/>
      <c r="CQ59" s="14"/>
      <c r="CR59" s="14"/>
      <c r="CS59" s="14"/>
      <c r="CT59" s="14"/>
      <c r="CU59" s="14"/>
    </row>
    <row r="60" spans="1:99" ht="29" hidden="1">
      <c r="A60" s="2" t="s">
        <v>2210</v>
      </c>
      <c r="B60" s="2" t="s">
        <v>673</v>
      </c>
      <c r="C60" s="2" t="s">
        <v>798</v>
      </c>
      <c r="D60" s="2" t="str">
        <f>_xlfn.XLOOKUP(tblTechnologies[[#This Row],[TechnologyID]],tblTargets[TargetID],tblTargets[DisplayName],"")</f>
        <v>Smithy - Gears</v>
      </c>
      <c r="E60" s="2" t="b">
        <v>1</v>
      </c>
      <c r="F60" s="2" t="s">
        <v>126</v>
      </c>
      <c r="G60" s="19" t="s">
        <v>1215</v>
      </c>
      <c r="H60" s="14" t="s">
        <v>738</v>
      </c>
      <c r="I60" s="14" t="s">
        <v>1183</v>
      </c>
      <c r="J60" s="14" t="s">
        <v>1184</v>
      </c>
      <c r="K60" s="14" t="s">
        <v>1216</v>
      </c>
      <c r="L60" s="14"/>
      <c r="M60" s="15" t="s">
        <v>1217</v>
      </c>
      <c r="N60" s="32">
        <f>IF(tblTechnologies[[#This Row],[costtext]]="", 0, LEN(tblTechnologies[[#This Row],[costtext]]) - LEN(SUBSTITUTE(tblTechnologies[[#This Row],[costtext]], ",", "")) + 1)</f>
        <v>5</v>
      </c>
      <c r="O60" s="32">
        <f>COUNTA(tblTechnologies[[#This Row],[amazake]:[wood]])</f>
        <v>5</v>
      </c>
      <c r="P60" s="14"/>
      <c r="Q60" s="14"/>
      <c r="R60" s="14"/>
      <c r="S60" s="14"/>
      <c r="T60" s="14"/>
      <c r="U60" s="14"/>
      <c r="V60" s="14"/>
      <c r="W60" s="14">
        <v>30</v>
      </c>
      <c r="X60" s="14"/>
      <c r="Y60" s="14"/>
      <c r="Z60" s="14"/>
      <c r="AA60" s="14"/>
      <c r="AB60" s="14"/>
      <c r="AC60" s="14"/>
      <c r="AD60" s="14">
        <v>1000</v>
      </c>
      <c r="AE60" s="14"/>
      <c r="AF60" s="14"/>
      <c r="AG60" s="14"/>
      <c r="AH60" s="14"/>
      <c r="AI60" s="14"/>
      <c r="AJ60" s="14"/>
      <c r="AK60" s="14"/>
      <c r="AL60" s="14"/>
      <c r="AM60" s="14"/>
      <c r="AN60" s="14"/>
      <c r="AO60" s="14">
        <v>30</v>
      </c>
      <c r="AP60" s="14"/>
      <c r="AQ60" s="14"/>
      <c r="AR60" s="14"/>
      <c r="AS60" s="14"/>
      <c r="AT60" s="14"/>
      <c r="AU60" s="14"/>
      <c r="AV60" s="14"/>
      <c r="AW60" s="14"/>
      <c r="AX60" s="14"/>
      <c r="AY60" s="14"/>
      <c r="AZ60" s="14"/>
      <c r="BA60" s="14"/>
      <c r="BB60" s="14"/>
      <c r="BC60" s="14"/>
      <c r="BD60" s="14"/>
      <c r="BE60" s="14"/>
      <c r="BF60" s="14">
        <v>20</v>
      </c>
      <c r="BG60" s="14"/>
      <c r="BH60" s="14"/>
      <c r="BI60" s="14"/>
      <c r="BJ60" s="14"/>
      <c r="BK60" s="14"/>
      <c r="BL60" s="14"/>
      <c r="BM60" s="14"/>
      <c r="BN60" s="14"/>
      <c r="BO60" s="14"/>
      <c r="BP60" s="14"/>
      <c r="BQ60" s="14"/>
      <c r="BR60" s="14"/>
      <c r="BS60" s="14"/>
      <c r="BT60" s="14"/>
      <c r="BU60" s="14"/>
      <c r="BV60" s="14"/>
      <c r="BW60" s="14"/>
      <c r="BX60" s="14"/>
      <c r="BY60" s="14">
        <v>5</v>
      </c>
      <c r="BZ60" s="14"/>
      <c r="CA60" s="14"/>
      <c r="CB60" s="14"/>
      <c r="CC60" s="14"/>
      <c r="CD60" s="14"/>
      <c r="CE60" s="14"/>
      <c r="CF60" s="14"/>
      <c r="CG60" s="14"/>
      <c r="CH60" s="14"/>
      <c r="CI60" s="14"/>
      <c r="CJ60" s="14"/>
      <c r="CK60" s="14"/>
      <c r="CL60" s="14"/>
      <c r="CM60" s="14"/>
      <c r="CN60" s="14"/>
      <c r="CO60" s="14"/>
      <c r="CP60" s="14"/>
      <c r="CQ60" s="14"/>
      <c r="CR60" s="14"/>
      <c r="CS60" s="14"/>
      <c r="CT60" s="14"/>
      <c r="CU60" s="14"/>
    </row>
    <row r="61" spans="1:99" ht="58" hidden="1">
      <c r="A61" s="2" t="s">
        <v>2212</v>
      </c>
      <c r="B61" s="2" t="s">
        <v>721</v>
      </c>
      <c r="C61" s="2" t="s">
        <v>799</v>
      </c>
      <c r="D61" s="2" t="str">
        <f>_xlfn.XLOOKUP(tblTechnologies[[#This Row],[TechnologyID]],tblTargets[TargetID],tblTargets[DisplayName],"")</f>
        <v>Smithy - Treasure</v>
      </c>
      <c r="E61" s="2" t="b">
        <v>1</v>
      </c>
      <c r="F61" s="2" t="s">
        <v>126</v>
      </c>
      <c r="G61" s="19" t="s">
        <v>1218</v>
      </c>
      <c r="H61" s="14" t="s">
        <v>738</v>
      </c>
      <c r="I61" s="14" t="s">
        <v>1219</v>
      </c>
      <c r="J61" s="14" t="s">
        <v>1220</v>
      </c>
      <c r="K61" s="14" t="s">
        <v>1221</v>
      </c>
      <c r="L61" s="14" t="s">
        <v>1222</v>
      </c>
      <c r="M61" s="15" t="s">
        <v>1223</v>
      </c>
      <c r="N61" s="32">
        <f>IF(tblTechnologies[[#This Row],[costtext]]="", 0, LEN(tblTechnologies[[#This Row],[costtext]]) - LEN(SUBSTITUTE(tblTechnologies[[#This Row],[costtext]], ",", "")) + 1)</f>
        <v>9</v>
      </c>
      <c r="O61" s="32">
        <f>COUNTA(tblTechnologies[[#This Row],[amazake]:[wood]])</f>
        <v>9</v>
      </c>
      <c r="P61" s="14"/>
      <c r="Q61" s="14"/>
      <c r="R61" s="14"/>
      <c r="S61" s="14"/>
      <c r="T61" s="14"/>
      <c r="U61" s="14"/>
      <c r="V61" s="14">
        <v>30</v>
      </c>
      <c r="W61" s="14"/>
      <c r="X61" s="14"/>
      <c r="Y61" s="14"/>
      <c r="Z61" s="14"/>
      <c r="AA61" s="14"/>
      <c r="AB61" s="14"/>
      <c r="AC61" s="14"/>
      <c r="AD61" s="14">
        <v>500</v>
      </c>
      <c r="AE61" s="14"/>
      <c r="AF61" s="14"/>
      <c r="AG61" s="14"/>
      <c r="AH61" s="14"/>
      <c r="AI61" s="14"/>
      <c r="AJ61" s="14"/>
      <c r="AK61" s="14"/>
      <c r="AL61" s="14"/>
      <c r="AM61" s="14"/>
      <c r="AN61" s="14"/>
      <c r="AO61" s="14"/>
      <c r="AP61" s="14"/>
      <c r="AQ61" s="14"/>
      <c r="AR61" s="14"/>
      <c r="AS61" s="14">
        <v>20</v>
      </c>
      <c r="AT61" s="14">
        <v>10</v>
      </c>
      <c r="AU61" s="14"/>
      <c r="AV61" s="14"/>
      <c r="AW61" s="14"/>
      <c r="AX61" s="14"/>
      <c r="AY61" s="14"/>
      <c r="AZ61" s="14">
        <v>10</v>
      </c>
      <c r="BA61" s="14"/>
      <c r="BB61" s="14"/>
      <c r="BC61" s="14">
        <v>10</v>
      </c>
      <c r="BD61" s="14"/>
      <c r="BE61" s="14"/>
      <c r="BF61" s="14"/>
      <c r="BG61" s="14"/>
      <c r="BH61" s="14"/>
      <c r="BI61" s="14"/>
      <c r="BJ61" s="14"/>
      <c r="BK61" s="14"/>
      <c r="BL61" s="14"/>
      <c r="BM61" s="14"/>
      <c r="BN61" s="14"/>
      <c r="BO61" s="14"/>
      <c r="BP61" s="14"/>
      <c r="BQ61" s="14"/>
      <c r="BR61" s="14"/>
      <c r="BS61" s="14"/>
      <c r="BT61" s="14"/>
      <c r="BU61" s="14">
        <v>20</v>
      </c>
      <c r="BV61" s="14"/>
      <c r="BW61" s="14"/>
      <c r="BX61" s="14"/>
      <c r="BY61" s="14">
        <v>3</v>
      </c>
      <c r="BZ61" s="14"/>
      <c r="CA61" s="14"/>
      <c r="CB61" s="14"/>
      <c r="CC61" s="14"/>
      <c r="CD61" s="14"/>
      <c r="CE61" s="14"/>
      <c r="CF61" s="14"/>
      <c r="CG61" s="14"/>
      <c r="CH61" s="14"/>
      <c r="CI61" s="14"/>
      <c r="CJ61" s="14"/>
      <c r="CK61" s="14"/>
      <c r="CL61" s="14"/>
      <c r="CM61" s="14"/>
      <c r="CN61" s="14"/>
      <c r="CO61" s="14"/>
      <c r="CP61" s="14"/>
      <c r="CQ61" s="14"/>
      <c r="CR61" s="14"/>
      <c r="CS61" s="14">
        <v>15</v>
      </c>
      <c r="CT61" s="14"/>
      <c r="CU61" s="14"/>
    </row>
    <row r="62" spans="1:99" ht="29" hidden="1">
      <c r="A62" s="2" t="s">
        <v>2214</v>
      </c>
      <c r="B62" s="2" t="s">
        <v>883</v>
      </c>
      <c r="C62" s="2" t="s">
        <v>800</v>
      </c>
      <c r="D62" s="2" t="str">
        <f>_xlfn.XLOOKUP(tblTechnologies[[#This Row],[TechnologyID]],tblTargets[TargetID],tblTargets[DisplayName],"")</f>
        <v>Tailor - Ariadnes Thread</v>
      </c>
      <c r="E62" s="2" t="b">
        <v>1</v>
      </c>
      <c r="F62" s="2" t="s">
        <v>132</v>
      </c>
      <c r="G62" s="19" t="s">
        <v>1224</v>
      </c>
      <c r="H62" s="14" t="s">
        <v>739</v>
      </c>
      <c r="I62" s="14" t="s">
        <v>1225</v>
      </c>
      <c r="J62" s="14" t="s">
        <v>1226</v>
      </c>
      <c r="K62" s="14" t="s">
        <v>1227</v>
      </c>
      <c r="L62" s="14"/>
      <c r="M62" s="15" t="s">
        <v>1228</v>
      </c>
      <c r="N62" s="32">
        <f>IF(tblTechnologies[[#This Row],[costtext]]="", 0, LEN(tblTechnologies[[#This Row],[costtext]]) - LEN(SUBSTITUTE(tblTechnologies[[#This Row],[costtext]], ",", "")) + 1)</f>
        <v>6</v>
      </c>
      <c r="O62" s="32">
        <f>COUNTA(tblTechnologies[[#This Row],[amazake]:[wood]])</f>
        <v>6</v>
      </c>
      <c r="P62" s="14"/>
      <c r="Q62" s="14"/>
      <c r="R62" s="14"/>
      <c r="S62" s="14"/>
      <c r="T62" s="14"/>
      <c r="U62" s="14"/>
      <c r="V62" s="14"/>
      <c r="W62" s="14"/>
      <c r="X62" s="14"/>
      <c r="Y62" s="14"/>
      <c r="Z62" s="14"/>
      <c r="AA62" s="14"/>
      <c r="AB62" s="14"/>
      <c r="AC62" s="14"/>
      <c r="AD62" s="14">
        <v>300</v>
      </c>
      <c r="AE62" s="14"/>
      <c r="AF62" s="14"/>
      <c r="AG62" s="14"/>
      <c r="AH62" s="14">
        <v>20</v>
      </c>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v>10</v>
      </c>
      <c r="BN62" s="14"/>
      <c r="BO62" s="14"/>
      <c r="BP62" s="14"/>
      <c r="BQ62" s="14"/>
      <c r="BR62" s="14"/>
      <c r="BS62" s="14"/>
      <c r="BT62" s="14"/>
      <c r="BU62" s="14"/>
      <c r="BV62" s="14"/>
      <c r="BW62" s="14"/>
      <c r="BX62" s="14">
        <v>1</v>
      </c>
      <c r="BY62" s="14">
        <v>2</v>
      </c>
      <c r="BZ62" s="14"/>
      <c r="CA62" s="14"/>
      <c r="CB62" s="14"/>
      <c r="CC62" s="14"/>
      <c r="CD62" s="14"/>
      <c r="CE62" s="14"/>
      <c r="CF62" s="14"/>
      <c r="CG62" s="14"/>
      <c r="CH62" s="14"/>
      <c r="CI62" s="14"/>
      <c r="CJ62" s="14"/>
      <c r="CK62" s="14"/>
      <c r="CL62" s="14"/>
      <c r="CM62" s="14">
        <v>10</v>
      </c>
      <c r="CN62" s="14"/>
      <c r="CO62" s="14"/>
      <c r="CP62" s="14"/>
      <c r="CQ62" s="14"/>
      <c r="CR62" s="14"/>
      <c r="CS62" s="14"/>
      <c r="CT62" s="14"/>
      <c r="CU62" s="14"/>
    </row>
    <row r="63" spans="1:99" ht="58" hidden="1">
      <c r="A63" s="2" t="s">
        <v>2216</v>
      </c>
      <c r="B63" s="2" t="s">
        <v>884</v>
      </c>
      <c r="C63" s="2" t="s">
        <v>801</v>
      </c>
      <c r="D63" s="2" t="str">
        <f>_xlfn.XLOOKUP(tblTechnologies[[#This Row],[TechnologyID]],tblTargets[TargetID],tblTargets[DisplayName],"")</f>
        <v>Tailor - Bedroll</v>
      </c>
      <c r="E63" s="2" t="b">
        <v>1</v>
      </c>
      <c r="F63" s="2" t="s">
        <v>132</v>
      </c>
      <c r="G63" s="19" t="s">
        <v>1229</v>
      </c>
      <c r="H63" s="14" t="s">
        <v>739</v>
      </c>
      <c r="I63" s="14" t="s">
        <v>1230</v>
      </c>
      <c r="J63" s="14" t="s">
        <v>1231</v>
      </c>
      <c r="K63" s="14" t="s">
        <v>1232</v>
      </c>
      <c r="L63" s="14" t="s">
        <v>1233</v>
      </c>
      <c r="M63" s="15" t="s">
        <v>1234</v>
      </c>
      <c r="N63" s="32">
        <f>IF(tblTechnologies[[#This Row],[costtext]]="", 0, LEN(tblTechnologies[[#This Row],[costtext]]) - LEN(SUBSTITUTE(tblTechnologies[[#This Row],[costtext]], ",", "")) + 1)</f>
        <v>6</v>
      </c>
      <c r="O63" s="32">
        <f>COUNTA(tblTechnologies[[#This Row],[amazake]:[wood]])</f>
        <v>6</v>
      </c>
      <c r="P63" s="14"/>
      <c r="Q63" s="14"/>
      <c r="R63" s="14"/>
      <c r="S63" s="14"/>
      <c r="T63" s="14"/>
      <c r="U63" s="14"/>
      <c r="V63" s="14"/>
      <c r="W63" s="14">
        <v>10</v>
      </c>
      <c r="X63" s="14"/>
      <c r="Y63" s="14"/>
      <c r="Z63" s="14"/>
      <c r="AA63" s="14"/>
      <c r="AB63" s="14"/>
      <c r="AC63" s="14"/>
      <c r="AD63" s="14">
        <v>300</v>
      </c>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v>5</v>
      </c>
      <c r="BU63" s="14"/>
      <c r="BV63" s="14"/>
      <c r="BW63" s="14"/>
      <c r="BX63" s="14"/>
      <c r="BY63" s="14">
        <v>2</v>
      </c>
      <c r="BZ63" s="14"/>
      <c r="CA63" s="14"/>
      <c r="CB63" s="14"/>
      <c r="CC63" s="14">
        <v>15</v>
      </c>
      <c r="CD63" s="14"/>
      <c r="CE63" s="14"/>
      <c r="CF63" s="14"/>
      <c r="CG63" s="14"/>
      <c r="CH63" s="14"/>
      <c r="CI63" s="14"/>
      <c r="CJ63" s="14"/>
      <c r="CK63" s="14"/>
      <c r="CL63" s="14"/>
      <c r="CM63" s="14">
        <v>20</v>
      </c>
      <c r="CN63" s="14"/>
      <c r="CO63" s="14"/>
      <c r="CP63" s="14"/>
      <c r="CQ63" s="14"/>
      <c r="CR63" s="14"/>
      <c r="CS63" s="14"/>
      <c r="CT63" s="14"/>
      <c r="CU63" s="14"/>
    </row>
    <row r="64" spans="1:99" ht="58" hidden="1">
      <c r="A64" s="2" t="s">
        <v>2218</v>
      </c>
      <c r="B64" s="2" t="s">
        <v>885</v>
      </c>
      <c r="C64" s="2" t="s">
        <v>802</v>
      </c>
      <c r="D64" s="2" t="str">
        <f>_xlfn.XLOOKUP(tblTechnologies[[#This Row],[TechnologyID]],tblTargets[TargetID],tblTargets[DisplayName],"")</f>
        <v>Tailor - Salamander Velour</v>
      </c>
      <c r="E64" s="2" t="b">
        <v>1</v>
      </c>
      <c r="F64" s="2" t="s">
        <v>132</v>
      </c>
      <c r="G64" s="19" t="s">
        <v>1235</v>
      </c>
      <c r="H64" s="14" t="s">
        <v>739</v>
      </c>
      <c r="I64" s="14" t="s">
        <v>1236</v>
      </c>
      <c r="J64" s="14" t="s">
        <v>1237</v>
      </c>
      <c r="K64" s="14" t="s">
        <v>1238</v>
      </c>
      <c r="L64" s="14" t="s">
        <v>1239</v>
      </c>
      <c r="M64" s="15" t="s">
        <v>1240</v>
      </c>
      <c r="N64" s="32">
        <f>IF(tblTechnologies[[#This Row],[costtext]]="", 0, LEN(tblTechnologies[[#This Row],[costtext]]) - LEN(SUBSTITUTE(tblTechnologies[[#This Row],[costtext]], ",", "")) + 1)</f>
        <v>6</v>
      </c>
      <c r="O64" s="32">
        <f>COUNTA(tblTechnologies[[#This Row],[amazake]:[wood]])</f>
        <v>6</v>
      </c>
      <c r="P64" s="14"/>
      <c r="Q64" s="14"/>
      <c r="R64" s="14"/>
      <c r="S64" s="14"/>
      <c r="T64" s="14"/>
      <c r="U64" s="14"/>
      <c r="V64" s="14"/>
      <c r="W64" s="14"/>
      <c r="X64" s="14"/>
      <c r="Y64" s="14"/>
      <c r="Z64" s="14"/>
      <c r="AA64" s="14"/>
      <c r="AB64" s="14"/>
      <c r="AC64" s="14"/>
      <c r="AD64" s="14">
        <v>400</v>
      </c>
      <c r="AE64" s="14"/>
      <c r="AF64" s="14"/>
      <c r="AG64" s="14"/>
      <c r="AH64" s="14"/>
      <c r="AI64" s="14"/>
      <c r="AJ64" s="14"/>
      <c r="AK64" s="14"/>
      <c r="AL64" s="14"/>
      <c r="AM64" s="14"/>
      <c r="AN64" s="14"/>
      <c r="AO64" s="14"/>
      <c r="AP64" s="14">
        <v>10</v>
      </c>
      <c r="AQ64" s="14"/>
      <c r="AR64" s="14"/>
      <c r="AS64" s="14"/>
      <c r="AT64" s="14">
        <v>15</v>
      </c>
      <c r="AU64" s="14"/>
      <c r="AV64" s="14"/>
      <c r="AW64" s="14">
        <v>6</v>
      </c>
      <c r="AX64" s="14"/>
      <c r="AY64" s="14"/>
      <c r="AZ64" s="14"/>
      <c r="BA64" s="14"/>
      <c r="BB64" s="14"/>
      <c r="BC64" s="14">
        <v>15</v>
      </c>
      <c r="BD64" s="14"/>
      <c r="BE64" s="14"/>
      <c r="BF64" s="14"/>
      <c r="BG64" s="14"/>
      <c r="BH64" s="14"/>
      <c r="BI64" s="14"/>
      <c r="BJ64" s="14"/>
      <c r="BK64" s="14"/>
      <c r="BL64" s="14"/>
      <c r="BM64" s="14"/>
      <c r="BN64" s="14"/>
      <c r="BO64" s="14"/>
      <c r="BP64" s="14"/>
      <c r="BQ64" s="14"/>
      <c r="BR64" s="14"/>
      <c r="BS64" s="14"/>
      <c r="BT64" s="14"/>
      <c r="BU64" s="14"/>
      <c r="BV64" s="14"/>
      <c r="BW64" s="14"/>
      <c r="BX64" s="14"/>
      <c r="BY64" s="14">
        <v>3</v>
      </c>
      <c r="BZ64" s="14"/>
      <c r="CA64" s="14"/>
      <c r="CB64" s="14"/>
      <c r="CC64" s="14"/>
      <c r="CD64" s="14"/>
      <c r="CE64" s="14"/>
      <c r="CF64" s="14"/>
      <c r="CG64" s="14"/>
      <c r="CH64" s="14"/>
      <c r="CI64" s="14"/>
      <c r="CJ64" s="14"/>
      <c r="CK64" s="14"/>
      <c r="CL64" s="14"/>
      <c r="CM64" s="14"/>
      <c r="CN64" s="14"/>
      <c r="CO64" s="14"/>
      <c r="CP64" s="14"/>
      <c r="CQ64" s="14"/>
      <c r="CR64" s="14"/>
      <c r="CS64" s="14"/>
      <c r="CT64" s="14"/>
      <c r="CU64" s="14"/>
    </row>
    <row r="65" spans="1:99" ht="29" hidden="1">
      <c r="A65" s="2" t="s">
        <v>2220</v>
      </c>
      <c r="B65" s="2" t="s">
        <v>886</v>
      </c>
      <c r="C65" s="2" t="s">
        <v>803</v>
      </c>
      <c r="D65" s="2" t="str">
        <f>_xlfn.XLOOKUP(tblTechnologies[[#This Row],[TechnologyID]],tblTargets[TargetID],tblTargets[DisplayName],"")</f>
        <v>Tailor - Armor For A Hero Lvl 1</v>
      </c>
      <c r="E65" s="2" t="b">
        <v>1</v>
      </c>
      <c r="F65" s="2" t="s">
        <v>132</v>
      </c>
      <c r="G65" s="19" t="s">
        <v>1241</v>
      </c>
      <c r="H65" s="14" t="s">
        <v>739</v>
      </c>
      <c r="I65" s="14" t="s">
        <v>1225</v>
      </c>
      <c r="J65" s="14" t="s">
        <v>1226</v>
      </c>
      <c r="K65" s="14" t="s">
        <v>1242</v>
      </c>
      <c r="L65" s="14"/>
      <c r="M65" s="15" t="s">
        <v>1243</v>
      </c>
      <c r="N65" s="32">
        <f>IF(tblTechnologies[[#This Row],[costtext]]="", 0, LEN(tblTechnologies[[#This Row],[costtext]]) - LEN(SUBSTITUTE(tblTechnologies[[#This Row],[costtext]], ",", "")) + 1)</f>
        <v>6</v>
      </c>
      <c r="O65" s="32">
        <f>COUNTA(tblTechnologies[[#This Row],[amazake]:[wood]])</f>
        <v>6</v>
      </c>
      <c r="P65" s="14"/>
      <c r="Q65" s="14"/>
      <c r="R65" s="14"/>
      <c r="S65" s="14"/>
      <c r="T65" s="14"/>
      <c r="U65" s="14"/>
      <c r="V65" s="14"/>
      <c r="W65" s="14"/>
      <c r="X65" s="14"/>
      <c r="Y65" s="14"/>
      <c r="Z65" s="14"/>
      <c r="AA65" s="14"/>
      <c r="AB65" s="14"/>
      <c r="AC65" s="14"/>
      <c r="AD65" s="14">
        <v>500</v>
      </c>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v>50</v>
      </c>
      <c r="BG65" s="14"/>
      <c r="BH65" s="14"/>
      <c r="BI65" s="14"/>
      <c r="BJ65" s="14"/>
      <c r="BK65" s="14"/>
      <c r="BL65" s="14"/>
      <c r="BM65" s="14">
        <v>30</v>
      </c>
      <c r="BN65" s="14"/>
      <c r="BO65" s="14"/>
      <c r="BP65" s="14"/>
      <c r="BQ65" s="14"/>
      <c r="BR65" s="14"/>
      <c r="BS65" s="14"/>
      <c r="BT65" s="14"/>
      <c r="BU65" s="14"/>
      <c r="BV65" s="14"/>
      <c r="BW65" s="14"/>
      <c r="BX65" s="14"/>
      <c r="BY65" s="14">
        <v>3</v>
      </c>
      <c r="BZ65" s="14"/>
      <c r="CA65" s="14"/>
      <c r="CB65" s="14"/>
      <c r="CC65" s="14">
        <v>10</v>
      </c>
      <c r="CD65" s="14"/>
      <c r="CE65" s="14"/>
      <c r="CF65" s="14"/>
      <c r="CG65" s="14"/>
      <c r="CH65" s="14"/>
      <c r="CI65" s="14"/>
      <c r="CJ65" s="14"/>
      <c r="CK65" s="14"/>
      <c r="CL65" s="14"/>
      <c r="CM65" s="14">
        <v>5</v>
      </c>
      <c r="CN65" s="14"/>
      <c r="CO65" s="14"/>
      <c r="CP65" s="14"/>
      <c r="CQ65" s="14"/>
      <c r="CR65" s="14"/>
      <c r="CS65" s="14"/>
      <c r="CT65" s="14"/>
      <c r="CU65" s="14"/>
    </row>
    <row r="66" spans="1:99" ht="29" hidden="1">
      <c r="A66" s="2" t="s">
        <v>2222</v>
      </c>
      <c r="B66" s="2" t="s">
        <v>887</v>
      </c>
      <c r="C66" s="2" t="s">
        <v>804</v>
      </c>
      <c r="D66" s="2" t="str">
        <f>_xlfn.XLOOKUP(tblTechnologies[[#This Row],[TechnologyID]],tblTargets[TargetID],tblTargets[DisplayName],"")</f>
        <v>Tailor - Armor For A Hero Lvl 2</v>
      </c>
      <c r="E66" s="2" t="b">
        <v>1</v>
      </c>
      <c r="F66" s="2" t="s">
        <v>132</v>
      </c>
      <c r="G66" s="19" t="s">
        <v>1244</v>
      </c>
      <c r="H66" s="14" t="s">
        <v>739</v>
      </c>
      <c r="I66" s="14" t="s">
        <v>1245</v>
      </c>
      <c r="J66" s="14" t="s">
        <v>1246</v>
      </c>
      <c r="K66" s="14" t="s">
        <v>1247</v>
      </c>
      <c r="L66" s="14"/>
      <c r="M66" s="15" t="s">
        <v>1248</v>
      </c>
      <c r="N66" s="32">
        <f>IF(tblTechnologies[[#This Row],[costtext]]="", 0, LEN(tblTechnologies[[#This Row],[costtext]]) - LEN(SUBSTITUTE(tblTechnologies[[#This Row],[costtext]], ",", "")) + 1)</f>
        <v>6</v>
      </c>
      <c r="O66" s="32">
        <f>COUNTA(tblTechnologies[[#This Row],[amazake]:[wood]])</f>
        <v>6</v>
      </c>
      <c r="P66" s="14"/>
      <c r="Q66" s="14"/>
      <c r="R66" s="14"/>
      <c r="S66" s="14"/>
      <c r="T66" s="14"/>
      <c r="U66" s="14"/>
      <c r="V66" s="14"/>
      <c r="W66" s="14">
        <v>20</v>
      </c>
      <c r="X66" s="14"/>
      <c r="Y66" s="14"/>
      <c r="Z66" s="14"/>
      <c r="AA66" s="14"/>
      <c r="AB66" s="14"/>
      <c r="AC66" s="14"/>
      <c r="AD66" s="14">
        <v>1000</v>
      </c>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v>50</v>
      </c>
      <c r="BJ66" s="14"/>
      <c r="BK66" s="14"/>
      <c r="BL66" s="14"/>
      <c r="BM66" s="14"/>
      <c r="BN66" s="14"/>
      <c r="BO66" s="14"/>
      <c r="BP66" s="14"/>
      <c r="BQ66" s="14"/>
      <c r="BR66" s="14"/>
      <c r="BS66" s="14"/>
      <c r="BT66" s="14"/>
      <c r="BU66" s="14"/>
      <c r="BV66" s="14"/>
      <c r="BW66" s="14"/>
      <c r="BX66" s="14"/>
      <c r="BY66" s="14">
        <v>5</v>
      </c>
      <c r="BZ66" s="14"/>
      <c r="CA66" s="14"/>
      <c r="CB66" s="14"/>
      <c r="CC66" s="14">
        <v>20</v>
      </c>
      <c r="CD66" s="14"/>
      <c r="CE66" s="14"/>
      <c r="CF66" s="14"/>
      <c r="CG66" s="14"/>
      <c r="CH66" s="14"/>
      <c r="CI66" s="14"/>
      <c r="CJ66" s="14"/>
      <c r="CK66" s="14"/>
      <c r="CL66" s="14"/>
      <c r="CM66" s="14">
        <v>10</v>
      </c>
      <c r="CN66" s="14"/>
      <c r="CO66" s="14"/>
      <c r="CP66" s="14"/>
      <c r="CQ66" s="14"/>
      <c r="CR66" s="14"/>
      <c r="CS66" s="14"/>
      <c r="CT66" s="14"/>
      <c r="CU66" s="14"/>
    </row>
    <row r="67" spans="1:99" ht="29" hidden="1">
      <c r="A67" s="2" t="s">
        <v>2224</v>
      </c>
      <c r="B67" s="2" t="s">
        <v>888</v>
      </c>
      <c r="C67" s="2" t="s">
        <v>805</v>
      </c>
      <c r="D67" s="2" t="str">
        <f>_xlfn.XLOOKUP(tblTechnologies[[#This Row],[TechnologyID]],tblTargets[TargetID],tblTargets[DisplayName],"")</f>
        <v>Tailor - Armor For A Hero Lvl 3</v>
      </c>
      <c r="E67" s="2" t="b">
        <v>1</v>
      </c>
      <c r="F67" s="2" t="s">
        <v>132</v>
      </c>
      <c r="G67" s="19" t="s">
        <v>1249</v>
      </c>
      <c r="H67" s="14" t="s">
        <v>739</v>
      </c>
      <c r="I67" s="14" t="s">
        <v>1250</v>
      </c>
      <c r="J67" s="14" t="s">
        <v>1251</v>
      </c>
      <c r="K67" s="14" t="s">
        <v>1252</v>
      </c>
      <c r="L67" s="14"/>
      <c r="M67" s="15" t="s">
        <v>1253</v>
      </c>
      <c r="N67" s="32">
        <f>IF(tblTechnologies[[#This Row],[costtext]]="", 0, LEN(tblTechnologies[[#This Row],[costtext]]) - LEN(SUBSTITUTE(tblTechnologies[[#This Row],[costtext]], ",", "")) + 1)</f>
        <v>6</v>
      </c>
      <c r="O67" s="32">
        <f>COUNTA(tblTechnologies[[#This Row],[amazake]:[wood]])</f>
        <v>6</v>
      </c>
      <c r="P67" s="14"/>
      <c r="Q67" s="14"/>
      <c r="R67" s="14"/>
      <c r="S67" s="14"/>
      <c r="T67" s="14"/>
      <c r="U67" s="14"/>
      <c r="V67" s="14"/>
      <c r="W67" s="14">
        <v>30</v>
      </c>
      <c r="X67" s="14"/>
      <c r="Y67" s="14"/>
      <c r="Z67" s="14"/>
      <c r="AA67" s="14"/>
      <c r="AB67" s="14"/>
      <c r="AC67" s="14"/>
      <c r="AD67" s="14">
        <v>1500</v>
      </c>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v>75</v>
      </c>
      <c r="BJ67" s="14"/>
      <c r="BK67" s="14"/>
      <c r="BL67" s="14"/>
      <c r="BM67" s="14"/>
      <c r="BN67" s="14"/>
      <c r="BO67" s="14"/>
      <c r="BP67" s="14"/>
      <c r="BQ67" s="14"/>
      <c r="BR67" s="14"/>
      <c r="BS67" s="14"/>
      <c r="BT67" s="14"/>
      <c r="BU67" s="14"/>
      <c r="BV67" s="14"/>
      <c r="BW67" s="14"/>
      <c r="BX67" s="14"/>
      <c r="BY67" s="14">
        <v>7</v>
      </c>
      <c r="BZ67" s="14"/>
      <c r="CA67" s="14"/>
      <c r="CB67" s="14"/>
      <c r="CC67" s="14">
        <v>30</v>
      </c>
      <c r="CD67" s="14"/>
      <c r="CE67" s="14"/>
      <c r="CF67" s="14"/>
      <c r="CG67" s="14"/>
      <c r="CH67" s="14"/>
      <c r="CI67" s="14"/>
      <c r="CJ67" s="14"/>
      <c r="CK67" s="14"/>
      <c r="CL67" s="14"/>
      <c r="CM67" s="14">
        <v>15</v>
      </c>
      <c r="CN67" s="14"/>
      <c r="CO67" s="14"/>
      <c r="CP67" s="14"/>
      <c r="CQ67" s="14"/>
      <c r="CR67" s="14"/>
      <c r="CS67" s="14"/>
      <c r="CT67" s="14"/>
      <c r="CU67" s="14"/>
    </row>
    <row r="68" spans="1:99" ht="72.5" hidden="1">
      <c r="A68" s="2" t="s">
        <v>2226</v>
      </c>
      <c r="B68" s="2" t="s">
        <v>889</v>
      </c>
      <c r="C68" s="2" t="s">
        <v>806</v>
      </c>
      <c r="D68" s="2" t="str">
        <f>_xlfn.XLOOKUP(tblTechnologies[[#This Row],[TechnologyID]],tblTargets[TargetID],tblTargets[DisplayName],"")</f>
        <v>Tailor - Armor For A Hero Lvl 4</v>
      </c>
      <c r="E68" s="2" t="b">
        <v>1</v>
      </c>
      <c r="F68" s="2" t="s">
        <v>132</v>
      </c>
      <c r="G68" s="19" t="s">
        <v>1254</v>
      </c>
      <c r="H68" s="14" t="s">
        <v>739</v>
      </c>
      <c r="I68" s="14" t="s">
        <v>1255</v>
      </c>
      <c r="J68" s="14" t="s">
        <v>1256</v>
      </c>
      <c r="K68" s="14" t="s">
        <v>1257</v>
      </c>
      <c r="L68" s="14" t="s">
        <v>1258</v>
      </c>
      <c r="M68" s="15" t="s">
        <v>1259</v>
      </c>
      <c r="N68" s="32">
        <f>IF(tblTechnologies[[#This Row],[costtext]]="", 0, LEN(tblTechnologies[[#This Row],[costtext]]) - LEN(SUBSTITUTE(tblTechnologies[[#This Row],[costtext]], ",", "")) + 1)</f>
        <v>7</v>
      </c>
      <c r="O68" s="32">
        <f>COUNTA(tblTechnologies[[#This Row],[amazake]:[wood]])</f>
        <v>7</v>
      </c>
      <c r="P68" s="14"/>
      <c r="Q68" s="14"/>
      <c r="R68" s="14"/>
      <c r="S68" s="14"/>
      <c r="T68" s="14"/>
      <c r="U68" s="14"/>
      <c r="V68" s="14"/>
      <c r="W68" s="14">
        <v>30</v>
      </c>
      <c r="X68" s="14"/>
      <c r="Y68" s="14"/>
      <c r="Z68" s="14"/>
      <c r="AA68" s="14"/>
      <c r="AB68" s="14"/>
      <c r="AC68" s="14"/>
      <c r="AD68" s="14">
        <v>500</v>
      </c>
      <c r="AE68" s="14"/>
      <c r="AF68" s="14"/>
      <c r="AG68" s="14"/>
      <c r="AH68" s="14"/>
      <c r="AI68" s="14"/>
      <c r="AJ68" s="14"/>
      <c r="AK68" s="14"/>
      <c r="AL68" s="14"/>
      <c r="AM68" s="14"/>
      <c r="AN68" s="14"/>
      <c r="AO68" s="14"/>
      <c r="AP68" s="14"/>
      <c r="AQ68" s="14"/>
      <c r="AR68" s="14"/>
      <c r="AS68" s="14"/>
      <c r="AT68" s="14">
        <v>20</v>
      </c>
      <c r="AU68" s="14"/>
      <c r="AV68" s="14"/>
      <c r="AW68" s="14"/>
      <c r="AX68" s="14"/>
      <c r="AY68" s="14"/>
      <c r="AZ68" s="14"/>
      <c r="BA68" s="14"/>
      <c r="BB68" s="14">
        <v>5</v>
      </c>
      <c r="BC68" s="14"/>
      <c r="BD68" s="14"/>
      <c r="BE68" s="14"/>
      <c r="BF68" s="14"/>
      <c r="BG68" s="14"/>
      <c r="BH68" s="14"/>
      <c r="BI68" s="14"/>
      <c r="BJ68" s="14"/>
      <c r="BK68" s="14"/>
      <c r="BL68" s="14"/>
      <c r="BM68" s="14"/>
      <c r="BN68" s="14"/>
      <c r="BO68" s="14"/>
      <c r="BP68" s="14"/>
      <c r="BQ68" s="14"/>
      <c r="BR68" s="14"/>
      <c r="BS68" s="14"/>
      <c r="BT68" s="14"/>
      <c r="BU68" s="14"/>
      <c r="BV68" s="14"/>
      <c r="BW68" s="14"/>
      <c r="BX68" s="14"/>
      <c r="BY68" s="14">
        <v>3</v>
      </c>
      <c r="BZ68" s="14"/>
      <c r="CA68" s="14"/>
      <c r="CB68" s="14"/>
      <c r="CC68" s="14"/>
      <c r="CD68" s="14"/>
      <c r="CE68" s="14"/>
      <c r="CF68" s="14"/>
      <c r="CG68" s="14"/>
      <c r="CH68" s="14"/>
      <c r="CI68" s="14"/>
      <c r="CJ68" s="14"/>
      <c r="CK68" s="14"/>
      <c r="CL68" s="14"/>
      <c r="CM68" s="14"/>
      <c r="CN68" s="14"/>
      <c r="CO68" s="14"/>
      <c r="CP68" s="14">
        <v>20</v>
      </c>
      <c r="CQ68" s="14"/>
      <c r="CR68" s="14">
        <v>6</v>
      </c>
      <c r="CS68" s="14"/>
      <c r="CT68" s="14"/>
      <c r="CU68" s="14"/>
    </row>
    <row r="69" spans="1:99" ht="58">
      <c r="A69" s="2" t="s">
        <v>2228</v>
      </c>
      <c r="B69" s="2" t="s">
        <v>890</v>
      </c>
      <c r="C69" s="2" t="s">
        <v>807</v>
      </c>
      <c r="D69" s="2" t="str">
        <f>_xlfn.XLOOKUP(tblTechnologies[[#This Row],[TechnologyID]],tblTargets[TargetID],tblTargets[DisplayName],"")</f>
        <v>Tailor - Armor For A Hero Lvl 4+</v>
      </c>
      <c r="E69" s="2" t="b">
        <v>1</v>
      </c>
      <c r="F69" s="2" t="s">
        <v>132</v>
      </c>
      <c r="G69" s="19" t="s">
        <v>1260</v>
      </c>
      <c r="H69" s="14" t="s">
        <v>739</v>
      </c>
      <c r="I69" s="14" t="s">
        <v>1261</v>
      </c>
      <c r="J69" s="14" t="s">
        <v>1262</v>
      </c>
      <c r="K69" s="14" t="s">
        <v>1263</v>
      </c>
      <c r="L69" s="14" t="s">
        <v>1264</v>
      </c>
      <c r="M69" s="15" t="s">
        <v>1265</v>
      </c>
      <c r="N69" s="32">
        <f>IF(tblTechnologies[[#This Row],[costtext]]="", 0, LEN(tblTechnologies[[#This Row],[costtext]]) - LEN(SUBSTITUTE(tblTechnologies[[#This Row],[costtext]], ",", "")) + 1)</f>
        <v>9</v>
      </c>
      <c r="O69" s="32">
        <f>COUNTA(tblTechnologies[[#This Row],[amazake]:[wood]])</f>
        <v>9</v>
      </c>
      <c r="P69" s="14"/>
      <c r="Q69" s="14"/>
      <c r="R69" s="14">
        <v>1</v>
      </c>
      <c r="S69" s="14"/>
      <c r="T69" s="14"/>
      <c r="U69" s="14"/>
      <c r="V69" s="14"/>
      <c r="W69" s="14">
        <v>20</v>
      </c>
      <c r="X69" s="14"/>
      <c r="Y69" s="14"/>
      <c r="Z69" s="14"/>
      <c r="AA69" s="14"/>
      <c r="AB69" s="14"/>
      <c r="AC69" s="14"/>
      <c r="AD69" s="14">
        <v>1000</v>
      </c>
      <c r="AE69" s="14"/>
      <c r="AF69" s="14"/>
      <c r="AG69" s="14"/>
      <c r="AH69" s="14"/>
      <c r="AI69" s="14"/>
      <c r="AJ69" s="14"/>
      <c r="AK69" s="14"/>
      <c r="AL69" s="14"/>
      <c r="AM69" s="14"/>
      <c r="AN69" s="14"/>
      <c r="AO69" s="14"/>
      <c r="AP69" s="14"/>
      <c r="AQ69" s="14"/>
      <c r="AR69" s="14"/>
      <c r="AS69" s="14"/>
      <c r="AT69" s="14">
        <v>10</v>
      </c>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v>10</v>
      </c>
      <c r="BT69" s="14"/>
      <c r="BU69" s="14">
        <v>25</v>
      </c>
      <c r="BV69" s="14">
        <v>1</v>
      </c>
      <c r="BW69" s="14"/>
      <c r="BX69" s="14"/>
      <c r="BY69" s="14">
        <v>5</v>
      </c>
      <c r="BZ69" s="14"/>
      <c r="CA69" s="14"/>
      <c r="CB69" s="14"/>
      <c r="CC69" s="14"/>
      <c r="CD69" s="14"/>
      <c r="CE69" s="14"/>
      <c r="CF69" s="14"/>
      <c r="CG69" s="14"/>
      <c r="CH69" s="14"/>
      <c r="CI69" s="14"/>
      <c r="CJ69" s="14"/>
      <c r="CK69" s="14"/>
      <c r="CL69" s="14"/>
      <c r="CM69" s="14"/>
      <c r="CN69" s="14"/>
      <c r="CO69" s="14"/>
      <c r="CP69" s="14">
        <v>20</v>
      </c>
      <c r="CQ69" s="14"/>
      <c r="CR69" s="14"/>
      <c r="CS69" s="14"/>
      <c r="CT69" s="14"/>
      <c r="CU69" s="14"/>
    </row>
    <row r="70" spans="1:99" ht="43.5" hidden="1">
      <c r="A70" s="2" t="s">
        <v>2230</v>
      </c>
      <c r="B70" s="2" t="s">
        <v>891</v>
      </c>
      <c r="C70" s="2" t="s">
        <v>808</v>
      </c>
      <c r="D70" s="2" t="str">
        <f>_xlfn.XLOOKUP(tblTechnologies[[#This Row],[TechnologyID]],tblTargets[TargetID],tblTargets[DisplayName],"")</f>
        <v>Tailor - Strong Stitch</v>
      </c>
      <c r="E70" s="2" t="b">
        <v>1</v>
      </c>
      <c r="F70" s="2" t="s">
        <v>132</v>
      </c>
      <c r="G70" s="19" t="s">
        <v>1266</v>
      </c>
      <c r="H70" s="14" t="s">
        <v>739</v>
      </c>
      <c r="I70" s="14" t="s">
        <v>1225</v>
      </c>
      <c r="J70" s="14" t="s">
        <v>1226</v>
      </c>
      <c r="K70" s="14" t="s">
        <v>1267</v>
      </c>
      <c r="L70" s="14" t="s">
        <v>1025</v>
      </c>
      <c r="M70" s="15" t="s">
        <v>1268</v>
      </c>
      <c r="N70" s="32">
        <f>IF(tblTechnologies[[#This Row],[costtext]]="", 0, LEN(tblTechnologies[[#This Row],[costtext]]) - LEN(SUBSTITUTE(tblTechnologies[[#This Row],[costtext]], ",", "")) + 1)</f>
        <v>5</v>
      </c>
      <c r="O70" s="32">
        <f>COUNTA(tblTechnologies[[#This Row],[amazake]:[wood]])</f>
        <v>5</v>
      </c>
      <c r="P70" s="14"/>
      <c r="Q70" s="14"/>
      <c r="R70" s="14"/>
      <c r="S70" s="14"/>
      <c r="T70" s="14"/>
      <c r="U70" s="14"/>
      <c r="V70" s="14"/>
      <c r="W70" s="14">
        <v>10</v>
      </c>
      <c r="X70" s="14"/>
      <c r="Y70" s="14"/>
      <c r="Z70" s="14"/>
      <c r="AA70" s="14"/>
      <c r="AB70" s="14"/>
      <c r="AC70" s="14"/>
      <c r="AD70" s="14">
        <v>300</v>
      </c>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v>1</v>
      </c>
      <c r="BZ70" s="14"/>
      <c r="CA70" s="14"/>
      <c r="CB70" s="14"/>
      <c r="CC70" s="14">
        <v>10</v>
      </c>
      <c r="CD70" s="14"/>
      <c r="CE70" s="14"/>
      <c r="CF70" s="14"/>
      <c r="CG70" s="14"/>
      <c r="CH70" s="14"/>
      <c r="CI70" s="14"/>
      <c r="CJ70" s="14"/>
      <c r="CK70" s="14"/>
      <c r="CL70" s="14"/>
      <c r="CM70" s="14">
        <v>10</v>
      </c>
      <c r="CN70" s="14"/>
      <c r="CO70" s="14"/>
      <c r="CP70" s="14"/>
      <c r="CQ70" s="14"/>
      <c r="CR70" s="14"/>
      <c r="CS70" s="14"/>
      <c r="CT70" s="14"/>
      <c r="CU70" s="14"/>
    </row>
    <row r="71" spans="1:99" ht="58" hidden="1">
      <c r="A71" s="2" t="s">
        <v>2232</v>
      </c>
      <c r="B71" s="2" t="s">
        <v>892</v>
      </c>
      <c r="C71" s="2" t="s">
        <v>809</v>
      </c>
      <c r="D71" s="2" t="str">
        <f>_xlfn.XLOOKUP(tblTechnologies[[#This Row],[TechnologyID]],tblTargets[TargetID],tblTargets[DisplayName],"")</f>
        <v>Tailor - Strong Rivets</v>
      </c>
      <c r="E71" s="2" t="b">
        <v>1</v>
      </c>
      <c r="F71" s="2" t="s">
        <v>132</v>
      </c>
      <c r="G71" s="19" t="s">
        <v>1269</v>
      </c>
      <c r="H71" s="14" t="s">
        <v>739</v>
      </c>
      <c r="I71" s="14" t="s">
        <v>1245</v>
      </c>
      <c r="J71" s="14" t="s">
        <v>1246</v>
      </c>
      <c r="K71" s="14" t="s">
        <v>1270</v>
      </c>
      <c r="L71" s="14" t="s">
        <v>1025</v>
      </c>
      <c r="M71" s="15" t="s">
        <v>1271</v>
      </c>
      <c r="N71" s="32">
        <f>IF(tblTechnologies[[#This Row],[costtext]]="", 0, LEN(tblTechnologies[[#This Row],[costtext]]) - LEN(SUBSTITUTE(tblTechnologies[[#This Row],[costtext]], ",", "")) + 1)</f>
        <v>5</v>
      </c>
      <c r="O71" s="32">
        <f>COUNTA(tblTechnologies[[#This Row],[amazake]:[wood]])</f>
        <v>5</v>
      </c>
      <c r="P71" s="14"/>
      <c r="Q71" s="14"/>
      <c r="R71" s="14"/>
      <c r="S71" s="14"/>
      <c r="T71" s="14"/>
      <c r="U71" s="14"/>
      <c r="V71" s="14"/>
      <c r="W71" s="14">
        <v>20</v>
      </c>
      <c r="X71" s="14"/>
      <c r="Y71" s="14"/>
      <c r="Z71" s="14"/>
      <c r="AA71" s="14"/>
      <c r="AB71" s="14"/>
      <c r="AC71" s="14"/>
      <c r="AD71" s="14">
        <v>500</v>
      </c>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v>30</v>
      </c>
      <c r="BG71" s="14"/>
      <c r="BH71" s="14"/>
      <c r="BI71" s="14"/>
      <c r="BJ71" s="14"/>
      <c r="BK71" s="14"/>
      <c r="BL71" s="14"/>
      <c r="BM71" s="14"/>
      <c r="BN71" s="14"/>
      <c r="BO71" s="14"/>
      <c r="BP71" s="14"/>
      <c r="BQ71" s="14"/>
      <c r="BR71" s="14"/>
      <c r="BS71" s="14"/>
      <c r="BT71" s="14"/>
      <c r="BU71" s="14"/>
      <c r="BV71" s="14"/>
      <c r="BW71" s="14"/>
      <c r="BX71" s="14"/>
      <c r="BY71" s="14">
        <v>2</v>
      </c>
      <c r="BZ71" s="14"/>
      <c r="CA71" s="14"/>
      <c r="CB71" s="14"/>
      <c r="CC71" s="14"/>
      <c r="CD71" s="14"/>
      <c r="CE71" s="14"/>
      <c r="CF71" s="14"/>
      <c r="CG71" s="14"/>
      <c r="CH71" s="14"/>
      <c r="CI71" s="14"/>
      <c r="CJ71" s="14"/>
      <c r="CK71" s="14"/>
      <c r="CL71" s="14"/>
      <c r="CM71" s="14">
        <v>10</v>
      </c>
      <c r="CN71" s="14"/>
      <c r="CO71" s="14"/>
      <c r="CP71" s="14"/>
      <c r="CQ71" s="14"/>
      <c r="CR71" s="14"/>
      <c r="CS71" s="14"/>
      <c r="CT71" s="14"/>
      <c r="CU71" s="14"/>
    </row>
    <row r="72" spans="1:99" ht="43.5" hidden="1">
      <c r="A72" s="2" t="s">
        <v>2234</v>
      </c>
      <c r="B72" s="2" t="s">
        <v>893</v>
      </c>
      <c r="C72" s="2" t="s">
        <v>810</v>
      </c>
      <c r="D72" s="2" t="str">
        <f>_xlfn.XLOOKUP(tblTechnologies[[#This Row],[TechnologyID]],tblTargets[TargetID],tblTargets[DisplayName],"")</f>
        <v>Tailor - Colored Threads</v>
      </c>
      <c r="E72" s="2" t="b">
        <v>1</v>
      </c>
      <c r="F72" s="2" t="s">
        <v>132</v>
      </c>
      <c r="G72" s="19" t="s">
        <v>1272</v>
      </c>
      <c r="H72" s="14" t="s">
        <v>739</v>
      </c>
      <c r="I72" s="14" t="s">
        <v>1225</v>
      </c>
      <c r="J72" s="14" t="s">
        <v>1226</v>
      </c>
      <c r="K72" s="14" t="s">
        <v>1273</v>
      </c>
      <c r="L72" s="14"/>
      <c r="M72" s="15" t="s">
        <v>1274</v>
      </c>
      <c r="N72" s="32">
        <f>IF(tblTechnologies[[#This Row],[costtext]]="", 0, LEN(tblTechnologies[[#This Row],[costtext]]) - LEN(SUBSTITUTE(tblTechnologies[[#This Row],[costtext]], ",", "")) + 1)</f>
        <v>7</v>
      </c>
      <c r="O72" s="32">
        <f>COUNTA(tblTechnologies[[#This Row],[amazake]:[wood]])</f>
        <v>7</v>
      </c>
      <c r="P72" s="14"/>
      <c r="Q72" s="14"/>
      <c r="R72" s="14"/>
      <c r="S72" s="14"/>
      <c r="T72" s="14"/>
      <c r="U72" s="14"/>
      <c r="V72" s="14"/>
      <c r="W72" s="14"/>
      <c r="X72" s="14"/>
      <c r="Y72" s="14"/>
      <c r="Z72" s="14"/>
      <c r="AA72" s="14"/>
      <c r="AB72" s="14"/>
      <c r="AC72" s="14">
        <v>10</v>
      </c>
      <c r="AD72" s="14">
        <v>300</v>
      </c>
      <c r="AE72" s="14"/>
      <c r="AF72" s="14"/>
      <c r="AG72" s="14"/>
      <c r="AH72" s="14"/>
      <c r="AI72" s="14"/>
      <c r="AJ72" s="14"/>
      <c r="AK72" s="14"/>
      <c r="AL72" s="14"/>
      <c r="AM72" s="14"/>
      <c r="AN72" s="14"/>
      <c r="AO72" s="14"/>
      <c r="AP72" s="14"/>
      <c r="AQ72" s="14"/>
      <c r="AR72" s="14"/>
      <c r="AS72" s="14"/>
      <c r="AT72" s="14">
        <v>5</v>
      </c>
      <c r="AU72" s="14"/>
      <c r="AV72" s="14">
        <v>10</v>
      </c>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v>10</v>
      </c>
      <c r="BU72" s="14"/>
      <c r="BV72" s="14"/>
      <c r="BW72" s="14"/>
      <c r="BX72" s="14"/>
      <c r="BY72" s="14">
        <v>2</v>
      </c>
      <c r="BZ72" s="14"/>
      <c r="CA72" s="14"/>
      <c r="CB72" s="14"/>
      <c r="CC72" s="14"/>
      <c r="CD72" s="14"/>
      <c r="CE72" s="14"/>
      <c r="CF72" s="14"/>
      <c r="CG72" s="14"/>
      <c r="CH72" s="14"/>
      <c r="CI72" s="14"/>
      <c r="CJ72" s="14"/>
      <c r="CK72" s="14"/>
      <c r="CL72" s="14"/>
      <c r="CM72" s="14">
        <v>10</v>
      </c>
      <c r="CN72" s="14"/>
      <c r="CO72" s="14"/>
      <c r="CP72" s="14"/>
      <c r="CQ72" s="14"/>
      <c r="CR72" s="14"/>
      <c r="CS72" s="14"/>
      <c r="CT72" s="14"/>
      <c r="CU72" s="14"/>
    </row>
    <row r="73" spans="1:99" ht="29" hidden="1">
      <c r="A73" s="2" t="s">
        <v>2236</v>
      </c>
      <c r="B73" s="2" t="s">
        <v>894</v>
      </c>
      <c r="C73" s="2" t="s">
        <v>811</v>
      </c>
      <c r="D73" s="2" t="str">
        <f>_xlfn.XLOOKUP(tblTechnologies[[#This Row],[TechnologyID]],tblTargets[TargetID],tblTargets[DisplayName],"")</f>
        <v>Train - Compound Engine</v>
      </c>
      <c r="E73" s="2" t="b">
        <v>1</v>
      </c>
      <c r="F73" s="2" t="s">
        <v>136</v>
      </c>
      <c r="G73" s="19" t="s">
        <v>1275</v>
      </c>
      <c r="H73" s="14" t="s">
        <v>740</v>
      </c>
      <c r="I73" s="14" t="s">
        <v>1276</v>
      </c>
      <c r="J73" s="14" t="s">
        <v>1277</v>
      </c>
      <c r="K73" s="14" t="s">
        <v>1278</v>
      </c>
      <c r="L73" s="14"/>
      <c r="M73" s="15" t="s">
        <v>1279</v>
      </c>
      <c r="N73" s="32">
        <f>IF(tblTechnologies[[#This Row],[costtext]]="", 0, LEN(tblTechnologies[[#This Row],[costtext]]) - LEN(SUBSTITUTE(tblTechnologies[[#This Row],[costtext]], ",", "")) + 1)</f>
        <v>5</v>
      </c>
      <c r="O73" s="32">
        <f>COUNTA(tblTechnologies[[#This Row],[amazake]:[wood]])</f>
        <v>5</v>
      </c>
      <c r="P73" s="14"/>
      <c r="Q73" s="14"/>
      <c r="R73" s="14"/>
      <c r="S73" s="14"/>
      <c r="T73" s="14"/>
      <c r="U73" s="14"/>
      <c r="V73" s="14"/>
      <c r="W73" s="14">
        <v>30</v>
      </c>
      <c r="X73" s="14"/>
      <c r="Y73" s="14"/>
      <c r="Z73" s="14"/>
      <c r="AA73" s="14"/>
      <c r="AB73" s="14"/>
      <c r="AC73" s="14"/>
      <c r="AD73" s="14">
        <v>1500</v>
      </c>
      <c r="AE73" s="14"/>
      <c r="AF73" s="14"/>
      <c r="AG73" s="14"/>
      <c r="AH73" s="14"/>
      <c r="AI73" s="14"/>
      <c r="AJ73" s="14"/>
      <c r="AK73" s="14"/>
      <c r="AL73" s="14"/>
      <c r="AM73" s="14"/>
      <c r="AN73" s="14"/>
      <c r="AO73" s="14">
        <v>50</v>
      </c>
      <c r="AP73" s="14"/>
      <c r="AQ73" s="14"/>
      <c r="AR73" s="14"/>
      <c r="AS73" s="14"/>
      <c r="AT73" s="14"/>
      <c r="AU73" s="14"/>
      <c r="AV73" s="14"/>
      <c r="AW73" s="14"/>
      <c r="AX73" s="14"/>
      <c r="AY73" s="14"/>
      <c r="AZ73" s="14"/>
      <c r="BA73" s="14"/>
      <c r="BB73" s="14">
        <v>30</v>
      </c>
      <c r="BC73" s="14"/>
      <c r="BD73" s="14"/>
      <c r="BE73" s="14"/>
      <c r="BF73" s="14"/>
      <c r="BG73" s="14"/>
      <c r="BH73" s="14"/>
      <c r="BI73" s="14"/>
      <c r="BJ73" s="14"/>
      <c r="BK73" s="14"/>
      <c r="BL73" s="14"/>
      <c r="BM73" s="14"/>
      <c r="BN73" s="14"/>
      <c r="BO73" s="14"/>
      <c r="BP73" s="14"/>
      <c r="BQ73" s="14"/>
      <c r="BR73" s="14"/>
      <c r="BS73" s="14"/>
      <c r="BT73" s="14"/>
      <c r="BU73" s="14"/>
      <c r="BV73" s="14"/>
      <c r="BW73" s="14"/>
      <c r="BX73" s="14"/>
      <c r="BY73" s="14">
        <v>4</v>
      </c>
      <c r="BZ73" s="14"/>
      <c r="CA73" s="14"/>
      <c r="CB73" s="14"/>
      <c r="CC73" s="14"/>
      <c r="CD73" s="14"/>
      <c r="CE73" s="14"/>
      <c r="CF73" s="14"/>
      <c r="CG73" s="14"/>
      <c r="CH73" s="14"/>
      <c r="CI73" s="14"/>
      <c r="CJ73" s="14"/>
      <c r="CK73" s="14"/>
      <c r="CL73" s="14"/>
      <c r="CM73" s="14"/>
      <c r="CN73" s="14"/>
      <c r="CO73" s="14"/>
      <c r="CP73" s="14"/>
      <c r="CQ73" s="14"/>
      <c r="CR73" s="14"/>
      <c r="CS73" s="14"/>
      <c r="CT73" s="14"/>
      <c r="CU73" s="14"/>
    </row>
    <row r="74" spans="1:99" ht="29" hidden="1">
      <c r="A74" s="2" t="s">
        <v>2238</v>
      </c>
      <c r="B74" s="2" t="s">
        <v>895</v>
      </c>
      <c r="C74" s="2" t="s">
        <v>812</v>
      </c>
      <c r="D74" s="2" t="str">
        <f>_xlfn.XLOOKUP(tblTechnologies[[#This Row],[TechnologyID]],tblTargets[TargetID],tblTargets[DisplayName],"")</f>
        <v>Train - Superheater</v>
      </c>
      <c r="E74" s="2" t="b">
        <v>1</v>
      </c>
      <c r="F74" s="2" t="s">
        <v>136</v>
      </c>
      <c r="G74" s="19" t="s">
        <v>1280</v>
      </c>
      <c r="H74" s="14" t="s">
        <v>740</v>
      </c>
      <c r="I74" s="14" t="s">
        <v>1276</v>
      </c>
      <c r="J74" s="14" t="s">
        <v>1277</v>
      </c>
      <c r="K74" s="14" t="s">
        <v>1281</v>
      </c>
      <c r="L74" s="14"/>
      <c r="M74" s="15" t="s">
        <v>1282</v>
      </c>
      <c r="N74" s="32">
        <f>IF(tblTechnologies[[#This Row],[costtext]]="", 0, LEN(tblTechnologies[[#This Row],[costtext]]) - LEN(SUBSTITUTE(tblTechnologies[[#This Row],[costtext]], ",", "")) + 1)</f>
        <v>6</v>
      </c>
      <c r="O74" s="32">
        <f>COUNTA(tblTechnologies[[#This Row],[amazake]:[wood]])</f>
        <v>6</v>
      </c>
      <c r="P74" s="14"/>
      <c r="Q74" s="14"/>
      <c r="R74" s="14"/>
      <c r="S74" s="14"/>
      <c r="T74" s="14"/>
      <c r="U74" s="14"/>
      <c r="V74" s="14"/>
      <c r="W74" s="14">
        <v>30</v>
      </c>
      <c r="X74" s="14"/>
      <c r="Y74" s="14"/>
      <c r="Z74" s="14">
        <v>30</v>
      </c>
      <c r="AA74" s="14"/>
      <c r="AB74" s="14"/>
      <c r="AC74" s="14"/>
      <c r="AD74" s="14">
        <v>1500</v>
      </c>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v>30</v>
      </c>
      <c r="BC74" s="14"/>
      <c r="BD74" s="14"/>
      <c r="BE74" s="14"/>
      <c r="BF74" s="14"/>
      <c r="BG74" s="14"/>
      <c r="BH74" s="14"/>
      <c r="BI74" s="14"/>
      <c r="BJ74" s="14"/>
      <c r="BK74" s="14"/>
      <c r="BL74" s="14"/>
      <c r="BM74" s="14"/>
      <c r="BN74" s="14"/>
      <c r="BO74" s="14"/>
      <c r="BP74" s="14"/>
      <c r="BQ74" s="14"/>
      <c r="BR74" s="14"/>
      <c r="BS74" s="14"/>
      <c r="BT74" s="14"/>
      <c r="BU74" s="14"/>
      <c r="BV74" s="14"/>
      <c r="BW74" s="14"/>
      <c r="BX74" s="14"/>
      <c r="BY74" s="14">
        <v>4</v>
      </c>
      <c r="BZ74" s="14"/>
      <c r="CA74" s="14"/>
      <c r="CB74" s="14"/>
      <c r="CC74" s="14"/>
      <c r="CD74" s="14"/>
      <c r="CE74" s="14"/>
      <c r="CF74" s="14"/>
      <c r="CG74" s="14">
        <v>500</v>
      </c>
      <c r="CH74" s="14"/>
      <c r="CI74" s="14"/>
      <c r="CJ74" s="14"/>
      <c r="CK74" s="14"/>
      <c r="CL74" s="14"/>
      <c r="CM74" s="14"/>
      <c r="CN74" s="14"/>
      <c r="CO74" s="14"/>
      <c r="CP74" s="14"/>
      <c r="CQ74" s="14"/>
      <c r="CR74" s="14"/>
      <c r="CS74" s="14"/>
      <c r="CT74" s="14"/>
      <c r="CU74" s="14"/>
    </row>
    <row r="75" spans="1:99" ht="29" hidden="1">
      <c r="A75" s="2" t="s">
        <v>2240</v>
      </c>
      <c r="B75" s="2" t="s">
        <v>896</v>
      </c>
      <c r="C75" s="2" t="s">
        <v>813</v>
      </c>
      <c r="D75" s="2" t="str">
        <f>_xlfn.XLOOKUP(tblTechnologies[[#This Row],[TechnologyID]],tblTargets[TargetID],tblTargets[DisplayName],"")</f>
        <v>Train - Automatic Lubricator</v>
      </c>
      <c r="E75" s="2" t="b">
        <v>1</v>
      </c>
      <c r="F75" s="2" t="s">
        <v>136</v>
      </c>
      <c r="G75" s="19" t="s">
        <v>1283</v>
      </c>
      <c r="H75" s="14" t="s">
        <v>740</v>
      </c>
      <c r="I75" s="14" t="s">
        <v>1276</v>
      </c>
      <c r="J75" s="14" t="s">
        <v>1277</v>
      </c>
      <c r="K75" s="14" t="s">
        <v>1278</v>
      </c>
      <c r="L75" s="14"/>
      <c r="M75" s="15" t="s">
        <v>1284</v>
      </c>
      <c r="N75" s="32">
        <f>IF(tblTechnologies[[#This Row],[costtext]]="", 0, LEN(tblTechnologies[[#This Row],[costtext]]) - LEN(SUBSTITUTE(tblTechnologies[[#This Row],[costtext]], ",", "")) + 1)</f>
        <v>5</v>
      </c>
      <c r="O75" s="32">
        <f>COUNTA(tblTechnologies[[#This Row],[amazake]:[wood]])</f>
        <v>5</v>
      </c>
      <c r="P75" s="14"/>
      <c r="Q75" s="14"/>
      <c r="R75" s="14"/>
      <c r="S75" s="14"/>
      <c r="T75" s="14"/>
      <c r="U75" s="14"/>
      <c r="V75" s="14"/>
      <c r="W75" s="14">
        <v>30</v>
      </c>
      <c r="X75" s="14"/>
      <c r="Y75" s="14"/>
      <c r="Z75" s="14"/>
      <c r="AA75" s="14"/>
      <c r="AB75" s="14"/>
      <c r="AC75" s="14"/>
      <c r="AD75" s="14">
        <v>1500</v>
      </c>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v>30</v>
      </c>
      <c r="BC75" s="14"/>
      <c r="BD75" s="14"/>
      <c r="BE75" s="14"/>
      <c r="BF75" s="14"/>
      <c r="BG75" s="14"/>
      <c r="BH75" s="14"/>
      <c r="BI75" s="14"/>
      <c r="BJ75" s="14"/>
      <c r="BK75" s="14">
        <v>50</v>
      </c>
      <c r="BL75" s="14"/>
      <c r="BM75" s="14"/>
      <c r="BN75" s="14"/>
      <c r="BO75" s="14"/>
      <c r="BP75" s="14"/>
      <c r="BQ75" s="14"/>
      <c r="BR75" s="14"/>
      <c r="BS75" s="14"/>
      <c r="BT75" s="14"/>
      <c r="BU75" s="14"/>
      <c r="BV75" s="14"/>
      <c r="BW75" s="14"/>
      <c r="BX75" s="14"/>
      <c r="BY75" s="14">
        <v>4</v>
      </c>
      <c r="BZ75" s="14"/>
      <c r="CA75" s="14"/>
      <c r="CB75" s="14"/>
      <c r="CC75" s="14"/>
      <c r="CD75" s="14"/>
      <c r="CE75" s="14"/>
      <c r="CF75" s="14"/>
      <c r="CG75" s="14"/>
      <c r="CH75" s="14"/>
      <c r="CI75" s="14"/>
      <c r="CJ75" s="14"/>
      <c r="CK75" s="14"/>
      <c r="CL75" s="14"/>
      <c r="CM75" s="14"/>
      <c r="CN75" s="14"/>
      <c r="CO75" s="14"/>
      <c r="CP75" s="14"/>
      <c r="CQ75" s="14"/>
      <c r="CR75" s="14"/>
      <c r="CS75" s="14"/>
      <c r="CT75" s="14"/>
      <c r="CU75" s="14"/>
    </row>
    <row r="76" spans="1:99" ht="58" hidden="1">
      <c r="A76" s="2" t="s">
        <v>2242</v>
      </c>
      <c r="B76" s="2" t="s">
        <v>897</v>
      </c>
      <c r="C76" s="2" t="s">
        <v>814</v>
      </c>
      <c r="D76" s="2" t="str">
        <f>_xlfn.XLOOKUP(tblTechnologies[[#This Row],[TechnologyID]],tblTargets[TargetID],tblTargets[DisplayName],"")</f>
        <v>Train - Titanium Components</v>
      </c>
      <c r="E76" s="2" t="b">
        <v>1</v>
      </c>
      <c r="F76" s="2" t="s">
        <v>136</v>
      </c>
      <c r="G76" s="19" t="s">
        <v>1285</v>
      </c>
      <c r="H76" s="14" t="s">
        <v>740</v>
      </c>
      <c r="I76" s="14" t="s">
        <v>1286</v>
      </c>
      <c r="J76" s="14" t="s">
        <v>1287</v>
      </c>
      <c r="K76" s="14" t="s">
        <v>1288</v>
      </c>
      <c r="L76" s="14" t="s">
        <v>963</v>
      </c>
      <c r="M76" s="15" t="s">
        <v>1289</v>
      </c>
      <c r="N76" s="32">
        <f>IF(tblTechnologies[[#This Row],[costtext]]="", 0, LEN(tblTechnologies[[#This Row],[costtext]]) - LEN(SUBSTITUTE(tblTechnologies[[#This Row],[costtext]], ",", "")) + 1)</f>
        <v>6</v>
      </c>
      <c r="O76" s="32">
        <f>COUNTA(tblTechnologies[[#This Row],[amazake]:[wood]])</f>
        <v>6</v>
      </c>
      <c r="P76" s="14"/>
      <c r="Q76" s="14">
        <v>10</v>
      </c>
      <c r="R76" s="14"/>
      <c r="S76" s="14"/>
      <c r="T76" s="14"/>
      <c r="U76" s="14"/>
      <c r="V76" s="14"/>
      <c r="W76" s="14">
        <v>30</v>
      </c>
      <c r="X76" s="14"/>
      <c r="Y76" s="14"/>
      <c r="Z76" s="14"/>
      <c r="AA76" s="14"/>
      <c r="AB76" s="14"/>
      <c r="AC76" s="14"/>
      <c r="AD76" s="14">
        <v>1500</v>
      </c>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v>20</v>
      </c>
      <c r="BU76" s="14"/>
      <c r="BV76" s="14"/>
      <c r="BW76" s="14"/>
      <c r="BX76" s="14"/>
      <c r="BY76" s="14">
        <v>5</v>
      </c>
      <c r="BZ76" s="14"/>
      <c r="CA76" s="14"/>
      <c r="CB76" s="14"/>
      <c r="CC76" s="14"/>
      <c r="CD76" s="14"/>
      <c r="CE76" s="14"/>
      <c r="CF76" s="14"/>
      <c r="CG76" s="14"/>
      <c r="CH76" s="14"/>
      <c r="CI76" s="14"/>
      <c r="CJ76" s="14"/>
      <c r="CK76" s="14"/>
      <c r="CL76" s="14"/>
      <c r="CM76" s="14"/>
      <c r="CN76" s="14"/>
      <c r="CO76" s="14"/>
      <c r="CP76" s="14">
        <v>30</v>
      </c>
      <c r="CQ76" s="14"/>
      <c r="CR76" s="14"/>
      <c r="CS76" s="14"/>
      <c r="CT76" s="14"/>
      <c r="CU76" s="14"/>
    </row>
    <row r="77" spans="1:99" ht="58" hidden="1">
      <c r="A77" s="2" t="s">
        <v>2244</v>
      </c>
      <c r="B77" s="2" t="s">
        <v>898</v>
      </c>
      <c r="C77" s="2" t="s">
        <v>815</v>
      </c>
      <c r="D77" s="2" t="str">
        <f>_xlfn.XLOOKUP(tblTechnologies[[#This Row],[TechnologyID]],tblTargets[TargetID],tblTargets[DisplayName],"")</f>
        <v>Train - Onboard Computer</v>
      </c>
      <c r="E77" s="2" t="b">
        <v>1</v>
      </c>
      <c r="F77" s="2" t="s">
        <v>136</v>
      </c>
      <c r="G77" s="19" t="s">
        <v>1290</v>
      </c>
      <c r="H77" s="14" t="s">
        <v>740</v>
      </c>
      <c r="I77" s="14" t="s">
        <v>1291</v>
      </c>
      <c r="J77" s="14" t="s">
        <v>1292</v>
      </c>
      <c r="K77" s="14" t="s">
        <v>1288</v>
      </c>
      <c r="L77" s="14" t="s">
        <v>172</v>
      </c>
      <c r="M77" s="15" t="s">
        <v>1293</v>
      </c>
      <c r="N77" s="32">
        <f>IF(tblTechnologies[[#This Row],[costtext]]="", 0, LEN(tblTechnologies[[#This Row],[costtext]]) - LEN(SUBSTITUTE(tblTechnologies[[#This Row],[costtext]], ",", "")) + 1)</f>
        <v>9</v>
      </c>
      <c r="O77" s="32">
        <f>COUNTA(tblTechnologies[[#This Row],[amazake]:[wood]])</f>
        <v>9</v>
      </c>
      <c r="P77" s="14"/>
      <c r="Q77" s="14">
        <v>20</v>
      </c>
      <c r="R77" s="14"/>
      <c r="S77" s="14"/>
      <c r="T77" s="14"/>
      <c r="U77" s="14"/>
      <c r="V77" s="14"/>
      <c r="W77" s="14">
        <v>40</v>
      </c>
      <c r="X77" s="14"/>
      <c r="Y77" s="14"/>
      <c r="Z77" s="14"/>
      <c r="AA77" s="14"/>
      <c r="AB77" s="14"/>
      <c r="AC77" s="14"/>
      <c r="AD77" s="14">
        <v>1500</v>
      </c>
      <c r="AE77" s="14"/>
      <c r="AF77" s="14"/>
      <c r="AG77" s="14"/>
      <c r="AH77" s="14"/>
      <c r="AI77" s="14"/>
      <c r="AJ77" s="14"/>
      <c r="AK77" s="14"/>
      <c r="AL77" s="14"/>
      <c r="AM77" s="14">
        <v>40</v>
      </c>
      <c r="AN77" s="14"/>
      <c r="AO77" s="14"/>
      <c r="AP77" s="14"/>
      <c r="AQ77" s="14"/>
      <c r="AR77" s="14"/>
      <c r="AS77" s="14"/>
      <c r="AT77" s="14"/>
      <c r="AU77" s="14"/>
      <c r="AV77" s="14"/>
      <c r="AW77" s="14"/>
      <c r="AX77" s="14"/>
      <c r="AY77" s="14"/>
      <c r="AZ77" s="14"/>
      <c r="BA77" s="14"/>
      <c r="BB77" s="14">
        <v>30</v>
      </c>
      <c r="BC77" s="14">
        <v>20</v>
      </c>
      <c r="BD77" s="14">
        <v>40</v>
      </c>
      <c r="BE77" s="14"/>
      <c r="BF77" s="14"/>
      <c r="BG77" s="14"/>
      <c r="BH77" s="14"/>
      <c r="BI77" s="14"/>
      <c r="BJ77" s="14"/>
      <c r="BK77" s="14"/>
      <c r="BL77" s="14"/>
      <c r="BM77" s="14"/>
      <c r="BN77" s="14"/>
      <c r="BO77" s="14"/>
      <c r="BP77" s="14"/>
      <c r="BQ77" s="14"/>
      <c r="BR77" s="14"/>
      <c r="BS77" s="14"/>
      <c r="BT77" s="14"/>
      <c r="BU77" s="14"/>
      <c r="BV77" s="14"/>
      <c r="BW77" s="14"/>
      <c r="BX77" s="14"/>
      <c r="BY77" s="14">
        <v>5</v>
      </c>
      <c r="BZ77" s="14"/>
      <c r="CA77" s="14"/>
      <c r="CB77" s="14"/>
      <c r="CC77" s="14"/>
      <c r="CD77" s="14"/>
      <c r="CE77" s="14"/>
      <c r="CF77" s="14"/>
      <c r="CG77" s="14">
        <v>200</v>
      </c>
      <c r="CH77" s="14"/>
      <c r="CI77" s="14"/>
      <c r="CJ77" s="14"/>
      <c r="CK77" s="14"/>
      <c r="CL77" s="14"/>
      <c r="CM77" s="14"/>
      <c r="CN77" s="14"/>
      <c r="CO77" s="14"/>
      <c r="CP77" s="14"/>
      <c r="CQ77" s="14"/>
      <c r="CR77" s="14"/>
      <c r="CS77" s="14"/>
      <c r="CT77" s="14"/>
      <c r="CU77" s="14"/>
    </row>
    <row r="78" spans="1:99" ht="29" hidden="1">
      <c r="A78" s="2" t="s">
        <v>2246</v>
      </c>
      <c r="B78" s="2" t="s">
        <v>899</v>
      </c>
      <c r="C78" s="2" t="s">
        <v>816</v>
      </c>
      <c r="D78" s="2" t="str">
        <f>_xlfn.XLOOKUP(tblTechnologies[[#This Row],[TechnologyID]],tblTargets[TargetID],tblTargets[DisplayName],"")</f>
        <v>Warehouse - Stackable Racks Lvl 1</v>
      </c>
      <c r="E78" s="2" t="b">
        <v>1</v>
      </c>
      <c r="F78" s="2" t="s">
        <v>147</v>
      </c>
      <c r="G78" s="19" t="s">
        <v>1294</v>
      </c>
      <c r="H78" s="14" t="s">
        <v>741</v>
      </c>
      <c r="I78" s="14" t="s">
        <v>1295</v>
      </c>
      <c r="J78" s="14" t="s">
        <v>1296</v>
      </c>
      <c r="K78" s="14" t="s">
        <v>1297</v>
      </c>
      <c r="L78" s="14"/>
      <c r="M78" s="15" t="s">
        <v>1298</v>
      </c>
      <c r="N78" s="32">
        <f>IF(tblTechnologies[[#This Row],[costtext]]="", 0, LEN(tblTechnologies[[#This Row],[costtext]]) - LEN(SUBSTITUTE(tblTechnologies[[#This Row],[costtext]], ",", "")) + 1)</f>
        <v>5</v>
      </c>
      <c r="O78" s="32">
        <f>COUNTA(tblTechnologies[[#This Row],[amazake]:[wood]])</f>
        <v>5</v>
      </c>
      <c r="P78" s="14"/>
      <c r="Q78" s="14"/>
      <c r="R78" s="14"/>
      <c r="S78" s="14"/>
      <c r="T78" s="14"/>
      <c r="U78" s="14"/>
      <c r="V78" s="14"/>
      <c r="W78" s="14">
        <v>30</v>
      </c>
      <c r="X78" s="14"/>
      <c r="Y78" s="14"/>
      <c r="Z78" s="14"/>
      <c r="AA78" s="14"/>
      <c r="AB78" s="14"/>
      <c r="AC78" s="14"/>
      <c r="AD78" s="14">
        <v>300</v>
      </c>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v>200</v>
      </c>
      <c r="BQ78" s="14"/>
      <c r="BR78" s="14"/>
      <c r="BS78" s="14"/>
      <c r="BT78" s="14"/>
      <c r="BU78" s="14"/>
      <c r="BV78" s="14"/>
      <c r="BW78" s="14"/>
      <c r="BX78" s="14"/>
      <c r="BY78" s="14">
        <v>1</v>
      </c>
      <c r="BZ78" s="14"/>
      <c r="CA78" s="14"/>
      <c r="CB78" s="14"/>
      <c r="CC78" s="14"/>
      <c r="CD78" s="14"/>
      <c r="CE78" s="14"/>
      <c r="CF78" s="14"/>
      <c r="CG78" s="14">
        <v>50</v>
      </c>
      <c r="CH78" s="14"/>
      <c r="CI78" s="14"/>
      <c r="CJ78" s="14"/>
      <c r="CK78" s="14"/>
      <c r="CL78" s="14"/>
      <c r="CM78" s="14"/>
      <c r="CN78" s="14"/>
      <c r="CO78" s="14"/>
      <c r="CP78" s="14"/>
      <c r="CQ78" s="14"/>
      <c r="CR78" s="14"/>
      <c r="CS78" s="14"/>
      <c r="CT78" s="14"/>
      <c r="CU78" s="14"/>
    </row>
    <row r="79" spans="1:99" ht="29" hidden="1">
      <c r="A79" s="2" t="s">
        <v>2248</v>
      </c>
      <c r="B79" s="2" t="s">
        <v>900</v>
      </c>
      <c r="C79" s="2" t="s">
        <v>817</v>
      </c>
      <c r="D79" s="2" t="str">
        <f>_xlfn.XLOOKUP(tblTechnologies[[#This Row],[TechnologyID]],tblTargets[TargetID],tblTargets[DisplayName],"")</f>
        <v>Warehouse - Stackable Racks Lvl 2</v>
      </c>
      <c r="E79" s="2" t="b">
        <v>1</v>
      </c>
      <c r="F79" s="2" t="s">
        <v>147</v>
      </c>
      <c r="G79" s="19" t="s">
        <v>1299</v>
      </c>
      <c r="H79" s="14" t="s">
        <v>741</v>
      </c>
      <c r="I79" s="14" t="s">
        <v>1300</v>
      </c>
      <c r="J79" s="14" t="s">
        <v>1301</v>
      </c>
      <c r="K79" s="14" t="s">
        <v>1297</v>
      </c>
      <c r="L79" s="14"/>
      <c r="M79" s="15" t="s">
        <v>1302</v>
      </c>
      <c r="N79" s="32">
        <f>IF(tblTechnologies[[#This Row],[costtext]]="", 0, LEN(tblTechnologies[[#This Row],[costtext]]) - LEN(SUBSTITUTE(tblTechnologies[[#This Row],[costtext]], ",", "")) + 1)</f>
        <v>5</v>
      </c>
      <c r="O79" s="32">
        <f>COUNTA(tblTechnologies[[#This Row],[amazake]:[wood]])</f>
        <v>5</v>
      </c>
      <c r="P79" s="14"/>
      <c r="Q79" s="14"/>
      <c r="R79" s="14"/>
      <c r="S79" s="14"/>
      <c r="T79" s="14"/>
      <c r="U79" s="14"/>
      <c r="V79" s="14"/>
      <c r="W79" s="14">
        <v>30</v>
      </c>
      <c r="X79" s="14"/>
      <c r="Y79" s="14"/>
      <c r="Z79" s="14"/>
      <c r="AA79" s="14"/>
      <c r="AB79" s="14"/>
      <c r="AC79" s="14"/>
      <c r="AD79" s="14">
        <v>400</v>
      </c>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v>300</v>
      </c>
      <c r="BQ79" s="14"/>
      <c r="BR79" s="14"/>
      <c r="BS79" s="14"/>
      <c r="BT79" s="14"/>
      <c r="BU79" s="14"/>
      <c r="BV79" s="14"/>
      <c r="BW79" s="14"/>
      <c r="BX79" s="14"/>
      <c r="BY79" s="14">
        <v>2</v>
      </c>
      <c r="BZ79" s="14"/>
      <c r="CA79" s="14"/>
      <c r="CB79" s="14"/>
      <c r="CC79" s="14"/>
      <c r="CD79" s="14"/>
      <c r="CE79" s="14"/>
      <c r="CF79" s="14"/>
      <c r="CG79" s="14">
        <v>60</v>
      </c>
      <c r="CH79" s="14"/>
      <c r="CI79" s="14"/>
      <c r="CJ79" s="14"/>
      <c r="CK79" s="14"/>
      <c r="CL79" s="14"/>
      <c r="CM79" s="14"/>
      <c r="CN79" s="14"/>
      <c r="CO79" s="14"/>
      <c r="CP79" s="14"/>
      <c r="CQ79" s="14"/>
      <c r="CR79" s="14"/>
      <c r="CS79" s="14"/>
      <c r="CT79" s="14"/>
      <c r="CU79" s="14"/>
    </row>
    <row r="80" spans="1:99" ht="29" hidden="1">
      <c r="A80" s="2" t="s">
        <v>2250</v>
      </c>
      <c r="B80" s="2" t="s">
        <v>901</v>
      </c>
      <c r="C80" s="2" t="s">
        <v>818</v>
      </c>
      <c r="D80" s="2" t="str">
        <f>_xlfn.XLOOKUP(tblTechnologies[[#This Row],[TechnologyID]],tblTargets[TargetID],tblTargets[DisplayName],"")</f>
        <v>Warehouse - Stackable Racks Lvl 3</v>
      </c>
      <c r="E80" s="2" t="b">
        <v>1</v>
      </c>
      <c r="F80" s="2" t="s">
        <v>147</v>
      </c>
      <c r="G80" s="19" t="s">
        <v>1303</v>
      </c>
      <c r="H80" s="14" t="s">
        <v>741</v>
      </c>
      <c r="I80" s="14" t="s">
        <v>1304</v>
      </c>
      <c r="J80" s="14" t="s">
        <v>1305</v>
      </c>
      <c r="K80" s="14" t="s">
        <v>1297</v>
      </c>
      <c r="L80" s="14"/>
      <c r="M80" s="15" t="s">
        <v>1306</v>
      </c>
      <c r="N80" s="32">
        <f>IF(tblTechnologies[[#This Row],[costtext]]="", 0, LEN(tblTechnologies[[#This Row],[costtext]]) - LEN(SUBSTITUTE(tblTechnologies[[#This Row],[costtext]], ",", "")) + 1)</f>
        <v>5</v>
      </c>
      <c r="O80" s="32">
        <f>COUNTA(tblTechnologies[[#This Row],[amazake]:[wood]])</f>
        <v>5</v>
      </c>
      <c r="P80" s="14"/>
      <c r="Q80" s="14"/>
      <c r="R80" s="14"/>
      <c r="S80" s="14"/>
      <c r="T80" s="14"/>
      <c r="U80" s="14"/>
      <c r="V80" s="14"/>
      <c r="W80" s="14">
        <v>30</v>
      </c>
      <c r="X80" s="14"/>
      <c r="Y80" s="14"/>
      <c r="Z80" s="14"/>
      <c r="AA80" s="14"/>
      <c r="AB80" s="14"/>
      <c r="AC80" s="14"/>
      <c r="AD80" s="14">
        <v>500</v>
      </c>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v>400</v>
      </c>
      <c r="BQ80" s="14"/>
      <c r="BR80" s="14"/>
      <c r="BS80" s="14"/>
      <c r="BT80" s="14"/>
      <c r="BU80" s="14"/>
      <c r="BV80" s="14"/>
      <c r="BW80" s="14"/>
      <c r="BX80" s="14"/>
      <c r="BY80" s="14">
        <v>3</v>
      </c>
      <c r="BZ80" s="14"/>
      <c r="CA80" s="14"/>
      <c r="CB80" s="14"/>
      <c r="CC80" s="14"/>
      <c r="CD80" s="14"/>
      <c r="CE80" s="14"/>
      <c r="CF80" s="14"/>
      <c r="CG80" s="14">
        <v>70</v>
      </c>
      <c r="CH80" s="14"/>
      <c r="CI80" s="14"/>
      <c r="CJ80" s="14"/>
      <c r="CK80" s="14"/>
      <c r="CL80" s="14"/>
      <c r="CM80" s="14"/>
      <c r="CN80" s="14"/>
      <c r="CO80" s="14"/>
      <c r="CP80" s="14"/>
      <c r="CQ80" s="14"/>
      <c r="CR80" s="14"/>
      <c r="CS80" s="14"/>
      <c r="CT80" s="14"/>
      <c r="CU80" s="14"/>
    </row>
    <row r="81" spans="1:99" ht="29" hidden="1">
      <c r="A81" s="2" t="s">
        <v>2252</v>
      </c>
      <c r="B81" s="2" t="s">
        <v>902</v>
      </c>
      <c r="C81" s="2" t="s">
        <v>819</v>
      </c>
      <c r="D81" s="2" t="str">
        <f>_xlfn.XLOOKUP(tblTechnologies[[#This Row],[TechnologyID]],tblTargets[TargetID],tblTargets[DisplayName],"")</f>
        <v>Workshop - Throwing Net</v>
      </c>
      <c r="E81" s="2" t="b">
        <v>1</v>
      </c>
      <c r="F81" s="2" t="s">
        <v>158</v>
      </c>
      <c r="G81" s="19" t="s">
        <v>1307</v>
      </c>
      <c r="H81" s="14" t="s">
        <v>742</v>
      </c>
      <c r="I81" s="14" t="s">
        <v>1308</v>
      </c>
      <c r="J81" s="14" t="s">
        <v>1309</v>
      </c>
      <c r="K81" s="14" t="s">
        <v>1310</v>
      </c>
      <c r="L81" s="14"/>
      <c r="M81" s="15" t="s">
        <v>1311</v>
      </c>
      <c r="N81" s="32">
        <f>IF(tblTechnologies[[#This Row],[costtext]]="", 0, LEN(tblTechnologies[[#This Row],[costtext]]) - LEN(SUBSTITUTE(tblTechnologies[[#This Row],[costtext]], ",", "")) + 1)</f>
        <v>6</v>
      </c>
      <c r="O81" s="32">
        <f>COUNTA(tblTechnologies[[#This Row],[amazake]:[wood]])</f>
        <v>6</v>
      </c>
      <c r="P81" s="14"/>
      <c r="Q81" s="14"/>
      <c r="R81" s="14"/>
      <c r="S81" s="14"/>
      <c r="T81" s="14">
        <v>40</v>
      </c>
      <c r="U81" s="14"/>
      <c r="V81" s="14"/>
      <c r="W81" s="14"/>
      <c r="X81" s="14"/>
      <c r="Y81" s="14"/>
      <c r="Z81" s="14"/>
      <c r="AA81" s="14"/>
      <c r="AB81" s="14"/>
      <c r="AC81" s="14"/>
      <c r="AD81" s="14">
        <v>300</v>
      </c>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v>10</v>
      </c>
      <c r="BN81" s="14"/>
      <c r="BO81" s="14"/>
      <c r="BP81" s="14"/>
      <c r="BQ81" s="14"/>
      <c r="BR81" s="14"/>
      <c r="BS81" s="14"/>
      <c r="BT81" s="14"/>
      <c r="BU81" s="14"/>
      <c r="BV81" s="14"/>
      <c r="BW81" s="14"/>
      <c r="BX81" s="14"/>
      <c r="BY81" s="14">
        <v>2</v>
      </c>
      <c r="BZ81" s="14"/>
      <c r="CA81" s="14"/>
      <c r="CB81" s="14"/>
      <c r="CC81" s="14"/>
      <c r="CD81" s="14"/>
      <c r="CE81" s="14"/>
      <c r="CF81" s="14"/>
      <c r="CG81" s="14"/>
      <c r="CH81" s="14">
        <v>10</v>
      </c>
      <c r="CI81" s="14"/>
      <c r="CJ81" s="14"/>
      <c r="CK81" s="14"/>
      <c r="CL81" s="14"/>
      <c r="CM81" s="14">
        <v>10</v>
      </c>
      <c r="CN81" s="14"/>
      <c r="CO81" s="14"/>
      <c r="CP81" s="14"/>
      <c r="CQ81" s="14"/>
      <c r="CR81" s="14"/>
      <c r="CS81" s="14"/>
      <c r="CT81" s="14"/>
      <c r="CU81" s="14"/>
    </row>
    <row r="82" spans="1:99" ht="29" hidden="1">
      <c r="A82" s="2" t="s">
        <v>2254</v>
      </c>
      <c r="B82" s="2" t="s">
        <v>903</v>
      </c>
      <c r="C82" s="2" t="s">
        <v>820</v>
      </c>
      <c r="D82" s="2" t="str">
        <f>_xlfn.XLOOKUP(tblTechnologies[[#This Row],[TechnologyID]],tblTargets[TargetID],tblTargets[DisplayName],"")</f>
        <v>Workshop - Shield For A Hero Lvl 1</v>
      </c>
      <c r="E82" s="2" t="b">
        <v>1</v>
      </c>
      <c r="F82" s="2" t="s">
        <v>158</v>
      </c>
      <c r="G82" s="19" t="s">
        <v>1312</v>
      </c>
      <c r="H82" s="14" t="s">
        <v>742</v>
      </c>
      <c r="I82" s="14" t="s">
        <v>1308</v>
      </c>
      <c r="J82" s="14" t="s">
        <v>1309</v>
      </c>
      <c r="K82" s="14" t="s">
        <v>1313</v>
      </c>
      <c r="L82" s="14"/>
      <c r="M82" s="15" t="s">
        <v>1314</v>
      </c>
      <c r="N82" s="32">
        <f>IF(tblTechnologies[[#This Row],[costtext]]="", 0, LEN(tblTechnologies[[#This Row],[costtext]]) - LEN(SUBSTITUTE(tblTechnologies[[#This Row],[costtext]], ",", "")) + 1)</f>
        <v>5</v>
      </c>
      <c r="O82" s="32">
        <f>COUNTA(tblTechnologies[[#This Row],[amazake]:[wood]])</f>
        <v>5</v>
      </c>
      <c r="P82" s="14"/>
      <c r="Q82" s="14"/>
      <c r="R82" s="14"/>
      <c r="S82" s="14"/>
      <c r="T82" s="14">
        <v>50</v>
      </c>
      <c r="U82" s="14"/>
      <c r="V82" s="14"/>
      <c r="W82" s="14"/>
      <c r="X82" s="14"/>
      <c r="Y82" s="14"/>
      <c r="Z82" s="14"/>
      <c r="AA82" s="14"/>
      <c r="AB82" s="14"/>
      <c r="AC82" s="14"/>
      <c r="AD82" s="14">
        <v>300</v>
      </c>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v>40</v>
      </c>
      <c r="BG82" s="14"/>
      <c r="BH82" s="14"/>
      <c r="BI82" s="14"/>
      <c r="BJ82" s="14"/>
      <c r="BK82" s="14"/>
      <c r="BL82" s="14"/>
      <c r="BM82" s="14">
        <v>20</v>
      </c>
      <c r="BN82" s="14"/>
      <c r="BO82" s="14"/>
      <c r="BP82" s="14"/>
      <c r="BQ82" s="14"/>
      <c r="BR82" s="14"/>
      <c r="BS82" s="14"/>
      <c r="BT82" s="14"/>
      <c r="BU82" s="14"/>
      <c r="BV82" s="14"/>
      <c r="BW82" s="14"/>
      <c r="BX82" s="14"/>
      <c r="BY82" s="14">
        <v>2</v>
      </c>
      <c r="BZ82" s="14"/>
      <c r="CA82" s="14"/>
      <c r="CB82" s="14"/>
      <c r="CC82" s="14"/>
      <c r="CD82" s="14"/>
      <c r="CE82" s="14"/>
      <c r="CF82" s="14"/>
      <c r="CG82" s="14"/>
      <c r="CH82" s="14"/>
      <c r="CI82" s="14"/>
      <c r="CJ82" s="14"/>
      <c r="CK82" s="14"/>
      <c r="CL82" s="14"/>
      <c r="CM82" s="14"/>
      <c r="CN82" s="14"/>
      <c r="CO82" s="14"/>
      <c r="CP82" s="14"/>
      <c r="CQ82" s="14"/>
      <c r="CR82" s="14"/>
      <c r="CS82" s="14"/>
      <c r="CT82" s="14"/>
      <c r="CU82" s="14"/>
    </row>
    <row r="83" spans="1:99" ht="29" hidden="1">
      <c r="A83" s="2" t="s">
        <v>2256</v>
      </c>
      <c r="B83" s="2" t="s">
        <v>904</v>
      </c>
      <c r="C83" s="2" t="s">
        <v>821</v>
      </c>
      <c r="D83" s="2" t="str">
        <f>_xlfn.XLOOKUP(tblTechnologies[[#This Row],[TechnologyID]],tblTargets[TargetID],tblTargets[DisplayName],"")</f>
        <v>Workshop - Shield For A Hero Lvl 2</v>
      </c>
      <c r="E83" s="2" t="b">
        <v>1</v>
      </c>
      <c r="F83" s="2" t="s">
        <v>158</v>
      </c>
      <c r="G83" s="19" t="s">
        <v>1315</v>
      </c>
      <c r="H83" s="14" t="s">
        <v>742</v>
      </c>
      <c r="I83" s="14" t="s">
        <v>1316</v>
      </c>
      <c r="J83" s="14" t="s">
        <v>1317</v>
      </c>
      <c r="K83" s="14" t="s">
        <v>1318</v>
      </c>
      <c r="L83" s="14"/>
      <c r="M83" s="15" t="s">
        <v>1319</v>
      </c>
      <c r="N83" s="32">
        <f>IF(tblTechnologies[[#This Row],[costtext]]="", 0, LEN(tblTechnologies[[#This Row],[costtext]]) - LEN(SUBSTITUTE(tblTechnologies[[#This Row],[costtext]], ",", "")) + 1)</f>
        <v>5</v>
      </c>
      <c r="O83" s="32">
        <f>COUNTA(tblTechnologies[[#This Row],[amazake]:[wood]])</f>
        <v>5</v>
      </c>
      <c r="P83" s="14"/>
      <c r="Q83" s="14"/>
      <c r="R83" s="14"/>
      <c r="S83" s="14"/>
      <c r="T83" s="14"/>
      <c r="U83" s="14"/>
      <c r="V83" s="14"/>
      <c r="W83" s="14">
        <v>15</v>
      </c>
      <c r="X83" s="14"/>
      <c r="Y83" s="14"/>
      <c r="Z83" s="14"/>
      <c r="AA83" s="14"/>
      <c r="AB83" s="14"/>
      <c r="AC83" s="14"/>
      <c r="AD83" s="14">
        <v>500</v>
      </c>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v>40</v>
      </c>
      <c r="BJ83" s="14"/>
      <c r="BK83" s="14"/>
      <c r="BL83" s="14"/>
      <c r="BM83" s="14"/>
      <c r="BN83" s="14"/>
      <c r="BO83" s="14"/>
      <c r="BP83" s="14">
        <v>100</v>
      </c>
      <c r="BQ83" s="14"/>
      <c r="BR83" s="14"/>
      <c r="BS83" s="14"/>
      <c r="BT83" s="14"/>
      <c r="BU83" s="14"/>
      <c r="BV83" s="14"/>
      <c r="BW83" s="14"/>
      <c r="BX83" s="14"/>
      <c r="BY83" s="14">
        <v>3</v>
      </c>
      <c r="BZ83" s="14"/>
      <c r="CA83" s="14"/>
      <c r="CB83" s="14"/>
      <c r="CC83" s="14"/>
      <c r="CD83" s="14"/>
      <c r="CE83" s="14"/>
      <c r="CF83" s="14"/>
      <c r="CG83" s="14"/>
      <c r="CH83" s="14"/>
      <c r="CI83" s="14"/>
      <c r="CJ83" s="14"/>
      <c r="CK83" s="14"/>
      <c r="CL83" s="14"/>
      <c r="CM83" s="14"/>
      <c r="CN83" s="14"/>
      <c r="CO83" s="14"/>
      <c r="CP83" s="14"/>
      <c r="CQ83" s="14"/>
      <c r="CR83" s="14"/>
      <c r="CS83" s="14"/>
      <c r="CT83" s="14"/>
      <c r="CU83" s="14"/>
    </row>
    <row r="84" spans="1:99" ht="29" hidden="1">
      <c r="A84" s="2" t="s">
        <v>2258</v>
      </c>
      <c r="B84" s="2" t="s">
        <v>905</v>
      </c>
      <c r="C84" s="2" t="s">
        <v>822</v>
      </c>
      <c r="D84" s="2" t="str">
        <f>_xlfn.XLOOKUP(tblTechnologies[[#This Row],[TechnologyID]],tblTargets[TargetID],tblTargets[DisplayName],"")</f>
        <v>Workshop - Shield For A Hero Lvl 3</v>
      </c>
      <c r="E84" s="2" t="b">
        <v>1</v>
      </c>
      <c r="F84" s="2" t="s">
        <v>158</v>
      </c>
      <c r="G84" s="19" t="s">
        <v>1320</v>
      </c>
      <c r="H84" s="14" t="s">
        <v>742</v>
      </c>
      <c r="I84" s="14" t="s">
        <v>1321</v>
      </c>
      <c r="J84" s="14" t="s">
        <v>1322</v>
      </c>
      <c r="K84" s="14" t="s">
        <v>1323</v>
      </c>
      <c r="L84" s="14"/>
      <c r="M84" s="15" t="s">
        <v>1324</v>
      </c>
      <c r="N84" s="32">
        <f>IF(tblTechnologies[[#This Row],[costtext]]="", 0, LEN(tblTechnologies[[#This Row],[costtext]]) - LEN(SUBSTITUTE(tblTechnologies[[#This Row],[costtext]], ",", "")) + 1)</f>
        <v>5</v>
      </c>
      <c r="O84" s="32">
        <f>COUNTA(tblTechnologies[[#This Row],[amazake]:[wood]])</f>
        <v>5</v>
      </c>
      <c r="P84" s="14"/>
      <c r="Q84" s="14"/>
      <c r="R84" s="14"/>
      <c r="S84" s="14"/>
      <c r="T84" s="14"/>
      <c r="U84" s="14"/>
      <c r="V84" s="14"/>
      <c r="W84" s="14">
        <v>20</v>
      </c>
      <c r="X84" s="14"/>
      <c r="Y84" s="14"/>
      <c r="Z84" s="14"/>
      <c r="AA84" s="14"/>
      <c r="AB84" s="14"/>
      <c r="AC84" s="14"/>
      <c r="AD84" s="14">
        <v>1000</v>
      </c>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v>60</v>
      </c>
      <c r="BJ84" s="14"/>
      <c r="BK84" s="14"/>
      <c r="BL84" s="14"/>
      <c r="BM84" s="14"/>
      <c r="BN84" s="14"/>
      <c r="BO84" s="14"/>
      <c r="BP84" s="14">
        <v>200</v>
      </c>
      <c r="BQ84" s="14"/>
      <c r="BR84" s="14"/>
      <c r="BS84" s="14"/>
      <c r="BT84" s="14"/>
      <c r="BU84" s="14"/>
      <c r="BV84" s="14"/>
      <c r="BW84" s="14"/>
      <c r="BX84" s="14"/>
      <c r="BY84" s="14">
        <v>5</v>
      </c>
      <c r="BZ84" s="14"/>
      <c r="CA84" s="14"/>
      <c r="CB84" s="14"/>
      <c r="CC84" s="14"/>
      <c r="CD84" s="14"/>
      <c r="CE84" s="14"/>
      <c r="CF84" s="14"/>
      <c r="CG84" s="14"/>
      <c r="CH84" s="14"/>
      <c r="CI84" s="14"/>
      <c r="CJ84" s="14"/>
      <c r="CK84" s="14"/>
      <c r="CL84" s="14"/>
      <c r="CM84" s="14"/>
      <c r="CN84" s="14"/>
      <c r="CO84" s="14"/>
      <c r="CP84" s="14"/>
      <c r="CQ84" s="14"/>
      <c r="CR84" s="14"/>
      <c r="CS84" s="14"/>
      <c r="CT84" s="14"/>
      <c r="CU84" s="14"/>
    </row>
    <row r="85" spans="1:99" ht="58" hidden="1">
      <c r="A85" s="2" t="s">
        <v>2260</v>
      </c>
      <c r="B85" s="2" t="s">
        <v>906</v>
      </c>
      <c r="C85" s="2" t="s">
        <v>823</v>
      </c>
      <c r="D85" s="2" t="str">
        <f>_xlfn.XLOOKUP(tblTechnologies[[#This Row],[TechnologyID]],tblTargets[TargetID],tblTargets[DisplayName],"")</f>
        <v>Workshop - Shield For A Hero Lvl 4</v>
      </c>
      <c r="E85" s="2" t="b">
        <v>1</v>
      </c>
      <c r="F85" s="2" t="s">
        <v>158</v>
      </c>
      <c r="G85" s="19" t="s">
        <v>1325</v>
      </c>
      <c r="H85" s="14" t="s">
        <v>742</v>
      </c>
      <c r="I85" s="14" t="s">
        <v>1326</v>
      </c>
      <c r="J85" s="14" t="s">
        <v>1327</v>
      </c>
      <c r="K85" s="14" t="s">
        <v>1328</v>
      </c>
      <c r="L85" s="14" t="s">
        <v>1329</v>
      </c>
      <c r="M85" s="15" t="s">
        <v>1330</v>
      </c>
      <c r="N85" s="32">
        <f>IF(tblTechnologies[[#This Row],[costtext]]="", 0, LEN(tblTechnologies[[#This Row],[costtext]]) - LEN(SUBSTITUTE(tblTechnologies[[#This Row],[costtext]], ",", "")) + 1)</f>
        <v>7</v>
      </c>
      <c r="O85" s="32">
        <f>COUNTA(tblTechnologies[[#This Row],[amazake]:[wood]])</f>
        <v>7</v>
      </c>
      <c r="P85" s="14"/>
      <c r="Q85" s="14"/>
      <c r="R85" s="14"/>
      <c r="S85" s="14"/>
      <c r="T85" s="14"/>
      <c r="U85" s="14"/>
      <c r="V85" s="14"/>
      <c r="W85" s="14">
        <v>25</v>
      </c>
      <c r="X85" s="14"/>
      <c r="Y85" s="14"/>
      <c r="Z85" s="14">
        <v>10</v>
      </c>
      <c r="AA85" s="14"/>
      <c r="AB85" s="14">
        <v>30</v>
      </c>
      <c r="AC85" s="14"/>
      <c r="AD85" s="14">
        <v>1000</v>
      </c>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v>15</v>
      </c>
      <c r="BC85" s="14"/>
      <c r="BD85" s="14"/>
      <c r="BE85" s="14"/>
      <c r="BF85" s="14"/>
      <c r="BG85" s="14"/>
      <c r="BH85" s="14"/>
      <c r="BI85" s="14"/>
      <c r="BJ85" s="14"/>
      <c r="BK85" s="14"/>
      <c r="BL85" s="14"/>
      <c r="BM85" s="14"/>
      <c r="BN85" s="14"/>
      <c r="BO85" s="14"/>
      <c r="BP85" s="14"/>
      <c r="BQ85" s="14"/>
      <c r="BR85" s="14"/>
      <c r="BS85" s="14"/>
      <c r="BT85" s="14"/>
      <c r="BU85" s="14"/>
      <c r="BV85" s="14"/>
      <c r="BW85" s="14"/>
      <c r="BX85" s="14"/>
      <c r="BY85" s="14">
        <v>5</v>
      </c>
      <c r="BZ85" s="14"/>
      <c r="CA85" s="14">
        <v>3</v>
      </c>
      <c r="CB85" s="14"/>
      <c r="CC85" s="14"/>
      <c r="CD85" s="14"/>
      <c r="CE85" s="14"/>
      <c r="CF85" s="14"/>
      <c r="CG85" s="14"/>
      <c r="CH85" s="14"/>
      <c r="CI85" s="14"/>
      <c r="CJ85" s="14"/>
      <c r="CK85" s="14"/>
      <c r="CL85" s="14"/>
      <c r="CM85" s="14"/>
      <c r="CN85" s="14"/>
      <c r="CO85" s="14"/>
      <c r="CP85" s="14"/>
      <c r="CQ85" s="14"/>
      <c r="CR85" s="14"/>
      <c r="CS85" s="14"/>
      <c r="CT85" s="14"/>
      <c r="CU85" s="14"/>
    </row>
    <row r="86" spans="1:99" ht="72.5">
      <c r="A86" s="2" t="s">
        <v>2262</v>
      </c>
      <c r="B86" s="2" t="s">
        <v>907</v>
      </c>
      <c r="C86" s="2" t="s">
        <v>824</v>
      </c>
      <c r="D86" s="2" t="str">
        <f>_xlfn.XLOOKUP(tblTechnologies[[#This Row],[TechnologyID]],tblTargets[TargetID],tblTargets[DisplayName],"")</f>
        <v>Workshop - Shield For A Hero Lvl 4+</v>
      </c>
      <c r="E86" s="2" t="b">
        <v>1</v>
      </c>
      <c r="F86" s="2" t="s">
        <v>158</v>
      </c>
      <c r="G86" s="19" t="s">
        <v>1331</v>
      </c>
      <c r="H86" s="14" t="s">
        <v>742</v>
      </c>
      <c r="I86" s="14" t="s">
        <v>1332</v>
      </c>
      <c r="J86" s="14" t="s">
        <v>1333</v>
      </c>
      <c r="K86" s="14" t="s">
        <v>1334</v>
      </c>
      <c r="L86" s="14" t="s">
        <v>1335</v>
      </c>
      <c r="M86" s="15" t="s">
        <v>1336</v>
      </c>
      <c r="N86" s="32">
        <f>IF(tblTechnologies[[#This Row],[costtext]]="", 0, LEN(tblTechnologies[[#This Row],[costtext]]) - LEN(SUBSTITUTE(tblTechnologies[[#This Row],[costtext]], ",", "")) + 1)</f>
        <v>9</v>
      </c>
      <c r="O86" s="32">
        <f>COUNTA(tblTechnologies[[#This Row],[amazake]:[wood]])</f>
        <v>9</v>
      </c>
      <c r="P86" s="14"/>
      <c r="Q86" s="14">
        <v>20</v>
      </c>
      <c r="R86" s="14"/>
      <c r="S86" s="14"/>
      <c r="T86" s="14"/>
      <c r="U86" s="14"/>
      <c r="V86" s="14"/>
      <c r="W86" s="14"/>
      <c r="X86" s="14"/>
      <c r="Y86" s="14"/>
      <c r="Z86" s="14">
        <v>20</v>
      </c>
      <c r="AA86" s="14"/>
      <c r="AB86" s="14"/>
      <c r="AC86" s="14"/>
      <c r="AD86" s="14">
        <v>1000</v>
      </c>
      <c r="AE86" s="14"/>
      <c r="AF86" s="14"/>
      <c r="AG86" s="14"/>
      <c r="AH86" s="14"/>
      <c r="AI86" s="14"/>
      <c r="AJ86" s="14"/>
      <c r="AK86" s="14"/>
      <c r="AL86" s="14"/>
      <c r="AM86" s="14"/>
      <c r="AN86" s="14"/>
      <c r="AO86" s="14"/>
      <c r="AP86" s="14"/>
      <c r="AQ86" s="14"/>
      <c r="AR86" s="14"/>
      <c r="AS86" s="14">
        <v>25</v>
      </c>
      <c r="AT86" s="14">
        <v>10</v>
      </c>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v>10</v>
      </c>
      <c r="BT86" s="14"/>
      <c r="BU86" s="14"/>
      <c r="BV86" s="14">
        <v>1</v>
      </c>
      <c r="BW86" s="14"/>
      <c r="BX86" s="14"/>
      <c r="BY86" s="14">
        <v>5</v>
      </c>
      <c r="BZ86" s="14"/>
      <c r="CA86" s="14"/>
      <c r="CB86" s="14">
        <v>1</v>
      </c>
      <c r="CC86" s="14"/>
      <c r="CD86" s="14"/>
      <c r="CE86" s="14"/>
      <c r="CF86" s="14"/>
      <c r="CG86" s="14"/>
      <c r="CH86" s="14"/>
      <c r="CI86" s="14"/>
      <c r="CJ86" s="14"/>
      <c r="CK86" s="14"/>
      <c r="CL86" s="14"/>
      <c r="CM86" s="14"/>
      <c r="CN86" s="14"/>
      <c r="CO86" s="14"/>
      <c r="CP86" s="14"/>
      <c r="CQ86" s="14"/>
      <c r="CR86" s="14"/>
      <c r="CS86" s="14"/>
      <c r="CT86" s="14"/>
      <c r="CU86" s="14"/>
    </row>
    <row r="87" spans="1:99" ht="58" hidden="1">
      <c r="A87" s="2" t="s">
        <v>2264</v>
      </c>
      <c r="B87" s="2" t="s">
        <v>908</v>
      </c>
      <c r="C87" s="2" t="s">
        <v>825</v>
      </c>
      <c r="D87" s="2" t="str">
        <f>_xlfn.XLOOKUP(tblTechnologies[[#This Row],[TechnologyID]],tblTargets[TargetID],tblTargets[DisplayName],"")</f>
        <v>Workshop - Strong Glue</v>
      </c>
      <c r="E87" s="2" t="b">
        <v>1</v>
      </c>
      <c r="F87" s="2" t="s">
        <v>158</v>
      </c>
      <c r="G87" s="19" t="s">
        <v>1337</v>
      </c>
      <c r="H87" s="14" t="s">
        <v>742</v>
      </c>
      <c r="I87" s="14" t="s">
        <v>1316</v>
      </c>
      <c r="J87" s="14" t="s">
        <v>1317</v>
      </c>
      <c r="K87" s="14" t="s">
        <v>1338</v>
      </c>
      <c r="L87" s="14" t="s">
        <v>1025</v>
      </c>
      <c r="M87" s="15" t="s">
        <v>1339</v>
      </c>
      <c r="N87" s="32">
        <f>IF(tblTechnologies[[#This Row],[costtext]]="", 0, LEN(tblTechnologies[[#This Row],[costtext]]) - LEN(SUBSTITUTE(tblTechnologies[[#This Row],[costtext]], ",", "")) + 1)</f>
        <v>5</v>
      </c>
      <c r="O87" s="32">
        <f>COUNTA(tblTechnologies[[#This Row],[amazake]:[wood]])</f>
        <v>5</v>
      </c>
      <c r="P87" s="14"/>
      <c r="Q87" s="14"/>
      <c r="R87" s="14"/>
      <c r="S87" s="14"/>
      <c r="T87" s="14"/>
      <c r="U87" s="14"/>
      <c r="V87" s="14"/>
      <c r="W87" s="14">
        <v>15</v>
      </c>
      <c r="X87" s="14"/>
      <c r="Y87" s="14"/>
      <c r="Z87" s="14"/>
      <c r="AA87" s="14"/>
      <c r="AB87" s="14"/>
      <c r="AC87" s="14"/>
      <c r="AD87" s="14">
        <v>500</v>
      </c>
      <c r="AE87" s="14"/>
      <c r="AF87" s="14"/>
      <c r="AG87" s="14"/>
      <c r="AH87" s="14"/>
      <c r="AI87" s="14"/>
      <c r="AJ87" s="14"/>
      <c r="AK87" s="14"/>
      <c r="AL87" s="14"/>
      <c r="AM87" s="14"/>
      <c r="AN87" s="14"/>
      <c r="AO87" s="14"/>
      <c r="AP87" s="14"/>
      <c r="AQ87" s="14"/>
      <c r="AR87" s="14"/>
      <c r="AS87" s="14"/>
      <c r="AT87" s="14"/>
      <c r="AU87" s="14"/>
      <c r="AV87" s="14"/>
      <c r="AW87" s="14"/>
      <c r="AX87" s="14">
        <v>10</v>
      </c>
      <c r="AY87" s="14"/>
      <c r="AZ87" s="14"/>
      <c r="BA87" s="14"/>
      <c r="BB87" s="14"/>
      <c r="BC87" s="14"/>
      <c r="BD87" s="14"/>
      <c r="BE87" s="14"/>
      <c r="BF87" s="14"/>
      <c r="BG87" s="14"/>
      <c r="BH87" s="14"/>
      <c r="BI87" s="14"/>
      <c r="BJ87" s="14"/>
      <c r="BK87" s="14"/>
      <c r="BL87" s="14"/>
      <c r="BM87" s="14"/>
      <c r="BN87" s="14"/>
      <c r="BO87" s="14"/>
      <c r="BP87" s="14"/>
      <c r="BQ87" s="14"/>
      <c r="BR87" s="14"/>
      <c r="BS87" s="14"/>
      <c r="BT87" s="14">
        <v>15</v>
      </c>
      <c r="BU87" s="14"/>
      <c r="BV87" s="14"/>
      <c r="BW87" s="14"/>
      <c r="BX87" s="14"/>
      <c r="BY87" s="14">
        <v>2</v>
      </c>
      <c r="BZ87" s="14"/>
      <c r="CA87" s="14"/>
      <c r="CB87" s="14"/>
      <c r="CC87" s="14"/>
      <c r="CD87" s="14"/>
      <c r="CE87" s="14"/>
      <c r="CF87" s="14"/>
      <c r="CG87" s="14"/>
      <c r="CH87" s="14"/>
      <c r="CI87" s="14"/>
      <c r="CJ87" s="14"/>
      <c r="CK87" s="14"/>
      <c r="CL87" s="14"/>
      <c r="CM87" s="14"/>
      <c r="CN87" s="14"/>
      <c r="CO87" s="14"/>
      <c r="CP87" s="14"/>
      <c r="CQ87" s="14"/>
      <c r="CR87" s="14"/>
      <c r="CS87" s="14"/>
      <c r="CT87" s="14"/>
      <c r="CU87" s="14"/>
    </row>
    <row r="88" spans="1:99" ht="29" hidden="1">
      <c r="A88" s="2" t="s">
        <v>2266</v>
      </c>
      <c r="B88" s="2" t="s">
        <v>686</v>
      </c>
      <c r="C88" s="2" t="s">
        <v>826</v>
      </c>
      <c r="D88" s="2" t="str">
        <f>_xlfn.XLOOKUP(tblTechnologies[[#This Row],[TechnologyID]],tblTargets[TargetID],tblTargets[DisplayName],"")</f>
        <v>Workshop - Mechanism</v>
      </c>
      <c r="E88" s="2" t="b">
        <v>1</v>
      </c>
      <c r="F88" s="2" t="s">
        <v>158</v>
      </c>
      <c r="G88" s="19" t="s">
        <v>1340</v>
      </c>
      <c r="H88" s="14" t="s">
        <v>742</v>
      </c>
      <c r="I88" s="14" t="s">
        <v>1308</v>
      </c>
      <c r="J88" s="14" t="s">
        <v>1309</v>
      </c>
      <c r="K88" s="14" t="s">
        <v>1341</v>
      </c>
      <c r="L88" s="14"/>
      <c r="M88" s="15" t="s">
        <v>1342</v>
      </c>
      <c r="N88" s="32">
        <f>IF(tblTechnologies[[#This Row],[costtext]]="", 0, LEN(tblTechnologies[[#This Row],[costtext]]) - LEN(SUBSTITUTE(tblTechnologies[[#This Row],[costtext]], ",", "")) + 1)</f>
        <v>5</v>
      </c>
      <c r="O88" s="32">
        <f>COUNTA(tblTechnologies[[#This Row],[amazake]:[wood]])</f>
        <v>5</v>
      </c>
      <c r="P88" s="14"/>
      <c r="Q88" s="14"/>
      <c r="R88" s="14"/>
      <c r="S88" s="14"/>
      <c r="T88" s="14"/>
      <c r="U88" s="14"/>
      <c r="V88" s="14"/>
      <c r="W88" s="14">
        <v>30</v>
      </c>
      <c r="X88" s="14"/>
      <c r="Y88" s="14"/>
      <c r="Z88" s="14"/>
      <c r="AA88" s="14"/>
      <c r="AB88" s="14"/>
      <c r="AC88" s="14"/>
      <c r="AD88" s="14">
        <v>700</v>
      </c>
      <c r="AE88" s="14"/>
      <c r="AF88" s="14"/>
      <c r="AG88" s="14"/>
      <c r="AH88" s="14"/>
      <c r="AI88" s="14"/>
      <c r="AJ88" s="14"/>
      <c r="AK88" s="14"/>
      <c r="AL88" s="14"/>
      <c r="AM88" s="14"/>
      <c r="AN88" s="14"/>
      <c r="AO88" s="14">
        <v>30</v>
      </c>
      <c r="AP88" s="14"/>
      <c r="AQ88" s="14"/>
      <c r="AR88" s="14"/>
      <c r="AS88" s="14"/>
      <c r="AT88" s="14"/>
      <c r="AU88" s="14"/>
      <c r="AV88" s="14"/>
      <c r="AW88" s="14"/>
      <c r="AX88" s="14"/>
      <c r="AY88" s="14"/>
      <c r="AZ88" s="14"/>
      <c r="BA88" s="14"/>
      <c r="BB88" s="14"/>
      <c r="BC88" s="14"/>
      <c r="BD88" s="14"/>
      <c r="BE88" s="14"/>
      <c r="BF88" s="14"/>
      <c r="BG88" s="14"/>
      <c r="BH88" s="14"/>
      <c r="BI88" s="14">
        <v>10</v>
      </c>
      <c r="BJ88" s="14"/>
      <c r="BK88" s="14"/>
      <c r="BL88" s="14"/>
      <c r="BM88" s="14"/>
      <c r="BN88" s="14"/>
      <c r="BO88" s="14"/>
      <c r="BP88" s="14"/>
      <c r="BQ88" s="14"/>
      <c r="BR88" s="14"/>
      <c r="BS88" s="14"/>
      <c r="BT88" s="14"/>
      <c r="BU88" s="14"/>
      <c r="BV88" s="14"/>
      <c r="BW88" s="14"/>
      <c r="BX88" s="14"/>
      <c r="BY88" s="14">
        <v>3</v>
      </c>
      <c r="BZ88" s="14"/>
      <c r="CA88" s="14"/>
      <c r="CB88" s="14"/>
      <c r="CC88" s="14"/>
      <c r="CD88" s="14"/>
      <c r="CE88" s="14"/>
      <c r="CF88" s="14"/>
      <c r="CG88" s="14"/>
      <c r="CH88" s="14"/>
      <c r="CI88" s="14"/>
      <c r="CJ88" s="14"/>
      <c r="CK88" s="14"/>
      <c r="CL88" s="14"/>
      <c r="CM88" s="14"/>
      <c r="CN88" s="14"/>
      <c r="CO88" s="14"/>
      <c r="CP88" s="14"/>
      <c r="CQ88" s="14"/>
      <c r="CR88" s="14"/>
      <c r="CS88" s="14"/>
      <c r="CT88" s="14"/>
      <c r="CU88" s="14"/>
    </row>
    <row r="89" spans="1:99" ht="29" hidden="1">
      <c r="A89" s="2" t="s">
        <v>2268</v>
      </c>
      <c r="B89" s="2" t="s">
        <v>909</v>
      </c>
      <c r="C89" s="2" t="s">
        <v>827</v>
      </c>
      <c r="D89" s="2" t="str">
        <f>_xlfn.XLOOKUP(tblTechnologies[[#This Row],[TechnologyID]],tblTargets[TargetID],tblTargets[DisplayName],"")</f>
        <v>Workshop - Mechanical Spider</v>
      </c>
      <c r="E89" s="2" t="b">
        <v>1</v>
      </c>
      <c r="F89" s="2" t="s">
        <v>158</v>
      </c>
      <c r="G89" s="19" t="s">
        <v>1343</v>
      </c>
      <c r="H89" s="14" t="s">
        <v>742</v>
      </c>
      <c r="I89" s="14" t="s">
        <v>1344</v>
      </c>
      <c r="J89" s="14" t="s">
        <v>1345</v>
      </c>
      <c r="K89" s="14" t="s">
        <v>1346</v>
      </c>
      <c r="L89" s="14"/>
      <c r="M89" s="15" t="s">
        <v>1347</v>
      </c>
      <c r="N89" s="32">
        <f>IF(tblTechnologies[[#This Row],[costtext]]="", 0, LEN(tblTechnologies[[#This Row],[costtext]]) - LEN(SUBSTITUTE(tblTechnologies[[#This Row],[costtext]], ",", "")) + 1)</f>
        <v>5</v>
      </c>
      <c r="O89" s="32">
        <f>COUNTA(tblTechnologies[[#This Row],[amazake]:[wood]])</f>
        <v>5</v>
      </c>
      <c r="P89" s="14"/>
      <c r="Q89" s="14"/>
      <c r="R89" s="14"/>
      <c r="S89" s="14"/>
      <c r="T89" s="14"/>
      <c r="U89" s="14"/>
      <c r="V89" s="14"/>
      <c r="W89" s="14">
        <v>30</v>
      </c>
      <c r="X89" s="14"/>
      <c r="Y89" s="14"/>
      <c r="Z89" s="14"/>
      <c r="AA89" s="14"/>
      <c r="AB89" s="14"/>
      <c r="AC89" s="14"/>
      <c r="AD89" s="14">
        <v>1000</v>
      </c>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v>15</v>
      </c>
      <c r="BC89" s="14"/>
      <c r="BD89" s="14"/>
      <c r="BE89" s="14"/>
      <c r="BF89" s="14"/>
      <c r="BG89" s="14"/>
      <c r="BH89" s="14"/>
      <c r="BI89" s="14">
        <v>20</v>
      </c>
      <c r="BJ89" s="14"/>
      <c r="BK89" s="14"/>
      <c r="BL89" s="14"/>
      <c r="BM89" s="14"/>
      <c r="BN89" s="14"/>
      <c r="BO89" s="14"/>
      <c r="BP89" s="14"/>
      <c r="BQ89" s="14"/>
      <c r="BR89" s="14"/>
      <c r="BS89" s="14"/>
      <c r="BT89" s="14"/>
      <c r="BU89" s="14"/>
      <c r="BV89" s="14"/>
      <c r="BW89" s="14"/>
      <c r="BX89" s="14"/>
      <c r="BY89" s="14">
        <v>5</v>
      </c>
      <c r="BZ89" s="14"/>
      <c r="CA89" s="14"/>
      <c r="CB89" s="14"/>
      <c r="CC89" s="14"/>
      <c r="CD89" s="14"/>
      <c r="CE89" s="14"/>
      <c r="CF89" s="14"/>
      <c r="CG89" s="14"/>
      <c r="CH89" s="14"/>
      <c r="CI89" s="14"/>
      <c r="CJ89" s="14"/>
      <c r="CK89" s="14"/>
      <c r="CL89" s="14"/>
      <c r="CM89" s="14"/>
      <c r="CN89" s="14"/>
      <c r="CO89" s="14"/>
      <c r="CP89" s="14"/>
      <c r="CQ89" s="14"/>
      <c r="CR89" s="14"/>
      <c r="CS89" s="14"/>
      <c r="CT89" s="14"/>
      <c r="CU89" s="14"/>
    </row>
    <row r="90" spans="1:99" ht="58" hidden="1">
      <c r="A90" s="2" t="s">
        <v>2270</v>
      </c>
      <c r="B90" s="2" t="s">
        <v>910</v>
      </c>
      <c r="C90" s="2" t="s">
        <v>828</v>
      </c>
      <c r="D90" s="2" t="str">
        <f>_xlfn.XLOOKUP(tblTechnologies[[#This Row],[TechnologyID]],tblTargets[TargetID],tblTargets[DisplayName],"")</f>
        <v>Workshop - Explosive Mechanical Spider</v>
      </c>
      <c r="E90" s="2" t="b">
        <v>1</v>
      </c>
      <c r="F90" s="2" t="s">
        <v>158</v>
      </c>
      <c r="G90" s="19" t="s">
        <v>1348</v>
      </c>
      <c r="H90" s="14" t="s">
        <v>742</v>
      </c>
      <c r="I90" s="14" t="s">
        <v>1349</v>
      </c>
      <c r="J90" s="14" t="s">
        <v>1350</v>
      </c>
      <c r="K90" s="14" t="s">
        <v>828</v>
      </c>
      <c r="L90" s="14" t="s">
        <v>1351</v>
      </c>
      <c r="M90" s="15" t="s">
        <v>1352</v>
      </c>
      <c r="N90" s="32">
        <f>IF(tblTechnologies[[#This Row],[costtext]]="", 0, LEN(tblTechnologies[[#This Row],[costtext]]) - LEN(SUBSTITUTE(tblTechnologies[[#This Row],[costtext]], ",", "")) + 1)</f>
        <v>6</v>
      </c>
      <c r="O90" s="32">
        <f>COUNTA(tblTechnologies[[#This Row],[amazake]:[wood]])</f>
        <v>6</v>
      </c>
      <c r="P90" s="14"/>
      <c r="Q90" s="14"/>
      <c r="R90" s="14"/>
      <c r="S90" s="14"/>
      <c r="T90" s="14"/>
      <c r="U90" s="14"/>
      <c r="V90" s="14"/>
      <c r="W90" s="14">
        <v>15</v>
      </c>
      <c r="X90" s="14"/>
      <c r="Y90" s="14"/>
      <c r="Z90" s="14"/>
      <c r="AA90" s="14"/>
      <c r="AB90" s="14"/>
      <c r="AC90" s="14"/>
      <c r="AD90" s="14">
        <v>400</v>
      </c>
      <c r="AE90" s="14"/>
      <c r="AF90" s="14"/>
      <c r="AG90" s="14"/>
      <c r="AH90" s="14"/>
      <c r="AI90" s="14"/>
      <c r="AJ90" s="14"/>
      <c r="AK90" s="14"/>
      <c r="AL90" s="14"/>
      <c r="AM90" s="14"/>
      <c r="AN90" s="14"/>
      <c r="AO90" s="14"/>
      <c r="AP90" s="14"/>
      <c r="AQ90" s="14"/>
      <c r="AR90" s="14">
        <v>20</v>
      </c>
      <c r="AS90" s="14"/>
      <c r="AT90" s="14"/>
      <c r="AU90" s="14"/>
      <c r="AV90" s="14"/>
      <c r="AW90" s="14"/>
      <c r="AX90" s="14"/>
      <c r="AY90" s="14"/>
      <c r="AZ90" s="14"/>
      <c r="BA90" s="14"/>
      <c r="BB90" s="14">
        <v>10</v>
      </c>
      <c r="BC90" s="14"/>
      <c r="BD90" s="14"/>
      <c r="BE90" s="14"/>
      <c r="BF90" s="14"/>
      <c r="BG90" s="14"/>
      <c r="BH90" s="14">
        <v>3</v>
      </c>
      <c r="BI90" s="14"/>
      <c r="BJ90" s="14"/>
      <c r="BK90" s="14"/>
      <c r="BL90" s="14"/>
      <c r="BM90" s="14"/>
      <c r="BN90" s="14"/>
      <c r="BO90" s="14"/>
      <c r="BP90" s="14"/>
      <c r="BQ90" s="14"/>
      <c r="BR90" s="14"/>
      <c r="BS90" s="14"/>
      <c r="BT90" s="14"/>
      <c r="BU90" s="14"/>
      <c r="BV90" s="14"/>
      <c r="BW90" s="14"/>
      <c r="BX90" s="14"/>
      <c r="BY90" s="14">
        <v>2</v>
      </c>
      <c r="BZ90" s="14"/>
      <c r="CA90" s="14"/>
      <c r="CB90" s="14"/>
      <c r="CC90" s="14"/>
      <c r="CD90" s="14"/>
      <c r="CE90" s="14"/>
      <c r="CF90" s="14"/>
      <c r="CG90" s="14"/>
      <c r="CH90" s="14"/>
      <c r="CI90" s="14"/>
      <c r="CJ90" s="14"/>
      <c r="CK90" s="14"/>
      <c r="CL90" s="14"/>
      <c r="CM90" s="14"/>
      <c r="CN90" s="14"/>
      <c r="CO90" s="14"/>
      <c r="CP90" s="14"/>
      <c r="CQ90" s="14"/>
      <c r="CR90" s="14"/>
      <c r="CS90" s="14"/>
      <c r="CT90" s="14"/>
      <c r="CU90" s="14"/>
    </row>
    <row r="91" spans="1:99" ht="29" hidden="1">
      <c r="A91" s="2" t="s">
        <v>2272</v>
      </c>
      <c r="B91" s="2" t="s">
        <v>911</v>
      </c>
      <c r="C91" s="2" t="s">
        <v>829</v>
      </c>
      <c r="D91" s="2" t="str">
        <f>_xlfn.XLOOKUP(tblTechnologies[[#This Row],[TechnologyID]],tblTargets[TargetID],tblTargets[DisplayName],"")</f>
        <v>Workshop - Steamobile</v>
      </c>
      <c r="E91" s="2" t="b">
        <v>1</v>
      </c>
      <c r="F91" s="2" t="s">
        <v>158</v>
      </c>
      <c r="G91" s="19" t="s">
        <v>1353</v>
      </c>
      <c r="H91" s="14" t="s">
        <v>742</v>
      </c>
      <c r="I91" s="14" t="s">
        <v>1344</v>
      </c>
      <c r="J91" s="14" t="s">
        <v>1345</v>
      </c>
      <c r="K91" s="14" t="s">
        <v>1354</v>
      </c>
      <c r="L91" s="14"/>
      <c r="M91" s="15" t="s">
        <v>1355</v>
      </c>
      <c r="N91" s="32">
        <f>IF(tblTechnologies[[#This Row],[costtext]]="", 0, LEN(tblTechnologies[[#This Row],[costtext]]) - LEN(SUBSTITUTE(tblTechnologies[[#This Row],[costtext]], ",", "")) + 1)</f>
        <v>5</v>
      </c>
      <c r="O91" s="32">
        <f>COUNTA(tblTechnologies[[#This Row],[amazake]:[wood]])</f>
        <v>5</v>
      </c>
      <c r="P91" s="14"/>
      <c r="Q91" s="14"/>
      <c r="R91" s="14"/>
      <c r="S91" s="14"/>
      <c r="T91" s="14"/>
      <c r="U91" s="14"/>
      <c r="V91" s="14"/>
      <c r="W91" s="14">
        <v>30</v>
      </c>
      <c r="X91" s="14"/>
      <c r="Y91" s="14"/>
      <c r="Z91" s="14"/>
      <c r="AA91" s="14"/>
      <c r="AB91" s="14"/>
      <c r="AC91" s="14"/>
      <c r="AD91" s="14">
        <v>1500</v>
      </c>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v>15</v>
      </c>
      <c r="BC91" s="14"/>
      <c r="BD91" s="14"/>
      <c r="BE91" s="14"/>
      <c r="BF91" s="14"/>
      <c r="BG91" s="14"/>
      <c r="BH91" s="14"/>
      <c r="BI91" s="14">
        <v>30</v>
      </c>
      <c r="BJ91" s="14"/>
      <c r="BK91" s="14"/>
      <c r="BL91" s="14"/>
      <c r="BM91" s="14"/>
      <c r="BN91" s="14"/>
      <c r="BO91" s="14"/>
      <c r="BP91" s="14"/>
      <c r="BQ91" s="14"/>
      <c r="BR91" s="14"/>
      <c r="BS91" s="14"/>
      <c r="BT91" s="14"/>
      <c r="BU91" s="14"/>
      <c r="BV91" s="14"/>
      <c r="BW91" s="14"/>
      <c r="BX91" s="14"/>
      <c r="BY91" s="14">
        <v>7</v>
      </c>
      <c r="BZ91" s="14"/>
      <c r="CA91" s="14"/>
      <c r="CB91" s="14"/>
      <c r="CC91" s="14"/>
      <c r="CD91" s="14"/>
      <c r="CE91" s="14"/>
      <c r="CF91" s="14"/>
      <c r="CG91" s="14"/>
      <c r="CH91" s="14"/>
      <c r="CI91" s="14"/>
      <c r="CJ91" s="14"/>
      <c r="CK91" s="14"/>
      <c r="CL91" s="14"/>
      <c r="CM91" s="14"/>
      <c r="CN91" s="14"/>
      <c r="CO91" s="14"/>
      <c r="CP91" s="14"/>
      <c r="CQ91" s="14"/>
      <c r="CR91" s="14"/>
      <c r="CS91" s="14"/>
      <c r="CT91" s="14"/>
      <c r="CU91" s="14"/>
    </row>
    <row r="92" spans="1:99" ht="43.5" hidden="1">
      <c r="A92" s="2" t="s">
        <v>2274</v>
      </c>
      <c r="B92" s="2" t="s">
        <v>912</v>
      </c>
      <c r="C92" s="2" t="s">
        <v>830</v>
      </c>
      <c r="D92" s="2" t="str">
        <f>_xlfn.XLOOKUP(tblTechnologies[[#This Row],[TechnologyID]],tblTargets[TargetID],tblTargets[DisplayName],"")</f>
        <v>Workshop - Zen Fountain</v>
      </c>
      <c r="E92" s="2" t="b">
        <v>1</v>
      </c>
      <c r="F92" s="2" t="s">
        <v>158</v>
      </c>
      <c r="G92" s="19" t="s">
        <v>1356</v>
      </c>
      <c r="H92" s="14" t="s">
        <v>742</v>
      </c>
      <c r="I92" s="14" t="s">
        <v>1357</v>
      </c>
      <c r="J92" s="14" t="s">
        <v>1358</v>
      </c>
      <c r="K92" s="14" t="s">
        <v>1359</v>
      </c>
      <c r="L92" s="14"/>
      <c r="M92" s="15" t="s">
        <v>1360</v>
      </c>
      <c r="N92" s="32">
        <f>IF(tblTechnologies[[#This Row],[costtext]]="", 0, LEN(tblTechnologies[[#This Row],[costtext]]) - LEN(SUBSTITUTE(tblTechnologies[[#This Row],[costtext]], ",", "")) + 1)</f>
        <v>6</v>
      </c>
      <c r="O92" s="32">
        <f>COUNTA(tblTechnologies[[#This Row],[amazake]:[wood]])</f>
        <v>6</v>
      </c>
      <c r="P92" s="14"/>
      <c r="Q92" s="14"/>
      <c r="R92" s="14"/>
      <c r="S92" s="14">
        <v>30</v>
      </c>
      <c r="T92" s="14"/>
      <c r="U92" s="14"/>
      <c r="V92" s="14"/>
      <c r="W92" s="14"/>
      <c r="X92" s="14"/>
      <c r="Y92" s="14"/>
      <c r="Z92" s="14"/>
      <c r="AA92" s="14"/>
      <c r="AB92" s="14"/>
      <c r="AC92" s="14"/>
      <c r="AD92" s="14">
        <v>1000</v>
      </c>
      <c r="AE92" s="14"/>
      <c r="AF92" s="14"/>
      <c r="AG92" s="14"/>
      <c r="AH92" s="14"/>
      <c r="AI92" s="14"/>
      <c r="AJ92" s="14"/>
      <c r="AK92" s="14"/>
      <c r="AL92" s="14"/>
      <c r="AM92" s="14"/>
      <c r="AN92" s="14"/>
      <c r="AO92" s="14"/>
      <c r="AP92" s="14"/>
      <c r="AQ92" s="14"/>
      <c r="AR92" s="14"/>
      <c r="AS92" s="14"/>
      <c r="AT92" s="14">
        <v>10</v>
      </c>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c r="BY92" s="14">
        <v>5</v>
      </c>
      <c r="BZ92" s="14"/>
      <c r="CA92" s="14"/>
      <c r="CB92" s="14"/>
      <c r="CC92" s="14"/>
      <c r="CD92" s="14"/>
      <c r="CE92" s="14"/>
      <c r="CF92" s="14"/>
      <c r="CG92" s="14"/>
      <c r="CH92" s="14">
        <v>100</v>
      </c>
      <c r="CI92" s="14"/>
      <c r="CJ92" s="14"/>
      <c r="CK92" s="14"/>
      <c r="CL92" s="14"/>
      <c r="CM92" s="14">
        <v>20</v>
      </c>
      <c r="CN92" s="14"/>
      <c r="CO92" s="14"/>
      <c r="CP92" s="14"/>
      <c r="CQ92" s="14"/>
      <c r="CR92" s="14"/>
      <c r="CS92" s="14"/>
      <c r="CT92" s="14"/>
      <c r="CU92" s="14"/>
    </row>
    <row r="93" spans="1:99" ht="72.5" hidden="1">
      <c r="A93" s="2" t="s">
        <v>2276</v>
      </c>
      <c r="B93" s="2" t="s">
        <v>920</v>
      </c>
      <c r="C93" s="2" t="s">
        <v>831</v>
      </c>
      <c r="D93" s="2" t="str">
        <f>_xlfn.XLOOKUP(tblTechnologies[[#This Row],[TechnologyID]],tblTargets[TargetID],tblTargets[DisplayName],"")</f>
        <v>Workshop - Conveyor Lvl 1</v>
      </c>
      <c r="E93" s="2" t="b">
        <v>1</v>
      </c>
      <c r="F93" s="2" t="s">
        <v>158</v>
      </c>
      <c r="G93" s="19" t="s">
        <v>1361</v>
      </c>
      <c r="H93" s="14" t="s">
        <v>742</v>
      </c>
      <c r="I93" s="14" t="s">
        <v>1308</v>
      </c>
      <c r="J93" s="14" t="s">
        <v>1309</v>
      </c>
      <c r="K93" s="14" t="s">
        <v>1362</v>
      </c>
      <c r="L93" s="14"/>
      <c r="M93" s="15" t="s">
        <v>1363</v>
      </c>
      <c r="N93" s="32">
        <f>IF(tblTechnologies[[#This Row],[costtext]]="", 0, LEN(tblTechnologies[[#This Row],[costtext]]) - LEN(SUBSTITUTE(tblTechnologies[[#This Row],[costtext]], ",", "")) + 1)</f>
        <v>6</v>
      </c>
      <c r="O93" s="32">
        <f>COUNTA(tblTechnologies[[#This Row],[amazake]:[wood]])</f>
        <v>6</v>
      </c>
      <c r="P93" s="14"/>
      <c r="Q93" s="14"/>
      <c r="R93" s="14"/>
      <c r="S93" s="14"/>
      <c r="T93" s="14"/>
      <c r="U93" s="14"/>
      <c r="V93" s="14"/>
      <c r="W93" s="14">
        <v>20</v>
      </c>
      <c r="X93" s="14"/>
      <c r="Y93" s="14"/>
      <c r="Z93" s="14"/>
      <c r="AA93" s="14"/>
      <c r="AB93" s="14"/>
      <c r="AC93" s="14"/>
      <c r="AD93" s="14">
        <v>1000</v>
      </c>
      <c r="AE93" s="14"/>
      <c r="AF93" s="14"/>
      <c r="AG93" s="14"/>
      <c r="AH93" s="14">
        <v>50</v>
      </c>
      <c r="AI93" s="14"/>
      <c r="AJ93" s="14"/>
      <c r="AK93" s="14"/>
      <c r="AL93" s="14"/>
      <c r="AM93" s="14"/>
      <c r="AN93" s="14"/>
      <c r="AO93" s="14"/>
      <c r="AP93" s="14"/>
      <c r="AQ93" s="14"/>
      <c r="AR93" s="14"/>
      <c r="AS93" s="14"/>
      <c r="AT93" s="14"/>
      <c r="AU93" s="14"/>
      <c r="AV93" s="14"/>
      <c r="AW93" s="14"/>
      <c r="AX93" s="14"/>
      <c r="AY93" s="14"/>
      <c r="AZ93" s="14"/>
      <c r="BA93" s="14"/>
      <c r="BB93" s="14">
        <v>10</v>
      </c>
      <c r="BC93" s="14"/>
      <c r="BD93" s="14"/>
      <c r="BE93" s="14"/>
      <c r="BF93" s="14"/>
      <c r="BG93" s="14"/>
      <c r="BH93" s="14"/>
      <c r="BI93" s="14">
        <v>20</v>
      </c>
      <c r="BJ93" s="14"/>
      <c r="BK93" s="14"/>
      <c r="BL93" s="14"/>
      <c r="BM93" s="14"/>
      <c r="BN93" s="14"/>
      <c r="BO93" s="14"/>
      <c r="BP93" s="14"/>
      <c r="BQ93" s="14"/>
      <c r="BR93" s="14"/>
      <c r="BS93" s="14"/>
      <c r="BT93" s="14"/>
      <c r="BU93" s="14"/>
      <c r="BV93" s="14"/>
      <c r="BW93" s="14"/>
      <c r="BX93" s="14"/>
      <c r="BY93" s="14">
        <v>3</v>
      </c>
      <c r="BZ93" s="14"/>
      <c r="CA93" s="14"/>
      <c r="CB93" s="14"/>
      <c r="CC93" s="14"/>
      <c r="CD93" s="14"/>
      <c r="CE93" s="14"/>
      <c r="CF93" s="14"/>
      <c r="CG93" s="14"/>
      <c r="CH93" s="14"/>
      <c r="CI93" s="14"/>
      <c r="CJ93" s="14"/>
      <c r="CK93" s="14"/>
      <c r="CL93" s="14"/>
      <c r="CM93" s="14"/>
      <c r="CN93" s="14"/>
      <c r="CO93" s="14"/>
      <c r="CP93" s="14"/>
      <c r="CQ93" s="14"/>
      <c r="CR93" s="14"/>
      <c r="CS93" s="14"/>
      <c r="CT93" s="14"/>
      <c r="CU93" s="14"/>
    </row>
    <row r="94" spans="1:99" ht="72.5" hidden="1">
      <c r="A94" s="2" t="s">
        <v>2278</v>
      </c>
      <c r="B94" s="2" t="s">
        <v>921</v>
      </c>
      <c r="C94" s="2" t="s">
        <v>832</v>
      </c>
      <c r="D94" s="2" t="str">
        <f>_xlfn.XLOOKUP(tblTechnologies[[#This Row],[TechnologyID]],tblTargets[TargetID],tblTargets[DisplayName],"")</f>
        <v>Workshop - Conveyor Lvl 2</v>
      </c>
      <c r="E94" s="2" t="b">
        <v>1</v>
      </c>
      <c r="F94" s="2" t="s">
        <v>158</v>
      </c>
      <c r="G94" s="19" t="s">
        <v>1364</v>
      </c>
      <c r="H94" s="14" t="s">
        <v>742</v>
      </c>
      <c r="I94" s="14" t="s">
        <v>1365</v>
      </c>
      <c r="J94" s="14" t="s">
        <v>1366</v>
      </c>
      <c r="K94" s="14" t="s">
        <v>1367</v>
      </c>
      <c r="L94" s="14"/>
      <c r="M94" s="15" t="s">
        <v>1368</v>
      </c>
      <c r="N94" s="32">
        <f>IF(tblTechnologies[[#This Row],[costtext]]="", 0, LEN(tblTechnologies[[#This Row],[costtext]]) - LEN(SUBSTITUTE(tblTechnologies[[#This Row],[costtext]], ",", "")) + 1)</f>
        <v>6</v>
      </c>
      <c r="O94" s="32">
        <f>COUNTA(tblTechnologies[[#This Row],[amazake]:[wood]])</f>
        <v>6</v>
      </c>
      <c r="P94" s="14"/>
      <c r="Q94" s="14"/>
      <c r="R94" s="14"/>
      <c r="S94" s="14"/>
      <c r="T94" s="14"/>
      <c r="U94" s="14"/>
      <c r="V94" s="14"/>
      <c r="W94" s="14">
        <v>30</v>
      </c>
      <c r="X94" s="14"/>
      <c r="Y94" s="14"/>
      <c r="Z94" s="14"/>
      <c r="AA94" s="14"/>
      <c r="AB94" s="14"/>
      <c r="AC94" s="14"/>
      <c r="AD94" s="14">
        <v>1500</v>
      </c>
      <c r="AE94" s="14"/>
      <c r="AF94" s="14"/>
      <c r="AG94" s="14"/>
      <c r="AH94" s="14">
        <v>75</v>
      </c>
      <c r="AI94" s="14"/>
      <c r="AJ94" s="14"/>
      <c r="AK94" s="14"/>
      <c r="AL94" s="14"/>
      <c r="AM94" s="14"/>
      <c r="AN94" s="14"/>
      <c r="AO94" s="14"/>
      <c r="AP94" s="14"/>
      <c r="AQ94" s="14"/>
      <c r="AR94" s="14"/>
      <c r="AS94" s="14"/>
      <c r="AT94" s="14"/>
      <c r="AU94" s="14"/>
      <c r="AV94" s="14"/>
      <c r="AW94" s="14"/>
      <c r="AX94" s="14"/>
      <c r="AY94" s="14"/>
      <c r="AZ94" s="14"/>
      <c r="BA94" s="14"/>
      <c r="BB94" s="14">
        <v>15</v>
      </c>
      <c r="BC94" s="14"/>
      <c r="BD94" s="14"/>
      <c r="BE94" s="14"/>
      <c r="BF94" s="14"/>
      <c r="BG94" s="14"/>
      <c r="BH94" s="14"/>
      <c r="BI94" s="14">
        <v>30</v>
      </c>
      <c r="BJ94" s="14"/>
      <c r="BK94" s="14"/>
      <c r="BL94" s="14"/>
      <c r="BM94" s="14"/>
      <c r="BN94" s="14"/>
      <c r="BO94" s="14"/>
      <c r="BP94" s="14"/>
      <c r="BQ94" s="14"/>
      <c r="BR94" s="14"/>
      <c r="BS94" s="14"/>
      <c r="BT94" s="14"/>
      <c r="BU94" s="14"/>
      <c r="BV94" s="14"/>
      <c r="BW94" s="14"/>
      <c r="BX94" s="14"/>
      <c r="BY94" s="14">
        <v>5</v>
      </c>
      <c r="BZ94" s="14"/>
      <c r="CA94" s="14"/>
      <c r="CB94" s="14"/>
      <c r="CC94" s="14"/>
      <c r="CD94" s="14"/>
      <c r="CE94" s="14"/>
      <c r="CF94" s="14"/>
      <c r="CG94" s="14"/>
      <c r="CH94" s="14"/>
      <c r="CI94" s="14"/>
      <c r="CJ94" s="14"/>
      <c r="CK94" s="14"/>
      <c r="CL94" s="14"/>
      <c r="CM94" s="14"/>
      <c r="CN94" s="14"/>
      <c r="CO94" s="14"/>
      <c r="CP94" s="14"/>
      <c r="CQ94" s="14"/>
      <c r="CR94" s="14"/>
      <c r="CS94" s="14"/>
      <c r="CT94" s="14"/>
      <c r="CU94" s="14"/>
    </row>
    <row r="95" spans="1:99" ht="58" hidden="1">
      <c r="A95" s="2" t="s">
        <v>3608</v>
      </c>
      <c r="B95" s="2" t="s">
        <v>6055</v>
      </c>
      <c r="C95" s="2" t="s">
        <v>6056</v>
      </c>
      <c r="D95" s="2" t="str">
        <f>_xlfn.XLOOKUP(tblTechnologies[[#This Row],[TechnologyID]],tblTargets[TargetID],tblTargets[DisplayName],"")</f>
        <v>Alchemist's Hut - Perfect Fertilizer</v>
      </c>
      <c r="E95" s="2" t="b">
        <v>1</v>
      </c>
      <c r="F95" s="2" t="s">
        <v>17</v>
      </c>
      <c r="G95" s="19" t="s">
        <v>1369</v>
      </c>
      <c r="H95" s="14" t="s">
        <v>18</v>
      </c>
      <c r="I95" s="14"/>
      <c r="J95" s="14"/>
      <c r="K95" s="14"/>
      <c r="L95" s="14"/>
      <c r="M95" s="2" t="s">
        <v>3654</v>
      </c>
      <c r="N95" s="31">
        <f>IF(tblTechnologies[[#This Row],[costtext]]="", 0, LEN(tblTechnologies[[#This Row],[costtext]]) - LEN(SUBSTITUTE(tblTechnologies[[#This Row],[costtext]], ",", "")) + 1)</f>
        <v>9</v>
      </c>
      <c r="O95" s="31">
        <f>COUNTA(tblTechnologies[[#This Row],[amazake]:[wood]])</f>
        <v>9</v>
      </c>
      <c r="P95" s="14"/>
      <c r="Q95" s="14"/>
      <c r="R95" s="14"/>
      <c r="S95" s="14"/>
      <c r="T95" s="14"/>
      <c r="U95" s="14"/>
      <c r="V95" s="14"/>
      <c r="W95" s="14">
        <v>30</v>
      </c>
      <c r="X95" s="14"/>
      <c r="Y95" s="14">
        <v>30</v>
      </c>
      <c r="Z95" s="14">
        <v>20</v>
      </c>
      <c r="AA95" s="14"/>
      <c r="AB95" s="14">
        <v>100</v>
      </c>
      <c r="AC95" s="14"/>
      <c r="AD95" s="14">
        <v>1000</v>
      </c>
      <c r="AE95" s="14"/>
      <c r="AF95" s="14"/>
      <c r="AG95" s="14"/>
      <c r="AH95" s="14"/>
      <c r="AI95" s="14"/>
      <c r="AJ95" s="14"/>
      <c r="AK95" s="14">
        <v>50</v>
      </c>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v>30</v>
      </c>
      <c r="BP95" s="14"/>
      <c r="BQ95" s="14"/>
      <c r="BR95" s="14"/>
      <c r="BS95" s="14"/>
      <c r="BT95" s="14">
        <v>20</v>
      </c>
      <c r="BU95" s="14"/>
      <c r="BV95" s="14"/>
      <c r="BW95" s="14"/>
      <c r="BX95" s="14"/>
      <c r="BY95" s="14">
        <v>5</v>
      </c>
      <c r="BZ95" s="14"/>
      <c r="CA95" s="14"/>
      <c r="CB95" s="14"/>
      <c r="CC95" s="14"/>
      <c r="CD95" s="14"/>
      <c r="CE95" s="14"/>
      <c r="CF95" s="14"/>
      <c r="CG95" s="14"/>
      <c r="CH95" s="14"/>
      <c r="CI95" s="14"/>
      <c r="CJ95" s="14"/>
      <c r="CK95" s="14"/>
      <c r="CL95" s="14"/>
      <c r="CM95" s="14"/>
      <c r="CN95" s="14"/>
      <c r="CO95" s="14"/>
      <c r="CP95" s="14"/>
      <c r="CQ95" s="14"/>
      <c r="CR95" s="14"/>
      <c r="CS95" s="14"/>
      <c r="CT95" s="14"/>
      <c r="CU95" s="14"/>
    </row>
    <row r="96" spans="1:99" ht="29" hidden="1">
      <c r="A96" s="2" t="s">
        <v>5773</v>
      </c>
      <c r="B96" s="2" t="s">
        <v>4838</v>
      </c>
      <c r="C96" s="2" t="s">
        <v>6057</v>
      </c>
      <c r="D96" s="2" t="str">
        <f>_xlfn.XLOOKUP(tblTechnologies[[#This Row],[TechnologyID]],tblTargets[TargetID],tblTargets[DisplayName],"")</f>
        <v>Windmill -  Bone Meal</v>
      </c>
      <c r="E96" s="2" t="b">
        <v>1</v>
      </c>
      <c r="F96" s="2" t="s">
        <v>155</v>
      </c>
      <c r="G96" s="19" t="s">
        <v>1370</v>
      </c>
      <c r="H96" s="14" t="s">
        <v>743</v>
      </c>
      <c r="I96" s="14"/>
      <c r="J96" s="14"/>
      <c r="K96" s="14"/>
      <c r="L96" s="14"/>
      <c r="M96" s="2" t="s">
        <v>3655</v>
      </c>
      <c r="N96" s="31">
        <f>IF(tblTechnologies[[#This Row],[costtext]]="", 0, LEN(tblTechnologies[[#This Row],[costtext]]) - LEN(SUBSTITUTE(tblTechnologies[[#This Row],[costtext]], ",", "")) + 1)</f>
        <v>7</v>
      </c>
      <c r="O96" s="31">
        <f>COUNTA(tblTechnologies[[#This Row],[amazake]:[wood]])</f>
        <v>7</v>
      </c>
      <c r="P96" s="14"/>
      <c r="Q96" s="14"/>
      <c r="R96" s="14"/>
      <c r="S96" s="14"/>
      <c r="T96" s="14"/>
      <c r="U96" s="14"/>
      <c r="V96" s="14"/>
      <c r="W96" s="14"/>
      <c r="X96" s="14">
        <v>40</v>
      </c>
      <c r="Y96" s="14"/>
      <c r="Z96" s="14"/>
      <c r="AA96" s="14"/>
      <c r="AB96" s="14"/>
      <c r="AC96" s="14"/>
      <c r="AD96" s="14">
        <v>400</v>
      </c>
      <c r="AE96" s="14"/>
      <c r="AF96" s="14"/>
      <c r="AG96" s="14"/>
      <c r="AH96" s="14">
        <v>20</v>
      </c>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v>20</v>
      </c>
      <c r="BG96" s="14"/>
      <c r="BH96" s="14"/>
      <c r="BI96" s="14"/>
      <c r="BJ96" s="14"/>
      <c r="BK96" s="14"/>
      <c r="BL96" s="14"/>
      <c r="BM96" s="14">
        <v>15</v>
      </c>
      <c r="BN96" s="14"/>
      <c r="BO96" s="14"/>
      <c r="BP96" s="14"/>
      <c r="BQ96" s="14"/>
      <c r="BR96" s="14"/>
      <c r="BS96" s="14"/>
      <c r="BT96" s="14"/>
      <c r="BU96" s="14"/>
      <c r="BV96" s="14"/>
      <c r="BW96" s="14"/>
      <c r="BX96" s="14"/>
      <c r="BY96" s="14">
        <v>5</v>
      </c>
      <c r="BZ96" s="14"/>
      <c r="CA96" s="14"/>
      <c r="CB96" s="14"/>
      <c r="CC96" s="14"/>
      <c r="CD96" s="14"/>
      <c r="CE96" s="14"/>
      <c r="CF96" s="14"/>
      <c r="CG96" s="14"/>
      <c r="CH96" s="14">
        <v>100</v>
      </c>
      <c r="CI96" s="14"/>
      <c r="CJ96" s="14"/>
      <c r="CK96" s="14"/>
      <c r="CL96" s="14"/>
      <c r="CM96" s="14"/>
      <c r="CN96" s="14"/>
      <c r="CO96" s="14"/>
      <c r="CP96" s="14"/>
      <c r="CQ96" s="14"/>
      <c r="CR96" s="14"/>
      <c r="CS96" s="14"/>
      <c r="CT96" s="14"/>
      <c r="CU96" s="14"/>
    </row>
    <row r="102" spans="9:12">
      <c r="K102"/>
      <c r="L102"/>
    </row>
    <row r="103" spans="9:12">
      <c r="I103"/>
      <c r="K103"/>
      <c r="L103"/>
    </row>
    <row r="104" spans="9:12">
      <c r="I104"/>
      <c r="K104"/>
      <c r="L104"/>
    </row>
    <row r="105" spans="9:12">
      <c r="I105"/>
      <c r="K105"/>
      <c r="L105"/>
    </row>
    <row r="106" spans="9:12">
      <c r="I106"/>
      <c r="K106"/>
      <c r="L106"/>
    </row>
    <row r="107" spans="9:12">
      <c r="I107"/>
      <c r="K107"/>
      <c r="L107"/>
    </row>
    <row r="108" spans="9:12">
      <c r="I108"/>
      <c r="K108"/>
    </row>
    <row r="109" spans="9:12">
      <c r="I109"/>
      <c r="K109"/>
    </row>
    <row r="110" spans="9:12" ht="59.5" customHeight="1">
      <c r="K110"/>
      <c r="L110"/>
    </row>
    <row r="111" spans="9:12">
      <c r="I111"/>
      <c r="L111"/>
    </row>
    <row r="112" spans="9:12">
      <c r="I112"/>
      <c r="J112"/>
      <c r="L112"/>
    </row>
    <row r="113" spans="9:12">
      <c r="I113"/>
      <c r="J113"/>
      <c r="L113"/>
    </row>
    <row r="114" spans="9:12">
      <c r="I114"/>
      <c r="J114"/>
      <c r="L114"/>
    </row>
    <row r="115" spans="9:12">
      <c r="I115"/>
      <c r="J115"/>
      <c r="L115"/>
    </row>
    <row r="116" spans="9:12">
      <c r="I116"/>
      <c r="J116"/>
      <c r="L116"/>
    </row>
    <row r="117" spans="9:12">
      <c r="I117"/>
      <c r="J117"/>
      <c r="L117"/>
    </row>
    <row r="118" spans="9:12">
      <c r="I118"/>
      <c r="J118"/>
      <c r="L118"/>
    </row>
    <row r="119" spans="9:12">
      <c r="I119"/>
      <c r="J119"/>
    </row>
    <row r="120" spans="9:12">
      <c r="J120"/>
    </row>
  </sheetData>
  <phoneticPr fontId="4" type="noConversion"/>
  <pageMargins left="0.7" right="0.7" top="0.75" bottom="0.75" header="0.3" footer="0.3"/>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2A37E-E9FE-456C-9987-296C42B294BF}">
  <sheetPr>
    <tabColor rgb="FFFFFF00"/>
  </sheetPr>
  <dimension ref="A1:L714"/>
  <sheetViews>
    <sheetView workbookViewId="0"/>
  </sheetViews>
  <sheetFormatPr defaultRowHeight="14.5"/>
  <cols>
    <col min="1" max="1" width="42" bestFit="1" customWidth="1"/>
    <col min="2" max="2" width="42" customWidth="1"/>
    <col min="3" max="3" width="56.453125" bestFit="1" customWidth="1"/>
    <col min="4" max="4" width="56.453125" customWidth="1"/>
    <col min="5" max="5" width="11.81640625" bestFit="1" customWidth="1"/>
    <col min="6" max="6" width="7.36328125" bestFit="1" customWidth="1"/>
    <col min="7" max="7" width="37.90625" customWidth="1"/>
    <col min="8" max="8" width="54.08984375" bestFit="1" customWidth="1"/>
    <col min="9" max="9" width="55.453125" bestFit="1" customWidth="1"/>
    <col min="10" max="10" width="18.54296875" bestFit="1" customWidth="1"/>
    <col min="11" max="11" width="16.1796875" bestFit="1" customWidth="1"/>
  </cols>
  <sheetData>
    <row r="1" spans="1:12">
      <c r="A1" t="s">
        <v>2701</v>
      </c>
      <c r="B1" t="s">
        <v>922</v>
      </c>
      <c r="C1" t="s">
        <v>3165</v>
      </c>
      <c r="D1" t="s">
        <v>12</v>
      </c>
      <c r="E1" t="s">
        <v>3159</v>
      </c>
      <c r="F1" t="s">
        <v>2702</v>
      </c>
      <c r="G1" t="s">
        <v>2703</v>
      </c>
      <c r="H1" t="s">
        <v>2090</v>
      </c>
      <c r="I1" t="s">
        <v>2700</v>
      </c>
      <c r="J1" t="s">
        <v>2948</v>
      </c>
      <c r="K1" t="s">
        <v>2949</v>
      </c>
      <c r="L1" t="s">
        <v>2950</v>
      </c>
    </row>
    <row r="2" spans="1:12">
      <c r="A2" t="s">
        <v>2094</v>
      </c>
      <c r="B2" t="s">
        <v>3075</v>
      </c>
      <c r="C2" t="s">
        <v>2093</v>
      </c>
      <c r="D2" t="s">
        <v>2900</v>
      </c>
      <c r="E2" t="s">
        <v>3515</v>
      </c>
      <c r="F2" t="b">
        <v>1</v>
      </c>
      <c r="G2" t="s">
        <v>2947</v>
      </c>
      <c r="H2" t="s">
        <v>2093</v>
      </c>
      <c r="I2" t="s">
        <v>2671</v>
      </c>
      <c r="J2" t="b">
        <v>1</v>
      </c>
      <c r="K2" t="b">
        <f>ISNUMBER(_xlfn.XMATCH(tbldeptemp[[#This Row],[DependencyID]],tblTargets[TargetID]))</f>
        <v>1</v>
      </c>
      <c r="L2" t="str">
        <f>IF(tbldeptemp[[#This Row],[ValidTarget]]=FALSE,"BAD TARGET",IF(tbldeptemp[[#This Row],[ValidDependency]]=FALSE,"BAD DEPENDENCY",""))</f>
        <v/>
      </c>
    </row>
    <row r="3" spans="1:12">
      <c r="A3" t="s">
        <v>2092</v>
      </c>
      <c r="B3" t="s">
        <v>2706</v>
      </c>
      <c r="C3" t="s">
        <v>15</v>
      </c>
      <c r="D3" t="s">
        <v>2842</v>
      </c>
      <c r="E3" t="s">
        <v>570</v>
      </c>
      <c r="F3" t="b">
        <v>1</v>
      </c>
      <c r="G3" t="s">
        <v>2946</v>
      </c>
      <c r="H3" t="s">
        <v>15</v>
      </c>
      <c r="I3" t="s">
        <v>13</v>
      </c>
      <c r="J3" t="b">
        <v>1</v>
      </c>
      <c r="K3" t="b">
        <f>ISNUMBER(_xlfn.XMATCH(tbldeptemp[[#This Row],[DependencyID]],tblTargets[TargetID]))</f>
        <v>1</v>
      </c>
      <c r="L3" t="str">
        <f>IF(tbldeptemp[[#This Row],[ValidTarget]]=FALSE,"BAD TARGET",IF(tbldeptemp[[#This Row],[ValidDependency]]=FALSE,"BAD DEPENDENCY",""))</f>
        <v/>
      </c>
    </row>
    <row r="4" spans="1:12">
      <c r="A4" t="s">
        <v>2651</v>
      </c>
      <c r="B4" t="s">
        <v>3055</v>
      </c>
      <c r="C4" t="s">
        <v>2650</v>
      </c>
      <c r="D4" t="s">
        <v>2842</v>
      </c>
      <c r="E4" t="s">
        <v>570</v>
      </c>
      <c r="F4" t="b">
        <v>1</v>
      </c>
      <c r="G4" t="s">
        <v>2947</v>
      </c>
      <c r="H4" t="s">
        <v>2650</v>
      </c>
      <c r="I4" t="s">
        <v>13</v>
      </c>
      <c r="J4" t="b">
        <v>1</v>
      </c>
      <c r="K4" t="b">
        <f>ISNUMBER(_xlfn.XMATCH(tbldeptemp[[#This Row],[DependencyID]],tblTargets[TargetID]))</f>
        <v>1</v>
      </c>
      <c r="L4" t="str">
        <f>IF(tbldeptemp[[#This Row],[ValidTarget]]=FALSE,"BAD TARGET",IF(tbldeptemp[[#This Row],[ValidDependency]]=FALSE,"BAD DEPENDENCY",""))</f>
        <v/>
      </c>
    </row>
    <row r="5" spans="1:12">
      <c r="A5" t="s">
        <v>2651</v>
      </c>
      <c r="B5" t="s">
        <v>3057</v>
      </c>
      <c r="C5" t="s">
        <v>2653</v>
      </c>
      <c r="D5" t="s">
        <v>2842</v>
      </c>
      <c r="E5" t="s">
        <v>570</v>
      </c>
      <c r="F5" t="b">
        <v>1</v>
      </c>
      <c r="G5" t="s">
        <v>2947</v>
      </c>
      <c r="H5" t="s">
        <v>2653</v>
      </c>
      <c r="I5" t="s">
        <v>13</v>
      </c>
      <c r="J5" t="b">
        <v>1</v>
      </c>
      <c r="K5" t="b">
        <f>ISNUMBER(_xlfn.XMATCH(tbldeptemp[[#This Row],[DependencyID]],tblTargets[TargetID]))</f>
        <v>1</v>
      </c>
      <c r="L5" t="str">
        <f>IF(tbldeptemp[[#This Row],[ValidTarget]]=FALSE,"BAD TARGET",IF(tbldeptemp[[#This Row],[ValidDependency]]=FALSE,"BAD DEPENDENCY",""))</f>
        <v/>
      </c>
    </row>
    <row r="6" spans="1:12">
      <c r="A6" t="s">
        <v>2651</v>
      </c>
      <c r="B6" t="s">
        <v>3058</v>
      </c>
      <c r="C6" t="s">
        <v>2654</v>
      </c>
      <c r="D6" t="s">
        <v>2842</v>
      </c>
      <c r="E6" t="s">
        <v>570</v>
      </c>
      <c r="F6" t="b">
        <v>1</v>
      </c>
      <c r="G6" t="s">
        <v>2947</v>
      </c>
      <c r="H6" t="s">
        <v>2654</v>
      </c>
      <c r="I6" t="s">
        <v>13</v>
      </c>
      <c r="J6" t="b">
        <v>1</v>
      </c>
      <c r="K6" t="b">
        <f>ISNUMBER(_xlfn.XMATCH(tbldeptemp[[#This Row],[DependencyID]],tblTargets[TargetID]))</f>
        <v>1</v>
      </c>
      <c r="L6" t="str">
        <f>IF(tbldeptemp[[#This Row],[ValidTarget]]=FALSE,"BAD TARGET",IF(tbldeptemp[[#This Row],[ValidDependency]]=FALSE,"BAD DEPENDENCY",""))</f>
        <v/>
      </c>
    </row>
    <row r="7" spans="1:12">
      <c r="A7" t="s">
        <v>2651</v>
      </c>
      <c r="B7" t="s">
        <v>3065</v>
      </c>
      <c r="C7" t="s">
        <v>2661</v>
      </c>
      <c r="D7" t="s">
        <v>2842</v>
      </c>
      <c r="E7" t="s">
        <v>570</v>
      </c>
      <c r="F7" t="b">
        <v>1</v>
      </c>
      <c r="G7" t="s">
        <v>2947</v>
      </c>
      <c r="H7" t="s">
        <v>2661</v>
      </c>
      <c r="I7" t="s">
        <v>13</v>
      </c>
      <c r="J7" t="b">
        <v>1</v>
      </c>
      <c r="K7" t="b">
        <f>ISNUMBER(_xlfn.XMATCH(tbldeptemp[[#This Row],[DependencyID]],tblTargets[TargetID]))</f>
        <v>1</v>
      </c>
      <c r="L7" t="str">
        <f>IF(tbldeptemp[[#This Row],[ValidTarget]]=FALSE,"BAD TARGET",IF(tbldeptemp[[#This Row],[ValidDependency]]=FALSE,"BAD DEPENDENCY",""))</f>
        <v/>
      </c>
    </row>
    <row r="8" spans="1:12">
      <c r="A8" t="s">
        <v>2651</v>
      </c>
      <c r="B8" t="s">
        <v>3070</v>
      </c>
      <c r="C8" t="s">
        <v>2666</v>
      </c>
      <c r="D8" t="s">
        <v>2842</v>
      </c>
      <c r="E8" t="s">
        <v>570</v>
      </c>
      <c r="F8" t="b">
        <v>1</v>
      </c>
      <c r="G8" t="s">
        <v>2947</v>
      </c>
      <c r="H8" t="s">
        <v>2666</v>
      </c>
      <c r="I8" t="s">
        <v>13</v>
      </c>
      <c r="J8" t="b">
        <v>1</v>
      </c>
      <c r="K8" t="b">
        <f>ISNUMBER(_xlfn.XMATCH(tbldeptemp[[#This Row],[DependencyID]],tblTargets[TargetID]))</f>
        <v>1</v>
      </c>
      <c r="L8" t="str">
        <f>IF(tbldeptemp[[#This Row],[ValidTarget]]=FALSE,"BAD TARGET",IF(tbldeptemp[[#This Row],[ValidDependency]]=FALSE,"BAD DEPENDENCY",""))</f>
        <v/>
      </c>
    </row>
    <row r="9" spans="1:12">
      <c r="A9" t="s">
        <v>2651</v>
      </c>
      <c r="B9" t="s">
        <v>3072</v>
      </c>
      <c r="C9" t="s">
        <v>2668</v>
      </c>
      <c r="D9" t="s">
        <v>2842</v>
      </c>
      <c r="E9" t="s">
        <v>570</v>
      </c>
      <c r="F9" t="b">
        <v>1</v>
      </c>
      <c r="G9" t="s">
        <v>2947</v>
      </c>
      <c r="H9" t="s">
        <v>2668</v>
      </c>
      <c r="I9" t="s">
        <v>13</v>
      </c>
      <c r="J9" t="b">
        <v>1</v>
      </c>
      <c r="K9" t="b">
        <f>ISNUMBER(_xlfn.XMATCH(tbldeptemp[[#This Row],[DependencyID]],tblTargets[TargetID]))</f>
        <v>1</v>
      </c>
      <c r="L9" t="str">
        <f>IF(tbldeptemp[[#This Row],[ValidTarget]]=FALSE,"BAD TARGET",IF(tbldeptemp[[#This Row],[ValidDependency]]=FALSE,"BAD DEPENDENCY",""))</f>
        <v/>
      </c>
    </row>
    <row r="10" spans="1:12">
      <c r="A10" t="s">
        <v>2651</v>
      </c>
      <c r="B10" t="s">
        <v>3073</v>
      </c>
      <c r="C10" t="s">
        <v>2669</v>
      </c>
      <c r="D10" t="s">
        <v>2842</v>
      </c>
      <c r="E10" t="s">
        <v>570</v>
      </c>
      <c r="F10" t="b">
        <v>1</v>
      </c>
      <c r="G10" t="s">
        <v>2947</v>
      </c>
      <c r="H10" t="s">
        <v>2669</v>
      </c>
      <c r="I10" t="s">
        <v>13</v>
      </c>
      <c r="J10" t="b">
        <v>1</v>
      </c>
      <c r="K10" t="b">
        <f>ISNUMBER(_xlfn.XMATCH(tbldeptemp[[#This Row],[DependencyID]],tblTargets[TargetID]))</f>
        <v>1</v>
      </c>
      <c r="L10" t="str">
        <f>IF(tbldeptemp[[#This Row],[ValidTarget]]=FALSE,"BAD TARGET",IF(tbldeptemp[[#This Row],[ValidDependency]]=FALSE,"BAD DEPENDENCY",""))</f>
        <v/>
      </c>
    </row>
    <row r="11" spans="1:12">
      <c r="A11" t="s">
        <v>2282</v>
      </c>
      <c r="B11" t="s">
        <v>1407</v>
      </c>
      <c r="C11" t="s">
        <v>2312</v>
      </c>
      <c r="D11" t="s">
        <v>2842</v>
      </c>
      <c r="E11" t="s">
        <v>570</v>
      </c>
      <c r="F11" t="b">
        <v>1</v>
      </c>
      <c r="G11" t="s">
        <v>2947</v>
      </c>
      <c r="H11" t="s">
        <v>2312</v>
      </c>
      <c r="I11" t="s">
        <v>13</v>
      </c>
      <c r="J11" t="b">
        <v>1</v>
      </c>
      <c r="K11" t="b">
        <f>ISNUMBER(_xlfn.XMATCH(tbldeptemp[[#This Row],[DependencyID]],tblTargets[TargetID]))</f>
        <v>1</v>
      </c>
      <c r="L11" t="str">
        <f>IF(tbldeptemp[[#This Row],[ValidTarget]]=FALSE,"BAD TARGET",IF(tbldeptemp[[#This Row],[ValidDependency]]=FALSE,"BAD DEPENDENCY",""))</f>
        <v/>
      </c>
    </row>
    <row r="12" spans="1:12">
      <c r="A12" t="s">
        <v>2282</v>
      </c>
      <c r="B12" t="s">
        <v>1425</v>
      </c>
      <c r="C12" t="s">
        <v>2387</v>
      </c>
      <c r="D12" t="s">
        <v>2842</v>
      </c>
      <c r="E12" t="s">
        <v>570</v>
      </c>
      <c r="F12" t="b">
        <v>1</v>
      </c>
      <c r="G12" t="s">
        <v>2946</v>
      </c>
      <c r="H12" t="s">
        <v>2387</v>
      </c>
      <c r="I12" t="s">
        <v>13</v>
      </c>
      <c r="J12" t="b">
        <v>1</v>
      </c>
      <c r="K12" t="b">
        <f>ISNUMBER(_xlfn.XMATCH(tbldeptemp[[#This Row],[DependencyID]],tblTargets[TargetID]))</f>
        <v>1</v>
      </c>
      <c r="L12" t="str">
        <f>IF(tbldeptemp[[#This Row],[ValidTarget]]=FALSE,"BAD TARGET",IF(tbldeptemp[[#This Row],[ValidDependency]]=FALSE,"BAD DEPENDENCY",""))</f>
        <v/>
      </c>
    </row>
    <row r="13" spans="1:12">
      <c r="A13" t="s">
        <v>2092</v>
      </c>
      <c r="B13" t="s">
        <v>3274</v>
      </c>
      <c r="C13" t="s">
        <v>2671</v>
      </c>
      <c r="E13" t="e">
        <v>#N/A</v>
      </c>
      <c r="H13" t="s">
        <v>2671</v>
      </c>
      <c r="I13" t="s">
        <v>15</v>
      </c>
      <c r="J13" t="b">
        <v>1</v>
      </c>
      <c r="K13" t="b">
        <f>ISNUMBER(_xlfn.XMATCH(tbldeptemp[[#This Row],[DependencyID]],tblTargets[TargetID]))</f>
        <v>1</v>
      </c>
      <c r="L13" t="str">
        <f>IF(tbldeptemp[[#This Row],[ValidTarget]]=FALSE,"BAD TARGET",IF(tbldeptemp[[#This Row],[ValidDependency]]=FALSE,"BAD DEPENDENCY",""))</f>
        <v/>
      </c>
    </row>
    <row r="14" spans="1:12">
      <c r="A14" t="s">
        <v>2094</v>
      </c>
      <c r="B14" t="s">
        <v>3166</v>
      </c>
      <c r="C14" t="s">
        <v>3516</v>
      </c>
      <c r="D14" t="s">
        <v>967</v>
      </c>
      <c r="E14" t="s">
        <v>3517</v>
      </c>
      <c r="F14" t="b">
        <v>1</v>
      </c>
      <c r="G14" t="s">
        <v>2947</v>
      </c>
      <c r="H14" t="s">
        <v>2120</v>
      </c>
      <c r="I14" t="s">
        <v>2672</v>
      </c>
      <c r="J14" t="b">
        <v>1</v>
      </c>
      <c r="K14" t="b">
        <f>ISNUMBER(_xlfn.XMATCH(tbldeptemp[[#This Row],[DependencyID]],tblTargets[TargetID]))</f>
        <v>1</v>
      </c>
      <c r="L14" t="str">
        <f>IF(tbldeptemp[[#This Row],[ValidTarget]]=FALSE,"BAD TARGET",IF(tbldeptemp[[#This Row],[ValidDependency]]=FALSE,"BAD DEPENDENCY",""))</f>
        <v/>
      </c>
    </row>
    <row r="15" spans="1:12">
      <c r="A15" t="s">
        <v>2094</v>
      </c>
      <c r="B15" t="s">
        <v>6430</v>
      </c>
      <c r="C15" t="s">
        <v>3519</v>
      </c>
      <c r="D15" t="s">
        <v>967</v>
      </c>
      <c r="E15" t="s">
        <v>3517</v>
      </c>
      <c r="F15" t="b">
        <v>1</v>
      </c>
      <c r="G15" t="s">
        <v>2947</v>
      </c>
      <c r="H15" t="s">
        <v>2128</v>
      </c>
      <c r="I15" t="s">
        <v>2672</v>
      </c>
      <c r="J15" t="b">
        <v>1</v>
      </c>
      <c r="K15" t="b">
        <f>ISNUMBER(_xlfn.XMATCH(tbldeptemp[[#This Row],[DependencyID]],tblTargets[TargetID]))</f>
        <v>1</v>
      </c>
      <c r="L15" t="str">
        <f>IF(tbldeptemp[[#This Row],[ValidTarget]]=FALSE,"BAD TARGET",IF(tbldeptemp[[#This Row],[ValidDependency]]=FALSE,"BAD DEPENDENCY",""))</f>
        <v/>
      </c>
    </row>
    <row r="16" spans="1:12">
      <c r="A16" t="s">
        <v>2094</v>
      </c>
      <c r="B16" t="s">
        <v>3167</v>
      </c>
      <c r="C16" t="s">
        <v>3521</v>
      </c>
      <c r="D16" t="s">
        <v>967</v>
      </c>
      <c r="E16" t="s">
        <v>3517</v>
      </c>
      <c r="F16" t="b">
        <v>1</v>
      </c>
      <c r="G16" t="s">
        <v>2947</v>
      </c>
      <c r="H16" t="s">
        <v>2122</v>
      </c>
      <c r="I16" t="s">
        <v>2672</v>
      </c>
      <c r="J16" t="b">
        <v>1</v>
      </c>
      <c r="K16" t="b">
        <f>ISNUMBER(_xlfn.XMATCH(tbldeptemp[[#This Row],[DependencyID]],tblTargets[TargetID]))</f>
        <v>1</v>
      </c>
      <c r="L16" t="str">
        <f>IF(tbldeptemp[[#This Row],[ValidTarget]]=FALSE,"BAD TARGET",IF(tbldeptemp[[#This Row],[ValidDependency]]=FALSE,"BAD DEPENDENCY",""))</f>
        <v/>
      </c>
    </row>
    <row r="17" spans="1:12">
      <c r="A17" t="s">
        <v>2094</v>
      </c>
      <c r="B17" t="s">
        <v>3076</v>
      </c>
      <c r="C17" t="s">
        <v>3523</v>
      </c>
      <c r="D17" t="s">
        <v>967</v>
      </c>
      <c r="E17" t="s">
        <v>3517</v>
      </c>
      <c r="F17" t="b">
        <v>1</v>
      </c>
      <c r="G17" t="s">
        <v>2947</v>
      </c>
      <c r="H17" t="s">
        <v>2100</v>
      </c>
      <c r="I17" t="s">
        <v>2672</v>
      </c>
      <c r="J17" t="b">
        <v>1</v>
      </c>
      <c r="K17" t="b">
        <f>ISNUMBER(_xlfn.XMATCH(tbldeptemp[[#This Row],[DependencyID]],tblTargets[TargetID]))</f>
        <v>1</v>
      </c>
      <c r="L17" t="str">
        <f>IF(tbldeptemp[[#This Row],[ValidTarget]]=FALSE,"BAD TARGET",IF(tbldeptemp[[#This Row],[ValidDependency]]=FALSE,"BAD DEPENDENCY",""))</f>
        <v/>
      </c>
    </row>
    <row r="18" spans="1:12">
      <c r="A18" t="s">
        <v>2094</v>
      </c>
      <c r="B18" t="s">
        <v>3077</v>
      </c>
      <c r="C18" t="s">
        <v>3525</v>
      </c>
      <c r="D18" t="s">
        <v>967</v>
      </c>
      <c r="E18" t="s">
        <v>3517</v>
      </c>
      <c r="F18" t="b">
        <v>1</v>
      </c>
      <c r="G18" t="s">
        <v>2946</v>
      </c>
      <c r="H18" t="s">
        <v>2124</v>
      </c>
      <c r="I18" t="s">
        <v>2672</v>
      </c>
      <c r="J18" t="b">
        <v>1</v>
      </c>
      <c r="K18" t="b">
        <f>ISNUMBER(_xlfn.XMATCH(tbldeptemp[[#This Row],[DependencyID]],tblTargets[TargetID]))</f>
        <v>1</v>
      </c>
      <c r="L18" t="str">
        <f>IF(tbldeptemp[[#This Row],[ValidTarget]]=FALSE,"BAD TARGET",IF(tbldeptemp[[#This Row],[ValidDependency]]=FALSE,"BAD DEPENDENCY",""))</f>
        <v/>
      </c>
    </row>
    <row r="19" spans="1:12">
      <c r="A19" t="s">
        <v>2094</v>
      </c>
      <c r="B19" t="s">
        <v>3078</v>
      </c>
      <c r="C19" t="s">
        <v>3526</v>
      </c>
      <c r="D19" t="s">
        <v>967</v>
      </c>
      <c r="E19" t="s">
        <v>3517</v>
      </c>
      <c r="F19" t="b">
        <v>1</v>
      </c>
      <c r="G19" t="s">
        <v>2947</v>
      </c>
      <c r="H19" t="s">
        <v>2106</v>
      </c>
      <c r="I19" t="s">
        <v>2672</v>
      </c>
      <c r="J19" t="b">
        <v>1</v>
      </c>
      <c r="K19" t="b">
        <f>ISNUMBER(_xlfn.XMATCH(tbldeptemp[[#This Row],[DependencyID]],tblTargets[TargetID]))</f>
        <v>1</v>
      </c>
      <c r="L19" t="str">
        <f>IF(tbldeptemp[[#This Row],[ValidTarget]]=FALSE,"BAD TARGET",IF(tbldeptemp[[#This Row],[ValidDependency]]=FALSE,"BAD DEPENDENCY",""))</f>
        <v/>
      </c>
    </row>
    <row r="20" spans="1:12">
      <c r="A20" t="s">
        <v>2094</v>
      </c>
      <c r="B20" t="s">
        <v>3079</v>
      </c>
      <c r="C20" t="s">
        <v>3528</v>
      </c>
      <c r="D20" t="s">
        <v>967</v>
      </c>
      <c r="E20" t="s">
        <v>3517</v>
      </c>
      <c r="F20" t="b">
        <v>1</v>
      </c>
      <c r="G20" t="s">
        <v>2946</v>
      </c>
      <c r="H20" t="s">
        <v>2096</v>
      </c>
      <c r="I20" t="s">
        <v>2672</v>
      </c>
      <c r="J20" t="b">
        <v>1</v>
      </c>
      <c r="K20" t="b">
        <f>ISNUMBER(_xlfn.XMATCH(tbldeptemp[[#This Row],[DependencyID]],tblTargets[TargetID]))</f>
        <v>1</v>
      </c>
      <c r="L20" t="str">
        <f>IF(tbldeptemp[[#This Row],[ValidTarget]]=FALSE,"BAD TARGET",IF(tbldeptemp[[#This Row],[ValidDependency]]=FALSE,"BAD DEPENDENCY",""))</f>
        <v/>
      </c>
    </row>
    <row r="21" spans="1:12">
      <c r="A21" t="s">
        <v>2094</v>
      </c>
      <c r="B21" t="s">
        <v>3080</v>
      </c>
      <c r="C21" t="s">
        <v>3529</v>
      </c>
      <c r="D21" t="s">
        <v>967</v>
      </c>
      <c r="E21" t="s">
        <v>3517</v>
      </c>
      <c r="F21" t="b">
        <v>1</v>
      </c>
      <c r="G21" t="s">
        <v>2947</v>
      </c>
      <c r="H21" t="s">
        <v>2108</v>
      </c>
      <c r="I21" t="s">
        <v>2672</v>
      </c>
      <c r="J21" t="b">
        <v>1</v>
      </c>
      <c r="K21" t="b">
        <f>ISNUMBER(_xlfn.XMATCH(tbldeptemp[[#This Row],[DependencyID]],tblTargets[TargetID]))</f>
        <v>1</v>
      </c>
      <c r="L21" t="str">
        <f>IF(tbldeptemp[[#This Row],[ValidTarget]]=FALSE,"BAD TARGET",IF(tbldeptemp[[#This Row],[ValidDependency]]=FALSE,"BAD DEPENDENCY",""))</f>
        <v/>
      </c>
    </row>
    <row r="22" spans="1:12">
      <c r="A22" t="s">
        <v>2094</v>
      </c>
      <c r="B22" t="s">
        <v>3081</v>
      </c>
      <c r="C22" t="s">
        <v>3530</v>
      </c>
      <c r="D22" t="s">
        <v>967</v>
      </c>
      <c r="E22" t="s">
        <v>3517</v>
      </c>
      <c r="F22" t="b">
        <v>1</v>
      </c>
      <c r="G22" t="s">
        <v>2947</v>
      </c>
      <c r="H22" t="s">
        <v>2104</v>
      </c>
      <c r="I22" t="s">
        <v>2672</v>
      </c>
      <c r="J22" t="b">
        <v>1</v>
      </c>
      <c r="K22" t="b">
        <f>ISNUMBER(_xlfn.XMATCH(tbldeptemp[[#This Row],[DependencyID]],tblTargets[TargetID]))</f>
        <v>1</v>
      </c>
      <c r="L22" t="str">
        <f>IF(tbldeptemp[[#This Row],[ValidTarget]]=FALSE,"BAD TARGET",IF(tbldeptemp[[#This Row],[ValidDependency]]=FALSE,"BAD DEPENDENCY",""))</f>
        <v/>
      </c>
    </row>
    <row r="23" spans="1:12">
      <c r="A23" t="s">
        <v>2094</v>
      </c>
      <c r="B23" t="s">
        <v>3082</v>
      </c>
      <c r="C23" t="s">
        <v>3531</v>
      </c>
      <c r="D23" t="s">
        <v>967</v>
      </c>
      <c r="E23" t="s">
        <v>3517</v>
      </c>
      <c r="F23" t="b">
        <v>1</v>
      </c>
      <c r="G23" t="s">
        <v>2947</v>
      </c>
      <c r="H23" t="s">
        <v>2126</v>
      </c>
      <c r="I23" t="s">
        <v>2672</v>
      </c>
      <c r="J23" t="b">
        <v>1</v>
      </c>
      <c r="K23" t="b">
        <f>ISNUMBER(_xlfn.XMATCH(tbldeptemp[[#This Row],[DependencyID]],tblTargets[TargetID]))</f>
        <v>1</v>
      </c>
      <c r="L23" t="str">
        <f>IF(tbldeptemp[[#This Row],[ValidTarget]]=FALSE,"BAD TARGET",IF(tbldeptemp[[#This Row],[ValidDependency]]=FALSE,"BAD DEPENDENCY",""))</f>
        <v/>
      </c>
    </row>
    <row r="24" spans="1:12">
      <c r="A24" t="s">
        <v>2094</v>
      </c>
      <c r="B24" t="s">
        <v>3168</v>
      </c>
      <c r="C24" t="s">
        <v>3532</v>
      </c>
      <c r="D24" t="s">
        <v>967</v>
      </c>
      <c r="E24" t="s">
        <v>3517</v>
      </c>
      <c r="F24" t="b">
        <v>1</v>
      </c>
      <c r="G24" t="s">
        <v>2947</v>
      </c>
      <c r="H24" t="s">
        <v>2118</v>
      </c>
      <c r="I24" t="s">
        <v>2672</v>
      </c>
      <c r="J24" t="b">
        <v>1</v>
      </c>
      <c r="K24" t="b">
        <f>ISNUMBER(_xlfn.XMATCH(tbldeptemp[[#This Row],[DependencyID]],tblTargets[TargetID]))</f>
        <v>1</v>
      </c>
      <c r="L24" t="str">
        <f>IF(tbldeptemp[[#This Row],[ValidTarget]]=FALSE,"BAD TARGET",IF(tbldeptemp[[#This Row],[ValidDependency]]=FALSE,"BAD DEPENDENCY",""))</f>
        <v/>
      </c>
    </row>
    <row r="25" spans="1:12">
      <c r="A25" t="s">
        <v>2094</v>
      </c>
      <c r="B25" t="s">
        <v>3169</v>
      </c>
      <c r="C25" t="s">
        <v>3535</v>
      </c>
      <c r="D25" t="s">
        <v>967</v>
      </c>
      <c r="E25" t="s">
        <v>3517</v>
      </c>
      <c r="F25" t="b">
        <v>1</v>
      </c>
      <c r="G25" t="s">
        <v>2946</v>
      </c>
      <c r="H25" t="s">
        <v>2114</v>
      </c>
      <c r="I25" t="s">
        <v>2672</v>
      </c>
      <c r="J25" t="b">
        <v>1</v>
      </c>
      <c r="K25" t="b">
        <f>ISNUMBER(_xlfn.XMATCH(tbldeptemp[[#This Row],[DependencyID]],tblTargets[TargetID]))</f>
        <v>1</v>
      </c>
      <c r="L25" t="str">
        <f>IF(tbldeptemp[[#This Row],[ValidTarget]]=FALSE,"BAD TARGET",IF(tbldeptemp[[#This Row],[ValidDependency]]=FALSE,"BAD DEPENDENCY",""))</f>
        <v/>
      </c>
    </row>
    <row r="26" spans="1:12">
      <c r="A26" t="s">
        <v>2094</v>
      </c>
      <c r="B26" t="s">
        <v>3083</v>
      </c>
      <c r="C26" t="s">
        <v>3536</v>
      </c>
      <c r="D26" t="s">
        <v>967</v>
      </c>
      <c r="E26" t="s">
        <v>3517</v>
      </c>
      <c r="F26" t="b">
        <v>1</v>
      </c>
      <c r="G26" t="s">
        <v>2946</v>
      </c>
      <c r="H26" t="s">
        <v>2112</v>
      </c>
      <c r="I26" t="s">
        <v>2672</v>
      </c>
      <c r="J26" t="b">
        <v>1</v>
      </c>
      <c r="K26" t="b">
        <f>ISNUMBER(_xlfn.XMATCH(tbldeptemp[[#This Row],[DependencyID]],tblTargets[TargetID]))</f>
        <v>1</v>
      </c>
      <c r="L26" t="str">
        <f>IF(tbldeptemp[[#This Row],[ValidTarget]]=FALSE,"BAD TARGET",IF(tbldeptemp[[#This Row],[ValidDependency]]=FALSE,"BAD DEPENDENCY",""))</f>
        <v/>
      </c>
    </row>
    <row r="27" spans="1:12">
      <c r="A27" t="s">
        <v>2094</v>
      </c>
      <c r="B27" t="s">
        <v>3084</v>
      </c>
      <c r="C27" t="s">
        <v>3537</v>
      </c>
      <c r="D27" t="s">
        <v>967</v>
      </c>
      <c r="E27" t="s">
        <v>3517</v>
      </c>
      <c r="F27" t="b">
        <v>1</v>
      </c>
      <c r="G27" t="s">
        <v>2946</v>
      </c>
      <c r="H27" t="s">
        <v>2110</v>
      </c>
      <c r="I27" t="s">
        <v>2672</v>
      </c>
      <c r="J27" t="b">
        <v>1</v>
      </c>
      <c r="K27" t="b">
        <f>ISNUMBER(_xlfn.XMATCH(tbldeptemp[[#This Row],[DependencyID]],tblTargets[TargetID]))</f>
        <v>1</v>
      </c>
      <c r="L27" t="str">
        <f>IF(tbldeptemp[[#This Row],[ValidTarget]]=FALSE,"BAD TARGET",IF(tbldeptemp[[#This Row],[ValidDependency]]=FALSE,"BAD DEPENDENCY",""))</f>
        <v/>
      </c>
    </row>
    <row r="28" spans="1:12">
      <c r="A28" t="s">
        <v>2094</v>
      </c>
      <c r="B28" t="s">
        <v>3085</v>
      </c>
      <c r="C28" t="s">
        <v>3538</v>
      </c>
      <c r="D28" t="s">
        <v>967</v>
      </c>
      <c r="E28" t="s">
        <v>3517</v>
      </c>
      <c r="F28" t="b">
        <v>1</v>
      </c>
      <c r="G28" t="s">
        <v>2947</v>
      </c>
      <c r="H28" t="s">
        <v>2116</v>
      </c>
      <c r="I28" t="s">
        <v>2672</v>
      </c>
      <c r="J28" t="b">
        <v>1</v>
      </c>
      <c r="K28" t="b">
        <f>ISNUMBER(_xlfn.XMATCH(tbldeptemp[[#This Row],[DependencyID]],tblTargets[TargetID]))</f>
        <v>1</v>
      </c>
      <c r="L28" t="str">
        <f>IF(tbldeptemp[[#This Row],[ValidTarget]]=FALSE,"BAD TARGET",IF(tbldeptemp[[#This Row],[ValidDependency]]=FALSE,"BAD DEPENDENCY",""))</f>
        <v/>
      </c>
    </row>
    <row r="29" spans="1:12">
      <c r="A29" t="s">
        <v>2094</v>
      </c>
      <c r="B29" t="s">
        <v>3086</v>
      </c>
      <c r="C29" t="s">
        <v>3540</v>
      </c>
      <c r="D29" t="s">
        <v>967</v>
      </c>
      <c r="E29" t="s">
        <v>3517</v>
      </c>
      <c r="F29" t="b">
        <v>1</v>
      </c>
      <c r="G29" t="s">
        <v>2947</v>
      </c>
      <c r="H29" t="s">
        <v>2102</v>
      </c>
      <c r="I29" t="s">
        <v>2672</v>
      </c>
      <c r="J29" t="b">
        <v>1</v>
      </c>
      <c r="K29" t="b">
        <f>ISNUMBER(_xlfn.XMATCH(tbldeptemp[[#This Row],[DependencyID]],tblTargets[TargetID]))</f>
        <v>1</v>
      </c>
      <c r="L29" t="str">
        <f>IF(tbldeptemp[[#This Row],[ValidTarget]]=FALSE,"BAD TARGET",IF(tbldeptemp[[#This Row],[ValidDependency]]=FALSE,"BAD DEPENDENCY",""))</f>
        <v/>
      </c>
    </row>
    <row r="30" spans="1:12">
      <c r="A30" t="s">
        <v>2094</v>
      </c>
      <c r="B30" t="s">
        <v>6431</v>
      </c>
      <c r="C30" t="s">
        <v>3541</v>
      </c>
      <c r="D30" t="s">
        <v>967</v>
      </c>
      <c r="E30" t="s">
        <v>3517</v>
      </c>
      <c r="F30" t="b">
        <v>1</v>
      </c>
      <c r="G30" t="s">
        <v>2946</v>
      </c>
      <c r="H30" t="s">
        <v>2098</v>
      </c>
      <c r="I30" t="s">
        <v>2672</v>
      </c>
      <c r="J30" t="b">
        <v>1</v>
      </c>
      <c r="K30" t="b">
        <f>ISNUMBER(_xlfn.XMATCH(tbldeptemp[[#This Row],[DependencyID]],tblTargets[TargetID]))</f>
        <v>1</v>
      </c>
      <c r="L30" t="str">
        <f>IF(tbldeptemp[[#This Row],[ValidTarget]]=FALSE,"BAD TARGET",IF(tbldeptemp[[#This Row],[ValidDependency]]=FALSE,"BAD DEPENDENCY",""))</f>
        <v/>
      </c>
    </row>
    <row r="31" spans="1:12">
      <c r="A31" t="s">
        <v>2092</v>
      </c>
      <c r="B31" t="s">
        <v>2952</v>
      </c>
      <c r="C31" t="s">
        <v>19</v>
      </c>
      <c r="D31" t="s">
        <v>571</v>
      </c>
      <c r="E31" t="s">
        <v>3298</v>
      </c>
      <c r="F31" t="b">
        <v>1</v>
      </c>
      <c r="G31" t="s">
        <v>2946</v>
      </c>
      <c r="H31" t="s">
        <v>19</v>
      </c>
      <c r="I31" t="s">
        <v>16</v>
      </c>
      <c r="J31" t="b">
        <v>1</v>
      </c>
      <c r="K31" t="b">
        <f>ISNUMBER(_xlfn.XMATCH(tbldeptemp[[#This Row],[DependencyID]],tblTargets[TargetID]))</f>
        <v>1</v>
      </c>
      <c r="L31" t="str">
        <f>IF(tbldeptemp[[#This Row],[ValidTarget]]=FALSE,"BAD TARGET",IF(tbldeptemp[[#This Row],[ValidDependency]]=FALSE,"BAD DEPENDENCY",""))</f>
        <v/>
      </c>
    </row>
    <row r="32" spans="1:12">
      <c r="A32" t="s">
        <v>2092</v>
      </c>
      <c r="B32" t="s">
        <v>2953</v>
      </c>
      <c r="C32" t="s">
        <v>20</v>
      </c>
      <c r="D32" t="s">
        <v>572</v>
      </c>
      <c r="E32" t="s">
        <v>3299</v>
      </c>
      <c r="F32" t="b">
        <v>1</v>
      </c>
      <c r="G32" t="s">
        <v>2946</v>
      </c>
      <c r="H32" t="s">
        <v>20</v>
      </c>
      <c r="I32" t="s">
        <v>19</v>
      </c>
      <c r="J32" t="b">
        <v>1</v>
      </c>
      <c r="K32" t="b">
        <f>ISNUMBER(_xlfn.XMATCH(tbldeptemp[[#This Row],[DependencyID]],tblTargets[TargetID]))</f>
        <v>1</v>
      </c>
      <c r="L32" t="str">
        <f>IF(tbldeptemp[[#This Row],[ValidTarget]]=FALSE,"BAD TARGET",IF(tbldeptemp[[#This Row],[ValidDependency]]=FALSE,"BAD DEPENDENCY",""))</f>
        <v/>
      </c>
    </row>
    <row r="33" spans="1:12">
      <c r="A33" t="s">
        <v>2092</v>
      </c>
      <c r="B33" t="s">
        <v>2955</v>
      </c>
      <c r="C33" t="s">
        <v>22</v>
      </c>
      <c r="D33" t="s">
        <v>574</v>
      </c>
      <c r="E33" t="s">
        <v>3301</v>
      </c>
      <c r="F33" t="b">
        <v>1</v>
      </c>
      <c r="G33" t="s">
        <v>2946</v>
      </c>
      <c r="H33" t="s">
        <v>22</v>
      </c>
      <c r="I33" t="s">
        <v>21</v>
      </c>
      <c r="J33" t="b">
        <v>1</v>
      </c>
      <c r="K33" t="b">
        <f>ISNUMBER(_xlfn.XMATCH(tbldeptemp[[#This Row],[DependencyID]],tblTargets[TargetID]))</f>
        <v>1</v>
      </c>
      <c r="L33" t="str">
        <f>IF(tbldeptemp[[#This Row],[ValidTarget]]=FALSE,"BAD TARGET",IF(tbldeptemp[[#This Row],[ValidDependency]]=FALSE,"BAD DEPENDENCY",""))</f>
        <v/>
      </c>
    </row>
    <row r="34" spans="1:12">
      <c r="A34" t="s">
        <v>2092</v>
      </c>
      <c r="B34" t="s">
        <v>2956</v>
      </c>
      <c r="C34" t="s">
        <v>23</v>
      </c>
      <c r="D34" t="s">
        <v>575</v>
      </c>
      <c r="E34" t="s">
        <v>3302</v>
      </c>
      <c r="F34" t="b">
        <v>1</v>
      </c>
      <c r="G34" t="s">
        <v>2946</v>
      </c>
      <c r="H34" t="s">
        <v>23</v>
      </c>
      <c r="I34" t="s">
        <v>22</v>
      </c>
      <c r="J34" t="b">
        <v>1</v>
      </c>
      <c r="K34" t="b">
        <f>ISNUMBER(_xlfn.XMATCH(tbldeptemp[[#This Row],[DependencyID]],tblTargets[TargetID]))</f>
        <v>1</v>
      </c>
      <c r="L34" t="str">
        <f>IF(tbldeptemp[[#This Row],[ValidTarget]]=FALSE,"BAD TARGET",IF(tbldeptemp[[#This Row],[ValidDependency]]=FALSE,"BAD DEPENDENCY",""))</f>
        <v/>
      </c>
    </row>
    <row r="35" spans="1:12">
      <c r="A35" t="s">
        <v>2651</v>
      </c>
      <c r="B35" t="s">
        <v>3060</v>
      </c>
      <c r="C35" t="s">
        <v>2656</v>
      </c>
      <c r="D35" t="s">
        <v>2845</v>
      </c>
      <c r="E35" t="s">
        <v>3424</v>
      </c>
      <c r="F35" t="b">
        <v>1</v>
      </c>
      <c r="G35" t="s">
        <v>2947</v>
      </c>
      <c r="H35" t="s">
        <v>2656</v>
      </c>
      <c r="I35" t="s">
        <v>23</v>
      </c>
      <c r="J35" t="b">
        <v>1</v>
      </c>
      <c r="K35" t="b">
        <f>ISNUMBER(_xlfn.XMATCH(tbldeptemp[[#This Row],[DependencyID]],tblTargets[TargetID]))</f>
        <v>1</v>
      </c>
      <c r="L35" t="str">
        <f>IF(tbldeptemp[[#This Row],[ValidTarget]]=FALSE,"BAD TARGET",IF(tbldeptemp[[#This Row],[ValidDependency]]=FALSE,"BAD DEPENDENCY",""))</f>
        <v/>
      </c>
    </row>
    <row r="36" spans="1:12">
      <c r="A36" t="s">
        <v>2651</v>
      </c>
      <c r="B36" t="s">
        <v>3073</v>
      </c>
      <c r="C36" t="s">
        <v>2669</v>
      </c>
      <c r="D36" t="s">
        <v>2845</v>
      </c>
      <c r="E36" t="s">
        <v>3424</v>
      </c>
      <c r="F36" t="b">
        <v>1</v>
      </c>
      <c r="G36" t="s">
        <v>2947</v>
      </c>
      <c r="H36" t="s">
        <v>2669</v>
      </c>
      <c r="I36" t="s">
        <v>23</v>
      </c>
      <c r="J36" t="b">
        <v>1</v>
      </c>
      <c r="K36" t="b">
        <f>ISNUMBER(_xlfn.XMATCH(tbldeptemp[[#This Row],[DependencyID]],tblTargets[TargetID]))</f>
        <v>1</v>
      </c>
      <c r="L36" t="str">
        <f>IF(tbldeptemp[[#This Row],[ValidTarget]]=FALSE,"BAD TARGET",IF(tbldeptemp[[#This Row],[ValidDependency]]=FALSE,"BAD DEPENDENCY",""))</f>
        <v/>
      </c>
    </row>
    <row r="37" spans="1:12">
      <c r="A37" t="s">
        <v>2092</v>
      </c>
      <c r="B37" t="s">
        <v>3275</v>
      </c>
      <c r="C37" t="s">
        <v>2672</v>
      </c>
      <c r="E37" t="e">
        <v>#N/A</v>
      </c>
      <c r="H37" t="s">
        <v>2672</v>
      </c>
      <c r="I37" t="s">
        <v>23</v>
      </c>
      <c r="J37" t="b">
        <v>1</v>
      </c>
      <c r="K37" t="b">
        <f>ISNUMBER(_xlfn.XMATCH(tbldeptemp[[#This Row],[DependencyID]],tblTargets[TargetID]))</f>
        <v>1</v>
      </c>
      <c r="L37" t="str">
        <f>IF(tbldeptemp[[#This Row],[ValidTarget]]=FALSE,"BAD TARGET",IF(tbldeptemp[[#This Row],[ValidDependency]]=FALSE,"BAD DEPENDENCY",""))</f>
        <v/>
      </c>
    </row>
    <row r="38" spans="1:12">
      <c r="A38" t="s">
        <v>2092</v>
      </c>
      <c r="B38" t="s">
        <v>2715</v>
      </c>
      <c r="C38" t="s">
        <v>26</v>
      </c>
      <c r="D38" t="s">
        <v>576</v>
      </c>
      <c r="E38" t="s">
        <v>576</v>
      </c>
      <c r="F38" t="b">
        <v>1</v>
      </c>
      <c r="G38" t="s">
        <v>2946</v>
      </c>
      <c r="H38" t="s">
        <v>26</v>
      </c>
      <c r="I38" t="s">
        <v>24</v>
      </c>
      <c r="J38" t="b">
        <v>1</v>
      </c>
      <c r="K38" t="b">
        <f>ISNUMBER(_xlfn.XMATCH(tbldeptemp[[#This Row],[DependencyID]],tblTargets[TargetID]))</f>
        <v>1</v>
      </c>
      <c r="L38" t="str">
        <f>IF(tbldeptemp[[#This Row],[ValidTarget]]=FALSE,"BAD TARGET",IF(tbldeptemp[[#This Row],[ValidDependency]]=FALSE,"BAD DEPENDENCY",""))</f>
        <v/>
      </c>
    </row>
    <row r="39" spans="1:12">
      <c r="A39" t="s">
        <v>2094</v>
      </c>
      <c r="B39" t="s">
        <v>3087</v>
      </c>
      <c r="C39" t="s">
        <v>2130</v>
      </c>
      <c r="D39" t="s">
        <v>1039</v>
      </c>
      <c r="E39" t="s">
        <v>3542</v>
      </c>
      <c r="F39" t="b">
        <v>1</v>
      </c>
      <c r="G39" t="s">
        <v>2946</v>
      </c>
      <c r="H39" t="s">
        <v>2130</v>
      </c>
      <c r="I39" t="s">
        <v>2673</v>
      </c>
      <c r="J39" t="b">
        <v>1</v>
      </c>
      <c r="K39" t="b">
        <f>ISNUMBER(_xlfn.XMATCH(tbldeptemp[[#This Row],[DependencyID]],tblTargets[TargetID]))</f>
        <v>1</v>
      </c>
      <c r="L39" t="str">
        <f>IF(tbldeptemp[[#This Row],[ValidTarget]]=FALSE,"BAD TARGET",IF(tbldeptemp[[#This Row],[ValidDependency]]=FALSE,"BAD DEPENDENCY",""))</f>
        <v/>
      </c>
    </row>
    <row r="40" spans="1:12">
      <c r="A40" t="s">
        <v>2094</v>
      </c>
      <c r="B40" t="s">
        <v>3088</v>
      </c>
      <c r="C40" t="s">
        <v>2132</v>
      </c>
      <c r="D40" t="s">
        <v>1039</v>
      </c>
      <c r="E40" t="s">
        <v>3542</v>
      </c>
      <c r="F40" t="b">
        <v>1</v>
      </c>
      <c r="G40" t="s">
        <v>2946</v>
      </c>
      <c r="H40" t="s">
        <v>2132</v>
      </c>
      <c r="I40" t="s">
        <v>2673</v>
      </c>
      <c r="J40" t="b">
        <v>1</v>
      </c>
      <c r="K40" t="b">
        <f>ISNUMBER(_xlfn.XMATCH(tbldeptemp[[#This Row],[DependencyID]],tblTargets[TargetID]))</f>
        <v>1</v>
      </c>
      <c r="L40" t="str">
        <f>IF(tbldeptemp[[#This Row],[ValidTarget]]=FALSE,"BAD TARGET",IF(tbldeptemp[[#This Row],[ValidDependency]]=FALSE,"BAD DEPENDENCY",""))</f>
        <v/>
      </c>
    </row>
    <row r="41" spans="1:12">
      <c r="A41" t="s">
        <v>2092</v>
      </c>
      <c r="B41" t="s">
        <v>2704</v>
      </c>
      <c r="C41" t="s">
        <v>13</v>
      </c>
      <c r="D41" t="s">
        <v>569</v>
      </c>
      <c r="E41" t="s">
        <v>569</v>
      </c>
      <c r="F41" t="b">
        <v>1</v>
      </c>
      <c r="G41" t="s">
        <v>2946</v>
      </c>
      <c r="H41" t="s">
        <v>13</v>
      </c>
      <c r="I41" t="s">
        <v>27</v>
      </c>
      <c r="J41" t="b">
        <v>1</v>
      </c>
      <c r="K41" t="b">
        <f>ISNUMBER(_xlfn.XMATCH(tbldeptemp[[#This Row],[DependencyID]],tblTargets[TargetID]))</f>
        <v>1</v>
      </c>
      <c r="L41" t="str">
        <f>IF(tbldeptemp[[#This Row],[ValidTarget]]=FALSE,"BAD TARGET",IF(tbldeptemp[[#This Row],[ValidDependency]]=FALSE,"BAD DEPENDENCY",""))</f>
        <v/>
      </c>
    </row>
    <row r="42" spans="1:12">
      <c r="A42" t="s">
        <v>2092</v>
      </c>
      <c r="B42" t="s">
        <v>2718</v>
      </c>
      <c r="C42" t="s">
        <v>29</v>
      </c>
      <c r="D42" t="s">
        <v>569</v>
      </c>
      <c r="E42" t="s">
        <v>569</v>
      </c>
      <c r="F42" t="b">
        <v>1</v>
      </c>
      <c r="G42" t="s">
        <v>2946</v>
      </c>
      <c r="H42" t="s">
        <v>29</v>
      </c>
      <c r="I42" t="s">
        <v>27</v>
      </c>
      <c r="J42" t="b">
        <v>1</v>
      </c>
      <c r="K42" t="b">
        <f>ISNUMBER(_xlfn.XMATCH(tbldeptemp[[#This Row],[DependencyID]],tblTargets[TargetID]))</f>
        <v>1</v>
      </c>
      <c r="L42" t="str">
        <f>IF(tbldeptemp[[#This Row],[ValidTarget]]=FALSE,"BAD TARGET",IF(tbldeptemp[[#This Row],[ValidDependency]]=FALSE,"BAD DEPENDENCY",""))</f>
        <v/>
      </c>
    </row>
    <row r="43" spans="1:12">
      <c r="A43" t="s">
        <v>2092</v>
      </c>
      <c r="B43" t="s">
        <v>2774</v>
      </c>
      <c r="C43" t="s">
        <v>97</v>
      </c>
      <c r="D43" t="s">
        <v>569</v>
      </c>
      <c r="E43" t="s">
        <v>569</v>
      </c>
      <c r="F43" t="b">
        <v>1</v>
      </c>
      <c r="G43" t="s">
        <v>2946</v>
      </c>
      <c r="H43" t="s">
        <v>97</v>
      </c>
      <c r="I43" t="s">
        <v>27</v>
      </c>
      <c r="J43" t="b">
        <v>1</v>
      </c>
      <c r="K43" t="b">
        <f>ISNUMBER(_xlfn.XMATCH(tbldeptemp[[#This Row],[DependencyID]],tblTargets[TargetID]))</f>
        <v>1</v>
      </c>
      <c r="L43" t="str">
        <f>IF(tbldeptemp[[#This Row],[ValidTarget]]=FALSE,"BAD TARGET",IF(tbldeptemp[[#This Row],[ValidDependency]]=FALSE,"BAD DEPENDENCY",""))</f>
        <v/>
      </c>
    </row>
    <row r="44" spans="1:12">
      <c r="A44" t="s">
        <v>2092</v>
      </c>
      <c r="B44" t="s">
        <v>2805</v>
      </c>
      <c r="C44" t="s">
        <v>129</v>
      </c>
      <c r="D44" t="s">
        <v>569</v>
      </c>
      <c r="E44" t="s">
        <v>569</v>
      </c>
      <c r="F44" t="b">
        <v>1</v>
      </c>
      <c r="G44" t="s">
        <v>2946</v>
      </c>
      <c r="H44" t="s">
        <v>129</v>
      </c>
      <c r="I44" t="s">
        <v>27</v>
      </c>
      <c r="J44" t="b">
        <v>1</v>
      </c>
      <c r="K44" t="b">
        <f>ISNUMBER(_xlfn.XMATCH(tbldeptemp[[#This Row],[DependencyID]],tblTargets[TargetID]))</f>
        <v>1</v>
      </c>
      <c r="L44" t="str">
        <f>IF(tbldeptemp[[#This Row],[ValidTarget]]=FALSE,"BAD TARGET",IF(tbldeptemp[[#This Row],[ValidDependency]]=FALSE,"BAD DEPENDENCY",""))</f>
        <v/>
      </c>
    </row>
    <row r="45" spans="1:12">
      <c r="A45" t="s">
        <v>2092</v>
      </c>
      <c r="B45" t="s">
        <v>2806</v>
      </c>
      <c r="C45" t="s">
        <v>131</v>
      </c>
      <c r="D45" t="s">
        <v>569</v>
      </c>
      <c r="E45" t="s">
        <v>569</v>
      </c>
      <c r="F45" t="b">
        <v>1</v>
      </c>
      <c r="G45" t="s">
        <v>2946</v>
      </c>
      <c r="H45" t="s">
        <v>131</v>
      </c>
      <c r="I45" t="s">
        <v>27</v>
      </c>
      <c r="J45" t="b">
        <v>1</v>
      </c>
      <c r="K45" t="b">
        <f>ISNUMBER(_xlfn.XMATCH(tbldeptemp[[#This Row],[DependencyID]],tblTargets[TargetID]))</f>
        <v>1</v>
      </c>
      <c r="L45" t="str">
        <f>IF(tbldeptemp[[#This Row],[ValidTarget]]=FALSE,"BAD TARGET",IF(tbldeptemp[[#This Row],[ValidDependency]]=FALSE,"BAD DEPENDENCY",""))</f>
        <v/>
      </c>
    </row>
    <row r="46" spans="1:12">
      <c r="A46" t="s">
        <v>2651</v>
      </c>
      <c r="B46" t="s">
        <v>3061</v>
      </c>
      <c r="C46" t="s">
        <v>2657</v>
      </c>
      <c r="D46" t="s">
        <v>569</v>
      </c>
      <c r="E46" t="s">
        <v>569</v>
      </c>
      <c r="F46" t="b">
        <v>1</v>
      </c>
      <c r="G46" t="s">
        <v>2947</v>
      </c>
      <c r="H46" t="s">
        <v>2657</v>
      </c>
      <c r="I46" t="s">
        <v>27</v>
      </c>
      <c r="J46" t="b">
        <v>1</v>
      </c>
      <c r="K46" t="b">
        <f>ISNUMBER(_xlfn.XMATCH(tbldeptemp[[#This Row],[DependencyID]],tblTargets[TargetID]))</f>
        <v>1</v>
      </c>
      <c r="L46" t="str">
        <f>IF(tbldeptemp[[#This Row],[ValidTarget]]=FALSE,"BAD TARGET",IF(tbldeptemp[[#This Row],[ValidDependency]]=FALSE,"BAD DEPENDENCY",""))</f>
        <v/>
      </c>
    </row>
    <row r="47" spans="1:12">
      <c r="A47" t="s">
        <v>2651</v>
      </c>
      <c r="B47" t="s">
        <v>3062</v>
      </c>
      <c r="C47" t="s">
        <v>2658</v>
      </c>
      <c r="D47" t="s">
        <v>569</v>
      </c>
      <c r="E47" t="s">
        <v>569</v>
      </c>
      <c r="F47" t="b">
        <v>1</v>
      </c>
      <c r="G47" t="s">
        <v>2947</v>
      </c>
      <c r="H47" t="s">
        <v>2658</v>
      </c>
      <c r="I47" t="s">
        <v>27</v>
      </c>
      <c r="J47" t="b">
        <v>1</v>
      </c>
      <c r="K47" t="b">
        <f>ISNUMBER(_xlfn.XMATCH(tbldeptemp[[#This Row],[DependencyID]],tblTargets[TargetID]))</f>
        <v>1</v>
      </c>
      <c r="L47" t="str">
        <f>IF(tbldeptemp[[#This Row],[ValidTarget]]=FALSE,"BAD TARGET",IF(tbldeptemp[[#This Row],[ValidDependency]]=FALSE,"BAD DEPENDENCY",""))</f>
        <v/>
      </c>
    </row>
    <row r="48" spans="1:12">
      <c r="A48" t="s">
        <v>2651</v>
      </c>
      <c r="B48" t="s">
        <v>3063</v>
      </c>
      <c r="C48" t="s">
        <v>2659</v>
      </c>
      <c r="D48" t="s">
        <v>569</v>
      </c>
      <c r="E48" t="s">
        <v>569</v>
      </c>
      <c r="F48" t="b">
        <v>1</v>
      </c>
      <c r="G48" t="s">
        <v>2947</v>
      </c>
      <c r="H48" t="s">
        <v>2659</v>
      </c>
      <c r="I48" t="s">
        <v>27</v>
      </c>
      <c r="J48" t="b">
        <v>1</v>
      </c>
      <c r="K48" t="b">
        <f>ISNUMBER(_xlfn.XMATCH(tbldeptemp[[#This Row],[DependencyID]],tblTargets[TargetID]))</f>
        <v>1</v>
      </c>
      <c r="L48" t="str">
        <f>IF(tbldeptemp[[#This Row],[ValidTarget]]=FALSE,"BAD TARGET",IF(tbldeptemp[[#This Row],[ValidDependency]]=FALSE,"BAD DEPENDENCY",""))</f>
        <v/>
      </c>
    </row>
    <row r="49" spans="1:12">
      <c r="A49" t="s">
        <v>2282</v>
      </c>
      <c r="B49" t="s">
        <v>1374</v>
      </c>
      <c r="C49" t="s">
        <v>2309</v>
      </c>
      <c r="D49" t="s">
        <v>569</v>
      </c>
      <c r="E49" t="s">
        <v>569</v>
      </c>
      <c r="F49" t="b">
        <v>1</v>
      </c>
      <c r="G49" t="s">
        <v>2946</v>
      </c>
      <c r="H49" t="s">
        <v>2309</v>
      </c>
      <c r="I49" t="s">
        <v>27</v>
      </c>
      <c r="J49" t="b">
        <v>1</v>
      </c>
      <c r="K49" t="b">
        <f>ISNUMBER(_xlfn.XMATCH(tbldeptemp[[#This Row],[DependencyID]],tblTargets[TargetID]))</f>
        <v>1</v>
      </c>
      <c r="L49" t="str">
        <f>IF(tbldeptemp[[#This Row],[ValidTarget]]=FALSE,"BAD TARGET",IF(tbldeptemp[[#This Row],[ValidDependency]]=FALSE,"BAD DEPENDENCY",""))</f>
        <v/>
      </c>
    </row>
    <row r="50" spans="1:12">
      <c r="A50" t="s">
        <v>2282</v>
      </c>
      <c r="B50" t="s">
        <v>1410</v>
      </c>
      <c r="C50" t="s">
        <v>2321</v>
      </c>
      <c r="D50" t="s">
        <v>569</v>
      </c>
      <c r="E50" t="s">
        <v>569</v>
      </c>
      <c r="F50" t="b">
        <v>1</v>
      </c>
      <c r="G50" t="s">
        <v>2946</v>
      </c>
      <c r="H50" t="s">
        <v>2321</v>
      </c>
      <c r="I50" t="s">
        <v>27</v>
      </c>
      <c r="J50" t="b">
        <v>1</v>
      </c>
      <c r="K50" t="b">
        <f>ISNUMBER(_xlfn.XMATCH(tbldeptemp[[#This Row],[DependencyID]],tblTargets[TargetID]))</f>
        <v>1</v>
      </c>
      <c r="L50" t="str">
        <f>IF(tbldeptemp[[#This Row],[ValidTarget]]=FALSE,"BAD TARGET",IF(tbldeptemp[[#This Row],[ValidDependency]]=FALSE,"BAD DEPENDENCY",""))</f>
        <v/>
      </c>
    </row>
    <row r="51" spans="1:12">
      <c r="A51" t="s">
        <v>2282</v>
      </c>
      <c r="B51" t="s">
        <v>1433</v>
      </c>
      <c r="C51" t="s">
        <v>2411</v>
      </c>
      <c r="D51" t="s">
        <v>569</v>
      </c>
      <c r="E51" t="s">
        <v>569</v>
      </c>
      <c r="F51" t="b">
        <v>1</v>
      </c>
      <c r="G51" t="s">
        <v>2946</v>
      </c>
      <c r="H51" t="s">
        <v>2411</v>
      </c>
      <c r="I51" t="s">
        <v>27</v>
      </c>
      <c r="J51" t="b">
        <v>1</v>
      </c>
      <c r="K51" t="b">
        <f>ISNUMBER(_xlfn.XMATCH(tbldeptemp[[#This Row],[DependencyID]],tblTargets[TargetID]))</f>
        <v>1</v>
      </c>
      <c r="L51" t="str">
        <f>IF(tbldeptemp[[#This Row],[ValidTarget]]=FALSE,"BAD TARGET",IF(tbldeptemp[[#This Row],[ValidDependency]]=FALSE,"BAD DEPENDENCY",""))</f>
        <v/>
      </c>
    </row>
    <row r="52" spans="1:12">
      <c r="A52" t="s">
        <v>2092</v>
      </c>
      <c r="B52" t="s">
        <v>3276</v>
      </c>
      <c r="C52" t="s">
        <v>2673</v>
      </c>
      <c r="E52" t="e">
        <v>#N/A</v>
      </c>
      <c r="H52" t="s">
        <v>2673</v>
      </c>
      <c r="I52" t="s">
        <v>27</v>
      </c>
      <c r="J52" t="b">
        <v>1</v>
      </c>
      <c r="K52" t="b">
        <f>ISNUMBER(_xlfn.XMATCH(tbldeptemp[[#This Row],[DependencyID]],tblTargets[TargetID]))</f>
        <v>1</v>
      </c>
      <c r="L52" t="str">
        <f>IF(tbldeptemp[[#This Row],[ValidTarget]]=FALSE,"BAD TARGET",IF(tbldeptemp[[#This Row],[ValidDependency]]=FALSE,"BAD DEPENDENCY",""))</f>
        <v/>
      </c>
    </row>
    <row r="53" spans="1:12">
      <c r="A53" t="s">
        <v>2092</v>
      </c>
      <c r="B53" t="s">
        <v>2719</v>
      </c>
      <c r="C53" t="s">
        <v>31</v>
      </c>
      <c r="D53" t="s">
        <v>577</v>
      </c>
      <c r="E53" t="s">
        <v>577</v>
      </c>
      <c r="F53" t="b">
        <v>1</v>
      </c>
      <c r="G53" t="s">
        <v>2946</v>
      </c>
      <c r="H53" t="s">
        <v>31</v>
      </c>
      <c r="I53" t="s">
        <v>29</v>
      </c>
      <c r="J53" t="b">
        <v>1</v>
      </c>
      <c r="K53" t="b">
        <f>ISNUMBER(_xlfn.XMATCH(tbldeptemp[[#This Row],[DependencyID]],tblTargets[TargetID]))</f>
        <v>1</v>
      </c>
      <c r="L53" t="str">
        <f>IF(tbldeptemp[[#This Row],[ValidTarget]]=FALSE,"BAD TARGET",IF(tbldeptemp[[#This Row],[ValidDependency]]=FALSE,"BAD DEPENDENCY",""))</f>
        <v/>
      </c>
    </row>
    <row r="54" spans="1:12">
      <c r="A54" t="s">
        <v>2092</v>
      </c>
      <c r="B54" t="s">
        <v>2720</v>
      </c>
      <c r="C54" t="s">
        <v>32</v>
      </c>
      <c r="D54" t="s">
        <v>577</v>
      </c>
      <c r="E54" t="s">
        <v>577</v>
      </c>
      <c r="F54" t="b">
        <v>1</v>
      </c>
      <c r="G54" t="s">
        <v>2947</v>
      </c>
      <c r="H54" t="s">
        <v>32</v>
      </c>
      <c r="I54" t="s">
        <v>29</v>
      </c>
      <c r="J54" t="b">
        <v>1</v>
      </c>
      <c r="K54" t="b">
        <f>ISNUMBER(_xlfn.XMATCH(tbldeptemp[[#This Row],[DependencyID]],tblTargets[TargetID]))</f>
        <v>1</v>
      </c>
      <c r="L54" t="str">
        <f>IF(tbldeptemp[[#This Row],[ValidTarget]]=FALSE,"BAD TARGET",IF(tbldeptemp[[#This Row],[ValidDependency]]=FALSE,"BAD DEPENDENCY",""))</f>
        <v/>
      </c>
    </row>
    <row r="55" spans="1:12">
      <c r="A55" t="s">
        <v>2092</v>
      </c>
      <c r="B55" t="s">
        <v>2720</v>
      </c>
      <c r="C55" t="s">
        <v>32</v>
      </c>
      <c r="D55" t="s">
        <v>578</v>
      </c>
      <c r="E55" t="s">
        <v>578</v>
      </c>
      <c r="F55" t="b">
        <v>1</v>
      </c>
      <c r="G55" t="s">
        <v>2946</v>
      </c>
      <c r="H55" t="s">
        <v>32</v>
      </c>
      <c r="I55" t="s">
        <v>31</v>
      </c>
      <c r="J55" t="b">
        <v>1</v>
      </c>
      <c r="K55" t="b">
        <f>ISNUMBER(_xlfn.XMATCH(tbldeptemp[[#This Row],[DependencyID]],tblTargets[TargetID]))</f>
        <v>1</v>
      </c>
      <c r="L55" t="str">
        <f>IF(tbldeptemp[[#This Row],[ValidTarget]]=FALSE,"BAD TARGET",IF(tbldeptemp[[#This Row],[ValidDependency]]=FALSE,"BAD DEPENDENCY",""))</f>
        <v/>
      </c>
    </row>
    <row r="56" spans="1:12">
      <c r="A56" t="s">
        <v>2092</v>
      </c>
      <c r="B56" t="s">
        <v>2721</v>
      </c>
      <c r="C56" t="s">
        <v>33</v>
      </c>
      <c r="D56" t="s">
        <v>578</v>
      </c>
      <c r="E56" t="s">
        <v>578</v>
      </c>
      <c r="F56" t="b">
        <v>1</v>
      </c>
      <c r="G56" t="s">
        <v>2947</v>
      </c>
      <c r="H56" t="s">
        <v>33</v>
      </c>
      <c r="I56" t="s">
        <v>31</v>
      </c>
      <c r="J56" t="b">
        <v>1</v>
      </c>
      <c r="K56" t="b">
        <f>ISNUMBER(_xlfn.XMATCH(tbldeptemp[[#This Row],[DependencyID]],tblTargets[TargetID]))</f>
        <v>1</v>
      </c>
      <c r="L56" t="str">
        <f>IF(tbldeptemp[[#This Row],[ValidTarget]]=FALSE,"BAD TARGET",IF(tbldeptemp[[#This Row],[ValidDependency]]=FALSE,"BAD DEPENDENCY",""))</f>
        <v/>
      </c>
    </row>
    <row r="57" spans="1:12">
      <c r="A57" t="s">
        <v>2092</v>
      </c>
      <c r="B57" t="s">
        <v>2721</v>
      </c>
      <c r="C57" t="s">
        <v>33</v>
      </c>
      <c r="D57" t="s">
        <v>579</v>
      </c>
      <c r="E57" t="s">
        <v>579</v>
      </c>
      <c r="F57" t="b">
        <v>1</v>
      </c>
      <c r="G57" t="s">
        <v>2946</v>
      </c>
      <c r="H57" t="s">
        <v>33</v>
      </c>
      <c r="I57" t="s">
        <v>32</v>
      </c>
      <c r="J57" t="b">
        <v>1</v>
      </c>
      <c r="K57" t="b">
        <f>ISNUMBER(_xlfn.XMATCH(tbldeptemp[[#This Row],[DependencyID]],tblTargets[TargetID]))</f>
        <v>1</v>
      </c>
      <c r="L57" t="str">
        <f>IF(tbldeptemp[[#This Row],[ValidTarget]]=FALSE,"BAD TARGET",IF(tbldeptemp[[#This Row],[ValidDependency]]=FALSE,"BAD DEPENDENCY",""))</f>
        <v/>
      </c>
    </row>
    <row r="58" spans="1:12">
      <c r="A58" t="s">
        <v>2092</v>
      </c>
      <c r="B58" t="s">
        <v>2724</v>
      </c>
      <c r="C58" t="s">
        <v>36</v>
      </c>
      <c r="D58" t="s">
        <v>580</v>
      </c>
      <c r="E58" t="s">
        <v>580</v>
      </c>
      <c r="F58" t="b">
        <v>1</v>
      </c>
      <c r="G58" t="s">
        <v>2946</v>
      </c>
      <c r="H58" t="s">
        <v>36</v>
      </c>
      <c r="I58" t="s">
        <v>34</v>
      </c>
      <c r="J58" t="b">
        <v>1</v>
      </c>
      <c r="K58" t="b">
        <f>ISNUMBER(_xlfn.XMATCH(tbldeptemp[[#This Row],[DependencyID]],tblTargets[TargetID]))</f>
        <v>1</v>
      </c>
      <c r="L58" t="str">
        <f>IF(tbldeptemp[[#This Row],[ValidTarget]]=FALSE,"BAD TARGET",IF(tbldeptemp[[#This Row],[ValidDependency]]=FALSE,"BAD DEPENDENCY",""))</f>
        <v/>
      </c>
    </row>
    <row r="59" spans="1:12">
      <c r="A59" t="s">
        <v>2094</v>
      </c>
      <c r="B59" t="s">
        <v>3089</v>
      </c>
      <c r="C59" t="s">
        <v>2136</v>
      </c>
      <c r="D59" t="s">
        <v>1048</v>
      </c>
      <c r="E59" t="s">
        <v>3544</v>
      </c>
      <c r="F59" t="b">
        <v>0</v>
      </c>
      <c r="G59" t="s">
        <v>2947</v>
      </c>
      <c r="H59" t="s">
        <v>2136</v>
      </c>
      <c r="I59" t="s">
        <v>2674</v>
      </c>
      <c r="J59" t="b">
        <v>1</v>
      </c>
      <c r="K59" t="b">
        <f>ISNUMBER(_xlfn.XMATCH(tbldeptemp[[#This Row],[DependencyID]],tblTargets[TargetID]))</f>
        <v>1</v>
      </c>
      <c r="L59" t="str">
        <f>IF(tbldeptemp[[#This Row],[ValidTarget]]=FALSE,"BAD TARGET",IF(tbldeptemp[[#This Row],[ValidDependency]]=FALSE,"BAD DEPENDENCY",""))</f>
        <v/>
      </c>
    </row>
    <row r="60" spans="1:12">
      <c r="A60" t="s">
        <v>2094</v>
      </c>
      <c r="B60" t="s">
        <v>3090</v>
      </c>
      <c r="C60" t="s">
        <v>2134</v>
      </c>
      <c r="D60" t="s">
        <v>1048</v>
      </c>
      <c r="E60" t="s">
        <v>3544</v>
      </c>
      <c r="F60" t="b">
        <v>0</v>
      </c>
      <c r="G60" t="s">
        <v>2946</v>
      </c>
      <c r="H60" t="s">
        <v>2134</v>
      </c>
      <c r="I60" t="s">
        <v>2674</v>
      </c>
      <c r="J60" t="b">
        <v>1</v>
      </c>
      <c r="K60" t="b">
        <f>ISNUMBER(_xlfn.XMATCH(tbldeptemp[[#This Row],[DependencyID]],tblTargets[TargetID]))</f>
        <v>1</v>
      </c>
      <c r="L60" t="str">
        <f>IF(tbldeptemp[[#This Row],[ValidTarget]]=FALSE,"BAD TARGET",IF(tbldeptemp[[#This Row],[ValidDependency]]=FALSE,"BAD DEPENDENCY",""))</f>
        <v/>
      </c>
    </row>
    <row r="61" spans="1:12">
      <c r="A61" t="s">
        <v>2092</v>
      </c>
      <c r="B61" t="s">
        <v>2727</v>
      </c>
      <c r="C61" t="s">
        <v>39</v>
      </c>
      <c r="D61" t="s">
        <v>582</v>
      </c>
      <c r="E61" t="s">
        <v>582</v>
      </c>
      <c r="F61" t="b">
        <v>0</v>
      </c>
      <c r="G61" t="s">
        <v>2946</v>
      </c>
      <c r="H61" t="s">
        <v>39</v>
      </c>
      <c r="I61" t="s">
        <v>37</v>
      </c>
      <c r="J61" t="b">
        <v>1</v>
      </c>
      <c r="K61" t="b">
        <f>ISNUMBER(_xlfn.XMATCH(tbldeptemp[[#This Row],[DependencyID]],tblTargets[TargetID]))</f>
        <v>1</v>
      </c>
      <c r="L61" t="str">
        <f>IF(tbldeptemp[[#This Row],[ValidTarget]]=FALSE,"BAD TARGET",IF(tbldeptemp[[#This Row],[ValidDependency]]=FALSE,"BAD DEPENDENCY",""))</f>
        <v/>
      </c>
    </row>
    <row r="62" spans="1:12">
      <c r="A62" t="s">
        <v>2282</v>
      </c>
      <c r="B62" t="s">
        <v>1440</v>
      </c>
      <c r="C62" t="s">
        <v>2432</v>
      </c>
      <c r="D62" t="s">
        <v>1638</v>
      </c>
      <c r="E62" t="s">
        <v>1638</v>
      </c>
      <c r="F62" t="b">
        <v>0</v>
      </c>
      <c r="G62" t="s">
        <v>2946</v>
      </c>
      <c r="H62" t="s">
        <v>2432</v>
      </c>
      <c r="I62" t="s">
        <v>39</v>
      </c>
      <c r="J62" t="b">
        <v>1</v>
      </c>
      <c r="K62" t="b">
        <f>ISNUMBER(_xlfn.XMATCH(tbldeptemp[[#This Row],[DependencyID]],tblTargets[TargetID]))</f>
        <v>1</v>
      </c>
      <c r="L62" t="str">
        <f>IF(tbldeptemp[[#This Row],[ValidTarget]]=FALSE,"BAD TARGET",IF(tbldeptemp[[#This Row],[ValidDependency]]=FALSE,"BAD DEPENDENCY",""))</f>
        <v/>
      </c>
    </row>
    <row r="63" spans="1:12">
      <c r="A63" t="s">
        <v>2092</v>
      </c>
      <c r="B63" t="s">
        <v>3277</v>
      </c>
      <c r="C63" t="s">
        <v>2674</v>
      </c>
      <c r="E63" t="e">
        <v>#N/A</v>
      </c>
      <c r="H63" t="s">
        <v>2674</v>
      </c>
      <c r="I63" t="s">
        <v>39</v>
      </c>
      <c r="J63" t="b">
        <v>1</v>
      </c>
      <c r="K63" t="b">
        <f>ISNUMBER(_xlfn.XMATCH(tbldeptemp[[#This Row],[DependencyID]],tblTargets[TargetID]))</f>
        <v>1</v>
      </c>
      <c r="L63" t="str">
        <f>IF(tbldeptemp[[#This Row],[ValidTarget]]=FALSE,"BAD TARGET",IF(tbldeptemp[[#This Row],[ValidDependency]]=FALSE,"BAD DEPENDENCY",""))</f>
        <v/>
      </c>
    </row>
    <row r="64" spans="1:12">
      <c r="A64" t="s">
        <v>2092</v>
      </c>
      <c r="B64" t="s">
        <v>2731</v>
      </c>
      <c r="C64" t="s">
        <v>42</v>
      </c>
      <c r="D64" t="s">
        <v>1573</v>
      </c>
      <c r="E64" t="s">
        <v>583</v>
      </c>
      <c r="F64" t="b">
        <v>1</v>
      </c>
      <c r="G64" t="s">
        <v>2946</v>
      </c>
      <c r="H64" t="s">
        <v>42</v>
      </c>
      <c r="I64" t="s">
        <v>40</v>
      </c>
      <c r="J64" t="b">
        <v>1</v>
      </c>
      <c r="K64" t="b">
        <f>ISNUMBER(_xlfn.XMATCH(tbldeptemp[[#This Row],[DependencyID]],tblTargets[TargetID]))</f>
        <v>1</v>
      </c>
      <c r="L64" t="str">
        <f>IF(tbldeptemp[[#This Row],[ValidTarget]]=FALSE,"BAD TARGET",IF(tbldeptemp[[#This Row],[ValidDependency]]=FALSE,"BAD DEPENDENCY",""))</f>
        <v/>
      </c>
    </row>
    <row r="65" spans="1:12">
      <c r="A65" t="s">
        <v>2651</v>
      </c>
      <c r="B65" t="s">
        <v>3059</v>
      </c>
      <c r="C65" t="s">
        <v>2655</v>
      </c>
      <c r="D65" t="s">
        <v>1573</v>
      </c>
      <c r="E65" t="s">
        <v>583</v>
      </c>
      <c r="F65" t="b">
        <v>1</v>
      </c>
      <c r="G65" t="s">
        <v>2947</v>
      </c>
      <c r="H65" t="s">
        <v>2655</v>
      </c>
      <c r="I65" t="s">
        <v>40</v>
      </c>
      <c r="J65" t="b">
        <v>1</v>
      </c>
      <c r="K65" t="b">
        <f>ISNUMBER(_xlfn.XMATCH(tbldeptemp[[#This Row],[DependencyID]],tblTargets[TargetID]))</f>
        <v>1</v>
      </c>
      <c r="L65" t="str">
        <f>IF(tbldeptemp[[#This Row],[ValidTarget]]=FALSE,"BAD TARGET",IF(tbldeptemp[[#This Row],[ValidDependency]]=FALSE,"BAD DEPENDENCY",""))</f>
        <v/>
      </c>
    </row>
    <row r="66" spans="1:12">
      <c r="A66" t="s">
        <v>2651</v>
      </c>
      <c r="B66" t="s">
        <v>3066</v>
      </c>
      <c r="C66" t="s">
        <v>2662</v>
      </c>
      <c r="D66" t="s">
        <v>1573</v>
      </c>
      <c r="E66" t="s">
        <v>583</v>
      </c>
      <c r="F66" t="b">
        <v>1</v>
      </c>
      <c r="G66" t="s">
        <v>2947</v>
      </c>
      <c r="H66" t="s">
        <v>2662</v>
      </c>
      <c r="I66" t="s">
        <v>40</v>
      </c>
      <c r="J66" t="b">
        <v>1</v>
      </c>
      <c r="K66" t="b">
        <f>ISNUMBER(_xlfn.XMATCH(tbldeptemp[[#This Row],[DependencyID]],tblTargets[TargetID]))</f>
        <v>1</v>
      </c>
      <c r="L66" t="str">
        <f>IF(tbldeptemp[[#This Row],[ValidTarget]]=FALSE,"BAD TARGET",IF(tbldeptemp[[#This Row],[ValidDependency]]=FALSE,"BAD DEPENDENCY",""))</f>
        <v/>
      </c>
    </row>
    <row r="67" spans="1:12">
      <c r="A67" t="s">
        <v>2651</v>
      </c>
      <c r="B67" t="s">
        <v>3074</v>
      </c>
      <c r="C67" t="s">
        <v>2670</v>
      </c>
      <c r="D67" t="s">
        <v>1573</v>
      </c>
      <c r="E67" t="s">
        <v>583</v>
      </c>
      <c r="F67" t="b">
        <v>1</v>
      </c>
      <c r="G67" t="s">
        <v>2947</v>
      </c>
      <c r="H67" t="s">
        <v>2670</v>
      </c>
      <c r="I67" t="s">
        <v>40</v>
      </c>
      <c r="J67" t="b">
        <v>1</v>
      </c>
      <c r="K67" t="b">
        <f>ISNUMBER(_xlfn.XMATCH(tbldeptemp[[#This Row],[DependencyID]],tblTargets[TargetID]))</f>
        <v>1</v>
      </c>
      <c r="L67" t="str">
        <f>IF(tbldeptemp[[#This Row],[ValidTarget]]=FALSE,"BAD TARGET",IF(tbldeptemp[[#This Row],[ValidDependency]]=FALSE,"BAD DEPENDENCY",""))</f>
        <v/>
      </c>
    </row>
    <row r="68" spans="1:12">
      <c r="A68" t="s">
        <v>2282</v>
      </c>
      <c r="B68" t="s">
        <v>1421</v>
      </c>
      <c r="C68" t="s">
        <v>2375</v>
      </c>
      <c r="D68" t="s">
        <v>1573</v>
      </c>
      <c r="E68" t="s">
        <v>583</v>
      </c>
      <c r="F68" t="b">
        <v>1</v>
      </c>
      <c r="G68" t="s">
        <v>2946</v>
      </c>
      <c r="H68" t="s">
        <v>2375</v>
      </c>
      <c r="I68" t="s">
        <v>40</v>
      </c>
      <c r="J68" t="b">
        <v>1</v>
      </c>
      <c r="K68" t="b">
        <f>ISNUMBER(_xlfn.XMATCH(tbldeptemp[[#This Row],[DependencyID]],tblTargets[TargetID]))</f>
        <v>1</v>
      </c>
      <c r="L68" t="str">
        <f>IF(tbldeptemp[[#This Row],[ValidTarget]]=FALSE,"BAD TARGET",IF(tbldeptemp[[#This Row],[ValidDependency]]=FALSE,"BAD DEPENDENCY",""))</f>
        <v/>
      </c>
    </row>
    <row r="69" spans="1:12">
      <c r="A69" t="s">
        <v>2092</v>
      </c>
      <c r="B69" t="s">
        <v>2733</v>
      </c>
      <c r="C69" t="s">
        <v>43</v>
      </c>
      <c r="D69" t="s">
        <v>584</v>
      </c>
      <c r="E69" t="s">
        <v>584</v>
      </c>
      <c r="F69" t="b">
        <v>1</v>
      </c>
      <c r="G69" t="s">
        <v>2946</v>
      </c>
      <c r="H69" t="s">
        <v>43</v>
      </c>
      <c r="I69" t="s">
        <v>42</v>
      </c>
      <c r="J69" t="b">
        <v>1</v>
      </c>
      <c r="K69" t="b">
        <f>ISNUMBER(_xlfn.XMATCH(tbldeptemp[[#This Row],[DependencyID]],tblTargets[TargetID]))</f>
        <v>1</v>
      </c>
      <c r="L69" t="str">
        <f>IF(tbldeptemp[[#This Row],[ValidTarget]]=FALSE,"BAD TARGET",IF(tbldeptemp[[#This Row],[ValidDependency]]=FALSE,"BAD DEPENDENCY",""))</f>
        <v/>
      </c>
    </row>
    <row r="70" spans="1:12">
      <c r="A70" t="s">
        <v>2092</v>
      </c>
      <c r="B70" t="s">
        <v>2734</v>
      </c>
      <c r="C70" t="s">
        <v>44</v>
      </c>
      <c r="D70" t="s">
        <v>1058</v>
      </c>
      <c r="E70" t="s">
        <v>585</v>
      </c>
      <c r="F70" t="b">
        <v>1</v>
      </c>
      <c r="G70" t="s">
        <v>2946</v>
      </c>
      <c r="H70" t="s">
        <v>44</v>
      </c>
      <c r="I70" t="s">
        <v>43</v>
      </c>
      <c r="J70" t="b">
        <v>1</v>
      </c>
      <c r="K70" t="b">
        <f>ISNUMBER(_xlfn.XMATCH(tbldeptemp[[#This Row],[DependencyID]],tblTargets[TargetID]))</f>
        <v>1</v>
      </c>
      <c r="L70" t="str">
        <f>IF(tbldeptemp[[#This Row],[ValidTarget]]=FALSE,"BAD TARGET",IF(tbldeptemp[[#This Row],[ValidDependency]]=FALSE,"BAD DEPENDENCY",""))</f>
        <v/>
      </c>
    </row>
    <row r="71" spans="1:12">
      <c r="A71" t="s">
        <v>2563</v>
      </c>
      <c r="B71" t="s">
        <v>850</v>
      </c>
      <c r="C71" t="s">
        <v>2568</v>
      </c>
      <c r="D71" t="s">
        <v>1058</v>
      </c>
      <c r="E71" t="s">
        <v>585</v>
      </c>
      <c r="F71" t="b">
        <v>1</v>
      </c>
      <c r="G71" t="s">
        <v>2946</v>
      </c>
      <c r="H71" t="s">
        <v>2568</v>
      </c>
      <c r="I71" t="s">
        <v>43</v>
      </c>
      <c r="J71" t="b">
        <v>1</v>
      </c>
      <c r="K71" t="b">
        <f>ISNUMBER(_xlfn.XMATCH(tbldeptemp[[#This Row],[DependencyID]],tblTargets[TargetID]))</f>
        <v>1</v>
      </c>
      <c r="L71" t="str">
        <f>IF(tbldeptemp[[#This Row],[ValidTarget]]=FALSE,"BAD TARGET",IF(tbldeptemp[[#This Row],[ValidDependency]]=FALSE,"BAD DEPENDENCY",""))</f>
        <v/>
      </c>
    </row>
    <row r="72" spans="1:12">
      <c r="A72" t="s">
        <v>2563</v>
      </c>
      <c r="B72" t="s">
        <v>1731</v>
      </c>
      <c r="C72" t="s">
        <v>2572</v>
      </c>
      <c r="D72" t="s">
        <v>1058</v>
      </c>
      <c r="E72" t="s">
        <v>585</v>
      </c>
      <c r="F72" t="b">
        <v>1</v>
      </c>
      <c r="G72" t="s">
        <v>2947</v>
      </c>
      <c r="H72" t="s">
        <v>2572</v>
      </c>
      <c r="I72" t="s">
        <v>43</v>
      </c>
      <c r="J72" t="b">
        <v>1</v>
      </c>
      <c r="K72" t="b">
        <f>ISNUMBER(_xlfn.XMATCH(tbldeptemp[[#This Row],[DependencyID]],tblTargets[TargetID]))</f>
        <v>1</v>
      </c>
      <c r="L72" t="str">
        <f>IF(tbldeptemp[[#This Row],[ValidTarget]]=FALSE,"BAD TARGET",IF(tbldeptemp[[#This Row],[ValidDependency]]=FALSE,"BAD DEPENDENCY",""))</f>
        <v/>
      </c>
    </row>
    <row r="73" spans="1:12">
      <c r="A73" t="s">
        <v>2563</v>
      </c>
      <c r="B73" t="s">
        <v>1732</v>
      </c>
      <c r="C73" t="s">
        <v>2573</v>
      </c>
      <c r="D73" t="s">
        <v>1058</v>
      </c>
      <c r="E73" t="s">
        <v>585</v>
      </c>
      <c r="F73" t="b">
        <v>1</v>
      </c>
      <c r="G73" t="s">
        <v>2947</v>
      </c>
      <c r="H73" t="s">
        <v>2573</v>
      </c>
      <c r="I73" t="s">
        <v>43</v>
      </c>
      <c r="J73" t="b">
        <v>1</v>
      </c>
      <c r="K73" t="b">
        <f>ISNUMBER(_xlfn.XMATCH(tbldeptemp[[#This Row],[DependencyID]],tblTargets[TargetID]))</f>
        <v>1</v>
      </c>
      <c r="L73" t="str">
        <f>IF(tbldeptemp[[#This Row],[ValidTarget]]=FALSE,"BAD TARGET",IF(tbldeptemp[[#This Row],[ValidDependency]]=FALSE,"BAD DEPENDENCY",""))</f>
        <v/>
      </c>
    </row>
    <row r="74" spans="1:12">
      <c r="A74" t="s">
        <v>2094</v>
      </c>
      <c r="B74" t="s">
        <v>3091</v>
      </c>
      <c r="C74" t="s">
        <v>2138</v>
      </c>
      <c r="D74" t="s">
        <v>1058</v>
      </c>
      <c r="E74" t="s">
        <v>585</v>
      </c>
      <c r="F74" t="b">
        <v>1</v>
      </c>
      <c r="G74" t="s">
        <v>2946</v>
      </c>
      <c r="H74" t="s">
        <v>2138</v>
      </c>
      <c r="I74" t="s">
        <v>43</v>
      </c>
      <c r="J74" t="b">
        <v>1</v>
      </c>
      <c r="K74" t="b">
        <f>ISNUMBER(_xlfn.XMATCH(tbldeptemp[[#This Row],[DependencyID]],tblTargets[TargetID]))</f>
        <v>1</v>
      </c>
      <c r="L74" t="str">
        <f>IF(tbldeptemp[[#This Row],[ValidTarget]]=FALSE,"BAD TARGET",IF(tbldeptemp[[#This Row],[ValidDependency]]=FALSE,"BAD DEPENDENCY",""))</f>
        <v/>
      </c>
    </row>
    <row r="75" spans="1:12">
      <c r="A75" t="s">
        <v>2092</v>
      </c>
      <c r="B75" t="s">
        <v>2735</v>
      </c>
      <c r="C75" t="s">
        <v>45</v>
      </c>
      <c r="D75" t="s">
        <v>2836</v>
      </c>
      <c r="E75" t="s">
        <v>586</v>
      </c>
      <c r="F75" t="b">
        <v>1</v>
      </c>
      <c r="G75" t="s">
        <v>2946</v>
      </c>
      <c r="H75" t="s">
        <v>45</v>
      </c>
      <c r="I75" t="s">
        <v>44</v>
      </c>
      <c r="J75" t="b">
        <v>1</v>
      </c>
      <c r="K75" t="b">
        <f>ISNUMBER(_xlfn.XMATCH(tbldeptemp[[#This Row],[DependencyID]],tblTargets[TargetID]))</f>
        <v>1</v>
      </c>
      <c r="L75" t="str">
        <f>IF(tbldeptemp[[#This Row],[ValidTarget]]=FALSE,"BAD TARGET",IF(tbldeptemp[[#This Row],[ValidDependency]]=FALSE,"BAD DEPENDENCY",""))</f>
        <v/>
      </c>
    </row>
    <row r="76" spans="1:12">
      <c r="A76" t="s">
        <v>2563</v>
      </c>
      <c r="B76" t="s">
        <v>2978</v>
      </c>
      <c r="C76" t="s">
        <v>2569</v>
      </c>
      <c r="D76" t="s">
        <v>2836</v>
      </c>
      <c r="E76" t="s">
        <v>586</v>
      </c>
      <c r="F76" t="b">
        <v>1</v>
      </c>
      <c r="G76" t="s">
        <v>2947</v>
      </c>
      <c r="H76" t="s">
        <v>2569</v>
      </c>
      <c r="I76" t="s">
        <v>44</v>
      </c>
      <c r="J76" t="b">
        <v>1</v>
      </c>
      <c r="K76" t="b">
        <f>ISNUMBER(_xlfn.XMATCH(tbldeptemp[[#This Row],[DependencyID]],tblTargets[TargetID]))</f>
        <v>1</v>
      </c>
      <c r="L76" t="str">
        <f>IF(tbldeptemp[[#This Row],[ValidTarget]]=FALSE,"BAD TARGET",IF(tbldeptemp[[#This Row],[ValidDependency]]=FALSE,"BAD DEPENDENCY",""))</f>
        <v/>
      </c>
    </row>
    <row r="77" spans="1:12">
      <c r="A77" t="s">
        <v>2563</v>
      </c>
      <c r="B77" t="s">
        <v>2981</v>
      </c>
      <c r="C77" t="s">
        <v>2574</v>
      </c>
      <c r="D77" t="s">
        <v>2836</v>
      </c>
      <c r="E77" t="s">
        <v>586</v>
      </c>
      <c r="F77" t="b">
        <v>1</v>
      </c>
      <c r="G77" t="s">
        <v>2947</v>
      </c>
      <c r="H77" t="s">
        <v>2574</v>
      </c>
      <c r="I77" t="s">
        <v>44</v>
      </c>
      <c r="J77" t="b">
        <v>1</v>
      </c>
      <c r="K77" t="b">
        <f>ISNUMBER(_xlfn.XMATCH(tbldeptemp[[#This Row],[DependencyID]],tblTargets[TargetID]))</f>
        <v>1</v>
      </c>
      <c r="L77" t="str">
        <f>IF(tbldeptemp[[#This Row],[ValidTarget]]=FALSE,"BAD TARGET",IF(tbldeptemp[[#This Row],[ValidDependency]]=FALSE,"BAD DEPENDENCY",""))</f>
        <v/>
      </c>
    </row>
    <row r="78" spans="1:12">
      <c r="A78" t="s">
        <v>2563</v>
      </c>
      <c r="B78" t="s">
        <v>1720</v>
      </c>
      <c r="C78" t="s">
        <v>2564</v>
      </c>
      <c r="D78" t="s">
        <v>2833</v>
      </c>
      <c r="E78" t="s">
        <v>2862</v>
      </c>
      <c r="F78" t="b">
        <v>1</v>
      </c>
      <c r="G78" t="s">
        <v>2947</v>
      </c>
      <c r="H78" t="s">
        <v>2564</v>
      </c>
      <c r="I78" t="s">
        <v>45</v>
      </c>
      <c r="J78" t="b">
        <v>1</v>
      </c>
      <c r="K78" t="b">
        <f>ISNUMBER(_xlfn.XMATCH(tbldeptemp[[#This Row],[DependencyID]],tblTargets[TargetID]))</f>
        <v>1</v>
      </c>
      <c r="L78" t="str">
        <f>IF(tbldeptemp[[#This Row],[ValidTarget]]=FALSE,"BAD TARGET",IF(tbldeptemp[[#This Row],[ValidDependency]]=FALSE,"BAD DEPENDENCY",""))</f>
        <v/>
      </c>
    </row>
    <row r="79" spans="1:12">
      <c r="A79" t="s">
        <v>2563</v>
      </c>
      <c r="B79" t="s">
        <v>2976</v>
      </c>
      <c r="C79" t="s">
        <v>2566</v>
      </c>
      <c r="D79" t="s">
        <v>2833</v>
      </c>
      <c r="E79" t="s">
        <v>2862</v>
      </c>
      <c r="F79" t="b">
        <v>1</v>
      </c>
      <c r="G79" t="s">
        <v>2947</v>
      </c>
      <c r="H79" t="s">
        <v>2566</v>
      </c>
      <c r="I79" t="s">
        <v>45</v>
      </c>
      <c r="J79" t="b">
        <v>1</v>
      </c>
      <c r="K79" t="b">
        <f>ISNUMBER(_xlfn.XMATCH(tbldeptemp[[#This Row],[DependencyID]],tblTargets[TargetID]))</f>
        <v>1</v>
      </c>
      <c r="L79" t="str">
        <f>IF(tbldeptemp[[#This Row],[ValidTarget]]=FALSE,"BAD TARGET",IF(tbldeptemp[[#This Row],[ValidDependency]]=FALSE,"BAD DEPENDENCY",""))</f>
        <v/>
      </c>
    </row>
    <row r="80" spans="1:12">
      <c r="A80" t="s">
        <v>2563</v>
      </c>
      <c r="B80" t="s">
        <v>2979</v>
      </c>
      <c r="C80" t="s">
        <v>2570</v>
      </c>
      <c r="D80" t="s">
        <v>2833</v>
      </c>
      <c r="E80" t="s">
        <v>2862</v>
      </c>
      <c r="F80" t="b">
        <v>1</v>
      </c>
      <c r="G80" t="s">
        <v>2947</v>
      </c>
      <c r="H80" t="s">
        <v>2570</v>
      </c>
      <c r="I80" t="s">
        <v>45</v>
      </c>
      <c r="J80" t="b">
        <v>1</v>
      </c>
      <c r="K80" t="b">
        <f>ISNUMBER(_xlfn.XMATCH(tbldeptemp[[#This Row],[DependencyID]],tblTargets[TargetID]))</f>
        <v>1</v>
      </c>
      <c r="L80" t="str">
        <f>IF(tbldeptemp[[#This Row],[ValidTarget]]=FALSE,"BAD TARGET",IF(tbldeptemp[[#This Row],[ValidDependency]]=FALSE,"BAD DEPENDENCY",""))</f>
        <v/>
      </c>
    </row>
    <row r="81" spans="1:12">
      <c r="A81" t="s">
        <v>2563</v>
      </c>
      <c r="B81" t="s">
        <v>1738</v>
      </c>
      <c r="C81" t="s">
        <v>2575</v>
      </c>
      <c r="D81" t="s">
        <v>2833</v>
      </c>
      <c r="E81" t="s">
        <v>2862</v>
      </c>
      <c r="F81" t="b">
        <v>1</v>
      </c>
      <c r="G81" t="s">
        <v>2947</v>
      </c>
      <c r="H81" t="s">
        <v>2575</v>
      </c>
      <c r="I81" t="s">
        <v>45</v>
      </c>
      <c r="J81" t="b">
        <v>1</v>
      </c>
      <c r="K81" t="b">
        <f>ISNUMBER(_xlfn.XMATCH(tbldeptemp[[#This Row],[DependencyID]],tblTargets[TargetID]))</f>
        <v>1</v>
      </c>
      <c r="L81" t="str">
        <f>IF(tbldeptemp[[#This Row],[ValidTarget]]=FALSE,"BAD TARGET",IF(tbldeptemp[[#This Row],[ValidDependency]]=FALSE,"BAD DEPENDENCY",""))</f>
        <v/>
      </c>
    </row>
    <row r="82" spans="1:12">
      <c r="A82" t="s">
        <v>2651</v>
      </c>
      <c r="B82" t="s">
        <v>3068</v>
      </c>
      <c r="C82" t="s">
        <v>2664</v>
      </c>
      <c r="D82" t="s">
        <v>2833</v>
      </c>
      <c r="E82" t="s">
        <v>2862</v>
      </c>
      <c r="F82" t="b">
        <v>1</v>
      </c>
      <c r="G82" t="s">
        <v>2947</v>
      </c>
      <c r="H82" t="s">
        <v>2664</v>
      </c>
      <c r="I82" t="s">
        <v>45</v>
      </c>
      <c r="J82" t="b">
        <v>1</v>
      </c>
      <c r="K82" t="b">
        <f>ISNUMBER(_xlfn.XMATCH(tbldeptemp[[#This Row],[DependencyID]],tblTargets[TargetID]))</f>
        <v>1</v>
      </c>
      <c r="L82" t="str">
        <f>IF(tbldeptemp[[#This Row],[ValidTarget]]=FALSE,"BAD TARGET",IF(tbldeptemp[[#This Row],[ValidDependency]]=FALSE,"BAD DEPENDENCY",""))</f>
        <v/>
      </c>
    </row>
    <row r="83" spans="1:12">
      <c r="A83" t="s">
        <v>2282</v>
      </c>
      <c r="B83" t="s">
        <v>1412</v>
      </c>
      <c r="C83" t="s">
        <v>2327</v>
      </c>
      <c r="D83" t="s">
        <v>2833</v>
      </c>
      <c r="E83" t="s">
        <v>2862</v>
      </c>
      <c r="F83" t="b">
        <v>1</v>
      </c>
      <c r="G83" t="s">
        <v>2947</v>
      </c>
      <c r="H83" t="s">
        <v>2327</v>
      </c>
      <c r="I83" t="s">
        <v>45</v>
      </c>
      <c r="J83" t="b">
        <v>1</v>
      </c>
      <c r="K83" t="b">
        <f>ISNUMBER(_xlfn.XMATCH(tbldeptemp[[#This Row],[DependencyID]],tblTargets[TargetID]))</f>
        <v>1</v>
      </c>
      <c r="L83" t="str">
        <f>IF(tbldeptemp[[#This Row],[ValidTarget]]=FALSE,"BAD TARGET",IF(tbldeptemp[[#This Row],[ValidDependency]]=FALSE,"BAD DEPENDENCY",""))</f>
        <v/>
      </c>
    </row>
    <row r="84" spans="1:12">
      <c r="A84" t="s">
        <v>2092</v>
      </c>
      <c r="B84" t="s">
        <v>3278</v>
      </c>
      <c r="C84" t="s">
        <v>2675</v>
      </c>
      <c r="E84" t="e">
        <v>#N/A</v>
      </c>
      <c r="H84" t="s">
        <v>2675</v>
      </c>
      <c r="I84" t="s">
        <v>45</v>
      </c>
      <c r="J84" t="b">
        <v>1</v>
      </c>
      <c r="K84" t="b">
        <f>ISNUMBER(_xlfn.XMATCH(tbldeptemp[[#This Row],[DependencyID]],tblTargets[TargetID]))</f>
        <v>1</v>
      </c>
      <c r="L84" t="str">
        <f>IF(tbldeptemp[[#This Row],[ValidTarget]]=FALSE,"BAD TARGET",IF(tbldeptemp[[#This Row],[ValidDependency]]=FALSE,"BAD DEPENDENCY",""))</f>
        <v/>
      </c>
    </row>
    <row r="85" spans="1:12">
      <c r="A85" t="s">
        <v>2094</v>
      </c>
      <c r="B85" t="s">
        <v>3092</v>
      </c>
      <c r="C85" t="s">
        <v>2140</v>
      </c>
      <c r="D85" t="s">
        <v>1062</v>
      </c>
      <c r="E85" t="s">
        <v>3545</v>
      </c>
      <c r="F85" t="b">
        <v>0</v>
      </c>
      <c r="G85" t="s">
        <v>2946</v>
      </c>
      <c r="H85" t="s">
        <v>2140</v>
      </c>
      <c r="I85" t="s">
        <v>2676</v>
      </c>
      <c r="J85" t="b">
        <v>1</v>
      </c>
      <c r="K85" t="b">
        <f>ISNUMBER(_xlfn.XMATCH(tbldeptemp[[#This Row],[DependencyID]],tblTargets[TargetID]))</f>
        <v>1</v>
      </c>
      <c r="L85" t="str">
        <f>IF(tbldeptemp[[#This Row],[ValidTarget]]=FALSE,"BAD TARGET",IF(tbldeptemp[[#This Row],[ValidDependency]]=FALSE,"BAD DEPENDENCY",""))</f>
        <v/>
      </c>
    </row>
    <row r="86" spans="1:12">
      <c r="A86" t="s">
        <v>2092</v>
      </c>
      <c r="B86" t="s">
        <v>2739</v>
      </c>
      <c r="C86" t="s">
        <v>48</v>
      </c>
      <c r="D86" t="s">
        <v>589</v>
      </c>
      <c r="E86" t="s">
        <v>589</v>
      </c>
      <c r="F86" t="b">
        <v>1</v>
      </c>
      <c r="G86" t="s">
        <v>2946</v>
      </c>
      <c r="H86" t="s">
        <v>48</v>
      </c>
      <c r="I86" t="s">
        <v>46</v>
      </c>
      <c r="J86" t="b">
        <v>1</v>
      </c>
      <c r="K86" t="b">
        <f>ISNUMBER(_xlfn.XMATCH(tbldeptemp[[#This Row],[DependencyID]],tblTargets[TargetID]))</f>
        <v>1</v>
      </c>
      <c r="L86" t="str">
        <f>IF(tbldeptemp[[#This Row],[ValidTarget]]=FALSE,"BAD TARGET",IF(tbldeptemp[[#This Row],[ValidDependency]]=FALSE,"BAD DEPENDENCY",""))</f>
        <v/>
      </c>
    </row>
    <row r="87" spans="1:12">
      <c r="A87" t="s">
        <v>2092</v>
      </c>
      <c r="B87" t="s">
        <v>2740</v>
      </c>
      <c r="C87" t="s">
        <v>49</v>
      </c>
      <c r="D87" t="s">
        <v>589</v>
      </c>
      <c r="E87" t="s">
        <v>589</v>
      </c>
      <c r="F87" t="b">
        <v>1</v>
      </c>
      <c r="G87" t="s">
        <v>2947</v>
      </c>
      <c r="H87" t="s">
        <v>49</v>
      </c>
      <c r="I87" t="s">
        <v>46</v>
      </c>
      <c r="J87" t="b">
        <v>1</v>
      </c>
      <c r="K87" t="b">
        <f>ISNUMBER(_xlfn.XMATCH(tbldeptemp[[#This Row],[DependencyID]],tblTargets[TargetID]))</f>
        <v>1</v>
      </c>
      <c r="L87" t="str">
        <f>IF(tbldeptemp[[#This Row],[ValidTarget]]=FALSE,"BAD TARGET",IF(tbldeptemp[[#This Row],[ValidDependency]]=FALSE,"BAD DEPENDENCY",""))</f>
        <v/>
      </c>
    </row>
    <row r="88" spans="1:12">
      <c r="A88" t="s">
        <v>2092</v>
      </c>
      <c r="B88" t="s">
        <v>2740</v>
      </c>
      <c r="C88" t="s">
        <v>49</v>
      </c>
      <c r="D88" t="s">
        <v>590</v>
      </c>
      <c r="E88" t="s">
        <v>590</v>
      </c>
      <c r="F88" t="b">
        <v>1</v>
      </c>
      <c r="G88" t="s">
        <v>2946</v>
      </c>
      <c r="H88" t="s">
        <v>49</v>
      </c>
      <c r="I88" t="s">
        <v>48</v>
      </c>
      <c r="J88" t="b">
        <v>1</v>
      </c>
      <c r="K88" t="b">
        <f>ISNUMBER(_xlfn.XMATCH(tbldeptemp[[#This Row],[DependencyID]],tblTargets[TargetID]))</f>
        <v>1</v>
      </c>
      <c r="L88" t="str">
        <f>IF(tbldeptemp[[#This Row],[ValidTarget]]=FALSE,"BAD TARGET",IF(tbldeptemp[[#This Row],[ValidDependency]]=FALSE,"BAD DEPENDENCY",""))</f>
        <v/>
      </c>
    </row>
    <row r="89" spans="1:12">
      <c r="A89" t="s">
        <v>2092</v>
      </c>
      <c r="B89" t="s">
        <v>2741</v>
      </c>
      <c r="C89" t="s">
        <v>50</v>
      </c>
      <c r="D89" t="s">
        <v>590</v>
      </c>
      <c r="E89" t="s">
        <v>590</v>
      </c>
      <c r="F89" t="b">
        <v>1</v>
      </c>
      <c r="G89" t="s">
        <v>2947</v>
      </c>
      <c r="H89" t="s">
        <v>50</v>
      </c>
      <c r="I89" t="s">
        <v>48</v>
      </c>
      <c r="J89" t="b">
        <v>1</v>
      </c>
      <c r="K89" t="b">
        <f>ISNUMBER(_xlfn.XMATCH(tbldeptemp[[#This Row],[DependencyID]],tblTargets[TargetID]))</f>
        <v>1</v>
      </c>
      <c r="L89" t="str">
        <f>IF(tbldeptemp[[#This Row],[ValidTarget]]=FALSE,"BAD TARGET",IF(tbldeptemp[[#This Row],[ValidDependency]]=FALSE,"BAD DEPENDENCY",""))</f>
        <v/>
      </c>
    </row>
    <row r="90" spans="1:12">
      <c r="A90" t="s">
        <v>2092</v>
      </c>
      <c r="B90" t="s">
        <v>2741</v>
      </c>
      <c r="C90" t="s">
        <v>50</v>
      </c>
      <c r="D90" t="s">
        <v>591</v>
      </c>
      <c r="E90" t="s">
        <v>591</v>
      </c>
      <c r="F90" t="b">
        <v>1</v>
      </c>
      <c r="G90" t="s">
        <v>2946</v>
      </c>
      <c r="H90" t="s">
        <v>50</v>
      </c>
      <c r="I90" t="s">
        <v>49</v>
      </c>
      <c r="J90" t="b">
        <v>1</v>
      </c>
      <c r="K90" t="b">
        <f>ISNUMBER(_xlfn.XMATCH(tbldeptemp[[#This Row],[DependencyID]],tblTargets[TargetID]))</f>
        <v>1</v>
      </c>
      <c r="L90" t="str">
        <f>IF(tbldeptemp[[#This Row],[ValidTarget]]=FALSE,"BAD TARGET",IF(tbldeptemp[[#This Row],[ValidDependency]]=FALSE,"BAD DEPENDENCY",""))</f>
        <v/>
      </c>
    </row>
    <row r="91" spans="1:12">
      <c r="A91" t="s">
        <v>2092</v>
      </c>
      <c r="B91" t="s">
        <v>2742</v>
      </c>
      <c r="C91" t="s">
        <v>51</v>
      </c>
      <c r="D91" t="s">
        <v>591</v>
      </c>
      <c r="E91" t="s">
        <v>591</v>
      </c>
      <c r="F91" t="b">
        <v>1</v>
      </c>
      <c r="G91" t="s">
        <v>2947</v>
      </c>
      <c r="H91" t="s">
        <v>51</v>
      </c>
      <c r="I91" t="s">
        <v>49</v>
      </c>
      <c r="J91" t="b">
        <v>1</v>
      </c>
      <c r="K91" t="b">
        <f>ISNUMBER(_xlfn.XMATCH(tbldeptemp[[#This Row],[DependencyID]],tblTargets[TargetID]))</f>
        <v>1</v>
      </c>
      <c r="L91" t="str">
        <f>IF(tbldeptemp[[#This Row],[ValidTarget]]=FALSE,"BAD TARGET",IF(tbldeptemp[[#This Row],[ValidDependency]]=FALSE,"BAD DEPENDENCY",""))</f>
        <v/>
      </c>
    </row>
    <row r="92" spans="1:12">
      <c r="A92" t="s">
        <v>2092</v>
      </c>
      <c r="B92" t="s">
        <v>2742</v>
      </c>
      <c r="C92" t="s">
        <v>51</v>
      </c>
      <c r="D92" t="s">
        <v>592</v>
      </c>
      <c r="E92" t="s">
        <v>592</v>
      </c>
      <c r="F92" t="b">
        <v>1</v>
      </c>
      <c r="G92" t="s">
        <v>2946</v>
      </c>
      <c r="H92" t="s">
        <v>51</v>
      </c>
      <c r="I92" t="s">
        <v>50</v>
      </c>
      <c r="J92" t="b">
        <v>1</v>
      </c>
      <c r="K92" t="b">
        <f>ISNUMBER(_xlfn.XMATCH(tbldeptemp[[#This Row],[DependencyID]],tblTargets[TargetID]))</f>
        <v>1</v>
      </c>
      <c r="L92" t="str">
        <f>IF(tbldeptemp[[#This Row],[ValidTarget]]=FALSE,"BAD TARGET",IF(tbldeptemp[[#This Row],[ValidDependency]]=FALSE,"BAD DEPENDENCY",""))</f>
        <v/>
      </c>
    </row>
    <row r="93" spans="1:12">
      <c r="A93" t="s">
        <v>2092</v>
      </c>
      <c r="B93" t="s">
        <v>2743</v>
      </c>
      <c r="C93" t="s">
        <v>52</v>
      </c>
      <c r="D93" t="s">
        <v>593</v>
      </c>
      <c r="E93" t="s">
        <v>593</v>
      </c>
      <c r="F93" t="b">
        <v>1</v>
      </c>
      <c r="G93" t="s">
        <v>2946</v>
      </c>
      <c r="H93" t="s">
        <v>52</v>
      </c>
      <c r="I93" t="s">
        <v>51</v>
      </c>
      <c r="J93" t="b">
        <v>1</v>
      </c>
      <c r="K93" t="b">
        <f>ISNUMBER(_xlfn.XMATCH(tbldeptemp[[#This Row],[DependencyID]],tblTargets[TargetID]))</f>
        <v>1</v>
      </c>
      <c r="L93" t="str">
        <f>IF(tbldeptemp[[#This Row],[ValidTarget]]=FALSE,"BAD TARGET",IF(tbldeptemp[[#This Row],[ValidDependency]]=FALSE,"BAD DEPENDENCY",""))</f>
        <v/>
      </c>
    </row>
    <row r="94" spans="1:12">
      <c r="A94" t="s">
        <v>2092</v>
      </c>
      <c r="B94" t="s">
        <v>2743</v>
      </c>
      <c r="C94" t="s">
        <v>52</v>
      </c>
      <c r="D94" t="s">
        <v>593</v>
      </c>
      <c r="E94" t="s">
        <v>593</v>
      </c>
      <c r="F94" t="b">
        <v>1</v>
      </c>
      <c r="G94" t="s">
        <v>2946</v>
      </c>
      <c r="H94" t="s">
        <v>52</v>
      </c>
      <c r="I94" t="s">
        <v>51</v>
      </c>
      <c r="J94" t="b">
        <v>1</v>
      </c>
      <c r="K94" t="b">
        <f>ISNUMBER(_xlfn.XMATCH(tbldeptemp[[#This Row],[DependencyID]],tblTargets[TargetID]))</f>
        <v>1</v>
      </c>
      <c r="L94" t="str">
        <f>IF(tbldeptemp[[#This Row],[ValidTarget]]=FALSE,"BAD TARGET",IF(tbldeptemp[[#This Row],[ValidDependency]]=FALSE,"BAD DEPENDENCY",""))</f>
        <v/>
      </c>
    </row>
    <row r="95" spans="1:12">
      <c r="A95" t="s">
        <v>2282</v>
      </c>
      <c r="B95" t="s">
        <v>1408</v>
      </c>
      <c r="C95" t="s">
        <v>2315</v>
      </c>
      <c r="D95" t="s">
        <v>2857</v>
      </c>
      <c r="E95" t="s">
        <v>2857</v>
      </c>
      <c r="F95" t="b">
        <v>0</v>
      </c>
      <c r="G95" t="s">
        <v>2947</v>
      </c>
      <c r="H95" t="s">
        <v>2315</v>
      </c>
      <c r="I95" t="s">
        <v>52</v>
      </c>
      <c r="J95" t="b">
        <v>1</v>
      </c>
      <c r="K95" t="b">
        <f>ISNUMBER(_xlfn.XMATCH(tbldeptemp[[#This Row],[DependencyID]],tblTargets[TargetID]))</f>
        <v>1</v>
      </c>
      <c r="L95" t="str">
        <f>IF(tbldeptemp[[#This Row],[ValidTarget]]=FALSE,"BAD TARGET",IF(tbldeptemp[[#This Row],[ValidDependency]]=FALSE,"BAD DEPENDENCY",""))</f>
        <v/>
      </c>
    </row>
    <row r="96" spans="1:12">
      <c r="A96" t="s">
        <v>2092</v>
      </c>
      <c r="B96" t="s">
        <v>3279</v>
      </c>
      <c r="C96" t="s">
        <v>2676</v>
      </c>
      <c r="E96" t="e">
        <v>#N/A</v>
      </c>
      <c r="H96" t="s">
        <v>2676</v>
      </c>
      <c r="I96" t="s">
        <v>52</v>
      </c>
      <c r="J96" t="b">
        <v>1</v>
      </c>
      <c r="K96" t="b">
        <f>ISNUMBER(_xlfn.XMATCH(tbldeptemp[[#This Row],[DependencyID]],tblTargets[TargetID]))</f>
        <v>1</v>
      </c>
      <c r="L96" t="str">
        <f>IF(tbldeptemp[[#This Row],[ValidTarget]]=FALSE,"BAD TARGET",IF(tbldeptemp[[#This Row],[ValidDependency]]=FALSE,"BAD DEPENDENCY",""))</f>
        <v/>
      </c>
    </row>
    <row r="97" spans="1:12">
      <c r="A97" t="s">
        <v>2094</v>
      </c>
      <c r="B97" t="s">
        <v>3093</v>
      </c>
      <c r="C97" t="s">
        <v>2144</v>
      </c>
      <c r="D97" t="s">
        <v>2912</v>
      </c>
      <c r="E97" t="s">
        <v>3548</v>
      </c>
      <c r="F97" t="b">
        <v>1</v>
      </c>
      <c r="G97" t="s">
        <v>2947</v>
      </c>
      <c r="H97" t="s">
        <v>2144</v>
      </c>
      <c r="I97" t="s">
        <v>2677</v>
      </c>
      <c r="J97" t="b">
        <v>1</v>
      </c>
      <c r="K97" t="b">
        <f>ISNUMBER(_xlfn.XMATCH(tbldeptemp[[#This Row],[DependencyID]],tblTargets[TargetID]))</f>
        <v>1</v>
      </c>
      <c r="L97" t="str">
        <f>IF(tbldeptemp[[#This Row],[ValidTarget]]=FALSE,"BAD TARGET",IF(tbldeptemp[[#This Row],[ValidDependency]]=FALSE,"BAD DEPENDENCY",""))</f>
        <v/>
      </c>
    </row>
    <row r="98" spans="1:12">
      <c r="A98" t="s">
        <v>2094</v>
      </c>
      <c r="B98" t="s">
        <v>3094</v>
      </c>
      <c r="C98" t="s">
        <v>2142</v>
      </c>
      <c r="D98" t="s">
        <v>2912</v>
      </c>
      <c r="E98" t="s">
        <v>3548</v>
      </c>
      <c r="F98" t="b">
        <v>1</v>
      </c>
      <c r="G98" t="s">
        <v>2947</v>
      </c>
      <c r="H98" t="s">
        <v>2142</v>
      </c>
      <c r="I98" t="s">
        <v>2677</v>
      </c>
      <c r="J98" t="b">
        <v>1</v>
      </c>
      <c r="K98" t="b">
        <f>ISNUMBER(_xlfn.XMATCH(tbldeptemp[[#This Row],[DependencyID]],tblTargets[TargetID]))</f>
        <v>1</v>
      </c>
      <c r="L98" t="str">
        <f>IF(tbldeptemp[[#This Row],[ValidTarget]]=FALSE,"BAD TARGET",IF(tbldeptemp[[#This Row],[ValidDependency]]=FALSE,"BAD DEPENDENCY",""))</f>
        <v/>
      </c>
    </row>
    <row r="99" spans="1:12">
      <c r="A99" t="s">
        <v>2094</v>
      </c>
      <c r="B99" t="s">
        <v>3095</v>
      </c>
      <c r="C99" t="s">
        <v>2146</v>
      </c>
      <c r="D99" t="s">
        <v>2912</v>
      </c>
      <c r="E99" t="s">
        <v>3548</v>
      </c>
      <c r="F99" t="b">
        <v>1</v>
      </c>
      <c r="G99" t="s">
        <v>2947</v>
      </c>
      <c r="H99" t="s">
        <v>2146</v>
      </c>
      <c r="I99" t="s">
        <v>2677</v>
      </c>
      <c r="J99" t="b">
        <v>1</v>
      </c>
      <c r="K99" t="b">
        <f>ISNUMBER(_xlfn.XMATCH(tbldeptemp[[#This Row],[DependencyID]],tblTargets[TargetID]))</f>
        <v>1</v>
      </c>
      <c r="L99" t="str">
        <f>IF(tbldeptemp[[#This Row],[ValidTarget]]=FALSE,"BAD TARGET",IF(tbldeptemp[[#This Row],[ValidDependency]]=FALSE,"BAD DEPENDENCY",""))</f>
        <v/>
      </c>
    </row>
    <row r="100" spans="1:12">
      <c r="A100" t="s">
        <v>2092</v>
      </c>
      <c r="B100" t="s">
        <v>2746</v>
      </c>
      <c r="C100" t="s">
        <v>55</v>
      </c>
      <c r="D100" t="s">
        <v>594</v>
      </c>
      <c r="E100" t="s">
        <v>594</v>
      </c>
      <c r="F100" t="b">
        <v>1</v>
      </c>
      <c r="G100" t="s">
        <v>2946</v>
      </c>
      <c r="H100" t="s">
        <v>55</v>
      </c>
      <c r="I100" t="s">
        <v>53</v>
      </c>
      <c r="J100" t="b">
        <v>1</v>
      </c>
      <c r="K100" t="b">
        <f>ISNUMBER(_xlfn.XMATCH(tbldeptemp[[#This Row],[DependencyID]],tblTargets[TargetID]))</f>
        <v>1</v>
      </c>
      <c r="L100" t="str">
        <f>IF(tbldeptemp[[#This Row],[ValidTarget]]=FALSE,"BAD TARGET",IF(tbldeptemp[[#This Row],[ValidDependency]]=FALSE,"BAD DEPENDENCY",""))</f>
        <v/>
      </c>
    </row>
    <row r="101" spans="1:12">
      <c r="A101" t="s">
        <v>2092</v>
      </c>
      <c r="B101" t="s">
        <v>3280</v>
      </c>
      <c r="C101" t="s">
        <v>2677</v>
      </c>
      <c r="E101" t="e">
        <v>#N/A</v>
      </c>
      <c r="H101" t="s">
        <v>2677</v>
      </c>
      <c r="I101" t="s">
        <v>55</v>
      </c>
      <c r="J101" t="b">
        <v>1</v>
      </c>
      <c r="K101" t="b">
        <f>ISNUMBER(_xlfn.XMATCH(tbldeptemp[[#This Row],[DependencyID]],tblTargets[TargetID]))</f>
        <v>1</v>
      </c>
      <c r="L101" t="str">
        <f>IF(tbldeptemp[[#This Row],[ValidTarget]]=FALSE,"BAD TARGET",IF(tbldeptemp[[#This Row],[ValidDependency]]=FALSE,"BAD DEPENDENCY",""))</f>
        <v/>
      </c>
    </row>
    <row r="102" spans="1:12">
      <c r="A102" t="s">
        <v>2094</v>
      </c>
      <c r="B102" t="s">
        <v>3096</v>
      </c>
      <c r="C102" t="s">
        <v>3551</v>
      </c>
      <c r="D102" t="s">
        <v>1082</v>
      </c>
      <c r="E102" t="s">
        <v>3552</v>
      </c>
      <c r="F102" t="b">
        <v>1</v>
      </c>
      <c r="G102" t="s">
        <v>2946</v>
      </c>
      <c r="H102" t="s">
        <v>2158</v>
      </c>
      <c r="I102" t="s">
        <v>2678</v>
      </c>
      <c r="J102" t="b">
        <v>1</v>
      </c>
      <c r="K102" t="b">
        <f>ISNUMBER(_xlfn.XMATCH(tbldeptemp[[#This Row],[DependencyID]],tblTargets[TargetID]))</f>
        <v>1</v>
      </c>
      <c r="L102" t="str">
        <f>IF(tbldeptemp[[#This Row],[ValidTarget]]=FALSE,"BAD TARGET",IF(tbldeptemp[[#This Row],[ValidDependency]]=FALSE,"BAD DEPENDENCY",""))</f>
        <v/>
      </c>
    </row>
    <row r="103" spans="1:12">
      <c r="A103" t="s">
        <v>2094</v>
      </c>
      <c r="B103" t="s">
        <v>3097</v>
      </c>
      <c r="C103" t="s">
        <v>3553</v>
      </c>
      <c r="D103" t="s">
        <v>1082</v>
      </c>
      <c r="E103" t="s">
        <v>3552</v>
      </c>
      <c r="F103" t="b">
        <v>1</v>
      </c>
      <c r="G103" t="s">
        <v>2947</v>
      </c>
      <c r="H103" t="s">
        <v>2156</v>
      </c>
      <c r="I103" t="s">
        <v>2678</v>
      </c>
      <c r="J103" t="b">
        <v>1</v>
      </c>
      <c r="K103" t="b">
        <f>ISNUMBER(_xlfn.XMATCH(tbldeptemp[[#This Row],[DependencyID]],tblTargets[TargetID]))</f>
        <v>1</v>
      </c>
      <c r="L103" t="str">
        <f>IF(tbldeptemp[[#This Row],[ValidTarget]]=FALSE,"BAD TARGET",IF(tbldeptemp[[#This Row],[ValidDependency]]=FALSE,"BAD DEPENDENCY",""))</f>
        <v/>
      </c>
    </row>
    <row r="104" spans="1:12">
      <c r="A104" t="s">
        <v>2094</v>
      </c>
      <c r="B104" t="s">
        <v>3098</v>
      </c>
      <c r="C104" t="s">
        <v>3554</v>
      </c>
      <c r="D104" t="s">
        <v>1082</v>
      </c>
      <c r="E104" t="s">
        <v>3552</v>
      </c>
      <c r="F104" t="b">
        <v>1</v>
      </c>
      <c r="G104" t="s">
        <v>2947</v>
      </c>
      <c r="H104" t="s">
        <v>2150</v>
      </c>
      <c r="I104" t="s">
        <v>2678</v>
      </c>
      <c r="J104" t="b">
        <v>1</v>
      </c>
      <c r="K104" t="b">
        <f>ISNUMBER(_xlfn.XMATCH(tbldeptemp[[#This Row],[DependencyID]],tblTargets[TargetID]))</f>
        <v>1</v>
      </c>
      <c r="L104" t="str">
        <f>IF(tbldeptemp[[#This Row],[ValidTarget]]=FALSE,"BAD TARGET",IF(tbldeptemp[[#This Row],[ValidDependency]]=FALSE,"BAD DEPENDENCY",""))</f>
        <v/>
      </c>
    </row>
    <row r="105" spans="1:12">
      <c r="A105" t="s">
        <v>2094</v>
      </c>
      <c r="B105" t="s">
        <v>3099</v>
      </c>
      <c r="C105" t="s">
        <v>3556</v>
      </c>
      <c r="D105" t="s">
        <v>1082</v>
      </c>
      <c r="E105" t="s">
        <v>3552</v>
      </c>
      <c r="F105" t="b">
        <v>1</v>
      </c>
      <c r="G105" t="s">
        <v>2946</v>
      </c>
      <c r="H105" t="s">
        <v>2154</v>
      </c>
      <c r="I105" t="s">
        <v>2678</v>
      </c>
      <c r="J105" t="b">
        <v>1</v>
      </c>
      <c r="K105" t="b">
        <f>ISNUMBER(_xlfn.XMATCH(tbldeptemp[[#This Row],[DependencyID]],tblTargets[TargetID]))</f>
        <v>1</v>
      </c>
      <c r="L105" t="str">
        <f>IF(tbldeptemp[[#This Row],[ValidTarget]]=FALSE,"BAD TARGET",IF(tbldeptemp[[#This Row],[ValidDependency]]=FALSE,"BAD DEPENDENCY",""))</f>
        <v/>
      </c>
    </row>
    <row r="106" spans="1:12">
      <c r="A106" t="s">
        <v>2094</v>
      </c>
      <c r="B106" t="s">
        <v>3100</v>
      </c>
      <c r="C106" t="s">
        <v>3557</v>
      </c>
      <c r="D106" t="s">
        <v>1082</v>
      </c>
      <c r="E106" t="s">
        <v>3552</v>
      </c>
      <c r="F106" t="b">
        <v>1</v>
      </c>
      <c r="G106" t="s">
        <v>2946</v>
      </c>
      <c r="H106" t="s">
        <v>2152</v>
      </c>
      <c r="I106" t="s">
        <v>2678</v>
      </c>
      <c r="J106" t="b">
        <v>1</v>
      </c>
      <c r="K106" t="b">
        <f>ISNUMBER(_xlfn.XMATCH(tbldeptemp[[#This Row],[DependencyID]],tblTargets[TargetID]))</f>
        <v>1</v>
      </c>
      <c r="L106" t="str">
        <f>IF(tbldeptemp[[#This Row],[ValidTarget]]=FALSE,"BAD TARGET",IF(tbldeptemp[[#This Row],[ValidDependency]]=FALSE,"BAD DEPENDENCY",""))</f>
        <v/>
      </c>
    </row>
    <row r="107" spans="1:12">
      <c r="A107" t="s">
        <v>2094</v>
      </c>
      <c r="B107" t="s">
        <v>3101</v>
      </c>
      <c r="C107" t="s">
        <v>3558</v>
      </c>
      <c r="D107" t="s">
        <v>1082</v>
      </c>
      <c r="E107" t="s">
        <v>3552</v>
      </c>
      <c r="F107" t="b">
        <v>1</v>
      </c>
      <c r="G107" t="s">
        <v>2946</v>
      </c>
      <c r="H107" t="s">
        <v>2160</v>
      </c>
      <c r="I107" t="s">
        <v>2678</v>
      </c>
      <c r="J107" t="b">
        <v>1</v>
      </c>
      <c r="K107" t="b">
        <f>ISNUMBER(_xlfn.XMATCH(tbldeptemp[[#This Row],[DependencyID]],tblTargets[TargetID]))</f>
        <v>1</v>
      </c>
      <c r="L107" t="str">
        <f>IF(tbldeptemp[[#This Row],[ValidTarget]]=FALSE,"BAD TARGET",IF(tbldeptemp[[#This Row],[ValidDependency]]=FALSE,"BAD DEPENDENCY",""))</f>
        <v/>
      </c>
    </row>
    <row r="108" spans="1:12">
      <c r="A108" t="s">
        <v>2094</v>
      </c>
      <c r="B108" t="s">
        <v>3102</v>
      </c>
      <c r="C108" t="s">
        <v>3559</v>
      </c>
      <c r="D108" t="s">
        <v>1082</v>
      </c>
      <c r="E108" t="s">
        <v>3552</v>
      </c>
      <c r="F108" t="b">
        <v>1</v>
      </c>
      <c r="G108" t="s">
        <v>2946</v>
      </c>
      <c r="H108" t="s">
        <v>2148</v>
      </c>
      <c r="I108" t="s">
        <v>2678</v>
      </c>
      <c r="J108" t="b">
        <v>1</v>
      </c>
      <c r="K108" t="b">
        <f>ISNUMBER(_xlfn.XMATCH(tbldeptemp[[#This Row],[DependencyID]],tblTargets[TargetID]))</f>
        <v>1</v>
      </c>
      <c r="L108" t="str">
        <f>IF(tbldeptemp[[#This Row],[ValidTarget]]=FALSE,"BAD TARGET",IF(tbldeptemp[[#This Row],[ValidDependency]]=FALSE,"BAD DEPENDENCY",""))</f>
        <v/>
      </c>
    </row>
    <row r="109" spans="1:12">
      <c r="A109" t="s">
        <v>2092</v>
      </c>
      <c r="B109" t="s">
        <v>2959</v>
      </c>
      <c r="C109" t="s">
        <v>59</v>
      </c>
      <c r="D109" t="s">
        <v>595</v>
      </c>
      <c r="E109" t="s">
        <v>3318</v>
      </c>
      <c r="F109" t="b">
        <v>1</v>
      </c>
      <c r="G109" t="s">
        <v>2946</v>
      </c>
      <c r="H109" t="s">
        <v>59</v>
      </c>
      <c r="I109" t="s">
        <v>56</v>
      </c>
      <c r="J109" t="b">
        <v>1</v>
      </c>
      <c r="K109" t="b">
        <f>ISNUMBER(_xlfn.XMATCH(tbldeptemp[[#This Row],[DependencyID]],tblTargets[TargetID]))</f>
        <v>1</v>
      </c>
      <c r="L109" t="str">
        <f>IF(tbldeptemp[[#This Row],[ValidTarget]]=FALSE,"BAD TARGET",IF(tbldeptemp[[#This Row],[ValidDependency]]=FALSE,"BAD DEPENDENCY",""))</f>
        <v/>
      </c>
    </row>
    <row r="110" spans="1:12">
      <c r="A110" t="s">
        <v>2092</v>
      </c>
      <c r="B110" t="s">
        <v>2960</v>
      </c>
      <c r="C110" t="s">
        <v>60</v>
      </c>
      <c r="D110" t="s">
        <v>596</v>
      </c>
      <c r="E110" t="s">
        <v>3320</v>
      </c>
      <c r="F110" t="b">
        <v>1</v>
      </c>
      <c r="G110" t="s">
        <v>2946</v>
      </c>
      <c r="H110" t="s">
        <v>60</v>
      </c>
      <c r="I110" t="s">
        <v>59</v>
      </c>
      <c r="J110" t="b">
        <v>1</v>
      </c>
      <c r="K110" t="b">
        <f>ISNUMBER(_xlfn.XMATCH(tbldeptemp[[#This Row],[DependencyID]],tblTargets[TargetID]))</f>
        <v>1</v>
      </c>
      <c r="L110" t="str">
        <f>IF(tbldeptemp[[#This Row],[ValidTarget]]=FALSE,"BAD TARGET",IF(tbldeptemp[[#This Row],[ValidDependency]]=FALSE,"BAD DEPENDENCY",""))</f>
        <v/>
      </c>
    </row>
    <row r="111" spans="1:12">
      <c r="A111" t="s">
        <v>2651</v>
      </c>
      <c r="B111" t="s">
        <v>3063</v>
      </c>
      <c r="C111" t="s">
        <v>2659</v>
      </c>
      <c r="D111" t="s">
        <v>2848</v>
      </c>
      <c r="E111" t="s">
        <v>3426</v>
      </c>
      <c r="F111" t="b">
        <v>1</v>
      </c>
      <c r="G111" t="s">
        <v>2947</v>
      </c>
      <c r="H111" t="s">
        <v>2659</v>
      </c>
      <c r="I111" t="s">
        <v>60</v>
      </c>
      <c r="J111" t="b">
        <v>1</v>
      </c>
      <c r="K111" t="b">
        <f>ISNUMBER(_xlfn.XMATCH(tbldeptemp[[#This Row],[DependencyID]],tblTargets[TargetID]))</f>
        <v>1</v>
      </c>
      <c r="L111" t="str">
        <f>IF(tbldeptemp[[#This Row],[ValidTarget]]=FALSE,"BAD TARGET",IF(tbldeptemp[[#This Row],[ValidDependency]]=FALSE,"BAD DEPENDENCY",""))</f>
        <v/>
      </c>
    </row>
    <row r="112" spans="1:12">
      <c r="A112" t="s">
        <v>2092</v>
      </c>
      <c r="B112" t="s">
        <v>3281</v>
      </c>
      <c r="C112" t="s">
        <v>2678</v>
      </c>
      <c r="E112" t="e">
        <v>#N/A</v>
      </c>
      <c r="H112" t="s">
        <v>2678</v>
      </c>
      <c r="I112" t="s">
        <v>60</v>
      </c>
      <c r="J112" t="b">
        <v>1</v>
      </c>
      <c r="K112" t="b">
        <f>ISNUMBER(_xlfn.XMATCH(tbldeptemp[[#This Row],[DependencyID]],tblTargets[TargetID]))</f>
        <v>1</v>
      </c>
      <c r="L112" t="str">
        <f>IF(tbldeptemp[[#This Row],[ValidTarget]]=FALSE,"BAD TARGET",IF(tbldeptemp[[#This Row],[ValidDependency]]=FALSE,"BAD DEPENDENCY",""))</f>
        <v/>
      </c>
    </row>
    <row r="113" spans="1:12">
      <c r="A113" t="s">
        <v>2094</v>
      </c>
      <c r="B113" t="s">
        <v>3103</v>
      </c>
      <c r="C113" t="s">
        <v>2168</v>
      </c>
      <c r="D113" t="s">
        <v>1108</v>
      </c>
      <c r="E113" t="s">
        <v>3560</v>
      </c>
      <c r="F113" t="b">
        <v>1</v>
      </c>
      <c r="G113" t="s">
        <v>2946</v>
      </c>
      <c r="H113" t="s">
        <v>2168</v>
      </c>
      <c r="I113" t="s">
        <v>2679</v>
      </c>
      <c r="J113" t="b">
        <v>1</v>
      </c>
      <c r="K113" t="b">
        <f>ISNUMBER(_xlfn.XMATCH(tbldeptemp[[#This Row],[DependencyID]],tblTargets[TargetID]))</f>
        <v>1</v>
      </c>
      <c r="L113" t="str">
        <f>IF(tbldeptemp[[#This Row],[ValidTarget]]=FALSE,"BAD TARGET",IF(tbldeptemp[[#This Row],[ValidDependency]]=FALSE,"BAD DEPENDENCY",""))</f>
        <v/>
      </c>
    </row>
    <row r="114" spans="1:12">
      <c r="A114" t="s">
        <v>2094</v>
      </c>
      <c r="B114" t="s">
        <v>3104</v>
      </c>
      <c r="C114" t="s">
        <v>2166</v>
      </c>
      <c r="D114" t="s">
        <v>1108</v>
      </c>
      <c r="E114" t="s">
        <v>3560</v>
      </c>
      <c r="F114" t="b">
        <v>1</v>
      </c>
      <c r="G114" t="s">
        <v>2947</v>
      </c>
      <c r="H114" t="s">
        <v>2166</v>
      </c>
      <c r="I114" t="s">
        <v>2679</v>
      </c>
      <c r="J114" t="b">
        <v>1</v>
      </c>
      <c r="K114" t="b">
        <f>ISNUMBER(_xlfn.XMATCH(tbldeptemp[[#This Row],[DependencyID]],tblTargets[TargetID]))</f>
        <v>1</v>
      </c>
      <c r="L114" t="str">
        <f>IF(tbldeptemp[[#This Row],[ValidTarget]]=FALSE,"BAD TARGET",IF(tbldeptemp[[#This Row],[ValidDependency]]=FALSE,"BAD DEPENDENCY",""))</f>
        <v/>
      </c>
    </row>
    <row r="115" spans="1:12">
      <c r="A115" t="s">
        <v>2094</v>
      </c>
      <c r="B115" t="s">
        <v>3105</v>
      </c>
      <c r="C115" t="s">
        <v>2162</v>
      </c>
      <c r="D115" t="s">
        <v>1108</v>
      </c>
      <c r="E115" t="s">
        <v>3560</v>
      </c>
      <c r="F115" t="b">
        <v>1</v>
      </c>
      <c r="G115" t="s">
        <v>2946</v>
      </c>
      <c r="H115" t="s">
        <v>2162</v>
      </c>
      <c r="I115" t="s">
        <v>2679</v>
      </c>
      <c r="J115" t="b">
        <v>1</v>
      </c>
      <c r="K115" t="b">
        <f>ISNUMBER(_xlfn.XMATCH(tbldeptemp[[#This Row],[DependencyID]],tblTargets[TargetID]))</f>
        <v>1</v>
      </c>
      <c r="L115" t="str">
        <f>IF(tbldeptemp[[#This Row],[ValidTarget]]=FALSE,"BAD TARGET",IF(tbldeptemp[[#This Row],[ValidDependency]]=FALSE,"BAD DEPENDENCY",""))</f>
        <v/>
      </c>
    </row>
    <row r="116" spans="1:12">
      <c r="A116" t="s">
        <v>2094</v>
      </c>
      <c r="B116" t="s">
        <v>3106</v>
      </c>
      <c r="C116" t="s">
        <v>2164</v>
      </c>
      <c r="D116" t="s">
        <v>1108</v>
      </c>
      <c r="E116" t="s">
        <v>3560</v>
      </c>
      <c r="F116" t="b">
        <v>1</v>
      </c>
      <c r="G116" t="s">
        <v>2947</v>
      </c>
      <c r="H116" t="s">
        <v>2164</v>
      </c>
      <c r="I116" t="s">
        <v>2679</v>
      </c>
      <c r="J116" t="b">
        <v>1</v>
      </c>
      <c r="K116" t="b">
        <f>ISNUMBER(_xlfn.XMATCH(tbldeptemp[[#This Row],[DependencyID]],tblTargets[TargetID]))</f>
        <v>1</v>
      </c>
      <c r="L116" t="str">
        <f>IF(tbldeptemp[[#This Row],[ValidTarget]]=FALSE,"BAD TARGET",IF(tbldeptemp[[#This Row],[ValidDependency]]=FALSE,"BAD DEPENDENCY",""))</f>
        <v/>
      </c>
    </row>
    <row r="117" spans="1:12">
      <c r="A117" t="s">
        <v>2092</v>
      </c>
      <c r="B117" t="s">
        <v>2750</v>
      </c>
      <c r="C117" t="s">
        <v>63</v>
      </c>
      <c r="D117" t="s">
        <v>597</v>
      </c>
      <c r="E117" t="s">
        <v>597</v>
      </c>
      <c r="F117" t="b">
        <v>1</v>
      </c>
      <c r="G117" t="s">
        <v>2946</v>
      </c>
      <c r="H117" t="s">
        <v>63</v>
      </c>
      <c r="I117" t="s">
        <v>61</v>
      </c>
      <c r="J117" t="b">
        <v>1</v>
      </c>
      <c r="K117" t="b">
        <f>ISNUMBER(_xlfn.XMATCH(tbldeptemp[[#This Row],[DependencyID]],tblTargets[TargetID]))</f>
        <v>1</v>
      </c>
      <c r="L117" t="str">
        <f>IF(tbldeptemp[[#This Row],[ValidTarget]]=FALSE,"BAD TARGET",IF(tbldeptemp[[#This Row],[ValidDependency]]=FALSE,"BAD DEPENDENCY",""))</f>
        <v/>
      </c>
    </row>
    <row r="118" spans="1:12">
      <c r="A118" t="s">
        <v>2092</v>
      </c>
      <c r="B118" t="s">
        <v>2751</v>
      </c>
      <c r="C118" t="s">
        <v>64</v>
      </c>
      <c r="D118" t="s">
        <v>597</v>
      </c>
      <c r="E118" t="s">
        <v>597</v>
      </c>
      <c r="F118" t="b">
        <v>1</v>
      </c>
      <c r="G118" t="s">
        <v>2947</v>
      </c>
      <c r="H118" t="s">
        <v>64</v>
      </c>
      <c r="I118" t="s">
        <v>61</v>
      </c>
      <c r="J118" t="b">
        <v>1</v>
      </c>
      <c r="K118" t="b">
        <f>ISNUMBER(_xlfn.XMATCH(tbldeptemp[[#This Row],[DependencyID]],tblTargets[TargetID]))</f>
        <v>1</v>
      </c>
      <c r="L118" t="str">
        <f>IF(tbldeptemp[[#This Row],[ValidTarget]]=FALSE,"BAD TARGET",IF(tbldeptemp[[#This Row],[ValidDependency]]=FALSE,"BAD DEPENDENCY",""))</f>
        <v/>
      </c>
    </row>
    <row r="119" spans="1:12">
      <c r="A119" t="s">
        <v>2092</v>
      </c>
      <c r="B119" t="s">
        <v>2751</v>
      </c>
      <c r="C119" t="s">
        <v>64</v>
      </c>
      <c r="D119" t="s">
        <v>598</v>
      </c>
      <c r="E119" t="s">
        <v>598</v>
      </c>
      <c r="F119" t="b">
        <v>1</v>
      </c>
      <c r="G119" t="s">
        <v>2946</v>
      </c>
      <c r="H119" t="s">
        <v>64</v>
      </c>
      <c r="I119" t="s">
        <v>63</v>
      </c>
      <c r="J119" t="b">
        <v>1</v>
      </c>
      <c r="K119" t="b">
        <f>ISNUMBER(_xlfn.XMATCH(tbldeptemp[[#This Row],[DependencyID]],tblTargets[TargetID]))</f>
        <v>1</v>
      </c>
      <c r="L119" t="str">
        <f>IF(tbldeptemp[[#This Row],[ValidTarget]]=FALSE,"BAD TARGET",IF(tbldeptemp[[#This Row],[ValidDependency]]=FALSE,"BAD DEPENDENCY",""))</f>
        <v/>
      </c>
    </row>
    <row r="120" spans="1:12">
      <c r="A120" t="s">
        <v>2651</v>
      </c>
      <c r="B120" t="s">
        <v>3067</v>
      </c>
      <c r="C120" t="s">
        <v>2663</v>
      </c>
      <c r="D120" t="s">
        <v>2017</v>
      </c>
      <c r="E120" t="s">
        <v>3428</v>
      </c>
      <c r="F120" t="b">
        <v>1</v>
      </c>
      <c r="G120" t="s">
        <v>2946</v>
      </c>
      <c r="H120" t="s">
        <v>2663</v>
      </c>
      <c r="I120" t="s">
        <v>64</v>
      </c>
      <c r="J120" t="b">
        <v>1</v>
      </c>
      <c r="K120" t="b">
        <f>ISNUMBER(_xlfn.XMATCH(tbldeptemp[[#This Row],[DependencyID]],tblTargets[TargetID]))</f>
        <v>1</v>
      </c>
      <c r="L120" t="str">
        <f>IF(tbldeptemp[[#This Row],[ValidTarget]]=FALSE,"BAD TARGET",IF(tbldeptemp[[#This Row],[ValidDependency]]=FALSE,"BAD DEPENDENCY",""))</f>
        <v/>
      </c>
    </row>
    <row r="121" spans="1:12">
      <c r="A121" t="s">
        <v>2092</v>
      </c>
      <c r="B121" t="s">
        <v>3282</v>
      </c>
      <c r="C121" t="s">
        <v>2679</v>
      </c>
      <c r="E121" t="e">
        <v>#N/A</v>
      </c>
      <c r="H121" t="s">
        <v>2679</v>
      </c>
      <c r="I121" t="s">
        <v>64</v>
      </c>
      <c r="J121" t="b">
        <v>1</v>
      </c>
      <c r="K121" t="b">
        <f>ISNUMBER(_xlfn.XMATCH(tbldeptemp[[#This Row],[DependencyID]],tblTargets[TargetID]))</f>
        <v>1</v>
      </c>
      <c r="L121" t="str">
        <f>IF(tbldeptemp[[#This Row],[ValidTarget]]=FALSE,"BAD TARGET",IF(tbldeptemp[[#This Row],[ValidDependency]]=FALSE,"BAD DEPENDENCY",""))</f>
        <v/>
      </c>
    </row>
    <row r="122" spans="1:12">
      <c r="A122" t="s">
        <v>2094</v>
      </c>
      <c r="B122" t="s">
        <v>3107</v>
      </c>
      <c r="C122" t="s">
        <v>2170</v>
      </c>
      <c r="D122" t="s">
        <v>1127</v>
      </c>
      <c r="E122" t="s">
        <v>3562</v>
      </c>
      <c r="F122" t="b">
        <v>1</v>
      </c>
      <c r="G122" t="s">
        <v>2946</v>
      </c>
      <c r="H122" t="s">
        <v>2170</v>
      </c>
      <c r="I122" t="s">
        <v>2680</v>
      </c>
      <c r="J122" t="b">
        <v>1</v>
      </c>
      <c r="K122" t="b">
        <f>ISNUMBER(_xlfn.XMATCH(tbldeptemp[[#This Row],[DependencyID]],tblTargets[TargetID]))</f>
        <v>1</v>
      </c>
      <c r="L122" t="str">
        <f>IF(tbldeptemp[[#This Row],[ValidTarget]]=FALSE,"BAD TARGET",IF(tbldeptemp[[#This Row],[ValidDependency]]=FALSE,"BAD DEPENDENCY",""))</f>
        <v/>
      </c>
    </row>
    <row r="123" spans="1:12">
      <c r="A123" t="s">
        <v>2092</v>
      </c>
      <c r="B123" t="s">
        <v>2754</v>
      </c>
      <c r="C123" t="s">
        <v>67</v>
      </c>
      <c r="D123" t="s">
        <v>599</v>
      </c>
      <c r="E123" t="s">
        <v>599</v>
      </c>
      <c r="F123" t="b">
        <v>1</v>
      </c>
      <c r="G123" t="s">
        <v>2946</v>
      </c>
      <c r="H123" t="s">
        <v>67</v>
      </c>
      <c r="I123" t="s">
        <v>65</v>
      </c>
      <c r="J123" t="b">
        <v>1</v>
      </c>
      <c r="K123" t="b">
        <f>ISNUMBER(_xlfn.XMATCH(tbldeptemp[[#This Row],[DependencyID]],tblTargets[TargetID]))</f>
        <v>1</v>
      </c>
      <c r="L123" t="str">
        <f>IF(tbldeptemp[[#This Row],[ValidTarget]]=FALSE,"BAD TARGET",IF(tbldeptemp[[#This Row],[ValidDependency]]=FALSE,"BAD DEPENDENCY",""))</f>
        <v/>
      </c>
    </row>
    <row r="124" spans="1:12">
      <c r="A124" t="s">
        <v>2092</v>
      </c>
      <c r="B124" t="s">
        <v>2755</v>
      </c>
      <c r="C124" t="s">
        <v>68</v>
      </c>
      <c r="D124" t="s">
        <v>600</v>
      </c>
      <c r="E124" t="s">
        <v>600</v>
      </c>
      <c r="F124" t="b">
        <v>1</v>
      </c>
      <c r="G124" t="s">
        <v>2946</v>
      </c>
      <c r="H124" t="s">
        <v>68</v>
      </c>
      <c r="I124" t="s">
        <v>67</v>
      </c>
      <c r="J124" t="b">
        <v>1</v>
      </c>
      <c r="K124" t="b">
        <f>ISNUMBER(_xlfn.XMATCH(tbldeptemp[[#This Row],[DependencyID]],tblTargets[TargetID]))</f>
        <v>1</v>
      </c>
      <c r="L124" t="str">
        <f>IF(tbldeptemp[[#This Row],[ValidTarget]]=FALSE,"BAD TARGET",IF(tbldeptemp[[#This Row],[ValidDependency]]=FALSE,"BAD DEPENDENCY",""))</f>
        <v/>
      </c>
    </row>
    <row r="125" spans="1:12">
      <c r="A125" t="s">
        <v>2092</v>
      </c>
      <c r="B125" t="s">
        <v>3283</v>
      </c>
      <c r="C125" t="s">
        <v>2680</v>
      </c>
      <c r="E125" t="e">
        <v>#N/A</v>
      </c>
      <c r="H125" t="s">
        <v>2680</v>
      </c>
      <c r="I125" t="s">
        <v>68</v>
      </c>
      <c r="J125" t="b">
        <v>1</v>
      </c>
      <c r="K125" t="b">
        <f>ISNUMBER(_xlfn.XMATCH(tbldeptemp[[#This Row],[DependencyID]],tblTargets[TargetID]))</f>
        <v>1</v>
      </c>
      <c r="L125" t="str">
        <f>IF(tbldeptemp[[#This Row],[ValidTarget]]=FALSE,"BAD TARGET",IF(tbldeptemp[[#This Row],[ValidDependency]]=FALSE,"BAD DEPENDENCY",""))</f>
        <v/>
      </c>
    </row>
    <row r="126" spans="1:12">
      <c r="A126" t="s">
        <v>2092</v>
      </c>
      <c r="B126" t="s">
        <v>2758</v>
      </c>
      <c r="C126" t="s">
        <v>73</v>
      </c>
      <c r="D126" t="s">
        <v>601</v>
      </c>
      <c r="E126" t="s">
        <v>601</v>
      </c>
      <c r="F126" t="b">
        <v>1</v>
      </c>
      <c r="G126" t="s">
        <v>2946</v>
      </c>
      <c r="H126" t="s">
        <v>73</v>
      </c>
      <c r="I126" t="s">
        <v>71</v>
      </c>
      <c r="J126" t="b">
        <v>1</v>
      </c>
      <c r="K126" t="b">
        <f>ISNUMBER(_xlfn.XMATCH(tbldeptemp[[#This Row],[DependencyID]],tblTargets[TargetID]))</f>
        <v>1</v>
      </c>
      <c r="L126" t="str">
        <f>IF(tbldeptemp[[#This Row],[ValidTarget]]=FALSE,"BAD TARGET",IF(tbldeptemp[[#This Row],[ValidDependency]]=FALSE,"BAD DEPENDENCY",""))</f>
        <v/>
      </c>
    </row>
    <row r="127" spans="1:12">
      <c r="A127" t="s">
        <v>2092</v>
      </c>
      <c r="B127" t="s">
        <v>2952</v>
      </c>
      <c r="C127" t="s">
        <v>19</v>
      </c>
      <c r="D127" t="s">
        <v>2708</v>
      </c>
      <c r="E127" t="s">
        <v>602</v>
      </c>
      <c r="F127" t="b">
        <v>1</v>
      </c>
      <c r="G127" t="s">
        <v>2947</v>
      </c>
      <c r="H127" t="s">
        <v>19</v>
      </c>
      <c r="I127" t="s">
        <v>73</v>
      </c>
      <c r="J127" t="b">
        <v>1</v>
      </c>
      <c r="K127" t="b">
        <f>ISNUMBER(_xlfn.XMATCH(tbldeptemp[[#This Row],[DependencyID]],tblTargets[TargetID]))</f>
        <v>1</v>
      </c>
      <c r="L127" t="str">
        <f>IF(tbldeptemp[[#This Row],[ValidTarget]]=FALSE,"BAD TARGET",IF(tbldeptemp[[#This Row],[ValidDependency]]=FALSE,"BAD DEPENDENCY",""))</f>
        <v/>
      </c>
    </row>
    <row r="128" spans="1:12">
      <c r="A128" t="s">
        <v>2092</v>
      </c>
      <c r="B128" t="s">
        <v>2959</v>
      </c>
      <c r="C128" t="s">
        <v>59</v>
      </c>
      <c r="D128" t="s">
        <v>2708</v>
      </c>
      <c r="E128" t="s">
        <v>602</v>
      </c>
      <c r="F128" t="b">
        <v>1</v>
      </c>
      <c r="G128" t="s">
        <v>2947</v>
      </c>
      <c r="H128" t="s">
        <v>59</v>
      </c>
      <c r="I128" t="s">
        <v>73</v>
      </c>
      <c r="J128" t="b">
        <v>1</v>
      </c>
      <c r="K128" t="b">
        <f>ISNUMBER(_xlfn.XMATCH(tbldeptemp[[#This Row],[DependencyID]],tblTargets[TargetID]))</f>
        <v>1</v>
      </c>
      <c r="L128" t="str">
        <f>IF(tbldeptemp[[#This Row],[ValidTarget]]=FALSE,"BAD TARGET",IF(tbldeptemp[[#This Row],[ValidDependency]]=FALSE,"BAD DEPENDENCY",""))</f>
        <v/>
      </c>
    </row>
    <row r="129" spans="1:12">
      <c r="A129" t="s">
        <v>2092</v>
      </c>
      <c r="B129" t="s">
        <v>2759</v>
      </c>
      <c r="C129" t="s">
        <v>74</v>
      </c>
      <c r="D129" t="s">
        <v>2708</v>
      </c>
      <c r="E129" t="s">
        <v>602</v>
      </c>
      <c r="F129" t="b">
        <v>1</v>
      </c>
      <c r="G129" t="s">
        <v>2946</v>
      </c>
      <c r="H129" t="s">
        <v>74</v>
      </c>
      <c r="I129" t="s">
        <v>73</v>
      </c>
      <c r="J129" t="b">
        <v>1</v>
      </c>
      <c r="K129" t="b">
        <f>ISNUMBER(_xlfn.XMATCH(tbldeptemp[[#This Row],[DependencyID]],tblTargets[TargetID]))</f>
        <v>1</v>
      </c>
      <c r="L129" t="str">
        <f>IF(tbldeptemp[[#This Row],[ValidTarget]]=FALSE,"BAD TARGET",IF(tbldeptemp[[#This Row],[ValidDependency]]=FALSE,"BAD DEPENDENCY",""))</f>
        <v/>
      </c>
    </row>
    <row r="130" spans="1:12">
      <c r="A130" t="s">
        <v>2092</v>
      </c>
      <c r="B130" t="s">
        <v>2813</v>
      </c>
      <c r="C130" t="s">
        <v>148</v>
      </c>
      <c r="D130" t="s">
        <v>2708</v>
      </c>
      <c r="E130" t="s">
        <v>602</v>
      </c>
      <c r="F130" t="b">
        <v>1</v>
      </c>
      <c r="G130" t="s">
        <v>2947</v>
      </c>
      <c r="H130" t="s">
        <v>148</v>
      </c>
      <c r="I130" t="s">
        <v>73</v>
      </c>
      <c r="J130" t="b">
        <v>1</v>
      </c>
      <c r="K130" t="b">
        <f>ISNUMBER(_xlfn.XMATCH(tbldeptemp[[#This Row],[DependencyID]],tblTargets[TargetID]))</f>
        <v>1</v>
      </c>
      <c r="L130" t="str">
        <f>IF(tbldeptemp[[#This Row],[ValidTarget]]=FALSE,"BAD TARGET",IF(tbldeptemp[[#This Row],[ValidDependency]]=FALSE,"BAD DEPENDENCY",""))</f>
        <v/>
      </c>
    </row>
    <row r="131" spans="1:12">
      <c r="A131" t="s">
        <v>2092</v>
      </c>
      <c r="B131" t="s">
        <v>2953</v>
      </c>
      <c r="C131" t="s">
        <v>20</v>
      </c>
      <c r="D131" t="s">
        <v>2709</v>
      </c>
      <c r="E131" t="s">
        <v>603</v>
      </c>
      <c r="F131" t="b">
        <v>1</v>
      </c>
      <c r="G131" t="s">
        <v>2947</v>
      </c>
      <c r="H131" t="s">
        <v>20</v>
      </c>
      <c r="I131" t="s">
        <v>74</v>
      </c>
      <c r="J131" t="b">
        <v>1</v>
      </c>
      <c r="K131" t="b">
        <f>ISNUMBER(_xlfn.XMATCH(tbldeptemp[[#This Row],[DependencyID]],tblTargets[TargetID]))</f>
        <v>1</v>
      </c>
      <c r="L131" t="str">
        <f>IF(tbldeptemp[[#This Row],[ValidTarget]]=FALSE,"BAD TARGET",IF(tbldeptemp[[#This Row],[ValidDependency]]=FALSE,"BAD DEPENDENCY",""))</f>
        <v/>
      </c>
    </row>
    <row r="132" spans="1:12">
      <c r="A132" t="s">
        <v>2092</v>
      </c>
      <c r="B132" t="s">
        <v>2954</v>
      </c>
      <c r="C132" t="s">
        <v>21</v>
      </c>
      <c r="D132" t="s">
        <v>2709</v>
      </c>
      <c r="E132" t="s">
        <v>603</v>
      </c>
      <c r="F132" t="b">
        <v>1</v>
      </c>
      <c r="G132" t="s">
        <v>2946</v>
      </c>
      <c r="H132" t="s">
        <v>21</v>
      </c>
      <c r="I132" t="s">
        <v>74</v>
      </c>
      <c r="J132" t="b">
        <v>1</v>
      </c>
      <c r="K132" t="b">
        <f>ISNUMBER(_xlfn.XMATCH(tbldeptemp[[#This Row],[DependencyID]],tblTargets[TargetID]))</f>
        <v>1</v>
      </c>
      <c r="L132" t="str">
        <f>IF(tbldeptemp[[#This Row],[ValidTarget]]=FALSE,"BAD TARGET",IF(tbldeptemp[[#This Row],[ValidDependency]]=FALSE,"BAD DEPENDENCY",""))</f>
        <v/>
      </c>
    </row>
    <row r="133" spans="1:12">
      <c r="A133" t="s">
        <v>2092</v>
      </c>
      <c r="B133" t="s">
        <v>2760</v>
      </c>
      <c r="C133" t="s">
        <v>75</v>
      </c>
      <c r="D133" t="s">
        <v>2709</v>
      </c>
      <c r="E133" t="s">
        <v>603</v>
      </c>
      <c r="F133" t="b">
        <v>1</v>
      </c>
      <c r="G133" t="s">
        <v>2946</v>
      </c>
      <c r="H133" t="s">
        <v>75</v>
      </c>
      <c r="I133" t="s">
        <v>74</v>
      </c>
      <c r="J133" t="b">
        <v>1</v>
      </c>
      <c r="K133" t="b">
        <f>ISNUMBER(_xlfn.XMATCH(tbldeptemp[[#This Row],[DependencyID]],tblTargets[TargetID]))</f>
        <v>1</v>
      </c>
      <c r="L133" t="str">
        <f>IF(tbldeptemp[[#This Row],[ValidTarget]]=FALSE,"BAD TARGET",IF(tbldeptemp[[#This Row],[ValidDependency]]=FALSE,"BAD DEPENDENCY",""))</f>
        <v/>
      </c>
    </row>
    <row r="134" spans="1:12">
      <c r="A134" t="s">
        <v>2092</v>
      </c>
      <c r="B134" t="s">
        <v>2815</v>
      </c>
      <c r="C134" t="s">
        <v>149</v>
      </c>
      <c r="D134" t="s">
        <v>2709</v>
      </c>
      <c r="E134" t="s">
        <v>603</v>
      </c>
      <c r="F134" t="b">
        <v>1</v>
      </c>
      <c r="G134" t="s">
        <v>2947</v>
      </c>
      <c r="H134" t="s">
        <v>149</v>
      </c>
      <c r="I134" t="s">
        <v>74</v>
      </c>
      <c r="J134" t="b">
        <v>1</v>
      </c>
      <c r="K134" t="b">
        <f>ISNUMBER(_xlfn.XMATCH(tbldeptemp[[#This Row],[DependencyID]],tblTargets[TargetID]))</f>
        <v>1</v>
      </c>
      <c r="L134" t="str">
        <f>IF(tbldeptemp[[#This Row],[ValidTarget]]=FALSE,"BAD TARGET",IF(tbldeptemp[[#This Row],[ValidDependency]]=FALSE,"BAD DEPENDENCY",""))</f>
        <v/>
      </c>
    </row>
    <row r="135" spans="1:12">
      <c r="A135" t="s">
        <v>2092</v>
      </c>
      <c r="B135" t="s">
        <v>2954</v>
      </c>
      <c r="C135" t="s">
        <v>21</v>
      </c>
      <c r="D135" t="s">
        <v>2710</v>
      </c>
      <c r="E135" t="s">
        <v>604</v>
      </c>
      <c r="F135" t="b">
        <v>1</v>
      </c>
      <c r="G135" t="s">
        <v>2947</v>
      </c>
      <c r="H135" t="s">
        <v>21</v>
      </c>
      <c r="I135" t="s">
        <v>75</v>
      </c>
      <c r="J135" t="b">
        <v>1</v>
      </c>
      <c r="K135" t="b">
        <f>ISNUMBER(_xlfn.XMATCH(tbldeptemp[[#This Row],[DependencyID]],tblTargets[TargetID]))</f>
        <v>1</v>
      </c>
      <c r="L135" t="str">
        <f>IF(tbldeptemp[[#This Row],[ValidTarget]]=FALSE,"BAD TARGET",IF(tbldeptemp[[#This Row],[ValidDependency]]=FALSE,"BAD DEPENDENCY",""))</f>
        <v/>
      </c>
    </row>
    <row r="136" spans="1:12">
      <c r="A136" t="s">
        <v>2092</v>
      </c>
      <c r="B136" t="s">
        <v>2761</v>
      </c>
      <c r="C136" t="s">
        <v>76</v>
      </c>
      <c r="D136" t="s">
        <v>2710</v>
      </c>
      <c r="E136" t="s">
        <v>604</v>
      </c>
      <c r="F136" t="b">
        <v>1</v>
      </c>
      <c r="G136" t="s">
        <v>2946</v>
      </c>
      <c r="H136" t="s">
        <v>76</v>
      </c>
      <c r="I136" t="s">
        <v>75</v>
      </c>
      <c r="J136" t="b">
        <v>1</v>
      </c>
      <c r="K136" t="b">
        <f>ISNUMBER(_xlfn.XMATCH(tbldeptemp[[#This Row],[DependencyID]],tblTargets[TargetID]))</f>
        <v>1</v>
      </c>
      <c r="L136" t="str">
        <f>IF(tbldeptemp[[#This Row],[ValidTarget]]=FALSE,"BAD TARGET",IF(tbldeptemp[[#This Row],[ValidDependency]]=FALSE,"BAD DEPENDENCY",""))</f>
        <v/>
      </c>
    </row>
    <row r="137" spans="1:12">
      <c r="A137" t="s">
        <v>2092</v>
      </c>
      <c r="B137" t="s">
        <v>2817</v>
      </c>
      <c r="C137" t="s">
        <v>150</v>
      </c>
      <c r="D137" t="s">
        <v>2710</v>
      </c>
      <c r="E137" t="s">
        <v>604</v>
      </c>
      <c r="F137" t="b">
        <v>1</v>
      </c>
      <c r="G137" t="s">
        <v>2947</v>
      </c>
      <c r="H137" t="s">
        <v>150</v>
      </c>
      <c r="I137" t="s">
        <v>75</v>
      </c>
      <c r="J137" t="b">
        <v>1</v>
      </c>
      <c r="K137" t="b">
        <f>ISNUMBER(_xlfn.XMATCH(tbldeptemp[[#This Row],[DependencyID]],tblTargets[TargetID]))</f>
        <v>1</v>
      </c>
      <c r="L137" t="str">
        <f>IF(tbldeptemp[[#This Row],[ValidTarget]]=FALSE,"BAD TARGET",IF(tbldeptemp[[#This Row],[ValidDependency]]=FALSE,"BAD DEPENDENCY",""))</f>
        <v/>
      </c>
    </row>
    <row r="138" spans="1:12">
      <c r="A138" t="s">
        <v>2092</v>
      </c>
      <c r="B138" t="s">
        <v>2955</v>
      </c>
      <c r="C138" t="s">
        <v>22</v>
      </c>
      <c r="D138" t="s">
        <v>2711</v>
      </c>
      <c r="E138" t="s">
        <v>3300</v>
      </c>
      <c r="F138" t="b">
        <v>1</v>
      </c>
      <c r="G138" t="s">
        <v>2947</v>
      </c>
      <c r="H138" t="s">
        <v>22</v>
      </c>
      <c r="I138" t="s">
        <v>76</v>
      </c>
      <c r="J138" t="b">
        <v>1</v>
      </c>
      <c r="K138" t="b">
        <f>ISNUMBER(_xlfn.XMATCH(tbldeptemp[[#This Row],[DependencyID]],tblTargets[TargetID]))</f>
        <v>1</v>
      </c>
      <c r="L138" t="str">
        <f>IF(tbldeptemp[[#This Row],[ValidTarget]]=FALSE,"BAD TARGET",IF(tbldeptemp[[#This Row],[ValidDependency]]=FALSE,"BAD DEPENDENCY",""))</f>
        <v/>
      </c>
    </row>
    <row r="139" spans="1:12">
      <c r="A139" t="s">
        <v>2092</v>
      </c>
      <c r="B139" t="s">
        <v>2819</v>
      </c>
      <c r="C139" t="s">
        <v>151</v>
      </c>
      <c r="D139" t="s">
        <v>2711</v>
      </c>
      <c r="E139" t="s">
        <v>3300</v>
      </c>
      <c r="F139" t="b">
        <v>1</v>
      </c>
      <c r="G139" t="s">
        <v>2947</v>
      </c>
      <c r="H139" t="s">
        <v>151</v>
      </c>
      <c r="I139" t="s">
        <v>76</v>
      </c>
      <c r="J139" t="b">
        <v>1</v>
      </c>
      <c r="K139" t="b">
        <f>ISNUMBER(_xlfn.XMATCH(tbldeptemp[[#This Row],[DependencyID]],tblTargets[TargetID]))</f>
        <v>1</v>
      </c>
      <c r="L139" t="str">
        <f>IF(tbldeptemp[[#This Row],[ValidTarget]]=FALSE,"BAD TARGET",IF(tbldeptemp[[#This Row],[ValidDependency]]=FALSE,"BAD DEPENDENCY",""))</f>
        <v/>
      </c>
    </row>
    <row r="140" spans="1:12">
      <c r="A140" t="s">
        <v>2651</v>
      </c>
      <c r="B140" t="s">
        <v>3059</v>
      </c>
      <c r="C140" t="s">
        <v>2655</v>
      </c>
      <c r="D140" t="s">
        <v>2711</v>
      </c>
      <c r="E140" t="s">
        <v>3300</v>
      </c>
      <c r="F140" t="b">
        <v>1</v>
      </c>
      <c r="G140" t="s">
        <v>2947</v>
      </c>
      <c r="H140" t="s">
        <v>2655</v>
      </c>
      <c r="I140" t="s">
        <v>76</v>
      </c>
      <c r="J140" t="b">
        <v>1</v>
      </c>
      <c r="K140" t="b">
        <f>ISNUMBER(_xlfn.XMATCH(tbldeptemp[[#This Row],[DependencyID]],tblTargets[TargetID]))</f>
        <v>1</v>
      </c>
      <c r="L140" t="str">
        <f>IF(tbldeptemp[[#This Row],[ValidTarget]]=FALSE,"BAD TARGET",IF(tbldeptemp[[#This Row],[ValidDependency]]=FALSE,"BAD DEPENDENCY",""))</f>
        <v/>
      </c>
    </row>
    <row r="141" spans="1:12">
      <c r="A141" t="s">
        <v>2651</v>
      </c>
      <c r="B141" t="s">
        <v>3062</v>
      </c>
      <c r="C141" t="s">
        <v>2658</v>
      </c>
      <c r="D141" t="s">
        <v>2711</v>
      </c>
      <c r="E141" t="s">
        <v>3300</v>
      </c>
      <c r="F141" t="b">
        <v>1</v>
      </c>
      <c r="G141" t="s">
        <v>2947</v>
      </c>
      <c r="H141" t="s">
        <v>2658</v>
      </c>
      <c r="I141" t="s">
        <v>76</v>
      </c>
      <c r="J141" t="b">
        <v>1</v>
      </c>
      <c r="K141" t="b">
        <f>ISNUMBER(_xlfn.XMATCH(tbldeptemp[[#This Row],[DependencyID]],tblTargets[TargetID]))</f>
        <v>1</v>
      </c>
      <c r="L141" t="str">
        <f>IF(tbldeptemp[[#This Row],[ValidTarget]]=FALSE,"BAD TARGET",IF(tbldeptemp[[#This Row],[ValidDependency]]=FALSE,"BAD DEPENDENCY",""))</f>
        <v/>
      </c>
    </row>
    <row r="142" spans="1:12">
      <c r="A142" t="s">
        <v>2651</v>
      </c>
      <c r="B142" t="s">
        <v>3066</v>
      </c>
      <c r="C142" t="s">
        <v>2662</v>
      </c>
      <c r="D142" t="s">
        <v>2711</v>
      </c>
      <c r="E142" t="s">
        <v>3300</v>
      </c>
      <c r="F142" t="b">
        <v>1</v>
      </c>
      <c r="G142" t="s">
        <v>2947</v>
      </c>
      <c r="H142" t="s">
        <v>2662</v>
      </c>
      <c r="I142" t="s">
        <v>76</v>
      </c>
      <c r="J142" t="b">
        <v>1</v>
      </c>
      <c r="K142" t="b">
        <f>ISNUMBER(_xlfn.XMATCH(tbldeptemp[[#This Row],[DependencyID]],tblTargets[TargetID]))</f>
        <v>1</v>
      </c>
      <c r="L142" t="str">
        <f>IF(tbldeptemp[[#This Row],[ValidTarget]]=FALSE,"BAD TARGET",IF(tbldeptemp[[#This Row],[ValidDependency]]=FALSE,"BAD DEPENDENCY",""))</f>
        <v/>
      </c>
    </row>
    <row r="143" spans="1:12">
      <c r="A143" t="s">
        <v>2651</v>
      </c>
      <c r="B143" t="s">
        <v>3074</v>
      </c>
      <c r="C143" t="s">
        <v>2670</v>
      </c>
      <c r="D143" t="s">
        <v>2711</v>
      </c>
      <c r="E143" t="s">
        <v>3300</v>
      </c>
      <c r="F143" t="b">
        <v>1</v>
      </c>
      <c r="G143" t="s">
        <v>2947</v>
      </c>
      <c r="H143" t="s">
        <v>2670</v>
      </c>
      <c r="I143" t="s">
        <v>76</v>
      </c>
      <c r="J143" t="b">
        <v>1</v>
      </c>
      <c r="K143" t="b">
        <f>ISNUMBER(_xlfn.XMATCH(tbldeptemp[[#This Row],[DependencyID]],tblTargets[TargetID]))</f>
        <v>1</v>
      </c>
      <c r="L143" t="str">
        <f>IF(tbldeptemp[[#This Row],[ValidTarget]]=FALSE,"BAD TARGET",IF(tbldeptemp[[#This Row],[ValidDependency]]=FALSE,"BAD DEPENDENCY",""))</f>
        <v/>
      </c>
    </row>
    <row r="144" spans="1:12">
      <c r="A144" t="s">
        <v>2094</v>
      </c>
      <c r="B144" t="s">
        <v>3108</v>
      </c>
      <c r="C144" t="s">
        <v>2174</v>
      </c>
      <c r="D144" t="s">
        <v>2920</v>
      </c>
      <c r="E144" t="s">
        <v>3564</v>
      </c>
      <c r="F144" t="b">
        <v>0</v>
      </c>
      <c r="G144" t="s">
        <v>2947</v>
      </c>
      <c r="H144" t="s">
        <v>2174</v>
      </c>
      <c r="I144" t="s">
        <v>2681</v>
      </c>
      <c r="J144" t="b">
        <v>1</v>
      </c>
      <c r="K144" t="b">
        <f>ISNUMBER(_xlfn.XMATCH(tbldeptemp[[#This Row],[DependencyID]],tblTargets[TargetID]))</f>
        <v>1</v>
      </c>
      <c r="L144" t="str">
        <f>IF(tbldeptemp[[#This Row],[ValidTarget]]=FALSE,"BAD TARGET",IF(tbldeptemp[[#This Row],[ValidDependency]]=FALSE,"BAD DEPENDENCY",""))</f>
        <v/>
      </c>
    </row>
    <row r="145" spans="1:12">
      <c r="A145" t="s">
        <v>2094</v>
      </c>
      <c r="B145" t="s">
        <v>3109</v>
      </c>
      <c r="C145" t="s">
        <v>2176</v>
      </c>
      <c r="D145" t="s">
        <v>2920</v>
      </c>
      <c r="E145" t="s">
        <v>3564</v>
      </c>
      <c r="F145" t="b">
        <v>0</v>
      </c>
      <c r="G145" t="s">
        <v>2947</v>
      </c>
      <c r="H145" t="s">
        <v>2176</v>
      </c>
      <c r="I145" t="s">
        <v>2681</v>
      </c>
      <c r="J145" t="b">
        <v>1</v>
      </c>
      <c r="K145" t="b">
        <f>ISNUMBER(_xlfn.XMATCH(tbldeptemp[[#This Row],[DependencyID]],tblTargets[TargetID]))</f>
        <v>1</v>
      </c>
      <c r="L145" t="str">
        <f>IF(tbldeptemp[[#This Row],[ValidTarget]]=FALSE,"BAD TARGET",IF(tbldeptemp[[#This Row],[ValidDependency]]=FALSE,"BAD DEPENDENCY",""))</f>
        <v/>
      </c>
    </row>
    <row r="146" spans="1:12">
      <c r="A146" t="s">
        <v>2094</v>
      </c>
      <c r="B146" t="s">
        <v>3170</v>
      </c>
      <c r="C146" t="s">
        <v>2172</v>
      </c>
      <c r="D146" t="s">
        <v>2920</v>
      </c>
      <c r="E146" t="s">
        <v>3564</v>
      </c>
      <c r="F146" t="b">
        <v>0</v>
      </c>
      <c r="G146" t="s">
        <v>2947</v>
      </c>
      <c r="H146" t="s">
        <v>2172</v>
      </c>
      <c r="I146" t="s">
        <v>2681</v>
      </c>
      <c r="J146" t="b">
        <v>1</v>
      </c>
      <c r="K146" t="b">
        <f>ISNUMBER(_xlfn.XMATCH(tbldeptemp[[#This Row],[DependencyID]],tblTargets[TargetID]))</f>
        <v>1</v>
      </c>
      <c r="L146" t="str">
        <f>IF(tbldeptemp[[#This Row],[ValidTarget]]=FALSE,"BAD TARGET",IF(tbldeptemp[[#This Row],[ValidDependency]]=FALSE,"BAD DEPENDENCY",""))</f>
        <v/>
      </c>
    </row>
    <row r="147" spans="1:12">
      <c r="A147" t="s">
        <v>2092</v>
      </c>
      <c r="B147" t="s">
        <v>2963</v>
      </c>
      <c r="C147" t="s">
        <v>83</v>
      </c>
      <c r="D147" t="s">
        <v>607</v>
      </c>
      <c r="E147" t="s">
        <v>3329</v>
      </c>
      <c r="F147" t="b">
        <v>0</v>
      </c>
      <c r="G147" t="s">
        <v>2946</v>
      </c>
      <c r="H147" t="s">
        <v>83</v>
      </c>
      <c r="I147" t="s">
        <v>80</v>
      </c>
      <c r="J147" t="b">
        <v>1</v>
      </c>
      <c r="K147" t="b">
        <f>ISNUMBER(_xlfn.XMATCH(tbldeptemp[[#This Row],[DependencyID]],tblTargets[TargetID]))</f>
        <v>1</v>
      </c>
      <c r="L147" t="str">
        <f>IF(tbldeptemp[[#This Row],[ValidTarget]]=FALSE,"BAD TARGET",IF(tbldeptemp[[#This Row],[ValidDependency]]=FALSE,"BAD DEPENDENCY",""))</f>
        <v/>
      </c>
    </row>
    <row r="148" spans="1:12">
      <c r="A148" t="s">
        <v>2092</v>
      </c>
      <c r="B148" t="s">
        <v>2964</v>
      </c>
      <c r="C148" t="s">
        <v>84</v>
      </c>
      <c r="D148" t="s">
        <v>608</v>
      </c>
      <c r="E148" t="s">
        <v>3330</v>
      </c>
      <c r="F148" t="b">
        <v>0</v>
      </c>
      <c r="G148" t="s">
        <v>2946</v>
      </c>
      <c r="H148" t="s">
        <v>84</v>
      </c>
      <c r="I148" t="s">
        <v>83</v>
      </c>
      <c r="J148" t="b">
        <v>1</v>
      </c>
      <c r="K148" t="b">
        <f>ISNUMBER(_xlfn.XMATCH(tbldeptemp[[#This Row],[DependencyID]],tblTargets[TargetID]))</f>
        <v>1</v>
      </c>
      <c r="L148" t="str">
        <f>IF(tbldeptemp[[#This Row],[ValidTarget]]=FALSE,"BAD TARGET",IF(tbldeptemp[[#This Row],[ValidDependency]]=FALSE,"BAD DEPENDENCY",""))</f>
        <v/>
      </c>
    </row>
    <row r="149" spans="1:12">
      <c r="A149" t="s">
        <v>2092</v>
      </c>
      <c r="B149" t="s">
        <v>2964</v>
      </c>
      <c r="C149" t="s">
        <v>84</v>
      </c>
      <c r="D149" t="s">
        <v>608</v>
      </c>
      <c r="E149" t="s">
        <v>3330</v>
      </c>
      <c r="F149" t="b">
        <v>0</v>
      </c>
      <c r="G149" t="s">
        <v>2946</v>
      </c>
      <c r="H149" t="s">
        <v>84</v>
      </c>
      <c r="I149" t="s">
        <v>83</v>
      </c>
      <c r="J149" t="b">
        <v>1</v>
      </c>
      <c r="K149" t="b">
        <f>ISNUMBER(_xlfn.XMATCH(tbldeptemp[[#This Row],[DependencyID]],tblTargets[TargetID]))</f>
        <v>1</v>
      </c>
      <c r="L149" t="str">
        <f>IF(tbldeptemp[[#This Row],[ValidTarget]]=FALSE,"BAD TARGET",IF(tbldeptemp[[#This Row],[ValidDependency]]=FALSE,"BAD DEPENDENCY",""))</f>
        <v/>
      </c>
    </row>
    <row r="150" spans="1:12">
      <c r="A150" t="s">
        <v>2092</v>
      </c>
      <c r="B150" t="s">
        <v>2965</v>
      </c>
      <c r="C150" t="s">
        <v>85</v>
      </c>
      <c r="D150" t="s">
        <v>609</v>
      </c>
      <c r="E150" t="s">
        <v>3331</v>
      </c>
      <c r="F150" t="b">
        <v>0</v>
      </c>
      <c r="G150" t="s">
        <v>2946</v>
      </c>
      <c r="H150" t="s">
        <v>85</v>
      </c>
      <c r="I150" t="s">
        <v>84</v>
      </c>
      <c r="J150" t="b">
        <v>1</v>
      </c>
      <c r="K150" t="b">
        <f>ISNUMBER(_xlfn.XMATCH(tbldeptemp[[#This Row],[DependencyID]],tblTargets[TargetID]))</f>
        <v>1</v>
      </c>
      <c r="L150" t="str">
        <f>IF(tbldeptemp[[#This Row],[ValidTarget]]=FALSE,"BAD TARGET",IF(tbldeptemp[[#This Row],[ValidDependency]]=FALSE,"BAD DEPENDENCY",""))</f>
        <v/>
      </c>
    </row>
    <row r="151" spans="1:12">
      <c r="A151" t="s">
        <v>2092</v>
      </c>
      <c r="B151" t="s">
        <v>2965</v>
      </c>
      <c r="C151" t="s">
        <v>85</v>
      </c>
      <c r="D151" t="s">
        <v>609</v>
      </c>
      <c r="E151" t="s">
        <v>3331</v>
      </c>
      <c r="F151" t="b">
        <v>0</v>
      </c>
      <c r="G151" t="s">
        <v>2946</v>
      </c>
      <c r="H151" t="s">
        <v>85</v>
      </c>
      <c r="I151" t="s">
        <v>84</v>
      </c>
      <c r="J151" t="b">
        <v>1</v>
      </c>
      <c r="K151" t="b">
        <f>ISNUMBER(_xlfn.XMATCH(tbldeptemp[[#This Row],[DependencyID]],tblTargets[TargetID]))</f>
        <v>1</v>
      </c>
      <c r="L151" t="str">
        <f>IF(tbldeptemp[[#This Row],[ValidTarget]]=FALSE,"BAD TARGET",IF(tbldeptemp[[#This Row],[ValidDependency]]=FALSE,"BAD DEPENDENCY",""))</f>
        <v/>
      </c>
    </row>
    <row r="152" spans="1:12">
      <c r="A152" t="s">
        <v>2092</v>
      </c>
      <c r="B152" t="s">
        <v>2966</v>
      </c>
      <c r="C152" t="s">
        <v>86</v>
      </c>
      <c r="D152" t="s">
        <v>610</v>
      </c>
      <c r="E152" t="s">
        <v>3332</v>
      </c>
      <c r="F152" t="b">
        <v>0</v>
      </c>
      <c r="G152" t="s">
        <v>2946</v>
      </c>
      <c r="H152" t="s">
        <v>86</v>
      </c>
      <c r="I152" t="s">
        <v>85</v>
      </c>
      <c r="J152" t="b">
        <v>1</v>
      </c>
      <c r="K152" t="b">
        <f>ISNUMBER(_xlfn.XMATCH(tbldeptemp[[#This Row],[DependencyID]],tblTargets[TargetID]))</f>
        <v>1</v>
      </c>
      <c r="L152" t="str">
        <f>IF(tbldeptemp[[#This Row],[ValidTarget]]=FALSE,"BAD TARGET",IF(tbldeptemp[[#This Row],[ValidDependency]]=FALSE,"BAD DEPENDENCY",""))</f>
        <v/>
      </c>
    </row>
    <row r="153" spans="1:12">
      <c r="A153" t="s">
        <v>2092</v>
      </c>
      <c r="B153" t="s">
        <v>2966</v>
      </c>
      <c r="C153" t="s">
        <v>86</v>
      </c>
      <c r="D153" t="s">
        <v>610</v>
      </c>
      <c r="E153" t="s">
        <v>3332</v>
      </c>
      <c r="F153" t="b">
        <v>0</v>
      </c>
      <c r="G153" t="s">
        <v>2946</v>
      </c>
      <c r="H153" t="s">
        <v>86</v>
      </c>
      <c r="I153" t="s">
        <v>85</v>
      </c>
      <c r="J153" t="b">
        <v>1</v>
      </c>
      <c r="K153" t="b">
        <f>ISNUMBER(_xlfn.XMATCH(tbldeptemp[[#This Row],[DependencyID]],tblTargets[TargetID]))</f>
        <v>1</v>
      </c>
      <c r="L153" t="str">
        <f>IF(tbldeptemp[[#This Row],[ValidTarget]]=FALSE,"BAD TARGET",IF(tbldeptemp[[#This Row],[ValidDependency]]=FALSE,"BAD DEPENDENCY",""))</f>
        <v/>
      </c>
    </row>
    <row r="154" spans="1:12">
      <c r="A154" t="s">
        <v>2092</v>
      </c>
      <c r="B154" t="s">
        <v>2962</v>
      </c>
      <c r="C154" t="s">
        <v>87</v>
      </c>
      <c r="D154" t="s">
        <v>2762</v>
      </c>
      <c r="E154" t="s">
        <v>3324</v>
      </c>
      <c r="F154" t="b">
        <v>0</v>
      </c>
      <c r="G154" t="s">
        <v>2947</v>
      </c>
      <c r="H154" t="s">
        <v>87</v>
      </c>
      <c r="I154" t="s">
        <v>86</v>
      </c>
      <c r="J154" t="b">
        <v>1</v>
      </c>
      <c r="K154" t="b">
        <f>ISNUMBER(_xlfn.XMATCH(tbldeptemp[[#This Row],[DependencyID]],tblTargets[TargetID]))</f>
        <v>1</v>
      </c>
      <c r="L154" t="str">
        <f>IF(tbldeptemp[[#This Row],[ValidTarget]]=FALSE,"BAD TARGET",IF(tbldeptemp[[#This Row],[ValidDependency]]=FALSE,"BAD DEPENDENCY",""))</f>
        <v/>
      </c>
    </row>
    <row r="155" spans="1:12">
      <c r="A155" t="s">
        <v>2092</v>
      </c>
      <c r="B155" t="s">
        <v>3284</v>
      </c>
      <c r="C155" t="s">
        <v>2681</v>
      </c>
      <c r="E155" t="e">
        <v>#N/A</v>
      </c>
      <c r="H155" t="s">
        <v>2681</v>
      </c>
      <c r="I155" t="s">
        <v>3295</v>
      </c>
      <c r="J155" t="b">
        <v>1</v>
      </c>
      <c r="K155" t="b">
        <f>ISNUMBER(_xlfn.XMATCH(tbldeptemp[[#This Row],[DependencyID]],tblTargets[TargetID]))</f>
        <v>1</v>
      </c>
      <c r="L155" t="str">
        <f>IF(tbldeptemp[[#This Row],[ValidTarget]]=FALSE,"BAD TARGET",IF(tbldeptemp[[#This Row],[ValidDependency]]=FALSE,"BAD DEPENDENCY",""))</f>
        <v/>
      </c>
    </row>
    <row r="156" spans="1:12">
      <c r="A156" t="s">
        <v>2094</v>
      </c>
      <c r="B156" t="s">
        <v>3108</v>
      </c>
      <c r="C156" t="s">
        <v>2174</v>
      </c>
      <c r="D156" t="s">
        <v>2919</v>
      </c>
      <c r="E156" t="s">
        <v>3563</v>
      </c>
      <c r="F156" t="b">
        <v>0</v>
      </c>
      <c r="G156" t="s">
        <v>2947</v>
      </c>
      <c r="H156" t="s">
        <v>2174</v>
      </c>
      <c r="I156" t="s">
        <v>3175</v>
      </c>
      <c r="J156" t="b">
        <v>1</v>
      </c>
      <c r="K156" t="b">
        <f>ISNUMBER(_xlfn.XMATCH(tbldeptemp[[#This Row],[DependencyID]],tblTargets[TargetID]))</f>
        <v>1</v>
      </c>
      <c r="L156" t="str">
        <f>IF(tbldeptemp[[#This Row],[ValidTarget]]=FALSE,"BAD TARGET",IF(tbldeptemp[[#This Row],[ValidDependency]]=FALSE,"BAD DEPENDENCY",""))</f>
        <v/>
      </c>
    </row>
    <row r="157" spans="1:12">
      <c r="A157" t="s">
        <v>2094</v>
      </c>
      <c r="B157" t="s">
        <v>3170</v>
      </c>
      <c r="C157" t="s">
        <v>2172</v>
      </c>
      <c r="D157" t="s">
        <v>2919</v>
      </c>
      <c r="E157" t="s">
        <v>3563</v>
      </c>
      <c r="F157" t="b">
        <v>0</v>
      </c>
      <c r="G157" t="s">
        <v>2947</v>
      </c>
      <c r="H157" t="s">
        <v>2172</v>
      </c>
      <c r="I157" t="s">
        <v>3175</v>
      </c>
      <c r="J157" t="b">
        <v>1</v>
      </c>
      <c r="K157" t="b">
        <f>ISNUMBER(_xlfn.XMATCH(tbldeptemp[[#This Row],[DependencyID]],tblTargets[TargetID]))</f>
        <v>1</v>
      </c>
      <c r="L157" t="str">
        <f>IF(tbldeptemp[[#This Row],[ValidTarget]]=FALSE,"BAD TARGET",IF(tbldeptemp[[#This Row],[ValidDependency]]=FALSE,"BAD DEPENDENCY",""))</f>
        <v/>
      </c>
    </row>
    <row r="158" spans="1:12">
      <c r="A158" t="s">
        <v>2092</v>
      </c>
      <c r="B158" t="s">
        <v>3285</v>
      </c>
      <c r="C158" t="s">
        <v>3175</v>
      </c>
      <c r="E158" t="e">
        <v>#N/A</v>
      </c>
      <c r="H158" t="s">
        <v>3175</v>
      </c>
      <c r="I158" t="s">
        <v>87</v>
      </c>
      <c r="J158" t="b">
        <v>1</v>
      </c>
      <c r="K158" t="b">
        <f>ISNUMBER(_xlfn.XMATCH(tbldeptemp[[#This Row],[DependencyID]],tblTargets[TargetID]))</f>
        <v>1</v>
      </c>
      <c r="L158" t="str">
        <f>IF(tbldeptemp[[#This Row],[ValidTarget]]=FALSE,"BAD TARGET",IF(tbldeptemp[[#This Row],[ValidDependency]]=FALSE,"BAD DEPENDENCY",""))</f>
        <v/>
      </c>
    </row>
    <row r="159" spans="1:12">
      <c r="A159" t="s">
        <v>2092</v>
      </c>
      <c r="B159" t="s">
        <v>2770</v>
      </c>
      <c r="C159" t="s">
        <v>92</v>
      </c>
      <c r="D159" t="s">
        <v>612</v>
      </c>
      <c r="E159" t="s">
        <v>612</v>
      </c>
      <c r="F159" t="b">
        <v>1</v>
      </c>
      <c r="G159" t="s">
        <v>2946</v>
      </c>
      <c r="H159" t="s">
        <v>92</v>
      </c>
      <c r="I159" t="s">
        <v>90</v>
      </c>
      <c r="J159" t="b">
        <v>1</v>
      </c>
      <c r="K159" t="b">
        <f>ISNUMBER(_xlfn.XMATCH(tbldeptemp[[#This Row],[DependencyID]],tblTargets[TargetID]))</f>
        <v>1</v>
      </c>
      <c r="L159" t="str">
        <f>IF(tbldeptemp[[#This Row],[ValidTarget]]=FALSE,"BAD TARGET",IF(tbldeptemp[[#This Row],[ValidDependency]]=FALSE,"BAD DEPENDENCY",""))</f>
        <v/>
      </c>
    </row>
    <row r="160" spans="1:12">
      <c r="A160" t="s">
        <v>2092</v>
      </c>
      <c r="B160" t="s">
        <v>2771</v>
      </c>
      <c r="C160" t="s">
        <v>93</v>
      </c>
      <c r="D160" t="s">
        <v>613</v>
      </c>
      <c r="E160" t="s">
        <v>613</v>
      </c>
      <c r="F160" t="b">
        <v>1</v>
      </c>
      <c r="G160" t="s">
        <v>2946</v>
      </c>
      <c r="H160" t="s">
        <v>93</v>
      </c>
      <c r="I160" t="s">
        <v>92</v>
      </c>
      <c r="J160" t="b">
        <v>1</v>
      </c>
      <c r="K160" t="b">
        <f>ISNUMBER(_xlfn.XMATCH(tbldeptemp[[#This Row],[DependencyID]],tblTargets[TargetID]))</f>
        <v>1</v>
      </c>
      <c r="L160" t="str">
        <f>IF(tbldeptemp[[#This Row],[ValidTarget]]=FALSE,"BAD TARGET",IF(tbldeptemp[[#This Row],[ValidDependency]]=FALSE,"BAD DEPENDENCY",""))</f>
        <v/>
      </c>
    </row>
    <row r="161" spans="1:12">
      <c r="A161" t="s">
        <v>2092</v>
      </c>
      <c r="B161" t="s">
        <v>2773</v>
      </c>
      <c r="C161" t="s">
        <v>96</v>
      </c>
      <c r="D161" t="s">
        <v>614</v>
      </c>
      <c r="E161" t="s">
        <v>614</v>
      </c>
      <c r="F161" t="b">
        <v>1</v>
      </c>
      <c r="G161" t="s">
        <v>2946</v>
      </c>
      <c r="H161" t="s">
        <v>96</v>
      </c>
      <c r="I161" t="s">
        <v>94</v>
      </c>
      <c r="J161" t="b">
        <v>1</v>
      </c>
      <c r="K161" t="b">
        <f>ISNUMBER(_xlfn.XMATCH(tbldeptemp[[#This Row],[DependencyID]],tblTargets[TargetID]))</f>
        <v>1</v>
      </c>
      <c r="L161" t="str">
        <f>IF(tbldeptemp[[#This Row],[ValidTarget]]=FALSE,"BAD TARGET",IF(tbldeptemp[[#This Row],[ValidDependency]]=FALSE,"BAD DEPENDENCY",""))</f>
        <v/>
      </c>
    </row>
    <row r="162" spans="1:12">
      <c r="A162" t="s">
        <v>2094</v>
      </c>
      <c r="B162" t="s">
        <v>3110</v>
      </c>
      <c r="C162" t="s">
        <v>2180</v>
      </c>
      <c r="D162" t="s">
        <v>1146</v>
      </c>
      <c r="E162" t="s">
        <v>3566</v>
      </c>
      <c r="F162" t="b">
        <v>1</v>
      </c>
      <c r="G162" t="s">
        <v>2946</v>
      </c>
      <c r="H162" t="s">
        <v>2180</v>
      </c>
      <c r="I162" t="s">
        <v>2682</v>
      </c>
      <c r="J162" t="b">
        <v>1</v>
      </c>
      <c r="K162" t="b">
        <f>ISNUMBER(_xlfn.XMATCH(tbldeptemp[[#This Row],[DependencyID]],tblTargets[TargetID]))</f>
        <v>1</v>
      </c>
      <c r="L162" t="str">
        <f>IF(tbldeptemp[[#This Row],[ValidTarget]]=FALSE,"BAD TARGET",IF(tbldeptemp[[#This Row],[ValidDependency]]=FALSE,"BAD DEPENDENCY",""))</f>
        <v/>
      </c>
    </row>
    <row r="163" spans="1:12">
      <c r="A163" t="s">
        <v>2094</v>
      </c>
      <c r="B163" t="s">
        <v>3111</v>
      </c>
      <c r="C163" t="s">
        <v>2182</v>
      </c>
      <c r="D163" t="s">
        <v>1146</v>
      </c>
      <c r="E163" t="s">
        <v>3566</v>
      </c>
      <c r="F163" t="b">
        <v>1</v>
      </c>
      <c r="G163" t="s">
        <v>2947</v>
      </c>
      <c r="H163" t="s">
        <v>2182</v>
      </c>
      <c r="I163" t="s">
        <v>2682</v>
      </c>
      <c r="J163" t="b">
        <v>1</v>
      </c>
      <c r="K163" t="b">
        <f>ISNUMBER(_xlfn.XMATCH(tbldeptemp[[#This Row],[DependencyID]],tblTargets[TargetID]))</f>
        <v>1</v>
      </c>
      <c r="L163" t="str">
        <f>IF(tbldeptemp[[#This Row],[ValidTarget]]=FALSE,"BAD TARGET",IF(tbldeptemp[[#This Row],[ValidDependency]]=FALSE,"BAD DEPENDENCY",""))</f>
        <v/>
      </c>
    </row>
    <row r="164" spans="1:12">
      <c r="A164" t="s">
        <v>2094</v>
      </c>
      <c r="B164" t="s">
        <v>3112</v>
      </c>
      <c r="C164" t="s">
        <v>2186</v>
      </c>
      <c r="D164" t="s">
        <v>1146</v>
      </c>
      <c r="E164" t="s">
        <v>3566</v>
      </c>
      <c r="F164" t="b">
        <v>1</v>
      </c>
      <c r="G164" t="s">
        <v>2947</v>
      </c>
      <c r="H164" t="s">
        <v>2186</v>
      </c>
      <c r="I164" t="s">
        <v>2682</v>
      </c>
      <c r="J164" t="b">
        <v>1</v>
      </c>
      <c r="K164" t="b">
        <f>ISNUMBER(_xlfn.XMATCH(tbldeptemp[[#This Row],[DependencyID]],tblTargets[TargetID]))</f>
        <v>1</v>
      </c>
      <c r="L164" t="str">
        <f>IF(tbldeptemp[[#This Row],[ValidTarget]]=FALSE,"BAD TARGET",IF(tbldeptemp[[#This Row],[ValidDependency]]=FALSE,"BAD DEPENDENCY",""))</f>
        <v/>
      </c>
    </row>
    <row r="165" spans="1:12">
      <c r="A165" t="s">
        <v>2094</v>
      </c>
      <c r="B165" t="s">
        <v>3113</v>
      </c>
      <c r="C165" t="s">
        <v>2184</v>
      </c>
      <c r="D165" t="s">
        <v>1146</v>
      </c>
      <c r="E165" t="s">
        <v>3566</v>
      </c>
      <c r="F165" t="b">
        <v>1</v>
      </c>
      <c r="G165" t="s">
        <v>2946</v>
      </c>
      <c r="H165" t="s">
        <v>2184</v>
      </c>
      <c r="I165" t="s">
        <v>2682</v>
      </c>
      <c r="J165" t="b">
        <v>1</v>
      </c>
      <c r="K165" t="b">
        <f>ISNUMBER(_xlfn.XMATCH(tbldeptemp[[#This Row],[DependencyID]],tblTargets[TargetID]))</f>
        <v>1</v>
      </c>
      <c r="L165" t="str">
        <f>IF(tbldeptemp[[#This Row],[ValidTarget]]=FALSE,"BAD TARGET",IF(tbldeptemp[[#This Row],[ValidDependency]]=FALSE,"BAD DEPENDENCY",""))</f>
        <v/>
      </c>
    </row>
    <row r="166" spans="1:12">
      <c r="A166" t="s">
        <v>2094</v>
      </c>
      <c r="B166" t="s">
        <v>3114</v>
      </c>
      <c r="C166" t="s">
        <v>2178</v>
      </c>
      <c r="D166" t="s">
        <v>1146</v>
      </c>
      <c r="E166" t="s">
        <v>3566</v>
      </c>
      <c r="F166" t="b">
        <v>1</v>
      </c>
      <c r="G166" t="s">
        <v>2946</v>
      </c>
      <c r="H166" t="s">
        <v>2178</v>
      </c>
      <c r="I166" t="s">
        <v>2682</v>
      </c>
      <c r="J166" t="b">
        <v>1</v>
      </c>
      <c r="K166" t="b">
        <f>ISNUMBER(_xlfn.XMATCH(tbldeptemp[[#This Row],[DependencyID]],tblTargets[TargetID]))</f>
        <v>1</v>
      </c>
      <c r="L166" t="str">
        <f>IF(tbldeptemp[[#This Row],[ValidTarget]]=FALSE,"BAD TARGET",IF(tbldeptemp[[#This Row],[ValidDependency]]=FALSE,"BAD DEPENDENCY",""))</f>
        <v/>
      </c>
    </row>
    <row r="167" spans="1:12">
      <c r="A167" t="s">
        <v>2094</v>
      </c>
      <c r="B167" t="s">
        <v>3115</v>
      </c>
      <c r="C167" t="s">
        <v>2188</v>
      </c>
      <c r="D167" t="s">
        <v>1146</v>
      </c>
      <c r="E167" t="s">
        <v>3566</v>
      </c>
      <c r="F167" t="b">
        <v>1</v>
      </c>
      <c r="G167" t="s">
        <v>2947</v>
      </c>
      <c r="H167" t="s">
        <v>2188</v>
      </c>
      <c r="I167" t="s">
        <v>2682</v>
      </c>
      <c r="J167" t="b">
        <v>1</v>
      </c>
      <c r="K167" t="b">
        <f>ISNUMBER(_xlfn.XMATCH(tbldeptemp[[#This Row],[DependencyID]],tblTargets[TargetID]))</f>
        <v>1</v>
      </c>
      <c r="L167" t="str">
        <f>IF(tbldeptemp[[#This Row],[ValidTarget]]=FALSE,"BAD TARGET",IF(tbldeptemp[[#This Row],[ValidDependency]]=FALSE,"BAD DEPENDENCY",""))</f>
        <v/>
      </c>
    </row>
    <row r="168" spans="1:12">
      <c r="A168" t="s">
        <v>2092</v>
      </c>
      <c r="B168" t="s">
        <v>2776</v>
      </c>
      <c r="C168" t="s">
        <v>99</v>
      </c>
      <c r="D168" t="s">
        <v>616</v>
      </c>
      <c r="E168" t="s">
        <v>616</v>
      </c>
      <c r="F168" t="b">
        <v>1</v>
      </c>
      <c r="G168" t="s">
        <v>2946</v>
      </c>
      <c r="H168" t="s">
        <v>99</v>
      </c>
      <c r="I168" t="s">
        <v>97</v>
      </c>
      <c r="J168" t="b">
        <v>1</v>
      </c>
      <c r="K168" t="b">
        <f>ISNUMBER(_xlfn.XMATCH(tbldeptemp[[#This Row],[DependencyID]],tblTargets[TargetID]))</f>
        <v>1</v>
      </c>
      <c r="L168" t="str">
        <f>IF(tbldeptemp[[#This Row],[ValidTarget]]=FALSE,"BAD TARGET",IF(tbldeptemp[[#This Row],[ValidDependency]]=FALSE,"BAD DEPENDENCY",""))</f>
        <v/>
      </c>
    </row>
    <row r="169" spans="1:12">
      <c r="A169" t="s">
        <v>2092</v>
      </c>
      <c r="B169" t="s">
        <v>2777</v>
      </c>
      <c r="C169" t="s">
        <v>100</v>
      </c>
      <c r="D169" t="s">
        <v>617</v>
      </c>
      <c r="E169" t="s">
        <v>617</v>
      </c>
      <c r="F169" t="b">
        <v>1</v>
      </c>
      <c r="G169" t="s">
        <v>2946</v>
      </c>
      <c r="H169" t="s">
        <v>100</v>
      </c>
      <c r="I169" t="s">
        <v>99</v>
      </c>
      <c r="J169" t="b">
        <v>1</v>
      </c>
      <c r="K169" t="b">
        <f>ISNUMBER(_xlfn.XMATCH(tbldeptemp[[#This Row],[DependencyID]],tblTargets[TargetID]))</f>
        <v>1</v>
      </c>
      <c r="L169" t="str">
        <f>IF(tbldeptemp[[#This Row],[ValidTarget]]=FALSE,"BAD TARGET",IF(tbldeptemp[[#This Row],[ValidDependency]]=FALSE,"BAD DEPENDENCY",""))</f>
        <v/>
      </c>
    </row>
    <row r="170" spans="1:12">
      <c r="A170" t="s">
        <v>2092</v>
      </c>
      <c r="B170" t="s">
        <v>3286</v>
      </c>
      <c r="C170" t="s">
        <v>2682</v>
      </c>
      <c r="E170" t="e">
        <v>#N/A</v>
      </c>
      <c r="H170" t="s">
        <v>2682</v>
      </c>
      <c r="I170" t="s">
        <v>100</v>
      </c>
      <c r="J170" t="b">
        <v>1</v>
      </c>
      <c r="K170" t="b">
        <f>ISNUMBER(_xlfn.XMATCH(tbldeptemp[[#This Row],[DependencyID]],tblTargets[TargetID]))</f>
        <v>1</v>
      </c>
      <c r="L170" t="str">
        <f>IF(tbldeptemp[[#This Row],[ValidTarget]]=FALSE,"BAD TARGET",IF(tbldeptemp[[#This Row],[ValidDependency]]=FALSE,"BAD DEPENDENCY",""))</f>
        <v/>
      </c>
    </row>
    <row r="171" spans="1:12">
      <c r="A171" t="s">
        <v>2092</v>
      </c>
      <c r="B171" t="s">
        <v>2780</v>
      </c>
      <c r="C171" t="s">
        <v>103</v>
      </c>
      <c r="D171" t="s">
        <v>618</v>
      </c>
      <c r="E171" t="s">
        <v>618</v>
      </c>
      <c r="F171" t="b">
        <v>1</v>
      </c>
      <c r="G171" t="s">
        <v>2946</v>
      </c>
      <c r="H171" t="s">
        <v>103</v>
      </c>
      <c r="I171" t="s">
        <v>101</v>
      </c>
      <c r="J171" t="b">
        <v>1</v>
      </c>
      <c r="K171" t="b">
        <f>ISNUMBER(_xlfn.XMATCH(tbldeptemp[[#This Row],[DependencyID]],tblTargets[TargetID]))</f>
        <v>1</v>
      </c>
      <c r="L171" t="str">
        <f>IF(tbldeptemp[[#This Row],[ValidTarget]]=FALSE,"BAD TARGET",IF(tbldeptemp[[#This Row],[ValidDependency]]=FALSE,"BAD DEPENDENCY",""))</f>
        <v/>
      </c>
    </row>
    <row r="172" spans="1:12">
      <c r="A172" t="s">
        <v>2092</v>
      </c>
      <c r="B172" t="s">
        <v>2781</v>
      </c>
      <c r="C172" t="s">
        <v>104</v>
      </c>
      <c r="D172" t="s">
        <v>619</v>
      </c>
      <c r="E172" t="s">
        <v>619</v>
      </c>
      <c r="F172" t="b">
        <v>1</v>
      </c>
      <c r="G172" t="s">
        <v>2946</v>
      </c>
      <c r="H172" t="s">
        <v>104</v>
      </c>
      <c r="I172" t="s">
        <v>103</v>
      </c>
      <c r="J172" t="b">
        <v>1</v>
      </c>
      <c r="K172" t="b">
        <f>ISNUMBER(_xlfn.XMATCH(tbldeptemp[[#This Row],[DependencyID]],tblTargets[TargetID]))</f>
        <v>1</v>
      </c>
      <c r="L172" t="str">
        <f>IF(tbldeptemp[[#This Row],[ValidTarget]]=FALSE,"BAD TARGET",IF(tbldeptemp[[#This Row],[ValidDependency]]=FALSE,"BAD DEPENDENCY",""))</f>
        <v/>
      </c>
    </row>
    <row r="173" spans="1:12">
      <c r="A173" t="s">
        <v>2092</v>
      </c>
      <c r="B173" t="s">
        <v>2782</v>
      </c>
      <c r="C173" t="s">
        <v>105</v>
      </c>
      <c r="D173" t="s">
        <v>620</v>
      </c>
      <c r="E173" t="s">
        <v>620</v>
      </c>
      <c r="F173" t="b">
        <v>1</v>
      </c>
      <c r="G173" t="s">
        <v>2946</v>
      </c>
      <c r="H173" t="s">
        <v>105</v>
      </c>
      <c r="I173" t="s">
        <v>104</v>
      </c>
      <c r="J173" t="b">
        <v>1</v>
      </c>
      <c r="K173" t="b">
        <f>ISNUMBER(_xlfn.XMATCH(tbldeptemp[[#This Row],[DependencyID]],tblTargets[TargetID]))</f>
        <v>1</v>
      </c>
      <c r="L173" t="str">
        <f>IF(tbldeptemp[[#This Row],[ValidTarget]]=FALSE,"BAD TARGET",IF(tbldeptemp[[#This Row],[ValidDependency]]=FALSE,"BAD DEPENDENCY",""))</f>
        <v/>
      </c>
    </row>
    <row r="174" spans="1:12">
      <c r="A174" t="s">
        <v>2092</v>
      </c>
      <c r="B174" t="s">
        <v>2784</v>
      </c>
      <c r="C174" t="s">
        <v>106</v>
      </c>
      <c r="D174" t="s">
        <v>621</v>
      </c>
      <c r="E174" t="s">
        <v>621</v>
      </c>
      <c r="F174" t="b">
        <v>1</v>
      </c>
      <c r="G174" t="s">
        <v>2946</v>
      </c>
      <c r="H174" t="s">
        <v>106</v>
      </c>
      <c r="I174" t="s">
        <v>105</v>
      </c>
      <c r="J174" t="b">
        <v>1</v>
      </c>
      <c r="K174" t="b">
        <f>ISNUMBER(_xlfn.XMATCH(tbldeptemp[[#This Row],[DependencyID]],tblTargets[TargetID]))</f>
        <v>1</v>
      </c>
      <c r="L174" t="str">
        <f>IF(tbldeptemp[[#This Row],[ValidTarget]]=FALSE,"BAD TARGET",IF(tbldeptemp[[#This Row],[ValidDependency]]=FALSE,"BAD DEPENDENCY",""))</f>
        <v/>
      </c>
    </row>
    <row r="175" spans="1:12">
      <c r="A175" t="s">
        <v>2092</v>
      </c>
      <c r="B175" t="s">
        <v>2786</v>
      </c>
      <c r="C175" t="s">
        <v>107</v>
      </c>
      <c r="D175" t="s">
        <v>622</v>
      </c>
      <c r="E175" t="s">
        <v>622</v>
      </c>
      <c r="F175" t="b">
        <v>1</v>
      </c>
      <c r="G175" t="s">
        <v>2946</v>
      </c>
      <c r="H175" t="s">
        <v>107</v>
      </c>
      <c r="I175" t="s">
        <v>106</v>
      </c>
      <c r="J175" t="b">
        <v>1</v>
      </c>
      <c r="K175" t="b">
        <f>ISNUMBER(_xlfn.XMATCH(tbldeptemp[[#This Row],[DependencyID]],tblTargets[TargetID]))</f>
        <v>1</v>
      </c>
      <c r="L175" t="str">
        <f>IF(tbldeptemp[[#This Row],[ValidTarget]]=FALSE,"BAD TARGET",IF(tbldeptemp[[#This Row],[ValidDependency]]=FALSE,"BAD DEPENDENCY",""))</f>
        <v/>
      </c>
    </row>
    <row r="176" spans="1:12">
      <c r="A176" t="s">
        <v>2092</v>
      </c>
      <c r="B176" t="s">
        <v>2788</v>
      </c>
      <c r="C176" t="s">
        <v>108</v>
      </c>
      <c r="D176" t="s">
        <v>623</v>
      </c>
      <c r="E176" t="s">
        <v>623</v>
      </c>
      <c r="F176" t="b">
        <v>1</v>
      </c>
      <c r="G176" t="s">
        <v>2946</v>
      </c>
      <c r="H176" t="s">
        <v>108</v>
      </c>
      <c r="I176" t="s">
        <v>107</v>
      </c>
      <c r="J176" t="b">
        <v>1</v>
      </c>
      <c r="K176" t="b">
        <f>ISNUMBER(_xlfn.XMATCH(tbldeptemp[[#This Row],[DependencyID]],tblTargets[TargetID]))</f>
        <v>1</v>
      </c>
      <c r="L176" t="str">
        <f>IF(tbldeptemp[[#This Row],[ValidTarget]]=FALSE,"BAD TARGET",IF(tbldeptemp[[#This Row],[ValidDependency]]=FALSE,"BAD DEPENDENCY",""))</f>
        <v/>
      </c>
    </row>
    <row r="177" spans="1:12">
      <c r="A177" t="s">
        <v>2092</v>
      </c>
      <c r="B177" t="s">
        <v>2793</v>
      </c>
      <c r="C177" t="s">
        <v>116</v>
      </c>
      <c r="D177" t="s">
        <v>627</v>
      </c>
      <c r="E177" t="s">
        <v>3344</v>
      </c>
      <c r="F177" t="b">
        <v>1</v>
      </c>
      <c r="G177" t="s">
        <v>2946</v>
      </c>
      <c r="H177" t="s">
        <v>116</v>
      </c>
      <c r="I177" t="s">
        <v>109</v>
      </c>
      <c r="J177" t="b">
        <v>1</v>
      </c>
      <c r="K177" t="b">
        <f>ISNUMBER(_xlfn.XMATCH(tbldeptemp[[#This Row],[DependencyID]],tblTargets[TargetID]))</f>
        <v>1</v>
      </c>
      <c r="L177" t="str">
        <f>IF(tbldeptemp[[#This Row],[ValidTarget]]=FALSE,"BAD TARGET",IF(tbldeptemp[[#This Row],[ValidDependency]]=FALSE,"BAD DEPENDENCY",""))</f>
        <v/>
      </c>
    </row>
    <row r="178" spans="1:12">
      <c r="A178" t="s">
        <v>2094</v>
      </c>
      <c r="B178" t="s">
        <v>3116</v>
      </c>
      <c r="C178" t="s">
        <v>2190</v>
      </c>
      <c r="D178" t="s">
        <v>1171</v>
      </c>
      <c r="E178" t="s">
        <v>3569</v>
      </c>
      <c r="F178" t="b">
        <v>1</v>
      </c>
      <c r="G178" t="s">
        <v>2946</v>
      </c>
      <c r="H178" t="s">
        <v>2190</v>
      </c>
      <c r="I178" t="s">
        <v>2683</v>
      </c>
      <c r="J178" t="b">
        <v>1</v>
      </c>
      <c r="K178" t="b">
        <f>ISNUMBER(_xlfn.XMATCH(tbldeptemp[[#This Row],[DependencyID]],tblTargets[TargetID]))</f>
        <v>1</v>
      </c>
      <c r="L178" t="str">
        <f>IF(tbldeptemp[[#This Row],[ValidTarget]]=FALSE,"BAD TARGET",IF(tbldeptemp[[#This Row],[ValidDependency]]=FALSE,"BAD DEPENDENCY",""))</f>
        <v/>
      </c>
    </row>
    <row r="179" spans="1:12">
      <c r="A179" t="s">
        <v>2092</v>
      </c>
      <c r="B179" t="s">
        <v>2968</v>
      </c>
      <c r="C179" t="s">
        <v>114</v>
      </c>
      <c r="D179" t="s">
        <v>625</v>
      </c>
      <c r="E179" t="s">
        <v>3342</v>
      </c>
      <c r="F179" t="b">
        <v>1</v>
      </c>
      <c r="G179" t="s">
        <v>2946</v>
      </c>
      <c r="H179" t="s">
        <v>114</v>
      </c>
      <c r="I179" t="s">
        <v>111</v>
      </c>
      <c r="J179" t="b">
        <v>1</v>
      </c>
      <c r="K179" t="b">
        <f>ISNUMBER(_xlfn.XMATCH(tbldeptemp[[#This Row],[DependencyID]],tblTargets[TargetID]))</f>
        <v>1</v>
      </c>
      <c r="L179" t="str">
        <f>IF(tbldeptemp[[#This Row],[ValidTarget]]=FALSE,"BAD TARGET",IF(tbldeptemp[[#This Row],[ValidDependency]]=FALSE,"BAD DEPENDENCY",""))</f>
        <v/>
      </c>
    </row>
    <row r="180" spans="1:12">
      <c r="A180" t="s">
        <v>2092</v>
      </c>
      <c r="B180" t="s">
        <v>2969</v>
      </c>
      <c r="C180" t="s">
        <v>115</v>
      </c>
      <c r="D180" t="s">
        <v>626</v>
      </c>
      <c r="E180" t="s">
        <v>3343</v>
      </c>
      <c r="F180" t="b">
        <v>1</v>
      </c>
      <c r="G180" t="s">
        <v>2946</v>
      </c>
      <c r="H180" t="s">
        <v>115</v>
      </c>
      <c r="I180" t="s">
        <v>114</v>
      </c>
      <c r="J180" t="b">
        <v>1</v>
      </c>
      <c r="K180" t="b">
        <f>ISNUMBER(_xlfn.XMATCH(tbldeptemp[[#This Row],[DependencyID]],tblTargets[TargetID]))</f>
        <v>1</v>
      </c>
      <c r="L180" t="str">
        <f>IF(tbldeptemp[[#This Row],[ValidTarget]]=FALSE,"BAD TARGET",IF(tbldeptemp[[#This Row],[ValidDependency]]=FALSE,"BAD DEPENDENCY",""))</f>
        <v/>
      </c>
    </row>
    <row r="181" spans="1:12">
      <c r="A181" t="s">
        <v>2092</v>
      </c>
      <c r="B181" t="s">
        <v>3287</v>
      </c>
      <c r="C181" t="s">
        <v>2683</v>
      </c>
      <c r="E181" t="e">
        <v>#N/A</v>
      </c>
      <c r="H181" t="s">
        <v>2683</v>
      </c>
      <c r="I181" t="s">
        <v>115</v>
      </c>
      <c r="J181" t="b">
        <v>1</v>
      </c>
      <c r="K181" t="b">
        <f>ISNUMBER(_xlfn.XMATCH(tbldeptemp[[#This Row],[DependencyID]],tblTargets[TargetID]))</f>
        <v>1</v>
      </c>
      <c r="L181" t="str">
        <f>IF(tbldeptemp[[#This Row],[ValidTarget]]=FALSE,"BAD TARGET",IF(tbldeptemp[[#This Row],[ValidDependency]]=FALSE,"BAD DEPENDENCY",""))</f>
        <v/>
      </c>
    </row>
    <row r="182" spans="1:12">
      <c r="A182" t="s">
        <v>2092</v>
      </c>
      <c r="B182" t="s">
        <v>2794</v>
      </c>
      <c r="C182" t="s">
        <v>118</v>
      </c>
      <c r="D182" t="s">
        <v>628</v>
      </c>
      <c r="E182" t="s">
        <v>628</v>
      </c>
      <c r="F182" t="b">
        <v>1</v>
      </c>
      <c r="G182" t="s">
        <v>2946</v>
      </c>
      <c r="H182" t="s">
        <v>118</v>
      </c>
      <c r="I182" t="s">
        <v>116</v>
      </c>
      <c r="J182" t="b">
        <v>1</v>
      </c>
      <c r="K182" t="b">
        <f>ISNUMBER(_xlfn.XMATCH(tbldeptemp[[#This Row],[DependencyID]],tblTargets[TargetID]))</f>
        <v>1</v>
      </c>
      <c r="L182" t="str">
        <f>IF(tbldeptemp[[#This Row],[ValidTarget]]=FALSE,"BAD TARGET",IF(tbldeptemp[[#This Row],[ValidDependency]]=FALSE,"BAD DEPENDENCY",""))</f>
        <v/>
      </c>
    </row>
    <row r="183" spans="1:12">
      <c r="A183" t="s">
        <v>2651</v>
      </c>
      <c r="B183" t="s">
        <v>3069</v>
      </c>
      <c r="C183" t="s">
        <v>2665</v>
      </c>
      <c r="D183" t="s">
        <v>1613</v>
      </c>
      <c r="E183" t="s">
        <v>628</v>
      </c>
      <c r="F183" t="b">
        <v>1</v>
      </c>
      <c r="G183" t="s">
        <v>2947</v>
      </c>
      <c r="H183" t="s">
        <v>2665</v>
      </c>
      <c r="I183" t="s">
        <v>116</v>
      </c>
      <c r="J183" t="b">
        <v>1</v>
      </c>
      <c r="K183" t="b">
        <f>ISNUMBER(_xlfn.XMATCH(tbldeptemp[[#This Row],[DependencyID]],tblTargets[TargetID]))</f>
        <v>1</v>
      </c>
      <c r="L183" t="str">
        <f>IF(tbldeptemp[[#This Row],[ValidTarget]]=FALSE,"BAD TARGET",IF(tbldeptemp[[#This Row],[ValidDependency]]=FALSE,"BAD DEPENDENCY",""))</f>
        <v/>
      </c>
    </row>
    <row r="184" spans="1:12">
      <c r="A184" t="s">
        <v>2282</v>
      </c>
      <c r="B184" t="s">
        <v>1434</v>
      </c>
      <c r="C184" t="s">
        <v>2414</v>
      </c>
      <c r="D184" t="s">
        <v>1613</v>
      </c>
      <c r="E184" t="s">
        <v>628</v>
      </c>
      <c r="F184" t="b">
        <v>1</v>
      </c>
      <c r="G184" t="s">
        <v>2946</v>
      </c>
      <c r="H184" t="s">
        <v>2414</v>
      </c>
      <c r="I184" t="s">
        <v>116</v>
      </c>
      <c r="J184" t="b">
        <v>1</v>
      </c>
      <c r="K184" t="b">
        <f>ISNUMBER(_xlfn.XMATCH(tbldeptemp[[#This Row],[DependencyID]],tblTargets[TargetID]))</f>
        <v>1</v>
      </c>
      <c r="L184" t="str">
        <f>IF(tbldeptemp[[#This Row],[ValidTarget]]=FALSE,"BAD TARGET",IF(tbldeptemp[[#This Row],[ValidDependency]]=FALSE,"BAD DEPENDENCY",""))</f>
        <v/>
      </c>
    </row>
    <row r="185" spans="1:12">
      <c r="A185" t="s">
        <v>2092</v>
      </c>
      <c r="B185" t="s">
        <v>2795</v>
      </c>
      <c r="C185" t="s">
        <v>119</v>
      </c>
      <c r="D185" t="s">
        <v>629</v>
      </c>
      <c r="E185" t="s">
        <v>629</v>
      </c>
      <c r="F185" t="b">
        <v>1</v>
      </c>
      <c r="G185" t="s">
        <v>2946</v>
      </c>
      <c r="H185" t="s">
        <v>119</v>
      </c>
      <c r="I185" t="s">
        <v>118</v>
      </c>
      <c r="J185" t="b">
        <v>1</v>
      </c>
      <c r="K185" t="b">
        <f>ISNUMBER(_xlfn.XMATCH(tbldeptemp[[#This Row],[DependencyID]],tblTargets[TargetID]))</f>
        <v>1</v>
      </c>
      <c r="L185" t="str">
        <f>IF(tbldeptemp[[#This Row],[ValidTarget]]=FALSE,"BAD TARGET",IF(tbldeptemp[[#This Row],[ValidDependency]]=FALSE,"BAD DEPENDENCY",""))</f>
        <v/>
      </c>
    </row>
    <row r="186" spans="1:12">
      <c r="A186" t="s">
        <v>2092</v>
      </c>
      <c r="B186" t="s">
        <v>2796</v>
      </c>
      <c r="C186" t="s">
        <v>120</v>
      </c>
      <c r="D186" t="s">
        <v>630</v>
      </c>
      <c r="E186" t="s">
        <v>630</v>
      </c>
      <c r="F186" t="b">
        <v>1</v>
      </c>
      <c r="G186" t="s">
        <v>2946</v>
      </c>
      <c r="H186" t="s">
        <v>120</v>
      </c>
      <c r="I186" t="s">
        <v>119</v>
      </c>
      <c r="J186" t="b">
        <v>1</v>
      </c>
      <c r="K186" t="b">
        <f>ISNUMBER(_xlfn.XMATCH(tbldeptemp[[#This Row],[DependencyID]],tblTargets[TargetID]))</f>
        <v>1</v>
      </c>
      <c r="L186" t="str">
        <f>IF(tbldeptemp[[#This Row],[ValidTarget]]=FALSE,"BAD TARGET",IF(tbldeptemp[[#This Row],[ValidDependency]]=FALSE,"BAD DEPENDENCY",""))</f>
        <v/>
      </c>
    </row>
    <row r="187" spans="1:12">
      <c r="A187" t="s">
        <v>2651</v>
      </c>
      <c r="B187" t="s">
        <v>3055</v>
      </c>
      <c r="C187" t="s">
        <v>2650</v>
      </c>
      <c r="D187" t="s">
        <v>2841</v>
      </c>
      <c r="E187" t="s">
        <v>3420</v>
      </c>
      <c r="F187" t="b">
        <v>1</v>
      </c>
      <c r="G187" t="s">
        <v>2947</v>
      </c>
      <c r="H187" t="s">
        <v>2650</v>
      </c>
      <c r="I187" t="s">
        <v>120</v>
      </c>
      <c r="J187" t="b">
        <v>1</v>
      </c>
      <c r="K187" t="b">
        <f>ISNUMBER(_xlfn.XMATCH(tbldeptemp[[#This Row],[DependencyID]],tblTargets[TargetID]))</f>
        <v>1</v>
      </c>
      <c r="L187" t="str">
        <f>IF(tbldeptemp[[#This Row],[ValidTarget]]=FALSE,"BAD TARGET",IF(tbldeptemp[[#This Row],[ValidDependency]]=FALSE,"BAD DEPENDENCY",""))</f>
        <v/>
      </c>
    </row>
    <row r="188" spans="1:12">
      <c r="A188" t="s">
        <v>2094</v>
      </c>
      <c r="B188" t="s">
        <v>3117</v>
      </c>
      <c r="C188" t="s">
        <v>2194</v>
      </c>
      <c r="D188" t="s">
        <v>1175</v>
      </c>
      <c r="E188" t="s">
        <v>3570</v>
      </c>
      <c r="F188" t="b">
        <v>1</v>
      </c>
      <c r="G188" t="s">
        <v>2946</v>
      </c>
      <c r="H188" t="s">
        <v>2194</v>
      </c>
      <c r="I188" t="s">
        <v>2684</v>
      </c>
      <c r="J188" t="b">
        <v>1</v>
      </c>
      <c r="K188" t="b">
        <f>ISNUMBER(_xlfn.XMATCH(tbldeptemp[[#This Row],[DependencyID]],tblTargets[TargetID]))</f>
        <v>1</v>
      </c>
      <c r="L188" t="str">
        <f>IF(tbldeptemp[[#This Row],[ValidTarget]]=FALSE,"BAD TARGET",IF(tbldeptemp[[#This Row],[ValidDependency]]=FALSE,"BAD DEPENDENCY",""))</f>
        <v/>
      </c>
    </row>
    <row r="189" spans="1:12">
      <c r="A189" t="s">
        <v>2094</v>
      </c>
      <c r="B189" t="s">
        <v>3118</v>
      </c>
      <c r="C189" t="s">
        <v>2192</v>
      </c>
      <c r="D189" t="s">
        <v>1175</v>
      </c>
      <c r="E189" t="s">
        <v>3570</v>
      </c>
      <c r="F189" t="b">
        <v>1</v>
      </c>
      <c r="G189" t="s">
        <v>2946</v>
      </c>
      <c r="H189" t="s">
        <v>2192</v>
      </c>
      <c r="I189" t="s">
        <v>2684</v>
      </c>
      <c r="J189" t="b">
        <v>1</v>
      </c>
      <c r="K189" t="b">
        <f>ISNUMBER(_xlfn.XMATCH(tbldeptemp[[#This Row],[DependencyID]],tblTargets[TargetID]))</f>
        <v>1</v>
      </c>
      <c r="L189" t="str">
        <f>IF(tbldeptemp[[#This Row],[ValidTarget]]=FALSE,"BAD TARGET",IF(tbldeptemp[[#This Row],[ValidDependency]]=FALSE,"BAD DEPENDENCY",""))</f>
        <v/>
      </c>
    </row>
    <row r="190" spans="1:12">
      <c r="A190" t="s">
        <v>2092</v>
      </c>
      <c r="B190" t="s">
        <v>2799</v>
      </c>
      <c r="C190" t="s">
        <v>123</v>
      </c>
      <c r="D190" t="s">
        <v>631</v>
      </c>
      <c r="E190" t="s">
        <v>631</v>
      </c>
      <c r="F190" t="b">
        <v>1</v>
      </c>
      <c r="G190" t="s">
        <v>2946</v>
      </c>
      <c r="H190" t="s">
        <v>123</v>
      </c>
      <c r="I190" t="s">
        <v>121</v>
      </c>
      <c r="J190" t="b">
        <v>1</v>
      </c>
      <c r="K190" t="b">
        <f>ISNUMBER(_xlfn.XMATCH(tbldeptemp[[#This Row],[DependencyID]],tblTargets[TargetID]))</f>
        <v>1</v>
      </c>
      <c r="L190" t="str">
        <f>IF(tbldeptemp[[#This Row],[ValidTarget]]=FALSE,"BAD TARGET",IF(tbldeptemp[[#This Row],[ValidDependency]]=FALSE,"BAD DEPENDENCY",""))</f>
        <v/>
      </c>
    </row>
    <row r="191" spans="1:12">
      <c r="A191" t="s">
        <v>2092</v>
      </c>
      <c r="B191" t="s">
        <v>2800</v>
      </c>
      <c r="C191" t="s">
        <v>124</v>
      </c>
      <c r="D191" t="s">
        <v>632</v>
      </c>
      <c r="E191" t="s">
        <v>632</v>
      </c>
      <c r="F191" t="b">
        <v>1</v>
      </c>
      <c r="G191" t="s">
        <v>2946</v>
      </c>
      <c r="H191" t="s">
        <v>124</v>
      </c>
      <c r="I191" t="s">
        <v>123</v>
      </c>
      <c r="J191" t="b">
        <v>1</v>
      </c>
      <c r="K191" t="b">
        <f>ISNUMBER(_xlfn.XMATCH(tbldeptemp[[#This Row],[DependencyID]],tblTargets[TargetID]))</f>
        <v>1</v>
      </c>
      <c r="L191" t="str">
        <f>IF(tbldeptemp[[#This Row],[ValidTarget]]=FALSE,"BAD TARGET",IF(tbldeptemp[[#This Row],[ValidDependency]]=FALSE,"BAD DEPENDENCY",""))</f>
        <v/>
      </c>
    </row>
    <row r="192" spans="1:12">
      <c r="A192" t="s">
        <v>2092</v>
      </c>
      <c r="B192" t="s">
        <v>3288</v>
      </c>
      <c r="C192" t="s">
        <v>2684</v>
      </c>
      <c r="E192" t="e">
        <v>#N/A</v>
      </c>
      <c r="H192" t="s">
        <v>2684</v>
      </c>
      <c r="I192" t="s">
        <v>124</v>
      </c>
      <c r="J192" t="b">
        <v>1</v>
      </c>
      <c r="K192" t="b">
        <f>ISNUMBER(_xlfn.XMATCH(tbldeptemp[[#This Row],[DependencyID]],tblTargets[TargetID]))</f>
        <v>1</v>
      </c>
      <c r="L192" t="str">
        <f>IF(tbldeptemp[[#This Row],[ValidTarget]]=FALSE,"BAD TARGET",IF(tbldeptemp[[#This Row],[ValidDependency]]=FALSE,"BAD DEPENDENCY",""))</f>
        <v/>
      </c>
    </row>
    <row r="193" spans="1:12">
      <c r="A193" t="s">
        <v>2094</v>
      </c>
      <c r="B193" t="s">
        <v>3119</v>
      </c>
      <c r="C193" t="s">
        <v>2210</v>
      </c>
      <c r="D193" t="s">
        <v>1184</v>
      </c>
      <c r="E193" t="s">
        <v>3571</v>
      </c>
      <c r="F193" t="b">
        <v>1</v>
      </c>
      <c r="G193" t="s">
        <v>2946</v>
      </c>
      <c r="H193" t="s">
        <v>2210</v>
      </c>
      <c r="I193" t="s">
        <v>2685</v>
      </c>
      <c r="J193" t="b">
        <v>1</v>
      </c>
      <c r="K193" t="b">
        <f>ISNUMBER(_xlfn.XMATCH(tbldeptemp[[#This Row],[DependencyID]],tblTargets[TargetID]))</f>
        <v>1</v>
      </c>
      <c r="L193" t="str">
        <f>IF(tbldeptemp[[#This Row],[ValidTarget]]=FALSE,"BAD TARGET",IF(tbldeptemp[[#This Row],[ValidDependency]]=FALSE,"BAD DEPENDENCY",""))</f>
        <v/>
      </c>
    </row>
    <row r="194" spans="1:12">
      <c r="A194" t="s">
        <v>2094</v>
      </c>
      <c r="B194" t="s">
        <v>3120</v>
      </c>
      <c r="C194" t="s">
        <v>2198</v>
      </c>
      <c r="D194" t="s">
        <v>1184</v>
      </c>
      <c r="E194" t="s">
        <v>3571</v>
      </c>
      <c r="F194" t="b">
        <v>1</v>
      </c>
      <c r="G194" t="s">
        <v>2946</v>
      </c>
      <c r="H194" t="s">
        <v>2198</v>
      </c>
      <c r="I194" t="s">
        <v>2685</v>
      </c>
      <c r="J194" t="b">
        <v>1</v>
      </c>
      <c r="K194" t="b">
        <f>ISNUMBER(_xlfn.XMATCH(tbldeptemp[[#This Row],[DependencyID]],tblTargets[TargetID]))</f>
        <v>1</v>
      </c>
      <c r="L194" t="str">
        <f>IF(tbldeptemp[[#This Row],[ValidTarget]]=FALSE,"BAD TARGET",IF(tbldeptemp[[#This Row],[ValidDependency]]=FALSE,"BAD DEPENDENCY",""))</f>
        <v/>
      </c>
    </row>
    <row r="195" spans="1:12">
      <c r="A195" t="s">
        <v>2094</v>
      </c>
      <c r="B195" t="s">
        <v>3121</v>
      </c>
      <c r="C195" t="s">
        <v>2200</v>
      </c>
      <c r="D195" t="s">
        <v>1184</v>
      </c>
      <c r="E195" t="s">
        <v>3571</v>
      </c>
      <c r="F195" t="b">
        <v>1</v>
      </c>
      <c r="G195" t="s">
        <v>2947</v>
      </c>
      <c r="H195" t="s">
        <v>2200</v>
      </c>
      <c r="I195" t="s">
        <v>2685</v>
      </c>
      <c r="J195" t="b">
        <v>1</v>
      </c>
      <c r="K195" t="b">
        <f>ISNUMBER(_xlfn.XMATCH(tbldeptemp[[#This Row],[DependencyID]],tblTargets[TargetID]))</f>
        <v>1</v>
      </c>
      <c r="L195" t="str">
        <f>IF(tbldeptemp[[#This Row],[ValidTarget]]=FALSE,"BAD TARGET",IF(tbldeptemp[[#This Row],[ValidDependency]]=FALSE,"BAD DEPENDENCY",""))</f>
        <v/>
      </c>
    </row>
    <row r="196" spans="1:12">
      <c r="A196" t="s">
        <v>2094</v>
      </c>
      <c r="B196" t="s">
        <v>3122</v>
      </c>
      <c r="C196" t="s">
        <v>2202</v>
      </c>
      <c r="D196" t="s">
        <v>1184</v>
      </c>
      <c r="E196" t="s">
        <v>3571</v>
      </c>
      <c r="F196" t="b">
        <v>1</v>
      </c>
      <c r="G196" t="s">
        <v>2947</v>
      </c>
      <c r="H196" t="s">
        <v>2202</v>
      </c>
      <c r="I196" t="s">
        <v>2685</v>
      </c>
      <c r="J196" t="b">
        <v>1</v>
      </c>
      <c r="K196" t="b">
        <f>ISNUMBER(_xlfn.XMATCH(tbldeptemp[[#This Row],[DependencyID]],tblTargets[TargetID]))</f>
        <v>1</v>
      </c>
      <c r="L196" t="str">
        <f>IF(tbldeptemp[[#This Row],[ValidTarget]]=FALSE,"BAD TARGET",IF(tbldeptemp[[#This Row],[ValidDependency]]=FALSE,"BAD DEPENDENCY",""))</f>
        <v/>
      </c>
    </row>
    <row r="197" spans="1:12">
      <c r="A197" t="s">
        <v>2094</v>
      </c>
      <c r="B197" t="s">
        <v>3123</v>
      </c>
      <c r="C197" t="s">
        <v>2204</v>
      </c>
      <c r="D197" t="s">
        <v>1184</v>
      </c>
      <c r="E197" t="s">
        <v>3571</v>
      </c>
      <c r="F197" t="b">
        <v>1</v>
      </c>
      <c r="G197" t="s">
        <v>2947</v>
      </c>
      <c r="H197" t="s">
        <v>2204</v>
      </c>
      <c r="I197" t="s">
        <v>2685</v>
      </c>
      <c r="J197" t="b">
        <v>1</v>
      </c>
      <c r="K197" t="b">
        <f>ISNUMBER(_xlfn.XMATCH(tbldeptemp[[#This Row],[DependencyID]],tblTargets[TargetID]))</f>
        <v>1</v>
      </c>
      <c r="L197" t="str">
        <f>IF(tbldeptemp[[#This Row],[ValidTarget]]=FALSE,"BAD TARGET",IF(tbldeptemp[[#This Row],[ValidDependency]]=FALSE,"BAD DEPENDENCY",""))</f>
        <v/>
      </c>
    </row>
    <row r="198" spans="1:12">
      <c r="A198" t="s">
        <v>2094</v>
      </c>
      <c r="B198" t="s">
        <v>3124</v>
      </c>
      <c r="C198" t="s">
        <v>2206</v>
      </c>
      <c r="D198" t="s">
        <v>1184</v>
      </c>
      <c r="E198" t="s">
        <v>3571</v>
      </c>
      <c r="F198" t="b">
        <v>1</v>
      </c>
      <c r="G198" t="s">
        <v>2947</v>
      </c>
      <c r="H198" t="s">
        <v>2206</v>
      </c>
      <c r="I198" t="s">
        <v>2685</v>
      </c>
      <c r="J198" t="b">
        <v>1</v>
      </c>
      <c r="K198" t="b">
        <f>ISNUMBER(_xlfn.XMATCH(tbldeptemp[[#This Row],[DependencyID]],tblTargets[TargetID]))</f>
        <v>1</v>
      </c>
      <c r="L198" t="str">
        <f>IF(tbldeptemp[[#This Row],[ValidTarget]]=FALSE,"BAD TARGET",IF(tbldeptemp[[#This Row],[ValidDependency]]=FALSE,"BAD DEPENDENCY",""))</f>
        <v/>
      </c>
    </row>
    <row r="199" spans="1:12">
      <c r="A199" t="s">
        <v>2094</v>
      </c>
      <c r="B199" t="s">
        <v>3125</v>
      </c>
      <c r="C199" t="s">
        <v>2196</v>
      </c>
      <c r="D199" t="s">
        <v>1184</v>
      </c>
      <c r="E199" t="s">
        <v>3571</v>
      </c>
      <c r="F199" t="b">
        <v>1</v>
      </c>
      <c r="G199" t="s">
        <v>2946</v>
      </c>
      <c r="H199" t="s">
        <v>2196</v>
      </c>
      <c r="I199" t="s">
        <v>2685</v>
      </c>
      <c r="J199" t="b">
        <v>1</v>
      </c>
      <c r="K199" t="b">
        <f>ISNUMBER(_xlfn.XMATCH(tbldeptemp[[#This Row],[DependencyID]],tblTargets[TargetID]))</f>
        <v>1</v>
      </c>
      <c r="L199" t="str">
        <f>IF(tbldeptemp[[#This Row],[ValidTarget]]=FALSE,"BAD TARGET",IF(tbldeptemp[[#This Row],[ValidDependency]]=FALSE,"BAD DEPENDENCY",""))</f>
        <v/>
      </c>
    </row>
    <row r="200" spans="1:12">
      <c r="A200" t="s">
        <v>2094</v>
      </c>
      <c r="B200" t="s">
        <v>3126</v>
      </c>
      <c r="C200" t="s">
        <v>2212</v>
      </c>
      <c r="D200" t="s">
        <v>1184</v>
      </c>
      <c r="E200" t="s">
        <v>3571</v>
      </c>
      <c r="F200" t="b">
        <v>1</v>
      </c>
      <c r="G200" t="s">
        <v>2947</v>
      </c>
      <c r="H200" t="s">
        <v>2212</v>
      </c>
      <c r="I200" t="s">
        <v>2685</v>
      </c>
      <c r="J200" t="b">
        <v>1</v>
      </c>
      <c r="K200" t="b">
        <f>ISNUMBER(_xlfn.XMATCH(tbldeptemp[[#This Row],[DependencyID]],tblTargets[TargetID]))</f>
        <v>1</v>
      </c>
      <c r="L200" t="str">
        <f>IF(tbldeptemp[[#This Row],[ValidTarget]]=FALSE,"BAD TARGET",IF(tbldeptemp[[#This Row],[ValidDependency]]=FALSE,"BAD DEPENDENCY",""))</f>
        <v/>
      </c>
    </row>
    <row r="201" spans="1:12">
      <c r="A201" t="s">
        <v>2094</v>
      </c>
      <c r="B201" t="s">
        <v>3127</v>
      </c>
      <c r="C201" t="s">
        <v>2208</v>
      </c>
      <c r="D201" t="s">
        <v>1184</v>
      </c>
      <c r="E201" t="s">
        <v>3571</v>
      </c>
      <c r="F201" t="b">
        <v>1</v>
      </c>
      <c r="G201" t="s">
        <v>2947</v>
      </c>
      <c r="H201" t="s">
        <v>2208</v>
      </c>
      <c r="I201" t="s">
        <v>2685</v>
      </c>
      <c r="J201" t="b">
        <v>1</v>
      </c>
      <c r="K201" t="b">
        <f>ISNUMBER(_xlfn.XMATCH(tbldeptemp[[#This Row],[DependencyID]],tblTargets[TargetID]))</f>
        <v>1</v>
      </c>
      <c r="L201" t="str">
        <f>IF(tbldeptemp[[#This Row],[ValidTarget]]=FALSE,"BAD TARGET",IF(tbldeptemp[[#This Row],[ValidDependency]]=FALSE,"BAD DEPENDENCY",""))</f>
        <v/>
      </c>
    </row>
    <row r="202" spans="1:12">
      <c r="A202" t="s">
        <v>2092</v>
      </c>
      <c r="B202" t="s">
        <v>2803</v>
      </c>
      <c r="C202" t="s">
        <v>127</v>
      </c>
      <c r="D202" t="s">
        <v>633</v>
      </c>
      <c r="E202" t="s">
        <v>633</v>
      </c>
      <c r="F202" t="b">
        <v>1</v>
      </c>
      <c r="G202" t="s">
        <v>2946</v>
      </c>
      <c r="H202" t="s">
        <v>127</v>
      </c>
      <c r="I202" t="s">
        <v>125</v>
      </c>
      <c r="J202" t="b">
        <v>1</v>
      </c>
      <c r="K202" t="b">
        <f>ISNUMBER(_xlfn.XMATCH(tbldeptemp[[#This Row],[DependencyID]],tblTargets[TargetID]))</f>
        <v>1</v>
      </c>
      <c r="L202" t="str">
        <f>IF(tbldeptemp[[#This Row],[ValidTarget]]=FALSE,"BAD TARGET",IF(tbldeptemp[[#This Row],[ValidDependency]]=FALSE,"BAD DEPENDENCY",""))</f>
        <v/>
      </c>
    </row>
    <row r="203" spans="1:12">
      <c r="A203" t="s">
        <v>2092</v>
      </c>
      <c r="B203" t="s">
        <v>2804</v>
      </c>
      <c r="C203" t="s">
        <v>128</v>
      </c>
      <c r="D203" t="s">
        <v>634</v>
      </c>
      <c r="E203" t="s">
        <v>634</v>
      </c>
      <c r="F203" t="b">
        <v>1</v>
      </c>
      <c r="G203" t="s">
        <v>2946</v>
      </c>
      <c r="H203" t="s">
        <v>128</v>
      </c>
      <c r="I203" t="s">
        <v>127</v>
      </c>
      <c r="J203" t="b">
        <v>1</v>
      </c>
      <c r="K203" t="b">
        <f>ISNUMBER(_xlfn.XMATCH(tbldeptemp[[#This Row],[DependencyID]],tblTargets[TargetID]))</f>
        <v>1</v>
      </c>
      <c r="L203" t="str">
        <f>IF(tbldeptemp[[#This Row],[ValidTarget]]=FALSE,"BAD TARGET",IF(tbldeptemp[[#This Row],[ValidDependency]]=FALSE,"BAD DEPENDENCY",""))</f>
        <v/>
      </c>
    </row>
    <row r="204" spans="1:12">
      <c r="A204" t="s">
        <v>2651</v>
      </c>
      <c r="B204" t="s">
        <v>3058</v>
      </c>
      <c r="C204" t="s">
        <v>2654</v>
      </c>
      <c r="D204" t="s">
        <v>2844</v>
      </c>
      <c r="E204" t="s">
        <v>3423</v>
      </c>
      <c r="F204" t="b">
        <v>1</v>
      </c>
      <c r="G204" t="s">
        <v>2947</v>
      </c>
      <c r="H204" t="s">
        <v>2654</v>
      </c>
      <c r="I204" t="s">
        <v>128</v>
      </c>
      <c r="J204" t="b">
        <v>1</v>
      </c>
      <c r="K204" t="b">
        <f>ISNUMBER(_xlfn.XMATCH(tbldeptemp[[#This Row],[DependencyID]],tblTargets[TargetID]))</f>
        <v>1</v>
      </c>
      <c r="L204" t="str">
        <f>IF(tbldeptemp[[#This Row],[ValidTarget]]=FALSE,"BAD TARGET",IF(tbldeptemp[[#This Row],[ValidDependency]]=FALSE,"BAD DEPENDENCY",""))</f>
        <v/>
      </c>
    </row>
    <row r="205" spans="1:12">
      <c r="A205" t="s">
        <v>2092</v>
      </c>
      <c r="B205" t="s">
        <v>3289</v>
      </c>
      <c r="C205" t="s">
        <v>2685</v>
      </c>
      <c r="E205" t="e">
        <v>#N/A</v>
      </c>
      <c r="H205" t="s">
        <v>2685</v>
      </c>
      <c r="I205" t="s">
        <v>128</v>
      </c>
      <c r="J205" t="b">
        <v>1</v>
      </c>
      <c r="K205" t="b">
        <f>ISNUMBER(_xlfn.XMATCH(tbldeptemp[[#This Row],[DependencyID]],tblTargets[TargetID]))</f>
        <v>1</v>
      </c>
      <c r="L205" t="str">
        <f>IF(tbldeptemp[[#This Row],[ValidTarget]]=FALSE,"BAD TARGET",IF(tbldeptemp[[#This Row],[ValidDependency]]=FALSE,"BAD DEPENDENCY",""))</f>
        <v/>
      </c>
    </row>
    <row r="206" spans="1:12">
      <c r="A206" t="s">
        <v>2092</v>
      </c>
      <c r="B206" t="s">
        <v>2809</v>
      </c>
      <c r="C206" t="s">
        <v>135</v>
      </c>
      <c r="D206" t="s">
        <v>637</v>
      </c>
      <c r="E206" t="s">
        <v>3349</v>
      </c>
      <c r="F206" t="b">
        <v>1</v>
      </c>
      <c r="G206" t="s">
        <v>2946</v>
      </c>
      <c r="H206" t="s">
        <v>135</v>
      </c>
      <c r="I206" t="s">
        <v>129</v>
      </c>
      <c r="J206" t="b">
        <v>1</v>
      </c>
      <c r="K206" t="b">
        <f>ISNUMBER(_xlfn.XMATCH(tbldeptemp[[#This Row],[DependencyID]],tblTargets[TargetID]))</f>
        <v>1</v>
      </c>
      <c r="L206" t="str">
        <f>IF(tbldeptemp[[#This Row],[ValidTarget]]=FALSE,"BAD TARGET",IF(tbldeptemp[[#This Row],[ValidDependency]]=FALSE,"BAD DEPENDENCY",""))</f>
        <v/>
      </c>
    </row>
    <row r="207" spans="1:12">
      <c r="A207" t="s">
        <v>2282</v>
      </c>
      <c r="B207" t="s">
        <v>1411</v>
      </c>
      <c r="C207" t="s">
        <v>2324</v>
      </c>
      <c r="D207" t="s">
        <v>637</v>
      </c>
      <c r="E207" t="s">
        <v>3349</v>
      </c>
      <c r="F207" t="b">
        <v>1</v>
      </c>
      <c r="G207" t="s">
        <v>2946</v>
      </c>
      <c r="H207" t="s">
        <v>2324</v>
      </c>
      <c r="I207" t="s">
        <v>129</v>
      </c>
      <c r="J207" t="b">
        <v>1</v>
      </c>
      <c r="K207" t="b">
        <f>ISNUMBER(_xlfn.XMATCH(tbldeptemp[[#This Row],[DependencyID]],tblTargets[TargetID]))</f>
        <v>1</v>
      </c>
      <c r="L207" t="str">
        <f>IF(tbldeptemp[[#This Row],[ValidTarget]]=FALSE,"BAD TARGET",IF(tbldeptemp[[#This Row],[ValidDependency]]=FALSE,"BAD DEPENDENCY",""))</f>
        <v/>
      </c>
    </row>
    <row r="208" spans="1:12">
      <c r="A208" t="s">
        <v>2094</v>
      </c>
      <c r="B208" t="s">
        <v>3128</v>
      </c>
      <c r="C208" t="s">
        <v>2214</v>
      </c>
      <c r="D208" t="s">
        <v>1226</v>
      </c>
      <c r="E208" t="s">
        <v>3575</v>
      </c>
      <c r="F208" t="b">
        <v>1</v>
      </c>
      <c r="G208" t="s">
        <v>2946</v>
      </c>
      <c r="H208" t="s">
        <v>2214</v>
      </c>
      <c r="I208" t="s">
        <v>2686</v>
      </c>
      <c r="J208" t="b">
        <v>1</v>
      </c>
      <c r="K208" t="b">
        <f>ISNUMBER(_xlfn.XMATCH(tbldeptemp[[#This Row],[DependencyID]],tblTargets[TargetID]))</f>
        <v>1</v>
      </c>
      <c r="L208" t="str">
        <f>IF(tbldeptemp[[#This Row],[ValidTarget]]=FALSE,"BAD TARGET",IF(tbldeptemp[[#This Row],[ValidDependency]]=FALSE,"BAD DEPENDENCY",""))</f>
        <v/>
      </c>
    </row>
    <row r="209" spans="1:12">
      <c r="A209" t="s">
        <v>2094</v>
      </c>
      <c r="B209" t="s">
        <v>3129</v>
      </c>
      <c r="C209" t="s">
        <v>2220</v>
      </c>
      <c r="D209" t="s">
        <v>1226</v>
      </c>
      <c r="E209" t="s">
        <v>3575</v>
      </c>
      <c r="F209" t="b">
        <v>1</v>
      </c>
      <c r="G209" t="s">
        <v>2946</v>
      </c>
      <c r="H209" t="s">
        <v>2220</v>
      </c>
      <c r="I209" t="s">
        <v>2686</v>
      </c>
      <c r="J209" t="b">
        <v>1</v>
      </c>
      <c r="K209" t="b">
        <f>ISNUMBER(_xlfn.XMATCH(tbldeptemp[[#This Row],[DependencyID]],tblTargets[TargetID]))</f>
        <v>1</v>
      </c>
      <c r="L209" t="str">
        <f>IF(tbldeptemp[[#This Row],[ValidTarget]]=FALSE,"BAD TARGET",IF(tbldeptemp[[#This Row],[ValidDependency]]=FALSE,"BAD DEPENDENCY",""))</f>
        <v/>
      </c>
    </row>
    <row r="210" spans="1:12">
      <c r="A210" t="s">
        <v>2094</v>
      </c>
      <c r="B210" t="s">
        <v>3130</v>
      </c>
      <c r="C210" t="s">
        <v>2222</v>
      </c>
      <c r="D210" t="s">
        <v>1226</v>
      </c>
      <c r="E210" t="s">
        <v>3575</v>
      </c>
      <c r="F210" t="b">
        <v>1</v>
      </c>
      <c r="G210" t="s">
        <v>2947</v>
      </c>
      <c r="H210" t="s">
        <v>2222</v>
      </c>
      <c r="I210" t="s">
        <v>2686</v>
      </c>
      <c r="J210" t="b">
        <v>1</v>
      </c>
      <c r="K210" t="b">
        <f>ISNUMBER(_xlfn.XMATCH(tbldeptemp[[#This Row],[DependencyID]],tblTargets[TargetID]))</f>
        <v>1</v>
      </c>
      <c r="L210" t="str">
        <f>IF(tbldeptemp[[#This Row],[ValidTarget]]=FALSE,"BAD TARGET",IF(tbldeptemp[[#This Row],[ValidDependency]]=FALSE,"BAD DEPENDENCY",""))</f>
        <v/>
      </c>
    </row>
    <row r="211" spans="1:12">
      <c r="A211" t="s">
        <v>2094</v>
      </c>
      <c r="B211" t="s">
        <v>3131</v>
      </c>
      <c r="C211" t="s">
        <v>2224</v>
      </c>
      <c r="D211" t="s">
        <v>1226</v>
      </c>
      <c r="E211" t="s">
        <v>3575</v>
      </c>
      <c r="F211" t="b">
        <v>1</v>
      </c>
      <c r="G211" t="s">
        <v>2947</v>
      </c>
      <c r="H211" t="s">
        <v>2224</v>
      </c>
      <c r="I211" t="s">
        <v>2686</v>
      </c>
      <c r="J211" t="b">
        <v>1</v>
      </c>
      <c r="K211" t="b">
        <f>ISNUMBER(_xlfn.XMATCH(tbldeptemp[[#This Row],[DependencyID]],tblTargets[TargetID]))</f>
        <v>1</v>
      </c>
      <c r="L211" t="str">
        <f>IF(tbldeptemp[[#This Row],[ValidTarget]]=FALSE,"BAD TARGET",IF(tbldeptemp[[#This Row],[ValidDependency]]=FALSE,"BAD DEPENDENCY",""))</f>
        <v/>
      </c>
    </row>
    <row r="212" spans="1:12">
      <c r="A212" t="s">
        <v>2094</v>
      </c>
      <c r="B212" t="s">
        <v>3132</v>
      </c>
      <c r="C212" t="s">
        <v>2226</v>
      </c>
      <c r="D212" t="s">
        <v>1226</v>
      </c>
      <c r="E212" t="s">
        <v>3575</v>
      </c>
      <c r="F212" t="b">
        <v>1</v>
      </c>
      <c r="G212" t="s">
        <v>2947</v>
      </c>
      <c r="H212" t="s">
        <v>2226</v>
      </c>
      <c r="I212" t="s">
        <v>2686</v>
      </c>
      <c r="J212" t="b">
        <v>1</v>
      </c>
      <c r="K212" t="b">
        <f>ISNUMBER(_xlfn.XMATCH(tbldeptemp[[#This Row],[DependencyID]],tblTargets[TargetID]))</f>
        <v>1</v>
      </c>
      <c r="L212" t="str">
        <f>IF(tbldeptemp[[#This Row],[ValidTarget]]=FALSE,"BAD TARGET",IF(tbldeptemp[[#This Row],[ValidDependency]]=FALSE,"BAD DEPENDENCY",""))</f>
        <v/>
      </c>
    </row>
    <row r="213" spans="1:12">
      <c r="A213" t="s">
        <v>2094</v>
      </c>
      <c r="B213" t="s">
        <v>3133</v>
      </c>
      <c r="C213" t="s">
        <v>2228</v>
      </c>
      <c r="D213" t="s">
        <v>1226</v>
      </c>
      <c r="E213" t="s">
        <v>3575</v>
      </c>
      <c r="F213" t="b">
        <v>1</v>
      </c>
      <c r="G213" t="s">
        <v>2947</v>
      </c>
      <c r="H213" t="s">
        <v>2228</v>
      </c>
      <c r="I213" t="s">
        <v>2686</v>
      </c>
      <c r="J213" t="b">
        <v>1</v>
      </c>
      <c r="K213" t="b">
        <f>ISNUMBER(_xlfn.XMATCH(tbldeptemp[[#This Row],[DependencyID]],tblTargets[TargetID]))</f>
        <v>1</v>
      </c>
      <c r="L213" t="str">
        <f>IF(tbldeptemp[[#This Row],[ValidTarget]]=FALSE,"BAD TARGET",IF(tbldeptemp[[#This Row],[ValidDependency]]=FALSE,"BAD DEPENDENCY",""))</f>
        <v/>
      </c>
    </row>
    <row r="214" spans="1:12">
      <c r="A214" t="s">
        <v>2094</v>
      </c>
      <c r="B214" t="s">
        <v>3134</v>
      </c>
      <c r="C214" t="s">
        <v>2216</v>
      </c>
      <c r="D214" t="s">
        <v>1226</v>
      </c>
      <c r="E214" t="s">
        <v>3575</v>
      </c>
      <c r="F214" t="b">
        <v>1</v>
      </c>
      <c r="G214" t="s">
        <v>2947</v>
      </c>
      <c r="H214" t="s">
        <v>2216</v>
      </c>
      <c r="I214" t="s">
        <v>2686</v>
      </c>
      <c r="J214" t="b">
        <v>1</v>
      </c>
      <c r="K214" t="b">
        <f>ISNUMBER(_xlfn.XMATCH(tbldeptemp[[#This Row],[DependencyID]],tblTargets[TargetID]))</f>
        <v>1</v>
      </c>
      <c r="L214" t="str">
        <f>IF(tbldeptemp[[#This Row],[ValidTarget]]=FALSE,"BAD TARGET",IF(tbldeptemp[[#This Row],[ValidDependency]]=FALSE,"BAD DEPENDENCY",""))</f>
        <v/>
      </c>
    </row>
    <row r="215" spans="1:12">
      <c r="A215" t="s">
        <v>2094</v>
      </c>
      <c r="B215" t="s">
        <v>3135</v>
      </c>
      <c r="C215" t="s">
        <v>2234</v>
      </c>
      <c r="D215" t="s">
        <v>1226</v>
      </c>
      <c r="E215" t="s">
        <v>3575</v>
      </c>
      <c r="F215" t="b">
        <v>1</v>
      </c>
      <c r="G215" t="s">
        <v>2946</v>
      </c>
      <c r="H215" t="s">
        <v>2234</v>
      </c>
      <c r="I215" t="s">
        <v>2686</v>
      </c>
      <c r="J215" t="b">
        <v>1</v>
      </c>
      <c r="K215" t="b">
        <f>ISNUMBER(_xlfn.XMATCH(tbldeptemp[[#This Row],[DependencyID]],tblTargets[TargetID]))</f>
        <v>1</v>
      </c>
      <c r="L215" t="str">
        <f>IF(tbldeptemp[[#This Row],[ValidTarget]]=FALSE,"BAD TARGET",IF(tbldeptemp[[#This Row],[ValidDependency]]=FALSE,"BAD DEPENDENCY",""))</f>
        <v/>
      </c>
    </row>
    <row r="216" spans="1:12">
      <c r="A216" t="s">
        <v>2094</v>
      </c>
      <c r="B216" t="s">
        <v>3136</v>
      </c>
      <c r="C216" t="s">
        <v>2218</v>
      </c>
      <c r="D216" t="s">
        <v>1226</v>
      </c>
      <c r="E216" t="s">
        <v>3575</v>
      </c>
      <c r="F216" t="b">
        <v>1</v>
      </c>
      <c r="G216" t="s">
        <v>2947</v>
      </c>
      <c r="H216" t="s">
        <v>2218</v>
      </c>
      <c r="I216" t="s">
        <v>2686</v>
      </c>
      <c r="J216" t="b">
        <v>1</v>
      </c>
      <c r="K216" t="b">
        <f>ISNUMBER(_xlfn.XMATCH(tbldeptemp[[#This Row],[DependencyID]],tblTargets[TargetID]))</f>
        <v>1</v>
      </c>
      <c r="L216" t="str">
        <f>IF(tbldeptemp[[#This Row],[ValidTarget]]=FALSE,"BAD TARGET",IF(tbldeptemp[[#This Row],[ValidDependency]]=FALSE,"BAD DEPENDENCY",""))</f>
        <v/>
      </c>
    </row>
    <row r="217" spans="1:12">
      <c r="A217" t="s">
        <v>2094</v>
      </c>
      <c r="B217" t="s">
        <v>3137</v>
      </c>
      <c r="C217" t="s">
        <v>2232</v>
      </c>
      <c r="D217" t="s">
        <v>1226</v>
      </c>
      <c r="E217" t="s">
        <v>3575</v>
      </c>
      <c r="F217" t="b">
        <v>1</v>
      </c>
      <c r="G217" t="s">
        <v>2947</v>
      </c>
      <c r="H217" t="s">
        <v>2232</v>
      </c>
      <c r="I217" t="s">
        <v>2686</v>
      </c>
      <c r="J217" t="b">
        <v>1</v>
      </c>
      <c r="K217" t="b">
        <f>ISNUMBER(_xlfn.XMATCH(tbldeptemp[[#This Row],[DependencyID]],tblTargets[TargetID]))</f>
        <v>1</v>
      </c>
      <c r="L217" t="str">
        <f>IF(tbldeptemp[[#This Row],[ValidTarget]]=FALSE,"BAD TARGET",IF(tbldeptemp[[#This Row],[ValidDependency]]=FALSE,"BAD DEPENDENCY",""))</f>
        <v/>
      </c>
    </row>
    <row r="218" spans="1:12">
      <c r="A218" t="s">
        <v>2094</v>
      </c>
      <c r="B218" t="s">
        <v>3138</v>
      </c>
      <c r="C218" t="s">
        <v>2230</v>
      </c>
      <c r="D218" t="s">
        <v>1226</v>
      </c>
      <c r="E218" t="s">
        <v>3575</v>
      </c>
      <c r="F218" t="b">
        <v>1</v>
      </c>
      <c r="G218" t="s">
        <v>2946</v>
      </c>
      <c r="H218" t="s">
        <v>2230</v>
      </c>
      <c r="I218" t="s">
        <v>2686</v>
      </c>
      <c r="J218" t="b">
        <v>1</v>
      </c>
      <c r="K218" t="b">
        <f>ISNUMBER(_xlfn.XMATCH(tbldeptemp[[#This Row],[DependencyID]],tblTargets[TargetID]))</f>
        <v>1</v>
      </c>
      <c r="L218" t="str">
        <f>IF(tbldeptemp[[#This Row],[ValidTarget]]=FALSE,"BAD TARGET",IF(tbldeptemp[[#This Row],[ValidDependency]]=FALSE,"BAD DEPENDENCY",""))</f>
        <v/>
      </c>
    </row>
    <row r="219" spans="1:12">
      <c r="A219" t="s">
        <v>2092</v>
      </c>
      <c r="B219" t="s">
        <v>2807</v>
      </c>
      <c r="C219" t="s">
        <v>133</v>
      </c>
      <c r="D219" t="s">
        <v>635</v>
      </c>
      <c r="E219" t="s">
        <v>635</v>
      </c>
      <c r="F219" t="b">
        <v>1</v>
      </c>
      <c r="G219" t="s">
        <v>2946</v>
      </c>
      <c r="H219" t="s">
        <v>133</v>
      </c>
      <c r="I219" t="s">
        <v>131</v>
      </c>
      <c r="J219" t="b">
        <v>1</v>
      </c>
      <c r="K219" t="b">
        <f>ISNUMBER(_xlfn.XMATCH(tbldeptemp[[#This Row],[DependencyID]],tblTargets[TargetID]))</f>
        <v>1</v>
      </c>
      <c r="L219" t="str">
        <f>IF(tbldeptemp[[#This Row],[ValidTarget]]=FALSE,"BAD TARGET",IF(tbldeptemp[[#This Row],[ValidDependency]]=FALSE,"BAD DEPENDENCY",""))</f>
        <v/>
      </c>
    </row>
    <row r="220" spans="1:12">
      <c r="A220" t="s">
        <v>2092</v>
      </c>
      <c r="B220" t="s">
        <v>2808</v>
      </c>
      <c r="C220" t="s">
        <v>134</v>
      </c>
      <c r="D220" t="s">
        <v>636</v>
      </c>
      <c r="E220" t="s">
        <v>636</v>
      </c>
      <c r="F220" t="b">
        <v>1</v>
      </c>
      <c r="G220" t="s">
        <v>2946</v>
      </c>
      <c r="H220" t="s">
        <v>134</v>
      </c>
      <c r="I220" t="s">
        <v>133</v>
      </c>
      <c r="J220" t="b">
        <v>1</v>
      </c>
      <c r="K220" t="b">
        <f>ISNUMBER(_xlfn.XMATCH(tbldeptemp[[#This Row],[DependencyID]],tblTargets[TargetID]))</f>
        <v>1</v>
      </c>
      <c r="L220" t="str">
        <f>IF(tbldeptemp[[#This Row],[ValidTarget]]=FALSE,"BAD TARGET",IF(tbldeptemp[[#This Row],[ValidDependency]]=FALSE,"BAD DEPENDENCY",""))</f>
        <v/>
      </c>
    </row>
    <row r="221" spans="1:12">
      <c r="A221" t="s">
        <v>2651</v>
      </c>
      <c r="B221" t="s">
        <v>3061</v>
      </c>
      <c r="C221" t="s">
        <v>2657</v>
      </c>
      <c r="D221" t="s">
        <v>2847</v>
      </c>
      <c r="E221" t="s">
        <v>636</v>
      </c>
      <c r="F221" t="b">
        <v>1</v>
      </c>
      <c r="G221" t="s">
        <v>2947</v>
      </c>
      <c r="H221" t="s">
        <v>2657</v>
      </c>
      <c r="I221" t="s">
        <v>133</v>
      </c>
      <c r="J221" t="b">
        <v>1</v>
      </c>
      <c r="K221" t="b">
        <f>ISNUMBER(_xlfn.XMATCH(tbldeptemp[[#This Row],[DependencyID]],tblTargets[TargetID]))</f>
        <v>1</v>
      </c>
      <c r="L221" t="str">
        <f>IF(tbldeptemp[[#This Row],[ValidTarget]]=FALSE,"BAD TARGET",IF(tbldeptemp[[#This Row],[ValidDependency]]=FALSE,"BAD DEPENDENCY",""))</f>
        <v/>
      </c>
    </row>
    <row r="222" spans="1:12">
      <c r="A222" t="s">
        <v>2094</v>
      </c>
      <c r="B222" t="s">
        <v>3128</v>
      </c>
      <c r="C222" t="s">
        <v>2214</v>
      </c>
      <c r="D222" t="s">
        <v>636</v>
      </c>
      <c r="E222" t="s">
        <v>636</v>
      </c>
      <c r="F222" t="b">
        <v>1</v>
      </c>
      <c r="G222" t="s">
        <v>2947</v>
      </c>
      <c r="H222" t="s">
        <v>2214</v>
      </c>
      <c r="I222" t="s">
        <v>133</v>
      </c>
      <c r="J222" t="b">
        <v>1</v>
      </c>
      <c r="K222" t="b">
        <f>ISNUMBER(_xlfn.XMATCH(tbldeptemp[[#This Row],[DependencyID]],tblTargets[TargetID]))</f>
        <v>1</v>
      </c>
      <c r="L222" t="str">
        <f>IF(tbldeptemp[[#This Row],[ValidTarget]]=FALSE,"BAD TARGET",IF(tbldeptemp[[#This Row],[ValidDependency]]=FALSE,"BAD DEPENDENCY",""))</f>
        <v/>
      </c>
    </row>
    <row r="223" spans="1:12">
      <c r="A223" t="s">
        <v>2094</v>
      </c>
      <c r="B223" t="s">
        <v>3129</v>
      </c>
      <c r="C223" t="s">
        <v>2220</v>
      </c>
      <c r="D223" t="s">
        <v>636</v>
      </c>
      <c r="E223" t="s">
        <v>636</v>
      </c>
      <c r="F223" t="b">
        <v>1</v>
      </c>
      <c r="G223" t="s">
        <v>2947</v>
      </c>
      <c r="H223" t="s">
        <v>2220</v>
      </c>
      <c r="I223" t="s">
        <v>133</v>
      </c>
      <c r="J223" t="b">
        <v>1</v>
      </c>
      <c r="K223" t="b">
        <f>ISNUMBER(_xlfn.XMATCH(tbldeptemp[[#This Row],[DependencyID]],tblTargets[TargetID]))</f>
        <v>1</v>
      </c>
      <c r="L223" t="str">
        <f>IF(tbldeptemp[[#This Row],[ValidTarget]]=FALSE,"BAD TARGET",IF(tbldeptemp[[#This Row],[ValidDependency]]=FALSE,"BAD DEPENDENCY",""))</f>
        <v/>
      </c>
    </row>
    <row r="224" spans="1:12">
      <c r="A224" t="s">
        <v>2094</v>
      </c>
      <c r="B224" t="s">
        <v>3135</v>
      </c>
      <c r="C224" t="s">
        <v>2234</v>
      </c>
      <c r="D224" t="s">
        <v>636</v>
      </c>
      <c r="E224" t="s">
        <v>636</v>
      </c>
      <c r="F224" t="b">
        <v>1</v>
      </c>
      <c r="G224" t="s">
        <v>2947</v>
      </c>
      <c r="H224" t="s">
        <v>2234</v>
      </c>
      <c r="I224" t="s">
        <v>133</v>
      </c>
      <c r="J224" t="b">
        <v>1</v>
      </c>
      <c r="K224" t="b">
        <f>ISNUMBER(_xlfn.XMATCH(tbldeptemp[[#This Row],[DependencyID]],tblTargets[TargetID]))</f>
        <v>1</v>
      </c>
      <c r="L224" t="str">
        <f>IF(tbldeptemp[[#This Row],[ValidTarget]]=FALSE,"BAD TARGET",IF(tbldeptemp[[#This Row],[ValidDependency]]=FALSE,"BAD DEPENDENCY",""))</f>
        <v/>
      </c>
    </row>
    <row r="225" spans="1:12">
      <c r="A225" t="s">
        <v>2094</v>
      </c>
      <c r="B225" t="s">
        <v>3138</v>
      </c>
      <c r="C225" t="s">
        <v>2230</v>
      </c>
      <c r="D225" t="s">
        <v>636</v>
      </c>
      <c r="E225" t="s">
        <v>636</v>
      </c>
      <c r="F225" t="b">
        <v>1</v>
      </c>
      <c r="G225" t="s">
        <v>2947</v>
      </c>
      <c r="H225" t="s">
        <v>2230</v>
      </c>
      <c r="I225" t="s">
        <v>133</v>
      </c>
      <c r="J225" t="b">
        <v>1</v>
      </c>
      <c r="K225" t="b">
        <f>ISNUMBER(_xlfn.XMATCH(tbldeptemp[[#This Row],[DependencyID]],tblTargets[TargetID]))</f>
        <v>1</v>
      </c>
      <c r="L225" t="str">
        <f>IF(tbldeptemp[[#This Row],[ValidTarget]]=FALSE,"BAD TARGET",IF(tbldeptemp[[#This Row],[ValidDependency]]=FALSE,"BAD DEPENDENCY",""))</f>
        <v/>
      </c>
    </row>
    <row r="226" spans="1:12">
      <c r="A226" t="s">
        <v>2651</v>
      </c>
      <c r="B226" t="s">
        <v>3064</v>
      </c>
      <c r="C226" t="s">
        <v>2660</v>
      </c>
      <c r="D226" t="s">
        <v>2849</v>
      </c>
      <c r="E226" t="s">
        <v>3427</v>
      </c>
      <c r="F226" t="b">
        <v>1</v>
      </c>
      <c r="G226" t="s">
        <v>2947</v>
      </c>
      <c r="H226" t="s">
        <v>2660</v>
      </c>
      <c r="I226" t="s">
        <v>134</v>
      </c>
      <c r="J226" t="b">
        <v>1</v>
      </c>
      <c r="K226" t="b">
        <f>ISNUMBER(_xlfn.XMATCH(tbldeptemp[[#This Row],[DependencyID]],tblTargets[TargetID]))</f>
        <v>1</v>
      </c>
      <c r="L226" t="str">
        <f>IF(tbldeptemp[[#This Row],[ValidTarget]]=FALSE,"BAD TARGET",IF(tbldeptemp[[#This Row],[ValidDependency]]=FALSE,"BAD DEPENDENCY",""))</f>
        <v/>
      </c>
    </row>
    <row r="227" spans="1:12">
      <c r="A227" t="s">
        <v>2651</v>
      </c>
      <c r="B227" t="s">
        <v>3065</v>
      </c>
      <c r="C227" t="s">
        <v>2661</v>
      </c>
      <c r="D227" t="s">
        <v>2849</v>
      </c>
      <c r="E227" t="s">
        <v>3427</v>
      </c>
      <c r="F227" t="b">
        <v>1</v>
      </c>
      <c r="G227" t="s">
        <v>2947</v>
      </c>
      <c r="H227" t="s">
        <v>2661</v>
      </c>
      <c r="I227" t="s">
        <v>134</v>
      </c>
      <c r="J227" t="b">
        <v>1</v>
      </c>
      <c r="K227" t="b">
        <f>ISNUMBER(_xlfn.XMATCH(tbldeptemp[[#This Row],[DependencyID]],tblTargets[TargetID]))</f>
        <v>1</v>
      </c>
      <c r="L227" t="str">
        <f>IF(tbldeptemp[[#This Row],[ValidTarget]]=FALSE,"BAD TARGET",IF(tbldeptemp[[#This Row],[ValidDependency]]=FALSE,"BAD DEPENDENCY",""))</f>
        <v/>
      </c>
    </row>
    <row r="228" spans="1:12">
      <c r="A228" t="s">
        <v>2092</v>
      </c>
      <c r="B228" t="s">
        <v>3290</v>
      </c>
      <c r="C228" t="s">
        <v>2686</v>
      </c>
      <c r="E228" t="e">
        <v>#N/A</v>
      </c>
      <c r="H228" t="s">
        <v>2686</v>
      </c>
      <c r="I228" t="s">
        <v>134</v>
      </c>
      <c r="J228" t="b">
        <v>1</v>
      </c>
      <c r="K228" t="b">
        <f>ISNUMBER(_xlfn.XMATCH(tbldeptemp[[#This Row],[DependencyID]],tblTargets[TargetID]))</f>
        <v>1</v>
      </c>
      <c r="L228" t="str">
        <f>IF(tbldeptemp[[#This Row],[ValidTarget]]=FALSE,"BAD TARGET",IF(tbldeptemp[[#This Row],[ValidDependency]]=FALSE,"BAD DEPENDENCY",""))</f>
        <v/>
      </c>
    </row>
    <row r="229" spans="1:12">
      <c r="A229" t="s">
        <v>2094</v>
      </c>
      <c r="B229" t="s">
        <v>3139</v>
      </c>
      <c r="C229" t="s">
        <v>2240</v>
      </c>
      <c r="D229" t="s">
        <v>1277</v>
      </c>
      <c r="E229" t="s">
        <v>3581</v>
      </c>
      <c r="F229" t="b">
        <v>0</v>
      </c>
      <c r="G229" t="s">
        <v>2946</v>
      </c>
      <c r="H229" t="s">
        <v>2240</v>
      </c>
      <c r="I229" t="s">
        <v>2687</v>
      </c>
      <c r="J229" t="b">
        <v>1</v>
      </c>
      <c r="K229" t="b">
        <f>ISNUMBER(_xlfn.XMATCH(tbldeptemp[[#This Row],[DependencyID]],tblTargets[TargetID]))</f>
        <v>1</v>
      </c>
      <c r="L229" t="str">
        <f>IF(tbldeptemp[[#This Row],[ValidTarget]]=FALSE,"BAD TARGET",IF(tbldeptemp[[#This Row],[ValidDependency]]=FALSE,"BAD DEPENDENCY",""))</f>
        <v/>
      </c>
    </row>
    <row r="230" spans="1:12">
      <c r="A230" t="s">
        <v>2094</v>
      </c>
      <c r="B230" t="s">
        <v>3140</v>
      </c>
      <c r="C230" t="s">
        <v>2236</v>
      </c>
      <c r="D230" t="s">
        <v>1277</v>
      </c>
      <c r="E230" t="s">
        <v>3581</v>
      </c>
      <c r="F230" t="b">
        <v>0</v>
      </c>
      <c r="G230" t="s">
        <v>2946</v>
      </c>
      <c r="H230" t="s">
        <v>2236</v>
      </c>
      <c r="I230" t="s">
        <v>2687</v>
      </c>
      <c r="J230" t="b">
        <v>1</v>
      </c>
      <c r="K230" t="b">
        <f>ISNUMBER(_xlfn.XMATCH(tbldeptemp[[#This Row],[DependencyID]],tblTargets[TargetID]))</f>
        <v>1</v>
      </c>
      <c r="L230" t="str">
        <f>IF(tbldeptemp[[#This Row],[ValidTarget]]=FALSE,"BAD TARGET",IF(tbldeptemp[[#This Row],[ValidDependency]]=FALSE,"BAD DEPENDENCY",""))</f>
        <v/>
      </c>
    </row>
    <row r="231" spans="1:12">
      <c r="A231" t="s">
        <v>2094</v>
      </c>
      <c r="B231" t="s">
        <v>3141</v>
      </c>
      <c r="C231" t="s">
        <v>2244</v>
      </c>
      <c r="D231" t="s">
        <v>1277</v>
      </c>
      <c r="E231" t="s">
        <v>3581</v>
      </c>
      <c r="F231" t="b">
        <v>0</v>
      </c>
      <c r="G231" t="s">
        <v>2947</v>
      </c>
      <c r="H231" t="s">
        <v>2244</v>
      </c>
      <c r="I231" t="s">
        <v>2687</v>
      </c>
      <c r="J231" t="b">
        <v>1</v>
      </c>
      <c r="K231" t="b">
        <f>ISNUMBER(_xlfn.XMATCH(tbldeptemp[[#This Row],[DependencyID]],tblTargets[TargetID]))</f>
        <v>1</v>
      </c>
      <c r="L231" t="str">
        <f>IF(tbldeptemp[[#This Row],[ValidTarget]]=FALSE,"BAD TARGET",IF(tbldeptemp[[#This Row],[ValidDependency]]=FALSE,"BAD DEPENDENCY",""))</f>
        <v/>
      </c>
    </row>
    <row r="232" spans="1:12">
      <c r="A232" t="s">
        <v>2094</v>
      </c>
      <c r="B232" t="s">
        <v>3142</v>
      </c>
      <c r="C232" t="s">
        <v>2238</v>
      </c>
      <c r="D232" t="s">
        <v>1277</v>
      </c>
      <c r="E232" t="s">
        <v>3581</v>
      </c>
      <c r="F232" t="b">
        <v>0</v>
      </c>
      <c r="G232" t="s">
        <v>2946</v>
      </c>
      <c r="H232" t="s">
        <v>2238</v>
      </c>
      <c r="I232" t="s">
        <v>2687</v>
      </c>
      <c r="J232" t="b">
        <v>1</v>
      </c>
      <c r="K232" t="b">
        <f>ISNUMBER(_xlfn.XMATCH(tbldeptemp[[#This Row],[DependencyID]],tblTargets[TargetID]))</f>
        <v>1</v>
      </c>
      <c r="L232" t="str">
        <f>IF(tbldeptemp[[#This Row],[ValidTarget]]=FALSE,"BAD TARGET",IF(tbldeptemp[[#This Row],[ValidDependency]]=FALSE,"BAD DEPENDENCY",""))</f>
        <v/>
      </c>
    </row>
    <row r="233" spans="1:12">
      <c r="A233" t="s">
        <v>2094</v>
      </c>
      <c r="B233" t="s">
        <v>3143</v>
      </c>
      <c r="C233" t="s">
        <v>2242</v>
      </c>
      <c r="D233" t="s">
        <v>1277</v>
      </c>
      <c r="E233" t="s">
        <v>3581</v>
      </c>
      <c r="F233" t="b">
        <v>0</v>
      </c>
      <c r="G233" t="s">
        <v>2947</v>
      </c>
      <c r="H233" t="s">
        <v>2242</v>
      </c>
      <c r="I233" t="s">
        <v>2687</v>
      </c>
      <c r="J233" t="b">
        <v>1</v>
      </c>
      <c r="K233" t="b">
        <f>ISNUMBER(_xlfn.XMATCH(tbldeptemp[[#This Row],[DependencyID]],tblTargets[TargetID]))</f>
        <v>1</v>
      </c>
      <c r="L233" t="str">
        <f>IF(tbldeptemp[[#This Row],[ValidTarget]]=FALSE,"BAD TARGET",IF(tbldeptemp[[#This Row],[ValidDependency]]=FALSE,"BAD DEPENDENCY",""))</f>
        <v/>
      </c>
    </row>
    <row r="234" spans="1:12">
      <c r="A234" t="s">
        <v>2092</v>
      </c>
      <c r="B234" t="s">
        <v>2970</v>
      </c>
      <c r="C234" t="s">
        <v>138</v>
      </c>
      <c r="D234" t="s">
        <v>639</v>
      </c>
      <c r="E234" t="s">
        <v>638</v>
      </c>
      <c r="F234" t="b">
        <v>0</v>
      </c>
      <c r="G234" t="s">
        <v>2946</v>
      </c>
      <c r="H234" t="s">
        <v>138</v>
      </c>
      <c r="I234" t="s">
        <v>135</v>
      </c>
      <c r="J234" t="b">
        <v>1</v>
      </c>
      <c r="K234" t="b">
        <f>ISNUMBER(_xlfn.XMATCH(tbldeptemp[[#This Row],[DependencyID]],tblTargets[TargetID]))</f>
        <v>1</v>
      </c>
      <c r="L234" t="str">
        <f>IF(tbldeptemp[[#This Row],[ValidTarget]]=FALSE,"BAD TARGET",IF(tbldeptemp[[#This Row],[ValidDependency]]=FALSE,"BAD DEPENDENCY",""))</f>
        <v/>
      </c>
    </row>
    <row r="235" spans="1:12">
      <c r="A235" t="s">
        <v>2092</v>
      </c>
      <c r="B235" t="s">
        <v>2971</v>
      </c>
      <c r="C235" t="s">
        <v>141</v>
      </c>
      <c r="D235" t="s">
        <v>639</v>
      </c>
      <c r="E235" t="s">
        <v>638</v>
      </c>
      <c r="F235" t="b">
        <v>0</v>
      </c>
      <c r="G235" t="s">
        <v>2947</v>
      </c>
      <c r="H235" t="s">
        <v>141</v>
      </c>
      <c r="I235" t="s">
        <v>135</v>
      </c>
      <c r="J235" t="b">
        <v>1</v>
      </c>
      <c r="K235" t="b">
        <f>ISNUMBER(_xlfn.XMATCH(tbldeptemp[[#This Row],[DependencyID]],tblTargets[TargetID]))</f>
        <v>1</v>
      </c>
      <c r="L235" t="str">
        <f>IF(tbldeptemp[[#This Row],[ValidTarget]]=FALSE,"BAD TARGET",IF(tbldeptemp[[#This Row],[ValidDependency]]=FALSE,"BAD DEPENDENCY",""))</f>
        <v/>
      </c>
    </row>
    <row r="236" spans="1:12">
      <c r="A236" t="s">
        <v>2092</v>
      </c>
      <c r="B236" t="s">
        <v>2972</v>
      </c>
      <c r="C236" t="s">
        <v>142</v>
      </c>
      <c r="D236" t="s">
        <v>639</v>
      </c>
      <c r="E236" t="s">
        <v>638</v>
      </c>
      <c r="F236" t="b">
        <v>0</v>
      </c>
      <c r="G236" t="s">
        <v>2946</v>
      </c>
      <c r="H236" t="s">
        <v>142</v>
      </c>
      <c r="I236" t="s">
        <v>135</v>
      </c>
      <c r="J236" t="b">
        <v>1</v>
      </c>
      <c r="K236" t="b">
        <f>ISNUMBER(_xlfn.XMATCH(tbldeptemp[[#This Row],[DependencyID]],tblTargets[TargetID]))</f>
        <v>1</v>
      </c>
      <c r="L236" t="str">
        <f>IF(tbldeptemp[[#This Row],[ValidTarget]]=FALSE,"BAD TARGET",IF(tbldeptemp[[#This Row],[ValidDependency]]=FALSE,"BAD DEPENDENCY",""))</f>
        <v/>
      </c>
    </row>
    <row r="237" spans="1:12">
      <c r="A237" t="s">
        <v>2092</v>
      </c>
      <c r="B237" t="s">
        <v>2973</v>
      </c>
      <c r="C237" t="s">
        <v>145</v>
      </c>
      <c r="D237" t="s">
        <v>639</v>
      </c>
      <c r="E237" t="s">
        <v>638</v>
      </c>
      <c r="F237" t="b">
        <v>0</v>
      </c>
      <c r="G237" t="s">
        <v>2947</v>
      </c>
      <c r="H237" t="s">
        <v>145</v>
      </c>
      <c r="I237" t="s">
        <v>135</v>
      </c>
      <c r="J237" t="b">
        <v>1</v>
      </c>
      <c r="K237" t="b">
        <f>ISNUMBER(_xlfn.XMATCH(tbldeptemp[[#This Row],[DependencyID]],tblTargets[TargetID]))</f>
        <v>1</v>
      </c>
      <c r="L237" t="str">
        <f>IF(tbldeptemp[[#This Row],[ValidTarget]]=FALSE,"BAD TARGET",IF(tbldeptemp[[#This Row],[ValidDependency]]=FALSE,"BAD DEPENDENCY",""))</f>
        <v/>
      </c>
    </row>
    <row r="238" spans="1:12">
      <c r="A238" t="s">
        <v>2092</v>
      </c>
      <c r="B238" t="s">
        <v>2810</v>
      </c>
      <c r="C238" t="s">
        <v>137</v>
      </c>
      <c r="D238" t="s">
        <v>638</v>
      </c>
      <c r="E238" t="s">
        <v>638</v>
      </c>
      <c r="F238" t="b">
        <v>0</v>
      </c>
      <c r="G238" t="s">
        <v>2946</v>
      </c>
      <c r="H238" t="s">
        <v>137</v>
      </c>
      <c r="I238" t="s">
        <v>135</v>
      </c>
      <c r="J238" t="b">
        <v>1</v>
      </c>
      <c r="K238" t="b">
        <f>ISNUMBER(_xlfn.XMATCH(tbldeptemp[[#This Row],[DependencyID]],tblTargets[TargetID]))</f>
        <v>1</v>
      </c>
      <c r="L238" t="str">
        <f>IF(tbldeptemp[[#This Row],[ValidTarget]]=FALSE,"BAD TARGET",IF(tbldeptemp[[#This Row],[ValidDependency]]=FALSE,"BAD DEPENDENCY",""))</f>
        <v/>
      </c>
    </row>
    <row r="239" spans="1:12">
      <c r="A239" t="s">
        <v>2092</v>
      </c>
      <c r="B239" t="s">
        <v>2810</v>
      </c>
      <c r="C239" t="s">
        <v>137</v>
      </c>
      <c r="D239" t="s">
        <v>638</v>
      </c>
      <c r="E239" t="s">
        <v>638</v>
      </c>
      <c r="F239" t="b">
        <v>0</v>
      </c>
      <c r="G239" t="s">
        <v>2946</v>
      </c>
      <c r="H239" t="s">
        <v>137</v>
      </c>
      <c r="I239" t="s">
        <v>135</v>
      </c>
      <c r="J239" t="b">
        <v>1</v>
      </c>
      <c r="K239" t="b">
        <f>ISNUMBER(_xlfn.XMATCH(tbldeptemp[[#This Row],[DependencyID]],tblTargets[TargetID]))</f>
        <v>1</v>
      </c>
      <c r="L239" t="str">
        <f>IF(tbldeptemp[[#This Row],[ValidTarget]]=FALSE,"BAD TARGET",IF(tbldeptemp[[#This Row],[ValidDependency]]=FALSE,"BAD DEPENDENCY",""))</f>
        <v/>
      </c>
    </row>
    <row r="240" spans="1:12">
      <c r="A240" t="s">
        <v>2094</v>
      </c>
      <c r="B240" t="s">
        <v>3139</v>
      </c>
      <c r="C240" t="s">
        <v>2240</v>
      </c>
      <c r="D240" t="s">
        <v>638</v>
      </c>
      <c r="E240" t="s">
        <v>638</v>
      </c>
      <c r="F240" t="b">
        <v>0</v>
      </c>
      <c r="G240" t="s">
        <v>2947</v>
      </c>
      <c r="H240" t="s">
        <v>2240</v>
      </c>
      <c r="I240" t="s">
        <v>135</v>
      </c>
      <c r="J240" t="b">
        <v>1</v>
      </c>
      <c r="K240" t="b">
        <f>ISNUMBER(_xlfn.XMATCH(tbldeptemp[[#This Row],[DependencyID]],tblTargets[TargetID]))</f>
        <v>1</v>
      </c>
      <c r="L240" t="str">
        <f>IF(tbldeptemp[[#This Row],[ValidTarget]]=FALSE,"BAD TARGET",IF(tbldeptemp[[#This Row],[ValidDependency]]=FALSE,"BAD DEPENDENCY",""))</f>
        <v/>
      </c>
    </row>
    <row r="241" spans="1:12">
      <c r="A241" t="s">
        <v>2094</v>
      </c>
      <c r="B241" t="s">
        <v>3140</v>
      </c>
      <c r="C241" t="s">
        <v>2236</v>
      </c>
      <c r="D241" t="s">
        <v>638</v>
      </c>
      <c r="E241" t="s">
        <v>638</v>
      </c>
      <c r="F241" t="b">
        <v>0</v>
      </c>
      <c r="G241" t="s">
        <v>2947</v>
      </c>
      <c r="H241" t="s">
        <v>2236</v>
      </c>
      <c r="I241" t="s">
        <v>135</v>
      </c>
      <c r="J241" t="b">
        <v>1</v>
      </c>
      <c r="K241" t="b">
        <f>ISNUMBER(_xlfn.XMATCH(tbldeptemp[[#This Row],[DependencyID]],tblTargets[TargetID]))</f>
        <v>1</v>
      </c>
      <c r="L241" t="str">
        <f>IF(tbldeptemp[[#This Row],[ValidTarget]]=FALSE,"BAD TARGET",IF(tbldeptemp[[#This Row],[ValidDependency]]=FALSE,"BAD DEPENDENCY",""))</f>
        <v/>
      </c>
    </row>
    <row r="242" spans="1:12">
      <c r="A242" t="s">
        <v>2094</v>
      </c>
      <c r="B242" t="s">
        <v>3142</v>
      </c>
      <c r="C242" t="s">
        <v>2238</v>
      </c>
      <c r="D242" t="s">
        <v>638</v>
      </c>
      <c r="E242" t="s">
        <v>638</v>
      </c>
      <c r="F242" t="b">
        <v>0</v>
      </c>
      <c r="G242" t="s">
        <v>2947</v>
      </c>
      <c r="H242" t="s">
        <v>2238</v>
      </c>
      <c r="I242" t="s">
        <v>135</v>
      </c>
      <c r="J242" t="b">
        <v>1</v>
      </c>
      <c r="K242" t="b">
        <f>ISNUMBER(_xlfn.XMATCH(tbldeptemp[[#This Row],[DependencyID]],tblTargets[TargetID]))</f>
        <v>1</v>
      </c>
      <c r="L242" t="str">
        <f>IF(tbldeptemp[[#This Row],[ValidTarget]]=FALSE,"BAD TARGET",IF(tbldeptemp[[#This Row],[ValidDependency]]=FALSE,"BAD DEPENDENCY",""))</f>
        <v/>
      </c>
    </row>
    <row r="243" spans="1:12">
      <c r="A243" t="s">
        <v>2092</v>
      </c>
      <c r="B243" t="s">
        <v>3291</v>
      </c>
      <c r="C243" t="s">
        <v>2687</v>
      </c>
      <c r="E243" t="e">
        <v>#N/A</v>
      </c>
      <c r="H243" t="s">
        <v>2687</v>
      </c>
      <c r="I243" t="s">
        <v>137</v>
      </c>
      <c r="J243" t="b">
        <v>1</v>
      </c>
      <c r="K243" t="b">
        <f>ISNUMBER(_xlfn.XMATCH(tbldeptemp[[#This Row],[DependencyID]],tblTargets[TargetID]))</f>
        <v>1</v>
      </c>
      <c r="L243" t="str">
        <f>IF(tbldeptemp[[#This Row],[ValidTarget]]=FALSE,"BAD TARGET",IF(tbldeptemp[[#This Row],[ValidDependency]]=FALSE,"BAD DEPENDENCY",""))</f>
        <v/>
      </c>
    </row>
    <row r="244" spans="1:12">
      <c r="A244" t="s">
        <v>2092</v>
      </c>
      <c r="B244" t="s">
        <v>2971</v>
      </c>
      <c r="C244" t="s">
        <v>141</v>
      </c>
      <c r="D244" t="s">
        <v>3160</v>
      </c>
      <c r="E244" t="s">
        <v>3347</v>
      </c>
      <c r="F244" t="b">
        <v>0</v>
      </c>
      <c r="G244" t="s">
        <v>2946</v>
      </c>
      <c r="H244" t="s">
        <v>141</v>
      </c>
      <c r="I244" t="s">
        <v>138</v>
      </c>
      <c r="J244" t="b">
        <v>1</v>
      </c>
      <c r="K244" t="b">
        <f>ISNUMBER(_xlfn.XMATCH(tbldeptemp[[#This Row],[DependencyID]],tblTargets[TargetID]))</f>
        <v>1</v>
      </c>
      <c r="L244" t="str">
        <f>IF(tbldeptemp[[#This Row],[ValidTarget]]=FALSE,"BAD TARGET",IF(tbldeptemp[[#This Row],[ValidDependency]]=FALSE,"BAD DEPENDENCY",""))</f>
        <v/>
      </c>
    </row>
    <row r="245" spans="1:12">
      <c r="A245" t="s">
        <v>2092</v>
      </c>
      <c r="B245" t="s">
        <v>2973</v>
      </c>
      <c r="C245" t="s">
        <v>145</v>
      </c>
      <c r="D245" t="s">
        <v>641</v>
      </c>
      <c r="E245" t="s">
        <v>3348</v>
      </c>
      <c r="F245" t="b">
        <v>0</v>
      </c>
      <c r="G245" t="s">
        <v>2946</v>
      </c>
      <c r="H245" t="s">
        <v>145</v>
      </c>
      <c r="I245" t="s">
        <v>142</v>
      </c>
      <c r="J245" t="b">
        <v>1</v>
      </c>
      <c r="K245" t="b">
        <f>ISNUMBER(_xlfn.XMATCH(tbldeptemp[[#This Row],[DependencyID]],tblTargets[TargetID]))</f>
        <v>1</v>
      </c>
      <c r="L245" t="str">
        <f>IF(tbldeptemp[[#This Row],[ValidTarget]]=FALSE,"BAD TARGET",IF(tbldeptemp[[#This Row],[ValidDependency]]=FALSE,"BAD DEPENDENCY",""))</f>
        <v/>
      </c>
    </row>
    <row r="246" spans="1:12">
      <c r="A246" t="s">
        <v>2094</v>
      </c>
      <c r="B246" t="s">
        <v>3144</v>
      </c>
      <c r="C246" t="s">
        <v>2246</v>
      </c>
      <c r="D246" t="s">
        <v>1296</v>
      </c>
      <c r="E246" t="s">
        <v>3582</v>
      </c>
      <c r="F246" t="b">
        <v>1</v>
      </c>
      <c r="G246" t="s">
        <v>2946</v>
      </c>
      <c r="H246" t="s">
        <v>2246</v>
      </c>
      <c r="I246" t="s">
        <v>2688</v>
      </c>
      <c r="J246" t="b">
        <v>1</v>
      </c>
      <c r="K246" t="b">
        <f>ISNUMBER(_xlfn.XMATCH(tbldeptemp[[#This Row],[DependencyID]],tblTargets[TargetID]))</f>
        <v>1</v>
      </c>
      <c r="L246" t="str">
        <f>IF(tbldeptemp[[#This Row],[ValidTarget]]=FALSE,"BAD TARGET",IF(tbldeptemp[[#This Row],[ValidDependency]]=FALSE,"BAD DEPENDENCY",""))</f>
        <v/>
      </c>
    </row>
    <row r="247" spans="1:12">
      <c r="A247" t="s">
        <v>2094</v>
      </c>
      <c r="B247" t="s">
        <v>3145</v>
      </c>
      <c r="C247" t="s">
        <v>2248</v>
      </c>
      <c r="D247" t="s">
        <v>1296</v>
      </c>
      <c r="E247" t="s">
        <v>3582</v>
      </c>
      <c r="F247" t="b">
        <v>1</v>
      </c>
      <c r="G247" t="s">
        <v>2947</v>
      </c>
      <c r="H247" t="s">
        <v>2248</v>
      </c>
      <c r="I247" t="s">
        <v>2688</v>
      </c>
      <c r="J247" t="b">
        <v>1</v>
      </c>
      <c r="K247" t="b">
        <f>ISNUMBER(_xlfn.XMATCH(tbldeptemp[[#This Row],[DependencyID]],tblTargets[TargetID]))</f>
        <v>1</v>
      </c>
      <c r="L247" t="str">
        <f>IF(tbldeptemp[[#This Row],[ValidTarget]]=FALSE,"BAD TARGET",IF(tbldeptemp[[#This Row],[ValidDependency]]=FALSE,"BAD DEPENDENCY",""))</f>
        <v/>
      </c>
    </row>
    <row r="248" spans="1:12">
      <c r="A248" t="s">
        <v>2094</v>
      </c>
      <c r="B248" t="s">
        <v>3146</v>
      </c>
      <c r="C248" t="s">
        <v>2250</v>
      </c>
      <c r="D248" t="s">
        <v>1296</v>
      </c>
      <c r="E248" t="s">
        <v>3582</v>
      </c>
      <c r="F248" t="b">
        <v>1</v>
      </c>
      <c r="G248" t="s">
        <v>2947</v>
      </c>
      <c r="H248" t="s">
        <v>2250</v>
      </c>
      <c r="I248" t="s">
        <v>2688</v>
      </c>
      <c r="J248" t="b">
        <v>1</v>
      </c>
      <c r="K248" t="b">
        <f>ISNUMBER(_xlfn.XMATCH(tbldeptemp[[#This Row],[DependencyID]],tblTargets[TargetID]))</f>
        <v>1</v>
      </c>
      <c r="L248" t="str">
        <f>IF(tbldeptemp[[#This Row],[ValidTarget]]=FALSE,"BAD TARGET",IF(tbldeptemp[[#This Row],[ValidDependency]]=FALSE,"BAD DEPENDENCY",""))</f>
        <v/>
      </c>
    </row>
    <row r="249" spans="1:12">
      <c r="A249" t="s">
        <v>2092</v>
      </c>
      <c r="B249" t="s">
        <v>2790</v>
      </c>
      <c r="C249" t="s">
        <v>109</v>
      </c>
      <c r="D249" t="s">
        <v>624</v>
      </c>
      <c r="E249" t="s">
        <v>2814</v>
      </c>
      <c r="F249" t="b">
        <v>1</v>
      </c>
      <c r="G249" t="s">
        <v>2946</v>
      </c>
      <c r="H249" t="s">
        <v>109</v>
      </c>
      <c r="I249" t="s">
        <v>146</v>
      </c>
      <c r="J249" t="b">
        <v>1</v>
      </c>
      <c r="K249" t="b">
        <f>ISNUMBER(_xlfn.XMATCH(tbldeptemp[[#This Row],[DependencyID]],tblTargets[TargetID]))</f>
        <v>1</v>
      </c>
      <c r="L249" t="str">
        <f>IF(tbldeptemp[[#This Row],[ValidTarget]]=FALSE,"BAD TARGET",IF(tbldeptemp[[#This Row],[ValidDependency]]=FALSE,"BAD DEPENDENCY",""))</f>
        <v/>
      </c>
    </row>
    <row r="250" spans="1:12">
      <c r="A250" t="s">
        <v>2092</v>
      </c>
      <c r="B250" t="s">
        <v>2813</v>
      </c>
      <c r="C250" t="s">
        <v>148</v>
      </c>
      <c r="D250" t="s">
        <v>2814</v>
      </c>
      <c r="E250" t="s">
        <v>2814</v>
      </c>
      <c r="F250" t="b">
        <v>1</v>
      </c>
      <c r="G250" t="s">
        <v>2947</v>
      </c>
      <c r="H250" t="s">
        <v>148</v>
      </c>
      <c r="I250" t="s">
        <v>146</v>
      </c>
      <c r="J250" t="b">
        <v>1</v>
      </c>
      <c r="K250" t="b">
        <f>ISNUMBER(_xlfn.XMATCH(tbldeptemp[[#This Row],[DependencyID]],tblTargets[TargetID]))</f>
        <v>1</v>
      </c>
      <c r="L250" t="str">
        <f>IF(tbldeptemp[[#This Row],[ValidTarget]]=FALSE,"BAD TARGET",IF(tbldeptemp[[#This Row],[ValidDependency]]=FALSE,"BAD DEPENDENCY",""))</f>
        <v/>
      </c>
    </row>
    <row r="251" spans="1:12">
      <c r="A251" t="s">
        <v>2092</v>
      </c>
      <c r="B251" t="s">
        <v>2815</v>
      </c>
      <c r="C251" t="s">
        <v>149</v>
      </c>
      <c r="D251" t="s">
        <v>2816</v>
      </c>
      <c r="E251" t="s">
        <v>2816</v>
      </c>
      <c r="F251" t="b">
        <v>1</v>
      </c>
      <c r="G251" t="s">
        <v>2947</v>
      </c>
      <c r="H251" t="s">
        <v>149</v>
      </c>
      <c r="I251" t="s">
        <v>148</v>
      </c>
      <c r="J251" t="b">
        <v>1</v>
      </c>
      <c r="K251" t="b">
        <f>ISNUMBER(_xlfn.XMATCH(tbldeptemp[[#This Row],[DependencyID]],tblTargets[TargetID]))</f>
        <v>1</v>
      </c>
      <c r="L251" t="str">
        <f>IF(tbldeptemp[[#This Row],[ValidTarget]]=FALSE,"BAD TARGET",IF(tbldeptemp[[#This Row],[ValidDependency]]=FALSE,"BAD DEPENDENCY",""))</f>
        <v/>
      </c>
    </row>
    <row r="252" spans="1:12">
      <c r="A252" t="s">
        <v>2092</v>
      </c>
      <c r="B252" t="s">
        <v>2817</v>
      </c>
      <c r="C252" t="s">
        <v>150</v>
      </c>
      <c r="D252" t="s">
        <v>2818</v>
      </c>
      <c r="E252" t="s">
        <v>2818</v>
      </c>
      <c r="F252" t="b">
        <v>1</v>
      </c>
      <c r="G252" t="s">
        <v>2947</v>
      </c>
      <c r="H252" t="s">
        <v>150</v>
      </c>
      <c r="I252" t="s">
        <v>149</v>
      </c>
      <c r="J252" t="b">
        <v>1</v>
      </c>
      <c r="K252" t="b">
        <f>ISNUMBER(_xlfn.XMATCH(tbldeptemp[[#This Row],[DependencyID]],tblTargets[TargetID]))</f>
        <v>1</v>
      </c>
      <c r="L252" t="str">
        <f>IF(tbldeptemp[[#This Row],[ValidTarget]]=FALSE,"BAD TARGET",IF(tbldeptemp[[#This Row],[ValidDependency]]=FALSE,"BAD DEPENDENCY",""))</f>
        <v/>
      </c>
    </row>
    <row r="253" spans="1:12">
      <c r="A253" t="s">
        <v>2092</v>
      </c>
      <c r="B253" t="s">
        <v>2819</v>
      </c>
      <c r="C253" t="s">
        <v>151</v>
      </c>
      <c r="D253" t="s">
        <v>2820</v>
      </c>
      <c r="E253" t="s">
        <v>2820</v>
      </c>
      <c r="F253" t="b">
        <v>1</v>
      </c>
      <c r="G253" t="s">
        <v>2947</v>
      </c>
      <c r="H253" t="s">
        <v>151</v>
      </c>
      <c r="I253" t="s">
        <v>150</v>
      </c>
      <c r="J253" t="b">
        <v>1</v>
      </c>
      <c r="K253" t="b">
        <f>ISNUMBER(_xlfn.XMATCH(tbldeptemp[[#This Row],[DependencyID]],tblTargets[TargetID]))</f>
        <v>1</v>
      </c>
      <c r="L253" t="str">
        <f>IF(tbldeptemp[[#This Row],[ValidTarget]]=FALSE,"BAD TARGET",IF(tbldeptemp[[#This Row],[ValidDependency]]=FALSE,"BAD DEPENDENCY",""))</f>
        <v/>
      </c>
    </row>
    <row r="254" spans="1:12">
      <c r="A254" t="s">
        <v>2092</v>
      </c>
      <c r="B254" t="s">
        <v>2821</v>
      </c>
      <c r="C254" t="s">
        <v>152</v>
      </c>
      <c r="D254" t="s">
        <v>646</v>
      </c>
      <c r="E254" t="s">
        <v>646</v>
      </c>
      <c r="F254" t="b">
        <v>1</v>
      </c>
      <c r="G254" t="s">
        <v>2946</v>
      </c>
      <c r="H254" t="s">
        <v>152</v>
      </c>
      <c r="I254" t="s">
        <v>151</v>
      </c>
      <c r="J254" t="b">
        <v>1</v>
      </c>
      <c r="K254" t="b">
        <f>ISNUMBER(_xlfn.XMATCH(tbldeptemp[[#This Row],[DependencyID]],tblTargets[TargetID]))</f>
        <v>1</v>
      </c>
      <c r="L254" t="str">
        <f>IF(tbldeptemp[[#This Row],[ValidTarget]]=FALSE,"BAD TARGET",IF(tbldeptemp[[#This Row],[ValidDependency]]=FALSE,"BAD DEPENDENCY",""))</f>
        <v/>
      </c>
    </row>
    <row r="255" spans="1:12">
      <c r="A255" t="s">
        <v>2092</v>
      </c>
      <c r="B255" t="s">
        <v>2822</v>
      </c>
      <c r="C255" t="s">
        <v>153</v>
      </c>
      <c r="D255" t="s">
        <v>647</v>
      </c>
      <c r="E255" t="s">
        <v>647</v>
      </c>
      <c r="F255" t="b">
        <v>1</v>
      </c>
      <c r="G255" t="s">
        <v>2946</v>
      </c>
      <c r="H255" t="s">
        <v>153</v>
      </c>
      <c r="I255" t="s">
        <v>152</v>
      </c>
      <c r="J255" t="b">
        <v>1</v>
      </c>
      <c r="K255" t="b">
        <f>ISNUMBER(_xlfn.XMATCH(tbldeptemp[[#This Row],[DependencyID]],tblTargets[TargetID]))</f>
        <v>1</v>
      </c>
      <c r="L255" t="str">
        <f>IF(tbldeptemp[[#This Row],[ValidTarget]]=FALSE,"BAD TARGET",IF(tbldeptemp[[#This Row],[ValidDependency]]=FALSE,"BAD DEPENDENCY",""))</f>
        <v/>
      </c>
    </row>
    <row r="256" spans="1:12">
      <c r="A256" t="s">
        <v>2092</v>
      </c>
      <c r="B256" t="s">
        <v>3292</v>
      </c>
      <c r="C256" t="s">
        <v>2688</v>
      </c>
      <c r="E256" t="e">
        <v>#N/A</v>
      </c>
      <c r="H256" t="s">
        <v>2688</v>
      </c>
      <c r="I256" t="s">
        <v>153</v>
      </c>
      <c r="J256" t="b">
        <v>1</v>
      </c>
      <c r="K256" t="b">
        <f>ISNUMBER(_xlfn.XMATCH(tbldeptemp[[#This Row],[DependencyID]],tblTargets[TargetID]))</f>
        <v>1</v>
      </c>
      <c r="L256" t="str">
        <f>IF(tbldeptemp[[#This Row],[ValidTarget]]=FALSE,"BAD TARGET",IF(tbldeptemp[[#This Row],[ValidDependency]]=FALSE,"BAD DEPENDENCY",""))</f>
        <v/>
      </c>
    </row>
    <row r="257" spans="1:12">
      <c r="A257" t="s">
        <v>2092</v>
      </c>
      <c r="B257" t="s">
        <v>2824</v>
      </c>
      <c r="C257" t="s">
        <v>156</v>
      </c>
      <c r="D257" t="s">
        <v>648</v>
      </c>
      <c r="E257" t="s">
        <v>648</v>
      </c>
      <c r="F257" t="b">
        <v>1</v>
      </c>
      <c r="G257" t="s">
        <v>2946</v>
      </c>
      <c r="H257" t="s">
        <v>156</v>
      </c>
      <c r="I257" t="s">
        <v>154</v>
      </c>
      <c r="J257" t="b">
        <v>1</v>
      </c>
      <c r="K257" t="b">
        <f>ISNUMBER(_xlfn.XMATCH(tbldeptemp[[#This Row],[DependencyID]],tblTargets[TargetID]))</f>
        <v>1</v>
      </c>
      <c r="L257" t="str">
        <f>IF(tbldeptemp[[#This Row],[ValidTarget]]=FALSE,"BAD TARGET",IF(tbldeptemp[[#This Row],[ValidDependency]]=FALSE,"BAD DEPENDENCY",""))</f>
        <v/>
      </c>
    </row>
    <row r="258" spans="1:12">
      <c r="A258" t="s">
        <v>2092</v>
      </c>
      <c r="B258" t="s">
        <v>3293</v>
      </c>
      <c r="C258" t="s">
        <v>2690</v>
      </c>
      <c r="E258" t="e">
        <v>#N/A</v>
      </c>
      <c r="H258" t="s">
        <v>2690</v>
      </c>
      <c r="I258" t="s">
        <v>156</v>
      </c>
      <c r="J258" t="b">
        <v>1</v>
      </c>
      <c r="K258" t="b">
        <f>ISNUMBER(_xlfn.XMATCH(tbldeptemp[[#This Row],[DependencyID]],tblTargets[TargetID]))</f>
        <v>1</v>
      </c>
      <c r="L258" t="str">
        <f>IF(tbldeptemp[[#This Row],[ValidTarget]]=FALSE,"BAD TARGET",IF(tbldeptemp[[#This Row],[ValidDependency]]=FALSE,"BAD DEPENDENCY",""))</f>
        <v/>
      </c>
    </row>
    <row r="259" spans="1:12">
      <c r="A259" t="s">
        <v>2094</v>
      </c>
      <c r="B259" t="s">
        <v>3166</v>
      </c>
      <c r="C259" t="s">
        <v>3516</v>
      </c>
      <c r="D259" t="s">
        <v>1309</v>
      </c>
      <c r="E259" t="s">
        <v>3518</v>
      </c>
      <c r="F259" t="b">
        <v>1</v>
      </c>
      <c r="G259" t="s">
        <v>2947</v>
      </c>
      <c r="H259" t="s">
        <v>2120</v>
      </c>
      <c r="I259" t="s">
        <v>2689</v>
      </c>
      <c r="J259" t="b">
        <v>1</v>
      </c>
      <c r="K259" t="b">
        <f>ISNUMBER(_xlfn.XMATCH(tbldeptemp[[#This Row],[DependencyID]],tblTargets[TargetID]))</f>
        <v>1</v>
      </c>
      <c r="L259" t="str">
        <f>IF(tbldeptemp[[#This Row],[ValidTarget]]=FALSE,"BAD TARGET",IF(tbldeptemp[[#This Row],[ValidDependency]]=FALSE,"BAD DEPENDENCY",""))</f>
        <v/>
      </c>
    </row>
    <row r="260" spans="1:12">
      <c r="A260" t="s">
        <v>2094</v>
      </c>
      <c r="B260" t="s">
        <v>3167</v>
      </c>
      <c r="C260" t="s">
        <v>3521</v>
      </c>
      <c r="D260" t="s">
        <v>1309</v>
      </c>
      <c r="E260" t="s">
        <v>3518</v>
      </c>
      <c r="F260" t="b">
        <v>1</v>
      </c>
      <c r="G260" t="s">
        <v>2947</v>
      </c>
      <c r="H260" t="s">
        <v>2122</v>
      </c>
      <c r="I260" t="s">
        <v>2689</v>
      </c>
      <c r="J260" t="b">
        <v>1</v>
      </c>
      <c r="K260" t="b">
        <f>ISNUMBER(_xlfn.XMATCH(tbldeptemp[[#This Row],[DependencyID]],tblTargets[TargetID]))</f>
        <v>1</v>
      </c>
      <c r="L260" t="str">
        <f>IF(tbldeptemp[[#This Row],[ValidTarget]]=FALSE,"BAD TARGET",IF(tbldeptemp[[#This Row],[ValidDependency]]=FALSE,"BAD DEPENDENCY",""))</f>
        <v/>
      </c>
    </row>
    <row r="261" spans="1:12">
      <c r="A261" t="s">
        <v>2094</v>
      </c>
      <c r="B261" t="s">
        <v>3147</v>
      </c>
      <c r="C261" t="s">
        <v>2270</v>
      </c>
      <c r="D261" t="s">
        <v>1309</v>
      </c>
      <c r="E261" t="s">
        <v>3518</v>
      </c>
      <c r="F261" t="b">
        <v>1</v>
      </c>
      <c r="G261" t="s">
        <v>2947</v>
      </c>
      <c r="H261" t="s">
        <v>2270</v>
      </c>
      <c r="I261" t="s">
        <v>2689</v>
      </c>
      <c r="J261" t="b">
        <v>1</v>
      </c>
      <c r="K261" t="b">
        <f>ISNUMBER(_xlfn.XMATCH(tbldeptemp[[#This Row],[DependencyID]],tblTargets[TargetID]))</f>
        <v>1</v>
      </c>
      <c r="L261" t="str">
        <f>IF(tbldeptemp[[#This Row],[ValidTarget]]=FALSE,"BAD TARGET",IF(tbldeptemp[[#This Row],[ValidDependency]]=FALSE,"BAD DEPENDENCY",""))</f>
        <v/>
      </c>
    </row>
    <row r="262" spans="1:12">
      <c r="A262" t="s">
        <v>2094</v>
      </c>
      <c r="B262" t="s">
        <v>3148</v>
      </c>
      <c r="C262" t="s">
        <v>2268</v>
      </c>
      <c r="D262" t="s">
        <v>1309</v>
      </c>
      <c r="E262" t="s">
        <v>3518</v>
      </c>
      <c r="F262" t="b">
        <v>1</v>
      </c>
      <c r="G262" t="s">
        <v>2947</v>
      </c>
      <c r="H262" t="s">
        <v>2268</v>
      </c>
      <c r="I262" t="s">
        <v>2689</v>
      </c>
      <c r="J262" t="b">
        <v>1</v>
      </c>
      <c r="K262" t="b">
        <f>ISNUMBER(_xlfn.XMATCH(tbldeptemp[[#This Row],[DependencyID]],tblTargets[TargetID]))</f>
        <v>1</v>
      </c>
      <c r="L262" t="str">
        <f>IF(tbldeptemp[[#This Row],[ValidTarget]]=FALSE,"BAD TARGET",IF(tbldeptemp[[#This Row],[ValidDependency]]=FALSE,"BAD DEPENDENCY",""))</f>
        <v/>
      </c>
    </row>
    <row r="263" spans="1:12">
      <c r="A263" t="s">
        <v>2094</v>
      </c>
      <c r="B263" t="s">
        <v>3149</v>
      </c>
      <c r="C263" t="s">
        <v>2266</v>
      </c>
      <c r="D263" t="s">
        <v>1309</v>
      </c>
      <c r="E263" t="s">
        <v>3518</v>
      </c>
      <c r="F263" t="b">
        <v>1</v>
      </c>
      <c r="G263" t="s">
        <v>2946</v>
      </c>
      <c r="H263" t="s">
        <v>2266</v>
      </c>
      <c r="I263" t="s">
        <v>2689</v>
      </c>
      <c r="J263" t="b">
        <v>1</v>
      </c>
      <c r="K263" t="b">
        <f>ISNUMBER(_xlfn.XMATCH(tbldeptemp[[#This Row],[DependencyID]],tblTargets[TargetID]))</f>
        <v>1</v>
      </c>
      <c r="L263" t="str">
        <f>IF(tbldeptemp[[#This Row],[ValidTarget]]=FALSE,"BAD TARGET",IF(tbldeptemp[[#This Row],[ValidDependency]]=FALSE,"BAD DEPENDENCY",""))</f>
        <v/>
      </c>
    </row>
    <row r="264" spans="1:12">
      <c r="A264" t="s">
        <v>2094</v>
      </c>
      <c r="B264" t="s">
        <v>3150</v>
      </c>
      <c r="C264" t="s">
        <v>2254</v>
      </c>
      <c r="D264" t="s">
        <v>1309</v>
      </c>
      <c r="E264" t="s">
        <v>3518</v>
      </c>
      <c r="F264" t="b">
        <v>1</v>
      </c>
      <c r="G264" t="s">
        <v>2946</v>
      </c>
      <c r="H264" t="s">
        <v>2254</v>
      </c>
      <c r="I264" t="s">
        <v>2689</v>
      </c>
      <c r="J264" t="b">
        <v>1</v>
      </c>
      <c r="K264" t="b">
        <f>ISNUMBER(_xlfn.XMATCH(tbldeptemp[[#This Row],[DependencyID]],tblTargets[TargetID]))</f>
        <v>1</v>
      </c>
      <c r="L264" t="str">
        <f>IF(tbldeptemp[[#This Row],[ValidTarget]]=FALSE,"BAD TARGET",IF(tbldeptemp[[#This Row],[ValidDependency]]=FALSE,"BAD DEPENDENCY",""))</f>
        <v/>
      </c>
    </row>
    <row r="265" spans="1:12">
      <c r="A265" t="s">
        <v>2094</v>
      </c>
      <c r="B265" t="s">
        <v>3151</v>
      </c>
      <c r="C265" t="s">
        <v>2256</v>
      </c>
      <c r="D265" t="s">
        <v>1309</v>
      </c>
      <c r="E265" t="s">
        <v>3518</v>
      </c>
      <c r="F265" t="b">
        <v>1</v>
      </c>
      <c r="G265" t="s">
        <v>2947</v>
      </c>
      <c r="H265" t="s">
        <v>2256</v>
      </c>
      <c r="I265" t="s">
        <v>2689</v>
      </c>
      <c r="J265" t="b">
        <v>1</v>
      </c>
      <c r="K265" t="b">
        <f>ISNUMBER(_xlfn.XMATCH(tbldeptemp[[#This Row],[DependencyID]],tblTargets[TargetID]))</f>
        <v>1</v>
      </c>
      <c r="L265" t="str">
        <f>IF(tbldeptemp[[#This Row],[ValidTarget]]=FALSE,"BAD TARGET",IF(tbldeptemp[[#This Row],[ValidDependency]]=FALSE,"BAD DEPENDENCY",""))</f>
        <v/>
      </c>
    </row>
    <row r="266" spans="1:12">
      <c r="A266" t="s">
        <v>2094</v>
      </c>
      <c r="B266" t="s">
        <v>3152</v>
      </c>
      <c r="C266" t="s">
        <v>2258</v>
      </c>
      <c r="D266" t="s">
        <v>1309</v>
      </c>
      <c r="E266" t="s">
        <v>3518</v>
      </c>
      <c r="F266" t="b">
        <v>1</v>
      </c>
      <c r="G266" t="s">
        <v>2947</v>
      </c>
      <c r="H266" t="s">
        <v>2258</v>
      </c>
      <c r="I266" t="s">
        <v>2689</v>
      </c>
      <c r="J266" t="b">
        <v>1</v>
      </c>
      <c r="K266" t="b">
        <f>ISNUMBER(_xlfn.XMATCH(tbldeptemp[[#This Row],[DependencyID]],tblTargets[TargetID]))</f>
        <v>1</v>
      </c>
      <c r="L266" t="str">
        <f>IF(tbldeptemp[[#This Row],[ValidTarget]]=FALSE,"BAD TARGET",IF(tbldeptemp[[#This Row],[ValidDependency]]=FALSE,"BAD DEPENDENCY",""))</f>
        <v/>
      </c>
    </row>
    <row r="267" spans="1:12">
      <c r="A267" t="s">
        <v>2094</v>
      </c>
      <c r="B267" t="s">
        <v>3153</v>
      </c>
      <c r="C267" t="s">
        <v>2260</v>
      </c>
      <c r="D267" t="s">
        <v>1309</v>
      </c>
      <c r="E267" t="s">
        <v>3518</v>
      </c>
      <c r="F267" t="b">
        <v>1</v>
      </c>
      <c r="G267" t="s">
        <v>2947</v>
      </c>
      <c r="H267" t="s">
        <v>2260</v>
      </c>
      <c r="I267" t="s">
        <v>2689</v>
      </c>
      <c r="J267" t="b">
        <v>1</v>
      </c>
      <c r="K267" t="b">
        <f>ISNUMBER(_xlfn.XMATCH(tbldeptemp[[#This Row],[DependencyID]],tblTargets[TargetID]))</f>
        <v>1</v>
      </c>
      <c r="L267" t="str">
        <f>IF(tbldeptemp[[#This Row],[ValidTarget]]=FALSE,"BAD TARGET",IF(tbldeptemp[[#This Row],[ValidDependency]]=FALSE,"BAD DEPENDENCY",""))</f>
        <v/>
      </c>
    </row>
    <row r="268" spans="1:12">
      <c r="A268" t="s">
        <v>2094</v>
      </c>
      <c r="B268" t="s">
        <v>3154</v>
      </c>
      <c r="C268" t="s">
        <v>2262</v>
      </c>
      <c r="D268" t="s">
        <v>1309</v>
      </c>
      <c r="E268" t="s">
        <v>3518</v>
      </c>
      <c r="F268" t="b">
        <v>1</v>
      </c>
      <c r="G268" t="s">
        <v>2947</v>
      </c>
      <c r="H268" t="s">
        <v>2262</v>
      </c>
      <c r="I268" t="s">
        <v>2689</v>
      </c>
      <c r="J268" t="b">
        <v>1</v>
      </c>
      <c r="K268" t="b">
        <f>ISNUMBER(_xlfn.XMATCH(tbldeptemp[[#This Row],[DependencyID]],tblTargets[TargetID]))</f>
        <v>1</v>
      </c>
      <c r="L268" t="str">
        <f>IF(tbldeptemp[[#This Row],[ValidTarget]]=FALSE,"BAD TARGET",IF(tbldeptemp[[#This Row],[ValidDependency]]=FALSE,"BAD DEPENDENCY",""))</f>
        <v/>
      </c>
    </row>
    <row r="269" spans="1:12">
      <c r="A269" t="s">
        <v>2094</v>
      </c>
      <c r="B269" t="s">
        <v>3155</v>
      </c>
      <c r="C269" t="s">
        <v>2272</v>
      </c>
      <c r="D269" t="s">
        <v>1309</v>
      </c>
      <c r="E269" t="s">
        <v>3518</v>
      </c>
      <c r="F269" t="b">
        <v>1</v>
      </c>
      <c r="G269" t="s">
        <v>2947</v>
      </c>
      <c r="H269" t="s">
        <v>2272</v>
      </c>
      <c r="I269" t="s">
        <v>2689</v>
      </c>
      <c r="J269" t="b">
        <v>1</v>
      </c>
      <c r="K269" t="b">
        <f>ISNUMBER(_xlfn.XMATCH(tbldeptemp[[#This Row],[DependencyID]],tblTargets[TargetID]))</f>
        <v>1</v>
      </c>
      <c r="L269" t="str">
        <f>IF(tbldeptemp[[#This Row],[ValidTarget]]=FALSE,"BAD TARGET",IF(tbldeptemp[[#This Row],[ValidDependency]]=FALSE,"BAD DEPENDENCY",""))</f>
        <v/>
      </c>
    </row>
    <row r="270" spans="1:12">
      <c r="A270" t="s">
        <v>2094</v>
      </c>
      <c r="B270" t="s">
        <v>3156</v>
      </c>
      <c r="C270" t="s">
        <v>2264</v>
      </c>
      <c r="D270" t="s">
        <v>1309</v>
      </c>
      <c r="E270" t="s">
        <v>3518</v>
      </c>
      <c r="F270" t="b">
        <v>1</v>
      </c>
      <c r="G270" t="s">
        <v>2947</v>
      </c>
      <c r="H270" t="s">
        <v>2264</v>
      </c>
      <c r="I270" t="s">
        <v>2689</v>
      </c>
      <c r="J270" t="b">
        <v>1</v>
      </c>
      <c r="K270" t="b">
        <f>ISNUMBER(_xlfn.XMATCH(tbldeptemp[[#This Row],[DependencyID]],tblTargets[TargetID]))</f>
        <v>1</v>
      </c>
      <c r="L270" t="str">
        <f>IF(tbldeptemp[[#This Row],[ValidTarget]]=FALSE,"BAD TARGET",IF(tbldeptemp[[#This Row],[ValidDependency]]=FALSE,"BAD DEPENDENCY",""))</f>
        <v/>
      </c>
    </row>
    <row r="271" spans="1:12">
      <c r="A271" t="s">
        <v>2094</v>
      </c>
      <c r="B271" t="s">
        <v>3157</v>
      </c>
      <c r="C271" t="s">
        <v>2252</v>
      </c>
      <c r="D271" t="s">
        <v>1309</v>
      </c>
      <c r="E271" t="s">
        <v>3518</v>
      </c>
      <c r="F271" t="b">
        <v>1</v>
      </c>
      <c r="G271" t="s">
        <v>2946</v>
      </c>
      <c r="H271" t="s">
        <v>2252</v>
      </c>
      <c r="I271" t="s">
        <v>2689</v>
      </c>
      <c r="J271" t="b">
        <v>1</v>
      </c>
      <c r="K271" t="b">
        <f>ISNUMBER(_xlfn.XMATCH(tbldeptemp[[#This Row],[DependencyID]],tblTargets[TargetID]))</f>
        <v>1</v>
      </c>
      <c r="L271" t="str">
        <f>IF(tbldeptemp[[#This Row],[ValidTarget]]=FALSE,"BAD TARGET",IF(tbldeptemp[[#This Row],[ValidDependency]]=FALSE,"BAD DEPENDENCY",""))</f>
        <v/>
      </c>
    </row>
    <row r="272" spans="1:12">
      <c r="A272" t="s">
        <v>2094</v>
      </c>
      <c r="B272" t="s">
        <v>3171</v>
      </c>
      <c r="C272" t="s">
        <v>2276</v>
      </c>
      <c r="D272" t="s">
        <v>1309</v>
      </c>
      <c r="E272" t="s">
        <v>3518</v>
      </c>
      <c r="F272" t="b">
        <v>1</v>
      </c>
      <c r="G272" t="s">
        <v>2946</v>
      </c>
      <c r="H272" t="s">
        <v>2276</v>
      </c>
      <c r="I272" t="s">
        <v>2689</v>
      </c>
      <c r="J272" t="b">
        <v>1</v>
      </c>
      <c r="K272" t="b">
        <f>ISNUMBER(_xlfn.XMATCH(tbldeptemp[[#This Row],[DependencyID]],tblTargets[TargetID]))</f>
        <v>1</v>
      </c>
      <c r="L272" t="str">
        <f>IF(tbldeptemp[[#This Row],[ValidTarget]]=FALSE,"BAD TARGET",IF(tbldeptemp[[#This Row],[ValidDependency]]=FALSE,"BAD DEPENDENCY",""))</f>
        <v/>
      </c>
    </row>
    <row r="273" spans="1:12">
      <c r="A273" t="s">
        <v>2094</v>
      </c>
      <c r="B273" t="s">
        <v>3158</v>
      </c>
      <c r="C273" t="s">
        <v>2274</v>
      </c>
      <c r="D273" t="s">
        <v>1309</v>
      </c>
      <c r="E273" t="s">
        <v>3518</v>
      </c>
      <c r="F273" t="b">
        <v>1</v>
      </c>
      <c r="G273" t="s">
        <v>2947</v>
      </c>
      <c r="H273" t="s">
        <v>2274</v>
      </c>
      <c r="I273" t="s">
        <v>2689</v>
      </c>
      <c r="J273" t="b">
        <v>1</v>
      </c>
      <c r="K273" t="b">
        <f>ISNUMBER(_xlfn.XMATCH(tbldeptemp[[#This Row],[DependencyID]],tblTargets[TargetID]))</f>
        <v>1</v>
      </c>
      <c r="L273" t="str">
        <f>IF(tbldeptemp[[#This Row],[ValidTarget]]=FALSE,"BAD TARGET",IF(tbldeptemp[[#This Row],[ValidDependency]]=FALSE,"BAD DEPENDENCY",""))</f>
        <v/>
      </c>
    </row>
    <row r="274" spans="1:12">
      <c r="A274" t="s">
        <v>2092</v>
      </c>
      <c r="B274" t="s">
        <v>2827</v>
      </c>
      <c r="C274" t="s">
        <v>159</v>
      </c>
      <c r="D274" t="s">
        <v>649</v>
      </c>
      <c r="E274" t="s">
        <v>649</v>
      </c>
      <c r="F274" t="b">
        <v>1</v>
      </c>
      <c r="G274" t="s">
        <v>2946</v>
      </c>
      <c r="H274" t="s">
        <v>159</v>
      </c>
      <c r="I274" t="s">
        <v>157</v>
      </c>
      <c r="J274" t="b">
        <v>1</v>
      </c>
      <c r="K274" t="b">
        <f>ISNUMBER(_xlfn.XMATCH(tbldeptemp[[#This Row],[DependencyID]],tblTargets[TargetID]))</f>
        <v>1</v>
      </c>
      <c r="L274" t="str">
        <f>IF(tbldeptemp[[#This Row],[ValidTarget]]=FALSE,"BAD TARGET",IF(tbldeptemp[[#This Row],[ValidDependency]]=FALSE,"BAD DEPENDENCY",""))</f>
        <v/>
      </c>
    </row>
    <row r="275" spans="1:12">
      <c r="A275" t="s">
        <v>2092</v>
      </c>
      <c r="B275" t="s">
        <v>2828</v>
      </c>
      <c r="C275" t="s">
        <v>160</v>
      </c>
      <c r="D275" t="s">
        <v>650</v>
      </c>
      <c r="E275" t="s">
        <v>650</v>
      </c>
      <c r="F275" t="b">
        <v>1</v>
      </c>
      <c r="G275" t="s">
        <v>2946</v>
      </c>
      <c r="H275" t="s">
        <v>160</v>
      </c>
      <c r="I275" t="s">
        <v>159</v>
      </c>
      <c r="J275" t="b">
        <v>1</v>
      </c>
      <c r="K275" t="b">
        <f>ISNUMBER(_xlfn.XMATCH(tbldeptemp[[#This Row],[DependencyID]],tblTargets[TargetID]))</f>
        <v>1</v>
      </c>
      <c r="L275" t="str">
        <f>IF(tbldeptemp[[#This Row],[ValidTarget]]=FALSE,"BAD TARGET",IF(tbldeptemp[[#This Row],[ValidDependency]]=FALSE,"BAD DEPENDENCY",""))</f>
        <v/>
      </c>
    </row>
    <row r="276" spans="1:12">
      <c r="A276" t="s">
        <v>2092</v>
      </c>
      <c r="B276" t="s">
        <v>2829</v>
      </c>
      <c r="C276" t="s">
        <v>161</v>
      </c>
      <c r="D276" t="s">
        <v>651</v>
      </c>
      <c r="E276" t="s">
        <v>651</v>
      </c>
      <c r="F276" t="b">
        <v>1</v>
      </c>
      <c r="G276" t="s">
        <v>2946</v>
      </c>
      <c r="H276" t="s">
        <v>161</v>
      </c>
      <c r="I276" t="s">
        <v>160</v>
      </c>
      <c r="J276" t="b">
        <v>1</v>
      </c>
      <c r="K276" t="b">
        <f>ISNUMBER(_xlfn.XMATCH(tbldeptemp[[#This Row],[DependencyID]],tblTargets[TargetID]))</f>
        <v>1</v>
      </c>
      <c r="L276" t="str">
        <f>IF(tbldeptemp[[#This Row],[ValidTarget]]=FALSE,"BAD TARGET",IF(tbldeptemp[[#This Row],[ValidDependency]]=FALSE,"BAD DEPENDENCY",""))</f>
        <v/>
      </c>
    </row>
    <row r="277" spans="1:12">
      <c r="A277" t="s">
        <v>2092</v>
      </c>
      <c r="B277" t="s">
        <v>2830</v>
      </c>
      <c r="C277" t="s">
        <v>162</v>
      </c>
      <c r="D277" t="s">
        <v>652</v>
      </c>
      <c r="E277" t="s">
        <v>652</v>
      </c>
      <c r="F277" t="b">
        <v>1</v>
      </c>
      <c r="G277" t="s">
        <v>2946</v>
      </c>
      <c r="H277" t="s">
        <v>162</v>
      </c>
      <c r="I277" t="s">
        <v>161</v>
      </c>
      <c r="J277" t="b">
        <v>1</v>
      </c>
      <c r="K277" t="b">
        <f>ISNUMBER(_xlfn.XMATCH(tbldeptemp[[#This Row],[DependencyID]],tblTargets[TargetID]))</f>
        <v>1</v>
      </c>
      <c r="L277" t="str">
        <f>IF(tbldeptemp[[#This Row],[ValidTarget]]=FALSE,"BAD TARGET",IF(tbldeptemp[[#This Row],[ValidDependency]]=FALSE,"BAD DEPENDENCY",""))</f>
        <v/>
      </c>
    </row>
    <row r="278" spans="1:12">
      <c r="A278" t="s">
        <v>2651</v>
      </c>
      <c r="B278" t="s">
        <v>3056</v>
      </c>
      <c r="C278" t="s">
        <v>2652</v>
      </c>
      <c r="D278" t="s">
        <v>2843</v>
      </c>
      <c r="E278" t="s">
        <v>3421</v>
      </c>
      <c r="F278" t="b">
        <v>1</v>
      </c>
      <c r="G278" t="s">
        <v>2947</v>
      </c>
      <c r="H278" t="s">
        <v>2652</v>
      </c>
      <c r="I278" t="s">
        <v>162</v>
      </c>
      <c r="J278" t="b">
        <v>1</v>
      </c>
      <c r="K278" t="b">
        <f>ISNUMBER(_xlfn.XMATCH(tbldeptemp[[#This Row],[DependencyID]],tblTargets[TargetID]))</f>
        <v>1</v>
      </c>
      <c r="L278" t="str">
        <f>IF(tbldeptemp[[#This Row],[ValidTarget]]=FALSE,"BAD TARGET",IF(tbldeptemp[[#This Row],[ValidDependency]]=FALSE,"BAD DEPENDENCY",""))</f>
        <v/>
      </c>
    </row>
    <row r="279" spans="1:12">
      <c r="A279" t="s">
        <v>2651</v>
      </c>
      <c r="B279" t="s">
        <v>3057</v>
      </c>
      <c r="C279" t="s">
        <v>2653</v>
      </c>
      <c r="D279" t="s">
        <v>2843</v>
      </c>
      <c r="E279" t="s">
        <v>3421</v>
      </c>
      <c r="F279" t="b">
        <v>1</v>
      </c>
      <c r="G279" t="s">
        <v>2947</v>
      </c>
      <c r="H279" t="s">
        <v>2653</v>
      </c>
      <c r="I279" t="s">
        <v>162</v>
      </c>
      <c r="J279" t="b">
        <v>1</v>
      </c>
      <c r="K279" t="b">
        <f>ISNUMBER(_xlfn.XMATCH(tbldeptemp[[#This Row],[DependencyID]],tblTargets[TargetID]))</f>
        <v>1</v>
      </c>
      <c r="L279" t="str">
        <f>IF(tbldeptemp[[#This Row],[ValidTarget]]=FALSE,"BAD TARGET",IF(tbldeptemp[[#This Row],[ValidDependency]]=FALSE,"BAD DEPENDENCY",""))</f>
        <v/>
      </c>
    </row>
    <row r="280" spans="1:12">
      <c r="A280" t="s">
        <v>2651</v>
      </c>
      <c r="B280" t="s">
        <v>3069</v>
      </c>
      <c r="C280" t="s">
        <v>2665</v>
      </c>
      <c r="D280" t="s">
        <v>2843</v>
      </c>
      <c r="E280" t="s">
        <v>3421</v>
      </c>
      <c r="F280" t="b">
        <v>1</v>
      </c>
      <c r="G280" t="s">
        <v>2947</v>
      </c>
      <c r="H280" t="s">
        <v>2665</v>
      </c>
      <c r="I280" t="s">
        <v>162</v>
      </c>
      <c r="J280" t="b">
        <v>1</v>
      </c>
      <c r="K280" t="b">
        <f>ISNUMBER(_xlfn.XMATCH(tbldeptemp[[#This Row],[DependencyID]],tblTargets[TargetID]))</f>
        <v>1</v>
      </c>
      <c r="L280" t="str">
        <f>IF(tbldeptemp[[#This Row],[ValidTarget]]=FALSE,"BAD TARGET",IF(tbldeptemp[[#This Row],[ValidDependency]]=FALSE,"BAD DEPENDENCY",""))</f>
        <v/>
      </c>
    </row>
    <row r="281" spans="1:12">
      <c r="A281" t="s">
        <v>2651</v>
      </c>
      <c r="B281" t="s">
        <v>3070</v>
      </c>
      <c r="C281" t="s">
        <v>2666</v>
      </c>
      <c r="D281" t="s">
        <v>2843</v>
      </c>
      <c r="E281" t="s">
        <v>3421</v>
      </c>
      <c r="F281" t="b">
        <v>1</v>
      </c>
      <c r="G281" t="s">
        <v>2947</v>
      </c>
      <c r="H281" t="s">
        <v>2666</v>
      </c>
      <c r="I281" t="s">
        <v>162</v>
      </c>
      <c r="J281" t="b">
        <v>1</v>
      </c>
      <c r="K281" t="b">
        <f>ISNUMBER(_xlfn.XMATCH(tbldeptemp[[#This Row],[DependencyID]],tblTargets[TargetID]))</f>
        <v>1</v>
      </c>
      <c r="L281" t="str">
        <f>IF(tbldeptemp[[#This Row],[ValidTarget]]=FALSE,"BAD TARGET",IF(tbldeptemp[[#This Row],[ValidDependency]]=FALSE,"BAD DEPENDENCY",""))</f>
        <v/>
      </c>
    </row>
    <row r="282" spans="1:12">
      <c r="A282" t="s">
        <v>2651</v>
      </c>
      <c r="B282" t="s">
        <v>3071</v>
      </c>
      <c r="C282" t="s">
        <v>2667</v>
      </c>
      <c r="D282" t="s">
        <v>2843</v>
      </c>
      <c r="E282" t="s">
        <v>3421</v>
      </c>
      <c r="F282" t="b">
        <v>1</v>
      </c>
      <c r="G282" t="s">
        <v>2947</v>
      </c>
      <c r="H282" t="s">
        <v>2667</v>
      </c>
      <c r="I282" t="s">
        <v>162</v>
      </c>
      <c r="J282" t="b">
        <v>1</v>
      </c>
      <c r="K282" t="b">
        <f>ISNUMBER(_xlfn.XMATCH(tbldeptemp[[#This Row],[DependencyID]],tblTargets[TargetID]))</f>
        <v>1</v>
      </c>
      <c r="L282" t="str">
        <f>IF(tbldeptemp[[#This Row],[ValidTarget]]=FALSE,"BAD TARGET",IF(tbldeptemp[[#This Row],[ValidDependency]]=FALSE,"BAD DEPENDENCY",""))</f>
        <v/>
      </c>
    </row>
    <row r="283" spans="1:12">
      <c r="A283" t="s">
        <v>2651</v>
      </c>
      <c r="B283" t="s">
        <v>3072</v>
      </c>
      <c r="C283" t="s">
        <v>2668</v>
      </c>
      <c r="D283" t="s">
        <v>2843</v>
      </c>
      <c r="E283" t="s">
        <v>3421</v>
      </c>
      <c r="F283" t="b">
        <v>1</v>
      </c>
      <c r="G283" t="s">
        <v>2947</v>
      </c>
      <c r="H283" t="s">
        <v>2668</v>
      </c>
      <c r="I283" t="s">
        <v>162</v>
      </c>
      <c r="J283" t="b">
        <v>1</v>
      </c>
      <c r="K283" t="b">
        <f>ISNUMBER(_xlfn.XMATCH(tbldeptemp[[#This Row],[DependencyID]],tblTargets[TargetID]))</f>
        <v>1</v>
      </c>
      <c r="L283" t="str">
        <f>IF(tbldeptemp[[#This Row],[ValidTarget]]=FALSE,"BAD TARGET",IF(tbldeptemp[[#This Row],[ValidDependency]]=FALSE,"BAD DEPENDENCY",""))</f>
        <v/>
      </c>
    </row>
    <row r="284" spans="1:12">
      <c r="A284" t="s">
        <v>2092</v>
      </c>
      <c r="B284" t="s">
        <v>3294</v>
      </c>
      <c r="C284" t="s">
        <v>2689</v>
      </c>
      <c r="E284" t="e">
        <v>#N/A</v>
      </c>
      <c r="H284" t="s">
        <v>2689</v>
      </c>
      <c r="I284" t="s">
        <v>162</v>
      </c>
      <c r="J284" t="b">
        <v>1</v>
      </c>
      <c r="K284" t="b">
        <f>ISNUMBER(_xlfn.XMATCH(tbldeptemp[[#This Row],[DependencyID]],tblTargets[TargetID]))</f>
        <v>1</v>
      </c>
      <c r="L284" t="str">
        <f>IF(tbldeptemp[[#This Row],[ValidTarget]]=FALSE,"BAD TARGET",IF(tbldeptemp[[#This Row],[ValidDependency]]=FALSE,"BAD DEPENDENCY",""))</f>
        <v/>
      </c>
    </row>
    <row r="285" spans="1:12">
      <c r="A285" t="s">
        <v>2578</v>
      </c>
      <c r="B285" t="s">
        <v>2983</v>
      </c>
      <c r="C285" t="s">
        <v>2577</v>
      </c>
      <c r="D285" t="s">
        <v>1769</v>
      </c>
      <c r="E285" t="s">
        <v>3359</v>
      </c>
      <c r="F285" t="b">
        <v>0</v>
      </c>
      <c r="G285" t="s">
        <v>2946</v>
      </c>
      <c r="H285" t="s">
        <v>2577</v>
      </c>
      <c r="I285" t="s">
        <v>2562</v>
      </c>
      <c r="J285" t="b">
        <v>1</v>
      </c>
      <c r="K285" t="b">
        <f>ISNUMBER(_xlfn.XMATCH(tbldeptemp[[#This Row],[DependencyID]],tblTargets[TargetID]))</f>
        <v>1</v>
      </c>
      <c r="L285" t="str">
        <f>IF(tbldeptemp[[#This Row],[ValidTarget]]=FALSE,"BAD TARGET",IF(tbldeptemp[[#This Row],[ValidDependency]]=FALSE,"BAD DEPENDENCY",""))</f>
        <v/>
      </c>
    </row>
    <row r="286" spans="1:12">
      <c r="A286" t="s">
        <v>2578</v>
      </c>
      <c r="B286" t="s">
        <v>2984</v>
      </c>
      <c r="C286" t="s">
        <v>2579</v>
      </c>
      <c r="D286" t="s">
        <v>1769</v>
      </c>
      <c r="E286" t="s">
        <v>3359</v>
      </c>
      <c r="F286" t="b">
        <v>0</v>
      </c>
      <c r="G286" t="s">
        <v>2947</v>
      </c>
      <c r="H286" t="s">
        <v>2579</v>
      </c>
      <c r="I286" t="s">
        <v>2562</v>
      </c>
      <c r="J286" t="b">
        <v>1</v>
      </c>
      <c r="K286" t="b">
        <f>ISNUMBER(_xlfn.XMATCH(tbldeptemp[[#This Row],[DependencyID]],tblTargets[TargetID]))</f>
        <v>1</v>
      </c>
      <c r="L286" t="str">
        <f>IF(tbldeptemp[[#This Row],[ValidTarget]]=FALSE,"BAD TARGET",IF(tbldeptemp[[#This Row],[ValidDependency]]=FALSE,"BAD DEPENDENCY",""))</f>
        <v/>
      </c>
    </row>
    <row r="287" spans="1:12">
      <c r="A287" t="s">
        <v>2578</v>
      </c>
      <c r="B287" t="s">
        <v>2985</v>
      </c>
      <c r="C287" t="s">
        <v>2580</v>
      </c>
      <c r="D287" t="s">
        <v>1769</v>
      </c>
      <c r="E287" t="s">
        <v>3359</v>
      </c>
      <c r="F287" t="b">
        <v>0</v>
      </c>
      <c r="G287" t="s">
        <v>2947</v>
      </c>
      <c r="H287" t="s">
        <v>2580</v>
      </c>
      <c r="I287" t="s">
        <v>2562</v>
      </c>
      <c r="J287" t="b">
        <v>1</v>
      </c>
      <c r="K287" t="b">
        <f>ISNUMBER(_xlfn.XMATCH(tbldeptemp[[#This Row],[DependencyID]],tblTargets[TargetID]))</f>
        <v>1</v>
      </c>
      <c r="L287" t="str">
        <f>IF(tbldeptemp[[#This Row],[ValidTarget]]=FALSE,"BAD TARGET",IF(tbldeptemp[[#This Row],[ValidDependency]]=FALSE,"BAD DEPENDENCY",""))</f>
        <v/>
      </c>
    </row>
    <row r="288" spans="1:12">
      <c r="A288" t="s">
        <v>2578</v>
      </c>
      <c r="B288" t="s">
        <v>2986</v>
      </c>
      <c r="C288" t="s">
        <v>2581</v>
      </c>
      <c r="D288" t="s">
        <v>1769</v>
      </c>
      <c r="E288" t="s">
        <v>3359</v>
      </c>
      <c r="F288" t="b">
        <v>0</v>
      </c>
      <c r="G288" t="s">
        <v>2947</v>
      </c>
      <c r="H288" t="s">
        <v>2581</v>
      </c>
      <c r="I288" t="s">
        <v>2562</v>
      </c>
      <c r="J288" t="b">
        <v>1</v>
      </c>
      <c r="K288" t="b">
        <f>ISNUMBER(_xlfn.XMATCH(tbldeptemp[[#This Row],[DependencyID]],tblTargets[TargetID]))</f>
        <v>1</v>
      </c>
      <c r="L288" t="str">
        <f>IF(tbldeptemp[[#This Row],[ValidTarget]]=FALSE,"BAD TARGET",IF(tbldeptemp[[#This Row],[ValidDependency]]=FALSE,"BAD DEPENDENCY",""))</f>
        <v/>
      </c>
    </row>
    <row r="289" spans="1:12">
      <c r="A289" t="s">
        <v>2578</v>
      </c>
      <c r="B289" t="s">
        <v>2987</v>
      </c>
      <c r="C289" t="s">
        <v>2582</v>
      </c>
      <c r="D289" t="s">
        <v>1771</v>
      </c>
      <c r="E289" t="s">
        <v>3362</v>
      </c>
      <c r="F289" t="b">
        <v>1</v>
      </c>
      <c r="G289" t="s">
        <v>2946</v>
      </c>
      <c r="H289" t="s">
        <v>2582</v>
      </c>
      <c r="I289" t="s">
        <v>2564</v>
      </c>
      <c r="J289" t="b">
        <v>1</v>
      </c>
      <c r="K289" t="b">
        <f>ISNUMBER(_xlfn.XMATCH(tbldeptemp[[#This Row],[DependencyID]],tblTargets[TargetID]))</f>
        <v>1</v>
      </c>
      <c r="L289" t="str">
        <f>IF(tbldeptemp[[#This Row],[ValidTarget]]=FALSE,"BAD TARGET",IF(tbldeptemp[[#This Row],[ValidDependency]]=FALSE,"BAD DEPENDENCY",""))</f>
        <v/>
      </c>
    </row>
    <row r="290" spans="1:12">
      <c r="A290" t="s">
        <v>2578</v>
      </c>
      <c r="B290" t="s">
        <v>2988</v>
      </c>
      <c r="C290" t="s">
        <v>2583</v>
      </c>
      <c r="D290" t="s">
        <v>1771</v>
      </c>
      <c r="E290" t="s">
        <v>3362</v>
      </c>
      <c r="F290" t="b">
        <v>1</v>
      </c>
      <c r="G290" t="s">
        <v>2947</v>
      </c>
      <c r="H290" t="s">
        <v>2583</v>
      </c>
      <c r="I290" t="s">
        <v>2564</v>
      </c>
      <c r="J290" t="b">
        <v>1</v>
      </c>
      <c r="K290" t="b">
        <f>ISNUMBER(_xlfn.XMATCH(tbldeptemp[[#This Row],[DependencyID]],tblTargets[TargetID]))</f>
        <v>1</v>
      </c>
      <c r="L290" t="str">
        <f>IF(tbldeptemp[[#This Row],[ValidTarget]]=FALSE,"BAD TARGET",IF(tbldeptemp[[#This Row],[ValidDependency]]=FALSE,"BAD DEPENDENCY",""))</f>
        <v/>
      </c>
    </row>
    <row r="291" spans="1:12">
      <c r="A291" t="s">
        <v>2578</v>
      </c>
      <c r="B291" t="s">
        <v>2989</v>
      </c>
      <c r="C291" t="s">
        <v>2584</v>
      </c>
      <c r="D291" t="s">
        <v>1771</v>
      </c>
      <c r="E291" t="s">
        <v>3362</v>
      </c>
      <c r="F291" t="b">
        <v>1</v>
      </c>
      <c r="G291" t="s">
        <v>2947</v>
      </c>
      <c r="H291" t="s">
        <v>2584</v>
      </c>
      <c r="I291" t="s">
        <v>2564</v>
      </c>
      <c r="J291" t="b">
        <v>1</v>
      </c>
      <c r="K291" t="b">
        <f>ISNUMBER(_xlfn.XMATCH(tbldeptemp[[#This Row],[DependencyID]],tblTargets[TargetID]))</f>
        <v>1</v>
      </c>
      <c r="L291" t="str">
        <f>IF(tbldeptemp[[#This Row],[ValidTarget]]=FALSE,"BAD TARGET",IF(tbldeptemp[[#This Row],[ValidDependency]]=FALSE,"BAD DEPENDENCY",""))</f>
        <v/>
      </c>
    </row>
    <row r="292" spans="1:12">
      <c r="A292" t="s">
        <v>2578</v>
      </c>
      <c r="B292" t="s">
        <v>2990</v>
      </c>
      <c r="C292" t="s">
        <v>2585</v>
      </c>
      <c r="D292" t="s">
        <v>1771</v>
      </c>
      <c r="E292" t="s">
        <v>3362</v>
      </c>
      <c r="F292" t="b">
        <v>1</v>
      </c>
      <c r="G292" t="s">
        <v>2947</v>
      </c>
      <c r="H292" t="s">
        <v>2585</v>
      </c>
      <c r="I292" t="s">
        <v>2564</v>
      </c>
      <c r="J292" t="b">
        <v>1</v>
      </c>
      <c r="K292" t="b">
        <f>ISNUMBER(_xlfn.XMATCH(tbldeptemp[[#This Row],[DependencyID]],tblTargets[TargetID]))</f>
        <v>1</v>
      </c>
      <c r="L292" t="str">
        <f>IF(tbldeptemp[[#This Row],[ValidTarget]]=FALSE,"BAD TARGET",IF(tbldeptemp[[#This Row],[ValidDependency]]=FALSE,"BAD DEPENDENCY",""))</f>
        <v/>
      </c>
    </row>
    <row r="293" spans="1:12">
      <c r="A293" t="s">
        <v>2578</v>
      </c>
      <c r="B293" t="s">
        <v>2991</v>
      </c>
      <c r="C293" t="s">
        <v>2586</v>
      </c>
      <c r="D293" t="s">
        <v>1771</v>
      </c>
      <c r="E293" t="s">
        <v>3362</v>
      </c>
      <c r="F293" t="b">
        <v>1</v>
      </c>
      <c r="G293" t="s">
        <v>2947</v>
      </c>
      <c r="H293" t="s">
        <v>2586</v>
      </c>
      <c r="I293" t="s">
        <v>2564</v>
      </c>
      <c r="J293" t="b">
        <v>1</v>
      </c>
      <c r="K293" t="b">
        <f>ISNUMBER(_xlfn.XMATCH(tbldeptemp[[#This Row],[DependencyID]],tblTargets[TargetID]))</f>
        <v>1</v>
      </c>
      <c r="L293" t="str">
        <f>IF(tbldeptemp[[#This Row],[ValidTarget]]=FALSE,"BAD TARGET",IF(tbldeptemp[[#This Row],[ValidDependency]]=FALSE,"BAD DEPENDENCY",""))</f>
        <v/>
      </c>
    </row>
    <row r="294" spans="1:12">
      <c r="A294" t="s">
        <v>2578</v>
      </c>
      <c r="B294" t="s">
        <v>2992</v>
      </c>
      <c r="C294" t="s">
        <v>2587</v>
      </c>
      <c r="D294" t="s">
        <v>2839</v>
      </c>
      <c r="E294" t="s">
        <v>3367</v>
      </c>
      <c r="F294" t="b">
        <v>1</v>
      </c>
      <c r="G294" t="s">
        <v>2947</v>
      </c>
      <c r="H294" t="s">
        <v>2587</v>
      </c>
      <c r="I294" t="s">
        <v>2566</v>
      </c>
      <c r="J294" t="b">
        <v>1</v>
      </c>
      <c r="K294" t="b">
        <f>ISNUMBER(_xlfn.XMATCH(tbldeptemp[[#This Row],[DependencyID]],tblTargets[TargetID]))</f>
        <v>1</v>
      </c>
      <c r="L294" t="str">
        <f>IF(tbldeptemp[[#This Row],[ValidTarget]]=FALSE,"BAD TARGET",IF(tbldeptemp[[#This Row],[ValidDependency]]=FALSE,"BAD DEPENDENCY",""))</f>
        <v/>
      </c>
    </row>
    <row r="295" spans="1:12">
      <c r="A295" t="s">
        <v>2578</v>
      </c>
      <c r="B295" t="s">
        <v>2993</v>
      </c>
      <c r="C295" t="s">
        <v>2588</v>
      </c>
      <c r="D295" t="s">
        <v>2839</v>
      </c>
      <c r="E295" t="s">
        <v>3367</v>
      </c>
      <c r="F295" t="b">
        <v>1</v>
      </c>
      <c r="G295" t="s">
        <v>2947</v>
      </c>
      <c r="H295" t="s">
        <v>2588</v>
      </c>
      <c r="I295" t="s">
        <v>2566</v>
      </c>
      <c r="J295" t="b">
        <v>1</v>
      </c>
      <c r="K295" t="b">
        <f>ISNUMBER(_xlfn.XMATCH(tbldeptemp[[#This Row],[DependencyID]],tblTargets[TargetID]))</f>
        <v>1</v>
      </c>
      <c r="L295" t="str">
        <f>IF(tbldeptemp[[#This Row],[ValidTarget]]=FALSE,"BAD TARGET",IF(tbldeptemp[[#This Row],[ValidDependency]]=FALSE,"BAD DEPENDENCY",""))</f>
        <v/>
      </c>
    </row>
    <row r="296" spans="1:12">
      <c r="A296" t="s">
        <v>2578</v>
      </c>
      <c r="B296" t="s">
        <v>2994</v>
      </c>
      <c r="C296" t="s">
        <v>2589</v>
      </c>
      <c r="D296" t="s">
        <v>2839</v>
      </c>
      <c r="E296" t="s">
        <v>3367</v>
      </c>
      <c r="F296" t="b">
        <v>1</v>
      </c>
      <c r="G296" t="s">
        <v>2947</v>
      </c>
      <c r="H296" t="s">
        <v>2589</v>
      </c>
      <c r="I296" t="s">
        <v>2566</v>
      </c>
      <c r="J296" t="b">
        <v>1</v>
      </c>
      <c r="K296" t="b">
        <f>ISNUMBER(_xlfn.XMATCH(tbldeptemp[[#This Row],[DependencyID]],tblTargets[TargetID]))</f>
        <v>1</v>
      </c>
      <c r="L296" t="str">
        <f>IF(tbldeptemp[[#This Row],[ValidTarget]]=FALSE,"BAD TARGET",IF(tbldeptemp[[#This Row],[ValidDependency]]=FALSE,"BAD DEPENDENCY",""))</f>
        <v/>
      </c>
    </row>
    <row r="297" spans="1:12">
      <c r="A297" t="s">
        <v>2578</v>
      </c>
      <c r="B297" t="s">
        <v>2995</v>
      </c>
      <c r="C297" t="s">
        <v>2590</v>
      </c>
      <c r="D297" t="s">
        <v>1773</v>
      </c>
      <c r="E297" t="s">
        <v>3369</v>
      </c>
      <c r="F297" t="b">
        <v>0</v>
      </c>
      <c r="G297" t="s">
        <v>2946</v>
      </c>
      <c r="H297" t="s">
        <v>2590</v>
      </c>
      <c r="I297" t="s">
        <v>2567</v>
      </c>
      <c r="J297" t="b">
        <v>1</v>
      </c>
      <c r="K297" t="b">
        <f>ISNUMBER(_xlfn.XMATCH(tbldeptemp[[#This Row],[DependencyID]],tblTargets[TargetID]))</f>
        <v>1</v>
      </c>
      <c r="L297" t="str">
        <f>IF(tbldeptemp[[#This Row],[ValidTarget]]=FALSE,"BAD TARGET",IF(tbldeptemp[[#This Row],[ValidDependency]]=FALSE,"BAD DEPENDENCY",""))</f>
        <v/>
      </c>
    </row>
    <row r="298" spans="1:12">
      <c r="A298" t="s">
        <v>2578</v>
      </c>
      <c r="B298" t="s">
        <v>2996</v>
      </c>
      <c r="C298" t="s">
        <v>2591</v>
      </c>
      <c r="D298" t="s">
        <v>1773</v>
      </c>
      <c r="E298" t="s">
        <v>3369</v>
      </c>
      <c r="F298" t="b">
        <v>0</v>
      </c>
      <c r="G298" t="s">
        <v>2947</v>
      </c>
      <c r="H298" t="s">
        <v>2591</v>
      </c>
      <c r="I298" t="s">
        <v>2567</v>
      </c>
      <c r="J298" t="b">
        <v>1</v>
      </c>
      <c r="K298" t="b">
        <f>ISNUMBER(_xlfn.XMATCH(tbldeptemp[[#This Row],[DependencyID]],tblTargets[TargetID]))</f>
        <v>1</v>
      </c>
      <c r="L298" t="str">
        <f>IF(tbldeptemp[[#This Row],[ValidTarget]]=FALSE,"BAD TARGET",IF(tbldeptemp[[#This Row],[ValidDependency]]=FALSE,"BAD DEPENDENCY",""))</f>
        <v/>
      </c>
    </row>
    <row r="299" spans="1:12">
      <c r="A299" t="s">
        <v>2578</v>
      </c>
      <c r="B299" t="s">
        <v>2997</v>
      </c>
      <c r="C299" t="s">
        <v>2592</v>
      </c>
      <c r="D299" t="s">
        <v>1773</v>
      </c>
      <c r="E299" t="s">
        <v>3369</v>
      </c>
      <c r="F299" t="b">
        <v>0</v>
      </c>
      <c r="G299" t="s">
        <v>2947</v>
      </c>
      <c r="H299" t="s">
        <v>2592</v>
      </c>
      <c r="I299" t="s">
        <v>2567</v>
      </c>
      <c r="J299" t="b">
        <v>1</v>
      </c>
      <c r="K299" t="b">
        <f>ISNUMBER(_xlfn.XMATCH(tbldeptemp[[#This Row],[DependencyID]],tblTargets[TargetID]))</f>
        <v>1</v>
      </c>
      <c r="L299" t="str">
        <f>IF(tbldeptemp[[#This Row],[ValidTarget]]=FALSE,"BAD TARGET",IF(tbldeptemp[[#This Row],[ValidDependency]]=FALSE,"BAD DEPENDENCY",""))</f>
        <v/>
      </c>
    </row>
    <row r="300" spans="1:12">
      <c r="A300" t="s">
        <v>2578</v>
      </c>
      <c r="B300" t="s">
        <v>2998</v>
      </c>
      <c r="C300" t="s">
        <v>2593</v>
      </c>
      <c r="D300" t="s">
        <v>1773</v>
      </c>
      <c r="E300" t="s">
        <v>3369</v>
      </c>
      <c r="F300" t="b">
        <v>0</v>
      </c>
      <c r="G300" t="s">
        <v>2947</v>
      </c>
      <c r="H300" t="s">
        <v>2593</v>
      </c>
      <c r="I300" t="s">
        <v>2567</v>
      </c>
      <c r="J300" t="b">
        <v>1</v>
      </c>
      <c r="K300" t="b">
        <f>ISNUMBER(_xlfn.XMATCH(tbldeptemp[[#This Row],[DependencyID]],tblTargets[TargetID]))</f>
        <v>1</v>
      </c>
      <c r="L300" t="str">
        <f>IF(tbldeptemp[[#This Row],[ValidTarget]]=FALSE,"BAD TARGET",IF(tbldeptemp[[#This Row],[ValidDependency]]=FALSE,"BAD DEPENDENCY",""))</f>
        <v/>
      </c>
    </row>
    <row r="301" spans="1:12">
      <c r="A301" t="s">
        <v>2578</v>
      </c>
      <c r="B301" t="s">
        <v>2999</v>
      </c>
      <c r="C301" t="s">
        <v>2594</v>
      </c>
      <c r="D301" t="s">
        <v>1773</v>
      </c>
      <c r="E301" t="s">
        <v>3369</v>
      </c>
      <c r="F301" t="b">
        <v>0</v>
      </c>
      <c r="G301" t="s">
        <v>2947</v>
      </c>
      <c r="H301" t="s">
        <v>2594</v>
      </c>
      <c r="I301" t="s">
        <v>2567</v>
      </c>
      <c r="J301" t="b">
        <v>1</v>
      </c>
      <c r="K301" t="b">
        <f>ISNUMBER(_xlfn.XMATCH(tbldeptemp[[#This Row],[DependencyID]],tblTargets[TargetID]))</f>
        <v>1</v>
      </c>
      <c r="L301" t="str">
        <f>IF(tbldeptemp[[#This Row],[ValidTarget]]=FALSE,"BAD TARGET",IF(tbldeptemp[[#This Row],[ValidDependency]]=FALSE,"BAD DEPENDENCY",""))</f>
        <v/>
      </c>
    </row>
    <row r="302" spans="1:12">
      <c r="A302" t="s">
        <v>2578</v>
      </c>
      <c r="B302" t="s">
        <v>3000</v>
      </c>
      <c r="C302" t="s">
        <v>2595</v>
      </c>
      <c r="D302" t="s">
        <v>1773</v>
      </c>
      <c r="E302" t="s">
        <v>3369</v>
      </c>
      <c r="F302" t="b">
        <v>0</v>
      </c>
      <c r="G302" t="s">
        <v>2946</v>
      </c>
      <c r="H302" t="s">
        <v>2595</v>
      </c>
      <c r="I302" t="s">
        <v>2567</v>
      </c>
      <c r="J302" t="b">
        <v>1</v>
      </c>
      <c r="K302" t="b">
        <f>ISNUMBER(_xlfn.XMATCH(tbldeptemp[[#This Row],[DependencyID]],tblTargets[TargetID]))</f>
        <v>1</v>
      </c>
      <c r="L302" t="str">
        <f>IF(tbldeptemp[[#This Row],[ValidTarget]]=FALSE,"BAD TARGET",IF(tbldeptemp[[#This Row],[ValidDependency]]=FALSE,"BAD DEPENDENCY",""))</f>
        <v/>
      </c>
    </row>
    <row r="303" spans="1:12">
      <c r="A303" t="s">
        <v>2578</v>
      </c>
      <c r="B303" t="s">
        <v>3001</v>
      </c>
      <c r="C303" t="s">
        <v>2596</v>
      </c>
      <c r="D303" t="s">
        <v>1773</v>
      </c>
      <c r="E303" t="s">
        <v>3369</v>
      </c>
      <c r="F303" t="b">
        <v>0</v>
      </c>
      <c r="G303" t="s">
        <v>2947</v>
      </c>
      <c r="H303" t="s">
        <v>2596</v>
      </c>
      <c r="I303" t="s">
        <v>2567</v>
      </c>
      <c r="J303" t="b">
        <v>1</v>
      </c>
      <c r="K303" t="b">
        <f>ISNUMBER(_xlfn.XMATCH(tbldeptemp[[#This Row],[DependencyID]],tblTargets[TargetID]))</f>
        <v>1</v>
      </c>
      <c r="L303" t="str">
        <f>IF(tbldeptemp[[#This Row],[ValidTarget]]=FALSE,"BAD TARGET",IF(tbldeptemp[[#This Row],[ValidDependency]]=FALSE,"BAD DEPENDENCY",""))</f>
        <v/>
      </c>
    </row>
    <row r="304" spans="1:12">
      <c r="A304" t="s">
        <v>2578</v>
      </c>
      <c r="B304" t="s">
        <v>3002</v>
      </c>
      <c r="C304" t="s">
        <v>2597</v>
      </c>
      <c r="D304" t="s">
        <v>1773</v>
      </c>
      <c r="E304" t="s">
        <v>3369</v>
      </c>
      <c r="F304" t="b">
        <v>0</v>
      </c>
      <c r="G304" t="s">
        <v>2947</v>
      </c>
      <c r="H304" t="s">
        <v>2597</v>
      </c>
      <c r="I304" t="s">
        <v>2567</v>
      </c>
      <c r="J304" t="b">
        <v>1</v>
      </c>
      <c r="K304" t="b">
        <f>ISNUMBER(_xlfn.XMATCH(tbldeptemp[[#This Row],[DependencyID]],tblTargets[TargetID]))</f>
        <v>1</v>
      </c>
      <c r="L304" t="str">
        <f>IF(tbldeptemp[[#This Row],[ValidTarget]]=FALSE,"BAD TARGET",IF(tbldeptemp[[#This Row],[ValidDependency]]=FALSE,"BAD DEPENDENCY",""))</f>
        <v/>
      </c>
    </row>
    <row r="305" spans="1:12">
      <c r="A305" t="s">
        <v>2578</v>
      </c>
      <c r="B305" t="s">
        <v>3003</v>
      </c>
      <c r="C305" t="s">
        <v>2598</v>
      </c>
      <c r="D305" t="s">
        <v>1773</v>
      </c>
      <c r="E305" t="s">
        <v>3369</v>
      </c>
      <c r="F305" t="b">
        <v>0</v>
      </c>
      <c r="G305" t="s">
        <v>2947</v>
      </c>
      <c r="H305" t="s">
        <v>2598</v>
      </c>
      <c r="I305" t="s">
        <v>2567</v>
      </c>
      <c r="J305" t="b">
        <v>1</v>
      </c>
      <c r="K305" t="b">
        <f>ISNUMBER(_xlfn.XMATCH(tbldeptemp[[#This Row],[DependencyID]],tblTargets[TargetID]))</f>
        <v>1</v>
      </c>
      <c r="L305" t="str">
        <f>IF(tbldeptemp[[#This Row],[ValidTarget]]=FALSE,"BAD TARGET",IF(tbldeptemp[[#This Row],[ValidDependency]]=FALSE,"BAD DEPENDENCY",""))</f>
        <v/>
      </c>
    </row>
    <row r="306" spans="1:12">
      <c r="A306" t="s">
        <v>2578</v>
      </c>
      <c r="B306" t="s">
        <v>3004</v>
      </c>
      <c r="C306" t="s">
        <v>2599</v>
      </c>
      <c r="D306" t="s">
        <v>1773</v>
      </c>
      <c r="E306" t="s">
        <v>3369</v>
      </c>
      <c r="F306" t="b">
        <v>0</v>
      </c>
      <c r="G306" t="s">
        <v>2947</v>
      </c>
      <c r="H306" t="s">
        <v>2599</v>
      </c>
      <c r="I306" t="s">
        <v>2567</v>
      </c>
      <c r="J306" t="b">
        <v>1</v>
      </c>
      <c r="K306" t="b">
        <f>ISNUMBER(_xlfn.XMATCH(tbldeptemp[[#This Row],[DependencyID]],tblTargets[TargetID]))</f>
        <v>1</v>
      </c>
      <c r="L306" t="str">
        <f>IF(tbldeptemp[[#This Row],[ValidTarget]]=FALSE,"BAD TARGET",IF(tbldeptemp[[#This Row],[ValidDependency]]=FALSE,"BAD DEPENDENCY",""))</f>
        <v/>
      </c>
    </row>
    <row r="307" spans="1:12">
      <c r="A307" t="s">
        <v>2578</v>
      </c>
      <c r="B307" t="s">
        <v>3005</v>
      </c>
      <c r="C307" t="s">
        <v>2600</v>
      </c>
      <c r="D307" t="s">
        <v>1773</v>
      </c>
      <c r="E307" t="s">
        <v>3369</v>
      </c>
      <c r="F307" t="b">
        <v>0</v>
      </c>
      <c r="G307" t="s">
        <v>2947</v>
      </c>
      <c r="H307" t="s">
        <v>2600</v>
      </c>
      <c r="I307" t="s">
        <v>2567</v>
      </c>
      <c r="J307" t="b">
        <v>1</v>
      </c>
      <c r="K307" t="b">
        <f>ISNUMBER(_xlfn.XMATCH(tbldeptemp[[#This Row],[DependencyID]],tblTargets[TargetID]))</f>
        <v>1</v>
      </c>
      <c r="L307" t="str">
        <f>IF(tbldeptemp[[#This Row],[ValidTarget]]=FALSE,"BAD TARGET",IF(tbldeptemp[[#This Row],[ValidDependency]]=FALSE,"BAD DEPENDENCY",""))</f>
        <v/>
      </c>
    </row>
    <row r="308" spans="1:12">
      <c r="A308" t="s">
        <v>2578</v>
      </c>
      <c r="B308" t="s">
        <v>3006</v>
      </c>
      <c r="C308" t="s">
        <v>2601</v>
      </c>
      <c r="D308" t="s">
        <v>1773</v>
      </c>
      <c r="E308" t="s">
        <v>3369</v>
      </c>
      <c r="F308" t="b">
        <v>0</v>
      </c>
      <c r="G308" t="s">
        <v>2947</v>
      </c>
      <c r="H308" t="s">
        <v>2601</v>
      </c>
      <c r="I308" t="s">
        <v>2567</v>
      </c>
      <c r="J308" t="b">
        <v>1</v>
      </c>
      <c r="K308" t="b">
        <f>ISNUMBER(_xlfn.XMATCH(tbldeptemp[[#This Row],[DependencyID]],tblTargets[TargetID]))</f>
        <v>1</v>
      </c>
      <c r="L308" t="str">
        <f>IF(tbldeptemp[[#This Row],[ValidTarget]]=FALSE,"BAD TARGET",IF(tbldeptemp[[#This Row],[ValidDependency]]=FALSE,"BAD DEPENDENCY",""))</f>
        <v/>
      </c>
    </row>
    <row r="309" spans="1:12">
      <c r="A309" t="s">
        <v>2578</v>
      </c>
      <c r="B309" t="s">
        <v>3007</v>
      </c>
      <c r="C309" t="s">
        <v>2602</v>
      </c>
      <c r="D309" t="s">
        <v>1773</v>
      </c>
      <c r="E309" t="s">
        <v>3369</v>
      </c>
      <c r="F309" t="b">
        <v>0</v>
      </c>
      <c r="G309" t="s">
        <v>2947</v>
      </c>
      <c r="H309" t="s">
        <v>2602</v>
      </c>
      <c r="I309" t="s">
        <v>2567</v>
      </c>
      <c r="J309" t="b">
        <v>1</v>
      </c>
      <c r="K309" t="b">
        <f>ISNUMBER(_xlfn.XMATCH(tbldeptemp[[#This Row],[DependencyID]],tblTargets[TargetID]))</f>
        <v>1</v>
      </c>
      <c r="L309" t="str">
        <f>IF(tbldeptemp[[#This Row],[ValidTarget]]=FALSE,"BAD TARGET",IF(tbldeptemp[[#This Row],[ValidDependency]]=FALSE,"BAD DEPENDENCY",""))</f>
        <v/>
      </c>
    </row>
    <row r="310" spans="1:12">
      <c r="A310" t="s">
        <v>2578</v>
      </c>
      <c r="B310" t="s">
        <v>3008</v>
      </c>
      <c r="C310" t="s">
        <v>2603</v>
      </c>
      <c r="D310" t="s">
        <v>1773</v>
      </c>
      <c r="E310" t="s">
        <v>3369</v>
      </c>
      <c r="F310" t="b">
        <v>0</v>
      </c>
      <c r="G310" t="s">
        <v>2947</v>
      </c>
      <c r="H310" t="s">
        <v>2603</v>
      </c>
      <c r="I310" t="s">
        <v>2567</v>
      </c>
      <c r="J310" t="b">
        <v>1</v>
      </c>
      <c r="K310" t="b">
        <f>ISNUMBER(_xlfn.XMATCH(tbldeptemp[[#This Row],[DependencyID]],tblTargets[TargetID]))</f>
        <v>1</v>
      </c>
      <c r="L310" t="str">
        <f>IF(tbldeptemp[[#This Row],[ValidTarget]]=FALSE,"BAD TARGET",IF(tbldeptemp[[#This Row],[ValidDependency]]=FALSE,"BAD DEPENDENCY",""))</f>
        <v/>
      </c>
    </row>
    <row r="311" spans="1:12">
      <c r="A311" t="s">
        <v>2578</v>
      </c>
      <c r="B311" t="s">
        <v>3009</v>
      </c>
      <c r="C311" t="s">
        <v>2604</v>
      </c>
      <c r="D311" t="s">
        <v>1773</v>
      </c>
      <c r="E311" t="s">
        <v>3369</v>
      </c>
      <c r="F311" t="b">
        <v>0</v>
      </c>
      <c r="G311" t="s">
        <v>2947</v>
      </c>
      <c r="H311" t="s">
        <v>2604</v>
      </c>
      <c r="I311" t="s">
        <v>2567</v>
      </c>
      <c r="J311" t="b">
        <v>1</v>
      </c>
      <c r="K311" t="b">
        <f>ISNUMBER(_xlfn.XMATCH(tbldeptemp[[#This Row],[DependencyID]],tblTargets[TargetID]))</f>
        <v>1</v>
      </c>
      <c r="L311" t="str">
        <f>IF(tbldeptemp[[#This Row],[ValidTarget]]=FALSE,"BAD TARGET",IF(tbldeptemp[[#This Row],[ValidDependency]]=FALSE,"BAD DEPENDENCY",""))</f>
        <v/>
      </c>
    </row>
    <row r="312" spans="1:12">
      <c r="A312" t="s">
        <v>2578</v>
      </c>
      <c r="B312" t="s">
        <v>3010</v>
      </c>
      <c r="C312" t="s">
        <v>2605</v>
      </c>
      <c r="D312" t="s">
        <v>1776</v>
      </c>
      <c r="E312" t="s">
        <v>3382</v>
      </c>
      <c r="F312" t="b">
        <v>1</v>
      </c>
      <c r="G312" t="s">
        <v>2947</v>
      </c>
      <c r="H312" t="s">
        <v>2605</v>
      </c>
      <c r="I312" t="s">
        <v>2568</v>
      </c>
      <c r="J312" t="b">
        <v>1</v>
      </c>
      <c r="K312" t="b">
        <f>ISNUMBER(_xlfn.XMATCH(tbldeptemp[[#This Row],[DependencyID]],tblTargets[TargetID]))</f>
        <v>1</v>
      </c>
      <c r="L312" t="str">
        <f>IF(tbldeptemp[[#This Row],[ValidTarget]]=FALSE,"BAD TARGET",IF(tbldeptemp[[#This Row],[ValidDependency]]=FALSE,"BAD DEPENDENCY",""))</f>
        <v/>
      </c>
    </row>
    <row r="313" spans="1:12">
      <c r="A313" t="s">
        <v>2578</v>
      </c>
      <c r="B313" t="s">
        <v>3011</v>
      </c>
      <c r="C313" t="s">
        <v>2606</v>
      </c>
      <c r="D313" t="s">
        <v>1776</v>
      </c>
      <c r="E313" t="s">
        <v>3382</v>
      </c>
      <c r="F313" t="b">
        <v>1</v>
      </c>
      <c r="G313" t="s">
        <v>2947</v>
      </c>
      <c r="H313" t="s">
        <v>2606</v>
      </c>
      <c r="I313" t="s">
        <v>2568</v>
      </c>
      <c r="J313" t="b">
        <v>1</v>
      </c>
      <c r="K313" t="b">
        <f>ISNUMBER(_xlfn.XMATCH(tbldeptemp[[#This Row],[DependencyID]],tblTargets[TargetID]))</f>
        <v>1</v>
      </c>
      <c r="L313" t="str">
        <f>IF(tbldeptemp[[#This Row],[ValidTarget]]=FALSE,"BAD TARGET",IF(tbldeptemp[[#This Row],[ValidDependency]]=FALSE,"BAD DEPENDENCY",""))</f>
        <v/>
      </c>
    </row>
    <row r="314" spans="1:12">
      <c r="A314" t="s">
        <v>2578</v>
      </c>
      <c r="B314" t="s">
        <v>3012</v>
      </c>
      <c r="C314" t="s">
        <v>2607</v>
      </c>
      <c r="D314" t="s">
        <v>1776</v>
      </c>
      <c r="E314" t="s">
        <v>3382</v>
      </c>
      <c r="F314" t="b">
        <v>1</v>
      </c>
      <c r="G314" t="s">
        <v>2947</v>
      </c>
      <c r="H314" t="s">
        <v>2607</v>
      </c>
      <c r="I314" t="s">
        <v>2568</v>
      </c>
      <c r="J314" t="b">
        <v>1</v>
      </c>
      <c r="K314" t="b">
        <f>ISNUMBER(_xlfn.XMATCH(tbldeptemp[[#This Row],[DependencyID]],tblTargets[TargetID]))</f>
        <v>1</v>
      </c>
      <c r="L314" t="str">
        <f>IF(tbldeptemp[[#This Row],[ValidTarget]]=FALSE,"BAD TARGET",IF(tbldeptemp[[#This Row],[ValidDependency]]=FALSE,"BAD DEPENDENCY",""))</f>
        <v/>
      </c>
    </row>
    <row r="315" spans="1:12">
      <c r="A315" t="s">
        <v>2578</v>
      </c>
      <c r="B315" t="s">
        <v>3013</v>
      </c>
      <c r="C315" t="s">
        <v>2608</v>
      </c>
      <c r="D315" t="s">
        <v>1776</v>
      </c>
      <c r="E315" t="s">
        <v>3382</v>
      </c>
      <c r="F315" t="b">
        <v>1</v>
      </c>
      <c r="G315" t="s">
        <v>2946</v>
      </c>
      <c r="H315" t="s">
        <v>2608</v>
      </c>
      <c r="I315" t="s">
        <v>2568</v>
      </c>
      <c r="J315" t="b">
        <v>1</v>
      </c>
      <c r="K315" t="b">
        <f>ISNUMBER(_xlfn.XMATCH(tbldeptemp[[#This Row],[DependencyID]],tblTargets[TargetID]))</f>
        <v>1</v>
      </c>
      <c r="L315" t="str">
        <f>IF(tbldeptemp[[#This Row],[ValidTarget]]=FALSE,"BAD TARGET",IF(tbldeptemp[[#This Row],[ValidDependency]]=FALSE,"BAD DEPENDENCY",""))</f>
        <v/>
      </c>
    </row>
    <row r="316" spans="1:12">
      <c r="A316" t="s">
        <v>2578</v>
      </c>
      <c r="B316" t="s">
        <v>3014</v>
      </c>
      <c r="C316" t="s">
        <v>2609</v>
      </c>
      <c r="D316" t="s">
        <v>1776</v>
      </c>
      <c r="E316" t="s">
        <v>3382</v>
      </c>
      <c r="F316" t="b">
        <v>1</v>
      </c>
      <c r="G316" t="s">
        <v>2947</v>
      </c>
      <c r="H316" t="s">
        <v>2609</v>
      </c>
      <c r="I316" t="s">
        <v>2568</v>
      </c>
      <c r="J316" t="b">
        <v>1</v>
      </c>
      <c r="K316" t="b">
        <f>ISNUMBER(_xlfn.XMATCH(tbldeptemp[[#This Row],[DependencyID]],tblTargets[TargetID]))</f>
        <v>1</v>
      </c>
      <c r="L316" t="str">
        <f>IF(tbldeptemp[[#This Row],[ValidTarget]]=FALSE,"BAD TARGET",IF(tbldeptemp[[#This Row],[ValidDependency]]=FALSE,"BAD DEPENDENCY",""))</f>
        <v/>
      </c>
    </row>
    <row r="317" spans="1:12">
      <c r="A317" t="s">
        <v>2578</v>
      </c>
      <c r="B317" t="s">
        <v>3015</v>
      </c>
      <c r="C317" t="s">
        <v>2610</v>
      </c>
      <c r="D317" t="s">
        <v>1776</v>
      </c>
      <c r="E317" t="s">
        <v>3382</v>
      </c>
      <c r="F317" t="b">
        <v>1</v>
      </c>
      <c r="G317" t="s">
        <v>2947</v>
      </c>
      <c r="H317" t="s">
        <v>2610</v>
      </c>
      <c r="I317" t="s">
        <v>2568</v>
      </c>
      <c r="J317" t="b">
        <v>1</v>
      </c>
      <c r="K317" t="b">
        <f>ISNUMBER(_xlfn.XMATCH(tbldeptemp[[#This Row],[DependencyID]],tblTargets[TargetID]))</f>
        <v>1</v>
      </c>
      <c r="L317" t="str">
        <f>IF(tbldeptemp[[#This Row],[ValidTarget]]=FALSE,"BAD TARGET",IF(tbldeptemp[[#This Row],[ValidDependency]]=FALSE,"BAD DEPENDENCY",""))</f>
        <v/>
      </c>
    </row>
    <row r="318" spans="1:12">
      <c r="A318" t="s">
        <v>2578</v>
      </c>
      <c r="B318" t="s">
        <v>3016</v>
      </c>
      <c r="C318" t="s">
        <v>2611</v>
      </c>
      <c r="D318" t="s">
        <v>1776</v>
      </c>
      <c r="E318" t="s">
        <v>3382</v>
      </c>
      <c r="F318" t="b">
        <v>1</v>
      </c>
      <c r="G318" t="s">
        <v>2947</v>
      </c>
      <c r="H318" t="s">
        <v>2611</v>
      </c>
      <c r="I318" t="s">
        <v>2568</v>
      </c>
      <c r="J318" t="b">
        <v>1</v>
      </c>
      <c r="K318" t="b">
        <f>ISNUMBER(_xlfn.XMATCH(tbldeptemp[[#This Row],[DependencyID]],tblTargets[TargetID]))</f>
        <v>1</v>
      </c>
      <c r="L318" t="str">
        <f>IF(tbldeptemp[[#This Row],[ValidTarget]]=FALSE,"BAD TARGET",IF(tbldeptemp[[#This Row],[ValidDependency]]=FALSE,"BAD DEPENDENCY",""))</f>
        <v/>
      </c>
    </row>
    <row r="319" spans="1:12">
      <c r="A319" t="s">
        <v>2578</v>
      </c>
      <c r="B319" t="s">
        <v>3043</v>
      </c>
      <c r="C319" t="s">
        <v>2638</v>
      </c>
      <c r="D319" t="s">
        <v>1776</v>
      </c>
      <c r="E319" t="s">
        <v>3382</v>
      </c>
      <c r="F319" t="b">
        <v>1</v>
      </c>
      <c r="G319" t="s">
        <v>2946</v>
      </c>
      <c r="H319" t="s">
        <v>2638</v>
      </c>
      <c r="I319" t="s">
        <v>2568</v>
      </c>
      <c r="J319" t="b">
        <v>1</v>
      </c>
      <c r="K319" t="b">
        <f>ISNUMBER(_xlfn.XMATCH(tbldeptemp[[#This Row],[DependencyID]],tblTargets[TargetID]))</f>
        <v>1</v>
      </c>
      <c r="L319" t="str">
        <f>IF(tbldeptemp[[#This Row],[ValidTarget]]=FALSE,"BAD TARGET",IF(tbldeptemp[[#This Row],[ValidDependency]]=FALSE,"BAD DEPENDENCY",""))</f>
        <v/>
      </c>
    </row>
    <row r="320" spans="1:12">
      <c r="A320" t="s">
        <v>2578</v>
      </c>
      <c r="B320" t="s">
        <v>3017</v>
      </c>
      <c r="C320" t="s">
        <v>2612</v>
      </c>
      <c r="D320" t="s">
        <v>1778</v>
      </c>
      <c r="E320" t="s">
        <v>3389</v>
      </c>
      <c r="F320" t="b">
        <v>1</v>
      </c>
      <c r="G320" t="s">
        <v>2946</v>
      </c>
      <c r="H320" t="s">
        <v>2612</v>
      </c>
      <c r="I320" t="s">
        <v>2569</v>
      </c>
      <c r="J320" t="b">
        <v>1</v>
      </c>
      <c r="K320" t="b">
        <f>ISNUMBER(_xlfn.XMATCH(tbldeptemp[[#This Row],[DependencyID]],tblTargets[TargetID]))</f>
        <v>1</v>
      </c>
      <c r="L320" t="str">
        <f>IF(tbldeptemp[[#This Row],[ValidTarget]]=FALSE,"BAD TARGET",IF(tbldeptemp[[#This Row],[ValidDependency]]=FALSE,"BAD DEPENDENCY",""))</f>
        <v/>
      </c>
    </row>
    <row r="321" spans="1:12">
      <c r="A321" t="s">
        <v>2578</v>
      </c>
      <c r="B321" t="s">
        <v>3018</v>
      </c>
      <c r="C321" t="s">
        <v>2613</v>
      </c>
      <c r="D321" t="s">
        <v>1778</v>
      </c>
      <c r="E321" t="s">
        <v>3389</v>
      </c>
      <c r="F321" t="b">
        <v>1</v>
      </c>
      <c r="G321" t="s">
        <v>2947</v>
      </c>
      <c r="H321" t="s">
        <v>2613</v>
      </c>
      <c r="I321" t="s">
        <v>2569</v>
      </c>
      <c r="J321" t="b">
        <v>1</v>
      </c>
      <c r="K321" t="b">
        <f>ISNUMBER(_xlfn.XMATCH(tbldeptemp[[#This Row],[DependencyID]],tblTargets[TargetID]))</f>
        <v>1</v>
      </c>
      <c r="L321" t="str">
        <f>IF(tbldeptemp[[#This Row],[ValidTarget]]=FALSE,"BAD TARGET",IF(tbldeptemp[[#This Row],[ValidDependency]]=FALSE,"BAD DEPENDENCY",""))</f>
        <v/>
      </c>
    </row>
    <row r="322" spans="1:12">
      <c r="A322" t="s">
        <v>2578</v>
      </c>
      <c r="B322" t="s">
        <v>3019</v>
      </c>
      <c r="C322" t="s">
        <v>2614</v>
      </c>
      <c r="D322" t="s">
        <v>1778</v>
      </c>
      <c r="E322" t="s">
        <v>3389</v>
      </c>
      <c r="F322" t="b">
        <v>1</v>
      </c>
      <c r="G322" t="s">
        <v>2947</v>
      </c>
      <c r="H322" t="s">
        <v>2614</v>
      </c>
      <c r="I322" t="s">
        <v>2569</v>
      </c>
      <c r="J322" t="b">
        <v>1</v>
      </c>
      <c r="K322" t="b">
        <f>ISNUMBER(_xlfn.XMATCH(tbldeptemp[[#This Row],[DependencyID]],tblTargets[TargetID]))</f>
        <v>1</v>
      </c>
      <c r="L322" t="str">
        <f>IF(tbldeptemp[[#This Row],[ValidTarget]]=FALSE,"BAD TARGET",IF(tbldeptemp[[#This Row],[ValidDependency]]=FALSE,"BAD DEPENDENCY",""))</f>
        <v/>
      </c>
    </row>
    <row r="323" spans="1:12">
      <c r="A323" t="s">
        <v>2578</v>
      </c>
      <c r="B323" t="s">
        <v>3020</v>
      </c>
      <c r="C323" t="s">
        <v>2615</v>
      </c>
      <c r="D323" t="s">
        <v>1778</v>
      </c>
      <c r="E323" t="s">
        <v>3389</v>
      </c>
      <c r="F323" t="b">
        <v>1</v>
      </c>
      <c r="G323" t="s">
        <v>2947</v>
      </c>
      <c r="H323" t="s">
        <v>2615</v>
      </c>
      <c r="I323" t="s">
        <v>2569</v>
      </c>
      <c r="J323" t="b">
        <v>1</v>
      </c>
      <c r="K323" t="b">
        <f>ISNUMBER(_xlfn.XMATCH(tbldeptemp[[#This Row],[DependencyID]],tblTargets[TargetID]))</f>
        <v>1</v>
      </c>
      <c r="L323" t="str">
        <f>IF(tbldeptemp[[#This Row],[ValidTarget]]=FALSE,"BAD TARGET",IF(tbldeptemp[[#This Row],[ValidDependency]]=FALSE,"BAD DEPENDENCY",""))</f>
        <v/>
      </c>
    </row>
    <row r="324" spans="1:12">
      <c r="A324" t="s">
        <v>2578</v>
      </c>
      <c r="B324" t="s">
        <v>3021</v>
      </c>
      <c r="C324" t="s">
        <v>2616</v>
      </c>
      <c r="D324" t="s">
        <v>1778</v>
      </c>
      <c r="E324" t="s">
        <v>3389</v>
      </c>
      <c r="F324" t="b">
        <v>1</v>
      </c>
      <c r="G324" t="s">
        <v>2947</v>
      </c>
      <c r="H324" t="s">
        <v>2616</v>
      </c>
      <c r="I324" t="s">
        <v>2569</v>
      </c>
      <c r="J324" t="b">
        <v>1</v>
      </c>
      <c r="K324" t="b">
        <f>ISNUMBER(_xlfn.XMATCH(tbldeptemp[[#This Row],[DependencyID]],tblTargets[TargetID]))</f>
        <v>1</v>
      </c>
      <c r="L324" t="str">
        <f>IF(tbldeptemp[[#This Row],[ValidTarget]]=FALSE,"BAD TARGET",IF(tbldeptemp[[#This Row],[ValidDependency]]=FALSE,"BAD DEPENDENCY",""))</f>
        <v/>
      </c>
    </row>
    <row r="325" spans="1:12">
      <c r="A325" t="s">
        <v>2578</v>
      </c>
      <c r="B325" t="s">
        <v>3022</v>
      </c>
      <c r="C325" t="s">
        <v>2617</v>
      </c>
      <c r="D325" t="s">
        <v>1778</v>
      </c>
      <c r="E325" t="s">
        <v>3389</v>
      </c>
      <c r="F325" t="b">
        <v>1</v>
      </c>
      <c r="G325" t="s">
        <v>2946</v>
      </c>
      <c r="H325" t="s">
        <v>2617</v>
      </c>
      <c r="I325" t="s">
        <v>2569</v>
      </c>
      <c r="J325" t="b">
        <v>1</v>
      </c>
      <c r="K325" t="b">
        <f>ISNUMBER(_xlfn.XMATCH(tbldeptemp[[#This Row],[DependencyID]],tblTargets[TargetID]))</f>
        <v>1</v>
      </c>
      <c r="L325" t="str">
        <f>IF(tbldeptemp[[#This Row],[ValidTarget]]=FALSE,"BAD TARGET",IF(tbldeptemp[[#This Row],[ValidDependency]]=FALSE,"BAD DEPENDENCY",""))</f>
        <v/>
      </c>
    </row>
    <row r="326" spans="1:12">
      <c r="A326" t="s">
        <v>2563</v>
      </c>
      <c r="B326" t="s">
        <v>2980</v>
      </c>
      <c r="C326" t="s">
        <v>2571</v>
      </c>
      <c r="D326" t="s">
        <v>3273</v>
      </c>
      <c r="E326" t="s">
        <v>3358</v>
      </c>
      <c r="F326" t="b">
        <v>0</v>
      </c>
      <c r="G326" t="s">
        <v>2946</v>
      </c>
      <c r="H326" t="s">
        <v>2571</v>
      </c>
      <c r="I326" t="s">
        <v>2570</v>
      </c>
      <c r="J326" t="b">
        <v>1</v>
      </c>
      <c r="K326" t="b">
        <f>ISNUMBER(_xlfn.XMATCH(tbldeptemp[[#This Row],[DependencyID]],tblTargets[TargetID]))</f>
        <v>1</v>
      </c>
      <c r="L326" t="str">
        <f>IF(tbldeptemp[[#This Row],[ValidTarget]]=FALSE,"BAD TARGET",IF(tbldeptemp[[#This Row],[ValidDependency]]=FALSE,"BAD DEPENDENCY",""))</f>
        <v/>
      </c>
    </row>
    <row r="327" spans="1:12">
      <c r="A327" t="s">
        <v>2578</v>
      </c>
      <c r="B327" t="s">
        <v>3023</v>
      </c>
      <c r="C327" t="s">
        <v>2618</v>
      </c>
      <c r="D327" t="s">
        <v>1779</v>
      </c>
      <c r="E327" t="s">
        <v>3394</v>
      </c>
      <c r="F327" t="b">
        <v>1</v>
      </c>
      <c r="G327" t="s">
        <v>2946</v>
      </c>
      <c r="H327" t="s">
        <v>2618</v>
      </c>
      <c r="I327" t="s">
        <v>2572</v>
      </c>
      <c r="J327" t="b">
        <v>1</v>
      </c>
      <c r="K327" t="b">
        <f>ISNUMBER(_xlfn.XMATCH(tbldeptemp[[#This Row],[DependencyID]],tblTargets[TargetID]))</f>
        <v>1</v>
      </c>
      <c r="L327" t="str">
        <f>IF(tbldeptemp[[#This Row],[ValidTarget]]=FALSE,"BAD TARGET",IF(tbldeptemp[[#This Row],[ValidDependency]]=FALSE,"BAD DEPENDENCY",""))</f>
        <v/>
      </c>
    </row>
    <row r="328" spans="1:12">
      <c r="A328" t="s">
        <v>2578</v>
      </c>
      <c r="B328" t="s">
        <v>3024</v>
      </c>
      <c r="C328" t="s">
        <v>2619</v>
      </c>
      <c r="D328" t="s">
        <v>1779</v>
      </c>
      <c r="E328" t="s">
        <v>3394</v>
      </c>
      <c r="F328" t="b">
        <v>1</v>
      </c>
      <c r="G328" t="s">
        <v>2947</v>
      </c>
      <c r="H328" t="s">
        <v>2619</v>
      </c>
      <c r="I328" t="s">
        <v>2572</v>
      </c>
      <c r="J328" t="b">
        <v>1</v>
      </c>
      <c r="K328" t="b">
        <f>ISNUMBER(_xlfn.XMATCH(tbldeptemp[[#This Row],[DependencyID]],tblTargets[TargetID]))</f>
        <v>1</v>
      </c>
      <c r="L328" t="str">
        <f>IF(tbldeptemp[[#This Row],[ValidTarget]]=FALSE,"BAD TARGET",IF(tbldeptemp[[#This Row],[ValidDependency]]=FALSE,"BAD DEPENDENCY",""))</f>
        <v/>
      </c>
    </row>
    <row r="329" spans="1:12">
      <c r="A329" t="s">
        <v>2578</v>
      </c>
      <c r="B329" t="s">
        <v>3025</v>
      </c>
      <c r="C329" t="s">
        <v>2620</v>
      </c>
      <c r="D329" t="s">
        <v>1780</v>
      </c>
      <c r="E329" t="s">
        <v>3396</v>
      </c>
      <c r="F329" t="b">
        <v>1</v>
      </c>
      <c r="G329" t="s">
        <v>2946</v>
      </c>
      <c r="H329" t="s">
        <v>2620</v>
      </c>
      <c r="I329" t="s">
        <v>2573</v>
      </c>
      <c r="J329" t="b">
        <v>1</v>
      </c>
      <c r="K329" t="b">
        <f>ISNUMBER(_xlfn.XMATCH(tbldeptemp[[#This Row],[DependencyID]],tblTargets[TargetID]))</f>
        <v>1</v>
      </c>
      <c r="L329" t="str">
        <f>IF(tbldeptemp[[#This Row],[ValidTarget]]=FALSE,"BAD TARGET",IF(tbldeptemp[[#This Row],[ValidDependency]]=FALSE,"BAD DEPENDENCY",""))</f>
        <v/>
      </c>
    </row>
    <row r="330" spans="1:12">
      <c r="A330" t="s">
        <v>2578</v>
      </c>
      <c r="B330" t="s">
        <v>3026</v>
      </c>
      <c r="C330" t="s">
        <v>2621</v>
      </c>
      <c r="D330" t="s">
        <v>1780</v>
      </c>
      <c r="E330" t="s">
        <v>3396</v>
      </c>
      <c r="F330" t="b">
        <v>1</v>
      </c>
      <c r="G330" t="s">
        <v>2947</v>
      </c>
      <c r="H330" t="s">
        <v>2621</v>
      </c>
      <c r="I330" t="s">
        <v>2573</v>
      </c>
      <c r="J330" t="b">
        <v>1</v>
      </c>
      <c r="K330" t="b">
        <f>ISNUMBER(_xlfn.XMATCH(tbldeptemp[[#This Row],[DependencyID]],tblTargets[TargetID]))</f>
        <v>1</v>
      </c>
      <c r="L330" t="str">
        <f>IF(tbldeptemp[[#This Row],[ValidTarget]]=FALSE,"BAD TARGET",IF(tbldeptemp[[#This Row],[ValidDependency]]=FALSE,"BAD DEPENDENCY",""))</f>
        <v/>
      </c>
    </row>
    <row r="331" spans="1:12">
      <c r="A331" t="s">
        <v>2578</v>
      </c>
      <c r="B331" t="s">
        <v>3027</v>
      </c>
      <c r="C331" t="s">
        <v>2622</v>
      </c>
      <c r="D331" t="s">
        <v>1781</v>
      </c>
      <c r="E331" t="s">
        <v>3398</v>
      </c>
      <c r="F331" t="b">
        <v>1</v>
      </c>
      <c r="G331" t="s">
        <v>2946</v>
      </c>
      <c r="H331" t="s">
        <v>2622</v>
      </c>
      <c r="I331" t="s">
        <v>2574</v>
      </c>
      <c r="J331" t="b">
        <v>1</v>
      </c>
      <c r="K331" t="b">
        <f>ISNUMBER(_xlfn.XMATCH(tbldeptemp[[#This Row],[DependencyID]],tblTargets[TargetID]))</f>
        <v>1</v>
      </c>
      <c r="L331" t="str">
        <f>IF(tbldeptemp[[#This Row],[ValidTarget]]=FALSE,"BAD TARGET",IF(tbldeptemp[[#This Row],[ValidDependency]]=FALSE,"BAD DEPENDENCY",""))</f>
        <v/>
      </c>
    </row>
    <row r="332" spans="1:12">
      <c r="A332" t="s">
        <v>2578</v>
      </c>
      <c r="B332" t="s">
        <v>3028</v>
      </c>
      <c r="C332" t="s">
        <v>2623</v>
      </c>
      <c r="D332" t="s">
        <v>1781</v>
      </c>
      <c r="E332" t="s">
        <v>3398</v>
      </c>
      <c r="F332" t="b">
        <v>1</v>
      </c>
      <c r="G332" t="s">
        <v>2947</v>
      </c>
      <c r="H332" t="s">
        <v>2623</v>
      </c>
      <c r="I332" t="s">
        <v>2574</v>
      </c>
      <c r="J332" t="b">
        <v>1</v>
      </c>
      <c r="K332" t="b">
        <f>ISNUMBER(_xlfn.XMATCH(tbldeptemp[[#This Row],[DependencyID]],tblTargets[TargetID]))</f>
        <v>1</v>
      </c>
      <c r="L332" t="str">
        <f>IF(tbldeptemp[[#This Row],[ValidTarget]]=FALSE,"BAD TARGET",IF(tbldeptemp[[#This Row],[ValidDependency]]=FALSE,"BAD DEPENDENCY",""))</f>
        <v/>
      </c>
    </row>
    <row r="333" spans="1:12">
      <c r="A333" t="s">
        <v>2578</v>
      </c>
      <c r="B333" t="s">
        <v>3029</v>
      </c>
      <c r="C333" t="s">
        <v>2624</v>
      </c>
      <c r="D333" t="s">
        <v>1781</v>
      </c>
      <c r="E333" t="s">
        <v>3398</v>
      </c>
      <c r="F333" t="b">
        <v>1</v>
      </c>
      <c r="G333" t="s">
        <v>2947</v>
      </c>
      <c r="H333" t="s">
        <v>2624</v>
      </c>
      <c r="I333" t="s">
        <v>2574</v>
      </c>
      <c r="J333" t="b">
        <v>1</v>
      </c>
      <c r="K333" t="b">
        <f>ISNUMBER(_xlfn.XMATCH(tbldeptemp[[#This Row],[DependencyID]],tblTargets[TargetID]))</f>
        <v>1</v>
      </c>
      <c r="L333" t="str">
        <f>IF(tbldeptemp[[#This Row],[ValidTarget]]=FALSE,"BAD TARGET",IF(tbldeptemp[[#This Row],[ValidDependency]]=FALSE,"BAD DEPENDENCY",""))</f>
        <v/>
      </c>
    </row>
    <row r="334" spans="1:12">
      <c r="A334" t="s">
        <v>2578</v>
      </c>
      <c r="B334" t="s">
        <v>3030</v>
      </c>
      <c r="C334" t="s">
        <v>2625</v>
      </c>
      <c r="D334" t="s">
        <v>1781</v>
      </c>
      <c r="E334" t="s">
        <v>3398</v>
      </c>
      <c r="F334" t="b">
        <v>1</v>
      </c>
      <c r="G334" t="s">
        <v>2947</v>
      </c>
      <c r="H334" t="s">
        <v>2625</v>
      </c>
      <c r="I334" t="s">
        <v>2574</v>
      </c>
      <c r="J334" t="b">
        <v>1</v>
      </c>
      <c r="K334" t="b">
        <f>ISNUMBER(_xlfn.XMATCH(tbldeptemp[[#This Row],[DependencyID]],tblTargets[TargetID]))</f>
        <v>1</v>
      </c>
      <c r="L334" t="str">
        <f>IF(tbldeptemp[[#This Row],[ValidTarget]]=FALSE,"BAD TARGET",IF(tbldeptemp[[#This Row],[ValidDependency]]=FALSE,"BAD DEPENDENCY",""))</f>
        <v/>
      </c>
    </row>
    <row r="335" spans="1:12">
      <c r="A335" t="s">
        <v>2578</v>
      </c>
      <c r="B335" t="s">
        <v>3031</v>
      </c>
      <c r="C335" t="s">
        <v>2626</v>
      </c>
      <c r="D335" t="s">
        <v>1781</v>
      </c>
      <c r="E335" t="s">
        <v>3398</v>
      </c>
      <c r="F335" t="b">
        <v>1</v>
      </c>
      <c r="G335" t="s">
        <v>2947</v>
      </c>
      <c r="H335" t="s">
        <v>2626</v>
      </c>
      <c r="I335" t="s">
        <v>2574</v>
      </c>
      <c r="J335" t="b">
        <v>1</v>
      </c>
      <c r="K335" t="b">
        <f>ISNUMBER(_xlfn.XMATCH(tbldeptemp[[#This Row],[DependencyID]],tblTargets[TargetID]))</f>
        <v>1</v>
      </c>
      <c r="L335" t="str">
        <f>IF(tbldeptemp[[#This Row],[ValidTarget]]=FALSE,"BAD TARGET",IF(tbldeptemp[[#This Row],[ValidDependency]]=FALSE,"BAD DEPENDENCY",""))</f>
        <v/>
      </c>
    </row>
    <row r="336" spans="1:12">
      <c r="A336" t="s">
        <v>2578</v>
      </c>
      <c r="B336" t="s">
        <v>3032</v>
      </c>
      <c r="C336" t="s">
        <v>2627</v>
      </c>
      <c r="D336" t="s">
        <v>1781</v>
      </c>
      <c r="E336" t="s">
        <v>3398</v>
      </c>
      <c r="F336" t="b">
        <v>1</v>
      </c>
      <c r="G336" t="s">
        <v>2946</v>
      </c>
      <c r="H336" t="s">
        <v>2627</v>
      </c>
      <c r="I336" t="s">
        <v>2574</v>
      </c>
      <c r="J336" t="b">
        <v>1</v>
      </c>
      <c r="K336" t="b">
        <f>ISNUMBER(_xlfn.XMATCH(tbldeptemp[[#This Row],[DependencyID]],tblTargets[TargetID]))</f>
        <v>1</v>
      </c>
      <c r="L336" t="str">
        <f>IF(tbldeptemp[[#This Row],[ValidTarget]]=FALSE,"BAD TARGET",IF(tbldeptemp[[#This Row],[ValidDependency]]=FALSE,"BAD DEPENDENCY",""))</f>
        <v/>
      </c>
    </row>
    <row r="337" spans="1:12">
      <c r="A337" t="s">
        <v>2578</v>
      </c>
      <c r="B337" t="s">
        <v>3033</v>
      </c>
      <c r="C337" t="s">
        <v>2628</v>
      </c>
      <c r="D337" t="s">
        <v>1781</v>
      </c>
      <c r="E337" t="s">
        <v>3398</v>
      </c>
      <c r="F337" t="b">
        <v>1</v>
      </c>
      <c r="G337" t="s">
        <v>2947</v>
      </c>
      <c r="H337" t="s">
        <v>2628</v>
      </c>
      <c r="I337" t="s">
        <v>2574</v>
      </c>
      <c r="J337" t="b">
        <v>1</v>
      </c>
      <c r="K337" t="b">
        <f>ISNUMBER(_xlfn.XMATCH(tbldeptemp[[#This Row],[DependencyID]],tblTargets[TargetID]))</f>
        <v>1</v>
      </c>
      <c r="L337" t="str">
        <f>IF(tbldeptemp[[#This Row],[ValidTarget]]=FALSE,"BAD TARGET",IF(tbldeptemp[[#This Row],[ValidDependency]]=FALSE,"BAD DEPENDENCY",""))</f>
        <v/>
      </c>
    </row>
    <row r="338" spans="1:12">
      <c r="A338" t="s">
        <v>2578</v>
      </c>
      <c r="B338" t="s">
        <v>3034</v>
      </c>
      <c r="C338" t="s">
        <v>2629</v>
      </c>
      <c r="D338" t="s">
        <v>1781</v>
      </c>
      <c r="E338" t="s">
        <v>3398</v>
      </c>
      <c r="F338" t="b">
        <v>1</v>
      </c>
      <c r="G338" t="s">
        <v>2947</v>
      </c>
      <c r="H338" t="s">
        <v>2629</v>
      </c>
      <c r="I338" t="s">
        <v>2574</v>
      </c>
      <c r="J338" t="b">
        <v>1</v>
      </c>
      <c r="K338" t="b">
        <f>ISNUMBER(_xlfn.XMATCH(tbldeptemp[[#This Row],[DependencyID]],tblTargets[TargetID]))</f>
        <v>1</v>
      </c>
      <c r="L338" t="str">
        <f>IF(tbldeptemp[[#This Row],[ValidTarget]]=FALSE,"BAD TARGET",IF(tbldeptemp[[#This Row],[ValidDependency]]=FALSE,"BAD DEPENDENCY",""))</f>
        <v/>
      </c>
    </row>
    <row r="339" spans="1:12">
      <c r="A339" t="s">
        <v>2578</v>
      </c>
      <c r="B339" t="s">
        <v>3035</v>
      </c>
      <c r="C339" t="s">
        <v>2630</v>
      </c>
      <c r="D339" t="s">
        <v>1781</v>
      </c>
      <c r="E339" t="s">
        <v>3398</v>
      </c>
      <c r="F339" t="b">
        <v>1</v>
      </c>
      <c r="G339" t="s">
        <v>2947</v>
      </c>
      <c r="H339" t="s">
        <v>2630</v>
      </c>
      <c r="I339" t="s">
        <v>2574</v>
      </c>
      <c r="J339" t="b">
        <v>1</v>
      </c>
      <c r="K339" t="b">
        <f>ISNUMBER(_xlfn.XMATCH(tbldeptemp[[#This Row],[DependencyID]],tblTargets[TargetID]))</f>
        <v>1</v>
      </c>
      <c r="L339" t="str">
        <f>IF(tbldeptemp[[#This Row],[ValidTarget]]=FALSE,"BAD TARGET",IF(tbldeptemp[[#This Row],[ValidDependency]]=FALSE,"BAD DEPENDENCY",""))</f>
        <v/>
      </c>
    </row>
    <row r="340" spans="1:12">
      <c r="A340" t="s">
        <v>2578</v>
      </c>
      <c r="B340" t="s">
        <v>3036</v>
      </c>
      <c r="C340" t="s">
        <v>2631</v>
      </c>
      <c r="D340" t="s">
        <v>1781</v>
      </c>
      <c r="E340" t="s">
        <v>3398</v>
      </c>
      <c r="F340" t="b">
        <v>1</v>
      </c>
      <c r="G340" t="s">
        <v>2947</v>
      </c>
      <c r="H340" t="s">
        <v>2631</v>
      </c>
      <c r="I340" t="s">
        <v>2574</v>
      </c>
      <c r="J340" t="b">
        <v>1</v>
      </c>
      <c r="K340" t="b">
        <f>ISNUMBER(_xlfn.XMATCH(tbldeptemp[[#This Row],[DependencyID]],tblTargets[TargetID]))</f>
        <v>1</v>
      </c>
      <c r="L340" t="str">
        <f>IF(tbldeptemp[[#This Row],[ValidTarget]]=FALSE,"BAD TARGET",IF(tbldeptemp[[#This Row],[ValidDependency]]=FALSE,"BAD DEPENDENCY",""))</f>
        <v/>
      </c>
    </row>
    <row r="341" spans="1:12">
      <c r="A341" t="s">
        <v>2578</v>
      </c>
      <c r="B341" t="s">
        <v>3037</v>
      </c>
      <c r="C341" t="s">
        <v>2632</v>
      </c>
      <c r="D341" t="s">
        <v>1781</v>
      </c>
      <c r="E341" t="s">
        <v>3398</v>
      </c>
      <c r="F341" t="b">
        <v>1</v>
      </c>
      <c r="G341" t="s">
        <v>2946</v>
      </c>
      <c r="H341" t="s">
        <v>2632</v>
      </c>
      <c r="I341" t="s">
        <v>2574</v>
      </c>
      <c r="J341" t="b">
        <v>1</v>
      </c>
      <c r="K341" t="b">
        <f>ISNUMBER(_xlfn.XMATCH(tbldeptemp[[#This Row],[DependencyID]],tblTargets[TargetID]))</f>
        <v>1</v>
      </c>
      <c r="L341" t="str">
        <f>IF(tbldeptemp[[#This Row],[ValidTarget]]=FALSE,"BAD TARGET",IF(tbldeptemp[[#This Row],[ValidDependency]]=FALSE,"BAD DEPENDENCY",""))</f>
        <v/>
      </c>
    </row>
    <row r="342" spans="1:12">
      <c r="A342" t="s">
        <v>2578</v>
      </c>
      <c r="B342" t="s">
        <v>3038</v>
      </c>
      <c r="C342" t="s">
        <v>2633</v>
      </c>
      <c r="D342" t="s">
        <v>1781</v>
      </c>
      <c r="E342" t="s">
        <v>3398</v>
      </c>
      <c r="F342" t="b">
        <v>1</v>
      </c>
      <c r="G342" t="s">
        <v>2947</v>
      </c>
      <c r="H342" t="s">
        <v>2633</v>
      </c>
      <c r="I342" t="s">
        <v>2574</v>
      </c>
      <c r="J342" t="b">
        <v>1</v>
      </c>
      <c r="K342" t="b">
        <f>ISNUMBER(_xlfn.XMATCH(tbldeptemp[[#This Row],[DependencyID]],tblTargets[TargetID]))</f>
        <v>1</v>
      </c>
      <c r="L342" t="str">
        <f>IF(tbldeptemp[[#This Row],[ValidTarget]]=FALSE,"BAD TARGET",IF(tbldeptemp[[#This Row],[ValidDependency]]=FALSE,"BAD DEPENDENCY",""))</f>
        <v/>
      </c>
    </row>
    <row r="343" spans="1:12">
      <c r="A343" t="s">
        <v>2578</v>
      </c>
      <c r="B343" t="s">
        <v>3039</v>
      </c>
      <c r="C343" t="s">
        <v>2634</v>
      </c>
      <c r="D343" t="s">
        <v>1781</v>
      </c>
      <c r="E343" t="s">
        <v>3398</v>
      </c>
      <c r="F343" t="b">
        <v>1</v>
      </c>
      <c r="G343" t="s">
        <v>2947</v>
      </c>
      <c r="H343" t="s">
        <v>2634</v>
      </c>
      <c r="I343" t="s">
        <v>2574</v>
      </c>
      <c r="J343" t="b">
        <v>1</v>
      </c>
      <c r="K343" t="b">
        <f>ISNUMBER(_xlfn.XMATCH(tbldeptemp[[#This Row],[DependencyID]],tblTargets[TargetID]))</f>
        <v>1</v>
      </c>
      <c r="L343" t="str">
        <f>IF(tbldeptemp[[#This Row],[ValidTarget]]=FALSE,"BAD TARGET",IF(tbldeptemp[[#This Row],[ValidDependency]]=FALSE,"BAD DEPENDENCY",""))</f>
        <v/>
      </c>
    </row>
    <row r="344" spans="1:12">
      <c r="A344" t="s">
        <v>2578</v>
      </c>
      <c r="B344" t="s">
        <v>3040</v>
      </c>
      <c r="C344" t="s">
        <v>2635</v>
      </c>
      <c r="D344" t="s">
        <v>1781</v>
      </c>
      <c r="E344" t="s">
        <v>3398</v>
      </c>
      <c r="F344" t="b">
        <v>1</v>
      </c>
      <c r="G344" t="s">
        <v>2947</v>
      </c>
      <c r="H344" t="s">
        <v>2635</v>
      </c>
      <c r="I344" t="s">
        <v>2574</v>
      </c>
      <c r="J344" t="b">
        <v>1</v>
      </c>
      <c r="K344" t="b">
        <f>ISNUMBER(_xlfn.XMATCH(tbldeptemp[[#This Row],[DependencyID]],tblTargets[TargetID]))</f>
        <v>1</v>
      </c>
      <c r="L344" t="str">
        <f>IF(tbldeptemp[[#This Row],[ValidTarget]]=FALSE,"BAD TARGET",IF(tbldeptemp[[#This Row],[ValidDependency]]=FALSE,"BAD DEPENDENCY",""))</f>
        <v/>
      </c>
    </row>
    <row r="345" spans="1:12">
      <c r="A345" t="s">
        <v>2578</v>
      </c>
      <c r="B345" t="s">
        <v>3041</v>
      </c>
      <c r="C345" t="s">
        <v>2636</v>
      </c>
      <c r="D345" t="s">
        <v>1781</v>
      </c>
      <c r="E345" t="s">
        <v>3398</v>
      </c>
      <c r="F345" t="b">
        <v>1</v>
      </c>
      <c r="G345" t="s">
        <v>2947</v>
      </c>
      <c r="H345" t="s">
        <v>2636</v>
      </c>
      <c r="I345" t="s">
        <v>2574</v>
      </c>
      <c r="J345" t="b">
        <v>1</v>
      </c>
      <c r="K345" t="b">
        <f>ISNUMBER(_xlfn.XMATCH(tbldeptemp[[#This Row],[DependencyID]],tblTargets[TargetID]))</f>
        <v>1</v>
      </c>
      <c r="L345" t="str">
        <f>IF(tbldeptemp[[#This Row],[ValidTarget]]=FALSE,"BAD TARGET",IF(tbldeptemp[[#This Row],[ValidDependency]]=FALSE,"BAD DEPENDENCY",""))</f>
        <v/>
      </c>
    </row>
    <row r="346" spans="1:12">
      <c r="A346" t="s">
        <v>2578</v>
      </c>
      <c r="B346" t="s">
        <v>3042</v>
      </c>
      <c r="C346" t="s">
        <v>2637</v>
      </c>
      <c r="D346" t="s">
        <v>1781</v>
      </c>
      <c r="E346" t="s">
        <v>3398</v>
      </c>
      <c r="F346" t="b">
        <v>1</v>
      </c>
      <c r="G346" t="s">
        <v>2947</v>
      </c>
      <c r="H346" t="s">
        <v>2637</v>
      </c>
      <c r="I346" t="s">
        <v>2574</v>
      </c>
      <c r="J346" t="b">
        <v>1</v>
      </c>
      <c r="K346" t="b">
        <f>ISNUMBER(_xlfn.XMATCH(tbldeptemp[[#This Row],[DependencyID]],tblTargets[TargetID]))</f>
        <v>1</v>
      </c>
      <c r="L346" t="str">
        <f>IF(tbldeptemp[[#This Row],[ValidTarget]]=FALSE,"BAD TARGET",IF(tbldeptemp[[#This Row],[ValidDependency]]=FALSE,"BAD DEPENDENCY",""))</f>
        <v/>
      </c>
    </row>
    <row r="347" spans="1:12">
      <c r="A347" t="s">
        <v>2578</v>
      </c>
      <c r="B347" t="s">
        <v>3044</v>
      </c>
      <c r="C347" t="s">
        <v>2639</v>
      </c>
      <c r="D347" t="s">
        <v>1783</v>
      </c>
      <c r="E347" t="s">
        <v>3411</v>
      </c>
      <c r="F347" t="b">
        <v>1</v>
      </c>
      <c r="G347" t="s">
        <v>2946</v>
      </c>
      <c r="H347" t="s">
        <v>2639</v>
      </c>
      <c r="I347" t="s">
        <v>2575</v>
      </c>
      <c r="J347" t="b">
        <v>1</v>
      </c>
      <c r="K347" t="b">
        <f>ISNUMBER(_xlfn.XMATCH(tbldeptemp[[#This Row],[DependencyID]],tblTargets[TargetID]))</f>
        <v>1</v>
      </c>
      <c r="L347" t="str">
        <f>IF(tbldeptemp[[#This Row],[ValidTarget]]=FALSE,"BAD TARGET",IF(tbldeptemp[[#This Row],[ValidDependency]]=FALSE,"BAD DEPENDENCY",""))</f>
        <v/>
      </c>
    </row>
    <row r="348" spans="1:12">
      <c r="A348" t="s">
        <v>2578</v>
      </c>
      <c r="B348" t="s">
        <v>3045</v>
      </c>
      <c r="C348" t="s">
        <v>2640</v>
      </c>
      <c r="D348" t="s">
        <v>1783</v>
      </c>
      <c r="E348" t="s">
        <v>3411</v>
      </c>
      <c r="F348" t="b">
        <v>1</v>
      </c>
      <c r="G348" t="s">
        <v>2947</v>
      </c>
      <c r="H348" t="s">
        <v>2640</v>
      </c>
      <c r="I348" t="s">
        <v>2575</v>
      </c>
      <c r="J348" t="b">
        <v>1</v>
      </c>
      <c r="K348" t="b">
        <f>ISNUMBER(_xlfn.XMATCH(tbldeptemp[[#This Row],[DependencyID]],tblTargets[TargetID]))</f>
        <v>1</v>
      </c>
      <c r="L348" t="str">
        <f>IF(tbldeptemp[[#This Row],[ValidTarget]]=FALSE,"BAD TARGET",IF(tbldeptemp[[#This Row],[ValidDependency]]=FALSE,"BAD DEPENDENCY",""))</f>
        <v/>
      </c>
    </row>
    <row r="349" spans="1:12">
      <c r="A349" t="s">
        <v>2578</v>
      </c>
      <c r="B349" t="s">
        <v>3046</v>
      </c>
      <c r="C349" t="s">
        <v>2641</v>
      </c>
      <c r="D349" t="s">
        <v>1784</v>
      </c>
      <c r="E349" t="s">
        <v>3413</v>
      </c>
      <c r="F349" t="b">
        <v>0</v>
      </c>
      <c r="G349" t="s">
        <v>2946</v>
      </c>
      <c r="H349" t="s">
        <v>2641</v>
      </c>
      <c r="I349" t="s">
        <v>2576</v>
      </c>
      <c r="J349" t="b">
        <v>1</v>
      </c>
      <c r="K349" t="b">
        <f>ISNUMBER(_xlfn.XMATCH(tbldeptemp[[#This Row],[DependencyID]],tblTargets[TargetID]))</f>
        <v>1</v>
      </c>
      <c r="L349" t="str">
        <f>IF(tbldeptemp[[#This Row],[ValidTarget]]=FALSE,"BAD TARGET",IF(tbldeptemp[[#This Row],[ValidDependency]]=FALSE,"BAD DEPENDENCY",""))</f>
        <v/>
      </c>
    </row>
    <row r="350" spans="1:12">
      <c r="A350" t="s">
        <v>2578</v>
      </c>
      <c r="B350" t="s">
        <v>3047</v>
      </c>
      <c r="C350" t="s">
        <v>2642</v>
      </c>
      <c r="D350" t="s">
        <v>1784</v>
      </c>
      <c r="E350" t="s">
        <v>3413</v>
      </c>
      <c r="F350" t="b">
        <v>0</v>
      </c>
      <c r="G350" t="s">
        <v>2947</v>
      </c>
      <c r="H350" t="s">
        <v>2642</v>
      </c>
      <c r="I350" t="s">
        <v>2576</v>
      </c>
      <c r="J350" t="b">
        <v>1</v>
      </c>
      <c r="K350" t="b">
        <f>ISNUMBER(_xlfn.XMATCH(tbldeptemp[[#This Row],[DependencyID]],tblTargets[TargetID]))</f>
        <v>1</v>
      </c>
      <c r="L350" t="str">
        <f>IF(tbldeptemp[[#This Row],[ValidTarget]]=FALSE,"BAD TARGET",IF(tbldeptemp[[#This Row],[ValidDependency]]=FALSE,"BAD DEPENDENCY",""))</f>
        <v/>
      </c>
    </row>
    <row r="351" spans="1:12">
      <c r="A351" t="s">
        <v>2578</v>
      </c>
      <c r="B351" t="s">
        <v>3048</v>
      </c>
      <c r="C351" t="s">
        <v>2643</v>
      </c>
      <c r="D351" t="s">
        <v>1784</v>
      </c>
      <c r="E351" t="s">
        <v>3413</v>
      </c>
      <c r="F351" t="b">
        <v>0</v>
      </c>
      <c r="G351" t="s">
        <v>2947</v>
      </c>
      <c r="H351" t="s">
        <v>2643</v>
      </c>
      <c r="I351" t="s">
        <v>2576</v>
      </c>
      <c r="J351" t="b">
        <v>1</v>
      </c>
      <c r="K351" t="b">
        <f>ISNUMBER(_xlfn.XMATCH(tbldeptemp[[#This Row],[DependencyID]],tblTargets[TargetID]))</f>
        <v>1</v>
      </c>
      <c r="L351" t="str">
        <f>IF(tbldeptemp[[#This Row],[ValidTarget]]=FALSE,"BAD TARGET",IF(tbldeptemp[[#This Row],[ValidDependency]]=FALSE,"BAD DEPENDENCY",""))</f>
        <v/>
      </c>
    </row>
    <row r="352" spans="1:12">
      <c r="A352" t="s">
        <v>2578</v>
      </c>
      <c r="B352" t="s">
        <v>3049</v>
      </c>
      <c r="C352" t="s">
        <v>2644</v>
      </c>
      <c r="D352" t="s">
        <v>1784</v>
      </c>
      <c r="E352" t="s">
        <v>3413</v>
      </c>
      <c r="F352" t="b">
        <v>0</v>
      </c>
      <c r="G352" t="s">
        <v>2947</v>
      </c>
      <c r="H352" t="s">
        <v>2644</v>
      </c>
      <c r="I352" t="s">
        <v>2576</v>
      </c>
      <c r="J352" t="b">
        <v>1</v>
      </c>
      <c r="K352" t="b">
        <f>ISNUMBER(_xlfn.XMATCH(tbldeptemp[[#This Row],[DependencyID]],tblTargets[TargetID]))</f>
        <v>1</v>
      </c>
      <c r="L352" t="str">
        <f>IF(tbldeptemp[[#This Row],[ValidTarget]]=FALSE,"BAD TARGET",IF(tbldeptemp[[#This Row],[ValidDependency]]=FALSE,"BAD DEPENDENCY",""))</f>
        <v/>
      </c>
    </row>
    <row r="353" spans="1:12">
      <c r="A353" t="s">
        <v>2578</v>
      </c>
      <c r="B353" t="s">
        <v>3050</v>
      </c>
      <c r="C353" t="s">
        <v>2645</v>
      </c>
      <c r="D353" t="s">
        <v>1784</v>
      </c>
      <c r="E353" t="s">
        <v>3413</v>
      </c>
      <c r="F353" t="b">
        <v>0</v>
      </c>
      <c r="G353" t="s">
        <v>2947</v>
      </c>
      <c r="H353" t="s">
        <v>2645</v>
      </c>
      <c r="I353" t="s">
        <v>2576</v>
      </c>
      <c r="J353" t="b">
        <v>1</v>
      </c>
      <c r="K353" t="b">
        <f>ISNUMBER(_xlfn.XMATCH(tbldeptemp[[#This Row],[DependencyID]],tblTargets[TargetID]))</f>
        <v>1</v>
      </c>
      <c r="L353" t="str">
        <f>IF(tbldeptemp[[#This Row],[ValidTarget]]=FALSE,"BAD TARGET",IF(tbldeptemp[[#This Row],[ValidDependency]]=FALSE,"BAD DEPENDENCY",""))</f>
        <v/>
      </c>
    </row>
    <row r="354" spans="1:12">
      <c r="A354" t="s">
        <v>2578</v>
      </c>
      <c r="B354" t="s">
        <v>3051</v>
      </c>
      <c r="C354" t="s">
        <v>2646</v>
      </c>
      <c r="D354" t="s">
        <v>1784</v>
      </c>
      <c r="E354" t="s">
        <v>3413</v>
      </c>
      <c r="F354" t="b">
        <v>0</v>
      </c>
      <c r="G354" t="s">
        <v>2946</v>
      </c>
      <c r="H354" t="s">
        <v>2646</v>
      </c>
      <c r="I354" t="s">
        <v>2576</v>
      </c>
      <c r="J354" t="b">
        <v>1</v>
      </c>
      <c r="K354" t="b">
        <f>ISNUMBER(_xlfn.XMATCH(tbldeptemp[[#This Row],[DependencyID]],tblTargets[TargetID]))</f>
        <v>1</v>
      </c>
      <c r="L354" t="str">
        <f>IF(tbldeptemp[[#This Row],[ValidTarget]]=FALSE,"BAD TARGET",IF(tbldeptemp[[#This Row],[ValidDependency]]=FALSE,"BAD DEPENDENCY",""))</f>
        <v/>
      </c>
    </row>
    <row r="355" spans="1:12">
      <c r="A355" t="s">
        <v>2578</v>
      </c>
      <c r="B355" t="s">
        <v>3052</v>
      </c>
      <c r="C355" t="s">
        <v>2647</v>
      </c>
      <c r="D355" t="s">
        <v>1784</v>
      </c>
      <c r="E355" t="s">
        <v>3413</v>
      </c>
      <c r="F355" t="b">
        <v>0</v>
      </c>
      <c r="G355" t="s">
        <v>2947</v>
      </c>
      <c r="H355" t="s">
        <v>2647</v>
      </c>
      <c r="I355" t="s">
        <v>2576</v>
      </c>
      <c r="J355" t="b">
        <v>1</v>
      </c>
      <c r="K355" t="b">
        <f>ISNUMBER(_xlfn.XMATCH(tbldeptemp[[#This Row],[DependencyID]],tblTargets[TargetID]))</f>
        <v>1</v>
      </c>
      <c r="L355" t="str">
        <f>IF(tbldeptemp[[#This Row],[ValidTarget]]=FALSE,"BAD TARGET",IF(tbldeptemp[[#This Row],[ValidDependency]]=FALSE,"BAD DEPENDENCY",""))</f>
        <v/>
      </c>
    </row>
    <row r="356" spans="1:12">
      <c r="A356" t="s">
        <v>2578</v>
      </c>
      <c r="B356" t="s">
        <v>3053</v>
      </c>
      <c r="C356" t="s">
        <v>2648</v>
      </c>
      <c r="D356" t="s">
        <v>1784</v>
      </c>
      <c r="E356" t="s">
        <v>3413</v>
      </c>
      <c r="F356" t="b">
        <v>0</v>
      </c>
      <c r="G356" t="s">
        <v>2947</v>
      </c>
      <c r="H356" t="s">
        <v>2648</v>
      </c>
      <c r="I356" t="s">
        <v>2576</v>
      </c>
      <c r="J356" t="b">
        <v>1</v>
      </c>
      <c r="K356" t="b">
        <f>ISNUMBER(_xlfn.XMATCH(tbldeptemp[[#This Row],[DependencyID]],tblTargets[TargetID]))</f>
        <v>1</v>
      </c>
      <c r="L356" t="str">
        <f>IF(tbldeptemp[[#This Row],[ValidTarget]]=FALSE,"BAD TARGET",IF(tbldeptemp[[#This Row],[ValidDependency]]=FALSE,"BAD DEPENDENCY",""))</f>
        <v/>
      </c>
    </row>
    <row r="357" spans="1:12">
      <c r="A357" t="s">
        <v>2578</v>
      </c>
      <c r="B357" t="s">
        <v>3054</v>
      </c>
      <c r="C357" t="s">
        <v>2649</v>
      </c>
      <c r="D357" t="s">
        <v>1784</v>
      </c>
      <c r="E357" t="s">
        <v>3413</v>
      </c>
      <c r="F357" t="b">
        <v>0</v>
      </c>
      <c r="G357" t="s">
        <v>2947</v>
      </c>
      <c r="H357" t="s">
        <v>2649</v>
      </c>
      <c r="I357" t="s">
        <v>2576</v>
      </c>
      <c r="J357" t="b">
        <v>1</v>
      </c>
      <c r="K357" t="b">
        <f>ISNUMBER(_xlfn.XMATCH(tbldeptemp[[#This Row],[DependencyID]],tblTargets[TargetID]))</f>
        <v>1</v>
      </c>
      <c r="L357" t="str">
        <f>IF(tbldeptemp[[#This Row],[ValidTarget]]=FALSE,"BAD TARGET",IF(tbldeptemp[[#This Row],[ValidDependency]]=FALSE,"BAD DEPENDENCY",""))</f>
        <v/>
      </c>
    </row>
    <row r="358" spans="1:12">
      <c r="A358" t="s">
        <v>2578</v>
      </c>
      <c r="B358" t="s">
        <v>2984</v>
      </c>
      <c r="C358" t="s">
        <v>2579</v>
      </c>
      <c r="D358" t="s">
        <v>3177</v>
      </c>
      <c r="E358" t="s">
        <v>3360</v>
      </c>
      <c r="F358" t="b">
        <v>0</v>
      </c>
      <c r="G358" t="s">
        <v>2947</v>
      </c>
      <c r="H358" t="s">
        <v>2579</v>
      </c>
      <c r="I358" t="s">
        <v>2577</v>
      </c>
      <c r="J358" t="b">
        <v>1</v>
      </c>
      <c r="K358" t="b">
        <f>ISNUMBER(_xlfn.XMATCH(tbldeptemp[[#This Row],[DependencyID]],tblTargets[TargetID]))</f>
        <v>1</v>
      </c>
      <c r="L358" t="str">
        <f>IF(tbldeptemp[[#This Row],[ValidTarget]]=FALSE,"BAD TARGET",IF(tbldeptemp[[#This Row],[ValidDependency]]=FALSE,"BAD DEPENDENCY",""))</f>
        <v/>
      </c>
    </row>
    <row r="359" spans="1:12">
      <c r="A359" t="s">
        <v>2578</v>
      </c>
      <c r="B359" t="s">
        <v>2985</v>
      </c>
      <c r="C359" t="s">
        <v>2580</v>
      </c>
      <c r="D359" t="s">
        <v>3178</v>
      </c>
      <c r="E359" t="s">
        <v>3361</v>
      </c>
      <c r="F359" t="b">
        <v>0</v>
      </c>
      <c r="G359" t="s">
        <v>2947</v>
      </c>
      <c r="H359" t="s">
        <v>2580</v>
      </c>
      <c r="I359" t="s">
        <v>2579</v>
      </c>
      <c r="J359" t="b">
        <v>1</v>
      </c>
      <c r="K359" t="b">
        <f>ISNUMBER(_xlfn.XMATCH(tbldeptemp[[#This Row],[DependencyID]],tblTargets[TargetID]))</f>
        <v>1</v>
      </c>
      <c r="L359" t="str">
        <f>IF(tbldeptemp[[#This Row],[ValidTarget]]=FALSE,"BAD TARGET",IF(tbldeptemp[[#This Row],[ValidDependency]]=FALSE,"BAD DEPENDENCY",""))</f>
        <v/>
      </c>
    </row>
    <row r="360" spans="1:12">
      <c r="A360" t="s">
        <v>2578</v>
      </c>
      <c r="B360" t="s">
        <v>2988</v>
      </c>
      <c r="C360" t="s">
        <v>2583</v>
      </c>
      <c r="D360" t="s">
        <v>3179</v>
      </c>
      <c r="E360" t="s">
        <v>3363</v>
      </c>
      <c r="F360" t="b">
        <v>1</v>
      </c>
      <c r="G360" t="s">
        <v>2947</v>
      </c>
      <c r="H360" t="s">
        <v>2583</v>
      </c>
      <c r="I360" t="s">
        <v>2582</v>
      </c>
      <c r="J360" t="b">
        <v>1</v>
      </c>
      <c r="K360" t="b">
        <f>ISNUMBER(_xlfn.XMATCH(tbldeptemp[[#This Row],[DependencyID]],tblTargets[TargetID]))</f>
        <v>1</v>
      </c>
      <c r="L360" t="str">
        <f>IF(tbldeptemp[[#This Row],[ValidTarget]]=FALSE,"BAD TARGET",IF(tbldeptemp[[#This Row],[ValidDependency]]=FALSE,"BAD DEPENDENCY",""))</f>
        <v/>
      </c>
    </row>
    <row r="361" spans="1:12">
      <c r="A361" t="s">
        <v>2578</v>
      </c>
      <c r="B361" t="s">
        <v>2989</v>
      </c>
      <c r="C361" t="s">
        <v>2584</v>
      </c>
      <c r="D361" t="s">
        <v>3180</v>
      </c>
      <c r="E361" t="s">
        <v>3364</v>
      </c>
      <c r="F361" t="b">
        <v>1</v>
      </c>
      <c r="G361" t="s">
        <v>2947</v>
      </c>
      <c r="H361" t="s">
        <v>2584</v>
      </c>
      <c r="I361" t="s">
        <v>2583</v>
      </c>
      <c r="J361" t="b">
        <v>1</v>
      </c>
      <c r="K361" t="b">
        <f>ISNUMBER(_xlfn.XMATCH(tbldeptemp[[#This Row],[DependencyID]],tblTargets[TargetID]))</f>
        <v>1</v>
      </c>
      <c r="L361" t="str">
        <f>IF(tbldeptemp[[#This Row],[ValidTarget]]=FALSE,"BAD TARGET",IF(tbldeptemp[[#This Row],[ValidDependency]]=FALSE,"BAD DEPENDENCY",""))</f>
        <v/>
      </c>
    </row>
    <row r="362" spans="1:12">
      <c r="A362" t="s">
        <v>2578</v>
      </c>
      <c r="B362" t="s">
        <v>2990</v>
      </c>
      <c r="C362" t="s">
        <v>2585</v>
      </c>
      <c r="D362" t="s">
        <v>3181</v>
      </c>
      <c r="E362" t="s">
        <v>3365</v>
      </c>
      <c r="F362" t="b">
        <v>1</v>
      </c>
      <c r="G362" t="s">
        <v>2947</v>
      </c>
      <c r="H362" t="s">
        <v>2585</v>
      </c>
      <c r="I362" t="s">
        <v>2584</v>
      </c>
      <c r="J362" t="b">
        <v>1</v>
      </c>
      <c r="K362" t="b">
        <f>ISNUMBER(_xlfn.XMATCH(tbldeptemp[[#This Row],[DependencyID]],tblTargets[TargetID]))</f>
        <v>1</v>
      </c>
      <c r="L362" t="str">
        <f>IF(tbldeptemp[[#This Row],[ValidTarget]]=FALSE,"BAD TARGET",IF(tbldeptemp[[#This Row],[ValidDependency]]=FALSE,"BAD DEPENDENCY",""))</f>
        <v/>
      </c>
    </row>
    <row r="363" spans="1:12">
      <c r="A363" t="s">
        <v>2578</v>
      </c>
      <c r="B363" t="s">
        <v>2991</v>
      </c>
      <c r="C363" t="s">
        <v>2586</v>
      </c>
      <c r="D363" t="s">
        <v>3182</v>
      </c>
      <c r="E363" t="s">
        <v>3366</v>
      </c>
      <c r="F363" t="b">
        <v>1</v>
      </c>
      <c r="G363" t="s">
        <v>2947</v>
      </c>
      <c r="H363" t="s">
        <v>2586</v>
      </c>
      <c r="I363" t="s">
        <v>2585</v>
      </c>
      <c r="J363" t="b">
        <v>1</v>
      </c>
      <c r="K363" t="b">
        <f>ISNUMBER(_xlfn.XMATCH(tbldeptemp[[#This Row],[DependencyID]],tblTargets[TargetID]))</f>
        <v>1</v>
      </c>
      <c r="L363" t="str">
        <f>IF(tbldeptemp[[#This Row],[ValidTarget]]=FALSE,"BAD TARGET",IF(tbldeptemp[[#This Row],[ValidDependency]]=FALSE,"BAD DEPENDENCY",""))</f>
        <v/>
      </c>
    </row>
    <row r="364" spans="1:12">
      <c r="A364" t="s">
        <v>2578</v>
      </c>
      <c r="B364" t="s">
        <v>2993</v>
      </c>
      <c r="C364" t="s">
        <v>2588</v>
      </c>
      <c r="D364" t="s">
        <v>3183</v>
      </c>
      <c r="E364" t="s">
        <v>3368</v>
      </c>
      <c r="F364" t="b">
        <v>1</v>
      </c>
      <c r="G364" t="s">
        <v>2947</v>
      </c>
      <c r="H364" t="s">
        <v>2588</v>
      </c>
      <c r="I364" t="s">
        <v>2587</v>
      </c>
      <c r="J364" t="b">
        <v>1</v>
      </c>
      <c r="K364" t="b">
        <f>ISNUMBER(_xlfn.XMATCH(tbldeptemp[[#This Row],[DependencyID]],tblTargets[TargetID]))</f>
        <v>1</v>
      </c>
      <c r="L364" t="str">
        <f>IF(tbldeptemp[[#This Row],[ValidTarget]]=FALSE,"BAD TARGET",IF(tbldeptemp[[#This Row],[ValidDependency]]=FALSE,"BAD DEPENDENCY",""))</f>
        <v/>
      </c>
    </row>
    <row r="365" spans="1:12">
      <c r="A365" t="s">
        <v>2578</v>
      </c>
      <c r="B365" t="s">
        <v>2996</v>
      </c>
      <c r="C365" t="s">
        <v>2591</v>
      </c>
      <c r="D365" t="s">
        <v>3184</v>
      </c>
      <c r="E365" t="s">
        <v>3370</v>
      </c>
      <c r="F365" t="b">
        <v>0</v>
      </c>
      <c r="G365" t="s">
        <v>2947</v>
      </c>
      <c r="H365" t="s">
        <v>2591</v>
      </c>
      <c r="I365" t="s">
        <v>2590</v>
      </c>
      <c r="J365" t="b">
        <v>1</v>
      </c>
      <c r="K365" t="b">
        <f>ISNUMBER(_xlfn.XMATCH(tbldeptemp[[#This Row],[DependencyID]],tblTargets[TargetID]))</f>
        <v>1</v>
      </c>
      <c r="L365" t="str">
        <f>IF(tbldeptemp[[#This Row],[ValidTarget]]=FALSE,"BAD TARGET",IF(tbldeptemp[[#This Row],[ValidDependency]]=FALSE,"BAD DEPENDENCY",""))</f>
        <v/>
      </c>
    </row>
    <row r="366" spans="1:12">
      <c r="A366" t="s">
        <v>2578</v>
      </c>
      <c r="B366" t="s">
        <v>2997</v>
      </c>
      <c r="C366" t="s">
        <v>2592</v>
      </c>
      <c r="D366" t="s">
        <v>3185</v>
      </c>
      <c r="E366" t="s">
        <v>3371</v>
      </c>
      <c r="F366" t="b">
        <v>0</v>
      </c>
      <c r="G366" t="s">
        <v>2947</v>
      </c>
      <c r="H366" t="s">
        <v>2592</v>
      </c>
      <c r="I366" t="s">
        <v>2591</v>
      </c>
      <c r="J366" t="b">
        <v>1</v>
      </c>
      <c r="K366" t="b">
        <f>ISNUMBER(_xlfn.XMATCH(tbldeptemp[[#This Row],[DependencyID]],tblTargets[TargetID]))</f>
        <v>1</v>
      </c>
      <c r="L366" t="str">
        <f>IF(tbldeptemp[[#This Row],[ValidTarget]]=FALSE,"BAD TARGET",IF(tbldeptemp[[#This Row],[ValidDependency]]=FALSE,"BAD DEPENDENCY",""))</f>
        <v/>
      </c>
    </row>
    <row r="367" spans="1:12">
      <c r="A367" t="s">
        <v>2578</v>
      </c>
      <c r="B367" t="s">
        <v>2998</v>
      </c>
      <c r="C367" t="s">
        <v>2593</v>
      </c>
      <c r="D367" t="s">
        <v>3186</v>
      </c>
      <c r="E367" t="s">
        <v>3372</v>
      </c>
      <c r="F367" t="b">
        <v>0</v>
      </c>
      <c r="G367" t="s">
        <v>2947</v>
      </c>
      <c r="H367" t="s">
        <v>2593</v>
      </c>
      <c r="I367" t="s">
        <v>2592</v>
      </c>
      <c r="J367" t="b">
        <v>1</v>
      </c>
      <c r="K367" t="b">
        <f>ISNUMBER(_xlfn.XMATCH(tbldeptemp[[#This Row],[DependencyID]],tblTargets[TargetID]))</f>
        <v>1</v>
      </c>
      <c r="L367" t="str">
        <f>IF(tbldeptemp[[#This Row],[ValidTarget]]=FALSE,"BAD TARGET",IF(tbldeptemp[[#This Row],[ValidDependency]]=FALSE,"BAD DEPENDENCY",""))</f>
        <v/>
      </c>
    </row>
    <row r="368" spans="1:12">
      <c r="A368" t="s">
        <v>2578</v>
      </c>
      <c r="B368" t="s">
        <v>2999</v>
      </c>
      <c r="C368" t="s">
        <v>2594</v>
      </c>
      <c r="D368" t="s">
        <v>3187</v>
      </c>
      <c r="E368" t="s">
        <v>3373</v>
      </c>
      <c r="F368" t="b">
        <v>0</v>
      </c>
      <c r="G368" t="s">
        <v>2947</v>
      </c>
      <c r="H368" t="s">
        <v>2594</v>
      </c>
      <c r="I368" t="s">
        <v>2593</v>
      </c>
      <c r="J368" t="b">
        <v>1</v>
      </c>
      <c r="K368" t="b">
        <f>ISNUMBER(_xlfn.XMATCH(tbldeptemp[[#This Row],[DependencyID]],tblTargets[TargetID]))</f>
        <v>1</v>
      </c>
      <c r="L368" t="str">
        <f>IF(tbldeptemp[[#This Row],[ValidTarget]]=FALSE,"BAD TARGET",IF(tbldeptemp[[#This Row],[ValidDependency]]=FALSE,"BAD DEPENDENCY",""))</f>
        <v/>
      </c>
    </row>
    <row r="369" spans="1:12">
      <c r="A369" t="s">
        <v>2578</v>
      </c>
      <c r="B369" t="s">
        <v>3001</v>
      </c>
      <c r="C369" t="s">
        <v>2596</v>
      </c>
      <c r="D369" t="s">
        <v>3188</v>
      </c>
      <c r="E369" t="s">
        <v>3374</v>
      </c>
      <c r="F369" t="b">
        <v>0</v>
      </c>
      <c r="G369" t="s">
        <v>2947</v>
      </c>
      <c r="H369" t="s">
        <v>2596</v>
      </c>
      <c r="I369" t="s">
        <v>2595</v>
      </c>
      <c r="J369" t="b">
        <v>1</v>
      </c>
      <c r="K369" t="b">
        <f>ISNUMBER(_xlfn.XMATCH(tbldeptemp[[#This Row],[DependencyID]],tblTargets[TargetID]))</f>
        <v>1</v>
      </c>
      <c r="L369" t="str">
        <f>IF(tbldeptemp[[#This Row],[ValidTarget]]=FALSE,"BAD TARGET",IF(tbldeptemp[[#This Row],[ValidDependency]]=FALSE,"BAD DEPENDENCY",""))</f>
        <v/>
      </c>
    </row>
    <row r="370" spans="1:12">
      <c r="A370" t="s">
        <v>2578</v>
      </c>
      <c r="B370" t="s">
        <v>3002</v>
      </c>
      <c r="C370" t="s">
        <v>2597</v>
      </c>
      <c r="D370" t="s">
        <v>3189</v>
      </c>
      <c r="E370" t="s">
        <v>3375</v>
      </c>
      <c r="F370" t="b">
        <v>0</v>
      </c>
      <c r="G370" t="s">
        <v>2947</v>
      </c>
      <c r="H370" t="s">
        <v>2597</v>
      </c>
      <c r="I370" t="s">
        <v>2596</v>
      </c>
      <c r="J370" t="b">
        <v>1</v>
      </c>
      <c r="K370" t="b">
        <f>ISNUMBER(_xlfn.XMATCH(tbldeptemp[[#This Row],[DependencyID]],tblTargets[TargetID]))</f>
        <v>1</v>
      </c>
      <c r="L370" t="str">
        <f>IF(tbldeptemp[[#This Row],[ValidTarget]]=FALSE,"BAD TARGET",IF(tbldeptemp[[#This Row],[ValidDependency]]=FALSE,"BAD DEPENDENCY",""))</f>
        <v/>
      </c>
    </row>
    <row r="371" spans="1:12">
      <c r="A371" t="s">
        <v>2578</v>
      </c>
      <c r="B371" t="s">
        <v>3003</v>
      </c>
      <c r="C371" t="s">
        <v>2598</v>
      </c>
      <c r="D371" t="s">
        <v>3190</v>
      </c>
      <c r="E371" t="s">
        <v>3376</v>
      </c>
      <c r="F371" t="b">
        <v>0</v>
      </c>
      <c r="G371" t="s">
        <v>2947</v>
      </c>
      <c r="H371" t="s">
        <v>2598</v>
      </c>
      <c r="I371" t="s">
        <v>2597</v>
      </c>
      <c r="J371" t="b">
        <v>1</v>
      </c>
      <c r="K371" t="b">
        <f>ISNUMBER(_xlfn.XMATCH(tbldeptemp[[#This Row],[DependencyID]],tblTargets[TargetID]))</f>
        <v>1</v>
      </c>
      <c r="L371" t="str">
        <f>IF(tbldeptemp[[#This Row],[ValidTarget]]=FALSE,"BAD TARGET",IF(tbldeptemp[[#This Row],[ValidDependency]]=FALSE,"BAD DEPENDENCY",""))</f>
        <v/>
      </c>
    </row>
    <row r="372" spans="1:12">
      <c r="A372" t="s">
        <v>2578</v>
      </c>
      <c r="B372" t="s">
        <v>3004</v>
      </c>
      <c r="C372" t="s">
        <v>2599</v>
      </c>
      <c r="D372" t="s">
        <v>3191</v>
      </c>
      <c r="E372" t="s">
        <v>3377</v>
      </c>
      <c r="F372" t="b">
        <v>0</v>
      </c>
      <c r="G372" t="s">
        <v>2947</v>
      </c>
      <c r="H372" t="s">
        <v>2599</v>
      </c>
      <c r="I372" t="s">
        <v>2598</v>
      </c>
      <c r="J372" t="b">
        <v>1</v>
      </c>
      <c r="K372" t="b">
        <f>ISNUMBER(_xlfn.XMATCH(tbldeptemp[[#This Row],[DependencyID]],tblTargets[TargetID]))</f>
        <v>1</v>
      </c>
      <c r="L372" t="str">
        <f>IF(tbldeptemp[[#This Row],[ValidTarget]]=FALSE,"BAD TARGET",IF(tbldeptemp[[#This Row],[ValidDependency]]=FALSE,"BAD DEPENDENCY",""))</f>
        <v/>
      </c>
    </row>
    <row r="373" spans="1:12">
      <c r="A373" t="s">
        <v>2578</v>
      </c>
      <c r="B373" t="s">
        <v>3006</v>
      </c>
      <c r="C373" t="s">
        <v>2601</v>
      </c>
      <c r="D373" t="s">
        <v>3192</v>
      </c>
      <c r="E373" t="s">
        <v>3378</v>
      </c>
      <c r="F373" t="b">
        <v>0</v>
      </c>
      <c r="G373" t="s">
        <v>2947</v>
      </c>
      <c r="H373" t="s">
        <v>2601</v>
      </c>
      <c r="I373" t="s">
        <v>2600</v>
      </c>
      <c r="J373" t="b">
        <v>1</v>
      </c>
      <c r="K373" t="b">
        <f>ISNUMBER(_xlfn.XMATCH(tbldeptemp[[#This Row],[DependencyID]],tblTargets[TargetID]))</f>
        <v>1</v>
      </c>
      <c r="L373" t="str">
        <f>IF(tbldeptemp[[#This Row],[ValidTarget]]=FALSE,"BAD TARGET",IF(tbldeptemp[[#This Row],[ValidDependency]]=FALSE,"BAD DEPENDENCY",""))</f>
        <v/>
      </c>
    </row>
    <row r="374" spans="1:12">
      <c r="A374" t="s">
        <v>2578</v>
      </c>
      <c r="B374" t="s">
        <v>3007</v>
      </c>
      <c r="C374" t="s">
        <v>2602</v>
      </c>
      <c r="D374" t="s">
        <v>3193</v>
      </c>
      <c r="E374" t="s">
        <v>3379</v>
      </c>
      <c r="F374" t="b">
        <v>0</v>
      </c>
      <c r="G374" t="s">
        <v>2947</v>
      </c>
      <c r="H374" t="s">
        <v>2602</v>
      </c>
      <c r="I374" t="s">
        <v>2601</v>
      </c>
      <c r="J374" t="b">
        <v>1</v>
      </c>
      <c r="K374" t="b">
        <f>ISNUMBER(_xlfn.XMATCH(tbldeptemp[[#This Row],[DependencyID]],tblTargets[TargetID]))</f>
        <v>1</v>
      </c>
      <c r="L374" t="str">
        <f>IF(tbldeptemp[[#This Row],[ValidTarget]]=FALSE,"BAD TARGET",IF(tbldeptemp[[#This Row],[ValidDependency]]=FALSE,"BAD DEPENDENCY",""))</f>
        <v/>
      </c>
    </row>
    <row r="375" spans="1:12">
      <c r="A375" t="s">
        <v>2578</v>
      </c>
      <c r="B375" t="s">
        <v>3008</v>
      </c>
      <c r="C375" t="s">
        <v>2603</v>
      </c>
      <c r="D375" t="s">
        <v>3194</v>
      </c>
      <c r="E375" t="s">
        <v>3380</v>
      </c>
      <c r="F375" t="b">
        <v>0</v>
      </c>
      <c r="G375" t="s">
        <v>2947</v>
      </c>
      <c r="H375" t="s">
        <v>2603</v>
      </c>
      <c r="I375" t="s">
        <v>2602</v>
      </c>
      <c r="J375" t="b">
        <v>1</v>
      </c>
      <c r="K375" t="b">
        <f>ISNUMBER(_xlfn.XMATCH(tbldeptemp[[#This Row],[DependencyID]],tblTargets[TargetID]))</f>
        <v>1</v>
      </c>
      <c r="L375" t="str">
        <f>IF(tbldeptemp[[#This Row],[ValidTarget]]=FALSE,"BAD TARGET",IF(tbldeptemp[[#This Row],[ValidDependency]]=FALSE,"BAD DEPENDENCY",""))</f>
        <v/>
      </c>
    </row>
    <row r="376" spans="1:12">
      <c r="A376" t="s">
        <v>2578</v>
      </c>
      <c r="B376" t="s">
        <v>3009</v>
      </c>
      <c r="C376" t="s">
        <v>2604</v>
      </c>
      <c r="D376" t="s">
        <v>3195</v>
      </c>
      <c r="E376" t="s">
        <v>3381</v>
      </c>
      <c r="F376" t="b">
        <v>0</v>
      </c>
      <c r="G376" t="s">
        <v>2947</v>
      </c>
      <c r="H376" t="s">
        <v>2604</v>
      </c>
      <c r="I376" t="s">
        <v>2603</v>
      </c>
      <c r="J376" t="b">
        <v>1</v>
      </c>
      <c r="K376" t="b">
        <f>ISNUMBER(_xlfn.XMATCH(tbldeptemp[[#This Row],[DependencyID]],tblTargets[TargetID]))</f>
        <v>1</v>
      </c>
      <c r="L376" t="str">
        <f>IF(tbldeptemp[[#This Row],[ValidTarget]]=FALSE,"BAD TARGET",IF(tbldeptemp[[#This Row],[ValidDependency]]=FALSE,"BAD DEPENDENCY",""))</f>
        <v/>
      </c>
    </row>
    <row r="377" spans="1:12">
      <c r="A377" t="s">
        <v>2578</v>
      </c>
      <c r="B377" t="s">
        <v>3011</v>
      </c>
      <c r="C377" t="s">
        <v>2606</v>
      </c>
      <c r="D377" t="s">
        <v>3196</v>
      </c>
      <c r="E377" t="s">
        <v>3384</v>
      </c>
      <c r="F377" t="b">
        <v>1</v>
      </c>
      <c r="G377" t="s">
        <v>2947</v>
      </c>
      <c r="H377" t="s">
        <v>2606</v>
      </c>
      <c r="I377" t="s">
        <v>2605</v>
      </c>
      <c r="J377" t="b">
        <v>1</v>
      </c>
      <c r="K377" t="b">
        <f>ISNUMBER(_xlfn.XMATCH(tbldeptemp[[#This Row],[DependencyID]],tblTargets[TargetID]))</f>
        <v>1</v>
      </c>
      <c r="L377" t="str">
        <f>IF(tbldeptemp[[#This Row],[ValidTarget]]=FALSE,"BAD TARGET",IF(tbldeptemp[[#This Row],[ValidDependency]]=FALSE,"BAD DEPENDENCY",""))</f>
        <v/>
      </c>
    </row>
    <row r="378" spans="1:12">
      <c r="A378" t="s">
        <v>2578</v>
      </c>
      <c r="B378" t="s">
        <v>3012</v>
      </c>
      <c r="C378" t="s">
        <v>2607</v>
      </c>
      <c r="D378" t="s">
        <v>3197</v>
      </c>
      <c r="E378" t="s">
        <v>3385</v>
      </c>
      <c r="F378" t="b">
        <v>0</v>
      </c>
      <c r="G378" t="s">
        <v>2947</v>
      </c>
      <c r="H378" t="s">
        <v>2607</v>
      </c>
      <c r="I378" t="s">
        <v>2606</v>
      </c>
      <c r="J378" t="b">
        <v>1</v>
      </c>
      <c r="K378" t="b">
        <f>ISNUMBER(_xlfn.XMATCH(tbldeptemp[[#This Row],[DependencyID]],tblTargets[TargetID]))</f>
        <v>1</v>
      </c>
      <c r="L378" t="str">
        <f>IF(tbldeptemp[[#This Row],[ValidTarget]]=FALSE,"BAD TARGET",IF(tbldeptemp[[#This Row],[ValidDependency]]=FALSE,"BAD DEPENDENCY",""))</f>
        <v/>
      </c>
    </row>
    <row r="379" spans="1:12">
      <c r="A379" t="s">
        <v>2578</v>
      </c>
      <c r="B379" t="s">
        <v>3014</v>
      </c>
      <c r="C379" t="s">
        <v>2609</v>
      </c>
      <c r="D379" t="s">
        <v>3198</v>
      </c>
      <c r="E379" t="s">
        <v>3386</v>
      </c>
      <c r="F379" t="b">
        <v>1</v>
      </c>
      <c r="G379" t="s">
        <v>2947</v>
      </c>
      <c r="H379" t="s">
        <v>2609</v>
      </c>
      <c r="I379" t="s">
        <v>2608</v>
      </c>
      <c r="J379" t="b">
        <v>1</v>
      </c>
      <c r="K379" t="b">
        <f>ISNUMBER(_xlfn.XMATCH(tbldeptemp[[#This Row],[DependencyID]],tblTargets[TargetID]))</f>
        <v>1</v>
      </c>
      <c r="L379" t="str">
        <f>IF(tbldeptemp[[#This Row],[ValidTarget]]=FALSE,"BAD TARGET",IF(tbldeptemp[[#This Row],[ValidDependency]]=FALSE,"BAD DEPENDENCY",""))</f>
        <v/>
      </c>
    </row>
    <row r="380" spans="1:12">
      <c r="A380" t="s">
        <v>2578</v>
      </c>
      <c r="B380" t="s">
        <v>3015</v>
      </c>
      <c r="C380" t="s">
        <v>2610</v>
      </c>
      <c r="D380" t="s">
        <v>3199</v>
      </c>
      <c r="E380" t="s">
        <v>3387</v>
      </c>
      <c r="F380" t="b">
        <v>1</v>
      </c>
      <c r="G380" t="s">
        <v>2947</v>
      </c>
      <c r="H380" t="s">
        <v>2610</v>
      </c>
      <c r="I380" t="s">
        <v>2609</v>
      </c>
      <c r="J380" t="b">
        <v>1</v>
      </c>
      <c r="K380" t="b">
        <f>ISNUMBER(_xlfn.XMATCH(tbldeptemp[[#This Row],[DependencyID]],tblTargets[TargetID]))</f>
        <v>1</v>
      </c>
      <c r="L380" t="str">
        <f>IF(tbldeptemp[[#This Row],[ValidTarget]]=FALSE,"BAD TARGET",IF(tbldeptemp[[#This Row],[ValidDependency]]=FALSE,"BAD DEPENDENCY",""))</f>
        <v/>
      </c>
    </row>
    <row r="381" spans="1:12">
      <c r="A381" t="s">
        <v>2578</v>
      </c>
      <c r="B381" t="s">
        <v>3018</v>
      </c>
      <c r="C381" t="s">
        <v>2613</v>
      </c>
      <c r="D381" t="s">
        <v>3200</v>
      </c>
      <c r="E381" t="s">
        <v>3390</v>
      </c>
      <c r="F381" t="b">
        <v>1</v>
      </c>
      <c r="G381" t="s">
        <v>2947</v>
      </c>
      <c r="H381" t="s">
        <v>2613</v>
      </c>
      <c r="I381" t="s">
        <v>2612</v>
      </c>
      <c r="J381" t="b">
        <v>1</v>
      </c>
      <c r="K381" t="b">
        <f>ISNUMBER(_xlfn.XMATCH(tbldeptemp[[#This Row],[DependencyID]],tblTargets[TargetID]))</f>
        <v>1</v>
      </c>
      <c r="L381" t="str">
        <f>IF(tbldeptemp[[#This Row],[ValidTarget]]=FALSE,"BAD TARGET",IF(tbldeptemp[[#This Row],[ValidDependency]]=FALSE,"BAD DEPENDENCY",""))</f>
        <v/>
      </c>
    </row>
    <row r="382" spans="1:12">
      <c r="A382" t="s">
        <v>2578</v>
      </c>
      <c r="B382" t="s">
        <v>3019</v>
      </c>
      <c r="C382" t="s">
        <v>2614</v>
      </c>
      <c r="D382" t="s">
        <v>3201</v>
      </c>
      <c r="E382" t="s">
        <v>3391</v>
      </c>
      <c r="F382" t="b">
        <v>1</v>
      </c>
      <c r="G382" t="s">
        <v>2947</v>
      </c>
      <c r="H382" t="s">
        <v>2614</v>
      </c>
      <c r="I382" t="s">
        <v>2613</v>
      </c>
      <c r="J382" t="b">
        <v>1</v>
      </c>
      <c r="K382" t="b">
        <f>ISNUMBER(_xlfn.XMATCH(tbldeptemp[[#This Row],[DependencyID]],tblTargets[TargetID]))</f>
        <v>1</v>
      </c>
      <c r="L382" t="str">
        <f>IF(tbldeptemp[[#This Row],[ValidTarget]]=FALSE,"BAD TARGET",IF(tbldeptemp[[#This Row],[ValidDependency]]=FALSE,"BAD DEPENDENCY",""))</f>
        <v/>
      </c>
    </row>
    <row r="383" spans="1:12">
      <c r="A383" t="s">
        <v>2578</v>
      </c>
      <c r="B383" t="s">
        <v>3020</v>
      </c>
      <c r="C383" t="s">
        <v>2615</v>
      </c>
      <c r="D383" t="s">
        <v>3202</v>
      </c>
      <c r="E383" t="s">
        <v>3392</v>
      </c>
      <c r="F383" t="b">
        <v>0</v>
      </c>
      <c r="G383" t="s">
        <v>2947</v>
      </c>
      <c r="H383" t="s">
        <v>2615</v>
      </c>
      <c r="I383" t="s">
        <v>2614</v>
      </c>
      <c r="J383" t="b">
        <v>1</v>
      </c>
      <c r="K383" t="b">
        <f>ISNUMBER(_xlfn.XMATCH(tbldeptemp[[#This Row],[DependencyID]],tblTargets[TargetID]))</f>
        <v>1</v>
      </c>
      <c r="L383" t="str">
        <f>IF(tbldeptemp[[#This Row],[ValidTarget]]=FALSE,"BAD TARGET",IF(tbldeptemp[[#This Row],[ValidDependency]]=FALSE,"BAD DEPENDENCY",""))</f>
        <v/>
      </c>
    </row>
    <row r="384" spans="1:12">
      <c r="A384" t="s">
        <v>2578</v>
      </c>
      <c r="B384" t="s">
        <v>3021</v>
      </c>
      <c r="C384" t="s">
        <v>2616</v>
      </c>
      <c r="D384" t="s">
        <v>3203</v>
      </c>
      <c r="E384" t="s">
        <v>3393</v>
      </c>
      <c r="F384" t="b">
        <v>0</v>
      </c>
      <c r="G384" t="s">
        <v>2947</v>
      </c>
      <c r="H384" t="s">
        <v>2616</v>
      </c>
      <c r="I384" t="s">
        <v>2615</v>
      </c>
      <c r="J384" t="b">
        <v>1</v>
      </c>
      <c r="K384" t="b">
        <f>ISNUMBER(_xlfn.XMATCH(tbldeptemp[[#This Row],[DependencyID]],tblTargets[TargetID]))</f>
        <v>1</v>
      </c>
      <c r="L384" t="str">
        <f>IF(tbldeptemp[[#This Row],[ValidTarget]]=FALSE,"BAD TARGET",IF(tbldeptemp[[#This Row],[ValidDependency]]=FALSE,"BAD DEPENDENCY",""))</f>
        <v/>
      </c>
    </row>
    <row r="385" spans="1:12">
      <c r="A385" t="s">
        <v>2578</v>
      </c>
      <c r="B385" t="s">
        <v>3024</v>
      </c>
      <c r="C385" t="s">
        <v>2619</v>
      </c>
      <c r="D385" t="s">
        <v>3204</v>
      </c>
      <c r="E385" t="s">
        <v>3395</v>
      </c>
      <c r="F385" t="b">
        <v>1</v>
      </c>
      <c r="G385" t="s">
        <v>2947</v>
      </c>
      <c r="H385" t="s">
        <v>2619</v>
      </c>
      <c r="I385" t="s">
        <v>2618</v>
      </c>
      <c r="J385" t="b">
        <v>1</v>
      </c>
      <c r="K385" t="b">
        <f>ISNUMBER(_xlfn.XMATCH(tbldeptemp[[#This Row],[DependencyID]],tblTargets[TargetID]))</f>
        <v>1</v>
      </c>
      <c r="L385" t="str">
        <f>IF(tbldeptemp[[#This Row],[ValidTarget]]=FALSE,"BAD TARGET",IF(tbldeptemp[[#This Row],[ValidDependency]]=FALSE,"BAD DEPENDENCY",""))</f>
        <v/>
      </c>
    </row>
    <row r="386" spans="1:12">
      <c r="A386" t="s">
        <v>2578</v>
      </c>
      <c r="B386" t="s">
        <v>3026</v>
      </c>
      <c r="C386" t="s">
        <v>2621</v>
      </c>
      <c r="D386" t="s">
        <v>3205</v>
      </c>
      <c r="E386" t="s">
        <v>3397</v>
      </c>
      <c r="F386" t="b">
        <v>1</v>
      </c>
      <c r="G386" t="s">
        <v>2947</v>
      </c>
      <c r="H386" t="s">
        <v>2621</v>
      </c>
      <c r="I386" t="s">
        <v>2620</v>
      </c>
      <c r="J386" t="b">
        <v>1</v>
      </c>
      <c r="K386" t="b">
        <f>ISNUMBER(_xlfn.XMATCH(tbldeptemp[[#This Row],[DependencyID]],tblTargets[TargetID]))</f>
        <v>1</v>
      </c>
      <c r="L386" t="str">
        <f>IF(tbldeptemp[[#This Row],[ValidTarget]]=FALSE,"BAD TARGET",IF(tbldeptemp[[#This Row],[ValidDependency]]=FALSE,"BAD DEPENDENCY",""))</f>
        <v/>
      </c>
    </row>
    <row r="387" spans="1:12">
      <c r="A387" t="s">
        <v>2578</v>
      </c>
      <c r="B387" t="s">
        <v>3028</v>
      </c>
      <c r="C387" t="s">
        <v>2623</v>
      </c>
      <c r="D387" t="s">
        <v>3206</v>
      </c>
      <c r="E387" t="s">
        <v>3399</v>
      </c>
      <c r="F387" t="b">
        <v>1</v>
      </c>
      <c r="G387" t="s">
        <v>2947</v>
      </c>
      <c r="H387" t="s">
        <v>2623</v>
      </c>
      <c r="I387" t="s">
        <v>2622</v>
      </c>
      <c r="J387" t="b">
        <v>1</v>
      </c>
      <c r="K387" t="b">
        <f>ISNUMBER(_xlfn.XMATCH(tbldeptemp[[#This Row],[DependencyID]],tblTargets[TargetID]))</f>
        <v>1</v>
      </c>
      <c r="L387" t="str">
        <f>IF(tbldeptemp[[#This Row],[ValidTarget]]=FALSE,"BAD TARGET",IF(tbldeptemp[[#This Row],[ValidDependency]]=FALSE,"BAD DEPENDENCY",""))</f>
        <v/>
      </c>
    </row>
    <row r="388" spans="1:12">
      <c r="A388" t="s">
        <v>2578</v>
      </c>
      <c r="B388" t="s">
        <v>3029</v>
      </c>
      <c r="C388" t="s">
        <v>2624</v>
      </c>
      <c r="D388" t="s">
        <v>3207</v>
      </c>
      <c r="E388" t="s">
        <v>3400</v>
      </c>
      <c r="F388" t="b">
        <v>1</v>
      </c>
      <c r="G388" t="s">
        <v>2947</v>
      </c>
      <c r="H388" t="s">
        <v>2624</v>
      </c>
      <c r="I388" t="s">
        <v>2623</v>
      </c>
      <c r="J388" t="b">
        <v>1</v>
      </c>
      <c r="K388" t="b">
        <f>ISNUMBER(_xlfn.XMATCH(tbldeptemp[[#This Row],[DependencyID]],tblTargets[TargetID]))</f>
        <v>1</v>
      </c>
      <c r="L388" t="str">
        <f>IF(tbldeptemp[[#This Row],[ValidTarget]]=FALSE,"BAD TARGET",IF(tbldeptemp[[#This Row],[ValidDependency]]=FALSE,"BAD DEPENDENCY",""))</f>
        <v/>
      </c>
    </row>
    <row r="389" spans="1:12">
      <c r="A389" t="s">
        <v>2578</v>
      </c>
      <c r="B389" t="s">
        <v>3030</v>
      </c>
      <c r="C389" t="s">
        <v>2625</v>
      </c>
      <c r="D389" t="s">
        <v>3208</v>
      </c>
      <c r="E389" t="s">
        <v>3401</v>
      </c>
      <c r="F389" t="b">
        <v>1</v>
      </c>
      <c r="G389" t="s">
        <v>2947</v>
      </c>
      <c r="H389" t="s">
        <v>2625</v>
      </c>
      <c r="I389" t="s">
        <v>2624</v>
      </c>
      <c r="J389" t="b">
        <v>1</v>
      </c>
      <c r="K389" t="b">
        <f>ISNUMBER(_xlfn.XMATCH(tbldeptemp[[#This Row],[DependencyID]],tblTargets[TargetID]))</f>
        <v>1</v>
      </c>
      <c r="L389" t="str">
        <f>IF(tbldeptemp[[#This Row],[ValidTarget]]=FALSE,"BAD TARGET",IF(tbldeptemp[[#This Row],[ValidDependency]]=FALSE,"BAD DEPENDENCY",""))</f>
        <v/>
      </c>
    </row>
    <row r="390" spans="1:12">
      <c r="A390" t="s">
        <v>2578</v>
      </c>
      <c r="B390" t="s">
        <v>3031</v>
      </c>
      <c r="C390" t="s">
        <v>2626</v>
      </c>
      <c r="D390" t="s">
        <v>3209</v>
      </c>
      <c r="E390" t="s">
        <v>3402</v>
      </c>
      <c r="F390" t="b">
        <v>0</v>
      </c>
      <c r="G390" t="s">
        <v>2947</v>
      </c>
      <c r="H390" t="s">
        <v>2626</v>
      </c>
      <c r="I390" t="s">
        <v>2625</v>
      </c>
      <c r="J390" t="b">
        <v>1</v>
      </c>
      <c r="K390" t="b">
        <f>ISNUMBER(_xlfn.XMATCH(tbldeptemp[[#This Row],[DependencyID]],tblTargets[TargetID]))</f>
        <v>1</v>
      </c>
      <c r="L390" t="str">
        <f>IF(tbldeptemp[[#This Row],[ValidTarget]]=FALSE,"BAD TARGET",IF(tbldeptemp[[#This Row],[ValidDependency]]=FALSE,"BAD DEPENDENCY",""))</f>
        <v/>
      </c>
    </row>
    <row r="391" spans="1:12">
      <c r="A391" t="s">
        <v>2578</v>
      </c>
      <c r="B391" t="s">
        <v>3033</v>
      </c>
      <c r="C391" t="s">
        <v>2628</v>
      </c>
      <c r="D391" t="s">
        <v>3210</v>
      </c>
      <c r="E391" t="s">
        <v>3403</v>
      </c>
      <c r="F391" t="b">
        <v>1</v>
      </c>
      <c r="G391" t="s">
        <v>2947</v>
      </c>
      <c r="H391" t="s">
        <v>2628</v>
      </c>
      <c r="I391" t="s">
        <v>2627</v>
      </c>
      <c r="J391" t="b">
        <v>1</v>
      </c>
      <c r="K391" t="b">
        <f>ISNUMBER(_xlfn.XMATCH(tbldeptemp[[#This Row],[DependencyID]],tblTargets[TargetID]))</f>
        <v>1</v>
      </c>
      <c r="L391" t="str">
        <f>IF(tbldeptemp[[#This Row],[ValidTarget]]=FALSE,"BAD TARGET",IF(tbldeptemp[[#This Row],[ValidDependency]]=FALSE,"BAD DEPENDENCY",""))</f>
        <v/>
      </c>
    </row>
    <row r="392" spans="1:12">
      <c r="A392" t="s">
        <v>2578</v>
      </c>
      <c r="B392" t="s">
        <v>3034</v>
      </c>
      <c r="C392" t="s">
        <v>2629</v>
      </c>
      <c r="D392" t="s">
        <v>3211</v>
      </c>
      <c r="E392" t="s">
        <v>3404</v>
      </c>
      <c r="F392" t="b">
        <v>1</v>
      </c>
      <c r="G392" t="s">
        <v>2947</v>
      </c>
      <c r="H392" t="s">
        <v>2629</v>
      </c>
      <c r="I392" t="s">
        <v>2628</v>
      </c>
      <c r="J392" t="b">
        <v>1</v>
      </c>
      <c r="K392" t="b">
        <f>ISNUMBER(_xlfn.XMATCH(tbldeptemp[[#This Row],[DependencyID]],tblTargets[TargetID]))</f>
        <v>1</v>
      </c>
      <c r="L392" t="str">
        <f>IF(tbldeptemp[[#This Row],[ValidTarget]]=FALSE,"BAD TARGET",IF(tbldeptemp[[#This Row],[ValidDependency]]=FALSE,"BAD DEPENDENCY",""))</f>
        <v/>
      </c>
    </row>
    <row r="393" spans="1:12">
      <c r="A393" t="s">
        <v>2578</v>
      </c>
      <c r="B393" t="s">
        <v>3035</v>
      </c>
      <c r="C393" t="s">
        <v>2630</v>
      </c>
      <c r="D393" t="s">
        <v>3212</v>
      </c>
      <c r="E393" t="s">
        <v>3405</v>
      </c>
      <c r="F393" t="b">
        <v>0</v>
      </c>
      <c r="G393" t="s">
        <v>2947</v>
      </c>
      <c r="H393" t="s">
        <v>2630</v>
      </c>
      <c r="I393" t="s">
        <v>2629</v>
      </c>
      <c r="J393" t="b">
        <v>1</v>
      </c>
      <c r="K393" t="b">
        <f>ISNUMBER(_xlfn.XMATCH(tbldeptemp[[#This Row],[DependencyID]],tblTargets[TargetID]))</f>
        <v>1</v>
      </c>
      <c r="L393" t="str">
        <f>IF(tbldeptemp[[#This Row],[ValidTarget]]=FALSE,"BAD TARGET",IF(tbldeptemp[[#This Row],[ValidDependency]]=FALSE,"BAD DEPENDENCY",""))</f>
        <v/>
      </c>
    </row>
    <row r="394" spans="1:12">
      <c r="A394" t="s">
        <v>2578</v>
      </c>
      <c r="B394" t="s">
        <v>3036</v>
      </c>
      <c r="C394" t="s">
        <v>2631</v>
      </c>
      <c r="D394" t="s">
        <v>3213</v>
      </c>
      <c r="E394" t="s">
        <v>3406</v>
      </c>
      <c r="F394" t="b">
        <v>0</v>
      </c>
      <c r="G394" t="s">
        <v>2947</v>
      </c>
      <c r="H394" t="s">
        <v>2631</v>
      </c>
      <c r="I394" t="s">
        <v>2630</v>
      </c>
      <c r="J394" t="b">
        <v>1</v>
      </c>
      <c r="K394" t="b">
        <f>ISNUMBER(_xlfn.XMATCH(tbldeptemp[[#This Row],[DependencyID]],tblTargets[TargetID]))</f>
        <v>1</v>
      </c>
      <c r="L394" t="str">
        <f>IF(tbldeptemp[[#This Row],[ValidTarget]]=FALSE,"BAD TARGET",IF(tbldeptemp[[#This Row],[ValidDependency]]=FALSE,"BAD DEPENDENCY",""))</f>
        <v/>
      </c>
    </row>
    <row r="395" spans="1:12">
      <c r="A395" t="s">
        <v>2578</v>
      </c>
      <c r="B395" t="s">
        <v>3038</v>
      </c>
      <c r="C395" t="s">
        <v>2633</v>
      </c>
      <c r="D395" t="s">
        <v>3214</v>
      </c>
      <c r="E395" t="s">
        <v>3407</v>
      </c>
      <c r="F395" t="b">
        <v>1</v>
      </c>
      <c r="G395" t="s">
        <v>2947</v>
      </c>
      <c r="H395" t="s">
        <v>2633</v>
      </c>
      <c r="I395" t="s">
        <v>2632</v>
      </c>
      <c r="J395" t="b">
        <v>1</v>
      </c>
      <c r="K395" t="b">
        <f>ISNUMBER(_xlfn.XMATCH(tbldeptemp[[#This Row],[DependencyID]],tblTargets[TargetID]))</f>
        <v>1</v>
      </c>
      <c r="L395" t="str">
        <f>IF(tbldeptemp[[#This Row],[ValidTarget]]=FALSE,"BAD TARGET",IF(tbldeptemp[[#This Row],[ValidDependency]]=FALSE,"BAD DEPENDENCY",""))</f>
        <v/>
      </c>
    </row>
    <row r="396" spans="1:12">
      <c r="A396" t="s">
        <v>2578</v>
      </c>
      <c r="B396" t="s">
        <v>3039</v>
      </c>
      <c r="C396" t="s">
        <v>2634</v>
      </c>
      <c r="D396" t="s">
        <v>3215</v>
      </c>
      <c r="E396" t="s">
        <v>3408</v>
      </c>
      <c r="F396" t="b">
        <v>1</v>
      </c>
      <c r="G396" t="s">
        <v>2947</v>
      </c>
      <c r="H396" t="s">
        <v>2634</v>
      </c>
      <c r="I396" t="s">
        <v>2633</v>
      </c>
      <c r="J396" t="b">
        <v>1</v>
      </c>
      <c r="K396" t="b">
        <f>ISNUMBER(_xlfn.XMATCH(tbldeptemp[[#This Row],[DependencyID]],tblTargets[TargetID]))</f>
        <v>1</v>
      </c>
      <c r="L396" t="str">
        <f>IF(tbldeptemp[[#This Row],[ValidTarget]]=FALSE,"BAD TARGET",IF(tbldeptemp[[#This Row],[ValidDependency]]=FALSE,"BAD DEPENDENCY",""))</f>
        <v/>
      </c>
    </row>
    <row r="397" spans="1:12">
      <c r="A397" t="s">
        <v>2578</v>
      </c>
      <c r="B397" t="s">
        <v>3040</v>
      </c>
      <c r="C397" t="s">
        <v>2635</v>
      </c>
      <c r="D397" t="s">
        <v>3216</v>
      </c>
      <c r="E397" t="s">
        <v>3409</v>
      </c>
      <c r="F397" t="b">
        <v>1</v>
      </c>
      <c r="G397" t="s">
        <v>2947</v>
      </c>
      <c r="H397" t="s">
        <v>2635</v>
      </c>
      <c r="I397" t="s">
        <v>2634</v>
      </c>
      <c r="J397" t="b">
        <v>1</v>
      </c>
      <c r="K397" t="b">
        <f>ISNUMBER(_xlfn.XMATCH(tbldeptemp[[#This Row],[DependencyID]],tblTargets[TargetID]))</f>
        <v>1</v>
      </c>
      <c r="L397" t="str">
        <f>IF(tbldeptemp[[#This Row],[ValidTarget]]=FALSE,"BAD TARGET",IF(tbldeptemp[[#This Row],[ValidDependency]]=FALSE,"BAD DEPENDENCY",""))</f>
        <v/>
      </c>
    </row>
    <row r="398" spans="1:12">
      <c r="A398" t="s">
        <v>2578</v>
      </c>
      <c r="B398" t="s">
        <v>3041</v>
      </c>
      <c r="C398" t="s">
        <v>2636</v>
      </c>
      <c r="D398" t="s">
        <v>3217</v>
      </c>
      <c r="E398" t="s">
        <v>3410</v>
      </c>
      <c r="F398" t="b">
        <v>0</v>
      </c>
      <c r="G398" t="s">
        <v>2947</v>
      </c>
      <c r="H398" t="s">
        <v>2636</v>
      </c>
      <c r="I398" t="s">
        <v>2635</v>
      </c>
      <c r="J398" t="b">
        <v>1</v>
      </c>
      <c r="K398" t="b">
        <f>ISNUMBER(_xlfn.XMATCH(tbldeptemp[[#This Row],[DependencyID]],tblTargets[TargetID]))</f>
        <v>1</v>
      </c>
      <c r="L398" t="str">
        <f>IF(tbldeptemp[[#This Row],[ValidTarget]]=FALSE,"BAD TARGET",IF(tbldeptemp[[#This Row],[ValidDependency]]=FALSE,"BAD DEPENDENCY",""))</f>
        <v/>
      </c>
    </row>
    <row r="399" spans="1:12">
      <c r="A399" t="s">
        <v>2578</v>
      </c>
      <c r="B399" t="s">
        <v>3045</v>
      </c>
      <c r="C399" t="s">
        <v>2640</v>
      </c>
      <c r="D399" t="s">
        <v>3218</v>
      </c>
      <c r="E399" t="s">
        <v>3412</v>
      </c>
      <c r="F399" t="b">
        <v>1</v>
      </c>
      <c r="G399" t="s">
        <v>2947</v>
      </c>
      <c r="H399" t="s">
        <v>2640</v>
      </c>
      <c r="I399" t="s">
        <v>2639</v>
      </c>
      <c r="J399" t="b">
        <v>1</v>
      </c>
      <c r="K399" t="b">
        <f>ISNUMBER(_xlfn.XMATCH(tbldeptemp[[#This Row],[DependencyID]],tblTargets[TargetID]))</f>
        <v>1</v>
      </c>
      <c r="L399" t="str">
        <f>IF(tbldeptemp[[#This Row],[ValidTarget]]=FALSE,"BAD TARGET",IF(tbldeptemp[[#This Row],[ValidDependency]]=FALSE,"BAD DEPENDENCY",""))</f>
        <v/>
      </c>
    </row>
    <row r="400" spans="1:12">
      <c r="A400" t="s">
        <v>2578</v>
      </c>
      <c r="B400" t="s">
        <v>3047</v>
      </c>
      <c r="C400" t="s">
        <v>2642</v>
      </c>
      <c r="D400" t="s">
        <v>3219</v>
      </c>
      <c r="E400" t="s">
        <v>3414</v>
      </c>
      <c r="F400" t="b">
        <v>0</v>
      </c>
      <c r="G400" t="s">
        <v>2947</v>
      </c>
      <c r="H400" t="s">
        <v>2642</v>
      </c>
      <c r="I400" t="s">
        <v>2641</v>
      </c>
      <c r="J400" t="b">
        <v>1</v>
      </c>
      <c r="K400" t="b">
        <f>ISNUMBER(_xlfn.XMATCH(tbldeptemp[[#This Row],[DependencyID]],tblTargets[TargetID]))</f>
        <v>1</v>
      </c>
      <c r="L400" t="str">
        <f>IF(tbldeptemp[[#This Row],[ValidTarget]]=FALSE,"BAD TARGET",IF(tbldeptemp[[#This Row],[ValidDependency]]=FALSE,"BAD DEPENDENCY",""))</f>
        <v/>
      </c>
    </row>
    <row r="401" spans="1:12">
      <c r="A401" t="s">
        <v>2578</v>
      </c>
      <c r="B401" t="s">
        <v>3048</v>
      </c>
      <c r="C401" t="s">
        <v>2643</v>
      </c>
      <c r="D401" t="s">
        <v>3220</v>
      </c>
      <c r="E401" t="s">
        <v>3415</v>
      </c>
      <c r="F401" t="b">
        <v>0</v>
      </c>
      <c r="G401" t="s">
        <v>2947</v>
      </c>
      <c r="H401" t="s">
        <v>2643</v>
      </c>
      <c r="I401" t="s">
        <v>2642</v>
      </c>
      <c r="J401" t="b">
        <v>1</v>
      </c>
      <c r="K401" t="b">
        <f>ISNUMBER(_xlfn.XMATCH(tbldeptemp[[#This Row],[DependencyID]],tblTargets[TargetID]))</f>
        <v>1</v>
      </c>
      <c r="L401" t="str">
        <f>IF(tbldeptemp[[#This Row],[ValidTarget]]=FALSE,"BAD TARGET",IF(tbldeptemp[[#This Row],[ValidDependency]]=FALSE,"BAD DEPENDENCY",""))</f>
        <v/>
      </c>
    </row>
    <row r="402" spans="1:12">
      <c r="A402" t="s">
        <v>2578</v>
      </c>
      <c r="B402" t="s">
        <v>3049</v>
      </c>
      <c r="C402" t="s">
        <v>2644</v>
      </c>
      <c r="D402" t="s">
        <v>3221</v>
      </c>
      <c r="E402" t="s">
        <v>3416</v>
      </c>
      <c r="F402" t="b">
        <v>0</v>
      </c>
      <c r="G402" t="s">
        <v>2947</v>
      </c>
      <c r="H402" t="s">
        <v>2644</v>
      </c>
      <c r="I402" t="s">
        <v>2643</v>
      </c>
      <c r="J402" t="b">
        <v>1</v>
      </c>
      <c r="K402" t="b">
        <f>ISNUMBER(_xlfn.XMATCH(tbldeptemp[[#This Row],[DependencyID]],tblTargets[TargetID]))</f>
        <v>1</v>
      </c>
      <c r="L402" t="str">
        <f>IF(tbldeptemp[[#This Row],[ValidTarget]]=FALSE,"BAD TARGET",IF(tbldeptemp[[#This Row],[ValidDependency]]=FALSE,"BAD DEPENDENCY",""))</f>
        <v/>
      </c>
    </row>
    <row r="403" spans="1:12">
      <c r="A403" t="s">
        <v>2578</v>
      </c>
      <c r="B403" t="s">
        <v>3050</v>
      </c>
      <c r="C403" t="s">
        <v>2645</v>
      </c>
      <c r="D403" t="s">
        <v>3222</v>
      </c>
      <c r="E403" t="s">
        <v>3417</v>
      </c>
      <c r="F403" t="b">
        <v>0</v>
      </c>
      <c r="G403" t="s">
        <v>2947</v>
      </c>
      <c r="H403" t="s">
        <v>2645</v>
      </c>
      <c r="I403" t="s">
        <v>2644</v>
      </c>
      <c r="J403" t="b">
        <v>1</v>
      </c>
      <c r="K403" t="b">
        <f>ISNUMBER(_xlfn.XMATCH(tbldeptemp[[#This Row],[DependencyID]],tblTargets[TargetID]))</f>
        <v>1</v>
      </c>
      <c r="L403" t="str">
        <f>IF(tbldeptemp[[#This Row],[ValidTarget]]=FALSE,"BAD TARGET",IF(tbldeptemp[[#This Row],[ValidDependency]]=FALSE,"BAD DEPENDENCY",""))</f>
        <v/>
      </c>
    </row>
    <row r="404" spans="1:12">
      <c r="A404" t="s">
        <v>2578</v>
      </c>
      <c r="B404" t="s">
        <v>3052</v>
      </c>
      <c r="C404" t="s">
        <v>2647</v>
      </c>
      <c r="D404" t="s">
        <v>3223</v>
      </c>
      <c r="E404" t="s">
        <v>3418</v>
      </c>
      <c r="F404" t="b">
        <v>0</v>
      </c>
      <c r="G404" t="s">
        <v>2947</v>
      </c>
      <c r="H404" t="s">
        <v>2647</v>
      </c>
      <c r="I404" t="s">
        <v>2646</v>
      </c>
      <c r="J404" t="b">
        <v>1</v>
      </c>
      <c r="K404" t="b">
        <f>ISNUMBER(_xlfn.XMATCH(tbldeptemp[[#This Row],[DependencyID]],tblTargets[TargetID]))</f>
        <v>1</v>
      </c>
      <c r="L404" t="str">
        <f>IF(tbldeptemp[[#This Row],[ValidTarget]]=FALSE,"BAD TARGET",IF(tbldeptemp[[#This Row],[ValidDependency]]=FALSE,"BAD DEPENDENCY",""))</f>
        <v/>
      </c>
    </row>
    <row r="405" spans="1:12">
      <c r="A405" t="s">
        <v>2578</v>
      </c>
      <c r="B405" t="s">
        <v>3053</v>
      </c>
      <c r="C405" t="s">
        <v>2648</v>
      </c>
      <c r="D405" t="s">
        <v>3224</v>
      </c>
      <c r="E405" t="s">
        <v>3419</v>
      </c>
      <c r="F405" t="b">
        <v>0</v>
      </c>
      <c r="G405" t="s">
        <v>2947</v>
      </c>
      <c r="H405" t="s">
        <v>2648</v>
      </c>
      <c r="I405" t="s">
        <v>2647</v>
      </c>
      <c r="J405" t="b">
        <v>1</v>
      </c>
      <c r="K405" t="b">
        <f>ISNUMBER(_xlfn.XMATCH(tbldeptemp[[#This Row],[DependencyID]],tblTargets[TargetID]))</f>
        <v>1</v>
      </c>
      <c r="L405" t="str">
        <f>IF(tbldeptemp[[#This Row],[ValidTarget]]=FALSE,"BAD TARGET",IF(tbldeptemp[[#This Row],[ValidDependency]]=FALSE,"BAD DEPENDENCY",""))</f>
        <v/>
      </c>
    </row>
    <row r="406" spans="1:12">
      <c r="A406" t="s">
        <v>2578</v>
      </c>
      <c r="B406" t="s">
        <v>3010</v>
      </c>
      <c r="C406" t="s">
        <v>2605</v>
      </c>
      <c r="D406" t="s">
        <v>2840</v>
      </c>
      <c r="E406" t="s">
        <v>3383</v>
      </c>
      <c r="F406" t="b">
        <v>1</v>
      </c>
      <c r="G406" t="s">
        <v>2947</v>
      </c>
      <c r="H406" t="s">
        <v>2605</v>
      </c>
      <c r="I406" t="s">
        <v>2662</v>
      </c>
      <c r="J406" t="b">
        <v>1</v>
      </c>
      <c r="K406" t="b">
        <f>ISNUMBER(_xlfn.XMATCH(tbldeptemp[[#This Row],[DependencyID]],tblTargets[TargetID]))</f>
        <v>1</v>
      </c>
      <c r="L406" t="str">
        <f>IF(tbldeptemp[[#This Row],[ValidTarget]]=FALSE,"BAD TARGET",IF(tbldeptemp[[#This Row],[ValidDependency]]=FALSE,"BAD DEPENDENCY",""))</f>
        <v/>
      </c>
    </row>
    <row r="407" spans="1:12">
      <c r="A407" t="s">
        <v>2092</v>
      </c>
      <c r="B407" t="s">
        <v>2765</v>
      </c>
      <c r="C407" t="s">
        <v>80</v>
      </c>
      <c r="D407" t="s">
        <v>2764</v>
      </c>
      <c r="E407" t="s">
        <v>3327</v>
      </c>
      <c r="F407" t="b">
        <v>0</v>
      </c>
      <c r="G407" t="s">
        <v>2947</v>
      </c>
      <c r="H407" t="s">
        <v>80</v>
      </c>
      <c r="I407" t="s">
        <v>2667</v>
      </c>
      <c r="J407" t="b">
        <v>1</v>
      </c>
      <c r="K407" t="b">
        <f>ISNUMBER(_xlfn.XMATCH(tbldeptemp[[#This Row],[DependencyID]],tblTargets[TargetID]))</f>
        <v>1</v>
      </c>
      <c r="L407" t="str">
        <f>IF(tbldeptemp[[#This Row],[ValidTarget]]=FALSE,"BAD TARGET",IF(tbldeptemp[[#This Row],[ValidDependency]]=FALSE,"BAD DEPENDENCY",""))</f>
        <v/>
      </c>
    </row>
    <row r="408" spans="1:12">
      <c r="A408" t="s">
        <v>2092</v>
      </c>
      <c r="B408" t="s">
        <v>2963</v>
      </c>
      <c r="C408" t="s">
        <v>83</v>
      </c>
      <c r="D408" t="s">
        <v>2767</v>
      </c>
      <c r="E408" t="s">
        <v>3327</v>
      </c>
      <c r="F408" t="b">
        <v>0</v>
      </c>
      <c r="G408" t="s">
        <v>2947</v>
      </c>
      <c r="H408" t="s">
        <v>83</v>
      </c>
      <c r="I408" t="s">
        <v>2667</v>
      </c>
      <c r="J408" t="b">
        <v>1</v>
      </c>
      <c r="K408" t="b">
        <f>ISNUMBER(_xlfn.XMATCH(tbldeptemp[[#This Row],[DependencyID]],tblTargets[TargetID]))</f>
        <v>1</v>
      </c>
      <c r="L408" t="str">
        <f>IF(tbldeptemp[[#This Row],[ValidTarget]]=FALSE,"BAD TARGET",IF(tbldeptemp[[#This Row],[ValidDependency]]=FALSE,"BAD DEPENDENCY",""))</f>
        <v/>
      </c>
    </row>
    <row r="409" spans="1:12">
      <c r="A409" t="s">
        <v>2092</v>
      </c>
      <c r="B409" t="s">
        <v>2765</v>
      </c>
      <c r="C409" t="s">
        <v>80</v>
      </c>
      <c r="D409" t="s">
        <v>2763</v>
      </c>
      <c r="E409" t="s">
        <v>3326</v>
      </c>
      <c r="F409" t="b">
        <v>1</v>
      </c>
      <c r="G409" t="s">
        <v>2947</v>
      </c>
      <c r="H409" t="s">
        <v>80</v>
      </c>
      <c r="I409" t="s">
        <v>2668</v>
      </c>
      <c r="J409" t="b">
        <v>1</v>
      </c>
      <c r="K409" t="b">
        <f>ISNUMBER(_xlfn.XMATCH(tbldeptemp[[#This Row],[DependencyID]],tblTargets[TargetID]))</f>
        <v>1</v>
      </c>
      <c r="L409" t="str">
        <f>IF(tbldeptemp[[#This Row],[ValidTarget]]=FALSE,"BAD TARGET",IF(tbldeptemp[[#This Row],[ValidDependency]]=FALSE,"BAD DEPENDENCY",""))</f>
        <v/>
      </c>
    </row>
    <row r="410" spans="1:12">
      <c r="A410" t="s">
        <v>2092</v>
      </c>
      <c r="B410" t="s">
        <v>2963</v>
      </c>
      <c r="C410" t="s">
        <v>83</v>
      </c>
      <c r="D410" t="s">
        <v>2763</v>
      </c>
      <c r="E410" t="s">
        <v>3326</v>
      </c>
      <c r="F410" t="b">
        <v>1</v>
      </c>
      <c r="G410" t="s">
        <v>2947</v>
      </c>
      <c r="H410" t="s">
        <v>83</v>
      </c>
      <c r="I410" t="s">
        <v>2668</v>
      </c>
      <c r="J410" t="b">
        <v>1</v>
      </c>
      <c r="K410" t="b">
        <f>ISNUMBER(_xlfn.XMATCH(tbldeptemp[[#This Row],[DependencyID]],tblTargets[TargetID]))</f>
        <v>1</v>
      </c>
      <c r="L410" t="str">
        <f>IF(tbldeptemp[[#This Row],[ValidTarget]]=FALSE,"BAD TARGET",IF(tbldeptemp[[#This Row],[ValidDependency]]=FALSE,"BAD DEPENDENCY",""))</f>
        <v/>
      </c>
    </row>
    <row r="411" spans="1:12">
      <c r="A411" t="s">
        <v>2092</v>
      </c>
      <c r="B411" t="s">
        <v>2957</v>
      </c>
      <c r="C411" t="s">
        <v>6058</v>
      </c>
      <c r="D411" t="s">
        <v>2728</v>
      </c>
      <c r="E411" t="s">
        <v>3309</v>
      </c>
      <c r="F411" t="b">
        <v>0</v>
      </c>
      <c r="G411" t="s">
        <v>2947</v>
      </c>
      <c r="H411" t="s">
        <v>6058</v>
      </c>
      <c r="I411" t="s">
        <v>2281</v>
      </c>
      <c r="J411" t="b">
        <v>1</v>
      </c>
      <c r="K411" t="b">
        <f>ISNUMBER(_xlfn.XMATCH(tbldeptemp[[#This Row],[DependencyID]],tblTargets[TargetID]))</f>
        <v>1</v>
      </c>
      <c r="L411" t="str">
        <f>IF(tbldeptemp[[#This Row],[ValidTarget]]=FALSE,"BAD TARGET",IF(tbldeptemp[[#This Row],[ValidDependency]]=FALSE,"BAD DEPENDENCY",""))</f>
        <v/>
      </c>
    </row>
    <row r="412" spans="1:12">
      <c r="A412" t="s">
        <v>2092</v>
      </c>
      <c r="B412" t="s">
        <v>2765</v>
      </c>
      <c r="C412" t="s">
        <v>80</v>
      </c>
      <c r="D412" t="s">
        <v>2728</v>
      </c>
      <c r="E412" t="s">
        <v>3309</v>
      </c>
      <c r="F412" t="b">
        <v>0</v>
      </c>
      <c r="G412" t="s">
        <v>2947</v>
      </c>
      <c r="H412" t="s">
        <v>80</v>
      </c>
      <c r="I412" t="s">
        <v>2281</v>
      </c>
      <c r="J412" t="b">
        <v>1</v>
      </c>
      <c r="K412" t="b">
        <f>ISNUMBER(_xlfn.XMATCH(tbldeptemp[[#This Row],[DependencyID]],tblTargets[TargetID]))</f>
        <v>1</v>
      </c>
      <c r="L412" t="str">
        <f>IF(tbldeptemp[[#This Row],[ValidTarget]]=FALSE,"BAD TARGET",IF(tbldeptemp[[#This Row],[ValidDependency]]=FALSE,"BAD DEPENDENCY",""))</f>
        <v/>
      </c>
    </row>
    <row r="413" spans="1:12">
      <c r="B413" s="26" t="s">
        <v>2450</v>
      </c>
      <c r="C413" s="26" t="s">
        <v>2450</v>
      </c>
      <c r="H413" s="26" t="s">
        <v>2450</v>
      </c>
      <c r="I413" s="26" t="s">
        <v>2281</v>
      </c>
      <c r="J413" t="b">
        <f>COUNTIF(tblTargets[TargetID],tbldeptemp[[#This Row],[TargetID]])&gt;0</f>
        <v>1</v>
      </c>
      <c r="K413" t="b">
        <f>ISNUMBER(_xlfn.XMATCH(tbldeptemp[[#This Row],[DependencyID]],tblTargets[TargetID]))</f>
        <v>1</v>
      </c>
      <c r="L413" t="str">
        <f>IF(tbldeptemp[[#This Row],[ValidTarget]]=FALSE,"BAD TARGET",IF(tbldeptemp[[#This Row],[ValidDependency]]=FALSE,"BAD DEPENDENCY",""))</f>
        <v/>
      </c>
    </row>
    <row r="414" spans="1:12">
      <c r="A414" t="s">
        <v>2282</v>
      </c>
      <c r="B414" t="s">
        <v>1399</v>
      </c>
      <c r="C414" t="s">
        <v>2285</v>
      </c>
      <c r="D414" t="s">
        <v>1465</v>
      </c>
      <c r="E414" t="s">
        <v>3432</v>
      </c>
      <c r="F414" t="b">
        <v>0</v>
      </c>
      <c r="G414" t="s">
        <v>2946</v>
      </c>
      <c r="H414" t="s">
        <v>2285</v>
      </c>
      <c r="I414" t="s">
        <v>2450</v>
      </c>
      <c r="J414" t="b">
        <v>1</v>
      </c>
      <c r="K414" t="b">
        <f>ISNUMBER(_xlfn.XMATCH(tbldeptemp[[#This Row],[DependencyID]],tblTargets[TargetID]))</f>
        <v>1</v>
      </c>
      <c r="L414" t="str">
        <f>IF(tbldeptemp[[#This Row],[ValidTarget]]=FALSE,"BAD TARGET",IF(tbldeptemp[[#This Row],[ValidDependency]]=FALSE,"BAD DEPENDENCY",""))</f>
        <v/>
      </c>
    </row>
    <row r="415" spans="1:12">
      <c r="A415" t="s">
        <v>2092</v>
      </c>
      <c r="B415" t="s">
        <v>2957</v>
      </c>
      <c r="C415" t="s">
        <v>6058</v>
      </c>
      <c r="D415" t="s">
        <v>587</v>
      </c>
      <c r="E415" t="s">
        <v>3310</v>
      </c>
      <c r="F415" t="b">
        <v>0</v>
      </c>
      <c r="G415" t="s">
        <v>2946</v>
      </c>
      <c r="H415" t="s">
        <v>6058</v>
      </c>
      <c r="I415" t="s">
        <v>2285</v>
      </c>
      <c r="J415" t="b">
        <v>1</v>
      </c>
      <c r="K415" t="b">
        <f>ISNUMBER(_xlfn.XMATCH(tbldeptemp[[#This Row],[DependencyID]],tblTargets[TargetID]))</f>
        <v>1</v>
      </c>
      <c r="L415" t="str">
        <f>IF(tbldeptemp[[#This Row],[ValidTarget]]=FALSE,"BAD TARGET",IF(tbldeptemp[[#This Row],[ValidDependency]]=FALSE,"BAD DEPENDENCY",""))</f>
        <v/>
      </c>
    </row>
    <row r="416" spans="1:12">
      <c r="A416" s="26" t="s">
        <v>2282</v>
      </c>
      <c r="B416" t="s">
        <v>2452</v>
      </c>
      <c r="C416" t="s">
        <v>2452</v>
      </c>
      <c r="E416"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16" t="s">
        <v>2452</v>
      </c>
      <c r="I416" t="s">
        <v>2285</v>
      </c>
      <c r="J416" t="b">
        <f>COUNTIF(tblTargets[TargetID],tbldeptemp[[#This Row],[TargetID]])&gt;0</f>
        <v>1</v>
      </c>
      <c r="K416" t="b">
        <f>ISNUMBER(_xlfn.XMATCH(tbldeptemp[[#This Row],[DependencyID]],tblTargets[TargetID]))</f>
        <v>1</v>
      </c>
      <c r="L416" t="str">
        <f>IF(tbldeptemp[[#This Row],[ValidTarget]]=FALSE,"BAD TARGET",IF(tbldeptemp[[#This Row],[ValidDependency]]=FALSE,"BAD DEPENDENCY",""))</f>
        <v/>
      </c>
    </row>
    <row r="417" spans="1:12">
      <c r="A417" t="s">
        <v>2282</v>
      </c>
      <c r="B417" t="s">
        <v>1400</v>
      </c>
      <c r="C417" t="s">
        <v>2288</v>
      </c>
      <c r="D417" t="s">
        <v>1469</v>
      </c>
      <c r="E417" t="s">
        <v>3435</v>
      </c>
      <c r="F417" t="b">
        <v>0</v>
      </c>
      <c r="G417" t="s">
        <v>2946</v>
      </c>
      <c r="H417" t="s">
        <v>2288</v>
      </c>
      <c r="I417" t="s">
        <v>2452</v>
      </c>
      <c r="J417" t="b">
        <v>1</v>
      </c>
      <c r="K417" t="b">
        <f>ISNUMBER(_xlfn.XMATCH(tbldeptemp[[#This Row],[DependencyID]],tblTargets[TargetID]))</f>
        <v>1</v>
      </c>
      <c r="L417" t="str">
        <f>IF(tbldeptemp[[#This Row],[ValidTarget]]=FALSE,"BAD TARGET",IF(tbldeptemp[[#This Row],[ValidDependency]]=FALSE,"BAD DEPENDENCY",""))</f>
        <v/>
      </c>
    </row>
    <row r="418" spans="1:12">
      <c r="A418" s="26" t="s">
        <v>2282</v>
      </c>
      <c r="B418" s="26" t="s">
        <v>2454</v>
      </c>
      <c r="C418" s="26" t="s">
        <v>2454</v>
      </c>
      <c r="E41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18" s="26" t="s">
        <v>2454</v>
      </c>
      <c r="I418" s="26" t="s">
        <v>2288</v>
      </c>
      <c r="J418" t="b">
        <f>COUNTIF(tblTargets[TargetID],tbldeptemp[[#This Row],[TargetID]])&gt;0</f>
        <v>1</v>
      </c>
      <c r="K418" t="b">
        <f>ISNUMBER(_xlfn.XMATCH(tbldeptemp[[#This Row],[DependencyID]],tblTargets[TargetID]))</f>
        <v>1</v>
      </c>
      <c r="L418" t="str">
        <f>IF(tbldeptemp[[#This Row],[ValidTarget]]=FALSE,"BAD TARGET",IF(tbldeptemp[[#This Row],[ValidDependency]]=FALSE,"BAD DEPENDENCY",""))</f>
        <v/>
      </c>
    </row>
    <row r="419" spans="1:12">
      <c r="A419" t="s">
        <v>2282</v>
      </c>
      <c r="B419" t="s">
        <v>1401</v>
      </c>
      <c r="C419" t="s">
        <v>2291</v>
      </c>
      <c r="D419" t="s">
        <v>1472</v>
      </c>
      <c r="E419" t="s">
        <v>3436</v>
      </c>
      <c r="F419" t="b">
        <v>0</v>
      </c>
      <c r="G419" t="s">
        <v>2946</v>
      </c>
      <c r="H419" t="s">
        <v>2291</v>
      </c>
      <c r="I419" t="s">
        <v>2454</v>
      </c>
      <c r="J419" t="b">
        <v>1</v>
      </c>
      <c r="K419" t="b">
        <f>ISNUMBER(_xlfn.XMATCH(tbldeptemp[[#This Row],[DependencyID]],tblTargets[TargetID]))</f>
        <v>1</v>
      </c>
      <c r="L419" t="str">
        <f>IF(tbldeptemp[[#This Row],[ValidTarget]]=FALSE,"BAD TARGET",IF(tbldeptemp[[#This Row],[ValidDependency]]=FALSE,"BAD DEPENDENCY",""))</f>
        <v/>
      </c>
    </row>
    <row r="420" spans="1:12">
      <c r="A420" s="26" t="s">
        <v>2282</v>
      </c>
      <c r="B420" t="s">
        <v>2456</v>
      </c>
      <c r="C420" t="s">
        <v>2456</v>
      </c>
      <c r="E42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20" t="s">
        <v>2456</v>
      </c>
      <c r="I420" t="s">
        <v>2291</v>
      </c>
      <c r="J420" t="b">
        <f>COUNTIF(tblTargets[TargetID],tbldeptemp[[#This Row],[TargetID]])&gt;0</f>
        <v>1</v>
      </c>
      <c r="K420" t="b">
        <f>ISNUMBER(_xlfn.XMATCH(tbldeptemp[[#This Row],[DependencyID]],tblTargets[TargetID]))</f>
        <v>1</v>
      </c>
      <c r="L420" t="str">
        <f>IF(tbldeptemp[[#This Row],[ValidTarget]]=FALSE,"BAD TARGET",IF(tbldeptemp[[#This Row],[ValidDependency]]=FALSE,"BAD DEPENDENCY",""))</f>
        <v/>
      </c>
    </row>
    <row r="421" spans="1:12">
      <c r="A421" t="s">
        <v>2092</v>
      </c>
      <c r="B421" t="s">
        <v>2961</v>
      </c>
      <c r="C421" t="s">
        <v>77</v>
      </c>
      <c r="D421" t="s">
        <v>2757</v>
      </c>
      <c r="E421" t="s">
        <v>3322</v>
      </c>
      <c r="F421" t="b">
        <v>0</v>
      </c>
      <c r="G421" t="s">
        <v>2947</v>
      </c>
      <c r="H421" t="s">
        <v>77</v>
      </c>
      <c r="I421" t="s">
        <v>2456</v>
      </c>
      <c r="J421" t="b">
        <v>1</v>
      </c>
      <c r="K421" t="b">
        <f>ISNUMBER(_xlfn.XMATCH(tbldeptemp[[#This Row],[DependencyID]],tblTargets[TargetID]))</f>
        <v>1</v>
      </c>
      <c r="L421" t="str">
        <f>IF(tbldeptemp[[#This Row],[ValidTarget]]=FALSE,"BAD TARGET",IF(tbldeptemp[[#This Row],[ValidDependency]]=FALSE,"BAD DEPENDENCY",""))</f>
        <v/>
      </c>
    </row>
    <row r="422" spans="1:12">
      <c r="A422" t="s">
        <v>2282</v>
      </c>
      <c r="B422" t="s">
        <v>1402</v>
      </c>
      <c r="C422" t="s">
        <v>2294</v>
      </c>
      <c r="D422" t="s">
        <v>1475</v>
      </c>
      <c r="E422" t="s">
        <v>3322</v>
      </c>
      <c r="F422" t="b">
        <v>0</v>
      </c>
      <c r="G422" t="s">
        <v>2946</v>
      </c>
      <c r="H422" t="s">
        <v>2294</v>
      </c>
      <c r="I422" t="s">
        <v>2456</v>
      </c>
      <c r="J422" t="b">
        <v>1</v>
      </c>
      <c r="K422" t="b">
        <f>ISNUMBER(_xlfn.XMATCH(tbldeptemp[[#This Row],[DependencyID]],tblTargets[TargetID]))</f>
        <v>1</v>
      </c>
      <c r="L422" t="str">
        <f>IF(tbldeptemp[[#This Row],[ValidTarget]]=FALSE,"BAD TARGET",IF(tbldeptemp[[#This Row],[ValidDependency]]=FALSE,"BAD DEPENDENCY",""))</f>
        <v/>
      </c>
    </row>
    <row r="423" spans="1:12">
      <c r="A423" t="s">
        <v>2094</v>
      </c>
      <c r="B423" t="s">
        <v>3115</v>
      </c>
      <c r="C423" t="s">
        <v>2188</v>
      </c>
      <c r="D423" t="s">
        <v>1475</v>
      </c>
      <c r="E423" t="s">
        <v>3322</v>
      </c>
      <c r="F423" t="b">
        <v>0</v>
      </c>
      <c r="G423" t="s">
        <v>2947</v>
      </c>
      <c r="H423" t="s">
        <v>2188</v>
      </c>
      <c r="I423" t="s">
        <v>2456</v>
      </c>
      <c r="J423" t="b">
        <v>1</v>
      </c>
      <c r="K423" t="b">
        <f>ISNUMBER(_xlfn.XMATCH(tbldeptemp[[#This Row],[DependencyID]],tblTargets[TargetID]))</f>
        <v>1</v>
      </c>
      <c r="L423" t="str">
        <f>IF(tbldeptemp[[#This Row],[ValidTarget]]=FALSE,"BAD TARGET",IF(tbldeptemp[[#This Row],[ValidDependency]]=FALSE,"BAD DEPENDENCY",""))</f>
        <v/>
      </c>
    </row>
    <row r="424" spans="1:12">
      <c r="A424" t="s">
        <v>2092</v>
      </c>
      <c r="B424" t="s">
        <v>2962</v>
      </c>
      <c r="C424" t="s">
        <v>87</v>
      </c>
      <c r="D424" t="s">
        <v>611</v>
      </c>
      <c r="E424" t="s">
        <v>3325</v>
      </c>
      <c r="F424" t="b">
        <v>0</v>
      </c>
      <c r="G424" t="s">
        <v>2946</v>
      </c>
      <c r="H424" t="s">
        <v>87</v>
      </c>
      <c r="I424" t="s">
        <v>2294</v>
      </c>
      <c r="J424" t="b">
        <v>1</v>
      </c>
      <c r="K424" t="b">
        <f>ISNUMBER(_xlfn.XMATCH(tbldeptemp[[#This Row],[DependencyID]],tblTargets[TargetID]))</f>
        <v>1</v>
      </c>
      <c r="L424" t="str">
        <f>IF(tbldeptemp[[#This Row],[ValidTarget]]=FALSE,"BAD TARGET",IF(tbldeptemp[[#This Row],[ValidDependency]]=FALSE,"BAD DEPENDENCY",""))</f>
        <v/>
      </c>
    </row>
    <row r="425" spans="1:12">
      <c r="A425" s="26" t="s">
        <v>2282</v>
      </c>
      <c r="B425" s="26" t="s">
        <v>2458</v>
      </c>
      <c r="C425" s="26" t="s">
        <v>2458</v>
      </c>
      <c r="E42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25" s="26" t="s">
        <v>2458</v>
      </c>
      <c r="I425" s="26" t="s">
        <v>2294</v>
      </c>
      <c r="J425" t="b">
        <f>COUNTIF(tblTargets[TargetID],tbldeptemp[[#This Row],[TargetID]])&gt;0</f>
        <v>1</v>
      </c>
      <c r="K425" t="b">
        <f>ISNUMBER(_xlfn.XMATCH(tbldeptemp[[#This Row],[DependencyID]],tblTargets[TargetID]))</f>
        <v>1</v>
      </c>
      <c r="L425" t="str">
        <f>IF(tbldeptemp[[#This Row],[ValidTarget]]=FALSE,"BAD TARGET",IF(tbldeptemp[[#This Row],[ValidDependency]]=FALSE,"BAD DEPENDENCY",""))</f>
        <v/>
      </c>
    </row>
    <row r="426" spans="1:12">
      <c r="A426" t="s">
        <v>2092</v>
      </c>
      <c r="B426" t="s">
        <v>2961</v>
      </c>
      <c r="C426" t="s">
        <v>77</v>
      </c>
      <c r="D426" t="s">
        <v>605</v>
      </c>
      <c r="E426" t="s">
        <v>3323</v>
      </c>
      <c r="F426" t="b">
        <v>0</v>
      </c>
      <c r="G426" t="s">
        <v>2946</v>
      </c>
      <c r="H426" t="s">
        <v>77</v>
      </c>
      <c r="I426" t="s">
        <v>2458</v>
      </c>
      <c r="J426" t="b">
        <v>1</v>
      </c>
      <c r="K426" t="b">
        <f>ISNUMBER(_xlfn.XMATCH(tbldeptemp[[#This Row],[DependencyID]],tblTargets[TargetID]))</f>
        <v>1</v>
      </c>
      <c r="L426" t="str">
        <f>IF(tbldeptemp[[#This Row],[ValidTarget]]=FALSE,"BAD TARGET",IF(tbldeptemp[[#This Row],[ValidDependency]]=FALSE,"BAD DEPENDENCY",""))</f>
        <v/>
      </c>
    </row>
    <row r="427" spans="1:12">
      <c r="A427" t="s">
        <v>2094</v>
      </c>
      <c r="B427" t="s">
        <v>3115</v>
      </c>
      <c r="C427" t="s">
        <v>2188</v>
      </c>
      <c r="D427" t="s">
        <v>2923</v>
      </c>
      <c r="E427" t="s">
        <v>3323</v>
      </c>
      <c r="F427" t="b">
        <v>0</v>
      </c>
      <c r="G427" t="s">
        <v>2947</v>
      </c>
      <c r="H427" t="s">
        <v>2188</v>
      </c>
      <c r="I427" t="s">
        <v>2458</v>
      </c>
      <c r="J427" t="b">
        <v>1</v>
      </c>
      <c r="K427" t="b">
        <f>ISNUMBER(_xlfn.XMATCH(tbldeptemp[[#This Row],[DependencyID]],tblTargets[TargetID]))</f>
        <v>1</v>
      </c>
      <c r="L427" t="str">
        <f>IF(tbldeptemp[[#This Row],[ValidTarget]]=FALSE,"BAD TARGET",IF(tbldeptemp[[#This Row],[ValidDependency]]=FALSE,"BAD DEPENDENCY",""))</f>
        <v/>
      </c>
    </row>
    <row r="428" spans="1:12">
      <c r="A428" t="s">
        <v>2094</v>
      </c>
      <c r="B428" t="s">
        <v>3141</v>
      </c>
      <c r="C428" t="s">
        <v>2244</v>
      </c>
      <c r="D428" t="s">
        <v>2935</v>
      </c>
      <c r="E428" t="s">
        <v>3323</v>
      </c>
      <c r="F428" t="b">
        <v>0</v>
      </c>
      <c r="G428" t="s">
        <v>2947</v>
      </c>
      <c r="H428" t="s">
        <v>2244</v>
      </c>
      <c r="I428" t="s">
        <v>2458</v>
      </c>
      <c r="J428" t="b">
        <v>1</v>
      </c>
      <c r="K428" t="b">
        <f>ISNUMBER(_xlfn.XMATCH(tbldeptemp[[#This Row],[DependencyID]],tblTargets[TargetID]))</f>
        <v>1</v>
      </c>
      <c r="L428" t="str">
        <f>IF(tbldeptemp[[#This Row],[ValidTarget]]=FALSE,"BAD TARGET",IF(tbldeptemp[[#This Row],[ValidDependency]]=FALSE,"BAD DEPENDENCY",""))</f>
        <v/>
      </c>
    </row>
    <row r="429" spans="1:12">
      <c r="A429" s="26" t="s">
        <v>2282</v>
      </c>
      <c r="B429" t="s">
        <v>2460</v>
      </c>
      <c r="C429" t="s">
        <v>2460</v>
      </c>
      <c r="E429"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29" t="s">
        <v>2460</v>
      </c>
      <c r="I429" t="s">
        <v>2297</v>
      </c>
      <c r="J429" t="b">
        <f>COUNTIF(tblTargets[TargetID],tbldeptemp[[#This Row],[TargetID]])&gt;0</f>
        <v>1</v>
      </c>
      <c r="K429" t="b">
        <f>ISNUMBER(_xlfn.XMATCH(tbldeptemp[[#This Row],[DependencyID]],tblTargets[TargetID]))</f>
        <v>1</v>
      </c>
      <c r="L429" t="str">
        <f>IF(tbldeptemp[[#This Row],[ValidTarget]]=FALSE,"BAD TARGET",IF(tbldeptemp[[#This Row],[ValidDependency]]=FALSE,"BAD DEPENDENCY",""))</f>
        <v/>
      </c>
    </row>
    <row r="430" spans="1:12">
      <c r="A430" s="26" t="s">
        <v>2282</v>
      </c>
      <c r="B430" s="26" t="s">
        <v>2462</v>
      </c>
      <c r="C430" s="26" t="s">
        <v>2462</v>
      </c>
      <c r="E43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0" s="26" t="s">
        <v>2462</v>
      </c>
      <c r="I430" s="26" t="s">
        <v>2300</v>
      </c>
      <c r="J430" t="b">
        <f>COUNTIF(tblTargets[TargetID],tbldeptemp[[#This Row],[TargetID]])&gt;0</f>
        <v>1</v>
      </c>
      <c r="K430" t="b">
        <f>ISNUMBER(_xlfn.XMATCH(tbldeptemp[[#This Row],[DependencyID]],tblTargets[TargetID]))</f>
        <v>1</v>
      </c>
      <c r="L430" t="str">
        <f>IF(tbldeptemp[[#This Row],[ValidTarget]]=FALSE,"BAD TARGET",IF(tbldeptemp[[#This Row],[ValidDependency]]=FALSE,"BAD DEPENDENCY",""))</f>
        <v/>
      </c>
    </row>
    <row r="431" spans="1:12">
      <c r="A431" s="26" t="s">
        <v>2282</v>
      </c>
      <c r="B431" t="s">
        <v>2464</v>
      </c>
      <c r="C431" t="s">
        <v>2464</v>
      </c>
      <c r="E43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1" t="s">
        <v>2464</v>
      </c>
      <c r="I431" t="s">
        <v>2303</v>
      </c>
      <c r="J431" t="b">
        <f>COUNTIF(tblTargets[TargetID],tbldeptemp[[#This Row],[TargetID]])&gt;0</f>
        <v>1</v>
      </c>
      <c r="K431" t="b">
        <f>ISNUMBER(_xlfn.XMATCH(tbldeptemp[[#This Row],[DependencyID]],tblTargets[TargetID]))</f>
        <v>1</v>
      </c>
      <c r="L431" t="str">
        <f>IF(tbldeptemp[[#This Row],[ValidTarget]]=FALSE,"BAD TARGET",IF(tbldeptemp[[#This Row],[ValidDependency]]=FALSE,"BAD DEPENDENCY",""))</f>
        <v/>
      </c>
    </row>
    <row r="432" spans="1:12">
      <c r="A432" s="26" t="s">
        <v>2282</v>
      </c>
      <c r="B432" s="26" t="s">
        <v>2466</v>
      </c>
      <c r="C432" s="26" t="s">
        <v>2466</v>
      </c>
      <c r="E432"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2" s="26" t="s">
        <v>2466</v>
      </c>
      <c r="I432" s="26" t="s">
        <v>2306</v>
      </c>
      <c r="J432" t="b">
        <f>COUNTIF(tblTargets[TargetID],tbldeptemp[[#This Row],[TargetID]])&gt;0</f>
        <v>1</v>
      </c>
      <c r="K432" t="b">
        <f>ISNUMBER(_xlfn.XMATCH(tbldeptemp[[#This Row],[DependencyID]],tblTargets[TargetID]))</f>
        <v>1</v>
      </c>
      <c r="L432" t="str">
        <f>IF(tbldeptemp[[#This Row],[ValidTarget]]=FALSE,"BAD TARGET",IF(tbldeptemp[[#This Row],[ValidDependency]]=FALSE,"BAD DEPENDENCY",""))</f>
        <v/>
      </c>
    </row>
    <row r="433" spans="1:12">
      <c r="A433" t="s">
        <v>2282</v>
      </c>
      <c r="B433" t="s">
        <v>1443</v>
      </c>
      <c r="C433" t="s">
        <v>2441</v>
      </c>
      <c r="D433" t="s">
        <v>1650</v>
      </c>
      <c r="E433" t="s">
        <v>3502</v>
      </c>
      <c r="F433" t="b">
        <v>1</v>
      </c>
      <c r="G433" t="s">
        <v>2946</v>
      </c>
      <c r="H433" t="s">
        <v>2441</v>
      </c>
      <c r="I433" t="s">
        <v>2466</v>
      </c>
      <c r="J433" t="b">
        <v>1</v>
      </c>
      <c r="K433" t="b">
        <f>ISNUMBER(_xlfn.XMATCH(tbldeptemp[[#This Row],[DependencyID]],tblTargets[TargetID]))</f>
        <v>1</v>
      </c>
      <c r="L433" t="str">
        <f>IF(tbldeptemp[[#This Row],[ValidTarget]]=FALSE,"BAD TARGET",IF(tbldeptemp[[#This Row],[ValidDependency]]=FALSE,"BAD DEPENDENCY",""))</f>
        <v/>
      </c>
    </row>
    <row r="434" spans="1:12">
      <c r="A434" t="s">
        <v>2282</v>
      </c>
      <c r="B434" t="s">
        <v>1445</v>
      </c>
      <c r="C434" t="s">
        <v>2447</v>
      </c>
      <c r="D434" t="s">
        <v>1650</v>
      </c>
      <c r="E434" t="s">
        <v>3502</v>
      </c>
      <c r="F434" t="b">
        <v>1</v>
      </c>
      <c r="G434" t="s">
        <v>2946</v>
      </c>
      <c r="H434" t="s">
        <v>2447</v>
      </c>
      <c r="I434" t="s">
        <v>2466</v>
      </c>
      <c r="J434" t="b">
        <v>1</v>
      </c>
      <c r="K434" t="b">
        <f>ISNUMBER(_xlfn.XMATCH(tbldeptemp[[#This Row],[DependencyID]],tblTargets[TargetID]))</f>
        <v>1</v>
      </c>
      <c r="L434" t="str">
        <f>IF(tbldeptemp[[#This Row],[ValidTarget]]=FALSE,"BAD TARGET",IF(tbldeptemp[[#This Row],[ValidDependency]]=FALSE,"BAD DEPENDENCY",""))</f>
        <v/>
      </c>
    </row>
    <row r="435" spans="1:12">
      <c r="A435" s="26" t="s">
        <v>2282</v>
      </c>
      <c r="B435" t="s">
        <v>2468</v>
      </c>
      <c r="C435" t="s">
        <v>2468</v>
      </c>
      <c r="E43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5" t="s">
        <v>2468</v>
      </c>
      <c r="I435" t="s">
        <v>2309</v>
      </c>
      <c r="J435" t="b">
        <f>COUNTIF(tblTargets[TargetID],tbldeptemp[[#This Row],[TargetID]])&gt;0</f>
        <v>1</v>
      </c>
      <c r="K435" t="b">
        <f>ISNUMBER(_xlfn.XMATCH(tbldeptemp[[#This Row],[DependencyID]],tblTargets[TargetID]))</f>
        <v>1</v>
      </c>
      <c r="L435" t="str">
        <f>IF(tbldeptemp[[#This Row],[ValidTarget]]=FALSE,"BAD TARGET",IF(tbldeptemp[[#This Row],[ValidDependency]]=FALSE,"BAD DEPENDENCY",""))</f>
        <v/>
      </c>
    </row>
    <row r="436" spans="1:12">
      <c r="A436" t="s">
        <v>2282</v>
      </c>
      <c r="B436" t="s">
        <v>1407</v>
      </c>
      <c r="C436" t="s">
        <v>2312</v>
      </c>
      <c r="D436" t="s">
        <v>2859</v>
      </c>
      <c r="E436" t="s">
        <v>2859</v>
      </c>
      <c r="F436" t="b">
        <v>1</v>
      </c>
      <c r="G436" t="s">
        <v>2947</v>
      </c>
      <c r="H436" t="s">
        <v>2312</v>
      </c>
      <c r="I436" t="s">
        <v>2468</v>
      </c>
      <c r="J436" t="b">
        <v>1</v>
      </c>
      <c r="K436" t="b">
        <f>ISNUMBER(_xlfn.XMATCH(tbldeptemp[[#This Row],[DependencyID]],tblTargets[TargetID]))</f>
        <v>1</v>
      </c>
      <c r="L436" t="str">
        <f>IF(tbldeptemp[[#This Row],[ValidTarget]]=FALSE,"BAD TARGET",IF(tbldeptemp[[#This Row],[ValidDependency]]=FALSE,"BAD DEPENDENCY",""))</f>
        <v/>
      </c>
    </row>
    <row r="437" spans="1:12">
      <c r="A437" s="26" t="s">
        <v>2282</v>
      </c>
      <c r="B437" s="26" t="s">
        <v>2472</v>
      </c>
      <c r="C437" s="26" t="s">
        <v>2472</v>
      </c>
      <c r="E43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7" s="26" t="s">
        <v>2472</v>
      </c>
      <c r="I437" s="26" t="s">
        <v>2315</v>
      </c>
      <c r="J437" t="b">
        <f>COUNTIF(tblTargets[TargetID],tbldeptemp[[#This Row],[TargetID]])&gt;0</f>
        <v>1</v>
      </c>
      <c r="K437" t="b">
        <f>ISNUMBER(_xlfn.XMATCH(tbldeptemp[[#This Row],[DependencyID]],tblTargets[TargetID]))</f>
        <v>1</v>
      </c>
      <c r="L437" t="str">
        <f>IF(tbldeptemp[[#This Row],[ValidTarget]]=FALSE,"BAD TARGET",IF(tbldeptemp[[#This Row],[ValidDependency]]=FALSE,"BAD DEPENDENCY",""))</f>
        <v/>
      </c>
    </row>
    <row r="438" spans="1:12">
      <c r="A438" s="26" t="s">
        <v>2282</v>
      </c>
      <c r="B438" t="s">
        <v>2470</v>
      </c>
      <c r="C438" t="s">
        <v>2470</v>
      </c>
      <c r="E43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8" t="s">
        <v>2470</v>
      </c>
      <c r="I438" t="s">
        <v>2312</v>
      </c>
      <c r="J438" t="b">
        <f>COUNTIF(tblTargets[TargetID],tbldeptemp[[#This Row],[TargetID]])&gt;0</f>
        <v>1</v>
      </c>
      <c r="K438" t="b">
        <f>ISNUMBER(_xlfn.XMATCH(tbldeptemp[[#This Row],[DependencyID]],tblTargets[TargetID]))</f>
        <v>1</v>
      </c>
      <c r="L438" t="str">
        <f>IF(tbldeptemp[[#This Row],[ValidTarget]]=FALSE,"BAD TARGET",IF(tbldeptemp[[#This Row],[ValidDependency]]=FALSE,"BAD DEPENDENCY",""))</f>
        <v/>
      </c>
    </row>
    <row r="439" spans="1:12">
      <c r="A439" t="s">
        <v>2282</v>
      </c>
      <c r="B439" t="s">
        <v>1408</v>
      </c>
      <c r="C439" t="s">
        <v>2315</v>
      </c>
      <c r="D439" t="s">
        <v>2858</v>
      </c>
      <c r="E439" t="s">
        <v>3443</v>
      </c>
      <c r="F439" t="b">
        <v>1</v>
      </c>
      <c r="G439" t="s">
        <v>2947</v>
      </c>
      <c r="H439" t="s">
        <v>2315</v>
      </c>
      <c r="I439" t="s">
        <v>2470</v>
      </c>
      <c r="J439" t="b">
        <v>1</v>
      </c>
      <c r="K439" t="b">
        <f>ISNUMBER(_xlfn.XMATCH(tbldeptemp[[#This Row],[DependencyID]],tblTargets[TargetID]))</f>
        <v>1</v>
      </c>
      <c r="L439" t="str">
        <f>IF(tbldeptemp[[#This Row],[ValidTarget]]=FALSE,"BAD TARGET",IF(tbldeptemp[[#This Row],[ValidDependency]]=FALSE,"BAD DEPENDENCY",""))</f>
        <v/>
      </c>
    </row>
    <row r="440" spans="1:12">
      <c r="A440" s="26" t="s">
        <v>2282</v>
      </c>
      <c r="B440" s="26" t="s">
        <v>2474</v>
      </c>
      <c r="C440" s="26" t="s">
        <v>2474</v>
      </c>
      <c r="E44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40" s="26" t="s">
        <v>2474</v>
      </c>
      <c r="I440" s="26" t="s">
        <v>2318</v>
      </c>
      <c r="J440" t="b">
        <f>COUNTIF(tblTargets[TargetID],tbldeptemp[[#This Row],[TargetID]])&gt;0</f>
        <v>1</v>
      </c>
      <c r="K440" t="b">
        <f>ISNUMBER(_xlfn.XMATCH(tbldeptemp[[#This Row],[DependencyID]],tblTargets[TargetID]))</f>
        <v>1</v>
      </c>
      <c r="L440" t="str">
        <f>IF(tbldeptemp[[#This Row],[ValidTarget]]=FALSE,"BAD TARGET",IF(tbldeptemp[[#This Row],[ValidDependency]]=FALSE,"BAD DEPENDENCY",""))</f>
        <v/>
      </c>
    </row>
    <row r="441" spans="1:12">
      <c r="A441" s="26" t="s">
        <v>2282</v>
      </c>
      <c r="B441" t="s">
        <v>2476</v>
      </c>
      <c r="C441" t="s">
        <v>2476</v>
      </c>
      <c r="E44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41" t="s">
        <v>2476</v>
      </c>
      <c r="I441" t="s">
        <v>2321</v>
      </c>
      <c r="J441" t="b">
        <f>COUNTIF(tblTargets[TargetID],tbldeptemp[[#This Row],[TargetID]])&gt;0</f>
        <v>1</v>
      </c>
      <c r="K441" t="b">
        <f>ISNUMBER(_xlfn.XMATCH(tbldeptemp[[#This Row],[DependencyID]],tblTargets[TargetID]))</f>
        <v>1</v>
      </c>
      <c r="L441" t="str">
        <f>IF(tbldeptemp[[#This Row],[ValidTarget]]=FALSE,"BAD TARGET",IF(tbldeptemp[[#This Row],[ValidDependency]]=FALSE,"BAD DEPENDENCY",""))</f>
        <v/>
      </c>
    </row>
    <row r="442" spans="1:12">
      <c r="A442" s="26" t="s">
        <v>2282</v>
      </c>
      <c r="B442" s="26" t="s">
        <v>2478</v>
      </c>
      <c r="C442" s="26" t="s">
        <v>2478</v>
      </c>
      <c r="E442"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42" s="26" t="s">
        <v>2478</v>
      </c>
      <c r="I442" s="26" t="s">
        <v>2324</v>
      </c>
      <c r="J442" t="b">
        <f>COUNTIF(tblTargets[TargetID],tbldeptemp[[#This Row],[TargetID]])&gt;0</f>
        <v>1</v>
      </c>
      <c r="K442" t="b">
        <f>ISNUMBER(_xlfn.XMATCH(tbldeptemp[[#This Row],[DependencyID]],tblTargets[TargetID]))</f>
        <v>1</v>
      </c>
      <c r="L442" t="str">
        <f>IF(tbldeptemp[[#This Row],[ValidTarget]]=FALSE,"BAD TARGET",IF(tbldeptemp[[#This Row],[ValidDependency]]=FALSE,"BAD DEPENDENCY",""))</f>
        <v/>
      </c>
    </row>
    <row r="443" spans="1:12">
      <c r="A443" s="26" t="s">
        <v>2282</v>
      </c>
      <c r="B443" t="s">
        <v>2480</v>
      </c>
      <c r="C443" t="s">
        <v>2480</v>
      </c>
      <c r="E443"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43" t="s">
        <v>2480</v>
      </c>
      <c r="I443" t="s">
        <v>2327</v>
      </c>
      <c r="J443" t="b">
        <f>COUNTIF(tblTargets[TargetID],tbldeptemp[[#This Row],[TargetID]])&gt;0</f>
        <v>1</v>
      </c>
      <c r="K443" t="b">
        <f>ISNUMBER(_xlfn.XMATCH(tbldeptemp[[#This Row],[DependencyID]],tblTargets[TargetID]))</f>
        <v>1</v>
      </c>
      <c r="L443" t="str">
        <f>IF(tbldeptemp[[#This Row],[ValidTarget]]=FALSE,"BAD TARGET",IF(tbldeptemp[[#This Row],[ValidDependency]]=FALSE,"BAD DEPENDENCY",""))</f>
        <v/>
      </c>
    </row>
    <row r="444" spans="1:12">
      <c r="A444" t="s">
        <v>2092</v>
      </c>
      <c r="B444" t="s">
        <v>2737</v>
      </c>
      <c r="C444" t="s">
        <v>46</v>
      </c>
      <c r="D444" t="s">
        <v>588</v>
      </c>
      <c r="E444" t="s">
        <v>3314</v>
      </c>
      <c r="F444" t="b">
        <v>1</v>
      </c>
      <c r="G444" t="s">
        <v>2946</v>
      </c>
      <c r="H444" t="s">
        <v>46</v>
      </c>
      <c r="I444" t="s">
        <v>2480</v>
      </c>
      <c r="J444" t="b">
        <v>1</v>
      </c>
      <c r="K444" t="b">
        <f>ISNUMBER(_xlfn.XMATCH(tbldeptemp[[#This Row],[DependencyID]],tblTargets[TargetID]))</f>
        <v>1</v>
      </c>
      <c r="L444" t="str">
        <f>IF(tbldeptemp[[#This Row],[ValidTarget]]=FALSE,"BAD TARGET",IF(tbldeptemp[[#This Row],[ValidDependency]]=FALSE,"BAD DEPENDENCY",""))</f>
        <v/>
      </c>
    </row>
    <row r="445" spans="1:12">
      <c r="A445" t="s">
        <v>2282</v>
      </c>
      <c r="B445" t="s">
        <v>1398</v>
      </c>
      <c r="C445" t="s">
        <v>2281</v>
      </c>
      <c r="D445" t="s">
        <v>588</v>
      </c>
      <c r="E445" t="s">
        <v>3314</v>
      </c>
      <c r="F445" t="b">
        <v>1</v>
      </c>
      <c r="G445" t="s">
        <v>2946</v>
      </c>
      <c r="H445" t="s">
        <v>2281</v>
      </c>
      <c r="I445" t="s">
        <v>2480</v>
      </c>
      <c r="J445" t="b">
        <v>1</v>
      </c>
      <c r="K445" t="b">
        <f>ISNUMBER(_xlfn.XMATCH(tbldeptemp[[#This Row],[DependencyID]],tblTargets[TargetID]))</f>
        <v>1</v>
      </c>
      <c r="L445" t="str">
        <f>IF(tbldeptemp[[#This Row],[ValidTarget]]=FALSE,"BAD TARGET",IF(tbldeptemp[[#This Row],[ValidDependency]]=FALSE,"BAD DEPENDENCY",""))</f>
        <v/>
      </c>
    </row>
    <row r="446" spans="1:12">
      <c r="A446" t="s">
        <v>2094</v>
      </c>
      <c r="B446" s="16" t="s">
        <v>6430</v>
      </c>
      <c r="C446" t="s">
        <v>3519</v>
      </c>
      <c r="D446" t="s">
        <v>2902</v>
      </c>
      <c r="E446" t="s">
        <v>3314</v>
      </c>
      <c r="F446" t="b">
        <v>1</v>
      </c>
      <c r="G446" t="s">
        <v>2947</v>
      </c>
      <c r="H446" t="s">
        <v>2128</v>
      </c>
      <c r="I446" t="s">
        <v>2480</v>
      </c>
      <c r="J446" t="b">
        <v>1</v>
      </c>
      <c r="K446" t="b">
        <f>ISNUMBER(_xlfn.XMATCH(tbldeptemp[[#This Row],[DependencyID]],tblTargets[TargetID]))</f>
        <v>1</v>
      </c>
      <c r="L446" t="str">
        <f>IF(tbldeptemp[[#This Row],[ValidTarget]]=FALSE,"BAD TARGET",IF(tbldeptemp[[#This Row],[ValidDependency]]=FALSE,"BAD DEPENDENCY",""))</f>
        <v/>
      </c>
    </row>
    <row r="447" spans="1:12">
      <c r="A447" t="s">
        <v>2094</v>
      </c>
      <c r="B447" t="s">
        <v>3095</v>
      </c>
      <c r="C447" t="s">
        <v>2146</v>
      </c>
      <c r="D447" t="s">
        <v>2902</v>
      </c>
      <c r="E447" t="s">
        <v>3314</v>
      </c>
      <c r="F447" t="b">
        <v>1</v>
      </c>
      <c r="G447" t="s">
        <v>2947</v>
      </c>
      <c r="H447" t="s">
        <v>2146</v>
      </c>
      <c r="I447" t="s">
        <v>2480</v>
      </c>
      <c r="J447" t="b">
        <v>1</v>
      </c>
      <c r="K447" t="b">
        <f>ISNUMBER(_xlfn.XMATCH(tbldeptemp[[#This Row],[DependencyID]],tblTargets[TargetID]))</f>
        <v>1</v>
      </c>
      <c r="L447" t="str">
        <f>IF(tbldeptemp[[#This Row],[ValidTarget]]=FALSE,"BAD TARGET",IF(tbldeptemp[[#This Row],[ValidDependency]]=FALSE,"BAD DEPENDENCY",""))</f>
        <v/>
      </c>
    </row>
    <row r="448" spans="1:12">
      <c r="A448" s="26" t="s">
        <v>2282</v>
      </c>
      <c r="B448" s="26" t="s">
        <v>2482</v>
      </c>
      <c r="C448" s="26" t="s">
        <v>2482</v>
      </c>
      <c r="E44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48" s="26" t="s">
        <v>2482</v>
      </c>
      <c r="I448" s="26" t="s">
        <v>2330</v>
      </c>
      <c r="J448" t="b">
        <f>COUNTIF(tblTargets[TargetID],tbldeptemp[[#This Row],[TargetID]])&gt;0</f>
        <v>1</v>
      </c>
      <c r="K448" t="b">
        <f>ISNUMBER(_xlfn.XMATCH(tbldeptemp[[#This Row],[DependencyID]],tblTargets[TargetID]))</f>
        <v>1</v>
      </c>
      <c r="L448" t="str">
        <f>IF(tbldeptemp[[#This Row],[ValidTarget]]=FALSE,"BAD TARGET",IF(tbldeptemp[[#This Row],[ValidDependency]]=FALSE,"BAD DEPENDENCY",""))</f>
        <v/>
      </c>
    </row>
    <row r="449" spans="1:12">
      <c r="A449" t="s">
        <v>2282</v>
      </c>
      <c r="B449" t="s">
        <v>1414</v>
      </c>
      <c r="C449" t="s">
        <v>2333</v>
      </c>
      <c r="D449" t="s">
        <v>1519</v>
      </c>
      <c r="E449" t="s">
        <v>3449</v>
      </c>
      <c r="F449" t="b">
        <v>1</v>
      </c>
      <c r="G449" t="s">
        <v>2946</v>
      </c>
      <c r="H449" t="s">
        <v>2333</v>
      </c>
      <c r="I449" t="s">
        <v>2482</v>
      </c>
      <c r="J449" t="b">
        <v>1</v>
      </c>
      <c r="K449" t="b">
        <f>ISNUMBER(_xlfn.XMATCH(tbldeptemp[[#This Row],[DependencyID]],tblTargets[TargetID]))</f>
        <v>1</v>
      </c>
      <c r="L449" t="str">
        <f>IF(tbldeptemp[[#This Row],[ValidTarget]]=FALSE,"BAD TARGET",IF(tbldeptemp[[#This Row],[ValidDependency]]=FALSE,"BAD DEPENDENCY",""))</f>
        <v/>
      </c>
    </row>
    <row r="450" spans="1:12">
      <c r="A450" t="s">
        <v>2282</v>
      </c>
      <c r="B450" t="s">
        <v>1448</v>
      </c>
      <c r="C450" t="s">
        <v>2360</v>
      </c>
      <c r="D450" t="s">
        <v>1554</v>
      </c>
      <c r="E450" t="s">
        <v>3466</v>
      </c>
      <c r="F450" t="b">
        <v>1</v>
      </c>
      <c r="G450" t="s">
        <v>2946</v>
      </c>
      <c r="H450" t="s">
        <v>2360</v>
      </c>
      <c r="I450" t="s">
        <v>2357</v>
      </c>
      <c r="J450" t="b">
        <v>1</v>
      </c>
      <c r="K450" t="b">
        <f>ISNUMBER(_xlfn.XMATCH(tbldeptemp[[#This Row],[DependencyID]],tblTargets[TargetID]))</f>
        <v>1</v>
      </c>
      <c r="L450" t="str">
        <f>IF(tbldeptemp[[#This Row],[ValidTarget]]=FALSE,"BAD TARGET",IF(tbldeptemp[[#This Row],[ValidDependency]]=FALSE,"BAD DEPENDENCY",""))</f>
        <v/>
      </c>
    </row>
    <row r="451" spans="1:12">
      <c r="A451" s="26" t="s">
        <v>2282</v>
      </c>
      <c r="B451" t="s">
        <v>2500</v>
      </c>
      <c r="C451" t="s">
        <v>2500</v>
      </c>
      <c r="E45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51" t="s">
        <v>2500</v>
      </c>
      <c r="I451" t="s">
        <v>2357</v>
      </c>
      <c r="J451" t="b">
        <f>COUNTIF(tblTargets[TargetID],tbldeptemp[[#This Row],[TargetID]])&gt;0</f>
        <v>1</v>
      </c>
      <c r="K451" t="b">
        <f>ISNUMBER(_xlfn.XMATCH(tbldeptemp[[#This Row],[DependencyID]],tblTargets[TargetID]))</f>
        <v>1</v>
      </c>
      <c r="L451" t="str">
        <f>IF(tbldeptemp[[#This Row],[ValidTarget]]=FALSE,"BAD TARGET",IF(tbldeptemp[[#This Row],[ValidDependency]]=FALSE,"BAD DEPENDENCY",""))</f>
        <v/>
      </c>
    </row>
    <row r="452" spans="1:12">
      <c r="A452" t="s">
        <v>2651</v>
      </c>
      <c r="B452" t="s">
        <v>3060</v>
      </c>
      <c r="C452" t="s">
        <v>2656</v>
      </c>
      <c r="D452" t="s">
        <v>2846</v>
      </c>
      <c r="E452" t="s">
        <v>3425</v>
      </c>
      <c r="F452" t="b">
        <v>1</v>
      </c>
      <c r="G452" t="s">
        <v>2947</v>
      </c>
      <c r="H452" t="s">
        <v>2656</v>
      </c>
      <c r="I452" t="s">
        <v>2500</v>
      </c>
      <c r="J452" t="b">
        <v>1</v>
      </c>
      <c r="K452" t="b">
        <f>ISNUMBER(_xlfn.XMATCH(tbldeptemp[[#This Row],[DependencyID]],tblTargets[TargetID]))</f>
        <v>1</v>
      </c>
      <c r="L452" t="str">
        <f>IF(tbldeptemp[[#This Row],[ValidTarget]]=FALSE,"BAD TARGET",IF(tbldeptemp[[#This Row],[ValidDependency]]=FALSE,"BAD DEPENDENCY",""))</f>
        <v/>
      </c>
    </row>
    <row r="453" spans="1:12">
      <c r="A453" t="s">
        <v>2651</v>
      </c>
      <c r="B453" t="s">
        <v>3064</v>
      </c>
      <c r="C453" t="s">
        <v>2660</v>
      </c>
      <c r="D453" t="s">
        <v>2846</v>
      </c>
      <c r="E453" t="s">
        <v>3425</v>
      </c>
      <c r="F453" t="b">
        <v>1</v>
      </c>
      <c r="G453" t="s">
        <v>2947</v>
      </c>
      <c r="H453" t="s">
        <v>2660</v>
      </c>
      <c r="I453" t="s">
        <v>2500</v>
      </c>
      <c r="J453" t="b">
        <v>1</v>
      </c>
      <c r="K453" t="b">
        <f>ISNUMBER(_xlfn.XMATCH(tbldeptemp[[#This Row],[DependencyID]],tblTargets[TargetID]))</f>
        <v>1</v>
      </c>
      <c r="L453" t="str">
        <f>IF(tbldeptemp[[#This Row],[ValidTarget]]=FALSE,"BAD TARGET",IF(tbldeptemp[[#This Row],[ValidDependency]]=FALSE,"BAD DEPENDENCY",""))</f>
        <v/>
      </c>
    </row>
    <row r="454" spans="1:12">
      <c r="A454" t="s">
        <v>2094</v>
      </c>
      <c r="B454" t="s">
        <v>3106</v>
      </c>
      <c r="C454" t="s">
        <v>2164</v>
      </c>
      <c r="D454" t="s">
        <v>2918</v>
      </c>
      <c r="E454" t="s">
        <v>3425</v>
      </c>
      <c r="F454" t="b">
        <v>1</v>
      </c>
      <c r="G454" t="s">
        <v>2947</v>
      </c>
      <c r="H454" t="s">
        <v>2164</v>
      </c>
      <c r="I454" t="s">
        <v>2500</v>
      </c>
      <c r="J454" t="b">
        <v>1</v>
      </c>
      <c r="K454" t="b">
        <f>ISNUMBER(_xlfn.XMATCH(tbldeptemp[[#This Row],[DependencyID]],tblTargets[TargetID]))</f>
        <v>1</v>
      </c>
      <c r="L454" t="str">
        <f>IF(tbldeptemp[[#This Row],[ValidTarget]]=FALSE,"BAD TARGET",IF(tbldeptemp[[#This Row],[ValidDependency]]=FALSE,"BAD DEPENDENCY",""))</f>
        <v/>
      </c>
    </row>
    <row r="455" spans="1:12">
      <c r="A455" t="s">
        <v>2094</v>
      </c>
      <c r="B455" t="s">
        <v>3136</v>
      </c>
      <c r="C455" t="s">
        <v>2218</v>
      </c>
      <c r="D455" t="s">
        <v>2918</v>
      </c>
      <c r="E455" t="s">
        <v>3425</v>
      </c>
      <c r="F455" t="b">
        <v>1</v>
      </c>
      <c r="G455" t="s">
        <v>2947</v>
      </c>
      <c r="H455" t="s">
        <v>2218</v>
      </c>
      <c r="I455" t="s">
        <v>2500</v>
      </c>
      <c r="J455" t="b">
        <v>1</v>
      </c>
      <c r="K455" t="b">
        <f>ISNUMBER(_xlfn.XMATCH(tbldeptemp[[#This Row],[DependencyID]],tblTargets[TargetID]))</f>
        <v>1</v>
      </c>
      <c r="L455" t="str">
        <f>IF(tbldeptemp[[#This Row],[ValidTarget]]=FALSE,"BAD TARGET",IF(tbldeptemp[[#This Row],[ValidDependency]]=FALSE,"BAD DEPENDENCY",""))</f>
        <v/>
      </c>
    </row>
    <row r="456" spans="1:12">
      <c r="A456" t="s">
        <v>2282</v>
      </c>
      <c r="B456" t="s">
        <v>1449</v>
      </c>
      <c r="C456" t="s">
        <v>2363</v>
      </c>
      <c r="D456" t="s">
        <v>2875</v>
      </c>
      <c r="E456" t="s">
        <v>3469</v>
      </c>
      <c r="F456" t="b">
        <v>1</v>
      </c>
      <c r="G456" t="s">
        <v>2947</v>
      </c>
      <c r="H456" t="s">
        <v>2363</v>
      </c>
      <c r="I456" t="s">
        <v>2360</v>
      </c>
      <c r="J456" t="b">
        <v>1</v>
      </c>
      <c r="K456" t="b">
        <f>ISNUMBER(_xlfn.XMATCH(tbldeptemp[[#This Row],[DependencyID]],tblTargets[TargetID]))</f>
        <v>1</v>
      </c>
      <c r="L456" t="str">
        <f>IF(tbldeptemp[[#This Row],[ValidTarget]]=FALSE,"BAD TARGET",IF(tbldeptemp[[#This Row],[ValidDependency]]=FALSE,"BAD DEPENDENCY",""))</f>
        <v/>
      </c>
    </row>
    <row r="457" spans="1:12">
      <c r="A457" s="26" t="s">
        <v>2282</v>
      </c>
      <c r="B457" s="26" t="s">
        <v>2502</v>
      </c>
      <c r="C457" s="26" t="s">
        <v>2502</v>
      </c>
      <c r="E45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57" s="26" t="s">
        <v>2502</v>
      </c>
      <c r="I457" s="26" t="s">
        <v>2360</v>
      </c>
      <c r="J457" t="b">
        <f>COUNTIF(tblTargets[TargetID],tbldeptemp[[#This Row],[TargetID]])&gt;0</f>
        <v>1</v>
      </c>
      <c r="K457" t="b">
        <f>ISNUMBER(_xlfn.XMATCH(tbldeptemp[[#This Row],[DependencyID]],tblTargets[TargetID]))</f>
        <v>1</v>
      </c>
      <c r="L457" t="str">
        <f>IF(tbldeptemp[[#This Row],[ValidTarget]]=FALSE,"BAD TARGET",IF(tbldeptemp[[#This Row],[ValidDependency]]=FALSE,"BAD DEPENDENCY",""))</f>
        <v/>
      </c>
    </row>
    <row r="458" spans="1:12">
      <c r="A458" t="s">
        <v>2651</v>
      </c>
      <c r="B458" t="s">
        <v>3068</v>
      </c>
      <c r="C458" t="s">
        <v>2664</v>
      </c>
      <c r="D458" t="s">
        <v>2850</v>
      </c>
      <c r="E458" t="s">
        <v>3429</v>
      </c>
      <c r="F458" t="b">
        <v>1</v>
      </c>
      <c r="G458" t="s">
        <v>2947</v>
      </c>
      <c r="H458" t="s">
        <v>2664</v>
      </c>
      <c r="I458" t="s">
        <v>2502</v>
      </c>
      <c r="J458" t="b">
        <v>1</v>
      </c>
      <c r="K458" t="b">
        <f>ISNUMBER(_xlfn.XMATCH(tbldeptemp[[#This Row],[DependencyID]],tblTargets[TargetID]))</f>
        <v>1</v>
      </c>
      <c r="L458" t="str">
        <f>IF(tbldeptemp[[#This Row],[ValidTarget]]=FALSE,"BAD TARGET",IF(tbldeptemp[[#This Row],[ValidDependency]]=FALSE,"BAD DEPENDENCY",""))</f>
        <v/>
      </c>
    </row>
    <row r="459" spans="1:12">
      <c r="A459" t="s">
        <v>2094</v>
      </c>
      <c r="B459" t="s">
        <v>3075</v>
      </c>
      <c r="C459" t="s">
        <v>2093</v>
      </c>
      <c r="D459" t="s">
        <v>2899</v>
      </c>
      <c r="E459" t="s">
        <v>3429</v>
      </c>
      <c r="F459" t="b">
        <v>1</v>
      </c>
      <c r="G459" t="s">
        <v>2947</v>
      </c>
      <c r="H459" t="s">
        <v>2093</v>
      </c>
      <c r="I459" t="s">
        <v>2502</v>
      </c>
      <c r="J459" t="b">
        <v>1</v>
      </c>
      <c r="K459" t="b">
        <f>ISNUMBER(_xlfn.XMATCH(tbldeptemp[[#This Row],[DependencyID]],tblTargets[TargetID]))</f>
        <v>1</v>
      </c>
      <c r="L459" t="str">
        <f>IF(tbldeptemp[[#This Row],[ValidTarget]]=FALSE,"BAD TARGET",IF(tbldeptemp[[#This Row],[ValidDependency]]=FALSE,"BAD DEPENDENCY",""))</f>
        <v/>
      </c>
    </row>
    <row r="460" spans="1:12">
      <c r="A460" t="s">
        <v>2094</v>
      </c>
      <c r="B460" t="s">
        <v>3106</v>
      </c>
      <c r="C460" t="s">
        <v>2164</v>
      </c>
      <c r="D460" t="s">
        <v>2899</v>
      </c>
      <c r="E460" t="s">
        <v>3429</v>
      </c>
      <c r="F460" t="b">
        <v>1</v>
      </c>
      <c r="G460" t="s">
        <v>2947</v>
      </c>
      <c r="H460" t="s">
        <v>2164</v>
      </c>
      <c r="I460" t="s">
        <v>2502</v>
      </c>
      <c r="J460" t="b">
        <v>1</v>
      </c>
      <c r="K460" t="b">
        <f>ISNUMBER(_xlfn.XMATCH(tbldeptemp[[#This Row],[DependencyID]],tblTargets[TargetID]))</f>
        <v>1</v>
      </c>
      <c r="L460" t="str">
        <f>IF(tbldeptemp[[#This Row],[ValidTarget]]=FALSE,"BAD TARGET",IF(tbldeptemp[[#This Row],[ValidDependency]]=FALSE,"BAD DEPENDENCY",""))</f>
        <v/>
      </c>
    </row>
    <row r="461" spans="1:12">
      <c r="A461" t="s">
        <v>2094</v>
      </c>
      <c r="B461" t="s">
        <v>3143</v>
      </c>
      <c r="C461" t="s">
        <v>2242</v>
      </c>
      <c r="D461" t="s">
        <v>2899</v>
      </c>
      <c r="E461" t="s">
        <v>3429</v>
      </c>
      <c r="F461" t="b">
        <v>1</v>
      </c>
      <c r="G461" t="s">
        <v>2947</v>
      </c>
      <c r="H461" t="s">
        <v>2242</v>
      </c>
      <c r="I461" t="s">
        <v>2502</v>
      </c>
      <c r="J461" t="b">
        <v>1</v>
      </c>
      <c r="K461" t="b">
        <f>ISNUMBER(_xlfn.XMATCH(tbldeptemp[[#This Row],[DependencyID]],tblTargets[TargetID]))</f>
        <v>1</v>
      </c>
      <c r="L461" t="str">
        <f>IF(tbldeptemp[[#This Row],[ValidTarget]]=FALSE,"BAD TARGET",IF(tbldeptemp[[#This Row],[ValidDependency]]=FALSE,"BAD DEPENDENCY",""))</f>
        <v/>
      </c>
    </row>
    <row r="462" spans="1:12">
      <c r="A462" t="s">
        <v>2282</v>
      </c>
      <c r="B462" t="s">
        <v>1450</v>
      </c>
      <c r="C462" t="s">
        <v>2366</v>
      </c>
      <c r="D462" t="s">
        <v>1562</v>
      </c>
      <c r="E462" t="s">
        <v>3472</v>
      </c>
      <c r="F462" t="b">
        <v>0</v>
      </c>
      <c r="G462" t="s">
        <v>2946</v>
      </c>
      <c r="H462" t="s">
        <v>2366</v>
      </c>
      <c r="I462" t="s">
        <v>2363</v>
      </c>
      <c r="J462" t="b">
        <v>1</v>
      </c>
      <c r="K462" t="b">
        <f>ISNUMBER(_xlfn.XMATCH(tbldeptemp[[#This Row],[DependencyID]],tblTargets[TargetID]))</f>
        <v>1</v>
      </c>
      <c r="L462" t="str">
        <f>IF(tbldeptemp[[#This Row],[ValidTarget]]=FALSE,"BAD TARGET",IF(tbldeptemp[[#This Row],[ValidDependency]]=FALSE,"BAD DEPENDENCY",""))</f>
        <v/>
      </c>
    </row>
    <row r="463" spans="1:12">
      <c r="A463" s="26" t="s">
        <v>2282</v>
      </c>
      <c r="B463" t="s">
        <v>2504</v>
      </c>
      <c r="C463" t="s">
        <v>2504</v>
      </c>
      <c r="E463"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63" t="s">
        <v>2504</v>
      </c>
      <c r="I463" t="s">
        <v>2363</v>
      </c>
      <c r="J463" t="b">
        <f>COUNTIF(tblTargets[TargetID],tbldeptemp[[#This Row],[TargetID]])&gt;0</f>
        <v>1</v>
      </c>
      <c r="K463" t="b">
        <f>ISNUMBER(_xlfn.XMATCH(tbldeptemp[[#This Row],[DependencyID]],tblTargets[TargetID]))</f>
        <v>1</v>
      </c>
      <c r="L463" t="str">
        <f>IF(tbldeptemp[[#This Row],[ValidTarget]]=FALSE,"BAD TARGET",IF(tbldeptemp[[#This Row],[ValidDependency]]=FALSE,"BAD DEPENDENCY",""))</f>
        <v/>
      </c>
    </row>
    <row r="464" spans="1:12">
      <c r="A464" t="s">
        <v>2282</v>
      </c>
      <c r="B464" t="s">
        <v>1451</v>
      </c>
      <c r="C464" t="s">
        <v>2369</v>
      </c>
      <c r="D464" t="s">
        <v>1565</v>
      </c>
      <c r="E464" t="s">
        <v>3475</v>
      </c>
      <c r="F464" t="b">
        <v>0</v>
      </c>
      <c r="G464" t="s">
        <v>2946</v>
      </c>
      <c r="H464" t="s">
        <v>2369</v>
      </c>
      <c r="I464" t="s">
        <v>2504</v>
      </c>
      <c r="J464" t="b">
        <v>1</v>
      </c>
      <c r="K464" t="b">
        <f>ISNUMBER(_xlfn.XMATCH(tbldeptemp[[#This Row],[DependencyID]],tblTargets[TargetID]))</f>
        <v>1</v>
      </c>
      <c r="L464" t="str">
        <f>IF(tbldeptemp[[#This Row],[ValidTarget]]=FALSE,"BAD TARGET",IF(tbldeptemp[[#This Row],[ValidDependency]]=FALSE,"BAD DEPENDENCY",""))</f>
        <v/>
      </c>
    </row>
    <row r="465" spans="1:12">
      <c r="A465" t="s">
        <v>2282</v>
      </c>
      <c r="B465" t="s">
        <v>1435</v>
      </c>
      <c r="C465" t="s">
        <v>2417</v>
      </c>
      <c r="D465" t="s">
        <v>1565</v>
      </c>
      <c r="E465" t="s">
        <v>3475</v>
      </c>
      <c r="F465" t="b">
        <v>0</v>
      </c>
      <c r="G465" t="s">
        <v>2947</v>
      </c>
      <c r="H465" t="s">
        <v>2417</v>
      </c>
      <c r="I465" t="s">
        <v>2504</v>
      </c>
      <c r="J465" t="b">
        <v>1</v>
      </c>
      <c r="K465" t="b">
        <f>ISNUMBER(_xlfn.XMATCH(tbldeptemp[[#This Row],[DependencyID]],tblTargets[TargetID]))</f>
        <v>1</v>
      </c>
      <c r="L465" t="str">
        <f>IF(tbldeptemp[[#This Row],[ValidTarget]]=FALSE,"BAD TARGET",IF(tbldeptemp[[#This Row],[ValidDependency]]=FALSE,"BAD DEPENDENCY",""))</f>
        <v/>
      </c>
    </row>
    <row r="466" spans="1:12">
      <c r="A466" t="s">
        <v>2282</v>
      </c>
      <c r="B466" t="s">
        <v>1436</v>
      </c>
      <c r="C466" t="s">
        <v>2420</v>
      </c>
      <c r="D466" t="s">
        <v>1565</v>
      </c>
      <c r="E466" t="s">
        <v>3475</v>
      </c>
      <c r="F466" t="b">
        <v>0</v>
      </c>
      <c r="G466" t="s">
        <v>2946</v>
      </c>
      <c r="H466" t="s">
        <v>2420</v>
      </c>
      <c r="I466" t="s">
        <v>2504</v>
      </c>
      <c r="J466" t="b">
        <v>1</v>
      </c>
      <c r="K466" t="b">
        <f>ISNUMBER(_xlfn.XMATCH(tbldeptemp[[#This Row],[DependencyID]],tblTargets[TargetID]))</f>
        <v>1</v>
      </c>
      <c r="L466" t="str">
        <f>IF(tbldeptemp[[#This Row],[ValidTarget]]=FALSE,"BAD TARGET",IF(tbldeptemp[[#This Row],[ValidDependency]]=FALSE,"BAD DEPENDENCY",""))</f>
        <v/>
      </c>
    </row>
    <row r="467" spans="1:12">
      <c r="A467" t="s">
        <v>2094</v>
      </c>
      <c r="B467" t="s">
        <v>3124</v>
      </c>
      <c r="C467" t="s">
        <v>2206</v>
      </c>
      <c r="D467" t="s">
        <v>1565</v>
      </c>
      <c r="E467" t="s">
        <v>3475</v>
      </c>
      <c r="F467" t="b">
        <v>0</v>
      </c>
      <c r="G467" t="s">
        <v>2947</v>
      </c>
      <c r="H467" t="s">
        <v>2206</v>
      </c>
      <c r="I467" t="s">
        <v>2504</v>
      </c>
      <c r="J467" t="b">
        <v>1</v>
      </c>
      <c r="K467" t="b">
        <f>ISNUMBER(_xlfn.XMATCH(tbldeptemp[[#This Row],[DependencyID]],tblTargets[TargetID]))</f>
        <v>1</v>
      </c>
      <c r="L467" t="str">
        <f>IF(tbldeptemp[[#This Row],[ValidTarget]]=FALSE,"BAD TARGET",IF(tbldeptemp[[#This Row],[ValidDependency]]=FALSE,"BAD DEPENDENCY",""))</f>
        <v/>
      </c>
    </row>
    <row r="468" spans="1:12">
      <c r="A468" s="26" t="s">
        <v>2282</v>
      </c>
      <c r="B468" s="26" t="s">
        <v>2506</v>
      </c>
      <c r="C468" s="26" t="s">
        <v>2506</v>
      </c>
      <c r="E46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68" s="26" t="s">
        <v>2506</v>
      </c>
      <c r="I468" s="26" t="s">
        <v>2366</v>
      </c>
      <c r="J468" t="b">
        <f>COUNTIF(tblTargets[TargetID],tbldeptemp[[#This Row],[TargetID]])&gt;0</f>
        <v>1</v>
      </c>
      <c r="K468" t="b">
        <f>ISNUMBER(_xlfn.XMATCH(tbldeptemp[[#This Row],[DependencyID]],tblTargets[TargetID]))</f>
        <v>1</v>
      </c>
      <c r="L468" t="str">
        <f>IF(tbldeptemp[[#This Row],[ValidTarget]]=FALSE,"BAD TARGET",IF(tbldeptemp[[#This Row],[ValidDependency]]=FALSE,"BAD DEPENDENCY",""))</f>
        <v/>
      </c>
    </row>
    <row r="469" spans="1:12">
      <c r="A469" s="26" t="s">
        <v>2282</v>
      </c>
      <c r="B469" t="s">
        <v>2508</v>
      </c>
      <c r="C469" t="s">
        <v>2508</v>
      </c>
      <c r="E469"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69" t="s">
        <v>2508</v>
      </c>
      <c r="I469" t="s">
        <v>2369</v>
      </c>
      <c r="J469" t="b">
        <f>COUNTIF(tblTargets[TargetID],tbldeptemp[[#This Row],[TargetID]])&gt;0</f>
        <v>1</v>
      </c>
      <c r="K469" t="b">
        <f>ISNUMBER(_xlfn.XMATCH(tbldeptemp[[#This Row],[DependencyID]],tblTargets[TargetID]))</f>
        <v>1</v>
      </c>
      <c r="L469" t="str">
        <f>IF(tbldeptemp[[#This Row],[ValidTarget]]=FALSE,"BAD TARGET",IF(tbldeptemp[[#This Row],[ValidDependency]]=FALSE,"BAD DEPENDENCY",""))</f>
        <v/>
      </c>
    </row>
    <row r="470" spans="1:12">
      <c r="A470" t="s">
        <v>2563</v>
      </c>
      <c r="B470" t="s">
        <v>2974</v>
      </c>
      <c r="C470" t="s">
        <v>2562</v>
      </c>
      <c r="D470" t="s">
        <v>3161</v>
      </c>
      <c r="E470" t="s">
        <v>3353</v>
      </c>
      <c r="F470" t="b">
        <v>0</v>
      </c>
      <c r="G470" t="s">
        <v>2947</v>
      </c>
      <c r="H470" t="s">
        <v>2562</v>
      </c>
      <c r="I470" t="s">
        <v>2508</v>
      </c>
      <c r="J470" t="b">
        <v>1</v>
      </c>
      <c r="K470" t="b">
        <f>ISNUMBER(_xlfn.XMATCH(tbldeptemp[[#This Row],[DependencyID]],tblTargets[TargetID]))</f>
        <v>1</v>
      </c>
      <c r="L470" t="str">
        <f>IF(tbldeptemp[[#This Row],[ValidTarget]]=FALSE,"BAD TARGET",IF(tbldeptemp[[#This Row],[ValidDependency]]=FALSE,"BAD DEPENDENCY",""))</f>
        <v/>
      </c>
    </row>
    <row r="471" spans="1:12">
      <c r="A471" t="s">
        <v>2563</v>
      </c>
      <c r="B471" t="s">
        <v>2977</v>
      </c>
      <c r="C471" t="s">
        <v>2567</v>
      </c>
      <c r="D471" t="s">
        <v>3161</v>
      </c>
      <c r="E471" t="s">
        <v>3353</v>
      </c>
      <c r="F471" t="b">
        <v>0</v>
      </c>
      <c r="G471" t="s">
        <v>2947</v>
      </c>
      <c r="H471" t="s">
        <v>2567</v>
      </c>
      <c r="I471" t="s">
        <v>2508</v>
      </c>
      <c r="J471" t="b">
        <v>1</v>
      </c>
      <c r="K471" t="b">
        <f>ISNUMBER(_xlfn.XMATCH(tbldeptemp[[#This Row],[DependencyID]],tblTargets[TargetID]))</f>
        <v>1</v>
      </c>
      <c r="L471" t="str">
        <f>IF(tbldeptemp[[#This Row],[ValidTarget]]=FALSE,"BAD TARGET",IF(tbldeptemp[[#This Row],[ValidDependency]]=FALSE,"BAD DEPENDENCY",""))</f>
        <v/>
      </c>
    </row>
    <row r="472" spans="1:12">
      <c r="A472" t="s">
        <v>2563</v>
      </c>
      <c r="B472" t="s">
        <v>2982</v>
      </c>
      <c r="C472" t="s">
        <v>2576</v>
      </c>
      <c r="D472" t="s">
        <v>1569</v>
      </c>
      <c r="E472" t="s">
        <v>3353</v>
      </c>
      <c r="F472" t="b">
        <v>0</v>
      </c>
      <c r="G472" t="s">
        <v>2947</v>
      </c>
      <c r="H472" t="s">
        <v>2576</v>
      </c>
      <c r="I472" t="s">
        <v>2508</v>
      </c>
      <c r="J472" t="b">
        <v>1</v>
      </c>
      <c r="K472" t="b">
        <f>ISNUMBER(_xlfn.XMATCH(tbldeptemp[[#This Row],[DependencyID]],tblTargets[TargetID]))</f>
        <v>1</v>
      </c>
      <c r="L472" t="str">
        <f>IF(tbldeptemp[[#This Row],[ValidTarget]]=FALSE,"BAD TARGET",IF(tbldeptemp[[#This Row],[ValidDependency]]=FALSE,"BAD DEPENDENCY",""))</f>
        <v/>
      </c>
    </row>
    <row r="473" spans="1:12">
      <c r="A473" t="s">
        <v>2282</v>
      </c>
      <c r="B473" t="s">
        <v>1452</v>
      </c>
      <c r="C473" t="s">
        <v>2372</v>
      </c>
      <c r="D473" t="s">
        <v>1569</v>
      </c>
      <c r="E473" t="s">
        <v>3353</v>
      </c>
      <c r="F473" t="b">
        <v>0</v>
      </c>
      <c r="G473" t="s">
        <v>2946</v>
      </c>
      <c r="H473" t="s">
        <v>2372</v>
      </c>
      <c r="I473" t="s">
        <v>2508</v>
      </c>
      <c r="J473" t="b">
        <v>1</v>
      </c>
      <c r="K473" t="b">
        <f>ISNUMBER(_xlfn.XMATCH(tbldeptemp[[#This Row],[DependencyID]],tblTargets[TargetID]))</f>
        <v>1</v>
      </c>
      <c r="L473" t="str">
        <f>IF(tbldeptemp[[#This Row],[ValidTarget]]=FALSE,"BAD TARGET",IF(tbldeptemp[[#This Row],[ValidDependency]]=FALSE,"BAD DEPENDENCY",""))</f>
        <v/>
      </c>
    </row>
    <row r="474" spans="1:12">
      <c r="A474" s="26" t="s">
        <v>2282</v>
      </c>
      <c r="B474" s="26" t="s">
        <v>2510</v>
      </c>
      <c r="C474" s="26" t="s">
        <v>2510</v>
      </c>
      <c r="E474"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74" s="26" t="s">
        <v>2510</v>
      </c>
      <c r="I474" s="26" t="s">
        <v>2372</v>
      </c>
      <c r="J474" t="b">
        <f>COUNTIF(tblTargets[TargetID],tbldeptemp[[#This Row],[TargetID]])&gt;0</f>
        <v>1</v>
      </c>
      <c r="K474" t="b">
        <f>ISNUMBER(_xlfn.XMATCH(tbldeptemp[[#This Row],[DependencyID]],tblTargets[TargetID]))</f>
        <v>1</v>
      </c>
      <c r="L474" t="str">
        <f>IF(tbldeptemp[[#This Row],[ValidTarget]]=FALSE,"BAD TARGET",IF(tbldeptemp[[#This Row],[ValidDependency]]=FALSE,"BAD DEPENDENCY",""))</f>
        <v/>
      </c>
    </row>
    <row r="475" spans="1:12">
      <c r="A475" t="s">
        <v>2563</v>
      </c>
      <c r="B475" t="s">
        <v>2974</v>
      </c>
      <c r="C475" t="s">
        <v>2562</v>
      </c>
      <c r="D475" t="s">
        <v>3162</v>
      </c>
      <c r="E475" t="s">
        <v>3354</v>
      </c>
      <c r="F475" t="b">
        <v>0</v>
      </c>
      <c r="G475" t="s">
        <v>2947</v>
      </c>
      <c r="H475" t="s">
        <v>2562</v>
      </c>
      <c r="I475" t="s">
        <v>2510</v>
      </c>
      <c r="J475" t="b">
        <v>1</v>
      </c>
      <c r="K475" t="b">
        <f>ISNUMBER(_xlfn.XMATCH(tbldeptemp[[#This Row],[DependencyID]],tblTargets[TargetID]))</f>
        <v>1</v>
      </c>
      <c r="L475" t="str">
        <f>IF(tbldeptemp[[#This Row],[ValidTarget]]=FALSE,"BAD TARGET",IF(tbldeptemp[[#This Row],[ValidDependency]]=FALSE,"BAD DEPENDENCY",""))</f>
        <v/>
      </c>
    </row>
    <row r="476" spans="1:12">
      <c r="A476" t="s">
        <v>2563</v>
      </c>
      <c r="B476" t="s">
        <v>2977</v>
      </c>
      <c r="C476" t="s">
        <v>2567</v>
      </c>
      <c r="D476" t="s">
        <v>3162</v>
      </c>
      <c r="E476" t="s">
        <v>3354</v>
      </c>
      <c r="F476" t="b">
        <v>0</v>
      </c>
      <c r="G476" t="s">
        <v>2947</v>
      </c>
      <c r="H476" t="s">
        <v>2567</v>
      </c>
      <c r="I476" t="s">
        <v>2510</v>
      </c>
      <c r="J476" t="b">
        <v>1</v>
      </c>
      <c r="K476" t="b">
        <f>ISNUMBER(_xlfn.XMATCH(tbldeptemp[[#This Row],[DependencyID]],tblTargets[TargetID]))</f>
        <v>1</v>
      </c>
      <c r="L476" t="str">
        <f>IF(tbldeptemp[[#This Row],[ValidTarget]]=FALSE,"BAD TARGET",IF(tbldeptemp[[#This Row],[ValidDependency]]=FALSE,"BAD DEPENDENCY",""))</f>
        <v/>
      </c>
    </row>
    <row r="477" spans="1:12">
      <c r="A477" t="s">
        <v>2563</v>
      </c>
      <c r="B477" t="s">
        <v>2982</v>
      </c>
      <c r="C477" t="s">
        <v>2576</v>
      </c>
      <c r="D477" t="s">
        <v>2832</v>
      </c>
      <c r="E477" t="s">
        <v>3354</v>
      </c>
      <c r="F477" t="b">
        <v>0</v>
      </c>
      <c r="G477" t="s">
        <v>2947</v>
      </c>
      <c r="H477" t="s">
        <v>2576</v>
      </c>
      <c r="I477" t="s">
        <v>2510</v>
      </c>
      <c r="J477" t="b">
        <v>1</v>
      </c>
      <c r="K477" t="b">
        <f>ISNUMBER(_xlfn.XMATCH(tbldeptemp[[#This Row],[DependencyID]],tblTargets[TargetID]))</f>
        <v>1</v>
      </c>
      <c r="L477" t="str">
        <f>IF(tbldeptemp[[#This Row],[ValidTarget]]=FALSE,"BAD TARGET",IF(tbldeptemp[[#This Row],[ValidDependency]]=FALSE,"BAD DEPENDENCY",""))</f>
        <v/>
      </c>
    </row>
    <row r="478" spans="1:12">
      <c r="A478" s="26" t="s">
        <v>2282</v>
      </c>
      <c r="B478" t="s">
        <v>2484</v>
      </c>
      <c r="C478" t="s">
        <v>2484</v>
      </c>
      <c r="E47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78" t="s">
        <v>2484</v>
      </c>
      <c r="I478" t="s">
        <v>2333</v>
      </c>
      <c r="J478" t="b">
        <f>COUNTIF(tblTargets[TargetID],tbldeptemp[[#This Row],[TargetID]])&gt;0</f>
        <v>1</v>
      </c>
      <c r="K478" t="b">
        <f>ISNUMBER(_xlfn.XMATCH(tbldeptemp[[#This Row],[DependencyID]],tblTargets[TargetID]))</f>
        <v>1</v>
      </c>
      <c r="L478" t="str">
        <f>IF(tbldeptemp[[#This Row],[ValidTarget]]=FALSE,"BAD TARGET",IF(tbldeptemp[[#This Row],[ValidDependency]]=FALSE,"BAD DEPENDENCY",""))</f>
        <v/>
      </c>
    </row>
    <row r="479" spans="1:12">
      <c r="A479" t="s">
        <v>2578</v>
      </c>
      <c r="B479" t="s">
        <v>3016</v>
      </c>
      <c r="C479" t="s">
        <v>2611</v>
      </c>
      <c r="D479" t="s">
        <v>1523</v>
      </c>
      <c r="E479" t="s">
        <v>3388</v>
      </c>
      <c r="F479" t="b">
        <v>1</v>
      </c>
      <c r="G479" t="s">
        <v>2947</v>
      </c>
      <c r="H479" t="s">
        <v>2611</v>
      </c>
      <c r="I479" t="s">
        <v>2484</v>
      </c>
      <c r="J479" t="b">
        <v>1</v>
      </c>
      <c r="K479" t="b">
        <f>ISNUMBER(_xlfn.XMATCH(tbldeptemp[[#This Row],[DependencyID]],tblTargets[TargetID]))</f>
        <v>1</v>
      </c>
      <c r="L479" t="str">
        <f>IF(tbldeptemp[[#This Row],[ValidTarget]]=FALSE,"BAD TARGET",IF(tbldeptemp[[#This Row],[ValidDependency]]=FALSE,"BAD DEPENDENCY",""))</f>
        <v/>
      </c>
    </row>
    <row r="480" spans="1:12">
      <c r="A480" t="s">
        <v>2282</v>
      </c>
      <c r="B480" t="s">
        <v>1415</v>
      </c>
      <c r="C480" t="s">
        <v>2336</v>
      </c>
      <c r="D480" t="s">
        <v>1523</v>
      </c>
      <c r="E480" t="s">
        <v>3388</v>
      </c>
      <c r="F480" t="b">
        <v>1</v>
      </c>
      <c r="G480" t="s">
        <v>2946</v>
      </c>
      <c r="H480" t="s">
        <v>2336</v>
      </c>
      <c r="I480" t="s">
        <v>2484</v>
      </c>
      <c r="J480" t="b">
        <v>1</v>
      </c>
      <c r="K480" t="b">
        <f>ISNUMBER(_xlfn.XMATCH(tbldeptemp[[#This Row],[DependencyID]],tblTargets[TargetID]))</f>
        <v>1</v>
      </c>
      <c r="L480" t="str">
        <f>IF(tbldeptemp[[#This Row],[ValidTarget]]=FALSE,"BAD TARGET",IF(tbldeptemp[[#This Row],[ValidDependency]]=FALSE,"BAD DEPENDENCY",""))</f>
        <v/>
      </c>
    </row>
    <row r="481" spans="1:12">
      <c r="A481" s="26" t="s">
        <v>2282</v>
      </c>
      <c r="B481" s="26" t="s">
        <v>2486</v>
      </c>
      <c r="C481" s="26" t="s">
        <v>2486</v>
      </c>
      <c r="E48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81" s="26" t="s">
        <v>2486</v>
      </c>
      <c r="I481" s="26" t="s">
        <v>2336</v>
      </c>
      <c r="J481" t="b">
        <f>COUNTIF(tblTargets[TargetID],tbldeptemp[[#This Row],[TargetID]])&gt;0</f>
        <v>1</v>
      </c>
      <c r="K481" t="b">
        <f>ISNUMBER(_xlfn.XMATCH(tbldeptemp[[#This Row],[DependencyID]],tblTargets[TargetID]))</f>
        <v>1</v>
      </c>
      <c r="L481" t="str">
        <f>IF(tbldeptemp[[#This Row],[ValidTarget]]=FALSE,"BAD TARGET",IF(tbldeptemp[[#This Row],[ValidDependency]]=FALSE,"BAD DEPENDENCY",""))</f>
        <v/>
      </c>
    </row>
    <row r="482" spans="1:12">
      <c r="A482" t="s">
        <v>2651</v>
      </c>
      <c r="B482" t="s">
        <v>3071</v>
      </c>
      <c r="C482" t="s">
        <v>2667</v>
      </c>
      <c r="D482" t="s">
        <v>2851</v>
      </c>
      <c r="E482" t="s">
        <v>3430</v>
      </c>
      <c r="F482" t="b">
        <v>0</v>
      </c>
      <c r="G482" t="s">
        <v>2947</v>
      </c>
      <c r="H482" t="s">
        <v>2667</v>
      </c>
      <c r="I482" t="s">
        <v>2486</v>
      </c>
      <c r="J482" t="b">
        <v>1</v>
      </c>
      <c r="K482" t="b">
        <f>ISNUMBER(_xlfn.XMATCH(tbldeptemp[[#This Row],[DependencyID]],tblTargets[TargetID]))</f>
        <v>1</v>
      </c>
      <c r="L482" t="str">
        <f>IF(tbldeptemp[[#This Row],[ValidTarget]]=FALSE,"BAD TARGET",IF(tbldeptemp[[#This Row],[ValidDependency]]=FALSE,"BAD DEPENDENCY",""))</f>
        <v/>
      </c>
    </row>
    <row r="483" spans="1:12">
      <c r="A483" t="s">
        <v>2282</v>
      </c>
      <c r="B483" t="s">
        <v>1449</v>
      </c>
      <c r="C483" t="s">
        <v>2363</v>
      </c>
      <c r="D483" t="s">
        <v>2851</v>
      </c>
      <c r="E483" t="s">
        <v>3430</v>
      </c>
      <c r="F483" t="b">
        <v>0</v>
      </c>
      <c r="G483" t="s">
        <v>2947</v>
      </c>
      <c r="H483" t="s">
        <v>2363</v>
      </c>
      <c r="I483" t="s">
        <v>2486</v>
      </c>
      <c r="J483" t="b">
        <v>1</v>
      </c>
      <c r="K483" t="b">
        <f>ISNUMBER(_xlfn.XMATCH(tbldeptemp[[#This Row],[DependencyID]],tblTargets[TargetID]))</f>
        <v>1</v>
      </c>
      <c r="L483" t="str">
        <f>IF(tbldeptemp[[#This Row],[ValidTarget]]=FALSE,"BAD TARGET",IF(tbldeptemp[[#This Row],[ValidDependency]]=FALSE,"BAD DEPENDENCY",""))</f>
        <v/>
      </c>
    </row>
    <row r="484" spans="1:12">
      <c r="A484" s="26" t="s">
        <v>2282</v>
      </c>
      <c r="B484" t="s">
        <v>2488</v>
      </c>
      <c r="C484" t="s">
        <v>2488</v>
      </c>
      <c r="E484"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84" t="s">
        <v>2488</v>
      </c>
      <c r="I484" t="s">
        <v>2339</v>
      </c>
      <c r="J484" t="b">
        <f>COUNTIF(tblTargets[TargetID],tbldeptemp[[#This Row],[TargetID]])&gt;0</f>
        <v>1</v>
      </c>
      <c r="K484" t="b">
        <f>ISNUMBER(_xlfn.XMATCH(tbldeptemp[[#This Row],[DependencyID]],tblTargets[TargetID]))</f>
        <v>1</v>
      </c>
      <c r="L484" t="str">
        <f>IF(tbldeptemp[[#This Row],[ValidTarget]]=FALSE,"BAD TARGET",IF(tbldeptemp[[#This Row],[ValidDependency]]=FALSE,"BAD DEPENDENCY",""))</f>
        <v/>
      </c>
    </row>
    <row r="485" spans="1:12">
      <c r="A485" t="s">
        <v>2282</v>
      </c>
      <c r="B485" t="s">
        <v>1417</v>
      </c>
      <c r="C485" t="s">
        <v>2342</v>
      </c>
      <c r="D485" t="s">
        <v>1531</v>
      </c>
      <c r="E485" t="s">
        <v>3454</v>
      </c>
      <c r="F485" t="b">
        <v>0</v>
      </c>
      <c r="G485" t="s">
        <v>2946</v>
      </c>
      <c r="H485" t="s">
        <v>2342</v>
      </c>
      <c r="I485" t="s">
        <v>2488</v>
      </c>
      <c r="J485" t="b">
        <v>1</v>
      </c>
      <c r="K485" t="b">
        <f>ISNUMBER(_xlfn.XMATCH(tbldeptemp[[#This Row],[DependencyID]],tblTargets[TargetID]))</f>
        <v>1</v>
      </c>
      <c r="L485" t="str">
        <f>IF(tbldeptemp[[#This Row],[ValidTarget]]=FALSE,"BAD TARGET",IF(tbldeptemp[[#This Row],[ValidDependency]]=FALSE,"BAD DEPENDENCY",""))</f>
        <v/>
      </c>
    </row>
    <row r="486" spans="1:12">
      <c r="A486" t="s">
        <v>2282</v>
      </c>
      <c r="B486" t="s">
        <v>1418</v>
      </c>
      <c r="C486" t="s">
        <v>2345</v>
      </c>
      <c r="D486" t="s">
        <v>1535</v>
      </c>
      <c r="E486" t="s">
        <v>3457</v>
      </c>
      <c r="F486" t="b">
        <v>1</v>
      </c>
      <c r="G486" t="s">
        <v>2946</v>
      </c>
      <c r="H486" t="s">
        <v>2345</v>
      </c>
      <c r="I486" t="s">
        <v>2342</v>
      </c>
      <c r="J486" t="b">
        <v>1</v>
      </c>
      <c r="K486" t="b">
        <f>ISNUMBER(_xlfn.XMATCH(tbldeptemp[[#This Row],[DependencyID]],tblTargets[TargetID]))</f>
        <v>1</v>
      </c>
      <c r="L486" t="str">
        <f>IF(tbldeptemp[[#This Row],[ValidTarget]]=FALSE,"BAD TARGET",IF(tbldeptemp[[#This Row],[ValidDependency]]=FALSE,"BAD DEPENDENCY",""))</f>
        <v/>
      </c>
    </row>
    <row r="487" spans="1:12">
      <c r="A487" s="26" t="s">
        <v>2282</v>
      </c>
      <c r="B487" s="26" t="s">
        <v>2490</v>
      </c>
      <c r="C487" s="26" t="s">
        <v>2490</v>
      </c>
      <c r="E48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87" s="26" t="s">
        <v>2490</v>
      </c>
      <c r="I487" s="26" t="s">
        <v>2342</v>
      </c>
      <c r="J487" t="b">
        <f>COUNTIF(tblTargets[TargetID],tbldeptemp[[#This Row],[TargetID]])&gt;0</f>
        <v>1</v>
      </c>
      <c r="K487" t="b">
        <f>ISNUMBER(_xlfn.XMATCH(tbldeptemp[[#This Row],[DependencyID]],tblTargets[TargetID]))</f>
        <v>1</v>
      </c>
      <c r="L487" t="str">
        <f>IF(tbldeptemp[[#This Row],[ValidTarget]]=FALSE,"BAD TARGET",IF(tbldeptemp[[#This Row],[ValidDependency]]=FALSE,"BAD DEPENDENCY",""))</f>
        <v/>
      </c>
    </row>
    <row r="488" spans="1:12">
      <c r="A488" t="s">
        <v>2094</v>
      </c>
      <c r="B488" t="s">
        <v>3134</v>
      </c>
      <c r="C488" t="s">
        <v>2216</v>
      </c>
      <c r="D488" t="s">
        <v>2933</v>
      </c>
      <c r="E488" t="s">
        <v>3579</v>
      </c>
      <c r="F488" t="b">
        <v>1</v>
      </c>
      <c r="G488" t="s">
        <v>2947</v>
      </c>
      <c r="H488" t="s">
        <v>2216</v>
      </c>
      <c r="I488" t="s">
        <v>2490</v>
      </c>
      <c r="J488" t="b">
        <v>1</v>
      </c>
      <c r="K488" t="b">
        <f>ISNUMBER(_xlfn.XMATCH(tbldeptemp[[#This Row],[DependencyID]],tblTargets[TargetID]))</f>
        <v>1</v>
      </c>
      <c r="L488" t="str">
        <f>IF(tbldeptemp[[#This Row],[ValidTarget]]=FALSE,"BAD TARGET",IF(tbldeptemp[[#This Row],[ValidDependency]]=FALSE,"BAD DEPENDENCY",""))</f>
        <v/>
      </c>
    </row>
    <row r="489" spans="1:12">
      <c r="A489" t="s">
        <v>2094</v>
      </c>
      <c r="B489" t="s">
        <v>3076</v>
      </c>
      <c r="C489" t="s">
        <v>3523</v>
      </c>
      <c r="D489" t="s">
        <v>2903</v>
      </c>
      <c r="E489" t="s">
        <v>3524</v>
      </c>
      <c r="F489" t="b">
        <v>1</v>
      </c>
      <c r="G489" t="s">
        <v>2947</v>
      </c>
      <c r="H489" t="s">
        <v>2100</v>
      </c>
      <c r="I489" t="s">
        <v>2345</v>
      </c>
      <c r="J489" t="b">
        <v>1</v>
      </c>
      <c r="K489" t="b">
        <f>ISNUMBER(_xlfn.XMATCH(tbldeptemp[[#This Row],[DependencyID]],tblTargets[TargetID]))</f>
        <v>1</v>
      </c>
      <c r="L489" t="str">
        <f>IF(tbldeptemp[[#This Row],[ValidTarget]]=FALSE,"BAD TARGET",IF(tbldeptemp[[#This Row],[ValidDependency]]=FALSE,"BAD DEPENDENCY",""))</f>
        <v/>
      </c>
    </row>
    <row r="490" spans="1:12">
      <c r="A490" t="s">
        <v>2094</v>
      </c>
      <c r="B490" t="s">
        <v>3086</v>
      </c>
      <c r="C490" t="s">
        <v>3540</v>
      </c>
      <c r="D490" t="s">
        <v>2903</v>
      </c>
      <c r="E490" t="s">
        <v>3524</v>
      </c>
      <c r="F490" t="b">
        <v>1</v>
      </c>
      <c r="G490" t="s">
        <v>2947</v>
      </c>
      <c r="H490" t="s">
        <v>2102</v>
      </c>
      <c r="I490" t="s">
        <v>2345</v>
      </c>
      <c r="J490" t="b">
        <v>1</v>
      </c>
      <c r="K490" t="b">
        <f>ISNUMBER(_xlfn.XMATCH(tbldeptemp[[#This Row],[DependencyID]],tblTargets[TargetID]))</f>
        <v>1</v>
      </c>
      <c r="L490" t="str">
        <f>IF(tbldeptemp[[#This Row],[ValidTarget]]=FALSE,"BAD TARGET",IF(tbldeptemp[[#This Row],[ValidDependency]]=FALSE,"BAD DEPENDENCY",""))</f>
        <v/>
      </c>
    </row>
    <row r="491" spans="1:12">
      <c r="A491" s="26" t="s">
        <v>2282</v>
      </c>
      <c r="B491" t="s">
        <v>2492</v>
      </c>
      <c r="C491" t="s">
        <v>2492</v>
      </c>
      <c r="E49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91" t="s">
        <v>2492</v>
      </c>
      <c r="I491" t="s">
        <v>2345</v>
      </c>
      <c r="J491" t="b">
        <f>COUNTIF(tblTargets[TargetID],tbldeptemp[[#This Row],[TargetID]])&gt;0</f>
        <v>1</v>
      </c>
      <c r="K491" t="b">
        <f>ISNUMBER(_xlfn.XMATCH(tbldeptemp[[#This Row],[DependencyID]],tblTargets[TargetID]))</f>
        <v>1</v>
      </c>
      <c r="L491" t="str">
        <f>IF(tbldeptemp[[#This Row],[ValidTarget]]=FALSE,"BAD TARGET",IF(tbldeptemp[[#This Row],[ValidDependency]]=FALSE,"BAD DEPENDENCY",""))</f>
        <v/>
      </c>
    </row>
    <row r="492" spans="1:12">
      <c r="A492" t="s">
        <v>2651</v>
      </c>
      <c r="B492" t="s">
        <v>3056</v>
      </c>
      <c r="C492" t="s">
        <v>2652</v>
      </c>
      <c r="D492" t="s">
        <v>1539</v>
      </c>
      <c r="E492" t="s">
        <v>3422</v>
      </c>
      <c r="F492" t="b">
        <v>1</v>
      </c>
      <c r="G492" t="s">
        <v>2947</v>
      </c>
      <c r="H492" t="s">
        <v>2652</v>
      </c>
      <c r="I492" t="s">
        <v>2492</v>
      </c>
      <c r="J492" t="b">
        <v>1</v>
      </c>
      <c r="K492" t="b">
        <f>ISNUMBER(_xlfn.XMATCH(tbldeptemp[[#This Row],[DependencyID]],tblTargets[TargetID]))</f>
        <v>1</v>
      </c>
      <c r="L492" t="str">
        <f>IF(tbldeptemp[[#This Row],[ValidTarget]]=FALSE,"BAD TARGET",IF(tbldeptemp[[#This Row],[ValidDependency]]=FALSE,"BAD DEPENDENCY",""))</f>
        <v/>
      </c>
    </row>
    <row r="493" spans="1:12">
      <c r="A493" t="s">
        <v>2282</v>
      </c>
      <c r="B493" t="s">
        <v>1419</v>
      </c>
      <c r="C493" t="s">
        <v>2348</v>
      </c>
      <c r="D493" t="s">
        <v>1539</v>
      </c>
      <c r="E493" t="s">
        <v>3422</v>
      </c>
      <c r="F493" t="b">
        <v>1</v>
      </c>
      <c r="G493" t="s">
        <v>2946</v>
      </c>
      <c r="H493" t="s">
        <v>2348</v>
      </c>
      <c r="I493" t="s">
        <v>2492</v>
      </c>
      <c r="J493" t="b">
        <v>1</v>
      </c>
      <c r="K493" t="b">
        <f>ISNUMBER(_xlfn.XMATCH(tbldeptemp[[#This Row],[DependencyID]],tblTargets[TargetID]))</f>
        <v>1</v>
      </c>
      <c r="L493" t="str">
        <f>IF(tbldeptemp[[#This Row],[ValidTarget]]=FALSE,"BAD TARGET",IF(tbldeptemp[[#This Row],[ValidDependency]]=FALSE,"BAD DEPENDENCY",""))</f>
        <v/>
      </c>
    </row>
    <row r="494" spans="1:12">
      <c r="A494" t="s">
        <v>2094</v>
      </c>
      <c r="B494" t="s">
        <v>3081</v>
      </c>
      <c r="C494" t="s">
        <v>3530</v>
      </c>
      <c r="D494" t="s">
        <v>2906</v>
      </c>
      <c r="E494" t="s">
        <v>3422</v>
      </c>
      <c r="F494" t="b">
        <v>1</v>
      </c>
      <c r="G494" t="s">
        <v>2947</v>
      </c>
      <c r="H494" t="s">
        <v>2104</v>
      </c>
      <c r="I494" t="s">
        <v>2492</v>
      </c>
      <c r="J494" t="b">
        <v>1</v>
      </c>
      <c r="K494" t="b">
        <f>ISNUMBER(_xlfn.XMATCH(tbldeptemp[[#This Row],[DependencyID]],tblTargets[TargetID]))</f>
        <v>1</v>
      </c>
      <c r="L494" t="str">
        <f>IF(tbldeptemp[[#This Row],[ValidTarget]]=FALSE,"BAD TARGET",IF(tbldeptemp[[#This Row],[ValidDependency]]=FALSE,"BAD DEPENDENCY",""))</f>
        <v/>
      </c>
    </row>
    <row r="495" spans="1:12">
      <c r="A495" s="26" t="s">
        <v>2282</v>
      </c>
      <c r="B495" s="26" t="s">
        <v>2494</v>
      </c>
      <c r="C495" s="26" t="s">
        <v>2494</v>
      </c>
      <c r="E49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95" s="26" t="s">
        <v>2494</v>
      </c>
      <c r="I495" s="26" t="s">
        <v>2348</v>
      </c>
      <c r="J495" t="b">
        <f>COUNTIF(tblTargets[TargetID],tbldeptemp[[#This Row],[TargetID]])&gt;0</f>
        <v>1</v>
      </c>
      <c r="K495" t="b">
        <f>ISNUMBER(_xlfn.XMATCH(tbldeptemp[[#This Row],[DependencyID]],tblTargets[TargetID]))</f>
        <v>1</v>
      </c>
      <c r="L495" t="str">
        <f>IF(tbldeptemp[[#This Row],[ValidTarget]]=FALSE,"BAD TARGET",IF(tbldeptemp[[#This Row],[ValidDependency]]=FALSE,"BAD DEPENDENCY",""))</f>
        <v/>
      </c>
    </row>
    <row r="496" spans="1:12">
      <c r="A496" t="s">
        <v>2282</v>
      </c>
      <c r="B496" t="s">
        <v>1420</v>
      </c>
      <c r="C496" t="s">
        <v>2351</v>
      </c>
      <c r="D496" t="s">
        <v>1543</v>
      </c>
      <c r="E496" t="s">
        <v>3461</v>
      </c>
      <c r="F496" t="b">
        <v>1</v>
      </c>
      <c r="G496" t="s">
        <v>2946</v>
      </c>
      <c r="H496" t="s">
        <v>2351</v>
      </c>
      <c r="I496" t="s">
        <v>2494</v>
      </c>
      <c r="J496" t="b">
        <v>1</v>
      </c>
      <c r="K496" t="b">
        <f>ISNUMBER(_xlfn.XMATCH(tbldeptemp[[#This Row],[DependencyID]],tblTargets[TargetID]))</f>
        <v>1</v>
      </c>
      <c r="L496" t="str">
        <f>IF(tbldeptemp[[#This Row],[ValidTarget]]=FALSE,"BAD TARGET",IF(tbldeptemp[[#This Row],[ValidDependency]]=FALSE,"BAD DEPENDENCY",""))</f>
        <v/>
      </c>
    </row>
    <row r="497" spans="1:12">
      <c r="A497" t="s">
        <v>2094</v>
      </c>
      <c r="B497" t="s">
        <v>3078</v>
      </c>
      <c r="C497" t="s">
        <v>3526</v>
      </c>
      <c r="D497" t="s">
        <v>2905</v>
      </c>
      <c r="E497" t="s">
        <v>3461</v>
      </c>
      <c r="F497" t="b">
        <v>1</v>
      </c>
      <c r="G497" t="s">
        <v>2947</v>
      </c>
      <c r="H497" t="s">
        <v>2106</v>
      </c>
      <c r="I497" t="s">
        <v>2494</v>
      </c>
      <c r="J497" t="b">
        <v>1</v>
      </c>
      <c r="K497" t="b">
        <f>ISNUMBER(_xlfn.XMATCH(tbldeptemp[[#This Row],[DependencyID]],tblTargets[TargetID]))</f>
        <v>1</v>
      </c>
      <c r="L497" t="str">
        <f>IF(tbldeptemp[[#This Row],[ValidTarget]]=FALSE,"BAD TARGET",IF(tbldeptemp[[#This Row],[ValidDependency]]=FALSE,"BAD DEPENDENCY",""))</f>
        <v/>
      </c>
    </row>
    <row r="498" spans="1:12">
      <c r="A498" t="s">
        <v>2094</v>
      </c>
      <c r="B498" t="s">
        <v>3080</v>
      </c>
      <c r="C498" t="s">
        <v>3529</v>
      </c>
      <c r="D498" t="s">
        <v>2905</v>
      </c>
      <c r="E498" t="s">
        <v>3461</v>
      </c>
      <c r="F498" t="b">
        <v>1</v>
      </c>
      <c r="G498" t="s">
        <v>2947</v>
      </c>
      <c r="H498" t="s">
        <v>2108</v>
      </c>
      <c r="I498" t="s">
        <v>2494</v>
      </c>
      <c r="J498" t="b">
        <v>1</v>
      </c>
      <c r="K498" t="b">
        <f>ISNUMBER(_xlfn.XMATCH(tbldeptemp[[#This Row],[DependencyID]],tblTargets[TargetID]))</f>
        <v>1</v>
      </c>
      <c r="L498" t="str">
        <f>IF(tbldeptemp[[#This Row],[ValidTarget]]=FALSE,"BAD TARGET",IF(tbldeptemp[[#This Row],[ValidDependency]]=FALSE,"BAD DEPENDENCY",""))</f>
        <v/>
      </c>
    </row>
    <row r="499" spans="1:12">
      <c r="A499" t="s">
        <v>2094</v>
      </c>
      <c r="B499" t="s">
        <v>3082</v>
      </c>
      <c r="C499" t="s">
        <v>3531</v>
      </c>
      <c r="D499" t="s">
        <v>2905</v>
      </c>
      <c r="E499" t="s">
        <v>3461</v>
      </c>
      <c r="F499" t="b">
        <v>1</v>
      </c>
      <c r="G499" t="s">
        <v>2947</v>
      </c>
      <c r="H499" t="s">
        <v>2126</v>
      </c>
      <c r="I499" t="s">
        <v>2494</v>
      </c>
      <c r="J499" t="b">
        <v>1</v>
      </c>
      <c r="K499" t="b">
        <f>ISNUMBER(_xlfn.XMATCH(tbldeptemp[[#This Row],[DependencyID]],tblTargets[TargetID]))</f>
        <v>1</v>
      </c>
      <c r="L499" t="str">
        <f>IF(tbldeptemp[[#This Row],[ValidTarget]]=FALSE,"BAD TARGET",IF(tbldeptemp[[#This Row],[ValidDependency]]=FALSE,"BAD DEPENDENCY",""))</f>
        <v/>
      </c>
    </row>
    <row r="500" spans="1:12">
      <c r="A500" s="26" t="s">
        <v>2282</v>
      </c>
      <c r="B500" t="s">
        <v>2496</v>
      </c>
      <c r="C500" t="s">
        <v>2496</v>
      </c>
      <c r="E50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00" t="s">
        <v>2496</v>
      </c>
      <c r="I500" t="s">
        <v>2351</v>
      </c>
      <c r="J500" t="b">
        <f>COUNTIF(tblTargets[TargetID],tbldeptemp[[#This Row],[TargetID]])&gt;0</f>
        <v>1</v>
      </c>
      <c r="K500" t="b">
        <f>ISNUMBER(_xlfn.XMATCH(tbldeptemp[[#This Row],[DependencyID]],tblTargets[TargetID]))</f>
        <v>1</v>
      </c>
      <c r="L500" t="str">
        <f>IF(tbldeptemp[[#This Row],[ValidTarget]]=FALSE,"BAD TARGET",IF(tbldeptemp[[#This Row],[ValidDependency]]=FALSE,"BAD DEPENDENCY",""))</f>
        <v/>
      </c>
    </row>
    <row r="501" spans="1:12">
      <c r="A501" t="s">
        <v>2282</v>
      </c>
      <c r="B501" t="s">
        <v>1446</v>
      </c>
      <c r="C501" t="s">
        <v>2354</v>
      </c>
      <c r="D501" t="s">
        <v>1547</v>
      </c>
      <c r="E501" t="s">
        <v>3451</v>
      </c>
      <c r="F501" t="b">
        <v>1</v>
      </c>
      <c r="G501" t="s">
        <v>2946</v>
      </c>
      <c r="H501" t="s">
        <v>2354</v>
      </c>
      <c r="I501" t="s">
        <v>2496</v>
      </c>
      <c r="J501" t="b">
        <v>1</v>
      </c>
      <c r="K501" t="b">
        <f>ISNUMBER(_xlfn.XMATCH(tbldeptemp[[#This Row],[DependencyID]],tblTargets[TargetID]))</f>
        <v>1</v>
      </c>
      <c r="L501" t="str">
        <f>IF(tbldeptemp[[#This Row],[ValidTarget]]=FALSE,"BAD TARGET",IF(tbldeptemp[[#This Row],[ValidDependency]]=FALSE,"BAD DEPENDENCY",""))</f>
        <v/>
      </c>
    </row>
    <row r="502" spans="1:12">
      <c r="A502" t="s">
        <v>2282</v>
      </c>
      <c r="B502" t="s">
        <v>1447</v>
      </c>
      <c r="C502" t="s">
        <v>2357</v>
      </c>
      <c r="D502" t="s">
        <v>1550</v>
      </c>
      <c r="E502" t="s">
        <v>3464</v>
      </c>
      <c r="F502" t="b">
        <v>1</v>
      </c>
      <c r="G502" t="s">
        <v>2946</v>
      </c>
      <c r="H502" t="s">
        <v>2357</v>
      </c>
      <c r="I502" t="s">
        <v>2354</v>
      </c>
      <c r="J502" t="b">
        <v>1</v>
      </c>
      <c r="K502" t="b">
        <f>ISNUMBER(_xlfn.XMATCH(tbldeptemp[[#This Row],[DependencyID]],tblTargets[TargetID]))</f>
        <v>1</v>
      </c>
      <c r="L502" t="str">
        <f>IF(tbldeptemp[[#This Row],[ValidTarget]]=FALSE,"BAD TARGET",IF(tbldeptemp[[#This Row],[ValidDependency]]=FALSE,"BAD DEPENDENCY",""))</f>
        <v/>
      </c>
    </row>
    <row r="503" spans="1:12">
      <c r="A503" t="s">
        <v>2094</v>
      </c>
      <c r="B503" t="s">
        <v>3132</v>
      </c>
      <c r="C503" t="s">
        <v>2226</v>
      </c>
      <c r="D503" t="s">
        <v>2932</v>
      </c>
      <c r="E503" t="s">
        <v>3464</v>
      </c>
      <c r="F503" t="b">
        <v>1</v>
      </c>
      <c r="G503" t="s">
        <v>2947</v>
      </c>
      <c r="H503" t="s">
        <v>2226</v>
      </c>
      <c r="I503" t="s">
        <v>2354</v>
      </c>
      <c r="J503" t="b">
        <v>1</v>
      </c>
      <c r="K503" t="b">
        <f>ISNUMBER(_xlfn.XMATCH(tbldeptemp[[#This Row],[DependencyID]],tblTargets[TargetID]))</f>
        <v>1</v>
      </c>
      <c r="L503" t="str">
        <f>IF(tbldeptemp[[#This Row],[ValidTarget]]=FALSE,"BAD TARGET",IF(tbldeptemp[[#This Row],[ValidDependency]]=FALSE,"BAD DEPENDENCY",""))</f>
        <v/>
      </c>
    </row>
    <row r="504" spans="1:12">
      <c r="A504" s="26" t="s">
        <v>2282</v>
      </c>
      <c r="B504" s="26" t="s">
        <v>2498</v>
      </c>
      <c r="C504" s="26" t="s">
        <v>2498</v>
      </c>
      <c r="E504"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04" s="26" t="s">
        <v>2498</v>
      </c>
      <c r="I504" s="26" t="s">
        <v>2354</v>
      </c>
      <c r="J504" t="b">
        <f>COUNTIF(tblTargets[TargetID],tbldeptemp[[#This Row],[TargetID]])&gt;0</f>
        <v>1</v>
      </c>
      <c r="K504" t="b">
        <f>ISNUMBER(_xlfn.XMATCH(tbldeptemp[[#This Row],[DependencyID]],tblTargets[TargetID]))</f>
        <v>1</v>
      </c>
      <c r="L504" t="str">
        <f>IF(tbldeptemp[[#This Row],[ValidTarget]]=FALSE,"BAD TARGET",IF(tbldeptemp[[#This Row],[ValidDependency]]=FALSE,"BAD DEPENDENCY",""))</f>
        <v/>
      </c>
    </row>
    <row r="505" spans="1:12">
      <c r="A505" t="s">
        <v>2094</v>
      </c>
      <c r="B505" t="s">
        <v>3136</v>
      </c>
      <c r="C505" t="s">
        <v>2218</v>
      </c>
      <c r="D505" t="s">
        <v>2934</v>
      </c>
      <c r="E505" t="s">
        <v>3580</v>
      </c>
      <c r="F505" t="b">
        <v>0</v>
      </c>
      <c r="G505" t="s">
        <v>2947</v>
      </c>
      <c r="H505" t="s">
        <v>2218</v>
      </c>
      <c r="I505" t="s">
        <v>2498</v>
      </c>
      <c r="J505" t="b">
        <v>1</v>
      </c>
      <c r="K505" t="b">
        <f>ISNUMBER(_xlfn.XMATCH(tbldeptemp[[#This Row],[DependencyID]],tblTargets[TargetID]))</f>
        <v>1</v>
      </c>
      <c r="L505" t="str">
        <f>IF(tbldeptemp[[#This Row],[ValidTarget]]=FALSE,"BAD TARGET",IF(tbldeptemp[[#This Row],[ValidDependency]]=FALSE,"BAD DEPENDENCY",""))</f>
        <v/>
      </c>
    </row>
    <row r="506" spans="1:12">
      <c r="A506" s="26" t="s">
        <v>2282</v>
      </c>
      <c r="B506" t="s">
        <v>2512</v>
      </c>
      <c r="C506" t="s">
        <v>2512</v>
      </c>
      <c r="E506"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06" t="s">
        <v>2512</v>
      </c>
      <c r="I506" t="s">
        <v>2375</v>
      </c>
      <c r="J506" t="b">
        <f>COUNTIF(tblTargets[TargetID],tbldeptemp[[#This Row],[TargetID]])&gt;0</f>
        <v>1</v>
      </c>
      <c r="K506" t="b">
        <f>ISNUMBER(_xlfn.XMATCH(tbldeptemp[[#This Row],[DependencyID]],tblTargets[TargetID]))</f>
        <v>1</v>
      </c>
      <c r="L506" t="str">
        <f>IF(tbldeptemp[[#This Row],[ValidTarget]]=FALSE,"BAD TARGET",IF(tbldeptemp[[#This Row],[ValidDependency]]=FALSE,"BAD DEPENDENCY",""))</f>
        <v/>
      </c>
    </row>
    <row r="507" spans="1:12">
      <c r="A507" t="s">
        <v>2282</v>
      </c>
      <c r="B507" t="s">
        <v>1422</v>
      </c>
      <c r="C507" t="s">
        <v>2378</v>
      </c>
      <c r="D507" t="s">
        <v>1576</v>
      </c>
      <c r="E507" t="s">
        <v>3476</v>
      </c>
      <c r="F507" t="b">
        <v>1</v>
      </c>
      <c r="G507" t="s">
        <v>2946</v>
      </c>
      <c r="H507" t="s">
        <v>2378</v>
      </c>
      <c r="I507" t="s">
        <v>2512</v>
      </c>
      <c r="J507" t="b">
        <v>1</v>
      </c>
      <c r="K507" t="b">
        <f>ISNUMBER(_xlfn.XMATCH(tbldeptemp[[#This Row],[DependencyID]],tblTargets[TargetID]))</f>
        <v>1</v>
      </c>
      <c r="L507" t="str">
        <f>IF(tbldeptemp[[#This Row],[ValidTarget]]=FALSE,"BAD TARGET",IF(tbldeptemp[[#This Row],[ValidDependency]]=FALSE,"BAD DEPENDENCY",""))</f>
        <v/>
      </c>
    </row>
    <row r="508" spans="1:12">
      <c r="A508" t="s">
        <v>2282</v>
      </c>
      <c r="B508" t="s">
        <v>1423</v>
      </c>
      <c r="C508" t="s">
        <v>2381</v>
      </c>
      <c r="D508" t="s">
        <v>1576</v>
      </c>
      <c r="E508" t="s">
        <v>3476</v>
      </c>
      <c r="F508" t="b">
        <v>1</v>
      </c>
      <c r="G508" t="s">
        <v>2946</v>
      </c>
      <c r="H508" t="s">
        <v>2381</v>
      </c>
      <c r="I508" t="s">
        <v>2512</v>
      </c>
      <c r="J508" t="b">
        <v>1</v>
      </c>
      <c r="K508" t="b">
        <f>ISNUMBER(_xlfn.XMATCH(tbldeptemp[[#This Row],[DependencyID]],tblTargets[TargetID]))</f>
        <v>1</v>
      </c>
      <c r="L508" t="str">
        <f>IF(tbldeptemp[[#This Row],[ValidTarget]]=FALSE,"BAD TARGET",IF(tbldeptemp[[#This Row],[ValidDependency]]=FALSE,"BAD DEPENDENCY",""))</f>
        <v/>
      </c>
    </row>
    <row r="509" spans="1:12">
      <c r="A509" s="26" t="s">
        <v>2282</v>
      </c>
      <c r="B509" s="26" t="s">
        <v>2514</v>
      </c>
      <c r="C509" s="26" t="s">
        <v>2514</v>
      </c>
      <c r="E509"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09" s="26" t="s">
        <v>2514</v>
      </c>
      <c r="I509" s="26" t="s">
        <v>2378</v>
      </c>
      <c r="J509" t="b">
        <f>COUNTIF(tblTargets[TargetID],tbldeptemp[[#This Row],[TargetID]])&gt;0</f>
        <v>1</v>
      </c>
      <c r="K509" t="b">
        <f>ISNUMBER(_xlfn.XMATCH(tbldeptemp[[#This Row],[DependencyID]],tblTargets[TargetID]))</f>
        <v>1</v>
      </c>
      <c r="L509" t="str">
        <f>IF(tbldeptemp[[#This Row],[ValidTarget]]=FALSE,"BAD TARGET",IF(tbldeptemp[[#This Row],[ValidDependency]]=FALSE,"BAD DEPENDENCY",""))</f>
        <v/>
      </c>
    </row>
    <row r="510" spans="1:12">
      <c r="A510" s="26" t="s">
        <v>2282</v>
      </c>
      <c r="B510" t="s">
        <v>2516</v>
      </c>
      <c r="C510" t="s">
        <v>2516</v>
      </c>
      <c r="E51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0" t="s">
        <v>2516</v>
      </c>
      <c r="I510" t="s">
        <v>2381</v>
      </c>
      <c r="J510" t="b">
        <f>COUNTIF(tblTargets[TargetID],tbldeptemp[[#This Row],[TargetID]])&gt;0</f>
        <v>1</v>
      </c>
      <c r="K510" t="b">
        <f>ISNUMBER(_xlfn.XMATCH(tbldeptemp[[#This Row],[DependencyID]],tblTargets[TargetID]))</f>
        <v>1</v>
      </c>
      <c r="L510" t="str">
        <f>IF(tbldeptemp[[#This Row],[ValidTarget]]=FALSE,"BAD TARGET",IF(tbldeptemp[[#This Row],[ValidDependency]]=FALSE,"BAD DEPENDENCY",""))</f>
        <v/>
      </c>
    </row>
    <row r="511" spans="1:12">
      <c r="A511" s="26" t="s">
        <v>2282</v>
      </c>
      <c r="B511" s="26" t="s">
        <v>2518</v>
      </c>
      <c r="C511" s="26" t="s">
        <v>2518</v>
      </c>
      <c r="E51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1" s="26" t="s">
        <v>2518</v>
      </c>
      <c r="I511" s="26" t="s">
        <v>2384</v>
      </c>
      <c r="J511" t="b">
        <f>COUNTIF(tblTargets[TargetID],tbldeptemp[[#This Row],[TargetID]])&gt;0</f>
        <v>1</v>
      </c>
      <c r="K511" t="b">
        <f>ISNUMBER(_xlfn.XMATCH(tbldeptemp[[#This Row],[DependencyID]],tblTargets[TargetID]))</f>
        <v>1</v>
      </c>
      <c r="L511" t="str">
        <f>IF(tbldeptemp[[#This Row],[ValidTarget]]=FALSE,"BAD TARGET",IF(tbldeptemp[[#This Row],[ValidDependency]]=FALSE,"BAD DEPENDENCY",""))</f>
        <v/>
      </c>
    </row>
    <row r="512" spans="1:12">
      <c r="A512" s="26" t="s">
        <v>2282</v>
      </c>
      <c r="B512" t="s">
        <v>2520</v>
      </c>
      <c r="C512" t="s">
        <v>2520</v>
      </c>
      <c r="E512"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2" t="s">
        <v>2520</v>
      </c>
      <c r="I512" t="s">
        <v>2387</v>
      </c>
      <c r="J512" t="b">
        <f>COUNTIF(tblTargets[TargetID],tbldeptemp[[#This Row],[TargetID]])&gt;0</f>
        <v>1</v>
      </c>
      <c r="K512" t="b">
        <f>ISNUMBER(_xlfn.XMATCH(tbldeptemp[[#This Row],[DependencyID]],tblTargets[TargetID]))</f>
        <v>1</v>
      </c>
      <c r="L512" t="str">
        <f>IF(tbldeptemp[[#This Row],[ValidTarget]]=FALSE,"BAD TARGET",IF(tbldeptemp[[#This Row],[ValidDependency]]=FALSE,"BAD DEPENDENCY",""))</f>
        <v/>
      </c>
    </row>
    <row r="513" spans="1:12">
      <c r="A513" s="26" t="s">
        <v>2282</v>
      </c>
      <c r="B513" s="26" t="s">
        <v>2522</v>
      </c>
      <c r="C513" s="26" t="s">
        <v>2522</v>
      </c>
      <c r="E513"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3" s="26" t="s">
        <v>2522</v>
      </c>
      <c r="I513" s="26" t="s">
        <v>2390</v>
      </c>
      <c r="J513" t="b">
        <f>COUNTIF(tblTargets[TargetID],tbldeptemp[[#This Row],[TargetID]])&gt;0</f>
        <v>1</v>
      </c>
      <c r="K513" t="b">
        <f>ISNUMBER(_xlfn.XMATCH(tbldeptemp[[#This Row],[DependencyID]],tblTargets[TargetID]))</f>
        <v>1</v>
      </c>
      <c r="L513" t="str">
        <f>IF(tbldeptemp[[#This Row],[ValidTarget]]=FALSE,"BAD TARGET",IF(tbldeptemp[[#This Row],[ValidDependency]]=FALSE,"BAD DEPENDENCY",""))</f>
        <v/>
      </c>
    </row>
    <row r="514" spans="1:12">
      <c r="A514" t="s">
        <v>2282</v>
      </c>
      <c r="B514" t="s">
        <v>1427</v>
      </c>
      <c r="C514" t="s">
        <v>2393</v>
      </c>
      <c r="D514" t="s">
        <v>1590</v>
      </c>
      <c r="E514" t="s">
        <v>3480</v>
      </c>
      <c r="F514" t="b">
        <v>1</v>
      </c>
      <c r="G514" t="s">
        <v>2946</v>
      </c>
      <c r="H514" t="s">
        <v>2393</v>
      </c>
      <c r="I514" t="s">
        <v>2522</v>
      </c>
      <c r="J514" t="b">
        <v>1</v>
      </c>
      <c r="K514" t="b">
        <f>ISNUMBER(_xlfn.XMATCH(tbldeptemp[[#This Row],[DependencyID]],tblTargets[TargetID]))</f>
        <v>1</v>
      </c>
      <c r="L514" t="str">
        <f>IF(tbldeptemp[[#This Row],[ValidTarget]]=FALSE,"BAD TARGET",IF(tbldeptemp[[#This Row],[ValidDependency]]=FALSE,"BAD DEPENDENCY",""))</f>
        <v/>
      </c>
    </row>
    <row r="515" spans="1:12">
      <c r="A515" s="26" t="s">
        <v>2282</v>
      </c>
      <c r="B515" t="s">
        <v>2524</v>
      </c>
      <c r="C515" t="s">
        <v>2524</v>
      </c>
      <c r="E51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5" t="s">
        <v>2524</v>
      </c>
      <c r="I515" t="s">
        <v>2393</v>
      </c>
      <c r="J515" t="b">
        <f>COUNTIF(tblTargets[TargetID],tbldeptemp[[#This Row],[TargetID]])&gt;0</f>
        <v>1</v>
      </c>
      <c r="K515" t="b">
        <f>ISNUMBER(_xlfn.XMATCH(tbldeptemp[[#This Row],[DependencyID]],tblTargets[TargetID]))</f>
        <v>1</v>
      </c>
      <c r="L515" t="str">
        <f>IF(tbldeptemp[[#This Row],[ValidTarget]]=FALSE,"BAD TARGET",IF(tbldeptemp[[#This Row],[ValidDependency]]=FALSE,"BAD DEPENDENCY",""))</f>
        <v/>
      </c>
    </row>
    <row r="516" spans="1:12">
      <c r="A516" t="s">
        <v>2282</v>
      </c>
      <c r="B516" t="s">
        <v>1428</v>
      </c>
      <c r="C516" t="s">
        <v>2396</v>
      </c>
      <c r="D516" t="s">
        <v>1595</v>
      </c>
      <c r="E516" t="s">
        <v>3481</v>
      </c>
      <c r="F516" t="b">
        <v>1</v>
      </c>
      <c r="G516" t="s">
        <v>2946</v>
      </c>
      <c r="H516" t="s">
        <v>2396</v>
      </c>
      <c r="I516" t="s">
        <v>2524</v>
      </c>
      <c r="J516" t="b">
        <v>1</v>
      </c>
      <c r="K516" t="b">
        <f>ISNUMBER(_xlfn.XMATCH(tbldeptemp[[#This Row],[DependencyID]],tblTargets[TargetID]))</f>
        <v>1</v>
      </c>
      <c r="L516" t="str">
        <f>IF(tbldeptemp[[#This Row],[ValidTarget]]=FALSE,"BAD TARGET",IF(tbldeptemp[[#This Row],[ValidDependency]]=FALSE,"BAD DEPENDENCY",""))</f>
        <v/>
      </c>
    </row>
    <row r="517" spans="1:12">
      <c r="A517" s="26" t="s">
        <v>2282</v>
      </c>
      <c r="B517" s="26" t="s">
        <v>2526</v>
      </c>
      <c r="C517" s="26" t="s">
        <v>2526</v>
      </c>
      <c r="E51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7" s="26" t="s">
        <v>2526</v>
      </c>
      <c r="I517" s="26" t="s">
        <v>2396</v>
      </c>
      <c r="J517" t="b">
        <f>COUNTIF(tblTargets[TargetID],tbldeptemp[[#This Row],[TargetID]])&gt;0</f>
        <v>1</v>
      </c>
      <c r="K517" t="b">
        <f>ISNUMBER(_xlfn.XMATCH(tbldeptemp[[#This Row],[DependencyID]],tblTargets[TargetID]))</f>
        <v>1</v>
      </c>
      <c r="L517" t="str">
        <f>IF(tbldeptemp[[#This Row],[ValidTarget]]=FALSE,"BAD TARGET",IF(tbldeptemp[[#This Row],[ValidDependency]]=FALSE,"BAD DEPENDENCY",""))</f>
        <v/>
      </c>
    </row>
    <row r="518" spans="1:12">
      <c r="A518" t="s">
        <v>2282</v>
      </c>
      <c r="B518" t="s">
        <v>1429</v>
      </c>
      <c r="C518" t="s">
        <v>2399</v>
      </c>
      <c r="D518" t="s">
        <v>1598</v>
      </c>
      <c r="E518" t="s">
        <v>3482</v>
      </c>
      <c r="F518" t="b">
        <v>1</v>
      </c>
      <c r="G518" t="s">
        <v>2946</v>
      </c>
      <c r="H518" t="s">
        <v>2399</v>
      </c>
      <c r="I518" t="s">
        <v>2526</v>
      </c>
      <c r="J518" t="b">
        <v>1</v>
      </c>
      <c r="K518" t="b">
        <f>ISNUMBER(_xlfn.XMATCH(tbldeptemp[[#This Row],[DependencyID]],tblTargets[TargetID]))</f>
        <v>1</v>
      </c>
      <c r="L518" t="str">
        <f>IF(tbldeptemp[[#This Row],[ValidTarget]]=FALSE,"BAD TARGET",IF(tbldeptemp[[#This Row],[ValidDependency]]=FALSE,"BAD DEPENDENCY",""))</f>
        <v/>
      </c>
    </row>
    <row r="519" spans="1:12">
      <c r="A519" t="s">
        <v>2282</v>
      </c>
      <c r="B519" t="s">
        <v>1430</v>
      </c>
      <c r="C519" t="s">
        <v>2402</v>
      </c>
      <c r="D519" t="s">
        <v>1598</v>
      </c>
      <c r="E519" t="s">
        <v>3482</v>
      </c>
      <c r="F519" t="b">
        <v>1</v>
      </c>
      <c r="G519" t="s">
        <v>2946</v>
      </c>
      <c r="H519" t="s">
        <v>2402</v>
      </c>
      <c r="I519" t="s">
        <v>2526</v>
      </c>
      <c r="J519" t="b">
        <v>1</v>
      </c>
      <c r="K519" t="b">
        <f>ISNUMBER(_xlfn.XMATCH(tbldeptemp[[#This Row],[DependencyID]],tblTargets[TargetID]))</f>
        <v>1</v>
      </c>
      <c r="L519" t="str">
        <f>IF(tbldeptemp[[#This Row],[ValidTarget]]=FALSE,"BAD TARGET",IF(tbldeptemp[[#This Row],[ValidDependency]]=FALSE,"BAD DEPENDENCY",""))</f>
        <v/>
      </c>
    </row>
    <row r="520" spans="1:12">
      <c r="A520" s="26" t="s">
        <v>2282</v>
      </c>
      <c r="B520" t="s">
        <v>2528</v>
      </c>
      <c r="C520" t="s">
        <v>2528</v>
      </c>
      <c r="E52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0" t="s">
        <v>2528</v>
      </c>
      <c r="I520" t="s">
        <v>2399</v>
      </c>
      <c r="J520" t="b">
        <f>COUNTIF(tblTargets[TargetID],tbldeptemp[[#This Row],[TargetID]])&gt;0</f>
        <v>1</v>
      </c>
      <c r="K520" t="b">
        <f>ISNUMBER(_xlfn.XMATCH(tbldeptemp[[#This Row],[DependencyID]],tblTargets[TargetID]))</f>
        <v>1</v>
      </c>
      <c r="L520" t="str">
        <f>IF(tbldeptemp[[#This Row],[ValidTarget]]=FALSE,"BAD TARGET",IF(tbldeptemp[[#This Row],[ValidDependency]]=FALSE,"BAD DEPENDENCY",""))</f>
        <v/>
      </c>
    </row>
    <row r="521" spans="1:12">
      <c r="A521" t="s">
        <v>2282</v>
      </c>
      <c r="B521" t="s">
        <v>1444</v>
      </c>
      <c r="C521" t="s">
        <v>2444</v>
      </c>
      <c r="D521" t="s">
        <v>2892</v>
      </c>
      <c r="E521" t="s">
        <v>3505</v>
      </c>
      <c r="F521" t="b">
        <v>1</v>
      </c>
      <c r="G521" t="s">
        <v>2947</v>
      </c>
      <c r="H521" t="s">
        <v>2444</v>
      </c>
      <c r="I521" t="s">
        <v>2528</v>
      </c>
      <c r="J521" t="b">
        <v>1</v>
      </c>
      <c r="K521" t="b">
        <f>ISNUMBER(_xlfn.XMATCH(tbldeptemp[[#This Row],[DependencyID]],tblTargets[TargetID]))</f>
        <v>1</v>
      </c>
      <c r="L521" t="str">
        <f>IF(tbldeptemp[[#This Row],[ValidTarget]]=FALSE,"BAD TARGET",IF(tbldeptemp[[#This Row],[ValidDependency]]=FALSE,"BAD DEPENDENCY",""))</f>
        <v/>
      </c>
    </row>
    <row r="522" spans="1:12">
      <c r="A522" s="26" t="s">
        <v>2282</v>
      </c>
      <c r="B522" s="26" t="s">
        <v>2530</v>
      </c>
      <c r="C522" s="26" t="s">
        <v>2530</v>
      </c>
      <c r="E522"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2" s="26" t="s">
        <v>2530</v>
      </c>
      <c r="I522" s="26" t="s">
        <v>2402</v>
      </c>
      <c r="J522" t="b">
        <f>COUNTIF(tblTargets[TargetID],tbldeptemp[[#This Row],[TargetID]])&gt;0</f>
        <v>1</v>
      </c>
      <c r="K522" t="b">
        <f>ISNUMBER(_xlfn.XMATCH(tbldeptemp[[#This Row],[DependencyID]],tblTargets[TargetID]))</f>
        <v>1</v>
      </c>
      <c r="L522" t="str">
        <f>IF(tbldeptemp[[#This Row],[ValidTarget]]=FALSE,"BAD TARGET",IF(tbldeptemp[[#This Row],[ValidDependency]]=FALSE,"BAD DEPENDENCY",""))</f>
        <v/>
      </c>
    </row>
    <row r="523" spans="1:12">
      <c r="A523" t="s">
        <v>2282</v>
      </c>
      <c r="B523" t="s">
        <v>1431</v>
      </c>
      <c r="C523" t="s">
        <v>2405</v>
      </c>
      <c r="D523" t="s">
        <v>1603</v>
      </c>
      <c r="E523" t="s">
        <v>3483</v>
      </c>
      <c r="F523" t="b">
        <v>1</v>
      </c>
      <c r="G523" t="s">
        <v>2946</v>
      </c>
      <c r="H523" t="s">
        <v>2405</v>
      </c>
      <c r="I523" t="s">
        <v>2530</v>
      </c>
      <c r="J523" t="b">
        <v>1</v>
      </c>
      <c r="K523" t="b">
        <f>ISNUMBER(_xlfn.XMATCH(tbldeptemp[[#This Row],[DependencyID]],tblTargets[TargetID]))</f>
        <v>1</v>
      </c>
      <c r="L523" t="str">
        <f>IF(tbldeptemp[[#This Row],[ValidTarget]]=FALSE,"BAD TARGET",IF(tbldeptemp[[#This Row],[ValidDependency]]=FALSE,"BAD DEPENDENCY",""))</f>
        <v/>
      </c>
    </row>
    <row r="524" spans="1:12">
      <c r="A524" t="s">
        <v>2282</v>
      </c>
      <c r="B524" t="s">
        <v>1432</v>
      </c>
      <c r="C524" t="s">
        <v>2408</v>
      </c>
      <c r="D524" t="s">
        <v>1603</v>
      </c>
      <c r="E524" t="s">
        <v>3483</v>
      </c>
      <c r="F524" t="b">
        <v>1</v>
      </c>
      <c r="G524" t="s">
        <v>2947</v>
      </c>
      <c r="H524" t="s">
        <v>2408</v>
      </c>
      <c r="I524" t="s">
        <v>2530</v>
      </c>
      <c r="J524" t="b">
        <v>1</v>
      </c>
      <c r="K524" t="b">
        <f>ISNUMBER(_xlfn.XMATCH(tbldeptemp[[#This Row],[DependencyID]],tblTargets[TargetID]))</f>
        <v>1</v>
      </c>
      <c r="L524" t="str">
        <f>IF(tbldeptemp[[#This Row],[ValidTarget]]=FALSE,"BAD TARGET",IF(tbldeptemp[[#This Row],[ValidDependency]]=FALSE,"BAD DEPENDENCY",""))</f>
        <v/>
      </c>
    </row>
    <row r="525" spans="1:12">
      <c r="A525" s="26" t="s">
        <v>2282</v>
      </c>
      <c r="B525" t="s">
        <v>2532</v>
      </c>
      <c r="C525" t="s">
        <v>2532</v>
      </c>
      <c r="E52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5" t="s">
        <v>2532</v>
      </c>
      <c r="I525" t="s">
        <v>2405</v>
      </c>
      <c r="J525" t="b">
        <f>COUNTIF(tblTargets[TargetID],tbldeptemp[[#This Row],[TargetID]])&gt;0</f>
        <v>1</v>
      </c>
      <c r="K525" t="b">
        <f>ISNUMBER(_xlfn.XMATCH(tbldeptemp[[#This Row],[DependencyID]],tblTargets[TargetID]))</f>
        <v>1</v>
      </c>
      <c r="L525" t="str">
        <f>IF(tbldeptemp[[#This Row],[ValidTarget]]=FALSE,"BAD TARGET",IF(tbldeptemp[[#This Row],[ValidDependency]]=FALSE,"BAD DEPENDENCY",""))</f>
        <v/>
      </c>
    </row>
    <row r="526" spans="1:12">
      <c r="A526" t="s">
        <v>2282</v>
      </c>
      <c r="B526" t="s">
        <v>1432</v>
      </c>
      <c r="C526" t="s">
        <v>2408</v>
      </c>
      <c r="D526" t="s">
        <v>2880</v>
      </c>
      <c r="E526" t="s">
        <v>3484</v>
      </c>
      <c r="F526" t="b">
        <v>1</v>
      </c>
      <c r="G526" t="s">
        <v>2947</v>
      </c>
      <c r="H526" t="s">
        <v>2408</v>
      </c>
      <c r="I526" t="s">
        <v>2532</v>
      </c>
      <c r="J526" t="b">
        <v>1</v>
      </c>
      <c r="K526" t="b">
        <f>ISNUMBER(_xlfn.XMATCH(tbldeptemp[[#This Row],[DependencyID]],tblTargets[TargetID]))</f>
        <v>1</v>
      </c>
      <c r="L526" t="str">
        <f>IF(tbldeptemp[[#This Row],[ValidTarget]]=FALSE,"BAD TARGET",IF(tbldeptemp[[#This Row],[ValidDependency]]=FALSE,"BAD DEPENDENCY",""))</f>
        <v/>
      </c>
    </row>
    <row r="527" spans="1:12">
      <c r="A527" s="26" t="s">
        <v>2282</v>
      </c>
      <c r="B527" s="26" t="s">
        <v>2534</v>
      </c>
      <c r="C527" s="26" t="s">
        <v>2534</v>
      </c>
      <c r="E52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7" s="26" t="s">
        <v>2534</v>
      </c>
      <c r="I527" s="26" t="s">
        <v>2408</v>
      </c>
      <c r="J527" t="b">
        <f>COUNTIF(tblTargets[TargetID],tbldeptemp[[#This Row],[TargetID]])&gt;0</f>
        <v>1</v>
      </c>
      <c r="K527" t="b">
        <f>ISNUMBER(_xlfn.XMATCH(tbldeptemp[[#This Row],[DependencyID]],tblTargets[TargetID]))</f>
        <v>1</v>
      </c>
      <c r="L527" t="str">
        <f>IF(tbldeptemp[[#This Row],[ValidTarget]]=FALSE,"BAD TARGET",IF(tbldeptemp[[#This Row],[ValidDependency]]=FALSE,"BAD DEPENDENCY",""))</f>
        <v/>
      </c>
    </row>
    <row r="528" spans="1:12">
      <c r="A528" s="26" t="s">
        <v>2282</v>
      </c>
      <c r="B528" t="s">
        <v>2536</v>
      </c>
      <c r="C528" t="s">
        <v>2536</v>
      </c>
      <c r="E52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8" t="s">
        <v>2536</v>
      </c>
      <c r="I528" t="s">
        <v>2411</v>
      </c>
      <c r="J528" t="b">
        <f>COUNTIF(tblTargets[TargetID],tbldeptemp[[#This Row],[TargetID]])&gt;0</f>
        <v>1</v>
      </c>
      <c r="K528" t="b">
        <f>ISNUMBER(_xlfn.XMATCH(tbldeptemp[[#This Row],[DependencyID]],tblTargets[TargetID]))</f>
        <v>1</v>
      </c>
      <c r="L528" t="str">
        <f>IF(tbldeptemp[[#This Row],[ValidTarget]]=FALSE,"BAD TARGET",IF(tbldeptemp[[#This Row],[ValidDependency]]=FALSE,"BAD DEPENDENCY",""))</f>
        <v/>
      </c>
    </row>
    <row r="529" spans="1:12">
      <c r="A529" s="26" t="s">
        <v>2282</v>
      </c>
      <c r="B529" s="26" t="s">
        <v>2538</v>
      </c>
      <c r="C529" s="26" t="s">
        <v>2538</v>
      </c>
      <c r="E529"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9" s="26" t="s">
        <v>2538</v>
      </c>
      <c r="I529" s="26" t="s">
        <v>2414</v>
      </c>
      <c r="J529" t="b">
        <f>COUNTIF(tblTargets[TargetID],tbldeptemp[[#This Row],[TargetID]])&gt;0</f>
        <v>1</v>
      </c>
      <c r="K529" t="b">
        <f>ISNUMBER(_xlfn.XMATCH(tbldeptemp[[#This Row],[DependencyID]],tblTargets[TargetID]))</f>
        <v>1</v>
      </c>
      <c r="L529" t="str">
        <f>IF(tbldeptemp[[#This Row],[ValidTarget]]=FALSE,"BAD TARGET",IF(tbldeptemp[[#This Row],[ValidDependency]]=FALSE,"BAD DEPENDENCY",""))</f>
        <v/>
      </c>
    </row>
    <row r="530" spans="1:12">
      <c r="A530" t="s">
        <v>2282</v>
      </c>
      <c r="B530" t="s">
        <v>1444</v>
      </c>
      <c r="C530" t="s">
        <v>2444</v>
      </c>
      <c r="D530" t="s">
        <v>2893</v>
      </c>
      <c r="E530" t="s">
        <v>3506</v>
      </c>
      <c r="F530" t="b">
        <v>1</v>
      </c>
      <c r="G530" t="s">
        <v>2947</v>
      </c>
      <c r="H530" t="s">
        <v>2444</v>
      </c>
      <c r="I530" t="s">
        <v>2538</v>
      </c>
      <c r="J530" t="b">
        <v>1</v>
      </c>
      <c r="K530" t="b">
        <f>ISNUMBER(_xlfn.XMATCH(tbldeptemp[[#This Row],[DependencyID]],tblTargets[TargetID]))</f>
        <v>1</v>
      </c>
      <c r="L530" t="str">
        <f>IF(tbldeptemp[[#This Row],[ValidTarget]]=FALSE,"BAD TARGET",IF(tbldeptemp[[#This Row],[ValidDependency]]=FALSE,"BAD DEPENDENCY",""))</f>
        <v/>
      </c>
    </row>
    <row r="531" spans="1:12">
      <c r="A531" s="26" t="s">
        <v>2282</v>
      </c>
      <c r="B531" t="s">
        <v>2540</v>
      </c>
      <c r="C531" t="s">
        <v>2540</v>
      </c>
      <c r="E53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31" t="s">
        <v>2540</v>
      </c>
      <c r="I531" t="s">
        <v>2417</v>
      </c>
      <c r="J531" t="b">
        <f>COUNTIF(tblTargets[TargetID],tbldeptemp[[#This Row],[TargetID]])&gt;0</f>
        <v>1</v>
      </c>
      <c r="K531" t="b">
        <f>ISNUMBER(_xlfn.XMATCH(tbldeptemp[[#This Row],[DependencyID]],tblTargets[TargetID]))</f>
        <v>1</v>
      </c>
      <c r="L531" t="str">
        <f>IF(tbldeptemp[[#This Row],[ValidTarget]]=FALSE,"BAD TARGET",IF(tbldeptemp[[#This Row],[ValidDependency]]=FALSE,"BAD DEPENDENCY",""))</f>
        <v/>
      </c>
    </row>
    <row r="532" spans="1:12">
      <c r="A532" t="s">
        <v>2094</v>
      </c>
      <c r="B532" t="s">
        <v>3154</v>
      </c>
      <c r="C532" t="s">
        <v>2262</v>
      </c>
      <c r="D532" t="s">
        <v>2944</v>
      </c>
      <c r="E532" t="s">
        <v>3589</v>
      </c>
      <c r="F532" t="b">
        <v>0</v>
      </c>
      <c r="G532" t="s">
        <v>2947</v>
      </c>
      <c r="H532" t="s">
        <v>2262</v>
      </c>
      <c r="I532" t="s">
        <v>2420</v>
      </c>
      <c r="J532" t="b">
        <v>1</v>
      </c>
      <c r="K532" t="b">
        <f>ISNUMBER(_xlfn.XMATCH(tbldeptemp[[#This Row],[DependencyID]],tblTargets[TargetID]))</f>
        <v>1</v>
      </c>
      <c r="L532" t="str">
        <f>IF(tbldeptemp[[#This Row],[ValidTarget]]=FALSE,"BAD TARGET",IF(tbldeptemp[[#This Row],[ValidDependency]]=FALSE,"BAD DEPENDENCY",""))</f>
        <v/>
      </c>
    </row>
    <row r="533" spans="1:12">
      <c r="A533" t="s">
        <v>2094</v>
      </c>
      <c r="B533" t="s">
        <v>3158</v>
      </c>
      <c r="C533" t="s">
        <v>2274</v>
      </c>
      <c r="D533" t="s">
        <v>2945</v>
      </c>
      <c r="E533" t="s">
        <v>3589</v>
      </c>
      <c r="F533" t="b">
        <v>0</v>
      </c>
      <c r="G533" t="s">
        <v>2947</v>
      </c>
      <c r="H533" t="s">
        <v>2274</v>
      </c>
      <c r="I533" t="s">
        <v>2420</v>
      </c>
      <c r="J533" t="b">
        <v>1</v>
      </c>
      <c r="K533" t="b">
        <f>ISNUMBER(_xlfn.XMATCH(tbldeptemp[[#This Row],[DependencyID]],tblTargets[TargetID]))</f>
        <v>1</v>
      </c>
      <c r="L533" t="str">
        <f>IF(tbldeptemp[[#This Row],[ValidTarget]]=FALSE,"BAD TARGET",IF(tbldeptemp[[#This Row],[ValidDependency]]=FALSE,"BAD DEPENDENCY",""))</f>
        <v/>
      </c>
    </row>
    <row r="534" spans="1:12">
      <c r="A534" s="26" t="s">
        <v>2282</v>
      </c>
      <c r="B534" s="26" t="s">
        <v>2542</v>
      </c>
      <c r="C534" s="26" t="s">
        <v>2542</v>
      </c>
      <c r="E534"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34" s="26" t="s">
        <v>2542</v>
      </c>
      <c r="I534" s="26" t="s">
        <v>2420</v>
      </c>
      <c r="J534" t="b">
        <f>COUNTIF(tblTargets[TargetID],tbldeptemp[[#This Row],[TargetID]])&gt;0</f>
        <v>1</v>
      </c>
      <c r="K534" t="b">
        <f>ISNUMBER(_xlfn.XMATCH(tbldeptemp[[#This Row],[DependencyID]],tblTargets[TargetID]))</f>
        <v>1</v>
      </c>
      <c r="L534" t="str">
        <f>IF(tbldeptemp[[#This Row],[ValidTarget]]=FALSE,"BAD TARGET",IF(tbldeptemp[[#This Row],[ValidDependency]]=FALSE,"BAD DEPENDENCY",""))</f>
        <v/>
      </c>
    </row>
    <row r="535" spans="1:12">
      <c r="A535" t="s">
        <v>2282</v>
      </c>
      <c r="B535" t="s">
        <v>1437</v>
      </c>
      <c r="C535" t="s">
        <v>2423</v>
      </c>
      <c r="D535" t="s">
        <v>1625</v>
      </c>
      <c r="E535" t="s">
        <v>3492</v>
      </c>
      <c r="F535" t="b">
        <v>0</v>
      </c>
      <c r="G535" t="s">
        <v>2946</v>
      </c>
      <c r="H535" t="s">
        <v>2423</v>
      </c>
      <c r="I535" t="s">
        <v>2542</v>
      </c>
      <c r="J535" t="b">
        <v>1</v>
      </c>
      <c r="K535" t="b">
        <f>ISNUMBER(_xlfn.XMATCH(tbldeptemp[[#This Row],[DependencyID]],tblTargets[TargetID]))</f>
        <v>1</v>
      </c>
      <c r="L535" t="str">
        <f>IF(tbldeptemp[[#This Row],[ValidTarget]]=FALSE,"BAD TARGET",IF(tbldeptemp[[#This Row],[ValidDependency]]=FALSE,"BAD DEPENDENCY",""))</f>
        <v/>
      </c>
    </row>
    <row r="536" spans="1:12">
      <c r="A536" t="s">
        <v>2094</v>
      </c>
      <c r="B536" t="s">
        <v>3124</v>
      </c>
      <c r="C536" t="s">
        <v>2206</v>
      </c>
      <c r="D536" t="s">
        <v>2927</v>
      </c>
      <c r="E536" t="s">
        <v>3492</v>
      </c>
      <c r="F536" t="b">
        <v>0</v>
      </c>
      <c r="G536" t="s">
        <v>2947</v>
      </c>
      <c r="H536" t="s">
        <v>2206</v>
      </c>
      <c r="I536" t="s">
        <v>2542</v>
      </c>
      <c r="J536" t="b">
        <v>1</v>
      </c>
      <c r="K536" t="b">
        <f>ISNUMBER(_xlfn.XMATCH(tbldeptemp[[#This Row],[DependencyID]],tblTargets[TargetID]))</f>
        <v>1</v>
      </c>
      <c r="L536" t="str">
        <f>IF(tbldeptemp[[#This Row],[ValidTarget]]=FALSE,"BAD TARGET",IF(tbldeptemp[[#This Row],[ValidDependency]]=FALSE,"BAD DEPENDENCY",""))</f>
        <v/>
      </c>
    </row>
    <row r="537" spans="1:12">
      <c r="A537" t="s">
        <v>2094</v>
      </c>
      <c r="B537" t="s">
        <v>3126</v>
      </c>
      <c r="C537" t="s">
        <v>2212</v>
      </c>
      <c r="D537" t="s">
        <v>2927</v>
      </c>
      <c r="E537" t="s">
        <v>3492</v>
      </c>
      <c r="F537" t="b">
        <v>0</v>
      </c>
      <c r="G537" t="s">
        <v>2947</v>
      </c>
      <c r="H537" t="s">
        <v>2212</v>
      </c>
      <c r="I537" t="s">
        <v>2542</v>
      </c>
      <c r="J537" t="b">
        <v>1</v>
      </c>
      <c r="K537" t="b">
        <f>ISNUMBER(_xlfn.XMATCH(tbldeptemp[[#This Row],[DependencyID]],tblTargets[TargetID]))</f>
        <v>1</v>
      </c>
      <c r="L537" t="str">
        <f>IF(tbldeptemp[[#This Row],[ValidTarget]]=FALSE,"BAD TARGET",IF(tbldeptemp[[#This Row],[ValidDependency]]=FALSE,"BAD DEPENDENCY",""))</f>
        <v/>
      </c>
    </row>
    <row r="538" spans="1:12">
      <c r="A538" t="s">
        <v>2094</v>
      </c>
      <c r="B538" t="s">
        <v>3104</v>
      </c>
      <c r="C538" t="s">
        <v>2166</v>
      </c>
      <c r="D538" t="s">
        <v>2916</v>
      </c>
      <c r="E538" t="s">
        <v>3561</v>
      </c>
      <c r="F538" t="b">
        <v>0</v>
      </c>
      <c r="G538" t="s">
        <v>2947</v>
      </c>
      <c r="H538" t="s">
        <v>2166</v>
      </c>
      <c r="I538" t="s">
        <v>2423</v>
      </c>
      <c r="J538" t="b">
        <v>1</v>
      </c>
      <c r="K538" t="b">
        <f>ISNUMBER(_xlfn.XMATCH(tbldeptemp[[#This Row],[DependencyID]],tblTargets[TargetID]))</f>
        <v>1</v>
      </c>
      <c r="L538" t="str">
        <f>IF(tbldeptemp[[#This Row],[ValidTarget]]=FALSE,"BAD TARGET",IF(tbldeptemp[[#This Row],[ValidDependency]]=FALSE,"BAD DEPENDENCY",""))</f>
        <v/>
      </c>
    </row>
    <row r="539" spans="1:12">
      <c r="A539" t="s">
        <v>2094</v>
      </c>
      <c r="B539" t="s">
        <v>3133</v>
      </c>
      <c r="C539" t="s">
        <v>2228</v>
      </c>
      <c r="D539" t="s">
        <v>2916</v>
      </c>
      <c r="E539" t="s">
        <v>3561</v>
      </c>
      <c r="F539" t="b">
        <v>0</v>
      </c>
      <c r="G539" t="s">
        <v>2947</v>
      </c>
      <c r="H539" t="s">
        <v>2228</v>
      </c>
      <c r="I539" t="s">
        <v>2423</v>
      </c>
      <c r="J539" t="b">
        <v>1</v>
      </c>
      <c r="K539" t="b">
        <f>ISNUMBER(_xlfn.XMATCH(tbldeptemp[[#This Row],[DependencyID]],tblTargets[TargetID]))</f>
        <v>1</v>
      </c>
      <c r="L539" t="str">
        <f>IF(tbldeptemp[[#This Row],[ValidTarget]]=FALSE,"BAD TARGET",IF(tbldeptemp[[#This Row],[ValidDependency]]=FALSE,"BAD DEPENDENCY",""))</f>
        <v/>
      </c>
    </row>
    <row r="540" spans="1:12">
      <c r="A540" t="s">
        <v>2094</v>
      </c>
      <c r="B540" t="s">
        <v>3154</v>
      </c>
      <c r="C540" t="s">
        <v>2262</v>
      </c>
      <c r="D540" t="s">
        <v>2916</v>
      </c>
      <c r="E540" t="s">
        <v>3561</v>
      </c>
      <c r="F540" t="b">
        <v>0</v>
      </c>
      <c r="G540" t="s">
        <v>2947</v>
      </c>
      <c r="H540" t="s">
        <v>2262</v>
      </c>
      <c r="I540" t="s">
        <v>2423</v>
      </c>
      <c r="J540" t="b">
        <v>1</v>
      </c>
      <c r="K540" t="b">
        <f>ISNUMBER(_xlfn.XMATCH(tbldeptemp[[#This Row],[DependencyID]],tblTargets[TargetID]))</f>
        <v>1</v>
      </c>
      <c r="L540" t="str">
        <f>IF(tbldeptemp[[#This Row],[ValidTarget]]=FALSE,"BAD TARGET",IF(tbldeptemp[[#This Row],[ValidDependency]]=FALSE,"BAD DEPENDENCY",""))</f>
        <v/>
      </c>
    </row>
    <row r="541" spans="1:12">
      <c r="A541" s="26" t="s">
        <v>2282</v>
      </c>
      <c r="B541" t="s">
        <v>2544</v>
      </c>
      <c r="C541" t="s">
        <v>2544</v>
      </c>
      <c r="E54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41" t="s">
        <v>2544</v>
      </c>
      <c r="I541" t="s">
        <v>2423</v>
      </c>
      <c r="J541" t="b">
        <f>COUNTIF(tblTargets[TargetID],tbldeptemp[[#This Row],[TargetID]])&gt;0</f>
        <v>1</v>
      </c>
      <c r="K541" t="b">
        <f>ISNUMBER(_xlfn.XMATCH(tbldeptemp[[#This Row],[DependencyID]],tblTargets[TargetID]))</f>
        <v>1</v>
      </c>
      <c r="L541" t="str">
        <f>IF(tbldeptemp[[#This Row],[ValidTarget]]=FALSE,"BAD TARGET",IF(tbldeptemp[[#This Row],[ValidDependency]]=FALSE,"BAD DEPENDENCY",""))</f>
        <v/>
      </c>
    </row>
    <row r="542" spans="1:12">
      <c r="A542" t="s">
        <v>2282</v>
      </c>
      <c r="B542" t="s">
        <v>1438</v>
      </c>
      <c r="C542" t="s">
        <v>2426</v>
      </c>
      <c r="D542" t="s">
        <v>1629</v>
      </c>
      <c r="E542" t="s">
        <v>3495</v>
      </c>
      <c r="F542" t="b">
        <v>0</v>
      </c>
      <c r="G542" t="s">
        <v>2946</v>
      </c>
      <c r="H542" t="s">
        <v>2426</v>
      </c>
      <c r="I542" t="s">
        <v>2544</v>
      </c>
      <c r="J542" t="b">
        <v>1</v>
      </c>
      <c r="K542" t="b">
        <f>ISNUMBER(_xlfn.XMATCH(tbldeptemp[[#This Row],[DependencyID]],tblTargets[TargetID]))</f>
        <v>1</v>
      </c>
      <c r="L542" t="str">
        <f>IF(tbldeptemp[[#This Row],[ValidTarget]]=FALSE,"BAD TARGET",IF(tbldeptemp[[#This Row],[ValidDependency]]=FALSE,"BAD DEPENDENCY",""))</f>
        <v/>
      </c>
    </row>
    <row r="543" spans="1:12">
      <c r="A543" t="s">
        <v>2094</v>
      </c>
      <c r="B543" t="s">
        <v>3126</v>
      </c>
      <c r="C543" t="s">
        <v>2212</v>
      </c>
      <c r="D543" t="s">
        <v>2928</v>
      </c>
      <c r="E543" t="s">
        <v>3495</v>
      </c>
      <c r="F543" t="b">
        <v>0</v>
      </c>
      <c r="G543" t="s">
        <v>2947</v>
      </c>
      <c r="H543" t="s">
        <v>2212</v>
      </c>
      <c r="I543" t="s">
        <v>2544</v>
      </c>
      <c r="J543" t="b">
        <v>1</v>
      </c>
      <c r="K543" t="b">
        <f>ISNUMBER(_xlfn.XMATCH(tbldeptemp[[#This Row],[DependencyID]],tblTargets[TargetID]))</f>
        <v>1</v>
      </c>
      <c r="L543" t="str">
        <f>IF(tbldeptemp[[#This Row],[ValidTarget]]=FALSE,"BAD TARGET",IF(tbldeptemp[[#This Row],[ValidDependency]]=FALSE,"BAD DEPENDENCY",""))</f>
        <v/>
      </c>
    </row>
    <row r="544" spans="1:12">
      <c r="A544" t="s">
        <v>2282</v>
      </c>
      <c r="B544" t="s">
        <v>1439</v>
      </c>
      <c r="C544" t="s">
        <v>2429</v>
      </c>
      <c r="D544" t="s">
        <v>1634</v>
      </c>
      <c r="E544" t="s">
        <v>3498</v>
      </c>
      <c r="F544" t="b">
        <v>0</v>
      </c>
      <c r="G544" t="s">
        <v>2946</v>
      </c>
      <c r="H544" t="s">
        <v>2429</v>
      </c>
      <c r="I544" t="s">
        <v>2426</v>
      </c>
      <c r="J544" t="b">
        <v>1</v>
      </c>
      <c r="K544" t="b">
        <f>ISNUMBER(_xlfn.XMATCH(tbldeptemp[[#This Row],[DependencyID]],tblTargets[TargetID]))</f>
        <v>1</v>
      </c>
      <c r="L544" t="str">
        <f>IF(tbldeptemp[[#This Row],[ValidTarget]]=FALSE,"BAD TARGET",IF(tbldeptemp[[#This Row],[ValidDependency]]=FALSE,"BAD DEPENDENCY",""))</f>
        <v/>
      </c>
    </row>
    <row r="545" spans="1:12">
      <c r="A545" t="s">
        <v>2094</v>
      </c>
      <c r="B545" t="s">
        <v>3104</v>
      </c>
      <c r="C545" t="s">
        <v>2166</v>
      </c>
      <c r="D545" t="s">
        <v>2917</v>
      </c>
      <c r="E545" t="s">
        <v>3498</v>
      </c>
      <c r="F545" t="b">
        <v>0</v>
      </c>
      <c r="G545" t="s">
        <v>2947</v>
      </c>
      <c r="H545" t="s">
        <v>2166</v>
      </c>
      <c r="I545" t="s">
        <v>2426</v>
      </c>
      <c r="J545" t="b">
        <v>1</v>
      </c>
      <c r="K545" t="b">
        <f>ISNUMBER(_xlfn.XMATCH(tbldeptemp[[#This Row],[DependencyID]],tblTargets[TargetID]))</f>
        <v>1</v>
      </c>
      <c r="L545" t="str">
        <f>IF(tbldeptemp[[#This Row],[ValidTarget]]=FALSE,"BAD TARGET",IF(tbldeptemp[[#This Row],[ValidDependency]]=FALSE,"BAD DEPENDENCY",""))</f>
        <v/>
      </c>
    </row>
    <row r="546" spans="1:12">
      <c r="A546" t="s">
        <v>2094</v>
      </c>
      <c r="B546" t="s">
        <v>3133</v>
      </c>
      <c r="C546" t="s">
        <v>2228</v>
      </c>
      <c r="D546" t="s">
        <v>2917</v>
      </c>
      <c r="E546" t="s">
        <v>3498</v>
      </c>
      <c r="F546" t="b">
        <v>0</v>
      </c>
      <c r="G546" t="s">
        <v>2947</v>
      </c>
      <c r="H546" t="s">
        <v>2228</v>
      </c>
      <c r="I546" t="s">
        <v>2426</v>
      </c>
      <c r="J546" t="b">
        <v>1</v>
      </c>
      <c r="K546" t="b">
        <f>ISNUMBER(_xlfn.XMATCH(tbldeptemp[[#This Row],[DependencyID]],tblTargets[TargetID]))</f>
        <v>1</v>
      </c>
      <c r="L546" t="str">
        <f>IF(tbldeptemp[[#This Row],[ValidTarget]]=FALSE,"BAD TARGET",IF(tbldeptemp[[#This Row],[ValidDependency]]=FALSE,"BAD DEPENDENCY",""))</f>
        <v/>
      </c>
    </row>
    <row r="547" spans="1:12">
      <c r="A547" s="26" t="s">
        <v>2282</v>
      </c>
      <c r="B547" s="26" t="s">
        <v>2546</v>
      </c>
      <c r="C547" s="26" t="s">
        <v>2546</v>
      </c>
      <c r="E54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47" s="26" t="s">
        <v>2546</v>
      </c>
      <c r="I547" s="26" t="s">
        <v>2426</v>
      </c>
      <c r="J547" t="b">
        <f>COUNTIF(tblTargets[TargetID],tbldeptemp[[#This Row],[TargetID]])&gt;0</f>
        <v>1</v>
      </c>
      <c r="K547" t="b">
        <f>ISNUMBER(_xlfn.XMATCH(tbldeptemp[[#This Row],[DependencyID]],tblTargets[TargetID]))</f>
        <v>1</v>
      </c>
      <c r="L547" t="str">
        <f>IF(tbldeptemp[[#This Row],[ValidTarget]]=FALSE,"BAD TARGET",IF(tbldeptemp[[#This Row],[ValidDependency]]=FALSE,"BAD DEPENDENCY",""))</f>
        <v/>
      </c>
    </row>
    <row r="548" spans="1:12">
      <c r="A548" t="s">
        <v>2282</v>
      </c>
      <c r="B548" t="s">
        <v>1441</v>
      </c>
      <c r="C548" t="s">
        <v>2435</v>
      </c>
      <c r="D548" t="s">
        <v>1642</v>
      </c>
      <c r="E548" t="s">
        <v>3501</v>
      </c>
      <c r="F548" t="b">
        <v>0</v>
      </c>
      <c r="G548" t="s">
        <v>2946</v>
      </c>
      <c r="H548" t="s">
        <v>2435</v>
      </c>
      <c r="I548" t="s">
        <v>2546</v>
      </c>
      <c r="J548" t="b">
        <v>1</v>
      </c>
      <c r="K548" t="b">
        <f>ISNUMBER(_xlfn.XMATCH(tbldeptemp[[#This Row],[DependencyID]],tblTargets[TargetID]))</f>
        <v>1</v>
      </c>
      <c r="L548" t="str">
        <f>IF(tbldeptemp[[#This Row],[ValidTarget]]=FALSE,"BAD TARGET",IF(tbldeptemp[[#This Row],[ValidDependency]]=FALSE,"BAD DEPENDENCY",""))</f>
        <v/>
      </c>
    </row>
    <row r="549" spans="1:12">
      <c r="A549" t="s">
        <v>2563</v>
      </c>
      <c r="B549" t="s">
        <v>2975</v>
      </c>
      <c r="C549" t="s">
        <v>2565</v>
      </c>
      <c r="D549" t="s">
        <v>2834</v>
      </c>
      <c r="E549" t="s">
        <v>3355</v>
      </c>
      <c r="F549" t="b">
        <v>0</v>
      </c>
      <c r="G549" t="s">
        <v>2947</v>
      </c>
      <c r="H549" t="s">
        <v>2565</v>
      </c>
      <c r="I549" t="s">
        <v>2429</v>
      </c>
      <c r="J549" t="b">
        <v>1</v>
      </c>
      <c r="K549" t="b">
        <f>ISNUMBER(_xlfn.XMATCH(tbldeptemp[[#This Row],[DependencyID]],tblTargets[TargetID]))</f>
        <v>1</v>
      </c>
      <c r="L549" t="str">
        <f>IF(tbldeptemp[[#This Row],[ValidTarget]]=FALSE,"BAD TARGET",IF(tbldeptemp[[#This Row],[ValidDependency]]=FALSE,"BAD DEPENDENCY",""))</f>
        <v/>
      </c>
    </row>
    <row r="550" spans="1:12">
      <c r="A550" s="26" t="s">
        <v>2282</v>
      </c>
      <c r="B550" t="s">
        <v>2548</v>
      </c>
      <c r="C550" t="s">
        <v>2548</v>
      </c>
      <c r="E55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50" t="s">
        <v>2548</v>
      </c>
      <c r="I550" t="s">
        <v>2429</v>
      </c>
      <c r="J550" t="b">
        <f>COUNTIF(tblTargets[TargetID],tbldeptemp[[#This Row],[TargetID]])&gt;0</f>
        <v>1</v>
      </c>
      <c r="K550" t="b">
        <f>ISNUMBER(_xlfn.XMATCH(tbldeptemp[[#This Row],[DependencyID]],tblTargets[TargetID]))</f>
        <v>1</v>
      </c>
      <c r="L550" t="str">
        <f>IF(tbldeptemp[[#This Row],[ValidTarget]]=FALSE,"BAD TARGET",IF(tbldeptemp[[#This Row],[ValidDependency]]=FALSE,"BAD DEPENDENCY",""))</f>
        <v/>
      </c>
    </row>
    <row r="551" spans="1:12">
      <c r="A551" t="s">
        <v>2563</v>
      </c>
      <c r="B551" t="s">
        <v>2975</v>
      </c>
      <c r="C551" t="s">
        <v>2565</v>
      </c>
      <c r="D551" t="s">
        <v>2835</v>
      </c>
      <c r="E551" t="s">
        <v>3356</v>
      </c>
      <c r="F551" t="b">
        <v>0</v>
      </c>
      <c r="G551" t="s">
        <v>2947</v>
      </c>
      <c r="H551" t="s">
        <v>2565</v>
      </c>
      <c r="I551" t="s">
        <v>2432</v>
      </c>
      <c r="J551" t="b">
        <v>1</v>
      </c>
      <c r="K551" t="b">
        <f>ISNUMBER(_xlfn.XMATCH(tbldeptemp[[#This Row],[DependencyID]],tblTargets[TargetID]))</f>
        <v>1</v>
      </c>
      <c r="L551" t="str">
        <f>IF(tbldeptemp[[#This Row],[ValidTarget]]=FALSE,"BAD TARGET",IF(tbldeptemp[[#This Row],[ValidDependency]]=FALSE,"BAD DEPENDENCY",""))</f>
        <v/>
      </c>
    </row>
    <row r="552" spans="1:12">
      <c r="A552" s="26" t="s">
        <v>2282</v>
      </c>
      <c r="B552" s="26" t="s">
        <v>2550</v>
      </c>
      <c r="C552" s="26" t="s">
        <v>2550</v>
      </c>
      <c r="E552"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52" s="26" t="s">
        <v>2550</v>
      </c>
      <c r="I552" s="26" t="s">
        <v>2432</v>
      </c>
      <c r="J552" t="b">
        <f>COUNTIF(tblTargets[TargetID],tbldeptemp[[#This Row],[TargetID]])&gt;0</f>
        <v>1</v>
      </c>
      <c r="K552" t="b">
        <f>ISNUMBER(_xlfn.XMATCH(tbldeptemp[[#This Row],[DependencyID]],tblTargets[TargetID]))</f>
        <v>1</v>
      </c>
      <c r="L552" t="str">
        <f>IF(tbldeptemp[[#This Row],[ValidTarget]]=FALSE,"BAD TARGET",IF(tbldeptemp[[#This Row],[ValidDependency]]=FALSE,"BAD DEPENDENCY",""))</f>
        <v/>
      </c>
    </row>
    <row r="553" spans="1:12">
      <c r="A553" t="s">
        <v>2092</v>
      </c>
      <c r="B553" t="s">
        <v>2725</v>
      </c>
      <c r="C553" t="s">
        <v>37</v>
      </c>
      <c r="D553" t="s">
        <v>2726</v>
      </c>
      <c r="E553" t="s">
        <v>3307</v>
      </c>
      <c r="F553" t="b">
        <v>0</v>
      </c>
      <c r="G553" t="s">
        <v>2947</v>
      </c>
      <c r="H553" t="s">
        <v>37</v>
      </c>
      <c r="I553" t="s">
        <v>2550</v>
      </c>
      <c r="J553" t="b">
        <v>1</v>
      </c>
      <c r="K553" t="b">
        <f>ISNUMBER(_xlfn.XMATCH(tbldeptemp[[#This Row],[DependencyID]],tblTargets[TargetID]))</f>
        <v>1</v>
      </c>
      <c r="L553" t="str">
        <f>IF(tbldeptemp[[#This Row],[ValidTarget]]=FALSE,"BAD TARGET",IF(tbldeptemp[[#This Row],[ValidDependency]]=FALSE,"BAD DEPENDENCY",""))</f>
        <v/>
      </c>
    </row>
    <row r="554" spans="1:12">
      <c r="A554" s="26" t="s">
        <v>2282</v>
      </c>
      <c r="B554" t="s">
        <v>2552</v>
      </c>
      <c r="C554" t="s">
        <v>2552</v>
      </c>
      <c r="E554"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54" t="s">
        <v>2552</v>
      </c>
      <c r="I554" t="s">
        <v>2435</v>
      </c>
      <c r="J554" t="b">
        <f>COUNTIF(tblTargets[TargetID],tbldeptemp[[#This Row],[TargetID]])&gt;0</f>
        <v>1</v>
      </c>
      <c r="K554" t="b">
        <f>ISNUMBER(_xlfn.XMATCH(tbldeptemp[[#This Row],[DependencyID]],tblTargets[TargetID]))</f>
        <v>1</v>
      </c>
      <c r="L554" t="str">
        <f>IF(tbldeptemp[[#This Row],[ValidTarget]]=FALSE,"BAD TARGET",IF(tbldeptemp[[#This Row],[ValidDependency]]=FALSE,"BAD DEPENDENCY",""))</f>
        <v/>
      </c>
    </row>
    <row r="555" spans="1:12">
      <c r="A555" t="s">
        <v>2092</v>
      </c>
      <c r="B555" t="s">
        <v>2725</v>
      </c>
      <c r="C555" t="s">
        <v>37</v>
      </c>
      <c r="D555" t="s">
        <v>1646</v>
      </c>
      <c r="E555" t="s">
        <v>3308</v>
      </c>
      <c r="F555" t="b">
        <v>0</v>
      </c>
      <c r="G555" t="s">
        <v>2947</v>
      </c>
      <c r="H555" t="s">
        <v>37</v>
      </c>
      <c r="I555" t="s">
        <v>2552</v>
      </c>
      <c r="J555" t="b">
        <v>1</v>
      </c>
      <c r="K555" t="b">
        <f>ISNUMBER(_xlfn.XMATCH(tbldeptemp[[#This Row],[DependencyID]],tblTargets[TargetID]))</f>
        <v>1</v>
      </c>
      <c r="L555" t="str">
        <f>IF(tbldeptemp[[#This Row],[ValidTarget]]=FALSE,"BAD TARGET",IF(tbldeptemp[[#This Row],[ValidDependency]]=FALSE,"BAD DEPENDENCY",""))</f>
        <v/>
      </c>
    </row>
    <row r="556" spans="1:12">
      <c r="A556" t="s">
        <v>2092</v>
      </c>
      <c r="B556" t="s">
        <v>2727</v>
      </c>
      <c r="C556" t="s">
        <v>39</v>
      </c>
      <c r="D556" t="s">
        <v>1646</v>
      </c>
      <c r="E556" t="s">
        <v>3308</v>
      </c>
      <c r="F556" t="b">
        <v>0</v>
      </c>
      <c r="G556" t="s">
        <v>2947</v>
      </c>
      <c r="H556" t="s">
        <v>39</v>
      </c>
      <c r="I556" t="s">
        <v>2552</v>
      </c>
      <c r="J556" t="b">
        <v>1</v>
      </c>
      <c r="K556" t="b">
        <f>ISNUMBER(_xlfn.XMATCH(tbldeptemp[[#This Row],[DependencyID]],tblTargets[TargetID]))</f>
        <v>1</v>
      </c>
      <c r="L556" t="str">
        <f>IF(tbldeptemp[[#This Row],[ValidTarget]]=FALSE,"BAD TARGET",IF(tbldeptemp[[#This Row],[ValidDependency]]=FALSE,"BAD DEPENDENCY",""))</f>
        <v/>
      </c>
    </row>
    <row r="557" spans="1:12">
      <c r="A557" t="s">
        <v>2578</v>
      </c>
      <c r="B557" t="s">
        <v>2986</v>
      </c>
      <c r="C557" t="s">
        <v>2581</v>
      </c>
      <c r="D557" t="s">
        <v>1646</v>
      </c>
      <c r="E557" t="s">
        <v>3308</v>
      </c>
      <c r="F557" t="b">
        <v>0</v>
      </c>
      <c r="G557" t="s">
        <v>2947</v>
      </c>
      <c r="H557" t="s">
        <v>2581</v>
      </c>
      <c r="I557" t="s">
        <v>2552</v>
      </c>
      <c r="J557" t="b">
        <v>1</v>
      </c>
      <c r="K557" t="b">
        <f>ISNUMBER(_xlfn.XMATCH(tbldeptemp[[#This Row],[DependencyID]],tblTargets[TargetID]))</f>
        <v>1</v>
      </c>
      <c r="L557" t="str">
        <f>IF(tbldeptemp[[#This Row],[ValidTarget]]=FALSE,"BAD TARGET",IF(tbldeptemp[[#This Row],[ValidDependency]]=FALSE,"BAD DEPENDENCY",""))</f>
        <v/>
      </c>
    </row>
    <row r="558" spans="1:12">
      <c r="A558" t="s">
        <v>2578</v>
      </c>
      <c r="B558" t="s">
        <v>2992</v>
      </c>
      <c r="C558" t="s">
        <v>2587</v>
      </c>
      <c r="D558" t="s">
        <v>1646</v>
      </c>
      <c r="E558" t="s">
        <v>3308</v>
      </c>
      <c r="F558" t="b">
        <v>0</v>
      </c>
      <c r="G558" t="s">
        <v>2947</v>
      </c>
      <c r="H558" t="s">
        <v>2587</v>
      </c>
      <c r="I558" t="s">
        <v>2552</v>
      </c>
      <c r="J558" t="b">
        <v>1</v>
      </c>
      <c r="K558" t="b">
        <f>ISNUMBER(_xlfn.XMATCH(tbldeptemp[[#This Row],[DependencyID]],tblTargets[TargetID]))</f>
        <v>1</v>
      </c>
      <c r="L558" t="str">
        <f>IF(tbldeptemp[[#This Row],[ValidTarget]]=FALSE,"BAD TARGET",IF(tbldeptemp[[#This Row],[ValidDependency]]=FALSE,"BAD DEPENDENCY",""))</f>
        <v/>
      </c>
    </row>
    <row r="559" spans="1:12">
      <c r="A559" t="s">
        <v>2578</v>
      </c>
      <c r="B559" t="s">
        <v>2994</v>
      </c>
      <c r="C559" t="s">
        <v>2589</v>
      </c>
      <c r="D559" t="s">
        <v>1646</v>
      </c>
      <c r="E559" t="s">
        <v>3308</v>
      </c>
      <c r="F559" t="b">
        <v>0</v>
      </c>
      <c r="G559" t="s">
        <v>2947</v>
      </c>
      <c r="H559" t="s">
        <v>2589</v>
      </c>
      <c r="I559" t="s">
        <v>2552</v>
      </c>
      <c r="J559" t="b">
        <v>1</v>
      </c>
      <c r="K559" t="b">
        <f>ISNUMBER(_xlfn.XMATCH(tbldeptemp[[#This Row],[DependencyID]],tblTargets[TargetID]))</f>
        <v>1</v>
      </c>
      <c r="L559" t="str">
        <f>IF(tbldeptemp[[#This Row],[ValidTarget]]=FALSE,"BAD TARGET",IF(tbldeptemp[[#This Row],[ValidDependency]]=FALSE,"BAD DEPENDENCY",""))</f>
        <v/>
      </c>
    </row>
    <row r="560" spans="1:12">
      <c r="A560" t="s">
        <v>2578</v>
      </c>
      <c r="B560" t="s">
        <v>3005</v>
      </c>
      <c r="C560" t="s">
        <v>2600</v>
      </c>
      <c r="D560" t="s">
        <v>1646</v>
      </c>
      <c r="E560" t="s">
        <v>3308</v>
      </c>
      <c r="F560" t="b">
        <v>0</v>
      </c>
      <c r="G560" t="s">
        <v>2947</v>
      </c>
      <c r="H560" t="s">
        <v>2600</v>
      </c>
      <c r="I560" t="s">
        <v>2552</v>
      </c>
      <c r="J560" t="b">
        <v>1</v>
      </c>
      <c r="K560" t="b">
        <f>ISNUMBER(_xlfn.XMATCH(tbldeptemp[[#This Row],[DependencyID]],tblTargets[TargetID]))</f>
        <v>1</v>
      </c>
      <c r="L560" t="str">
        <f>IF(tbldeptemp[[#This Row],[ValidTarget]]=FALSE,"BAD TARGET",IF(tbldeptemp[[#This Row],[ValidDependency]]=FALSE,"BAD DEPENDENCY",""))</f>
        <v/>
      </c>
    </row>
    <row r="561" spans="1:12">
      <c r="A561" t="s">
        <v>2578</v>
      </c>
      <c r="B561" t="s">
        <v>3042</v>
      </c>
      <c r="C561" t="s">
        <v>2637</v>
      </c>
      <c r="D561" t="s">
        <v>1646</v>
      </c>
      <c r="E561" t="s">
        <v>3308</v>
      </c>
      <c r="F561" t="b">
        <v>0</v>
      </c>
      <c r="G561" t="s">
        <v>2947</v>
      </c>
      <c r="H561" t="s">
        <v>2637</v>
      </c>
      <c r="I561" t="s">
        <v>2552</v>
      </c>
      <c r="J561" t="b">
        <v>1</v>
      </c>
      <c r="K561" t="b">
        <f>ISNUMBER(_xlfn.XMATCH(tbldeptemp[[#This Row],[DependencyID]],tblTargets[TargetID]))</f>
        <v>1</v>
      </c>
      <c r="L561" t="str">
        <f>IF(tbldeptemp[[#This Row],[ValidTarget]]=FALSE,"BAD TARGET",IF(tbldeptemp[[#This Row],[ValidDependency]]=FALSE,"BAD DEPENDENCY",""))</f>
        <v/>
      </c>
    </row>
    <row r="562" spans="1:12">
      <c r="A562" t="s">
        <v>2578</v>
      </c>
      <c r="B562" t="s">
        <v>3054</v>
      </c>
      <c r="C562" t="s">
        <v>2649</v>
      </c>
      <c r="D562" t="s">
        <v>1646</v>
      </c>
      <c r="E562" t="s">
        <v>3308</v>
      </c>
      <c r="F562" t="b">
        <v>0</v>
      </c>
      <c r="G562" t="s">
        <v>2947</v>
      </c>
      <c r="H562" t="s">
        <v>2649</v>
      </c>
      <c r="I562" t="s">
        <v>2552</v>
      </c>
      <c r="J562" t="b">
        <v>1</v>
      </c>
      <c r="K562" t="b">
        <f>ISNUMBER(_xlfn.XMATCH(tbldeptemp[[#This Row],[DependencyID]],tblTargets[TargetID]))</f>
        <v>1</v>
      </c>
      <c r="L562" t="str">
        <f>IF(tbldeptemp[[#This Row],[ValidTarget]]=FALSE,"BAD TARGET",IF(tbldeptemp[[#This Row],[ValidDependency]]=FALSE,"BAD DEPENDENCY",""))</f>
        <v/>
      </c>
    </row>
    <row r="563" spans="1:12">
      <c r="A563" t="s">
        <v>2282</v>
      </c>
      <c r="B563" t="s">
        <v>1442</v>
      </c>
      <c r="C563" t="s">
        <v>2438</v>
      </c>
      <c r="D563" t="s">
        <v>1646</v>
      </c>
      <c r="E563" t="s">
        <v>3308</v>
      </c>
      <c r="F563" t="b">
        <v>0</v>
      </c>
      <c r="G563" t="s">
        <v>2946</v>
      </c>
      <c r="H563" t="s">
        <v>2438</v>
      </c>
      <c r="I563" t="s">
        <v>2552</v>
      </c>
      <c r="J563" t="b">
        <v>1</v>
      </c>
      <c r="K563" t="b">
        <f>ISNUMBER(_xlfn.XMATCH(tbldeptemp[[#This Row],[DependencyID]],tblTargets[TargetID]))</f>
        <v>1</v>
      </c>
      <c r="L563" t="str">
        <f>IF(tbldeptemp[[#This Row],[ValidTarget]]=FALSE,"BAD TARGET",IF(tbldeptemp[[#This Row],[ValidDependency]]=FALSE,"BAD DEPENDENCY",""))</f>
        <v/>
      </c>
    </row>
    <row r="564" spans="1:12">
      <c r="A564" t="s">
        <v>2094</v>
      </c>
      <c r="B564" t="s">
        <v>3090</v>
      </c>
      <c r="C564" t="s">
        <v>2134</v>
      </c>
      <c r="D564" t="s">
        <v>1646</v>
      </c>
      <c r="E564" t="s">
        <v>3308</v>
      </c>
      <c r="F564" t="b">
        <v>0</v>
      </c>
      <c r="G564" t="s">
        <v>2947</v>
      </c>
      <c r="H564" t="s">
        <v>2134</v>
      </c>
      <c r="I564" t="s">
        <v>2552</v>
      </c>
      <c r="J564" t="b">
        <v>1</v>
      </c>
      <c r="K564" t="b">
        <f>ISNUMBER(_xlfn.XMATCH(tbldeptemp[[#This Row],[DependencyID]],tblTargets[TargetID]))</f>
        <v>1</v>
      </c>
      <c r="L564" t="str">
        <f>IF(tbldeptemp[[#This Row],[ValidTarget]]=FALSE,"BAD TARGET",IF(tbldeptemp[[#This Row],[ValidDependency]]=FALSE,"BAD DEPENDENCY",""))</f>
        <v/>
      </c>
    </row>
    <row r="565" spans="1:12">
      <c r="A565" s="26" t="s">
        <v>2282</v>
      </c>
      <c r="B565" s="26" t="s">
        <v>2554</v>
      </c>
      <c r="C565" s="26" t="s">
        <v>2554</v>
      </c>
      <c r="E56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65" s="26" t="s">
        <v>2554</v>
      </c>
      <c r="I565" s="26" t="s">
        <v>2438</v>
      </c>
      <c r="J565" t="b">
        <f>COUNTIF(tblTargets[TargetID],tbldeptemp[[#This Row],[TargetID]])&gt;0</f>
        <v>1</v>
      </c>
      <c r="K565" t="b">
        <f>ISNUMBER(_xlfn.XMATCH(tbldeptemp[[#This Row],[DependencyID]],tblTargets[TargetID]))</f>
        <v>1</v>
      </c>
      <c r="L565" t="str">
        <f>IF(tbldeptemp[[#This Row],[ValidTarget]]=FALSE,"BAD TARGET",IF(tbldeptemp[[#This Row],[ValidDependency]]=FALSE,"BAD DEPENDENCY",""))</f>
        <v/>
      </c>
    </row>
    <row r="566" spans="1:12">
      <c r="A566" s="26" t="s">
        <v>2282</v>
      </c>
      <c r="B566" t="s">
        <v>2556</v>
      </c>
      <c r="C566" t="s">
        <v>2556</v>
      </c>
      <c r="E566"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66" t="s">
        <v>2556</v>
      </c>
      <c r="I566" t="s">
        <v>2441</v>
      </c>
      <c r="J566" t="b">
        <f>COUNTIF(tblTargets[TargetID],tbldeptemp[[#This Row],[TargetID]])&gt;0</f>
        <v>1</v>
      </c>
      <c r="K566" t="b">
        <f>ISNUMBER(_xlfn.XMATCH(tbldeptemp[[#This Row],[DependencyID]],tblTargets[TargetID]))</f>
        <v>1</v>
      </c>
      <c r="L566" t="str">
        <f>IF(tbldeptemp[[#This Row],[ValidTarget]]=FALSE,"BAD TARGET",IF(tbldeptemp[[#This Row],[ValidDependency]]=FALSE,"BAD DEPENDENCY",""))</f>
        <v/>
      </c>
    </row>
    <row r="567" spans="1:12">
      <c r="A567" t="s">
        <v>2282</v>
      </c>
      <c r="B567" t="s">
        <v>1412</v>
      </c>
      <c r="C567" t="s">
        <v>2327</v>
      </c>
      <c r="D567" t="s">
        <v>2861</v>
      </c>
      <c r="E567" t="s">
        <v>3444</v>
      </c>
      <c r="F567" t="b">
        <v>1</v>
      </c>
      <c r="G567" t="s">
        <v>2947</v>
      </c>
      <c r="H567" t="s">
        <v>2327</v>
      </c>
      <c r="I567" t="s">
        <v>2556</v>
      </c>
      <c r="J567" t="b">
        <v>1</v>
      </c>
      <c r="K567" t="b">
        <f>ISNUMBER(_xlfn.XMATCH(tbldeptemp[[#This Row],[DependencyID]],tblTargets[TargetID]))</f>
        <v>1</v>
      </c>
      <c r="L567" t="str">
        <f>IF(tbldeptemp[[#This Row],[ValidTarget]]=FALSE,"BAD TARGET",IF(tbldeptemp[[#This Row],[ValidDependency]]=FALSE,"BAD DEPENDENCY",""))</f>
        <v/>
      </c>
    </row>
    <row r="568" spans="1:12">
      <c r="A568" t="s">
        <v>2094</v>
      </c>
      <c r="B568" t="s">
        <v>3153</v>
      </c>
      <c r="C568" t="s">
        <v>2260</v>
      </c>
      <c r="D568" t="s">
        <v>2942</v>
      </c>
      <c r="E568" t="s">
        <v>3444</v>
      </c>
      <c r="F568" t="b">
        <v>1</v>
      </c>
      <c r="G568" t="s">
        <v>2947</v>
      </c>
      <c r="H568" t="s">
        <v>2260</v>
      </c>
      <c r="I568" t="s">
        <v>2556</v>
      </c>
      <c r="J568" t="b">
        <v>1</v>
      </c>
      <c r="K568" t="b">
        <f>ISNUMBER(_xlfn.XMATCH(tbldeptemp[[#This Row],[DependencyID]],tblTargets[TargetID]))</f>
        <v>1</v>
      </c>
      <c r="L568" t="str">
        <f>IF(tbldeptemp[[#This Row],[ValidTarget]]=FALSE,"BAD TARGET",IF(tbldeptemp[[#This Row],[ValidDependency]]=FALSE,"BAD DEPENDENCY",""))</f>
        <v/>
      </c>
    </row>
    <row r="569" spans="1:12">
      <c r="A569" s="26" t="s">
        <v>2282</v>
      </c>
      <c r="B569" s="26" t="s">
        <v>2558</v>
      </c>
      <c r="C569" s="26" t="s">
        <v>2558</v>
      </c>
      <c r="E569"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69" s="26" t="s">
        <v>2558</v>
      </c>
      <c r="I569" s="26" t="s">
        <v>2444</v>
      </c>
      <c r="J569" t="b">
        <f>COUNTIF(tblTargets[TargetID],tbldeptemp[[#This Row],[TargetID]])&gt;0</f>
        <v>1</v>
      </c>
      <c r="K569" t="b">
        <f>ISNUMBER(_xlfn.XMATCH(tbldeptemp[[#This Row],[DependencyID]],tblTargets[TargetID]))</f>
        <v>1</v>
      </c>
      <c r="L569" t="str">
        <f>IF(tbldeptemp[[#This Row],[ValidTarget]]=FALSE,"BAD TARGET",IF(tbldeptemp[[#This Row],[ValidDependency]]=FALSE,"BAD DEPENDENCY",""))</f>
        <v/>
      </c>
    </row>
    <row r="570" spans="1:12">
      <c r="A570" s="26" t="s">
        <v>2282</v>
      </c>
      <c r="B570" t="s">
        <v>2560</v>
      </c>
      <c r="C570" t="s">
        <v>2560</v>
      </c>
      <c r="E57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70" t="s">
        <v>2560</v>
      </c>
      <c r="I570" t="s">
        <v>2447</v>
      </c>
      <c r="J570" t="b">
        <f>COUNTIF(tblTargets[TargetID],tbldeptemp[[#This Row],[TargetID]])&gt;0</f>
        <v>1</v>
      </c>
      <c r="K570" t="b">
        <f>ISNUMBER(_xlfn.XMATCH(tbldeptemp[[#This Row],[DependencyID]],tblTargets[TargetID]))</f>
        <v>1</v>
      </c>
      <c r="L570" t="str">
        <f>IF(tbldeptemp[[#This Row],[ValidTarget]]=FALSE,"BAD TARGET",IF(tbldeptemp[[#This Row],[ValidDependency]]=FALSE,"BAD DEPENDENCY",""))</f>
        <v/>
      </c>
    </row>
    <row r="571" spans="1:12">
      <c r="A571" t="s">
        <v>2282</v>
      </c>
      <c r="B571" t="s">
        <v>1439</v>
      </c>
      <c r="C571" t="s">
        <v>2429</v>
      </c>
      <c r="D571" t="s">
        <v>2888</v>
      </c>
      <c r="E571" t="s">
        <v>3499</v>
      </c>
      <c r="F571" t="b">
        <v>0</v>
      </c>
      <c r="G571" t="s">
        <v>2947</v>
      </c>
      <c r="H571" t="s">
        <v>2429</v>
      </c>
      <c r="I571" t="s">
        <v>3500</v>
      </c>
      <c r="J571" t="b">
        <v>1</v>
      </c>
      <c r="K571" t="b">
        <f>ISNUMBER(_xlfn.XMATCH(tbldeptemp[[#This Row],[DependencyID]],tblTargets[TargetID]))</f>
        <v>1</v>
      </c>
      <c r="L571" t="str">
        <f>IF(tbldeptemp[[#This Row],[ValidTarget]]=FALSE,"BAD TARGET",IF(tbldeptemp[[#This Row],[ValidDependency]]=FALSE,"BAD DEPENDENCY",""))</f>
        <v/>
      </c>
    </row>
    <row r="572" spans="1:12">
      <c r="A572" t="s">
        <v>2282</v>
      </c>
      <c r="B572" t="s">
        <v>1374</v>
      </c>
      <c r="C572" t="s">
        <v>2309</v>
      </c>
      <c r="D572" t="s">
        <v>2856</v>
      </c>
      <c r="E572" t="s">
        <v>3441</v>
      </c>
      <c r="F572" t="b">
        <v>1</v>
      </c>
      <c r="G572" t="s">
        <v>2947</v>
      </c>
      <c r="H572" t="s">
        <v>2309</v>
      </c>
      <c r="I572" t="s">
        <v>3442</v>
      </c>
      <c r="J572" t="b">
        <v>1</v>
      </c>
      <c r="K572" t="b">
        <f>ISNUMBER(_xlfn.XMATCH(tbldeptemp[[#This Row],[DependencyID]],tblTargets[TargetID]))</f>
        <v>0</v>
      </c>
      <c r="L572" t="str">
        <f>IF(tbldeptemp[[#This Row],[ValidTarget]]=FALSE,"BAD TARGET",IF(tbldeptemp[[#This Row],[ValidDependency]]=FALSE,"BAD DEPENDENCY",""))</f>
        <v>BAD DEPENDENCY</v>
      </c>
    </row>
    <row r="573" spans="1:12">
      <c r="A573" t="s">
        <v>2092</v>
      </c>
      <c r="B573" t="s">
        <v>2729</v>
      </c>
      <c r="C573" t="s">
        <v>40</v>
      </c>
      <c r="D573" t="s">
        <v>2730</v>
      </c>
      <c r="E573" t="s">
        <v>2730</v>
      </c>
      <c r="F573" t="b">
        <v>1</v>
      </c>
      <c r="G573" t="s">
        <v>2947</v>
      </c>
      <c r="H573" t="s">
        <v>40</v>
      </c>
      <c r="I573" t="s">
        <v>3311</v>
      </c>
      <c r="J573" t="b">
        <v>1</v>
      </c>
      <c r="K573" t="b">
        <f>ISNUMBER(_xlfn.XMATCH(tbldeptemp[[#This Row],[DependencyID]],tblTargets[TargetID]))</f>
        <v>1</v>
      </c>
      <c r="L573" t="str">
        <f>IF(tbldeptemp[[#This Row],[ValidTarget]]=FALSE,"BAD TARGET",IF(tbldeptemp[[#This Row],[ValidDependency]]=FALSE,"BAD DEPENDENCY",""))</f>
        <v/>
      </c>
    </row>
    <row r="574" spans="1:12">
      <c r="A574" t="s">
        <v>2092</v>
      </c>
      <c r="B574" t="s">
        <v>2756</v>
      </c>
      <c r="C574" t="s">
        <v>69</v>
      </c>
      <c r="D574" t="s">
        <v>2730</v>
      </c>
      <c r="E574" t="s">
        <v>2730</v>
      </c>
      <c r="F574" t="b">
        <v>1</v>
      </c>
      <c r="G574" t="s">
        <v>2947</v>
      </c>
      <c r="H574" t="s">
        <v>69</v>
      </c>
      <c r="I574" t="s">
        <v>3311</v>
      </c>
      <c r="J574" t="b">
        <v>1</v>
      </c>
      <c r="K574" t="b">
        <f>ISNUMBER(_xlfn.XMATCH(tbldeptemp[[#This Row],[DependencyID]],tblTargets[TargetID]))</f>
        <v>1</v>
      </c>
      <c r="L574" t="str">
        <f>IF(tbldeptemp[[#This Row],[ValidTarget]]=FALSE,"BAD TARGET",IF(tbldeptemp[[#This Row],[ValidDependency]]=FALSE,"BAD DEPENDENCY",""))</f>
        <v/>
      </c>
    </row>
    <row r="575" spans="1:12">
      <c r="A575" t="s">
        <v>2092</v>
      </c>
      <c r="B575" t="s">
        <v>2781</v>
      </c>
      <c r="C575" t="s">
        <v>104</v>
      </c>
      <c r="D575" t="s">
        <v>2730</v>
      </c>
      <c r="E575" t="s">
        <v>2730</v>
      </c>
      <c r="F575" t="b">
        <v>1</v>
      </c>
      <c r="G575" t="s">
        <v>2947</v>
      </c>
      <c r="H575" t="s">
        <v>104</v>
      </c>
      <c r="I575" t="s">
        <v>3311</v>
      </c>
      <c r="J575" t="b">
        <v>1</v>
      </c>
      <c r="K575" t="b">
        <f>ISNUMBER(_xlfn.XMATCH(tbldeptemp[[#This Row],[DependencyID]],tblTargets[TargetID]))</f>
        <v>1</v>
      </c>
      <c r="L575" t="str">
        <f>IF(tbldeptemp[[#This Row],[ValidTarget]]=FALSE,"BAD TARGET",IF(tbldeptemp[[#This Row],[ValidDependency]]=FALSE,"BAD DEPENDENCY",""))</f>
        <v/>
      </c>
    </row>
    <row r="576" spans="1:12">
      <c r="A576" t="s">
        <v>2092</v>
      </c>
      <c r="B576" t="s">
        <v>2768</v>
      </c>
      <c r="C576" t="s">
        <v>90</v>
      </c>
      <c r="D576" t="s">
        <v>2769</v>
      </c>
      <c r="E576" t="s">
        <v>2769</v>
      </c>
      <c r="F576" t="b">
        <v>1</v>
      </c>
      <c r="G576" t="s">
        <v>2947</v>
      </c>
      <c r="H576" t="s">
        <v>90</v>
      </c>
      <c r="I576" t="s">
        <v>3333</v>
      </c>
      <c r="J576" t="b">
        <v>1</v>
      </c>
      <c r="K576" t="b">
        <f>ISNUMBER(_xlfn.XMATCH(tbldeptemp[[#This Row],[DependencyID]],tblTargets[TargetID]))</f>
        <v>1</v>
      </c>
      <c r="L576" t="str">
        <f>IF(tbldeptemp[[#This Row],[ValidTarget]]=FALSE,"BAD TARGET",IF(tbldeptemp[[#This Row],[ValidDependency]]=FALSE,"BAD DEPENDENCY",""))</f>
        <v/>
      </c>
    </row>
    <row r="577" spans="1:12">
      <c r="A577" t="s">
        <v>2092</v>
      </c>
      <c r="B577" t="s">
        <v>2752</v>
      </c>
      <c r="C577" t="s">
        <v>65</v>
      </c>
      <c r="D577" t="s">
        <v>2753</v>
      </c>
      <c r="E577" t="s">
        <v>2753</v>
      </c>
      <c r="F577" t="b">
        <v>1</v>
      </c>
      <c r="G577" t="s">
        <v>2947</v>
      </c>
      <c r="H577" t="s">
        <v>65</v>
      </c>
      <c r="I577" t="s">
        <v>3321</v>
      </c>
      <c r="J577" t="b">
        <v>1</v>
      </c>
      <c r="K577" t="b">
        <f>ISNUMBER(_xlfn.XMATCH(tbldeptemp[[#This Row],[DependencyID]],tblTargets[TargetID]))</f>
        <v>1</v>
      </c>
      <c r="L577" t="str">
        <f>IF(tbldeptemp[[#This Row],[ValidTarget]]=FALSE,"BAD TARGET",IF(tbldeptemp[[#This Row],[ValidDependency]]=FALSE,"BAD DEPENDENCY",""))</f>
        <v/>
      </c>
    </row>
    <row r="578" spans="1:12">
      <c r="A578" t="s">
        <v>2092</v>
      </c>
      <c r="B578" t="s">
        <v>2967</v>
      </c>
      <c r="C578" t="s">
        <v>111</v>
      </c>
      <c r="D578" t="s">
        <v>2792</v>
      </c>
      <c r="E578" t="s">
        <v>2792</v>
      </c>
      <c r="F578" t="b">
        <v>1</v>
      </c>
      <c r="G578" t="s">
        <v>2947</v>
      </c>
      <c r="H578" t="s">
        <v>111</v>
      </c>
      <c r="I578" t="s">
        <v>3341</v>
      </c>
      <c r="J578" t="b">
        <v>1</v>
      </c>
      <c r="K578" t="b">
        <f>ISNUMBER(_xlfn.XMATCH(tbldeptemp[[#This Row],[DependencyID]],tblTargets[TargetID]))</f>
        <v>1</v>
      </c>
      <c r="L578" t="str">
        <f>IF(tbldeptemp[[#This Row],[ValidTarget]]=FALSE,"BAD TARGET",IF(tbldeptemp[[#This Row],[ValidDependency]]=FALSE,"BAD DEPENDENCY",""))</f>
        <v/>
      </c>
    </row>
    <row r="579" spans="1:12">
      <c r="A579" t="s">
        <v>2092</v>
      </c>
      <c r="B579" t="s">
        <v>2782</v>
      </c>
      <c r="C579" t="s">
        <v>105</v>
      </c>
      <c r="D579" t="s">
        <v>2783</v>
      </c>
      <c r="E579" t="s">
        <v>2783</v>
      </c>
      <c r="F579" t="b">
        <v>1</v>
      </c>
      <c r="G579" t="s">
        <v>2947</v>
      </c>
      <c r="H579" t="s">
        <v>105</v>
      </c>
      <c r="I579" t="s">
        <v>3336</v>
      </c>
      <c r="J579" t="b">
        <v>1</v>
      </c>
      <c r="K579" t="b">
        <f>ISNUMBER(_xlfn.XMATCH(tbldeptemp[[#This Row],[DependencyID]],tblTargets[TargetID]))</f>
        <v>1</v>
      </c>
      <c r="L579" t="str">
        <f>IF(tbldeptemp[[#This Row],[ValidTarget]]=FALSE,"BAD TARGET",IF(tbldeptemp[[#This Row],[ValidDependency]]=FALSE,"BAD DEPENDENCY",""))</f>
        <v/>
      </c>
    </row>
    <row r="580" spans="1:12">
      <c r="A580" t="s">
        <v>2092</v>
      </c>
      <c r="B580" t="s">
        <v>2722</v>
      </c>
      <c r="C580" t="s">
        <v>34</v>
      </c>
      <c r="D580" t="s">
        <v>2723</v>
      </c>
      <c r="E580" t="s">
        <v>2723</v>
      </c>
      <c r="F580" t="b">
        <v>1</v>
      </c>
      <c r="G580" t="s">
        <v>2947</v>
      </c>
      <c r="H580" t="s">
        <v>34</v>
      </c>
      <c r="I580" t="s">
        <v>3306</v>
      </c>
      <c r="J580" t="b">
        <v>1</v>
      </c>
      <c r="K580" t="b">
        <f>ISNUMBER(_xlfn.XMATCH(tbldeptemp[[#This Row],[DependencyID]],tblTargets[TargetID]))</f>
        <v>1</v>
      </c>
      <c r="L580" t="str">
        <f>IF(tbldeptemp[[#This Row],[ValidTarget]]=FALSE,"BAD TARGET",IF(tbldeptemp[[#This Row],[ValidDependency]]=FALSE,"BAD DEPENDENCY",""))</f>
        <v/>
      </c>
    </row>
    <row r="581" spans="1:12">
      <c r="A581" t="s">
        <v>2092</v>
      </c>
      <c r="B581" t="s">
        <v>2724</v>
      </c>
      <c r="C581" t="s">
        <v>36</v>
      </c>
      <c r="D581" t="s">
        <v>2723</v>
      </c>
      <c r="E581" t="s">
        <v>2723</v>
      </c>
      <c r="F581" t="b">
        <v>1</v>
      </c>
      <c r="G581" t="s">
        <v>2947</v>
      </c>
      <c r="H581" t="s">
        <v>36</v>
      </c>
      <c r="I581" t="s">
        <v>3306</v>
      </c>
      <c r="J581" t="b">
        <v>1</v>
      </c>
      <c r="K581" t="b">
        <f>ISNUMBER(_xlfn.XMATCH(tbldeptemp[[#This Row],[DependencyID]],tblTargets[TargetID]))</f>
        <v>1</v>
      </c>
      <c r="L581" t="str">
        <f>IF(tbldeptemp[[#This Row],[ValidTarget]]=FALSE,"BAD TARGET",IF(tbldeptemp[[#This Row],[ValidDependency]]=FALSE,"BAD DEPENDENCY",""))</f>
        <v/>
      </c>
    </row>
    <row r="582" spans="1:12">
      <c r="A582" t="s">
        <v>2092</v>
      </c>
      <c r="B582" t="s">
        <v>2725</v>
      </c>
      <c r="C582" t="s">
        <v>37</v>
      </c>
      <c r="D582" t="s">
        <v>2723</v>
      </c>
      <c r="E582" t="s">
        <v>2723</v>
      </c>
      <c r="F582" t="b">
        <v>1</v>
      </c>
      <c r="G582" t="s">
        <v>2947</v>
      </c>
      <c r="H582" t="s">
        <v>37</v>
      </c>
      <c r="I582" t="s">
        <v>3306</v>
      </c>
      <c r="J582" t="b">
        <v>1</v>
      </c>
      <c r="K582" t="b">
        <f>ISNUMBER(_xlfn.XMATCH(tbldeptemp[[#This Row],[DependencyID]],tblTargets[TargetID]))</f>
        <v>1</v>
      </c>
      <c r="L582" t="str">
        <f>IF(tbldeptemp[[#This Row],[ValidTarget]]=FALSE,"BAD TARGET",IF(tbldeptemp[[#This Row],[ValidDependency]]=FALSE,"BAD DEPENDENCY",""))</f>
        <v/>
      </c>
    </row>
    <row r="583" spans="1:12">
      <c r="A583" t="s">
        <v>2092</v>
      </c>
      <c r="B583" t="s">
        <v>2784</v>
      </c>
      <c r="C583" t="s">
        <v>106</v>
      </c>
      <c r="D583" t="s">
        <v>2785</v>
      </c>
      <c r="E583" t="s">
        <v>2785</v>
      </c>
      <c r="F583" t="b">
        <v>1</v>
      </c>
      <c r="G583" t="s">
        <v>2947</v>
      </c>
      <c r="H583" t="s">
        <v>106</v>
      </c>
      <c r="I583" t="s">
        <v>3337</v>
      </c>
      <c r="J583" t="b">
        <v>1</v>
      </c>
      <c r="K583" t="b">
        <f>ISNUMBER(_xlfn.XMATCH(tbldeptemp[[#This Row],[DependencyID]],tblTargets[TargetID]))</f>
        <v>1</v>
      </c>
      <c r="L583" t="str">
        <f>IF(tbldeptemp[[#This Row],[ValidTarget]]=FALSE,"BAD TARGET",IF(tbldeptemp[[#This Row],[ValidDependency]]=FALSE,"BAD DEPENDENCY",""))</f>
        <v/>
      </c>
    </row>
    <row r="584" spans="1:12">
      <c r="A584" t="s">
        <v>2092</v>
      </c>
      <c r="B584" t="s">
        <v>2825</v>
      </c>
      <c r="C584" t="s">
        <v>157</v>
      </c>
      <c r="D584" t="s">
        <v>2826</v>
      </c>
      <c r="E584" t="s">
        <v>2826</v>
      </c>
      <c r="F584" t="b">
        <v>1</v>
      </c>
      <c r="G584" t="s">
        <v>2947</v>
      </c>
      <c r="H584" t="s">
        <v>157</v>
      </c>
      <c r="I584" t="s">
        <v>3351</v>
      </c>
      <c r="J584" t="b">
        <v>1</v>
      </c>
      <c r="K584" t="b">
        <f>ISNUMBER(_xlfn.XMATCH(tbldeptemp[[#This Row],[DependencyID]],tblTargets[TargetID]))</f>
        <v>1</v>
      </c>
      <c r="L584" t="str">
        <f>IF(tbldeptemp[[#This Row],[ValidTarget]]=FALSE,"BAD TARGET",IF(tbldeptemp[[#This Row],[ValidDependency]]=FALSE,"BAD DEPENDENCY",""))</f>
        <v/>
      </c>
    </row>
    <row r="585" spans="1:12">
      <c r="A585" t="s">
        <v>2092</v>
      </c>
      <c r="B585" t="s">
        <v>2731</v>
      </c>
      <c r="C585" t="s">
        <v>42</v>
      </c>
      <c r="D585" t="s">
        <v>2732</v>
      </c>
      <c r="E585" t="s">
        <v>2732</v>
      </c>
      <c r="F585" t="b">
        <v>1</v>
      </c>
      <c r="G585" t="s">
        <v>2947</v>
      </c>
      <c r="H585" t="s">
        <v>42</v>
      </c>
      <c r="I585" t="s">
        <v>3312</v>
      </c>
      <c r="J585" t="b">
        <v>1</v>
      </c>
      <c r="K585" t="b">
        <f>ISNUMBER(_xlfn.XMATCH(tbldeptemp[[#This Row],[DependencyID]],tblTargets[TargetID]))</f>
        <v>1</v>
      </c>
      <c r="L585" t="str">
        <f>IF(tbldeptemp[[#This Row],[ValidTarget]]=FALSE,"BAD TARGET",IF(tbldeptemp[[#This Row],[ValidDependency]]=FALSE,"BAD DEPENDENCY",""))</f>
        <v/>
      </c>
    </row>
    <row r="586" spans="1:12">
      <c r="A586" t="s">
        <v>2092</v>
      </c>
      <c r="B586" t="s">
        <v>2772</v>
      </c>
      <c r="C586" t="s">
        <v>94</v>
      </c>
      <c r="D586" t="s">
        <v>2732</v>
      </c>
      <c r="E586" t="s">
        <v>2732</v>
      </c>
      <c r="F586" t="b">
        <v>1</v>
      </c>
      <c r="G586" t="s">
        <v>2947</v>
      </c>
      <c r="H586" t="s">
        <v>94</v>
      </c>
      <c r="I586" t="s">
        <v>3312</v>
      </c>
      <c r="J586" t="b">
        <v>1</v>
      </c>
      <c r="K586" t="b">
        <f>ISNUMBER(_xlfn.XMATCH(tbldeptemp[[#This Row],[DependencyID]],tblTargets[TargetID]))</f>
        <v>1</v>
      </c>
      <c r="L586" t="str">
        <f>IF(tbldeptemp[[#This Row],[ValidTarget]]=FALSE,"BAD TARGET",IF(tbldeptemp[[#This Row],[ValidDependency]]=FALSE,"BAD DEPENDENCY",""))</f>
        <v/>
      </c>
    </row>
    <row r="587" spans="1:12">
      <c r="A587" t="s">
        <v>2092</v>
      </c>
      <c r="B587" t="s">
        <v>2713</v>
      </c>
      <c r="C587" t="s">
        <v>24</v>
      </c>
      <c r="D587" t="s">
        <v>2714</v>
      </c>
      <c r="E587" t="s">
        <v>2714</v>
      </c>
      <c r="F587" t="b">
        <v>1</v>
      </c>
      <c r="G587" t="s">
        <v>2947</v>
      </c>
      <c r="H587" t="s">
        <v>24</v>
      </c>
      <c r="I587" t="s">
        <v>3304</v>
      </c>
      <c r="J587" t="b">
        <v>1</v>
      </c>
      <c r="K587" t="b">
        <f>ISNUMBER(_xlfn.XMATCH(tbldeptemp[[#This Row],[DependencyID]],tblTargets[TargetID]))</f>
        <v>1</v>
      </c>
      <c r="L587" t="str">
        <f>IF(tbldeptemp[[#This Row],[ValidTarget]]=FALSE,"BAD TARGET",IF(tbldeptemp[[#This Row],[ValidDependency]]=FALSE,"BAD DEPENDENCY",""))</f>
        <v/>
      </c>
    </row>
    <row r="588" spans="1:12">
      <c r="A588" t="s">
        <v>2092</v>
      </c>
      <c r="B588" t="s">
        <v>2715</v>
      </c>
      <c r="C588" t="s">
        <v>26</v>
      </c>
      <c r="D588" t="s">
        <v>2714</v>
      </c>
      <c r="E588" t="s">
        <v>2714</v>
      </c>
      <c r="F588" t="b">
        <v>1</v>
      </c>
      <c r="G588" t="s">
        <v>2947</v>
      </c>
      <c r="H588" t="s">
        <v>26</v>
      </c>
      <c r="I588" t="s">
        <v>3304</v>
      </c>
      <c r="J588" t="b">
        <v>1</v>
      </c>
      <c r="K588" t="b">
        <f>ISNUMBER(_xlfn.XMATCH(tbldeptemp[[#This Row],[DependencyID]],tblTargets[TargetID]))</f>
        <v>1</v>
      </c>
      <c r="L588" t="str">
        <f>IF(tbldeptemp[[#This Row],[ValidTarget]]=FALSE,"BAD TARGET",IF(tbldeptemp[[#This Row],[ValidDependency]]=FALSE,"BAD DEPENDENCY",""))</f>
        <v/>
      </c>
    </row>
    <row r="589" spans="1:12">
      <c r="A589" t="s">
        <v>2092</v>
      </c>
      <c r="B589" t="s">
        <v>2790</v>
      </c>
      <c r="C589" t="s">
        <v>109</v>
      </c>
      <c r="D589" t="s">
        <v>2791</v>
      </c>
      <c r="E589" t="s">
        <v>2791</v>
      </c>
      <c r="F589" t="b">
        <v>1</v>
      </c>
      <c r="G589" t="s">
        <v>2947</v>
      </c>
      <c r="H589" t="s">
        <v>109</v>
      </c>
      <c r="I589" t="s">
        <v>3340</v>
      </c>
      <c r="J589" t="b">
        <v>1</v>
      </c>
      <c r="K589" t="b">
        <f>ISNUMBER(_xlfn.XMATCH(tbldeptemp[[#This Row],[DependencyID]],tblTargets[TargetID]))</f>
        <v>1</v>
      </c>
      <c r="L589" t="str">
        <f>IF(tbldeptemp[[#This Row],[ValidTarget]]=FALSE,"BAD TARGET",IF(tbldeptemp[[#This Row],[ValidDependency]]=FALSE,"BAD DEPENDENCY",""))</f>
        <v/>
      </c>
    </row>
    <row r="590" spans="1:12">
      <c r="A590" t="s">
        <v>2092</v>
      </c>
      <c r="B590" t="s">
        <v>2793</v>
      </c>
      <c r="C590" t="s">
        <v>116</v>
      </c>
      <c r="D590" t="s">
        <v>2791</v>
      </c>
      <c r="E590" t="s">
        <v>2791</v>
      </c>
      <c r="F590" t="b">
        <v>1</v>
      </c>
      <c r="G590" t="s">
        <v>2947</v>
      </c>
      <c r="H590" t="s">
        <v>116</v>
      </c>
      <c r="I590" t="s">
        <v>3340</v>
      </c>
      <c r="J590" t="b">
        <v>1</v>
      </c>
      <c r="K590" t="b">
        <f>ISNUMBER(_xlfn.XMATCH(tbldeptemp[[#This Row],[DependencyID]],tblTargets[TargetID]))</f>
        <v>1</v>
      </c>
      <c r="L590" t="str">
        <f>IF(tbldeptemp[[#This Row],[ValidTarget]]=FALSE,"BAD TARGET",IF(tbldeptemp[[#This Row],[ValidDependency]]=FALSE,"BAD DEPENDENCY",""))</f>
        <v/>
      </c>
    </row>
    <row r="591" spans="1:12">
      <c r="A591" t="s">
        <v>2092</v>
      </c>
      <c r="B591" t="s">
        <v>2786</v>
      </c>
      <c r="C591" t="s">
        <v>107</v>
      </c>
      <c r="D591" t="s">
        <v>2787</v>
      </c>
      <c r="E591" t="s">
        <v>2787</v>
      </c>
      <c r="F591" t="b">
        <v>1</v>
      </c>
      <c r="G591" t="s">
        <v>2947</v>
      </c>
      <c r="H591" t="s">
        <v>107</v>
      </c>
      <c r="I591" t="s">
        <v>3338</v>
      </c>
      <c r="J591" t="b">
        <v>1</v>
      </c>
      <c r="K591" t="b">
        <f>ISNUMBER(_xlfn.XMATCH(tbldeptemp[[#This Row],[DependencyID]],tblTargets[TargetID]))</f>
        <v>1</v>
      </c>
      <c r="L591" t="str">
        <f>IF(tbldeptemp[[#This Row],[ValidTarget]]=FALSE,"BAD TARGET",IF(tbldeptemp[[#This Row],[ValidDependency]]=FALSE,"BAD DEPENDENCY",""))</f>
        <v/>
      </c>
    </row>
    <row r="592" spans="1:12">
      <c r="A592" t="s">
        <v>2092</v>
      </c>
      <c r="B592" t="s">
        <v>2959</v>
      </c>
      <c r="C592" t="s">
        <v>59</v>
      </c>
      <c r="D592" t="s">
        <v>2748</v>
      </c>
      <c r="E592" t="s">
        <v>2748</v>
      </c>
      <c r="F592" t="b">
        <v>1</v>
      </c>
      <c r="G592" t="s">
        <v>2947</v>
      </c>
      <c r="H592" t="s">
        <v>59</v>
      </c>
      <c r="I592" t="s">
        <v>3319</v>
      </c>
      <c r="J592" t="b">
        <v>1</v>
      </c>
      <c r="K592" t="b">
        <f>ISNUMBER(_xlfn.XMATCH(tbldeptemp[[#This Row],[DependencyID]],tblTargets[TargetID]))</f>
        <v>1</v>
      </c>
      <c r="L592" t="str">
        <f>IF(tbldeptemp[[#This Row],[ValidTarget]]=FALSE,"BAD TARGET",IF(tbldeptemp[[#This Row],[ValidDependency]]=FALSE,"BAD DEPENDENCY",""))</f>
        <v/>
      </c>
    </row>
    <row r="593" spans="1:12">
      <c r="A593" t="s">
        <v>2092</v>
      </c>
      <c r="B593" t="s">
        <v>2960</v>
      </c>
      <c r="C593" t="s">
        <v>60</v>
      </c>
      <c r="D593" t="s">
        <v>2748</v>
      </c>
      <c r="E593" t="s">
        <v>2748</v>
      </c>
      <c r="F593" t="b">
        <v>1</v>
      </c>
      <c r="G593" t="s">
        <v>2947</v>
      </c>
      <c r="H593" t="s">
        <v>60</v>
      </c>
      <c r="I593" t="s">
        <v>3319</v>
      </c>
      <c r="J593" t="b">
        <v>1</v>
      </c>
      <c r="K593" t="b">
        <f>ISNUMBER(_xlfn.XMATCH(tbldeptemp[[#This Row],[DependencyID]],tblTargets[TargetID]))</f>
        <v>1</v>
      </c>
      <c r="L593" t="str">
        <f>IF(tbldeptemp[[#This Row],[ValidTarget]]=FALSE,"BAD TARGET",IF(tbldeptemp[[#This Row],[ValidDependency]]=FALSE,"BAD DEPENDENCY",""))</f>
        <v/>
      </c>
    </row>
    <row r="594" spans="1:12">
      <c r="A594" t="s">
        <v>2092</v>
      </c>
      <c r="B594" t="s">
        <v>2788</v>
      </c>
      <c r="C594" t="s">
        <v>108</v>
      </c>
      <c r="D594" t="s">
        <v>2789</v>
      </c>
      <c r="E594" t="s">
        <v>2789</v>
      </c>
      <c r="F594" t="b">
        <v>1</v>
      </c>
      <c r="G594" t="s">
        <v>2947</v>
      </c>
      <c r="H594" t="s">
        <v>108</v>
      </c>
      <c r="I594" t="s">
        <v>3339</v>
      </c>
      <c r="J594" t="b">
        <v>1</v>
      </c>
      <c r="K594" t="b">
        <f>ISNUMBER(_xlfn.XMATCH(tbldeptemp[[#This Row],[DependencyID]],tblTargets[TargetID]))</f>
        <v>1</v>
      </c>
      <c r="L594" t="str">
        <f>IF(tbldeptemp[[#This Row],[ValidTarget]]=FALSE,"BAD TARGET",IF(tbldeptemp[[#This Row],[ValidDependency]]=FALSE,"BAD DEPENDENCY",""))</f>
        <v/>
      </c>
    </row>
    <row r="595" spans="1:12">
      <c r="A595" t="s">
        <v>2092</v>
      </c>
      <c r="B595" t="s">
        <v>2797</v>
      </c>
      <c r="C595" t="s">
        <v>121</v>
      </c>
      <c r="D595" t="s">
        <v>2798</v>
      </c>
      <c r="E595" t="s">
        <v>2798</v>
      </c>
      <c r="F595" t="b">
        <v>1</v>
      </c>
      <c r="G595" t="s">
        <v>2947</v>
      </c>
      <c r="H595" t="s">
        <v>121</v>
      </c>
      <c r="I595" t="s">
        <v>3345</v>
      </c>
      <c r="J595" t="b">
        <v>1</v>
      </c>
      <c r="K595" t="b">
        <f>ISNUMBER(_xlfn.XMATCH(tbldeptemp[[#This Row],[DependencyID]],tblTargets[TargetID]))</f>
        <v>1</v>
      </c>
      <c r="L595" t="str">
        <f>IF(tbldeptemp[[#This Row],[ValidTarget]]=FALSE,"BAD TARGET",IF(tbldeptemp[[#This Row],[ValidDependency]]=FALSE,"BAD DEPENDENCY",""))</f>
        <v/>
      </c>
    </row>
    <row r="596" spans="1:12">
      <c r="A596" t="s">
        <v>2092</v>
      </c>
      <c r="B596" t="s">
        <v>2716</v>
      </c>
      <c r="C596" t="s">
        <v>27</v>
      </c>
      <c r="D596" t="s">
        <v>2717</v>
      </c>
      <c r="E596" t="s">
        <v>2717</v>
      </c>
      <c r="F596" t="b">
        <v>1</v>
      </c>
      <c r="G596" t="s">
        <v>2947</v>
      </c>
      <c r="H596" t="s">
        <v>27</v>
      </c>
      <c r="I596" t="s">
        <v>3305</v>
      </c>
      <c r="J596" t="b">
        <v>1</v>
      </c>
      <c r="K596" t="b">
        <f>ISNUMBER(_xlfn.XMATCH(tbldeptemp[[#This Row],[DependencyID]],tblTargets[TargetID]))</f>
        <v>1</v>
      </c>
      <c r="L596" t="str">
        <f>IF(tbldeptemp[[#This Row],[ValidTarget]]=FALSE,"BAD TARGET",IF(tbldeptemp[[#This Row],[ValidDependency]]=FALSE,"BAD DEPENDENCY",""))</f>
        <v/>
      </c>
    </row>
    <row r="597" spans="1:12">
      <c r="A597" t="s">
        <v>2092</v>
      </c>
      <c r="B597" t="s">
        <v>2718</v>
      </c>
      <c r="C597" t="s">
        <v>29</v>
      </c>
      <c r="D597" t="s">
        <v>2717</v>
      </c>
      <c r="E597" t="s">
        <v>2717</v>
      </c>
      <c r="F597" t="b">
        <v>1</v>
      </c>
      <c r="G597" t="s">
        <v>2947</v>
      </c>
      <c r="H597" t="s">
        <v>29</v>
      </c>
      <c r="I597" t="s">
        <v>3305</v>
      </c>
      <c r="J597" t="b">
        <v>1</v>
      </c>
      <c r="K597" t="b">
        <f>ISNUMBER(_xlfn.XMATCH(tbldeptemp[[#This Row],[DependencyID]],tblTargets[TargetID]))</f>
        <v>1</v>
      </c>
      <c r="L597" t="str">
        <f>IF(tbldeptemp[[#This Row],[ValidTarget]]=FALSE,"BAD TARGET",IF(tbldeptemp[[#This Row],[ValidDependency]]=FALSE,"BAD DEPENDENCY",""))</f>
        <v/>
      </c>
    </row>
    <row r="598" spans="1:12">
      <c r="A598" t="s">
        <v>2092</v>
      </c>
      <c r="B598" t="s">
        <v>2719</v>
      </c>
      <c r="C598" t="s">
        <v>31</v>
      </c>
      <c r="D598" t="s">
        <v>2717</v>
      </c>
      <c r="E598" t="s">
        <v>2717</v>
      </c>
      <c r="F598" t="b">
        <v>1</v>
      </c>
      <c r="G598" t="s">
        <v>2947</v>
      </c>
      <c r="H598" t="s">
        <v>31</v>
      </c>
      <c r="I598" t="s">
        <v>3305</v>
      </c>
      <c r="J598" t="b">
        <v>1</v>
      </c>
      <c r="K598" t="b">
        <f>ISNUMBER(_xlfn.XMATCH(tbldeptemp[[#This Row],[DependencyID]],tblTargets[TargetID]))</f>
        <v>1</v>
      </c>
      <c r="L598" t="str">
        <f>IF(tbldeptemp[[#This Row],[ValidTarget]]=FALSE,"BAD TARGET",IF(tbldeptemp[[#This Row],[ValidDependency]]=FALSE,"BAD DEPENDENCY",""))</f>
        <v/>
      </c>
    </row>
    <row r="599" spans="1:12">
      <c r="A599" t="s">
        <v>2092</v>
      </c>
      <c r="B599" t="s">
        <v>2733</v>
      </c>
      <c r="C599" t="s">
        <v>43</v>
      </c>
      <c r="D599" t="s">
        <v>2717</v>
      </c>
      <c r="E599" t="s">
        <v>2717</v>
      </c>
      <c r="F599" t="b">
        <v>1</v>
      </c>
      <c r="G599" t="s">
        <v>2947</v>
      </c>
      <c r="H599" t="s">
        <v>43</v>
      </c>
      <c r="I599" t="s">
        <v>3305</v>
      </c>
      <c r="J599" t="b">
        <v>1</v>
      </c>
      <c r="K599" t="b">
        <f>ISNUMBER(_xlfn.XMATCH(tbldeptemp[[#This Row],[DependencyID]],tblTargets[TargetID]))</f>
        <v>1</v>
      </c>
      <c r="L599" t="str">
        <f>IF(tbldeptemp[[#This Row],[ValidTarget]]=FALSE,"BAD TARGET",IF(tbldeptemp[[#This Row],[ValidDependency]]=FALSE,"BAD DEPENDENCY",""))</f>
        <v/>
      </c>
    </row>
    <row r="600" spans="1:12">
      <c r="A600" t="s">
        <v>2092</v>
      </c>
      <c r="B600" t="s">
        <v>2774</v>
      </c>
      <c r="C600" t="s">
        <v>97</v>
      </c>
      <c r="D600" t="s">
        <v>2775</v>
      </c>
      <c r="E600" t="s">
        <v>2775</v>
      </c>
      <c r="F600" t="b">
        <v>1</v>
      </c>
      <c r="G600" t="s">
        <v>2947</v>
      </c>
      <c r="H600" t="s">
        <v>97</v>
      </c>
      <c r="I600" t="s">
        <v>3334</v>
      </c>
      <c r="J600" t="b">
        <v>1</v>
      </c>
      <c r="K600" t="b">
        <f>ISNUMBER(_xlfn.XMATCH(tbldeptemp[[#This Row],[DependencyID]],tblTargets[TargetID]))</f>
        <v>1</v>
      </c>
      <c r="L600" t="str">
        <f>IF(tbldeptemp[[#This Row],[ValidTarget]]=FALSE,"BAD TARGET",IF(tbldeptemp[[#This Row],[ValidDependency]]=FALSE,"BAD DEPENDENCY",""))</f>
        <v/>
      </c>
    </row>
    <row r="601" spans="1:12">
      <c r="A601" t="s">
        <v>2092</v>
      </c>
      <c r="B601" t="s">
        <v>2956</v>
      </c>
      <c r="C601" t="s">
        <v>23</v>
      </c>
      <c r="D601" t="s">
        <v>2712</v>
      </c>
      <c r="E601" t="s">
        <v>2712</v>
      </c>
      <c r="F601" t="b">
        <v>1</v>
      </c>
      <c r="G601" t="s">
        <v>2947</v>
      </c>
      <c r="H601" t="s">
        <v>23</v>
      </c>
      <c r="I601" t="s">
        <v>3303</v>
      </c>
      <c r="J601" t="b">
        <v>1</v>
      </c>
      <c r="K601" t="b">
        <f>ISNUMBER(_xlfn.XMATCH(tbldeptemp[[#This Row],[DependencyID]],tblTargets[TargetID]))</f>
        <v>1</v>
      </c>
      <c r="L601" t="str">
        <f>IF(tbldeptemp[[#This Row],[ValidTarget]]=FALSE,"BAD TARGET",IF(tbldeptemp[[#This Row],[ValidDependency]]=FALSE,"BAD DEPENDENCY",""))</f>
        <v/>
      </c>
    </row>
    <row r="602" spans="1:12">
      <c r="A602" t="s">
        <v>2092</v>
      </c>
      <c r="B602" t="s">
        <v>2806</v>
      </c>
      <c r="C602" t="s">
        <v>131</v>
      </c>
      <c r="D602" t="s">
        <v>2712</v>
      </c>
      <c r="E602" t="s">
        <v>2712</v>
      </c>
      <c r="F602" t="b">
        <v>1</v>
      </c>
      <c r="G602" t="s">
        <v>2947</v>
      </c>
      <c r="H602" t="s">
        <v>131</v>
      </c>
      <c r="I602" t="s">
        <v>3303</v>
      </c>
      <c r="J602" t="b">
        <v>1</v>
      </c>
      <c r="K602" t="b">
        <f>ISNUMBER(_xlfn.XMATCH(tbldeptemp[[#This Row],[DependencyID]],tblTargets[TargetID]))</f>
        <v>1</v>
      </c>
      <c r="L602" t="str">
        <f>IF(tbldeptemp[[#This Row],[ValidTarget]]=FALSE,"BAD TARGET",IF(tbldeptemp[[#This Row],[ValidDependency]]=FALSE,"BAD DEPENDENCY",""))</f>
        <v/>
      </c>
    </row>
    <row r="603" spans="1:12">
      <c r="A603" t="s">
        <v>2092</v>
      </c>
      <c r="B603" t="s">
        <v>2778</v>
      </c>
      <c r="C603" t="s">
        <v>101</v>
      </c>
      <c r="D603" t="s">
        <v>2779</v>
      </c>
      <c r="E603" t="s">
        <v>2779</v>
      </c>
      <c r="F603" t="b">
        <v>1</v>
      </c>
      <c r="G603" t="s">
        <v>2947</v>
      </c>
      <c r="H603" t="s">
        <v>101</v>
      </c>
      <c r="I603" t="s">
        <v>3335</v>
      </c>
      <c r="J603" t="b">
        <v>1</v>
      </c>
      <c r="K603" t="b">
        <f>ISNUMBER(_xlfn.XMATCH(tbldeptemp[[#This Row],[DependencyID]],tblTargets[TargetID]))</f>
        <v>1</v>
      </c>
      <c r="L603" t="str">
        <f>IF(tbldeptemp[[#This Row],[ValidTarget]]=FALSE,"BAD TARGET",IF(tbldeptemp[[#This Row],[ValidDependency]]=FALSE,"BAD DEPENDENCY",""))</f>
        <v/>
      </c>
    </row>
    <row r="604" spans="1:12">
      <c r="A604" t="s">
        <v>2092</v>
      </c>
      <c r="B604" t="s">
        <v>2704</v>
      </c>
      <c r="C604" t="s">
        <v>13</v>
      </c>
      <c r="D604" t="s">
        <v>2705</v>
      </c>
      <c r="E604" t="s">
        <v>2705</v>
      </c>
      <c r="F604" t="b">
        <v>1</v>
      </c>
      <c r="G604" t="s">
        <v>2947</v>
      </c>
      <c r="H604" t="s">
        <v>13</v>
      </c>
      <c r="I604" t="s">
        <v>3296</v>
      </c>
      <c r="J604" t="b">
        <v>1</v>
      </c>
      <c r="K604" t="b">
        <f>ISNUMBER(_xlfn.XMATCH(tbldeptemp[[#This Row],[DependencyID]],tblTargets[TargetID]))</f>
        <v>1</v>
      </c>
      <c r="L604" t="str">
        <f>IF(tbldeptemp[[#This Row],[ValidTarget]]=FALSE,"BAD TARGET",IF(tbldeptemp[[#This Row],[ValidDependency]]=FALSE,"BAD DEPENDENCY",""))</f>
        <v/>
      </c>
    </row>
    <row r="605" spans="1:12">
      <c r="A605" t="s">
        <v>2092</v>
      </c>
      <c r="B605" t="s">
        <v>2706</v>
      </c>
      <c r="C605" t="s">
        <v>15</v>
      </c>
      <c r="D605" t="s">
        <v>2705</v>
      </c>
      <c r="E605" t="s">
        <v>2705</v>
      </c>
      <c r="F605" t="b">
        <v>1</v>
      </c>
      <c r="G605" t="s">
        <v>2947</v>
      </c>
      <c r="H605" t="s">
        <v>15</v>
      </c>
      <c r="I605" t="s">
        <v>3296</v>
      </c>
      <c r="J605" t="b">
        <v>1</v>
      </c>
      <c r="K605" t="b">
        <f>ISNUMBER(_xlfn.XMATCH(tbldeptemp[[#This Row],[DependencyID]],tblTargets[TargetID]))</f>
        <v>1</v>
      </c>
      <c r="L605" t="str">
        <f>IF(tbldeptemp[[#This Row],[ValidTarget]]=FALSE,"BAD TARGET",IF(tbldeptemp[[#This Row],[ValidDependency]]=FALSE,"BAD DEPENDENCY",""))</f>
        <v/>
      </c>
    </row>
    <row r="606" spans="1:12">
      <c r="A606" t="s">
        <v>2092</v>
      </c>
      <c r="B606" t="s">
        <v>2734</v>
      </c>
      <c r="C606" t="s">
        <v>44</v>
      </c>
      <c r="D606" t="s">
        <v>2705</v>
      </c>
      <c r="E606" t="s">
        <v>2705</v>
      </c>
      <c r="F606" t="b">
        <v>1</v>
      </c>
      <c r="G606" t="s">
        <v>2947</v>
      </c>
      <c r="H606" t="s">
        <v>44</v>
      </c>
      <c r="I606" t="s">
        <v>3296</v>
      </c>
      <c r="J606" t="b">
        <v>1</v>
      </c>
      <c r="K606" t="b">
        <f>ISNUMBER(_xlfn.XMATCH(tbldeptemp[[#This Row],[DependencyID]],tblTargets[TargetID]))</f>
        <v>1</v>
      </c>
      <c r="L606" t="str">
        <f>IF(tbldeptemp[[#This Row],[ValidTarget]]=FALSE,"BAD TARGET",IF(tbldeptemp[[#This Row],[ValidDependency]]=FALSE,"BAD DEPENDENCY",""))</f>
        <v/>
      </c>
    </row>
    <row r="607" spans="1:12">
      <c r="A607" t="s">
        <v>2092</v>
      </c>
      <c r="B607" t="s">
        <v>2811</v>
      </c>
      <c r="C607" t="s">
        <v>146</v>
      </c>
      <c r="D607" t="s">
        <v>2812</v>
      </c>
      <c r="E607" t="s">
        <v>2812</v>
      </c>
      <c r="F607" t="b">
        <v>1</v>
      </c>
      <c r="G607" t="s">
        <v>2947</v>
      </c>
      <c r="H607" t="s">
        <v>146</v>
      </c>
      <c r="I607" t="s">
        <v>3350</v>
      </c>
      <c r="J607" t="b">
        <v>1</v>
      </c>
      <c r="K607" t="b">
        <f>ISNUMBER(_xlfn.XMATCH(tbldeptemp[[#This Row],[DependencyID]],tblTargets[TargetID]))</f>
        <v>1</v>
      </c>
      <c r="L607" t="str">
        <f>IF(tbldeptemp[[#This Row],[ValidTarget]]=FALSE,"BAD TARGET",IF(tbldeptemp[[#This Row],[ValidDependency]]=FALSE,"BAD DEPENDENCY",""))</f>
        <v/>
      </c>
    </row>
    <row r="608" spans="1:12">
      <c r="A608" t="s">
        <v>2092</v>
      </c>
      <c r="B608" t="s">
        <v>2735</v>
      </c>
      <c r="C608" t="s">
        <v>45</v>
      </c>
      <c r="D608" t="s">
        <v>2736</v>
      </c>
      <c r="E608" t="s">
        <v>2736</v>
      </c>
      <c r="F608" t="b">
        <v>1</v>
      </c>
      <c r="G608" t="s">
        <v>2947</v>
      </c>
      <c r="H608" t="s">
        <v>45</v>
      </c>
      <c r="I608" t="s">
        <v>3313</v>
      </c>
      <c r="J608" t="b">
        <v>1</v>
      </c>
      <c r="K608" t="b">
        <f>ISNUMBER(_xlfn.XMATCH(tbldeptemp[[#This Row],[DependencyID]],tblTargets[TargetID]))</f>
        <v>1</v>
      </c>
      <c r="L608" t="str">
        <f>IF(tbldeptemp[[#This Row],[ValidTarget]]=FALSE,"BAD TARGET",IF(tbldeptemp[[#This Row],[ValidDependency]]=FALSE,"BAD DEPENDENCY",""))</f>
        <v/>
      </c>
    </row>
    <row r="609" spans="1:12">
      <c r="A609" t="s">
        <v>2092</v>
      </c>
      <c r="B609" t="s">
        <v>2805</v>
      </c>
      <c r="C609" t="s">
        <v>129</v>
      </c>
      <c r="D609" t="s">
        <v>2736</v>
      </c>
      <c r="E609" t="s">
        <v>2736</v>
      </c>
      <c r="F609" t="b">
        <v>1</v>
      </c>
      <c r="G609" t="s">
        <v>2947</v>
      </c>
      <c r="H609" t="s">
        <v>129</v>
      </c>
      <c r="I609" t="s">
        <v>3313</v>
      </c>
      <c r="J609" t="b">
        <v>1</v>
      </c>
      <c r="K609" t="b">
        <f>ISNUMBER(_xlfn.XMATCH(tbldeptemp[[#This Row],[DependencyID]],tblTargets[TargetID]))</f>
        <v>1</v>
      </c>
      <c r="L609" t="str">
        <f>IF(tbldeptemp[[#This Row],[ValidTarget]]=FALSE,"BAD TARGET",IF(tbldeptemp[[#This Row],[ValidDependency]]=FALSE,"BAD DEPENDENCY",""))</f>
        <v/>
      </c>
    </row>
    <row r="610" spans="1:12">
      <c r="A610" t="s">
        <v>2092</v>
      </c>
      <c r="B610" t="s">
        <v>2809</v>
      </c>
      <c r="C610" t="s">
        <v>135</v>
      </c>
      <c r="D610" t="s">
        <v>2736</v>
      </c>
      <c r="E610" t="s">
        <v>2736</v>
      </c>
      <c r="F610" t="b">
        <v>1</v>
      </c>
      <c r="G610" t="s">
        <v>2947</v>
      </c>
      <c r="H610" t="s">
        <v>135</v>
      </c>
      <c r="I610" t="s">
        <v>3313</v>
      </c>
      <c r="J610" t="b">
        <v>1</v>
      </c>
      <c r="K610" t="b">
        <f>ISNUMBER(_xlfn.XMATCH(tbldeptemp[[#This Row],[DependencyID]],tblTargets[TargetID]))</f>
        <v>1</v>
      </c>
      <c r="L610" t="str">
        <f>IF(tbldeptemp[[#This Row],[ValidTarget]]=FALSE,"BAD TARGET",IF(tbldeptemp[[#This Row],[ValidDependency]]=FALSE,"BAD DEPENDENCY",""))</f>
        <v/>
      </c>
    </row>
    <row r="611" spans="1:12">
      <c r="A611" t="s">
        <v>2092</v>
      </c>
      <c r="B611" t="s">
        <v>2737</v>
      </c>
      <c r="C611" t="s">
        <v>46</v>
      </c>
      <c r="D611" t="s">
        <v>2738</v>
      </c>
      <c r="E611" t="s">
        <v>2738</v>
      </c>
      <c r="F611" t="b">
        <v>1</v>
      </c>
      <c r="G611" t="s">
        <v>2947</v>
      </c>
      <c r="H611" t="s">
        <v>46</v>
      </c>
      <c r="I611" t="s">
        <v>3315</v>
      </c>
      <c r="J611" t="b">
        <v>1</v>
      </c>
      <c r="K611" t="b">
        <f>ISNUMBER(_xlfn.XMATCH(tbldeptemp[[#This Row],[DependencyID]],tblTargets[TargetID]))</f>
        <v>1</v>
      </c>
      <c r="L611" t="str">
        <f>IF(tbldeptemp[[#This Row],[ValidTarget]]=FALSE,"BAD TARGET",IF(tbldeptemp[[#This Row],[ValidDependency]]=FALSE,"BAD DEPENDENCY",""))</f>
        <v/>
      </c>
    </row>
    <row r="612" spans="1:12">
      <c r="A612" t="s">
        <v>2092</v>
      </c>
      <c r="B612" t="s">
        <v>2739</v>
      </c>
      <c r="C612" t="s">
        <v>48</v>
      </c>
      <c r="D612" t="s">
        <v>2738</v>
      </c>
      <c r="E612" t="s">
        <v>2738</v>
      </c>
      <c r="F612" t="b">
        <v>1</v>
      </c>
      <c r="G612" t="s">
        <v>2947</v>
      </c>
      <c r="H612" t="s">
        <v>48</v>
      </c>
      <c r="I612" t="s">
        <v>3315</v>
      </c>
      <c r="J612" t="b">
        <v>1</v>
      </c>
      <c r="K612" t="b">
        <f>ISNUMBER(_xlfn.XMATCH(tbldeptemp[[#This Row],[DependencyID]],tblTargets[TargetID]))</f>
        <v>1</v>
      </c>
      <c r="L612" t="str">
        <f>IF(tbldeptemp[[#This Row],[ValidTarget]]=FALSE,"BAD TARGET",IF(tbldeptemp[[#This Row],[ValidDependency]]=FALSE,"BAD DEPENDENCY",""))</f>
        <v/>
      </c>
    </row>
    <row r="613" spans="1:12">
      <c r="A613" t="s">
        <v>2092</v>
      </c>
      <c r="B613" t="s">
        <v>2951</v>
      </c>
      <c r="C613" t="s">
        <v>16</v>
      </c>
      <c r="D613" t="s">
        <v>2707</v>
      </c>
      <c r="E613" t="s">
        <v>2707</v>
      </c>
      <c r="F613" t="b">
        <v>1</v>
      </c>
      <c r="G613" t="s">
        <v>2947</v>
      </c>
      <c r="H613" t="s">
        <v>16</v>
      </c>
      <c r="I613" t="s">
        <v>3297</v>
      </c>
      <c r="J613" t="b">
        <v>1</v>
      </c>
      <c r="K613" t="b">
        <f>ISNUMBER(_xlfn.XMATCH(tbldeptemp[[#This Row],[DependencyID]],tblTargets[TargetID]))</f>
        <v>1</v>
      </c>
      <c r="L613" t="str">
        <f>IF(tbldeptemp[[#This Row],[ValidTarget]]=FALSE,"BAD TARGET",IF(tbldeptemp[[#This Row],[ValidDependency]]=FALSE,"BAD DEPENDENCY",""))</f>
        <v/>
      </c>
    </row>
    <row r="614" spans="1:12">
      <c r="A614" t="s">
        <v>2092</v>
      </c>
      <c r="B614" t="s">
        <v>2744</v>
      </c>
      <c r="C614" t="s">
        <v>53</v>
      </c>
      <c r="D614" t="s">
        <v>2745</v>
      </c>
      <c r="E614" t="s">
        <v>2745</v>
      </c>
      <c r="F614" t="b">
        <v>1</v>
      </c>
      <c r="G614" t="s">
        <v>2947</v>
      </c>
      <c r="H614" t="s">
        <v>53</v>
      </c>
      <c r="I614" t="s">
        <v>3316</v>
      </c>
      <c r="J614" t="b">
        <v>1</v>
      </c>
      <c r="K614" t="b">
        <f>ISNUMBER(_xlfn.XMATCH(tbldeptemp[[#This Row],[DependencyID]],tblTargets[TargetID]))</f>
        <v>1</v>
      </c>
      <c r="L614" t="str">
        <f>IF(tbldeptemp[[#This Row],[ValidTarget]]=FALSE,"BAD TARGET",IF(tbldeptemp[[#This Row],[ValidDependency]]=FALSE,"BAD DEPENDENCY",""))</f>
        <v/>
      </c>
    </row>
    <row r="615" spans="1:12">
      <c r="A615" t="s">
        <v>2092</v>
      </c>
      <c r="B615" t="s">
        <v>2746</v>
      </c>
      <c r="C615" t="s">
        <v>55</v>
      </c>
      <c r="D615" t="s">
        <v>2745</v>
      </c>
      <c r="E615" t="s">
        <v>2745</v>
      </c>
      <c r="F615" t="b">
        <v>1</v>
      </c>
      <c r="G615" t="s">
        <v>2947</v>
      </c>
      <c r="H615" t="s">
        <v>55</v>
      </c>
      <c r="I615" t="s">
        <v>3316</v>
      </c>
      <c r="J615" t="b">
        <v>1</v>
      </c>
      <c r="K615" t="b">
        <f>ISNUMBER(_xlfn.XMATCH(tbldeptemp[[#This Row],[DependencyID]],tblTargets[TargetID]))</f>
        <v>1</v>
      </c>
      <c r="L615" t="str">
        <f>IF(tbldeptemp[[#This Row],[ValidTarget]]=FALSE,"BAD TARGET",IF(tbldeptemp[[#This Row],[ValidDependency]]=FALSE,"BAD DEPENDENCY",""))</f>
        <v/>
      </c>
    </row>
    <row r="616" spans="1:12">
      <c r="A616" t="s">
        <v>2092</v>
      </c>
      <c r="B616" t="s">
        <v>2780</v>
      </c>
      <c r="C616" t="s">
        <v>103</v>
      </c>
      <c r="D616" t="s">
        <v>2745</v>
      </c>
      <c r="E616" t="s">
        <v>2745</v>
      </c>
      <c r="F616" t="b">
        <v>1</v>
      </c>
      <c r="G616" t="s">
        <v>2947</v>
      </c>
      <c r="H616" t="s">
        <v>103</v>
      </c>
      <c r="I616" t="s">
        <v>3316</v>
      </c>
      <c r="J616" t="b">
        <v>1</v>
      </c>
      <c r="K616" t="b">
        <f>ISNUMBER(_xlfn.XMATCH(tbldeptemp[[#This Row],[DependencyID]],tblTargets[TargetID]))</f>
        <v>1</v>
      </c>
      <c r="L616" t="str">
        <f>IF(tbldeptemp[[#This Row],[ValidTarget]]=FALSE,"BAD TARGET",IF(tbldeptemp[[#This Row],[ValidDependency]]=FALSE,"BAD DEPENDENCY",""))</f>
        <v/>
      </c>
    </row>
    <row r="617" spans="1:12">
      <c r="A617" t="s">
        <v>2092</v>
      </c>
      <c r="B617" t="s">
        <v>2958</v>
      </c>
      <c r="C617" t="s">
        <v>56</v>
      </c>
      <c r="D617" t="s">
        <v>2747</v>
      </c>
      <c r="E617" t="s">
        <v>2747</v>
      </c>
      <c r="F617" t="b">
        <v>1</v>
      </c>
      <c r="G617" t="s">
        <v>2947</v>
      </c>
      <c r="H617" t="s">
        <v>56</v>
      </c>
      <c r="I617" t="s">
        <v>3317</v>
      </c>
      <c r="J617" t="b">
        <v>1</v>
      </c>
      <c r="K617" t="b">
        <f>ISNUMBER(_xlfn.XMATCH(tbldeptemp[[#This Row],[DependencyID]],tblTargets[TargetID]))</f>
        <v>1</v>
      </c>
      <c r="L617" t="str">
        <f>IF(tbldeptemp[[#This Row],[ValidTarget]]=FALSE,"BAD TARGET",IF(tbldeptemp[[#This Row],[ValidDependency]]=FALSE,"BAD DEPENDENCY",""))</f>
        <v/>
      </c>
    </row>
    <row r="618" spans="1:12">
      <c r="A618" t="s">
        <v>2092</v>
      </c>
      <c r="B618" t="s">
        <v>2749</v>
      </c>
      <c r="C618" t="s">
        <v>61</v>
      </c>
      <c r="D618" t="s">
        <v>2747</v>
      </c>
      <c r="E618" t="s">
        <v>2747</v>
      </c>
      <c r="F618" t="b">
        <v>1</v>
      </c>
      <c r="G618" t="s">
        <v>2947</v>
      </c>
      <c r="H618" t="s">
        <v>61</v>
      </c>
      <c r="I618" t="s">
        <v>3317</v>
      </c>
      <c r="J618" t="b">
        <v>1</v>
      </c>
      <c r="K618" t="b">
        <f>ISNUMBER(_xlfn.XMATCH(tbldeptemp[[#This Row],[DependencyID]],tblTargets[TargetID]))</f>
        <v>1</v>
      </c>
      <c r="L618" t="str">
        <f>IF(tbldeptemp[[#This Row],[ValidTarget]]=FALSE,"BAD TARGET",IF(tbldeptemp[[#This Row],[ValidDependency]]=FALSE,"BAD DEPENDENCY",""))</f>
        <v/>
      </c>
    </row>
    <row r="619" spans="1:12">
      <c r="A619" t="s">
        <v>2092</v>
      </c>
      <c r="B619" t="s">
        <v>2750</v>
      </c>
      <c r="C619" t="s">
        <v>63</v>
      </c>
      <c r="D619" t="s">
        <v>2747</v>
      </c>
      <c r="E619" t="s">
        <v>2747</v>
      </c>
      <c r="F619" t="b">
        <v>1</v>
      </c>
      <c r="G619" t="s">
        <v>2947</v>
      </c>
      <c r="H619" t="s">
        <v>63</v>
      </c>
      <c r="I619" t="s">
        <v>3317</v>
      </c>
      <c r="J619" t="b">
        <v>1</v>
      </c>
      <c r="K619" t="b">
        <f>ISNUMBER(_xlfn.XMATCH(tbldeptemp[[#This Row],[DependencyID]],tblTargets[TargetID]))</f>
        <v>1</v>
      </c>
      <c r="L619" t="str">
        <f>IF(tbldeptemp[[#This Row],[ValidTarget]]=FALSE,"BAD TARGET",IF(tbldeptemp[[#This Row],[ValidDependency]]=FALSE,"BAD DEPENDENCY",""))</f>
        <v/>
      </c>
    </row>
    <row r="620" spans="1:12">
      <c r="A620" t="s">
        <v>2092</v>
      </c>
      <c r="B620" t="s">
        <v>2765</v>
      </c>
      <c r="C620" t="s">
        <v>80</v>
      </c>
      <c r="D620" t="s">
        <v>2766</v>
      </c>
      <c r="E620" t="s">
        <v>2766</v>
      </c>
      <c r="F620" t="b">
        <v>1</v>
      </c>
      <c r="G620" t="s">
        <v>2947</v>
      </c>
      <c r="H620" t="s">
        <v>80</v>
      </c>
      <c r="I620" t="s">
        <v>3328</v>
      </c>
      <c r="J620" t="b">
        <v>1</v>
      </c>
      <c r="K620" t="b">
        <f>ISNUMBER(_xlfn.XMATCH(tbldeptemp[[#This Row],[DependencyID]],tblTargets[TargetID]))</f>
        <v>1</v>
      </c>
      <c r="L620" t="str">
        <f>IF(tbldeptemp[[#This Row],[ValidTarget]]=FALSE,"BAD TARGET",IF(tbldeptemp[[#This Row],[ValidDependency]]=FALSE,"BAD DEPENDENCY",""))</f>
        <v/>
      </c>
    </row>
    <row r="621" spans="1:12">
      <c r="A621" t="s">
        <v>2092</v>
      </c>
      <c r="B621" t="s">
        <v>2801</v>
      </c>
      <c r="C621" t="s">
        <v>125</v>
      </c>
      <c r="D621" t="s">
        <v>2802</v>
      </c>
      <c r="E621" t="s">
        <v>2802</v>
      </c>
      <c r="F621" t="b">
        <v>1</v>
      </c>
      <c r="G621" t="s">
        <v>2947</v>
      </c>
      <c r="H621" t="s">
        <v>125</v>
      </c>
      <c r="I621" t="s">
        <v>3346</v>
      </c>
      <c r="J621" t="b">
        <v>1</v>
      </c>
      <c r="K621" t="b">
        <f>ISNUMBER(_xlfn.XMATCH(tbldeptemp[[#This Row],[DependencyID]],tblTargets[TargetID]))</f>
        <v>1</v>
      </c>
      <c r="L621" t="str">
        <f>IF(tbldeptemp[[#This Row],[ValidTarget]]=FALSE,"BAD TARGET",IF(tbldeptemp[[#This Row],[ValidDependency]]=FALSE,"BAD DEPENDENCY",""))</f>
        <v/>
      </c>
    </row>
    <row r="622" spans="1:12">
      <c r="A622" t="s">
        <v>2092</v>
      </c>
      <c r="B622" t="s">
        <v>2823</v>
      </c>
      <c r="C622" t="s">
        <v>154</v>
      </c>
      <c r="D622" t="s">
        <v>2802</v>
      </c>
      <c r="E622" t="s">
        <v>2802</v>
      </c>
      <c r="F622" t="b">
        <v>1</v>
      </c>
      <c r="G622" t="s">
        <v>2947</v>
      </c>
      <c r="H622" t="s">
        <v>154</v>
      </c>
      <c r="I622" t="s">
        <v>3346</v>
      </c>
      <c r="J622" t="b">
        <v>1</v>
      </c>
      <c r="K622" t="b">
        <f>ISNUMBER(_xlfn.XMATCH(tbldeptemp[[#This Row],[DependencyID]],tblTargets[TargetID]))</f>
        <v>1</v>
      </c>
      <c r="L622" t="str">
        <f>IF(tbldeptemp[[#This Row],[ValidTarget]]=FALSE,"BAD TARGET",IF(tbldeptemp[[#This Row],[ValidDependency]]=FALSE,"BAD DEPENDENCY",""))</f>
        <v/>
      </c>
    </row>
    <row r="623" spans="1:12">
      <c r="A623" t="s">
        <v>2282</v>
      </c>
      <c r="B623" t="s">
        <v>1445</v>
      </c>
      <c r="C623" t="s">
        <v>2447</v>
      </c>
      <c r="D623" t="s">
        <v>2896</v>
      </c>
      <c r="E623" t="s">
        <v>3511</v>
      </c>
      <c r="F623" t="b">
        <v>0</v>
      </c>
      <c r="G623" t="s">
        <v>2947</v>
      </c>
      <c r="H623" t="s">
        <v>2447</v>
      </c>
      <c r="I623" t="s">
        <v>3512</v>
      </c>
      <c r="J623" t="b">
        <v>1</v>
      </c>
      <c r="K623" t="b">
        <f>ISNUMBER(_xlfn.XMATCH(tbldeptemp[[#This Row],[DependencyID]],tblTargets[TargetID]))</f>
        <v>1</v>
      </c>
      <c r="L623" t="str">
        <f>IF(tbldeptemp[[#This Row],[ValidTarget]]=FALSE,"BAD TARGET",IF(tbldeptemp[[#This Row],[ValidDependency]]=FALSE,"BAD DEPENDENCY",""))</f>
        <v/>
      </c>
    </row>
    <row r="624" spans="1:12">
      <c r="A624" t="s">
        <v>2282</v>
      </c>
      <c r="B624" t="s">
        <v>1398</v>
      </c>
      <c r="C624" t="s">
        <v>2281</v>
      </c>
      <c r="D624" t="s">
        <v>2852</v>
      </c>
      <c r="E624" t="s">
        <v>3431</v>
      </c>
      <c r="F624" t="b">
        <v>0</v>
      </c>
      <c r="G624" t="s">
        <v>2947</v>
      </c>
      <c r="H624" t="s">
        <v>2281</v>
      </c>
      <c r="I624" t="s">
        <v>5798</v>
      </c>
      <c r="J624" t="b">
        <v>1</v>
      </c>
      <c r="K624" t="b">
        <f>ISNUMBER(_xlfn.XMATCH(tbldeptemp[[#This Row],[DependencyID]],tblTargets[TargetID]))</f>
        <v>1</v>
      </c>
      <c r="L624" t="str">
        <f>IF(tbldeptemp[[#This Row],[ValidTarget]]=FALSE,"BAD TARGET",IF(tbldeptemp[[#This Row],[ValidDependency]]=FALSE,"BAD DEPENDENCY",""))</f>
        <v/>
      </c>
    </row>
    <row r="625" spans="1:12">
      <c r="A625" t="s">
        <v>2282</v>
      </c>
      <c r="B625" t="s">
        <v>1447</v>
      </c>
      <c r="C625" t="s">
        <v>2357</v>
      </c>
      <c r="D625" t="s">
        <v>2873</v>
      </c>
      <c r="E625" t="s">
        <v>5811</v>
      </c>
      <c r="F625" t="b">
        <v>1</v>
      </c>
      <c r="G625" t="s">
        <v>2947</v>
      </c>
      <c r="H625" t="s">
        <v>2357</v>
      </c>
      <c r="I625" t="s">
        <v>5771</v>
      </c>
      <c r="J625" t="b">
        <v>1</v>
      </c>
      <c r="K625" t="b">
        <f>ISNUMBER(_xlfn.XMATCH(tbldeptemp[[#This Row],[DependencyID]],tblTargets[TargetID]))</f>
        <v>1</v>
      </c>
      <c r="L625" t="str">
        <f>IF(tbldeptemp[[#This Row],[ValidTarget]]=FALSE,"BAD TARGET",IF(tbldeptemp[[#This Row],[ValidDependency]]=FALSE,"BAD DEPENDENCY",""))</f>
        <v/>
      </c>
    </row>
    <row r="626" spans="1:12">
      <c r="A626" t="s">
        <v>2094</v>
      </c>
      <c r="B626" t="s">
        <v>3097</v>
      </c>
      <c r="C626" t="s">
        <v>3553</v>
      </c>
      <c r="D626" t="s">
        <v>5635</v>
      </c>
      <c r="E626" t="s">
        <v>5636</v>
      </c>
      <c r="F626" t="b">
        <v>1</v>
      </c>
      <c r="G626" t="s">
        <v>2947</v>
      </c>
      <c r="H626" t="s">
        <v>2156</v>
      </c>
      <c r="I626" t="s">
        <v>6089</v>
      </c>
      <c r="J626" t="b">
        <v>1</v>
      </c>
      <c r="K626" t="b">
        <f>ISNUMBER(_xlfn.XMATCH(tbldeptemp[[#This Row],[DependencyID]],tblTargets[TargetID]))</f>
        <v>1</v>
      </c>
      <c r="L626" t="str">
        <f>IF(tbldeptemp[[#This Row],[ValidTarget]]=FALSE,"BAD TARGET",IF(tbldeptemp[[#This Row],[ValidDependency]]=FALSE,"BAD DEPENDENCY",""))</f>
        <v/>
      </c>
    </row>
    <row r="627" spans="1:12">
      <c r="A627" t="s">
        <v>2282</v>
      </c>
      <c r="B627" t="s">
        <v>1424</v>
      </c>
      <c r="C627" t="s">
        <v>2384</v>
      </c>
      <c r="D627" t="s">
        <v>2878</v>
      </c>
      <c r="E627" t="s">
        <v>3477</v>
      </c>
      <c r="F627" t="b">
        <v>1</v>
      </c>
      <c r="G627" t="s">
        <v>2947</v>
      </c>
      <c r="H627" t="s">
        <v>2384</v>
      </c>
      <c r="I627" t="s">
        <v>6038</v>
      </c>
      <c r="J627" t="b">
        <v>1</v>
      </c>
      <c r="K627" t="b">
        <f>ISNUMBER(_xlfn.XMATCH(tbldeptemp[[#This Row],[DependencyID]],tblTargets[TargetID]))</f>
        <v>1</v>
      </c>
      <c r="L627" t="str">
        <f>IF(tbldeptemp[[#This Row],[ValidTarget]]=FALSE,"BAD TARGET",IF(tbldeptemp[[#This Row],[ValidDependency]]=FALSE,"BAD DEPENDENCY",""))</f>
        <v/>
      </c>
    </row>
    <row r="628" spans="1:12">
      <c r="A628" t="s">
        <v>2282</v>
      </c>
      <c r="B628" t="s">
        <v>1443</v>
      </c>
      <c r="C628" t="s">
        <v>2441</v>
      </c>
      <c r="D628" t="s">
        <v>2891</v>
      </c>
      <c r="E628" t="s">
        <v>3503</v>
      </c>
      <c r="F628" t="b">
        <v>1</v>
      </c>
      <c r="G628" t="s">
        <v>2947</v>
      </c>
      <c r="H628" t="s">
        <v>2441</v>
      </c>
      <c r="I628" t="s">
        <v>3504</v>
      </c>
      <c r="J628" t="b">
        <v>1</v>
      </c>
      <c r="K628" t="b">
        <f>ISNUMBER(_xlfn.XMATCH(tbldeptemp[[#This Row],[DependencyID]],tblTargets[TargetID]))</f>
        <v>1</v>
      </c>
      <c r="L628" t="str">
        <f>IF(tbldeptemp[[#This Row],[ValidTarget]]=FALSE,"BAD TARGET",IF(tbldeptemp[[#This Row],[ValidDependency]]=FALSE,"BAD DEPENDENCY",""))</f>
        <v/>
      </c>
    </row>
    <row r="629" spans="1:12">
      <c r="A629" t="s">
        <v>2282</v>
      </c>
      <c r="B629" t="s">
        <v>1437</v>
      </c>
      <c r="C629" t="s">
        <v>2423</v>
      </c>
      <c r="D629" t="s">
        <v>2886</v>
      </c>
      <c r="E629" t="s">
        <v>3493</v>
      </c>
      <c r="F629" t="b">
        <v>0</v>
      </c>
      <c r="G629" t="s">
        <v>2947</v>
      </c>
      <c r="H629" t="s">
        <v>2423</v>
      </c>
      <c r="I629" t="s">
        <v>3494</v>
      </c>
      <c r="J629" t="b">
        <v>1</v>
      </c>
      <c r="K629" t="b">
        <f>ISNUMBER(_xlfn.XMATCH(tbldeptemp[[#This Row],[DependencyID]],tblTargets[TargetID]))</f>
        <v>1</v>
      </c>
      <c r="L629" t="str">
        <f>IF(tbldeptemp[[#This Row],[ValidTarget]]=FALSE,"BAD TARGET",IF(tbldeptemp[[#This Row],[ValidDependency]]=FALSE,"BAD DEPENDENCY",""))</f>
        <v/>
      </c>
    </row>
    <row r="630" spans="1:12">
      <c r="A630" t="s">
        <v>2282</v>
      </c>
      <c r="B630" t="s">
        <v>1438</v>
      </c>
      <c r="C630" t="s">
        <v>2426</v>
      </c>
      <c r="D630" t="s">
        <v>2887</v>
      </c>
      <c r="E630" t="s">
        <v>3496</v>
      </c>
      <c r="F630" t="b">
        <v>0</v>
      </c>
      <c r="G630" t="s">
        <v>2947</v>
      </c>
      <c r="H630" t="s">
        <v>2426</v>
      </c>
      <c r="I630" t="s">
        <v>3497</v>
      </c>
      <c r="J630" t="b">
        <v>1</v>
      </c>
      <c r="K630" t="b">
        <f>ISNUMBER(_xlfn.XMATCH(tbldeptemp[[#This Row],[DependencyID]],tblTargets[TargetID]))</f>
        <v>1</v>
      </c>
      <c r="L630" t="str">
        <f>IF(tbldeptemp[[#This Row],[ValidTarget]]=FALSE,"BAD TARGET",IF(tbldeptemp[[#This Row],[ValidDependency]]=FALSE,"BAD DEPENDENCY",""))</f>
        <v/>
      </c>
    </row>
    <row r="631" spans="1:12">
      <c r="A631" t="s">
        <v>2282</v>
      </c>
      <c r="B631" t="s">
        <v>1442</v>
      </c>
      <c r="C631" t="s">
        <v>2438</v>
      </c>
      <c r="D631" t="s">
        <v>2890</v>
      </c>
      <c r="E631" t="s">
        <v>3496</v>
      </c>
      <c r="F631" t="b">
        <v>0</v>
      </c>
      <c r="G631" t="s">
        <v>2947</v>
      </c>
      <c r="H631" t="s">
        <v>2438</v>
      </c>
      <c r="I631" t="s">
        <v>3497</v>
      </c>
      <c r="J631" t="b">
        <v>1</v>
      </c>
      <c r="K631" t="b">
        <f>ISNUMBER(_xlfn.XMATCH(tbldeptemp[[#This Row],[DependencyID]],tblTargets[TargetID]))</f>
        <v>1</v>
      </c>
      <c r="L631" t="str">
        <f>IF(tbldeptemp[[#This Row],[ValidTarget]]=FALSE,"BAD TARGET",IF(tbldeptemp[[#This Row],[ValidDependency]]=FALSE,"BAD DEPENDENCY",""))</f>
        <v/>
      </c>
    </row>
    <row r="632" spans="1:12">
      <c r="A632" t="s">
        <v>2282</v>
      </c>
      <c r="B632" t="s">
        <v>1419</v>
      </c>
      <c r="C632" t="s">
        <v>2348</v>
      </c>
      <c r="D632" t="s">
        <v>2870</v>
      </c>
      <c r="E632" t="s">
        <v>3459</v>
      </c>
      <c r="F632" t="b">
        <v>1</v>
      </c>
      <c r="G632" t="s">
        <v>2947</v>
      </c>
      <c r="H632" t="s">
        <v>2348</v>
      </c>
      <c r="I632" t="s">
        <v>3460</v>
      </c>
      <c r="J632" t="b">
        <v>1</v>
      </c>
      <c r="K632" t="b">
        <f>ISNUMBER(_xlfn.XMATCH(tbldeptemp[[#This Row],[DependencyID]],tblTargets[TargetID]))</f>
        <v>1</v>
      </c>
      <c r="L632" t="str">
        <f>IF(tbldeptemp[[#This Row],[ValidTarget]]=FALSE,"BAD TARGET",IF(tbldeptemp[[#This Row],[ValidDependency]]=FALSE,"BAD DEPENDENCY",""))</f>
        <v/>
      </c>
    </row>
    <row r="633" spans="1:12">
      <c r="A633" t="s">
        <v>2282</v>
      </c>
      <c r="B633" t="s">
        <v>1405</v>
      </c>
      <c r="C633" t="s">
        <v>2303</v>
      </c>
      <c r="D633" t="s">
        <v>2854</v>
      </c>
      <c r="E633" t="s">
        <v>3437</v>
      </c>
      <c r="F633" t="b">
        <v>1</v>
      </c>
      <c r="G633" t="s">
        <v>2947</v>
      </c>
      <c r="H633" t="s">
        <v>2303</v>
      </c>
      <c r="I633" t="s">
        <v>3438</v>
      </c>
      <c r="J633" t="b">
        <v>1</v>
      </c>
      <c r="K633" t="b">
        <f>ISNUMBER(_xlfn.XMATCH(tbldeptemp[[#This Row],[DependencyID]],tblTargets[TargetID]))</f>
        <v>1</v>
      </c>
      <c r="L633" t="str">
        <f>IF(tbldeptemp[[#This Row],[ValidTarget]]=FALSE,"BAD TARGET",IF(tbldeptemp[[#This Row],[ValidDependency]]=FALSE,"BAD DEPENDENCY",""))</f>
        <v/>
      </c>
    </row>
    <row r="634" spans="1:12">
      <c r="A634" t="s">
        <v>2282</v>
      </c>
      <c r="B634" t="s">
        <v>1450</v>
      </c>
      <c r="C634" t="s">
        <v>2366</v>
      </c>
      <c r="D634" t="s">
        <v>2877</v>
      </c>
      <c r="E634" t="s">
        <v>3473</v>
      </c>
      <c r="F634" t="b">
        <v>0</v>
      </c>
      <c r="G634" t="s">
        <v>2947</v>
      </c>
      <c r="H634" t="s">
        <v>2366</v>
      </c>
      <c r="I634" t="s">
        <v>3474</v>
      </c>
      <c r="J634" t="b">
        <v>1</v>
      </c>
      <c r="K634" t="b">
        <f>ISNUMBER(_xlfn.XMATCH(tbldeptemp[[#This Row],[DependencyID]],tblTargets[TargetID]))</f>
        <v>1</v>
      </c>
      <c r="L634" t="str">
        <f>IF(tbldeptemp[[#This Row],[ValidTarget]]=FALSE,"BAD TARGET",IF(tbldeptemp[[#This Row],[ValidDependency]]=FALSE,"BAD DEPENDENCY",""))</f>
        <v/>
      </c>
    </row>
    <row r="635" spans="1:12">
      <c r="A635" t="s">
        <v>2282</v>
      </c>
      <c r="B635" t="s">
        <v>1418</v>
      </c>
      <c r="C635" t="s">
        <v>2345</v>
      </c>
      <c r="D635" t="s">
        <v>2869</v>
      </c>
      <c r="E635" t="s">
        <v>3458</v>
      </c>
      <c r="F635" t="b">
        <v>1</v>
      </c>
      <c r="G635" t="s">
        <v>2947</v>
      </c>
      <c r="H635" t="s">
        <v>2345</v>
      </c>
      <c r="I635" t="s">
        <v>6039</v>
      </c>
      <c r="J635" t="b">
        <v>1</v>
      </c>
      <c r="K635" t="b">
        <f>ISNUMBER(_xlfn.XMATCH(tbldeptemp[[#This Row],[DependencyID]],tblTargets[TargetID]))</f>
        <v>1</v>
      </c>
      <c r="L635" t="str">
        <f>IF(tbldeptemp[[#This Row],[ValidTarget]]=FALSE,"BAD TARGET",IF(tbldeptemp[[#This Row],[ValidDependency]]=FALSE,"BAD DEPENDENCY",""))</f>
        <v/>
      </c>
    </row>
    <row r="636" spans="1:12">
      <c r="A636" t="s">
        <v>2282</v>
      </c>
      <c r="B636" t="s">
        <v>1446</v>
      </c>
      <c r="C636" t="s">
        <v>2354</v>
      </c>
      <c r="D636" t="s">
        <v>2867</v>
      </c>
      <c r="E636" t="s">
        <v>3452</v>
      </c>
      <c r="F636" t="b">
        <v>1</v>
      </c>
      <c r="G636" t="s">
        <v>2947</v>
      </c>
      <c r="H636" t="s">
        <v>2354</v>
      </c>
      <c r="I636" t="s">
        <v>3453</v>
      </c>
      <c r="J636" t="b">
        <v>1</v>
      </c>
      <c r="K636" t="b">
        <f>ISNUMBER(_xlfn.XMATCH(tbldeptemp[[#This Row],[DependencyID]],tblTargets[TargetID]))</f>
        <v>1</v>
      </c>
      <c r="L636" t="str">
        <f>IF(tbldeptemp[[#This Row],[ValidTarget]]=FALSE,"BAD TARGET",IF(tbldeptemp[[#This Row],[ValidDependency]]=FALSE,"BAD DEPENDENCY",""))</f>
        <v/>
      </c>
    </row>
    <row r="637" spans="1:12">
      <c r="A637" t="s">
        <v>2282</v>
      </c>
      <c r="B637" t="s">
        <v>1413</v>
      </c>
      <c r="C637" t="s">
        <v>2330</v>
      </c>
      <c r="D637" t="s">
        <v>2864</v>
      </c>
      <c r="E637" t="s">
        <v>3447</v>
      </c>
      <c r="F637" t="b">
        <v>1</v>
      </c>
      <c r="G637" t="s">
        <v>2947</v>
      </c>
      <c r="H637" t="s">
        <v>2330</v>
      </c>
      <c r="I637" t="s">
        <v>3448</v>
      </c>
      <c r="J637" t="b">
        <v>1</v>
      </c>
      <c r="K637" t="b">
        <f>ISNUMBER(_xlfn.XMATCH(tbldeptemp[[#This Row],[DependencyID]],tblTargets[TargetID]))</f>
        <v>1</v>
      </c>
      <c r="L637" t="str">
        <f>IF(tbldeptemp[[#This Row],[ValidTarget]]=FALSE,"BAD TARGET",IF(tbldeptemp[[#This Row],[ValidDependency]]=FALSE,"BAD DEPENDENCY",""))</f>
        <v/>
      </c>
    </row>
    <row r="638" spans="1:12">
      <c r="A638" t="s">
        <v>2282</v>
      </c>
      <c r="B638" t="s">
        <v>1435</v>
      </c>
      <c r="C638" t="s">
        <v>2417</v>
      </c>
      <c r="D638" t="s">
        <v>2884</v>
      </c>
      <c r="E638" t="s">
        <v>3488</v>
      </c>
      <c r="F638" t="b">
        <v>0</v>
      </c>
      <c r="G638" t="s">
        <v>2947</v>
      </c>
      <c r="H638" t="s">
        <v>2417</v>
      </c>
      <c r="I638" t="s">
        <v>3489</v>
      </c>
      <c r="J638" t="b">
        <v>1</v>
      </c>
      <c r="K638" t="b">
        <f>ISNUMBER(_xlfn.XMATCH(tbldeptemp[[#This Row],[DependencyID]],tblTargets[TargetID]))</f>
        <v>1</v>
      </c>
      <c r="L638" t="str">
        <f>IF(tbldeptemp[[#This Row],[ValidTarget]]=FALSE,"BAD TARGET",IF(tbldeptemp[[#This Row],[ValidDependency]]=FALSE,"BAD DEPENDENCY",""))</f>
        <v/>
      </c>
    </row>
    <row r="639" spans="1:12">
      <c r="A639" t="s">
        <v>2282</v>
      </c>
      <c r="B639" t="s">
        <v>1449</v>
      </c>
      <c r="C639" t="s">
        <v>2363</v>
      </c>
      <c r="D639" t="s">
        <v>2876</v>
      </c>
      <c r="E639" t="s">
        <v>3470</v>
      </c>
      <c r="F639" t="b">
        <v>0</v>
      </c>
      <c r="G639" t="s">
        <v>2947</v>
      </c>
      <c r="H639" t="s">
        <v>2363</v>
      </c>
      <c r="I639" t="s">
        <v>3471</v>
      </c>
      <c r="J639" t="b">
        <v>1</v>
      </c>
      <c r="K639" t="b">
        <f>ISNUMBER(_xlfn.XMATCH(tbldeptemp[[#This Row],[DependencyID]],tblTargets[TargetID]))</f>
        <v>1</v>
      </c>
      <c r="L639" t="str">
        <f>IF(tbldeptemp[[#This Row],[ValidTarget]]=FALSE,"BAD TARGET",IF(tbldeptemp[[#This Row],[ValidDependency]]=FALSE,"BAD DEPENDENCY",""))</f>
        <v/>
      </c>
    </row>
    <row r="640" spans="1:12">
      <c r="A640" t="s">
        <v>2282</v>
      </c>
      <c r="B640" t="s">
        <v>1417</v>
      </c>
      <c r="C640" t="s">
        <v>2342</v>
      </c>
      <c r="D640" t="s">
        <v>2868</v>
      </c>
      <c r="E640" t="s">
        <v>3455</v>
      </c>
      <c r="F640" t="b">
        <v>1</v>
      </c>
      <c r="G640" t="s">
        <v>2947</v>
      </c>
      <c r="H640" t="s">
        <v>2342</v>
      </c>
      <c r="I640" t="s">
        <v>3456</v>
      </c>
      <c r="J640" t="b">
        <v>1</v>
      </c>
      <c r="K640" t="b">
        <f>ISNUMBER(_xlfn.XMATCH(tbldeptemp[[#This Row],[DependencyID]],tblTargets[TargetID]))</f>
        <v>1</v>
      </c>
      <c r="L640" t="str">
        <f>IF(tbldeptemp[[#This Row],[ValidTarget]]=FALSE,"BAD TARGET",IF(tbldeptemp[[#This Row],[ValidDependency]]=FALSE,"BAD DEPENDENCY",""))</f>
        <v/>
      </c>
    </row>
    <row r="641" spans="1:12">
      <c r="A641" t="s">
        <v>2282</v>
      </c>
      <c r="B641" t="s">
        <v>1406</v>
      </c>
      <c r="C641" t="s">
        <v>2306</v>
      </c>
      <c r="D641" t="s">
        <v>2855</v>
      </c>
      <c r="E641" t="s">
        <v>3439</v>
      </c>
      <c r="F641" t="b">
        <v>1</v>
      </c>
      <c r="G641" t="s">
        <v>2947</v>
      </c>
      <c r="H641" t="s">
        <v>2306</v>
      </c>
      <c r="I641" t="s">
        <v>3440</v>
      </c>
      <c r="J641" t="b">
        <v>1</v>
      </c>
      <c r="K641" t="b">
        <f>ISNUMBER(_xlfn.XMATCH(tbldeptemp[[#This Row],[DependencyID]],tblTargets[TargetID]))</f>
        <v>1</v>
      </c>
      <c r="L641" t="str">
        <f>IF(tbldeptemp[[#This Row],[ValidTarget]]=FALSE,"BAD TARGET",IF(tbldeptemp[[#This Row],[ValidDependency]]=FALSE,"BAD DEPENDENCY",""))</f>
        <v/>
      </c>
    </row>
    <row r="642" spans="1:12">
      <c r="A642" t="s">
        <v>2282</v>
      </c>
      <c r="B642" t="s">
        <v>1448</v>
      </c>
      <c r="C642" t="s">
        <v>2360</v>
      </c>
      <c r="D642" t="s">
        <v>2874</v>
      </c>
      <c r="E642" t="s">
        <v>3467</v>
      </c>
      <c r="F642" t="b">
        <v>1</v>
      </c>
      <c r="G642" t="s">
        <v>2947</v>
      </c>
      <c r="H642" t="s">
        <v>2360</v>
      </c>
      <c r="I642" t="s">
        <v>3468</v>
      </c>
      <c r="J642" t="b">
        <v>1</v>
      </c>
      <c r="K642" t="b">
        <f>ISNUMBER(_xlfn.XMATCH(tbldeptemp[[#This Row],[DependencyID]],tblTargets[TargetID]))</f>
        <v>1</v>
      </c>
      <c r="L642" t="str">
        <f>IF(tbldeptemp[[#This Row],[ValidTarget]]=FALSE,"BAD TARGET",IF(tbldeptemp[[#This Row],[ValidDependency]]=FALSE,"BAD DEPENDENCY",""))</f>
        <v/>
      </c>
    </row>
    <row r="643" spans="1:12">
      <c r="A643" t="s">
        <v>2282</v>
      </c>
      <c r="B643" t="s">
        <v>1444</v>
      </c>
      <c r="C643" t="s">
        <v>2444</v>
      </c>
      <c r="D643" t="s">
        <v>2894</v>
      </c>
      <c r="E643" t="s">
        <v>3507</v>
      </c>
      <c r="F643" t="b">
        <v>1</v>
      </c>
      <c r="G643" t="s">
        <v>2947</v>
      </c>
      <c r="H643" t="s">
        <v>2444</v>
      </c>
      <c r="I643" t="s">
        <v>3508</v>
      </c>
      <c r="J643" t="b">
        <v>1</v>
      </c>
      <c r="K643" t="b">
        <f>ISNUMBER(_xlfn.XMATCH(tbldeptemp[[#This Row],[DependencyID]],tblTargets[TargetID]))</f>
        <v>1</v>
      </c>
      <c r="L643" t="str">
        <f>IF(tbldeptemp[[#This Row],[ValidTarget]]=FALSE,"BAD TARGET",IF(tbldeptemp[[#This Row],[ValidDependency]]=FALSE,"BAD DEPENDENCY",""))</f>
        <v/>
      </c>
    </row>
    <row r="644" spans="1:12">
      <c r="A644" t="s">
        <v>2282</v>
      </c>
      <c r="B644" t="s">
        <v>1414</v>
      </c>
      <c r="C644" t="s">
        <v>2333</v>
      </c>
      <c r="D644" t="s">
        <v>2865</v>
      </c>
      <c r="E644" t="s">
        <v>3450</v>
      </c>
      <c r="F644" t="b">
        <v>1</v>
      </c>
      <c r="G644" t="s">
        <v>2947</v>
      </c>
      <c r="H644" t="s">
        <v>2333</v>
      </c>
      <c r="I644" t="s">
        <v>6040</v>
      </c>
      <c r="J644" t="b">
        <v>1</v>
      </c>
      <c r="K644" t="b">
        <f>ISNUMBER(_xlfn.XMATCH(tbldeptemp[[#This Row],[DependencyID]],tblTargets[TargetID]))</f>
        <v>1</v>
      </c>
      <c r="L644" t="str">
        <f>IF(tbldeptemp[[#This Row],[ValidTarget]]=FALSE,"BAD TARGET",IF(tbldeptemp[[#This Row],[ValidDependency]]=FALSE,"BAD DEPENDENCY",""))</f>
        <v/>
      </c>
    </row>
    <row r="645" spans="1:12">
      <c r="A645" t="s">
        <v>2282</v>
      </c>
      <c r="B645" t="s">
        <v>1452</v>
      </c>
      <c r="C645" t="s">
        <v>2372</v>
      </c>
      <c r="D645" t="s">
        <v>2865</v>
      </c>
      <c r="E645" t="s">
        <v>3450</v>
      </c>
      <c r="F645" t="b">
        <v>1</v>
      </c>
      <c r="G645" t="s">
        <v>2947</v>
      </c>
      <c r="H645" t="s">
        <v>2372</v>
      </c>
      <c r="I645" t="s">
        <v>6104</v>
      </c>
      <c r="J645" t="b">
        <v>1</v>
      </c>
      <c r="K645" t="b">
        <f>ISNUMBER(_xlfn.XMATCH(tbldeptemp[[#This Row],[DependencyID]],tblTargets[TargetID]))</f>
        <v>1</v>
      </c>
      <c r="L645" t="str">
        <f>IF(tbldeptemp[[#This Row],[ValidTarget]]=FALSE,"BAD TARGET",IF(tbldeptemp[[#This Row],[ValidDependency]]=FALSE,"BAD DEPENDENCY",""))</f>
        <v/>
      </c>
    </row>
    <row r="646" spans="1:12">
      <c r="A646" t="s">
        <v>2282</v>
      </c>
      <c r="B646" t="s">
        <v>1420</v>
      </c>
      <c r="C646" t="s">
        <v>2351</v>
      </c>
      <c r="D646" t="s">
        <v>2871</v>
      </c>
      <c r="E646" t="s">
        <v>3462</v>
      </c>
      <c r="F646" t="b">
        <v>1</v>
      </c>
      <c r="G646" t="s">
        <v>2947</v>
      </c>
      <c r="H646" t="s">
        <v>2351</v>
      </c>
      <c r="I646" t="s">
        <v>3463</v>
      </c>
      <c r="J646" t="b">
        <v>1</v>
      </c>
      <c r="K646" t="b">
        <f>ISNUMBER(_xlfn.XMATCH(tbldeptemp[[#This Row],[DependencyID]],tblTargets[TargetID]))</f>
        <v>1</v>
      </c>
      <c r="L646" t="str">
        <f>IF(tbldeptemp[[#This Row],[ValidTarget]]=FALSE,"BAD TARGET",IF(tbldeptemp[[#This Row],[ValidDependency]]=FALSE,"BAD DEPENDENCY",""))</f>
        <v/>
      </c>
    </row>
    <row r="647" spans="1:12">
      <c r="A647" t="s">
        <v>2282</v>
      </c>
      <c r="B647" t="s">
        <v>1436</v>
      </c>
      <c r="C647" t="s">
        <v>2420</v>
      </c>
      <c r="D647" t="s">
        <v>2885</v>
      </c>
      <c r="E647" t="s">
        <v>3490</v>
      </c>
      <c r="F647" t="b">
        <v>0</v>
      </c>
      <c r="G647" t="s">
        <v>2947</v>
      </c>
      <c r="H647" t="s">
        <v>2420</v>
      </c>
      <c r="I647" t="s">
        <v>3491</v>
      </c>
      <c r="J647" t="b">
        <v>1</v>
      </c>
      <c r="K647" t="b">
        <f>ISNUMBER(_xlfn.XMATCH(tbldeptemp[[#This Row],[DependencyID]],tblTargets[TargetID]))</f>
        <v>1</v>
      </c>
      <c r="L647" t="str">
        <f>IF(tbldeptemp[[#This Row],[ValidTarget]]=FALSE,"BAD TARGET",IF(tbldeptemp[[#This Row],[ValidDependency]]=FALSE,"BAD DEPENDENCY",""))</f>
        <v/>
      </c>
    </row>
    <row r="648" spans="1:12">
      <c r="A648" t="s">
        <v>2282</v>
      </c>
      <c r="B648" t="s">
        <v>1409</v>
      </c>
      <c r="C648" t="s">
        <v>2318</v>
      </c>
      <c r="D648" t="s">
        <v>2860</v>
      </c>
      <c r="E648" t="s">
        <v>5812</v>
      </c>
      <c r="F648" t="b">
        <v>1</v>
      </c>
      <c r="G648" t="s">
        <v>2947</v>
      </c>
      <c r="H648" t="s">
        <v>2318</v>
      </c>
      <c r="I648" t="s">
        <v>5756</v>
      </c>
      <c r="J648" t="b">
        <v>1</v>
      </c>
      <c r="K648" t="b">
        <f>ISNUMBER(_xlfn.XMATCH(tbldeptemp[[#This Row],[DependencyID]],tblTargets[TargetID]))</f>
        <v>1</v>
      </c>
      <c r="L648" t="str">
        <f>IF(tbldeptemp[[#This Row],[ValidTarget]]=FALSE,"BAD TARGET",IF(tbldeptemp[[#This Row],[ValidDependency]]=FALSE,"BAD DEPENDENCY",""))</f>
        <v/>
      </c>
    </row>
    <row r="649" spans="1:12">
      <c r="A649" t="s">
        <v>2282</v>
      </c>
      <c r="B649" t="s">
        <v>1426</v>
      </c>
      <c r="C649" t="s">
        <v>2390</v>
      </c>
      <c r="D649" t="s">
        <v>2879</v>
      </c>
      <c r="E649" t="s">
        <v>3478</v>
      </c>
      <c r="F649" t="b">
        <v>1</v>
      </c>
      <c r="G649" t="s">
        <v>2947</v>
      </c>
      <c r="H649" t="s">
        <v>2390</v>
      </c>
      <c r="I649" t="s">
        <v>3479</v>
      </c>
      <c r="J649" t="b">
        <v>1</v>
      </c>
      <c r="K649" t="b">
        <f>ISNUMBER(_xlfn.XMATCH(tbldeptemp[[#This Row],[DependencyID]],tblTargets[TargetID]))</f>
        <v>1</v>
      </c>
      <c r="L649" t="str">
        <f>IF(tbldeptemp[[#This Row],[ValidTarget]]=FALSE,"BAD TARGET",IF(tbldeptemp[[#This Row],[ValidDependency]]=FALSE,"BAD DEPENDENCY",""))</f>
        <v/>
      </c>
    </row>
    <row r="650" spans="1:12">
      <c r="A650" t="s">
        <v>2094</v>
      </c>
      <c r="B650" t="s">
        <v>3098</v>
      </c>
      <c r="C650" t="s">
        <v>3554</v>
      </c>
      <c r="D650" t="s">
        <v>2915</v>
      </c>
      <c r="E650" t="s">
        <v>3555</v>
      </c>
      <c r="F650" t="b">
        <v>1</v>
      </c>
      <c r="G650" t="s">
        <v>2947</v>
      </c>
      <c r="H650" t="s">
        <v>2150</v>
      </c>
      <c r="I650" t="s">
        <v>5794</v>
      </c>
      <c r="J650" t="b">
        <v>1</v>
      </c>
      <c r="K650" t="b">
        <f>ISNUMBER(_xlfn.XMATCH(tbldeptemp[[#This Row],[DependencyID]],tblTargets[TargetID]))</f>
        <v>1</v>
      </c>
      <c r="L650" t="str">
        <f>IF(tbldeptemp[[#This Row],[ValidTarget]]=FALSE,"BAD TARGET",IF(tbldeptemp[[#This Row],[ValidDependency]]=FALSE,"BAD DEPENDENCY",""))</f>
        <v/>
      </c>
    </row>
    <row r="651" spans="1:12">
      <c r="A651" t="s">
        <v>2282</v>
      </c>
      <c r="B651" t="s">
        <v>1444</v>
      </c>
      <c r="C651" t="s">
        <v>2444</v>
      </c>
      <c r="D651" t="s">
        <v>2895</v>
      </c>
      <c r="E651" t="s">
        <v>3509</v>
      </c>
      <c r="F651" t="b">
        <v>1</v>
      </c>
      <c r="G651" t="s">
        <v>2947</v>
      </c>
      <c r="H651" t="s">
        <v>2444</v>
      </c>
      <c r="I651" t="s">
        <v>3510</v>
      </c>
      <c r="J651" t="b">
        <v>1</v>
      </c>
      <c r="K651" t="b">
        <f>ISNUMBER(_xlfn.XMATCH(tbldeptemp[[#This Row],[DependencyID]],tblTargets[TargetID]))</f>
        <v>1</v>
      </c>
      <c r="L651" t="str">
        <f>IF(tbldeptemp[[#This Row],[ValidTarget]]=FALSE,"BAD TARGET",IF(tbldeptemp[[#This Row],[ValidDependency]]=FALSE,"BAD DEPENDENCY",""))</f>
        <v/>
      </c>
    </row>
    <row r="652" spans="1:12">
      <c r="A652" t="s">
        <v>2282</v>
      </c>
      <c r="B652" t="s">
        <v>1416</v>
      </c>
      <c r="C652" t="s">
        <v>2339</v>
      </c>
      <c r="D652" t="s">
        <v>2866</v>
      </c>
      <c r="E652" t="s">
        <v>5795</v>
      </c>
      <c r="F652" t="b">
        <v>1</v>
      </c>
      <c r="G652" t="s">
        <v>2947</v>
      </c>
      <c r="H652" t="s">
        <v>2339</v>
      </c>
      <c r="I652" t="s">
        <v>6103</v>
      </c>
      <c r="J652" t="b">
        <v>1</v>
      </c>
      <c r="K652" t="b">
        <f>ISNUMBER(_xlfn.XMATCH(tbldeptemp[[#This Row],[DependencyID]],tblTargets[TargetID]))</f>
        <v>1</v>
      </c>
      <c r="L652" t="str">
        <f>IF(tbldeptemp[[#This Row],[ValidTarget]]=FALSE,"BAD TARGET",IF(tbldeptemp[[#This Row],[ValidDependency]]=FALSE,"BAD DEPENDENCY",""))</f>
        <v/>
      </c>
    </row>
    <row r="653" spans="1:12">
      <c r="A653" t="s">
        <v>2563</v>
      </c>
      <c r="B653" t="s">
        <v>2979</v>
      </c>
      <c r="C653" t="s">
        <v>2570</v>
      </c>
      <c r="D653" t="s">
        <v>2837</v>
      </c>
      <c r="E653" t="s">
        <v>3357</v>
      </c>
      <c r="F653" t="b">
        <v>1</v>
      </c>
      <c r="G653" t="s">
        <v>2947</v>
      </c>
      <c r="H653" t="s">
        <v>2570</v>
      </c>
      <c r="I653" t="s">
        <v>6099</v>
      </c>
      <c r="J653" t="b">
        <v>1</v>
      </c>
      <c r="K653" t="b">
        <f>ISNUMBER(_xlfn.XMATCH(tbldeptemp[[#This Row],[DependencyID]],tblTargets[TargetID]))</f>
        <v>1</v>
      </c>
      <c r="L653" t="str">
        <f>IF(tbldeptemp[[#This Row],[ValidTarget]]=FALSE,"BAD TARGET",IF(tbldeptemp[[#This Row],[ValidDependency]]=FALSE,"BAD DEPENDENCY",""))</f>
        <v/>
      </c>
    </row>
    <row r="654" spans="1:12">
      <c r="A654" t="s">
        <v>2282</v>
      </c>
      <c r="B654" t="s">
        <v>1440</v>
      </c>
      <c r="C654" t="s">
        <v>2432</v>
      </c>
      <c r="D654" t="s">
        <v>2889</v>
      </c>
      <c r="E654" t="s">
        <v>5796</v>
      </c>
      <c r="F654" t="b">
        <v>0</v>
      </c>
      <c r="G654" t="s">
        <v>2947</v>
      </c>
      <c r="H654" t="s">
        <v>2432</v>
      </c>
      <c r="I654" t="s">
        <v>6266</v>
      </c>
      <c r="J654" t="b">
        <v>1</v>
      </c>
      <c r="K654" t="b">
        <f>ISNUMBER(_xlfn.XMATCH(tbldeptemp[[#This Row],[DependencyID]],tblTargets[TargetID]))</f>
        <v>1</v>
      </c>
      <c r="L654" t="str">
        <f>IF(tbldeptemp[[#This Row],[ValidTarget]]=FALSE,"BAD TARGET",IF(tbldeptemp[[#This Row],[ValidDependency]]=FALSE,"BAD DEPENDENCY",""))</f>
        <v/>
      </c>
    </row>
    <row r="655" spans="1:12">
      <c r="A655" t="s">
        <v>2282</v>
      </c>
      <c r="B655" t="s">
        <v>1412</v>
      </c>
      <c r="C655" t="s">
        <v>2327</v>
      </c>
      <c r="D655" t="s">
        <v>2863</v>
      </c>
      <c r="E655" t="s">
        <v>3445</v>
      </c>
      <c r="F655" t="b">
        <v>1</v>
      </c>
      <c r="G655" t="s">
        <v>2947</v>
      </c>
      <c r="H655" t="s">
        <v>2327</v>
      </c>
      <c r="I655" t="s">
        <v>3446</v>
      </c>
      <c r="J655" t="b">
        <v>1</v>
      </c>
      <c r="K655" t="b">
        <f>ISNUMBER(_xlfn.XMATCH(tbldeptemp[[#This Row],[DependencyID]],tblTargets[TargetID]))</f>
        <v>1</v>
      </c>
      <c r="L655" t="str">
        <f>IF(tbldeptemp[[#This Row],[ValidTarget]]=FALSE,"BAD TARGET",IF(tbldeptemp[[#This Row],[ValidDependency]]=FALSE,"BAD DEPENDENCY",""))</f>
        <v/>
      </c>
    </row>
    <row r="656" spans="1:12">
      <c r="A656" t="s">
        <v>2282</v>
      </c>
      <c r="B656" t="s">
        <v>1445</v>
      </c>
      <c r="C656" t="s">
        <v>2447</v>
      </c>
      <c r="D656" t="s">
        <v>2897</v>
      </c>
      <c r="E656" t="s">
        <v>3513</v>
      </c>
      <c r="F656" t="b">
        <v>0</v>
      </c>
      <c r="G656" t="s">
        <v>2947</v>
      </c>
      <c r="H656" t="s">
        <v>2447</v>
      </c>
      <c r="I656" t="s">
        <v>6042</v>
      </c>
      <c r="J656" t="b">
        <v>1</v>
      </c>
      <c r="K656" t="b">
        <f>ISNUMBER(_xlfn.XMATCH(tbldeptemp[[#This Row],[DependencyID]],tblTargets[TargetID]))</f>
        <v>1</v>
      </c>
      <c r="L656" t="str">
        <f>IF(tbldeptemp[[#This Row],[ValidTarget]]=FALSE,"BAD TARGET",IF(tbldeptemp[[#This Row],[ValidDependency]]=FALSE,"BAD DEPENDENCY",""))</f>
        <v/>
      </c>
    </row>
    <row r="657" spans="1:12">
      <c r="A657" t="s">
        <v>2282</v>
      </c>
      <c r="B657" t="s">
        <v>1399</v>
      </c>
      <c r="C657" t="s">
        <v>2285</v>
      </c>
      <c r="D657" t="s">
        <v>2853</v>
      </c>
      <c r="E657" t="s">
        <v>3433</v>
      </c>
      <c r="F657" t="b">
        <v>0</v>
      </c>
      <c r="G657" t="s">
        <v>2947</v>
      </c>
      <c r="H657" t="s">
        <v>2285</v>
      </c>
      <c r="I657" t="s">
        <v>3434</v>
      </c>
      <c r="J657" t="b">
        <v>1</v>
      </c>
      <c r="K657" t="b">
        <f>ISNUMBER(_xlfn.XMATCH(tbldeptemp[[#This Row],[DependencyID]],tblTargets[TargetID]))</f>
        <v>1</v>
      </c>
      <c r="L657" t="str">
        <f>IF(tbldeptemp[[#This Row],[ValidTarget]]=FALSE,"BAD TARGET",IF(tbldeptemp[[#This Row],[ValidDependency]]=FALSE,"BAD DEPENDENCY",""))</f>
        <v/>
      </c>
    </row>
    <row r="658" spans="1:12">
      <c r="A658" t="s">
        <v>2282</v>
      </c>
      <c r="B658" s="24" t="s">
        <v>1447</v>
      </c>
      <c r="C658" s="16" t="s">
        <v>2357</v>
      </c>
      <c r="D658" t="s">
        <v>2872</v>
      </c>
      <c r="E658" t="s">
        <v>3465</v>
      </c>
      <c r="F658" t="b">
        <v>1</v>
      </c>
      <c r="G658" t="s">
        <v>2947</v>
      </c>
      <c r="H658" s="16" t="s">
        <v>2357</v>
      </c>
      <c r="I658" s="16" t="s">
        <v>6105</v>
      </c>
      <c r="J658" t="b">
        <v>1</v>
      </c>
      <c r="K658" t="b">
        <f>ISNUMBER(_xlfn.XMATCH(tbldeptemp[[#This Row],[DependencyID]],tblTargets[TargetID]))</f>
        <v>1</v>
      </c>
      <c r="L658" t="str">
        <f>IF(tbldeptemp[[#This Row],[ValidTarget]]=FALSE,"BAD TARGET",IF(tbldeptemp[[#This Row],[ValidDependency]]=FALSE,"BAD DEPENDENCY",""))</f>
        <v/>
      </c>
    </row>
    <row r="659" spans="1:12">
      <c r="A659" s="16" t="s">
        <v>2094</v>
      </c>
      <c r="B659" s="16" t="s">
        <v>3167</v>
      </c>
      <c r="C659" s="16" t="s">
        <v>3521</v>
      </c>
      <c r="D659" t="s">
        <v>3174</v>
      </c>
      <c r="E659" t="s">
        <v>3522</v>
      </c>
      <c r="F659" t="b">
        <v>1</v>
      </c>
      <c r="G659" t="s">
        <v>2947</v>
      </c>
      <c r="H659" s="16" t="s">
        <v>2122</v>
      </c>
      <c r="I659" s="16" t="s">
        <v>2120</v>
      </c>
      <c r="J659" t="b">
        <v>1</v>
      </c>
      <c r="K659" t="b">
        <f>ISNUMBER(_xlfn.XMATCH(tbldeptemp[[#This Row],[DependencyID]],tblTargets[TargetID]))</f>
        <v>1</v>
      </c>
      <c r="L659" t="str">
        <f>IF(tbldeptemp[[#This Row],[ValidTarget]]=FALSE,"BAD TARGET",IF(tbldeptemp[[#This Row],[ValidDependency]]=FALSE,"BAD DEPENDENCY",""))</f>
        <v/>
      </c>
    </row>
    <row r="660" spans="1:12">
      <c r="A660" s="16" t="s">
        <v>2094</v>
      </c>
      <c r="B660" s="16" t="s">
        <v>3078</v>
      </c>
      <c r="C660" s="16" t="s">
        <v>3526</v>
      </c>
      <c r="D660" t="s">
        <v>2904</v>
      </c>
      <c r="E660" t="s">
        <v>3527</v>
      </c>
      <c r="F660" t="b">
        <v>1</v>
      </c>
      <c r="G660" t="s">
        <v>2947</v>
      </c>
      <c r="H660" s="16" t="s">
        <v>2106</v>
      </c>
      <c r="I660" s="16" t="s">
        <v>2104</v>
      </c>
      <c r="J660" t="b">
        <v>1</v>
      </c>
      <c r="K660" t="b">
        <f>ISNUMBER(_xlfn.XMATCH(tbldeptemp[[#This Row],[DependencyID]],tblTargets[TargetID]))</f>
        <v>1</v>
      </c>
      <c r="L660" t="str">
        <f>IF(tbldeptemp[[#This Row],[ValidTarget]]=FALSE,"BAD TARGET",IF(tbldeptemp[[#This Row],[ValidDependency]]=FALSE,"BAD DEPENDENCY",""))</f>
        <v/>
      </c>
    </row>
    <row r="661" spans="1:12">
      <c r="A661" s="16" t="s">
        <v>2094</v>
      </c>
      <c r="B661" s="16" t="s">
        <v>3080</v>
      </c>
      <c r="C661" s="16" t="s">
        <v>3529</v>
      </c>
      <c r="D661" t="s">
        <v>2904</v>
      </c>
      <c r="E661" t="s">
        <v>3527</v>
      </c>
      <c r="F661" t="b">
        <v>1</v>
      </c>
      <c r="G661" t="s">
        <v>2947</v>
      </c>
      <c r="H661" s="16" t="s">
        <v>2108</v>
      </c>
      <c r="I661" s="16" t="s">
        <v>2104</v>
      </c>
      <c r="J661" t="b">
        <v>1</v>
      </c>
      <c r="K661" t="b">
        <f>ISNUMBER(_xlfn.XMATCH(tbldeptemp[[#This Row],[DependencyID]],tblTargets[TargetID]))</f>
        <v>1</v>
      </c>
      <c r="L661" t="str">
        <f>IF(tbldeptemp[[#This Row],[ValidTarget]]=FALSE,"BAD TARGET",IF(tbldeptemp[[#This Row],[ValidDependency]]=FALSE,"BAD DEPENDENCY",""))</f>
        <v/>
      </c>
    </row>
    <row r="662" spans="1:12">
      <c r="A662" s="16" t="s">
        <v>2094</v>
      </c>
      <c r="B662" s="16" t="s">
        <v>3082</v>
      </c>
      <c r="C662" s="16" t="s">
        <v>3531</v>
      </c>
      <c r="D662" t="s">
        <v>2904</v>
      </c>
      <c r="E662" t="s">
        <v>3527</v>
      </c>
      <c r="F662" t="b">
        <v>1</v>
      </c>
      <c r="G662" t="s">
        <v>2947</v>
      </c>
      <c r="H662" s="16" t="s">
        <v>2126</v>
      </c>
      <c r="I662" s="16" t="s">
        <v>2104</v>
      </c>
      <c r="J662" t="b">
        <v>1</v>
      </c>
      <c r="K662" t="b">
        <f>ISNUMBER(_xlfn.XMATCH(tbldeptemp[[#This Row],[DependencyID]],tblTargets[TargetID]))</f>
        <v>1</v>
      </c>
      <c r="L662" t="str">
        <f>IF(tbldeptemp[[#This Row],[ValidTarget]]=FALSE,"BAD TARGET",IF(tbldeptemp[[#This Row],[ValidDependency]]=FALSE,"BAD DEPENDENCY",""))</f>
        <v/>
      </c>
    </row>
    <row r="663" spans="1:12">
      <c r="A663" s="16" t="s">
        <v>2094</v>
      </c>
      <c r="B663" s="16" t="s">
        <v>3168</v>
      </c>
      <c r="C663" s="16" t="s">
        <v>3532</v>
      </c>
      <c r="D663" t="s">
        <v>3164</v>
      </c>
      <c r="E663" t="s">
        <v>3533</v>
      </c>
      <c r="F663" t="b">
        <v>1</v>
      </c>
      <c r="G663" t="s">
        <v>2947</v>
      </c>
      <c r="H663" s="16" t="s">
        <v>2118</v>
      </c>
      <c r="I663" s="16" t="s">
        <v>2114</v>
      </c>
      <c r="J663" t="b">
        <v>1</v>
      </c>
      <c r="K663" t="b">
        <f>ISNUMBER(_xlfn.XMATCH(tbldeptemp[[#This Row],[DependencyID]],tblTargets[TargetID]))</f>
        <v>1</v>
      </c>
      <c r="L663" t="str">
        <f>IF(tbldeptemp[[#This Row],[ValidTarget]]=FALSE,"BAD TARGET",IF(tbldeptemp[[#This Row],[ValidDependency]]=FALSE,"BAD DEPENDENCY",""))</f>
        <v/>
      </c>
    </row>
    <row r="664" spans="1:12">
      <c r="A664" s="16" t="s">
        <v>2094</v>
      </c>
      <c r="B664" s="16" t="s">
        <v>3085</v>
      </c>
      <c r="C664" s="16" t="s">
        <v>3538</v>
      </c>
      <c r="D664" t="s">
        <v>2908</v>
      </c>
      <c r="E664" t="s">
        <v>3539</v>
      </c>
      <c r="F664" t="b">
        <v>1</v>
      </c>
      <c r="G664" t="s">
        <v>2947</v>
      </c>
      <c r="H664" s="16" t="s">
        <v>2116</v>
      </c>
      <c r="I664" s="16" t="s">
        <v>2110</v>
      </c>
      <c r="J664" t="b">
        <v>1</v>
      </c>
      <c r="K664" t="b">
        <f>ISNUMBER(_xlfn.XMATCH(tbldeptemp[[#This Row],[DependencyID]],tblTargets[TargetID]))</f>
        <v>1</v>
      </c>
      <c r="L664" t="str">
        <f>IF(tbldeptemp[[#This Row],[ValidTarget]]=FALSE,"BAD TARGET",IF(tbldeptemp[[#This Row],[ValidDependency]]=FALSE,"BAD DEPENDENCY",""))</f>
        <v/>
      </c>
    </row>
    <row r="665" spans="1:12">
      <c r="A665" s="16" t="s">
        <v>2094</v>
      </c>
      <c r="B665" s="16" t="s">
        <v>3168</v>
      </c>
      <c r="C665" s="16" t="s">
        <v>3532</v>
      </c>
      <c r="D665" t="s">
        <v>2907</v>
      </c>
      <c r="E665" t="s">
        <v>3534</v>
      </c>
      <c r="F665" t="b">
        <v>1</v>
      </c>
      <c r="G665" t="s">
        <v>2947</v>
      </c>
      <c r="H665" s="16" t="s">
        <v>2118</v>
      </c>
      <c r="I665" s="16" t="s">
        <v>2116</v>
      </c>
      <c r="J665" t="b">
        <v>1</v>
      </c>
      <c r="K665" t="b">
        <f>ISNUMBER(_xlfn.XMATCH(tbldeptemp[[#This Row],[DependencyID]],tblTargets[TargetID]))</f>
        <v>1</v>
      </c>
      <c r="L665" t="str">
        <f>IF(tbldeptemp[[#This Row],[ValidTarget]]=FALSE,"BAD TARGET",IF(tbldeptemp[[#This Row],[ValidDependency]]=FALSE,"BAD DEPENDENCY",""))</f>
        <v/>
      </c>
    </row>
    <row r="666" spans="1:12">
      <c r="A666" s="16" t="s">
        <v>2094</v>
      </c>
      <c r="B666" s="16" t="s">
        <v>6430</v>
      </c>
      <c r="C666" s="16" t="s">
        <v>3519</v>
      </c>
      <c r="D666" t="s">
        <v>2901</v>
      </c>
      <c r="E666" t="s">
        <v>3520</v>
      </c>
      <c r="F666" t="b">
        <v>1</v>
      </c>
      <c r="G666" t="s">
        <v>2947</v>
      </c>
      <c r="H666" s="16" t="s">
        <v>2128</v>
      </c>
      <c r="I666" s="16" t="s">
        <v>2098</v>
      </c>
      <c r="J666" t="b">
        <v>1</v>
      </c>
      <c r="K666" t="b">
        <f>ISNUMBER(_xlfn.XMATCH(tbldeptemp[[#This Row],[DependencyID]],tblTargets[TargetID]))</f>
        <v>1</v>
      </c>
      <c r="L666" t="str">
        <f>IF(tbldeptemp[[#This Row],[ValidTarget]]=FALSE,"BAD TARGET",IF(tbldeptemp[[#This Row],[ValidDependency]]=FALSE,"BAD DEPENDENCY",""))</f>
        <v/>
      </c>
    </row>
    <row r="667" spans="1:12">
      <c r="A667" s="16" t="s">
        <v>2094</v>
      </c>
      <c r="B667" s="16" t="s">
        <v>5566</v>
      </c>
      <c r="C667" s="16" t="str" cm="1">
        <f t="array" ref="C667">_xlfn.SWITCH(tbldeptemp[[#This Row],[OwnerType]],
"BUILDING","building."&amp;tbldeptemp[[#This Row],[OwnerID]],
"TECH","tech."&amp;_xlfn.TEXTBEFORE(tbldeptemp[[#This Row],[OwnerID]],"_")&amp;"."&amp;_xlfn.TEXTAFTER(tbldeptemp[[#This Row],[OwnerID]],"_"),
"QUEST","quest."&amp;tbldeptemp[[#This Row],[OwnerID]]&amp;".accepted",
"CITADEL","citadel."&amp;tbldeptemp[[#This Row],[OwnerID]],
"COLLECTION","collection."&amp;tbldeptemp[[#This Row],[OwnerID]],
"CRAFTIFACT","craftifact."&amp;tbldeptemp[[#This Row],[OwnerID]],
"")</f>
        <v>tech.alchemists.hut.perfect_fertilizer</v>
      </c>
      <c r="D667" t="s">
        <v>5567</v>
      </c>
      <c r="E667"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TECH:advanced_fertilizer</v>
      </c>
      <c r="H667" s="16" t="s">
        <v>3608</v>
      </c>
      <c r="I667" s="16" t="s">
        <v>2128</v>
      </c>
      <c r="J667" t="b">
        <f>COUNTIF(tblTargets[TargetID],tbldeptemp[[#This Row],[TargetID]])&gt;0</f>
        <v>1</v>
      </c>
      <c r="K667" t="b">
        <f>ISNUMBER(_xlfn.XMATCH(tbldeptemp[[#This Row],[DependencyID]],tblTargets[TargetID]))</f>
        <v>1</v>
      </c>
      <c r="L667" t="str">
        <f>IF(tbldeptemp[[#This Row],[ValidTarget]]=FALSE,"BAD TARGET",IF(tbldeptemp[[#This Row],[ValidDependency]]=FALSE,"BAD DEPENDENCY",""))</f>
        <v/>
      </c>
    </row>
    <row r="668" spans="1:12">
      <c r="A668" s="16" t="s">
        <v>2094</v>
      </c>
      <c r="B668" s="16" t="s">
        <v>3089</v>
      </c>
      <c r="C668" s="16" t="s">
        <v>2136</v>
      </c>
      <c r="D668" t="s">
        <v>2909</v>
      </c>
      <c r="E668" t="s">
        <v>3543</v>
      </c>
      <c r="F668" t="b">
        <v>0</v>
      </c>
      <c r="G668" t="s">
        <v>2947</v>
      </c>
      <c r="H668" s="16" t="s">
        <v>2136</v>
      </c>
      <c r="I668" s="16" t="s">
        <v>2134</v>
      </c>
      <c r="J668" t="b">
        <v>1</v>
      </c>
      <c r="K668" t="b">
        <f>ISNUMBER(_xlfn.XMATCH(tbldeptemp[[#This Row],[DependencyID]],tblTargets[TargetID]))</f>
        <v>1</v>
      </c>
      <c r="L668" t="str">
        <f>IF(tbldeptemp[[#This Row],[ValidTarget]]=FALSE,"BAD TARGET",IF(tbldeptemp[[#This Row],[ValidDependency]]=FALSE,"BAD DEPENDENCY",""))</f>
        <v/>
      </c>
    </row>
    <row r="669" spans="1:12">
      <c r="A669" s="16" t="s">
        <v>2563</v>
      </c>
      <c r="B669" s="16" t="s">
        <v>2974</v>
      </c>
      <c r="C669" s="16" t="s">
        <v>2562</v>
      </c>
      <c r="D669" t="s">
        <v>2831</v>
      </c>
      <c r="E669" t="s">
        <v>3352</v>
      </c>
      <c r="F669" t="b">
        <v>1</v>
      </c>
      <c r="G669" t="s">
        <v>2947</v>
      </c>
      <c r="H669" s="16" t="s">
        <v>2562</v>
      </c>
      <c r="I669" s="16" t="s">
        <v>2138</v>
      </c>
      <c r="J669" t="b">
        <v>1</v>
      </c>
      <c r="K669" t="b">
        <f>ISNUMBER(_xlfn.XMATCH(tbldeptemp[[#This Row],[DependencyID]],tblTargets[TargetID]))</f>
        <v>1</v>
      </c>
      <c r="L669" t="str">
        <f>IF(tbldeptemp[[#This Row],[ValidTarget]]=FALSE,"BAD TARGET",IF(tbldeptemp[[#This Row],[ValidDependency]]=FALSE,"BAD DEPENDENCY",""))</f>
        <v/>
      </c>
    </row>
    <row r="670" spans="1:12">
      <c r="A670" s="16" t="s">
        <v>2563</v>
      </c>
      <c r="B670" s="16" t="s">
        <v>1720</v>
      </c>
      <c r="C670" s="16" t="s">
        <v>2564</v>
      </c>
      <c r="D670" t="s">
        <v>2831</v>
      </c>
      <c r="E670" t="s">
        <v>3352</v>
      </c>
      <c r="F670" t="b">
        <v>1</v>
      </c>
      <c r="G670" t="s">
        <v>2947</v>
      </c>
      <c r="H670" s="16" t="s">
        <v>2564</v>
      </c>
      <c r="I670" s="16" t="s">
        <v>2138</v>
      </c>
      <c r="J670" t="b">
        <v>1</v>
      </c>
      <c r="K670" t="b">
        <f>ISNUMBER(_xlfn.XMATCH(tbldeptemp[[#This Row],[DependencyID]],tblTargets[TargetID]))</f>
        <v>1</v>
      </c>
      <c r="L670" t="str">
        <f>IF(tbldeptemp[[#This Row],[ValidTarget]]=FALSE,"BAD TARGET",IF(tbldeptemp[[#This Row],[ValidDependency]]=FALSE,"BAD DEPENDENCY",""))</f>
        <v/>
      </c>
    </row>
    <row r="671" spans="1:12">
      <c r="A671" s="16" t="s">
        <v>2563</v>
      </c>
      <c r="B671" s="16" t="s">
        <v>2975</v>
      </c>
      <c r="C671" s="16" t="s">
        <v>2565</v>
      </c>
      <c r="D671" t="s">
        <v>2831</v>
      </c>
      <c r="E671" t="s">
        <v>3352</v>
      </c>
      <c r="F671" t="b">
        <v>1</v>
      </c>
      <c r="G671" t="s">
        <v>2947</v>
      </c>
      <c r="H671" s="16" t="s">
        <v>2565</v>
      </c>
      <c r="I671" s="16" t="s">
        <v>2138</v>
      </c>
      <c r="J671" t="b">
        <v>1</v>
      </c>
      <c r="K671" t="b">
        <f>ISNUMBER(_xlfn.XMATCH(tbldeptemp[[#This Row],[DependencyID]],tblTargets[TargetID]))</f>
        <v>1</v>
      </c>
      <c r="L671" t="str">
        <f>IF(tbldeptemp[[#This Row],[ValidTarget]]=FALSE,"BAD TARGET",IF(tbldeptemp[[#This Row],[ValidDependency]]=FALSE,"BAD DEPENDENCY",""))</f>
        <v/>
      </c>
    </row>
    <row r="672" spans="1:12">
      <c r="A672" s="16" t="s">
        <v>2563</v>
      </c>
      <c r="B672" s="16" t="s">
        <v>2976</v>
      </c>
      <c r="C672" s="16" t="s">
        <v>2566</v>
      </c>
      <c r="D672" t="s">
        <v>2831</v>
      </c>
      <c r="E672" t="s">
        <v>3352</v>
      </c>
      <c r="F672" t="b">
        <v>1</v>
      </c>
      <c r="G672" t="s">
        <v>2947</v>
      </c>
      <c r="H672" s="16" t="s">
        <v>2566</v>
      </c>
      <c r="I672" s="16" t="s">
        <v>2138</v>
      </c>
      <c r="J672" t="b">
        <v>1</v>
      </c>
      <c r="K672" t="b">
        <f>ISNUMBER(_xlfn.XMATCH(tbldeptemp[[#This Row],[DependencyID]],tblTargets[TargetID]))</f>
        <v>1</v>
      </c>
      <c r="L672" t="str">
        <f>IF(tbldeptemp[[#This Row],[ValidTarget]]=FALSE,"BAD TARGET",IF(tbldeptemp[[#This Row],[ValidDependency]]=FALSE,"BAD DEPENDENCY",""))</f>
        <v/>
      </c>
    </row>
    <row r="673" spans="1:12">
      <c r="A673" s="16" t="s">
        <v>2563</v>
      </c>
      <c r="B673" s="16" t="s">
        <v>2977</v>
      </c>
      <c r="C673" s="16" t="s">
        <v>2567</v>
      </c>
      <c r="D673" t="s">
        <v>2831</v>
      </c>
      <c r="E673" t="s">
        <v>3352</v>
      </c>
      <c r="F673" t="b">
        <v>1</v>
      </c>
      <c r="G673" t="s">
        <v>2947</v>
      </c>
      <c r="H673" s="16" t="s">
        <v>2567</v>
      </c>
      <c r="I673" s="16" t="s">
        <v>2138</v>
      </c>
      <c r="J673" t="b">
        <v>1</v>
      </c>
      <c r="K673" t="b">
        <f>ISNUMBER(_xlfn.XMATCH(tbldeptemp[[#This Row],[DependencyID]],tblTargets[TargetID]))</f>
        <v>1</v>
      </c>
      <c r="L673" t="str">
        <f>IF(tbldeptemp[[#This Row],[ValidTarget]]=FALSE,"BAD TARGET",IF(tbldeptemp[[#This Row],[ValidDependency]]=FALSE,"BAD DEPENDENCY",""))</f>
        <v/>
      </c>
    </row>
    <row r="674" spans="1:12">
      <c r="A674" s="16" t="s">
        <v>2563</v>
      </c>
      <c r="B674" s="16" t="s">
        <v>2978</v>
      </c>
      <c r="C674" s="16" t="s">
        <v>2569</v>
      </c>
      <c r="D674" t="s">
        <v>2831</v>
      </c>
      <c r="E674" t="s">
        <v>3352</v>
      </c>
      <c r="F674" t="b">
        <v>1</v>
      </c>
      <c r="G674" t="s">
        <v>2947</v>
      </c>
      <c r="H674" s="16" t="s">
        <v>2569</v>
      </c>
      <c r="I674" s="16" t="s">
        <v>2138</v>
      </c>
      <c r="J674" t="b">
        <v>1</v>
      </c>
      <c r="K674" t="b">
        <f>ISNUMBER(_xlfn.XMATCH(tbldeptemp[[#This Row],[DependencyID]],tblTargets[TargetID]))</f>
        <v>1</v>
      </c>
      <c r="L674" t="str">
        <f>IF(tbldeptemp[[#This Row],[ValidTarget]]=FALSE,"BAD TARGET",IF(tbldeptemp[[#This Row],[ValidDependency]]=FALSE,"BAD DEPENDENCY",""))</f>
        <v/>
      </c>
    </row>
    <row r="675" spans="1:12">
      <c r="A675" s="16" t="s">
        <v>2563</v>
      </c>
      <c r="B675" s="16" t="s">
        <v>2979</v>
      </c>
      <c r="C675" s="16" t="s">
        <v>2570</v>
      </c>
      <c r="D675" t="s">
        <v>2831</v>
      </c>
      <c r="E675" t="s">
        <v>3352</v>
      </c>
      <c r="F675" t="b">
        <v>1</v>
      </c>
      <c r="G675" t="s">
        <v>2947</v>
      </c>
      <c r="H675" s="16" t="s">
        <v>2570</v>
      </c>
      <c r="I675" s="16" t="s">
        <v>2138</v>
      </c>
      <c r="J675" t="b">
        <v>1</v>
      </c>
      <c r="K675" t="b">
        <f>ISNUMBER(_xlfn.XMATCH(tbldeptemp[[#This Row],[DependencyID]],tblTargets[TargetID]))</f>
        <v>1</v>
      </c>
      <c r="L675" t="str">
        <f>IF(tbldeptemp[[#This Row],[ValidTarget]]=FALSE,"BAD TARGET",IF(tbldeptemp[[#This Row],[ValidDependency]]=FALSE,"BAD DEPENDENCY",""))</f>
        <v/>
      </c>
    </row>
    <row r="676" spans="1:12">
      <c r="A676" s="16" t="s">
        <v>2563</v>
      </c>
      <c r="B676" s="16" t="s">
        <v>1731</v>
      </c>
      <c r="C676" s="16" t="s">
        <v>2572</v>
      </c>
      <c r="D676" t="s">
        <v>2831</v>
      </c>
      <c r="E676" t="s">
        <v>3352</v>
      </c>
      <c r="F676" t="b">
        <v>1</v>
      </c>
      <c r="G676" t="s">
        <v>2947</v>
      </c>
      <c r="H676" s="16" t="s">
        <v>2572</v>
      </c>
      <c r="I676" s="16" t="s">
        <v>2138</v>
      </c>
      <c r="J676" t="b">
        <v>1</v>
      </c>
      <c r="K676" t="b">
        <f>ISNUMBER(_xlfn.XMATCH(tbldeptemp[[#This Row],[DependencyID]],tblTargets[TargetID]))</f>
        <v>1</v>
      </c>
      <c r="L676" t="str">
        <f>IF(tbldeptemp[[#This Row],[ValidTarget]]=FALSE,"BAD TARGET",IF(tbldeptemp[[#This Row],[ValidDependency]]=FALSE,"BAD DEPENDENCY",""))</f>
        <v/>
      </c>
    </row>
    <row r="677" spans="1:12">
      <c r="A677" s="16" t="s">
        <v>2563</v>
      </c>
      <c r="B677" s="16" t="s">
        <v>1732</v>
      </c>
      <c r="C677" s="16" t="s">
        <v>2573</v>
      </c>
      <c r="D677" t="s">
        <v>2838</v>
      </c>
      <c r="E677" t="s">
        <v>3352</v>
      </c>
      <c r="F677" t="b">
        <v>1</v>
      </c>
      <c r="G677" t="s">
        <v>2947</v>
      </c>
      <c r="H677" s="16" t="s">
        <v>2573</v>
      </c>
      <c r="I677" s="16" t="s">
        <v>2138</v>
      </c>
      <c r="J677" t="b">
        <v>1</v>
      </c>
      <c r="K677" t="b">
        <f>ISNUMBER(_xlfn.XMATCH(tbldeptemp[[#This Row],[DependencyID]],tblTargets[TargetID]))</f>
        <v>1</v>
      </c>
      <c r="L677" t="str">
        <f>IF(tbldeptemp[[#This Row],[ValidTarget]]=FALSE,"BAD TARGET",IF(tbldeptemp[[#This Row],[ValidDependency]]=FALSE,"BAD DEPENDENCY",""))</f>
        <v/>
      </c>
    </row>
    <row r="678" spans="1:12">
      <c r="A678" s="16" t="s">
        <v>2563</v>
      </c>
      <c r="B678" s="16" t="s">
        <v>2981</v>
      </c>
      <c r="C678" s="16" t="s">
        <v>2574</v>
      </c>
      <c r="D678" t="s">
        <v>2831</v>
      </c>
      <c r="E678" t="s">
        <v>3352</v>
      </c>
      <c r="F678" t="b">
        <v>1</v>
      </c>
      <c r="G678" t="s">
        <v>2947</v>
      </c>
      <c r="H678" s="16" t="s">
        <v>2574</v>
      </c>
      <c r="I678" s="16" t="s">
        <v>2138</v>
      </c>
      <c r="J678" t="b">
        <v>1</v>
      </c>
      <c r="K678" t="b">
        <f>ISNUMBER(_xlfn.XMATCH(tbldeptemp[[#This Row],[DependencyID]],tblTargets[TargetID]))</f>
        <v>1</v>
      </c>
      <c r="L678" t="str">
        <f>IF(tbldeptemp[[#This Row],[ValidTarget]]=FALSE,"BAD TARGET",IF(tbldeptemp[[#This Row],[ValidDependency]]=FALSE,"BAD DEPENDENCY",""))</f>
        <v/>
      </c>
    </row>
    <row r="679" spans="1:12">
      <c r="A679" s="16" t="s">
        <v>2563</v>
      </c>
      <c r="B679" s="16" t="s">
        <v>1738</v>
      </c>
      <c r="C679" s="16" t="s">
        <v>2575</v>
      </c>
      <c r="D679" t="s">
        <v>2831</v>
      </c>
      <c r="E679" t="s">
        <v>3352</v>
      </c>
      <c r="F679" t="b">
        <v>1</v>
      </c>
      <c r="G679" t="s">
        <v>2947</v>
      </c>
      <c r="H679" s="16" t="s">
        <v>2575</v>
      </c>
      <c r="I679" s="16" t="s">
        <v>2138</v>
      </c>
      <c r="J679" t="b">
        <v>1</v>
      </c>
      <c r="K679" t="b">
        <f>ISNUMBER(_xlfn.XMATCH(tbldeptemp[[#This Row],[DependencyID]],tblTargets[TargetID]))</f>
        <v>1</v>
      </c>
      <c r="L679" t="str">
        <f>IF(tbldeptemp[[#This Row],[ValidTarget]]=FALSE,"BAD TARGET",IF(tbldeptemp[[#This Row],[ValidDependency]]=FALSE,"BAD DEPENDENCY",""))</f>
        <v/>
      </c>
    </row>
    <row r="680" spans="1:12">
      <c r="A680" s="16" t="s">
        <v>2563</v>
      </c>
      <c r="B680" s="16" t="s">
        <v>2982</v>
      </c>
      <c r="C680" s="16" t="s">
        <v>2576</v>
      </c>
      <c r="D680" t="s">
        <v>2831</v>
      </c>
      <c r="E680" t="s">
        <v>3352</v>
      </c>
      <c r="F680" t="b">
        <v>1</v>
      </c>
      <c r="G680" t="s">
        <v>2947</v>
      </c>
      <c r="H680" s="16" t="s">
        <v>2576</v>
      </c>
      <c r="I680" s="16" t="s">
        <v>2138</v>
      </c>
      <c r="J680" t="b">
        <v>1</v>
      </c>
      <c r="K680" t="b">
        <f>ISNUMBER(_xlfn.XMATCH(tbldeptemp[[#This Row],[DependencyID]],tblTargets[TargetID]))</f>
        <v>1</v>
      </c>
      <c r="L680" t="str">
        <f>IF(tbldeptemp[[#This Row],[ValidTarget]]=FALSE,"BAD TARGET",IF(tbldeptemp[[#This Row],[ValidDependency]]=FALSE,"BAD DEPENDENCY",""))</f>
        <v/>
      </c>
    </row>
    <row r="681" spans="1:12">
      <c r="A681" s="16" t="s">
        <v>2094</v>
      </c>
      <c r="B681" s="16" t="s">
        <v>3093</v>
      </c>
      <c r="C681" s="16" t="s">
        <v>2144</v>
      </c>
      <c r="D681" t="s">
        <v>2911</v>
      </c>
      <c r="E681" t="s">
        <v>3547</v>
      </c>
      <c r="F681" t="b">
        <v>1</v>
      </c>
      <c r="G681" t="s">
        <v>2947</v>
      </c>
      <c r="H681" s="16" t="s">
        <v>2144</v>
      </c>
      <c r="I681" s="16" t="s">
        <v>2142</v>
      </c>
      <c r="J681" t="b">
        <v>1</v>
      </c>
      <c r="K681" t="b">
        <f>ISNUMBER(_xlfn.XMATCH(tbldeptemp[[#This Row],[DependencyID]],tblTargets[TargetID]))</f>
        <v>1</v>
      </c>
      <c r="L681" t="str">
        <f>IF(tbldeptemp[[#This Row],[ValidTarget]]=FALSE,"BAD TARGET",IF(tbldeptemp[[#This Row],[ValidDependency]]=FALSE,"BAD DEPENDENCY",""))</f>
        <v/>
      </c>
    </row>
    <row r="682" spans="1:12">
      <c r="A682" s="16" t="s">
        <v>2094</v>
      </c>
      <c r="B682" s="16" t="s">
        <v>3095</v>
      </c>
      <c r="C682" s="16" t="s">
        <v>2146</v>
      </c>
      <c r="D682" t="s">
        <v>2914</v>
      </c>
      <c r="E682" t="s">
        <v>3550</v>
      </c>
      <c r="F682" t="b">
        <v>1</v>
      </c>
      <c r="G682" t="s">
        <v>2947</v>
      </c>
      <c r="H682" s="16" t="s">
        <v>2146</v>
      </c>
      <c r="I682" s="16" t="s">
        <v>2146</v>
      </c>
      <c r="J682" t="b">
        <v>1</v>
      </c>
      <c r="K682" t="b">
        <f>ISNUMBER(_xlfn.XMATCH(tbldeptemp[[#This Row],[DependencyID]],tblTargets[TargetID]))</f>
        <v>1</v>
      </c>
      <c r="L682" t="str">
        <f>IF(tbldeptemp[[#This Row],[ValidTarget]]=FALSE,"BAD TARGET",IF(tbldeptemp[[#This Row],[ValidDependency]]=FALSE,"BAD DEPENDENCY",""))</f>
        <v/>
      </c>
    </row>
    <row r="683" spans="1:12">
      <c r="A683" s="16" t="s">
        <v>2094</v>
      </c>
      <c r="B683" s="16" t="s">
        <v>3075</v>
      </c>
      <c r="C683" s="16" t="s">
        <v>2093</v>
      </c>
      <c r="D683" t="s">
        <v>2898</v>
      </c>
      <c r="E683" t="s">
        <v>3514</v>
      </c>
      <c r="F683" t="b">
        <v>0</v>
      </c>
      <c r="G683" t="s">
        <v>2947</v>
      </c>
      <c r="H683" s="16" t="s">
        <v>2093</v>
      </c>
      <c r="I683" s="16" t="s">
        <v>2164</v>
      </c>
      <c r="J683" t="b">
        <v>1</v>
      </c>
      <c r="K683" t="b">
        <f>ISNUMBER(_xlfn.XMATCH(tbldeptemp[[#This Row],[DependencyID]],tblTargets[TargetID]))</f>
        <v>1</v>
      </c>
      <c r="L683" t="str">
        <f>IF(tbldeptemp[[#This Row],[ValidTarget]]=FALSE,"BAD TARGET",IF(tbldeptemp[[#This Row],[ValidDependency]]=FALSE,"BAD DEPENDENCY",""))</f>
        <v/>
      </c>
    </row>
    <row r="684" spans="1:12">
      <c r="A684" s="16" t="s">
        <v>2094</v>
      </c>
      <c r="B684" s="16" t="s">
        <v>3132</v>
      </c>
      <c r="C684" s="16" t="s">
        <v>2226</v>
      </c>
      <c r="D684" t="s">
        <v>2898</v>
      </c>
      <c r="E684" t="s">
        <v>3514</v>
      </c>
      <c r="F684" t="b">
        <v>0</v>
      </c>
      <c r="G684" t="s">
        <v>2947</v>
      </c>
      <c r="H684" s="16" t="s">
        <v>2226</v>
      </c>
      <c r="I684" s="16" t="s">
        <v>2164</v>
      </c>
      <c r="J684" t="b">
        <v>1</v>
      </c>
      <c r="K684" t="b">
        <f>ISNUMBER(_xlfn.XMATCH(tbldeptemp[[#This Row],[DependencyID]],tblTargets[TargetID]))</f>
        <v>1</v>
      </c>
      <c r="L684" t="str">
        <f>IF(tbldeptemp[[#This Row],[ValidTarget]]=FALSE,"BAD TARGET",IF(tbldeptemp[[#This Row],[ValidDependency]]=FALSE,"BAD DEPENDENCY",""))</f>
        <v/>
      </c>
    </row>
    <row r="685" spans="1:12">
      <c r="A685" s="16" t="s">
        <v>2094</v>
      </c>
      <c r="B685" s="16" t="s">
        <v>3109</v>
      </c>
      <c r="C685" s="16" t="s">
        <v>2176</v>
      </c>
      <c r="D685" t="s">
        <v>3163</v>
      </c>
      <c r="E685" t="s">
        <v>3565</v>
      </c>
      <c r="F685" t="b">
        <v>0</v>
      </c>
      <c r="G685" t="s">
        <v>2947</v>
      </c>
      <c r="H685" s="16" t="s">
        <v>2176</v>
      </c>
      <c r="I685" s="16" t="s">
        <v>2172</v>
      </c>
      <c r="J685" t="b">
        <v>1</v>
      </c>
      <c r="K685" t="b">
        <f>ISNUMBER(_xlfn.XMATCH(tbldeptemp[[#This Row],[DependencyID]],tblTargets[TargetID]))</f>
        <v>1</v>
      </c>
      <c r="L685" t="str">
        <f>IF(tbldeptemp[[#This Row],[ValidTarget]]=FALSE,"BAD TARGET",IF(tbldeptemp[[#This Row],[ValidDependency]]=FALSE,"BAD DEPENDENCY",""))</f>
        <v/>
      </c>
    </row>
    <row r="686" spans="1:12">
      <c r="A686" s="16" t="s">
        <v>2094</v>
      </c>
      <c r="B686" s="16" t="s">
        <v>3111</v>
      </c>
      <c r="C686" s="16" t="s">
        <v>2182</v>
      </c>
      <c r="D686" t="s">
        <v>2921</v>
      </c>
      <c r="E686" t="s">
        <v>3567</v>
      </c>
      <c r="F686" t="b">
        <v>0</v>
      </c>
      <c r="G686" t="s">
        <v>2947</v>
      </c>
      <c r="H686" s="16" t="s">
        <v>2182</v>
      </c>
      <c r="I686" s="16" t="s">
        <v>2180</v>
      </c>
      <c r="J686" t="b">
        <v>1</v>
      </c>
      <c r="K686" t="b">
        <f>ISNUMBER(_xlfn.XMATCH(tbldeptemp[[#This Row],[DependencyID]],tblTargets[TargetID]))</f>
        <v>1</v>
      </c>
      <c r="L686" t="str">
        <f>IF(tbldeptemp[[#This Row],[ValidTarget]]=FALSE,"BAD TARGET",IF(tbldeptemp[[#This Row],[ValidDependency]]=FALSE,"BAD DEPENDENCY",""))</f>
        <v/>
      </c>
    </row>
    <row r="687" spans="1:12">
      <c r="A687" s="16" t="s">
        <v>2094</v>
      </c>
      <c r="B687" s="16" t="s">
        <v>3112</v>
      </c>
      <c r="C687" s="16" t="s">
        <v>2186</v>
      </c>
      <c r="D687" t="s">
        <v>2922</v>
      </c>
      <c r="E687" t="s">
        <v>3568</v>
      </c>
      <c r="F687" t="b">
        <v>0</v>
      </c>
      <c r="G687" t="s">
        <v>2947</v>
      </c>
      <c r="H687" s="16" t="s">
        <v>2186</v>
      </c>
      <c r="I687" s="16" t="s">
        <v>2184</v>
      </c>
      <c r="J687" t="b">
        <v>1</v>
      </c>
      <c r="K687" t="b">
        <f>ISNUMBER(_xlfn.XMATCH(tbldeptemp[[#This Row],[DependencyID]],tblTargets[TargetID]))</f>
        <v>1</v>
      </c>
      <c r="L687" t="str">
        <f>IF(tbldeptemp[[#This Row],[ValidTarget]]=FALSE,"BAD TARGET",IF(tbldeptemp[[#This Row],[ValidDependency]]=FALSE,"BAD DEPENDENCY",""))</f>
        <v/>
      </c>
    </row>
    <row r="688" spans="1:12">
      <c r="A688" s="16" t="s">
        <v>2094</v>
      </c>
      <c r="B688" s="16" t="s">
        <v>3121</v>
      </c>
      <c r="C688" s="16" t="s">
        <v>2200</v>
      </c>
      <c r="D688" t="s">
        <v>2924</v>
      </c>
      <c r="E688" t="s">
        <v>3572</v>
      </c>
      <c r="F688" t="b">
        <v>1</v>
      </c>
      <c r="G688" t="s">
        <v>2947</v>
      </c>
      <c r="H688" s="16" t="s">
        <v>2200</v>
      </c>
      <c r="I688" s="16" t="s">
        <v>2198</v>
      </c>
      <c r="J688" t="b">
        <v>1</v>
      </c>
      <c r="K688" t="b">
        <f>ISNUMBER(_xlfn.XMATCH(tbldeptemp[[#This Row],[DependencyID]],tblTargets[TargetID]))</f>
        <v>1</v>
      </c>
      <c r="L688" t="str">
        <f>IF(tbldeptemp[[#This Row],[ValidTarget]]=FALSE,"BAD TARGET",IF(tbldeptemp[[#This Row],[ValidDependency]]=FALSE,"BAD DEPENDENCY",""))</f>
        <v/>
      </c>
    </row>
    <row r="689" spans="1:12">
      <c r="A689" s="16" t="s">
        <v>2094</v>
      </c>
      <c r="B689" s="16" t="s">
        <v>3127</v>
      </c>
      <c r="C689" s="16" t="s">
        <v>2208</v>
      </c>
      <c r="D689" t="s">
        <v>2924</v>
      </c>
      <c r="E689" t="s">
        <v>3572</v>
      </c>
      <c r="F689" t="b">
        <v>1</v>
      </c>
      <c r="G689" t="s">
        <v>2947</v>
      </c>
      <c r="H689" s="16" t="s">
        <v>2208</v>
      </c>
      <c r="I689" s="16" t="s">
        <v>2198</v>
      </c>
      <c r="J689" t="b">
        <v>1</v>
      </c>
      <c r="K689" t="b">
        <f>ISNUMBER(_xlfn.XMATCH(tbldeptemp[[#This Row],[DependencyID]],tblTargets[TargetID]))</f>
        <v>1</v>
      </c>
      <c r="L689" t="str">
        <f>IF(tbldeptemp[[#This Row],[ValidTarget]]=FALSE,"BAD TARGET",IF(tbldeptemp[[#This Row],[ValidDependency]]=FALSE,"BAD DEPENDENCY",""))</f>
        <v/>
      </c>
    </row>
    <row r="690" spans="1:12">
      <c r="A690" s="16" t="s">
        <v>2094</v>
      </c>
      <c r="B690" s="16" t="s">
        <v>3122</v>
      </c>
      <c r="C690" s="16" t="s">
        <v>2202</v>
      </c>
      <c r="D690" t="s">
        <v>2925</v>
      </c>
      <c r="E690" t="s">
        <v>3573</v>
      </c>
      <c r="F690" t="b">
        <v>1</v>
      </c>
      <c r="G690" t="s">
        <v>2947</v>
      </c>
      <c r="H690" s="16" t="s">
        <v>2202</v>
      </c>
      <c r="I690" s="16" t="s">
        <v>2200</v>
      </c>
      <c r="J690" t="b">
        <v>1</v>
      </c>
      <c r="K690" t="b">
        <f>ISNUMBER(_xlfn.XMATCH(tbldeptemp[[#This Row],[DependencyID]],tblTargets[TargetID]))</f>
        <v>1</v>
      </c>
      <c r="L690" t="str">
        <f>IF(tbldeptemp[[#This Row],[ValidTarget]]=FALSE,"BAD TARGET",IF(tbldeptemp[[#This Row],[ValidDependency]]=FALSE,"BAD DEPENDENCY",""))</f>
        <v/>
      </c>
    </row>
    <row r="691" spans="1:12">
      <c r="A691" s="16" t="s">
        <v>2094</v>
      </c>
      <c r="B691" s="16" t="s">
        <v>3123</v>
      </c>
      <c r="C691" s="16" t="s">
        <v>2204</v>
      </c>
      <c r="D691" t="s">
        <v>2926</v>
      </c>
      <c r="E691" t="s">
        <v>3574</v>
      </c>
      <c r="F691" t="b">
        <v>1</v>
      </c>
      <c r="G691" t="s">
        <v>2947</v>
      </c>
      <c r="H691" s="16" t="s">
        <v>2204</v>
      </c>
      <c r="I691" s="16" t="s">
        <v>2202</v>
      </c>
      <c r="J691" t="b">
        <v>1</v>
      </c>
      <c r="K691" t="b">
        <f>ISNUMBER(_xlfn.XMATCH(tbldeptemp[[#This Row],[DependencyID]],tblTargets[TargetID]))</f>
        <v>1</v>
      </c>
      <c r="L691" t="str">
        <f>IF(tbldeptemp[[#This Row],[ValidTarget]]=FALSE,"BAD TARGET",IF(tbldeptemp[[#This Row],[ValidDependency]]=FALSE,"BAD DEPENDENCY",""))</f>
        <v/>
      </c>
    </row>
    <row r="692" spans="1:12">
      <c r="A692" s="16" t="s">
        <v>2282</v>
      </c>
      <c r="B692" s="16" t="s">
        <v>1435</v>
      </c>
      <c r="C692" s="16" t="s">
        <v>2417</v>
      </c>
      <c r="D692" t="s">
        <v>2881</v>
      </c>
      <c r="E692" t="s">
        <v>3485</v>
      </c>
      <c r="F692" t="b">
        <v>1</v>
      </c>
      <c r="G692" t="s">
        <v>2947</v>
      </c>
      <c r="H692" s="16" t="s">
        <v>2417</v>
      </c>
      <c r="I692" s="16" t="s">
        <v>2204</v>
      </c>
      <c r="J692" t="b">
        <v>1</v>
      </c>
      <c r="K692" t="b">
        <f>ISNUMBER(_xlfn.XMATCH(tbldeptemp[[#This Row],[DependencyID]],tblTargets[TargetID]))</f>
        <v>1</v>
      </c>
      <c r="L692" t="str">
        <f>IF(tbldeptemp[[#This Row],[ValidTarget]]=FALSE,"BAD TARGET",IF(tbldeptemp[[#This Row],[ValidDependency]]=FALSE,"BAD DEPENDENCY",""))</f>
        <v/>
      </c>
    </row>
    <row r="693" spans="1:12">
      <c r="A693" s="16" t="s">
        <v>2094</v>
      </c>
      <c r="B693" s="16" t="s">
        <v>3124</v>
      </c>
      <c r="C693" s="16" t="s">
        <v>2206</v>
      </c>
      <c r="D693" t="s">
        <v>2881</v>
      </c>
      <c r="E693" t="s">
        <v>3485</v>
      </c>
      <c r="F693" t="b">
        <v>1</v>
      </c>
      <c r="G693" t="s">
        <v>2947</v>
      </c>
      <c r="H693" s="16" t="s">
        <v>2206</v>
      </c>
      <c r="I693" s="16" t="s">
        <v>2204</v>
      </c>
      <c r="J693" t="b">
        <v>1</v>
      </c>
      <c r="K693" t="b">
        <f>ISNUMBER(_xlfn.XMATCH(tbldeptemp[[#This Row],[DependencyID]],tblTargets[TargetID]))</f>
        <v>1</v>
      </c>
      <c r="L693" t="str">
        <f>IF(tbldeptemp[[#This Row],[ValidTarget]]=FALSE,"BAD TARGET",IF(tbldeptemp[[#This Row],[ValidDependency]]=FALSE,"BAD DEPENDENCY",""))</f>
        <v/>
      </c>
    </row>
    <row r="694" spans="1:12">
      <c r="A694" s="16" t="s">
        <v>2094</v>
      </c>
      <c r="B694" s="16" t="s">
        <v>3130</v>
      </c>
      <c r="C694" s="16" t="s">
        <v>2222</v>
      </c>
      <c r="D694" t="s">
        <v>2929</v>
      </c>
      <c r="E694" t="s">
        <v>3576</v>
      </c>
      <c r="F694" t="b">
        <v>1</v>
      </c>
      <c r="G694" t="s">
        <v>2947</v>
      </c>
      <c r="H694" s="16" t="s">
        <v>2222</v>
      </c>
      <c r="I694" s="16" t="s">
        <v>2220</v>
      </c>
      <c r="J694" t="b">
        <v>1</v>
      </c>
      <c r="K694" t="b">
        <f>ISNUMBER(_xlfn.XMATCH(tbldeptemp[[#This Row],[DependencyID]],tblTargets[TargetID]))</f>
        <v>1</v>
      </c>
      <c r="L694" t="str">
        <f>IF(tbldeptemp[[#This Row],[ValidTarget]]=FALSE,"BAD TARGET",IF(tbldeptemp[[#This Row],[ValidDependency]]=FALSE,"BAD DEPENDENCY",""))</f>
        <v/>
      </c>
    </row>
    <row r="695" spans="1:12">
      <c r="A695" s="16" t="s">
        <v>2094</v>
      </c>
      <c r="B695" s="16" t="s">
        <v>3137</v>
      </c>
      <c r="C695" s="16" t="s">
        <v>2232</v>
      </c>
      <c r="D695" t="s">
        <v>2929</v>
      </c>
      <c r="E695" t="s">
        <v>3576</v>
      </c>
      <c r="F695" t="b">
        <v>1</v>
      </c>
      <c r="G695" t="s">
        <v>2947</v>
      </c>
      <c r="H695" s="16" t="s">
        <v>2232</v>
      </c>
      <c r="I695" s="16" t="s">
        <v>2220</v>
      </c>
      <c r="J695" t="b">
        <v>1</v>
      </c>
      <c r="K695" t="b">
        <f>ISNUMBER(_xlfn.XMATCH(tbldeptemp[[#This Row],[DependencyID]],tblTargets[TargetID]))</f>
        <v>1</v>
      </c>
      <c r="L695" t="str">
        <f>IF(tbldeptemp[[#This Row],[ValidTarget]]=FALSE,"BAD TARGET",IF(tbldeptemp[[#This Row],[ValidDependency]]=FALSE,"BAD DEPENDENCY",""))</f>
        <v/>
      </c>
    </row>
    <row r="696" spans="1:12">
      <c r="A696" s="16" t="s">
        <v>2094</v>
      </c>
      <c r="B696" s="16" t="s">
        <v>3131</v>
      </c>
      <c r="C696" s="16" t="s">
        <v>2224</v>
      </c>
      <c r="D696" t="s">
        <v>2930</v>
      </c>
      <c r="E696" t="s">
        <v>3577</v>
      </c>
      <c r="F696" t="b">
        <v>1</v>
      </c>
      <c r="G696" t="s">
        <v>2947</v>
      </c>
      <c r="H696" s="16" t="s">
        <v>2224</v>
      </c>
      <c r="I696" s="16" t="s">
        <v>2222</v>
      </c>
      <c r="J696" t="b">
        <v>1</v>
      </c>
      <c r="K696" t="b">
        <f>ISNUMBER(_xlfn.XMATCH(tbldeptemp[[#This Row],[DependencyID]],tblTargets[TargetID]))</f>
        <v>1</v>
      </c>
      <c r="L696" t="str">
        <f>IF(tbldeptemp[[#This Row],[ValidTarget]]=FALSE,"BAD TARGET",IF(tbldeptemp[[#This Row],[ValidDependency]]=FALSE,"BAD DEPENDENCY",""))</f>
        <v/>
      </c>
    </row>
    <row r="697" spans="1:12">
      <c r="A697" s="16" t="s">
        <v>2282</v>
      </c>
      <c r="B697" s="16" t="s">
        <v>1435</v>
      </c>
      <c r="C697" s="16" t="s">
        <v>2417</v>
      </c>
      <c r="D697" t="s">
        <v>2883</v>
      </c>
      <c r="E697" t="s">
        <v>3487</v>
      </c>
      <c r="F697" t="b">
        <v>0</v>
      </c>
      <c r="G697" t="s">
        <v>2947</v>
      </c>
      <c r="H697" s="16" t="s">
        <v>2417</v>
      </c>
      <c r="I697" s="16" t="s">
        <v>2226</v>
      </c>
      <c r="J697" t="b">
        <v>1</v>
      </c>
      <c r="K697" t="b">
        <f>ISNUMBER(_xlfn.XMATCH(tbldeptemp[[#This Row],[DependencyID]],tblTargets[TargetID]))</f>
        <v>1</v>
      </c>
      <c r="L697" t="str">
        <f>IF(tbldeptemp[[#This Row],[ValidTarget]]=FALSE,"BAD TARGET",IF(tbldeptemp[[#This Row],[ValidDependency]]=FALSE,"BAD DEPENDENCY",""))</f>
        <v/>
      </c>
    </row>
    <row r="698" spans="1:12">
      <c r="A698" s="16" t="s">
        <v>2094</v>
      </c>
      <c r="B698" s="16" t="s">
        <v>3133</v>
      </c>
      <c r="C698" s="16" t="s">
        <v>2228</v>
      </c>
      <c r="D698" t="s">
        <v>2883</v>
      </c>
      <c r="E698" t="s">
        <v>3487</v>
      </c>
      <c r="F698" t="b">
        <v>0</v>
      </c>
      <c r="G698" t="s">
        <v>2947</v>
      </c>
      <c r="H698" s="16" t="s">
        <v>2228</v>
      </c>
      <c r="I698" s="16" t="s">
        <v>2226</v>
      </c>
      <c r="J698" t="b">
        <v>1</v>
      </c>
      <c r="K698" t="b">
        <f>ISNUMBER(_xlfn.XMATCH(tbldeptemp[[#This Row],[DependencyID]],tblTargets[TargetID]))</f>
        <v>1</v>
      </c>
      <c r="L698" t="str">
        <f>IF(tbldeptemp[[#This Row],[ValidTarget]]=FALSE,"BAD TARGET",IF(tbldeptemp[[#This Row],[ValidDependency]]=FALSE,"BAD DEPENDENCY",""))</f>
        <v/>
      </c>
    </row>
    <row r="699" spans="1:12">
      <c r="A699" s="16" t="s">
        <v>2094</v>
      </c>
      <c r="B699" s="16" t="s">
        <v>3132</v>
      </c>
      <c r="C699" s="16" t="s">
        <v>2226</v>
      </c>
      <c r="D699" t="s">
        <v>2931</v>
      </c>
      <c r="E699" t="s">
        <v>3578</v>
      </c>
      <c r="F699" t="b">
        <v>1</v>
      </c>
      <c r="G699" t="s">
        <v>2947</v>
      </c>
      <c r="H699" s="16" t="s">
        <v>2226</v>
      </c>
      <c r="I699" s="16" t="s">
        <v>2218</v>
      </c>
      <c r="J699" t="b">
        <v>1</v>
      </c>
      <c r="K699" t="b">
        <f>ISNUMBER(_xlfn.XMATCH(tbldeptemp[[#This Row],[DependencyID]],tblTargets[TargetID]))</f>
        <v>1</v>
      </c>
      <c r="L699" t="str">
        <f>IF(tbldeptemp[[#This Row],[ValidTarget]]=FALSE,"BAD TARGET",IF(tbldeptemp[[#This Row],[ValidDependency]]=FALSE,"BAD DEPENDENCY",""))</f>
        <v/>
      </c>
    </row>
    <row r="700" spans="1:12">
      <c r="A700" s="16" t="s">
        <v>2094</v>
      </c>
      <c r="B700" s="16" t="s">
        <v>3145</v>
      </c>
      <c r="C700" s="16" t="s">
        <v>2248</v>
      </c>
      <c r="D700" t="s">
        <v>2936</v>
      </c>
      <c r="E700" t="s">
        <v>3583</v>
      </c>
      <c r="F700" t="b">
        <v>1</v>
      </c>
      <c r="G700" t="s">
        <v>2947</v>
      </c>
      <c r="H700" s="16" t="s">
        <v>2248</v>
      </c>
      <c r="I700" s="16" t="s">
        <v>2246</v>
      </c>
      <c r="J700" t="b">
        <v>1</v>
      </c>
      <c r="K700" t="b">
        <f>ISNUMBER(_xlfn.XMATCH(tbldeptemp[[#This Row],[DependencyID]],tblTargets[TargetID]))</f>
        <v>1</v>
      </c>
      <c r="L700" t="str">
        <f>IF(tbldeptemp[[#This Row],[ValidTarget]]=FALSE,"BAD TARGET",IF(tbldeptemp[[#This Row],[ValidDependency]]=FALSE,"BAD DEPENDENCY",""))</f>
        <v/>
      </c>
    </row>
    <row r="701" spans="1:12">
      <c r="A701" s="16" t="s">
        <v>2094</v>
      </c>
      <c r="B701" s="16" t="s">
        <v>3146</v>
      </c>
      <c r="C701" s="16" t="s">
        <v>2250</v>
      </c>
      <c r="D701" t="s">
        <v>2937</v>
      </c>
      <c r="E701" t="s">
        <v>3584</v>
      </c>
      <c r="F701" t="b">
        <v>1</v>
      </c>
      <c r="G701" t="s">
        <v>2947</v>
      </c>
      <c r="H701" s="16" t="s">
        <v>2250</v>
      </c>
      <c r="I701" s="16" t="s">
        <v>2248</v>
      </c>
      <c r="J701" t="b">
        <v>1</v>
      </c>
      <c r="K701" t="b">
        <f>ISNUMBER(_xlfn.XMATCH(tbldeptemp[[#This Row],[DependencyID]],tblTargets[TargetID]))</f>
        <v>1</v>
      </c>
      <c r="L701" t="str">
        <f>IF(tbldeptemp[[#This Row],[ValidTarget]]=FALSE,"BAD TARGET",IF(tbldeptemp[[#This Row],[ValidDependency]]=FALSE,"BAD DEPENDENCY",""))</f>
        <v/>
      </c>
    </row>
    <row r="702" spans="1:12">
      <c r="A702" s="16" t="s">
        <v>2094</v>
      </c>
      <c r="B702" s="16" t="s">
        <v>3172</v>
      </c>
      <c r="C702" s="16" t="s">
        <v>2278</v>
      </c>
      <c r="D702" t="s">
        <v>3173</v>
      </c>
      <c r="E702" t="s">
        <v>3590</v>
      </c>
      <c r="F702" t="b">
        <v>0</v>
      </c>
      <c r="G702" t="s">
        <v>2947</v>
      </c>
      <c r="H702" s="16" t="s">
        <v>2278</v>
      </c>
      <c r="I702" s="16" t="s">
        <v>2276</v>
      </c>
      <c r="J702" t="b">
        <v>1</v>
      </c>
      <c r="K702" t="b">
        <f>ISNUMBER(_xlfn.XMATCH(tbldeptemp[[#This Row],[DependencyID]],tblTargets[TargetID]))</f>
        <v>1</v>
      </c>
      <c r="L702" t="str">
        <f>IF(tbldeptemp[[#This Row],[ValidTarget]]=FALSE,"BAD TARGET",IF(tbldeptemp[[#This Row],[ValidDependency]]=FALSE,"BAD DEPENDENCY",""))</f>
        <v/>
      </c>
    </row>
    <row r="703" spans="1:12">
      <c r="A703" s="16" t="s">
        <v>2094</v>
      </c>
      <c r="B703" s="16" t="s">
        <v>3147</v>
      </c>
      <c r="C703" s="16" t="s">
        <v>2270</v>
      </c>
      <c r="D703" t="s">
        <v>2938</v>
      </c>
      <c r="E703" t="s">
        <v>3585</v>
      </c>
      <c r="F703" t="b">
        <v>1</v>
      </c>
      <c r="G703" t="s">
        <v>2947</v>
      </c>
      <c r="H703" s="16" t="s">
        <v>2270</v>
      </c>
      <c r="I703" s="16" t="s">
        <v>2268</v>
      </c>
      <c r="J703" t="b">
        <v>1</v>
      </c>
      <c r="K703" t="b">
        <f>ISNUMBER(_xlfn.XMATCH(tbldeptemp[[#This Row],[DependencyID]],tblTargets[TargetID]))</f>
        <v>1</v>
      </c>
      <c r="L703" t="str">
        <f>IF(tbldeptemp[[#This Row],[ValidTarget]]=FALSE,"BAD TARGET",IF(tbldeptemp[[#This Row],[ValidDependency]]=FALSE,"BAD DEPENDENCY",""))</f>
        <v/>
      </c>
    </row>
    <row r="704" spans="1:12">
      <c r="A704" s="16" t="s">
        <v>2094</v>
      </c>
      <c r="B704" s="16" t="s">
        <v>3094</v>
      </c>
      <c r="C704" s="16" t="s">
        <v>2142</v>
      </c>
      <c r="D704" t="s">
        <v>2913</v>
      </c>
      <c r="E704" t="s">
        <v>3549</v>
      </c>
      <c r="F704" t="b">
        <v>1</v>
      </c>
      <c r="G704" t="s">
        <v>2947</v>
      </c>
      <c r="H704" s="16" t="s">
        <v>2142</v>
      </c>
      <c r="I704" s="16" t="s">
        <v>2266</v>
      </c>
      <c r="J704" t="b">
        <v>1</v>
      </c>
      <c r="K704" t="b">
        <f>ISNUMBER(_xlfn.XMATCH(tbldeptemp[[#This Row],[DependencyID]],tblTargets[TargetID]))</f>
        <v>1</v>
      </c>
      <c r="L704" t="str">
        <f>IF(tbldeptemp[[#This Row],[ValidTarget]]=FALSE,"BAD TARGET",IF(tbldeptemp[[#This Row],[ValidDependency]]=FALSE,"BAD DEPENDENCY",""))</f>
        <v/>
      </c>
    </row>
    <row r="705" spans="1:12">
      <c r="A705" s="16" t="s">
        <v>2094</v>
      </c>
      <c r="B705" s="16" t="s">
        <v>3148</v>
      </c>
      <c r="C705" s="16" t="s">
        <v>2268</v>
      </c>
      <c r="D705" t="s">
        <v>2913</v>
      </c>
      <c r="E705" t="s">
        <v>3549</v>
      </c>
      <c r="F705" t="b">
        <v>1</v>
      </c>
      <c r="G705" t="s">
        <v>2947</v>
      </c>
      <c r="H705" s="16" t="s">
        <v>2268</v>
      </c>
      <c r="I705" s="16" t="s">
        <v>2266</v>
      </c>
      <c r="J705" t="b">
        <v>1</v>
      </c>
      <c r="K705" t="b">
        <f>ISNUMBER(_xlfn.XMATCH(tbldeptemp[[#This Row],[DependencyID]],tblTargets[TargetID]))</f>
        <v>1</v>
      </c>
      <c r="L705" t="str">
        <f>IF(tbldeptemp[[#This Row],[ValidTarget]]=FALSE,"BAD TARGET",IF(tbldeptemp[[#This Row],[ValidDependency]]=FALSE,"BAD DEPENDENCY",""))</f>
        <v/>
      </c>
    </row>
    <row r="706" spans="1:12">
      <c r="A706" s="16" t="s">
        <v>2094</v>
      </c>
      <c r="B706" s="16" t="s">
        <v>3155</v>
      </c>
      <c r="C706" s="16" t="s">
        <v>2272</v>
      </c>
      <c r="D706" t="s">
        <v>2913</v>
      </c>
      <c r="E706" t="s">
        <v>3549</v>
      </c>
      <c r="F706" t="b">
        <v>1</v>
      </c>
      <c r="G706" t="s">
        <v>2947</v>
      </c>
      <c r="H706" s="16" t="s">
        <v>2272</v>
      </c>
      <c r="I706" s="16" t="s">
        <v>2266</v>
      </c>
      <c r="J706" t="b">
        <v>1</v>
      </c>
      <c r="K706" t="b">
        <f>ISNUMBER(_xlfn.XMATCH(tbldeptemp[[#This Row],[DependencyID]],tblTargets[TargetID]))</f>
        <v>1</v>
      </c>
      <c r="L706" t="str">
        <f>IF(tbldeptemp[[#This Row],[ValidTarget]]=FALSE,"BAD TARGET",IF(tbldeptemp[[#This Row],[ValidDependency]]=FALSE,"BAD DEPENDENCY",""))</f>
        <v/>
      </c>
    </row>
    <row r="707" spans="1:12">
      <c r="A707" s="16" t="s">
        <v>2094</v>
      </c>
      <c r="B707" s="16" t="s">
        <v>3151</v>
      </c>
      <c r="C707" s="16" t="s">
        <v>2256</v>
      </c>
      <c r="D707" t="s">
        <v>2939</v>
      </c>
      <c r="E707" t="s">
        <v>3586</v>
      </c>
      <c r="F707" t="b">
        <v>1</v>
      </c>
      <c r="G707" t="s">
        <v>2947</v>
      </c>
      <c r="H707" s="16" t="s">
        <v>2256</v>
      </c>
      <c r="I707" s="16" t="s">
        <v>2254</v>
      </c>
      <c r="J707" t="b">
        <v>1</v>
      </c>
      <c r="K707" t="b">
        <f>ISNUMBER(_xlfn.XMATCH(tbldeptemp[[#This Row],[DependencyID]],tblTargets[TargetID]))</f>
        <v>1</v>
      </c>
      <c r="L707" t="str">
        <f>IF(tbldeptemp[[#This Row],[ValidTarget]]=FALSE,"BAD TARGET",IF(tbldeptemp[[#This Row],[ValidDependency]]=FALSE,"BAD DEPENDENCY",""))</f>
        <v/>
      </c>
    </row>
    <row r="708" spans="1:12">
      <c r="A708" s="16" t="s">
        <v>2094</v>
      </c>
      <c r="B708" s="16" t="s">
        <v>3156</v>
      </c>
      <c r="C708" s="16" t="s">
        <v>2264</v>
      </c>
      <c r="D708" t="s">
        <v>2939</v>
      </c>
      <c r="E708" t="s">
        <v>3586</v>
      </c>
      <c r="F708" t="b">
        <v>1</v>
      </c>
      <c r="G708" t="s">
        <v>2947</v>
      </c>
      <c r="H708" s="16" t="s">
        <v>2264</v>
      </c>
      <c r="I708" s="16" t="s">
        <v>2254</v>
      </c>
      <c r="J708" t="b">
        <v>1</v>
      </c>
      <c r="K708" t="b">
        <f>ISNUMBER(_xlfn.XMATCH(tbldeptemp[[#This Row],[DependencyID]],tblTargets[TargetID]))</f>
        <v>1</v>
      </c>
      <c r="L708" t="str">
        <f>IF(tbldeptemp[[#This Row],[ValidTarget]]=FALSE,"BAD TARGET",IF(tbldeptemp[[#This Row],[ValidDependency]]=FALSE,"BAD DEPENDENCY",""))</f>
        <v/>
      </c>
    </row>
    <row r="709" spans="1:12">
      <c r="A709" s="16" t="s">
        <v>2094</v>
      </c>
      <c r="B709" s="16" t="s">
        <v>3152</v>
      </c>
      <c r="C709" s="16" t="s">
        <v>2258</v>
      </c>
      <c r="D709" t="s">
        <v>2940</v>
      </c>
      <c r="E709" t="s">
        <v>3587</v>
      </c>
      <c r="F709" t="b">
        <v>1</v>
      </c>
      <c r="G709" t="s">
        <v>2947</v>
      </c>
      <c r="H709" s="16" t="s">
        <v>2258</v>
      </c>
      <c r="I709" s="16" t="s">
        <v>2256</v>
      </c>
      <c r="J709" t="b">
        <v>1</v>
      </c>
      <c r="K709" t="b">
        <f>ISNUMBER(_xlfn.XMATCH(tbldeptemp[[#This Row],[DependencyID]],tblTargets[TargetID]))</f>
        <v>1</v>
      </c>
      <c r="L709" t="str">
        <f>IF(tbldeptemp[[#This Row],[ValidTarget]]=FALSE,"BAD TARGET",IF(tbldeptemp[[#This Row],[ValidDependency]]=FALSE,"BAD DEPENDENCY",""))</f>
        <v/>
      </c>
    </row>
    <row r="710" spans="1:12">
      <c r="A710" s="16" t="s">
        <v>2094</v>
      </c>
      <c r="B710" s="16" t="s">
        <v>3153</v>
      </c>
      <c r="C710" s="16" t="s">
        <v>2260</v>
      </c>
      <c r="D710" t="s">
        <v>2941</v>
      </c>
      <c r="E710" t="s">
        <v>3588</v>
      </c>
      <c r="F710" t="b">
        <v>1</v>
      </c>
      <c r="G710" t="s">
        <v>2947</v>
      </c>
      <c r="H710" s="16" t="s">
        <v>2260</v>
      </c>
      <c r="I710" s="16" t="s">
        <v>2258</v>
      </c>
      <c r="J710" t="b">
        <v>1</v>
      </c>
      <c r="K710" t="b">
        <f>ISNUMBER(_xlfn.XMATCH(tbldeptemp[[#This Row],[DependencyID]],tblTargets[TargetID]))</f>
        <v>1</v>
      </c>
      <c r="L710" t="str">
        <f>IF(tbldeptemp[[#This Row],[ValidTarget]]=FALSE,"BAD TARGET",IF(tbldeptemp[[#This Row],[ValidDependency]]=FALSE,"BAD DEPENDENCY",""))</f>
        <v/>
      </c>
    </row>
    <row r="711" spans="1:12">
      <c r="A711" s="16" t="s">
        <v>2282</v>
      </c>
      <c r="B711" s="16" t="s">
        <v>1435</v>
      </c>
      <c r="C711" s="16" t="s">
        <v>2417</v>
      </c>
      <c r="D711" t="s">
        <v>2882</v>
      </c>
      <c r="E711" t="s">
        <v>3486</v>
      </c>
      <c r="F711" t="b">
        <v>1</v>
      </c>
      <c r="G711" t="s">
        <v>2947</v>
      </c>
      <c r="H711" s="16" t="s">
        <v>2417</v>
      </c>
      <c r="I711" s="16" t="s">
        <v>2260</v>
      </c>
      <c r="J711" t="b">
        <v>1</v>
      </c>
      <c r="K711" t="b">
        <f>ISNUMBER(_xlfn.XMATCH(tbldeptemp[[#This Row],[DependencyID]],tblTargets[TargetID]))</f>
        <v>1</v>
      </c>
      <c r="L711" t="str">
        <f>IF(tbldeptemp[[#This Row],[ValidTarget]]=FALSE,"BAD TARGET",IF(tbldeptemp[[#This Row],[ValidDependency]]=FALSE,"BAD DEPENDENCY",""))</f>
        <v/>
      </c>
    </row>
    <row r="712" spans="1:12">
      <c r="A712" s="16" t="s">
        <v>2094</v>
      </c>
      <c r="B712" s="16" t="s">
        <v>3154</v>
      </c>
      <c r="C712" s="16" t="s">
        <v>2262</v>
      </c>
      <c r="D712" t="s">
        <v>2943</v>
      </c>
      <c r="E712" t="s">
        <v>3486</v>
      </c>
      <c r="F712" t="b">
        <v>1</v>
      </c>
      <c r="G712" t="s">
        <v>2947</v>
      </c>
      <c r="H712" s="16" t="s">
        <v>2262</v>
      </c>
      <c r="I712" s="16" t="s">
        <v>2260</v>
      </c>
      <c r="J712" t="b">
        <v>1</v>
      </c>
      <c r="K712" t="b">
        <f>ISNUMBER(_xlfn.XMATCH(tbldeptemp[[#This Row],[DependencyID]],tblTargets[TargetID]))</f>
        <v>1</v>
      </c>
      <c r="L712" t="str">
        <f>IF(tbldeptemp[[#This Row],[ValidTarget]]=FALSE,"BAD TARGET",IF(tbldeptemp[[#This Row],[ValidDependency]]=FALSE,"BAD DEPENDENCY",""))</f>
        <v/>
      </c>
    </row>
    <row r="713" spans="1:12">
      <c r="A713" s="24" t="s">
        <v>2094</v>
      </c>
      <c r="B713" s="24" t="s">
        <v>3093</v>
      </c>
      <c r="C713" s="24" t="s">
        <v>2144</v>
      </c>
      <c r="D713" t="s">
        <v>2910</v>
      </c>
      <c r="E713" t="s">
        <v>3546</v>
      </c>
      <c r="F713" t="b">
        <v>1</v>
      </c>
      <c r="G713" t="s">
        <v>2947</v>
      </c>
      <c r="H713" s="24" t="s">
        <v>2144</v>
      </c>
      <c r="I713" s="24" t="s">
        <v>2272</v>
      </c>
      <c r="J713" t="b">
        <v>1</v>
      </c>
      <c r="K713" t="b">
        <f>ISNUMBER(_xlfn.XMATCH(tbldeptemp[[#This Row],[DependencyID]],tblTargets[TargetID]))</f>
        <v>1</v>
      </c>
      <c r="L713" t="str">
        <f>IF(tbldeptemp[[#This Row],[ValidTarget]]=FALSE,"BAD TARGET",IF(tbldeptemp[[#This Row],[ValidDependency]]=FALSE,"BAD DEPENDENCY",""))</f>
        <v/>
      </c>
    </row>
    <row r="714" spans="1:12">
      <c r="A714" s="16" t="s">
        <v>2094</v>
      </c>
      <c r="B714" s="16" t="s">
        <v>5566</v>
      </c>
      <c r="C714" s="16" t="s">
        <v>3608</v>
      </c>
      <c r="D714" t="s">
        <v>5567</v>
      </c>
      <c r="E714"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TECH:advanced_fertilizer</v>
      </c>
      <c r="H714" s="16" t="s">
        <v>3608</v>
      </c>
      <c r="I714" t="s">
        <v>2281</v>
      </c>
      <c r="J714" t="b">
        <f>COUNTIF(tblTargets[TargetID],tbldeptemp[[#This Row],[TargetID]])&gt;0</f>
        <v>1</v>
      </c>
      <c r="K714" t="b">
        <f>ISNUMBER(_xlfn.XMATCH(tbldeptemp[[#This Row],[DependencyID]],tblTargets[TargetID]))</f>
        <v>1</v>
      </c>
      <c r="L714" t="str">
        <f>IF(tbldeptemp[[#This Row],[ValidTarget]]=FALSE,"BAD TARGET",IF(tbldeptemp[[#This Row],[ValidDependency]]=FALSE,"BAD DEPENDENCY",""))</f>
        <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1151E-969A-49D4-B7E9-D05575210C2B}">
  <dimension ref="A1"/>
  <sheetViews>
    <sheetView workbookViewId="0"/>
  </sheetViews>
  <sheetFormatPr defaultRowHeight="14.5"/>
  <cols>
    <col min="1" max="1" width="34" customWidth="1"/>
    <col min="2" max="8" width="15.6328125" customWidth="1"/>
    <col min="9" max="9" width="14.36328125" customWidth="1"/>
    <col min="10" max="10" width="8.90625" customWidth="1"/>
    <col min="11" max="11" width="8.1796875" bestFit="1" customWidth="1"/>
  </cols>
  <sheetData>
    <row r="1" spans="1:1">
      <c r="A1" t="s">
        <v>6248</v>
      </c>
    </row>
  </sheetData>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BEFE-C8A3-4917-A404-244A6A11DBEB}">
  <dimension ref="A1:N60"/>
  <sheetViews>
    <sheetView workbookViewId="0"/>
  </sheetViews>
  <sheetFormatPr defaultColWidth="8.7265625" defaultRowHeight="14"/>
  <cols>
    <col min="1" max="1" width="12.81640625" style="77" bestFit="1" customWidth="1"/>
    <col min="2" max="2" width="25.453125" style="77" bestFit="1" customWidth="1"/>
    <col min="3" max="3" width="24.6328125" style="77" bestFit="1" customWidth="1"/>
    <col min="4" max="4" width="35.26953125" style="77" bestFit="1" customWidth="1"/>
    <col min="5" max="5" width="12.08984375" style="77" bestFit="1" customWidth="1"/>
    <col min="6" max="6" width="68.26953125" style="77" bestFit="1" customWidth="1"/>
    <col min="7" max="9" width="8.7265625" style="77"/>
    <col min="10" max="10" width="7.6328125" style="77" bestFit="1" customWidth="1"/>
    <col min="11" max="11" width="7.453125" style="77" bestFit="1" customWidth="1"/>
    <col min="12" max="12" width="8.7265625" style="77"/>
    <col min="13" max="13" width="4.7265625" style="77" bestFit="1" customWidth="1"/>
    <col min="14" max="14" width="6.81640625" style="77" bestFit="1" customWidth="1"/>
    <col min="15" max="16384" width="8.7265625" style="77"/>
  </cols>
  <sheetData>
    <row r="1" spans="1:14">
      <c r="A1" s="76" t="s">
        <v>6147</v>
      </c>
      <c r="B1" s="76" t="s">
        <v>6121</v>
      </c>
      <c r="C1" s="76" t="s">
        <v>6122</v>
      </c>
      <c r="D1" s="76" t="s">
        <v>6123</v>
      </c>
      <c r="E1" s="76" t="s">
        <v>6124</v>
      </c>
      <c r="F1" s="76" t="s">
        <v>6125</v>
      </c>
    </row>
    <row r="2" spans="1:14">
      <c r="A2" s="77" t="s">
        <v>6120</v>
      </c>
      <c r="B2" s="78" t="s">
        <v>6126</v>
      </c>
      <c r="C2" s="78" t="s">
        <v>17</v>
      </c>
      <c r="D2" s="78" t="s">
        <v>6127</v>
      </c>
      <c r="E2" s="78" t="s">
        <v>6128</v>
      </c>
      <c r="F2" s="78" t="s">
        <v>6129</v>
      </c>
    </row>
    <row r="3" spans="1:14">
      <c r="A3" s="77" t="s">
        <v>6120</v>
      </c>
      <c r="B3" s="78" t="s">
        <v>6130</v>
      </c>
      <c r="C3" s="78" t="s">
        <v>57</v>
      </c>
      <c r="D3" s="78" t="s">
        <v>6131</v>
      </c>
      <c r="E3" s="78" t="s">
        <v>6128</v>
      </c>
      <c r="F3" s="78" t="s">
        <v>6132</v>
      </c>
    </row>
    <row r="4" spans="1:14">
      <c r="A4" s="77" t="s">
        <v>6120</v>
      </c>
      <c r="B4" s="78" t="s">
        <v>6133</v>
      </c>
      <c r="C4" s="78" t="s">
        <v>112</v>
      </c>
      <c r="D4" s="78" t="s">
        <v>6134</v>
      </c>
      <c r="E4" s="78" t="s">
        <v>6128</v>
      </c>
      <c r="F4" s="78" t="s">
        <v>6132</v>
      </c>
    </row>
    <row r="5" spans="1:14">
      <c r="A5" s="77" t="s">
        <v>6120</v>
      </c>
      <c r="B5" s="78" t="s">
        <v>6135</v>
      </c>
      <c r="C5" s="78" t="s">
        <v>81</v>
      </c>
      <c r="D5" s="78" t="s">
        <v>6136</v>
      </c>
      <c r="E5" s="78" t="s">
        <v>6128</v>
      </c>
      <c r="F5" s="78" t="s">
        <v>6129</v>
      </c>
    </row>
    <row r="6" spans="1:14">
      <c r="A6" s="77" t="s">
        <v>6120</v>
      </c>
      <c r="B6" s="78" t="s">
        <v>6137</v>
      </c>
      <c r="C6" s="78" t="s">
        <v>88</v>
      </c>
      <c r="D6" s="78" t="s">
        <v>87</v>
      </c>
      <c r="E6" s="78" t="s">
        <v>6128</v>
      </c>
      <c r="F6" s="78" t="s">
        <v>6138</v>
      </c>
    </row>
    <row r="7" spans="1:14">
      <c r="A7" s="77" t="s">
        <v>6120</v>
      </c>
      <c r="B7" s="78" t="s">
        <v>6139</v>
      </c>
      <c r="C7" s="78" t="s">
        <v>78</v>
      </c>
      <c r="D7" s="78" t="s">
        <v>77</v>
      </c>
      <c r="E7" s="78" t="s">
        <v>6128</v>
      </c>
      <c r="F7" s="78" t="s">
        <v>6140</v>
      </c>
    </row>
    <row r="8" spans="1:14">
      <c r="A8" s="77" t="s">
        <v>6120</v>
      </c>
      <c r="B8" s="78" t="s">
        <v>6141</v>
      </c>
      <c r="C8" s="78" t="s">
        <v>139</v>
      </c>
      <c r="D8" s="78" t="s">
        <v>138</v>
      </c>
      <c r="E8" s="78" t="s">
        <v>6128</v>
      </c>
      <c r="F8" s="78" t="s">
        <v>6142</v>
      </c>
    </row>
    <row r="9" spans="1:14">
      <c r="A9" s="77" t="s">
        <v>6120</v>
      </c>
      <c r="B9" s="78" t="s">
        <v>6143</v>
      </c>
      <c r="C9" s="78" t="s">
        <v>139</v>
      </c>
      <c r="D9" s="78" t="s">
        <v>141</v>
      </c>
      <c r="E9" s="78" t="s">
        <v>6128</v>
      </c>
      <c r="F9" s="78" t="s">
        <v>6142</v>
      </c>
    </row>
    <row r="10" spans="1:14">
      <c r="A10" s="77" t="s">
        <v>6120</v>
      </c>
      <c r="B10" s="78" t="s">
        <v>6144</v>
      </c>
      <c r="C10" s="78" t="s">
        <v>143</v>
      </c>
      <c r="D10" s="78" t="s">
        <v>142</v>
      </c>
      <c r="E10" s="78" t="s">
        <v>6128</v>
      </c>
      <c r="F10" s="78" t="s">
        <v>6142</v>
      </c>
    </row>
    <row r="11" spans="1:14">
      <c r="A11" s="77" t="s">
        <v>6120</v>
      </c>
      <c r="B11" s="78" t="s">
        <v>6145</v>
      </c>
      <c r="C11" s="78" t="s">
        <v>143</v>
      </c>
      <c r="D11" s="78" t="s">
        <v>145</v>
      </c>
      <c r="E11" s="78" t="s">
        <v>6128</v>
      </c>
      <c r="F11" s="78" t="s">
        <v>6142</v>
      </c>
    </row>
    <row r="12" spans="1:14">
      <c r="A12" s="77" t="s">
        <v>6120</v>
      </c>
      <c r="B12" s="78" t="s">
        <v>6059</v>
      </c>
      <c r="C12" s="78" t="s">
        <v>6059</v>
      </c>
      <c r="D12" s="78" t="s">
        <v>6058</v>
      </c>
      <c r="E12" s="78" t="s">
        <v>6128</v>
      </c>
      <c r="F12" s="78" t="s">
        <v>6146</v>
      </c>
    </row>
    <row r="13" spans="1:14" ht="14.5">
      <c r="A13" s="77" t="s">
        <v>6120</v>
      </c>
      <c r="B13" s="5" t="s">
        <v>6458</v>
      </c>
      <c r="C13" s="5" t="s">
        <v>91</v>
      </c>
      <c r="D13" s="98" t="s">
        <v>6460</v>
      </c>
      <c r="E13" s="78"/>
      <c r="F13" s="5" t="s">
        <v>6461</v>
      </c>
      <c r="I13" s="5"/>
      <c r="J13" s="5"/>
      <c r="K13" s="5"/>
      <c r="L13" s="98"/>
      <c r="M13" s="5"/>
      <c r="N13" s="5"/>
    </row>
    <row r="14" spans="1:14" ht="14.5">
      <c r="A14" s="77" t="s">
        <v>6120</v>
      </c>
      <c r="B14" s="5" t="s">
        <v>6459</v>
      </c>
      <c r="C14" s="5" t="s">
        <v>35</v>
      </c>
      <c r="D14" s="98" t="s">
        <v>6462</v>
      </c>
      <c r="E14" s="78"/>
      <c r="F14" s="5" t="s">
        <v>6461</v>
      </c>
      <c r="I14" s="5"/>
      <c r="J14" s="5"/>
      <c r="K14" s="5"/>
      <c r="L14" s="98"/>
      <c r="M14" s="5"/>
      <c r="N14" s="5"/>
    </row>
    <row r="15" spans="1:14" ht="14.5">
      <c r="A15" s="77" t="s">
        <v>6120</v>
      </c>
      <c r="B15" s="5" t="s">
        <v>6463</v>
      </c>
      <c r="C15" s="5" t="s">
        <v>25</v>
      </c>
      <c r="D15" s="98" t="s">
        <v>6464</v>
      </c>
      <c r="E15" s="78"/>
      <c r="F15" s="5" t="s">
        <v>6461</v>
      </c>
      <c r="I15" s="5"/>
      <c r="J15" s="5"/>
      <c r="K15" s="5"/>
      <c r="L15" s="98"/>
      <c r="M15" s="5"/>
      <c r="N15" s="5"/>
    </row>
    <row r="16" spans="1:14" ht="14.5">
      <c r="A16" s="77" t="s">
        <v>6120</v>
      </c>
      <c r="B16" s="5" t="s">
        <v>6465</v>
      </c>
      <c r="C16" s="5" t="s">
        <v>130</v>
      </c>
      <c r="D16" s="98" t="s">
        <v>6466</v>
      </c>
      <c r="E16" s="78"/>
      <c r="F16" s="5" t="s">
        <v>6461</v>
      </c>
      <c r="I16" s="5"/>
      <c r="J16" s="5"/>
      <c r="K16" s="5"/>
      <c r="L16" s="98"/>
      <c r="M16" s="5"/>
      <c r="N16" s="5"/>
    </row>
    <row r="17" spans="1:14" ht="14.5">
      <c r="A17" s="77" t="s">
        <v>6120</v>
      </c>
      <c r="B17" s="5" t="s">
        <v>6467</v>
      </c>
      <c r="C17" s="5" t="s">
        <v>38</v>
      </c>
      <c r="D17" s="98" t="s">
        <v>6468</v>
      </c>
      <c r="E17" s="78"/>
      <c r="F17" s="5" t="s">
        <v>6461</v>
      </c>
      <c r="I17" s="5"/>
      <c r="J17" s="5"/>
      <c r="K17" s="5"/>
      <c r="L17" s="98"/>
      <c r="M17"/>
      <c r="N17"/>
    </row>
    <row r="18" spans="1:14" ht="14.5">
      <c r="A18" s="2" t="s">
        <v>6148</v>
      </c>
      <c r="B18" s="2" t="s">
        <v>6149</v>
      </c>
      <c r="C18" s="2" t="s">
        <v>834</v>
      </c>
      <c r="E18" s="2" t="s">
        <v>6128</v>
      </c>
      <c r="F18" s="2" t="s">
        <v>6150</v>
      </c>
    </row>
    <row r="19" spans="1:14" ht="14.5">
      <c r="A19" s="2" t="s">
        <v>6148</v>
      </c>
      <c r="B19" s="2" t="s">
        <v>6151</v>
      </c>
      <c r="C19" s="2" t="s">
        <v>835</v>
      </c>
      <c r="E19" s="2" t="s">
        <v>6128</v>
      </c>
      <c r="F19" s="2" t="s">
        <v>6152</v>
      </c>
    </row>
    <row r="20" spans="1:14" ht="14.5">
      <c r="A20" s="2" t="s">
        <v>6148</v>
      </c>
      <c r="B20" s="2" t="s">
        <v>6153</v>
      </c>
      <c r="C20" s="2" t="s">
        <v>837</v>
      </c>
      <c r="E20" s="2" t="s">
        <v>6128</v>
      </c>
      <c r="F20" s="2" t="s">
        <v>6154</v>
      </c>
    </row>
    <row r="21" spans="1:14" ht="14.5">
      <c r="A21" s="2" t="s">
        <v>6148</v>
      </c>
      <c r="B21" s="2" t="s">
        <v>6155</v>
      </c>
      <c r="C21" s="2" t="s">
        <v>838</v>
      </c>
      <c r="E21" s="2" t="s">
        <v>6128</v>
      </c>
      <c r="F21" s="2" t="s">
        <v>6156</v>
      </c>
    </row>
    <row r="22" spans="1:14" ht="14.5">
      <c r="A22" s="2" t="s">
        <v>6148</v>
      </c>
      <c r="B22" s="2" t="s">
        <v>6157</v>
      </c>
      <c r="C22" s="2" t="s">
        <v>839</v>
      </c>
      <c r="E22" s="2" t="s">
        <v>6128</v>
      </c>
      <c r="F22" s="2" t="s">
        <v>6158</v>
      </c>
    </row>
    <row r="23" spans="1:14" ht="14.5">
      <c r="A23" s="2" t="s">
        <v>6148</v>
      </c>
      <c r="B23" s="2" t="s">
        <v>6159</v>
      </c>
      <c r="C23" s="2" t="s">
        <v>840</v>
      </c>
      <c r="E23" s="2" t="s">
        <v>6128</v>
      </c>
      <c r="F23" s="2" t="s">
        <v>6160</v>
      </c>
    </row>
    <row r="24" spans="1:14" ht="14.5">
      <c r="A24" s="2" t="s">
        <v>6148</v>
      </c>
      <c r="B24" s="2" t="s">
        <v>6161</v>
      </c>
      <c r="C24" s="2" t="s">
        <v>841</v>
      </c>
      <c r="E24" s="2" t="s">
        <v>6128</v>
      </c>
      <c r="F24" s="2" t="s">
        <v>6162</v>
      </c>
    </row>
    <row r="25" spans="1:14" ht="14.5">
      <c r="A25" s="2" t="s">
        <v>6148</v>
      </c>
      <c r="B25" s="2" t="s">
        <v>6163</v>
      </c>
      <c r="C25" s="2" t="s">
        <v>914</v>
      </c>
      <c r="E25" s="2" t="s">
        <v>6128</v>
      </c>
      <c r="F25" s="2" t="s">
        <v>6164</v>
      </c>
    </row>
    <row r="26" spans="1:14" ht="14.5">
      <c r="A26" s="2" t="s">
        <v>6148</v>
      </c>
      <c r="B26" s="2" t="s">
        <v>6165</v>
      </c>
      <c r="C26" s="2" t="s">
        <v>842</v>
      </c>
      <c r="E26" s="2" t="s">
        <v>6128</v>
      </c>
      <c r="F26" s="2" t="s">
        <v>6166</v>
      </c>
    </row>
    <row r="27" spans="1:14" ht="14.5">
      <c r="A27" s="2" t="s">
        <v>6148</v>
      </c>
      <c r="B27" s="2" t="s">
        <v>6167</v>
      </c>
      <c r="C27" s="2" t="s">
        <v>913</v>
      </c>
      <c r="E27" s="2" t="s">
        <v>6128</v>
      </c>
      <c r="F27" s="2" t="s">
        <v>6168</v>
      </c>
    </row>
    <row r="28" spans="1:14" ht="14.5">
      <c r="A28" s="2" t="s">
        <v>6148</v>
      </c>
      <c r="B28" s="2" t="s">
        <v>6169</v>
      </c>
      <c r="C28" s="2" t="s">
        <v>920</v>
      </c>
      <c r="E28" s="2" t="s">
        <v>6128</v>
      </c>
      <c r="F28" s="2" t="s">
        <v>6170</v>
      </c>
    </row>
    <row r="29" spans="1:14" ht="14.5">
      <c r="A29" s="2" t="s">
        <v>6148</v>
      </c>
      <c r="B29" s="2" t="s">
        <v>6171</v>
      </c>
      <c r="C29" s="2" t="s">
        <v>921</v>
      </c>
      <c r="E29" s="2" t="s">
        <v>6128</v>
      </c>
      <c r="F29" s="2" t="s">
        <v>6172</v>
      </c>
    </row>
    <row r="30" spans="1:14" ht="14.5">
      <c r="A30" s="2" t="s">
        <v>6148</v>
      </c>
      <c r="B30" s="2" t="s">
        <v>6173</v>
      </c>
      <c r="C30" s="2" t="s">
        <v>6055</v>
      </c>
      <c r="E30" s="2" t="s">
        <v>6128</v>
      </c>
      <c r="F30" s="2" t="s">
        <v>6174</v>
      </c>
    </row>
    <row r="31" spans="1:14" ht="14.5">
      <c r="A31" s="2" t="s">
        <v>6148</v>
      </c>
      <c r="B31" s="2" t="s">
        <v>6175</v>
      </c>
      <c r="C31" s="2" t="s">
        <v>883</v>
      </c>
      <c r="E31" s="2" t="s">
        <v>6128</v>
      </c>
      <c r="F31" s="2" t="s">
        <v>6176</v>
      </c>
    </row>
    <row r="32" spans="1:14" ht="14.5">
      <c r="A32" s="2" t="s">
        <v>6148</v>
      </c>
      <c r="B32" s="2" t="s">
        <v>6177</v>
      </c>
      <c r="C32" s="2" t="s">
        <v>885</v>
      </c>
      <c r="E32" s="2" t="s">
        <v>6128</v>
      </c>
      <c r="F32" s="2" t="s">
        <v>6178</v>
      </c>
    </row>
    <row r="33" spans="1:6" ht="14.5">
      <c r="A33" s="2" t="s">
        <v>6148</v>
      </c>
      <c r="B33" s="2" t="s">
        <v>6179</v>
      </c>
      <c r="C33" s="2" t="s">
        <v>886</v>
      </c>
      <c r="E33" s="2" t="s">
        <v>6128</v>
      </c>
      <c r="F33" s="2" t="s">
        <v>6180</v>
      </c>
    </row>
    <row r="34" spans="1:6" ht="14.5">
      <c r="A34" s="2" t="s">
        <v>6148</v>
      </c>
      <c r="B34" s="2" t="s">
        <v>6181</v>
      </c>
      <c r="C34" s="2" t="s">
        <v>887</v>
      </c>
      <c r="E34" s="2" t="s">
        <v>6128</v>
      </c>
      <c r="F34" s="2" t="s">
        <v>6182</v>
      </c>
    </row>
    <row r="35" spans="1:6" ht="14.5">
      <c r="A35" s="2" t="s">
        <v>6148</v>
      </c>
      <c r="B35" s="2" t="s">
        <v>6183</v>
      </c>
      <c r="C35" s="2" t="s">
        <v>888</v>
      </c>
      <c r="E35" s="2" t="s">
        <v>6128</v>
      </c>
      <c r="F35" s="2" t="s">
        <v>6184</v>
      </c>
    </row>
    <row r="36" spans="1:6" ht="14.5">
      <c r="A36" s="2" t="s">
        <v>6148</v>
      </c>
      <c r="B36" s="2" t="s">
        <v>6185</v>
      </c>
      <c r="C36" s="2" t="s">
        <v>889</v>
      </c>
      <c r="E36" s="2" t="s">
        <v>6128</v>
      </c>
      <c r="F36" s="2" t="s">
        <v>6186</v>
      </c>
    </row>
    <row r="37" spans="1:6" ht="14.5">
      <c r="A37" s="2" t="s">
        <v>6148</v>
      </c>
      <c r="B37" s="2" t="s">
        <v>6187</v>
      </c>
      <c r="C37" s="2" t="s">
        <v>890</v>
      </c>
      <c r="E37" s="2" t="s">
        <v>6128</v>
      </c>
      <c r="F37" s="2" t="s">
        <v>6188</v>
      </c>
    </row>
    <row r="38" spans="1:6" ht="14.5">
      <c r="A38" s="2" t="s">
        <v>6148</v>
      </c>
      <c r="B38" s="2" t="s">
        <v>6189</v>
      </c>
      <c r="C38" s="2" t="s">
        <v>902</v>
      </c>
      <c r="E38" s="2" t="s">
        <v>6128</v>
      </c>
      <c r="F38" s="2" t="s">
        <v>6190</v>
      </c>
    </row>
    <row r="39" spans="1:6" ht="14.5">
      <c r="A39" s="2" t="s">
        <v>6148</v>
      </c>
      <c r="B39" s="2" t="s">
        <v>6191</v>
      </c>
      <c r="C39" s="2" t="s">
        <v>903</v>
      </c>
      <c r="E39" s="2" t="s">
        <v>6128</v>
      </c>
      <c r="F39" s="2" t="s">
        <v>6192</v>
      </c>
    </row>
    <row r="40" spans="1:6" ht="14.5">
      <c r="A40" s="2" t="s">
        <v>6148</v>
      </c>
      <c r="B40" s="2" t="s">
        <v>6193</v>
      </c>
      <c r="C40" s="2" t="s">
        <v>904</v>
      </c>
      <c r="E40" s="2" t="s">
        <v>6128</v>
      </c>
      <c r="F40" s="2" t="s">
        <v>6194</v>
      </c>
    </row>
    <row r="41" spans="1:6" ht="14.5">
      <c r="A41" s="2" t="s">
        <v>6148</v>
      </c>
      <c r="B41" s="2" t="s">
        <v>6195</v>
      </c>
      <c r="C41" s="2" t="s">
        <v>905</v>
      </c>
      <c r="E41" s="2" t="s">
        <v>6128</v>
      </c>
      <c r="F41" s="2" t="s">
        <v>6196</v>
      </c>
    </row>
    <row r="42" spans="1:6" ht="14.5">
      <c r="A42" s="2" t="s">
        <v>6148</v>
      </c>
      <c r="B42" s="2" t="s">
        <v>6197</v>
      </c>
      <c r="C42" s="2" t="s">
        <v>906</v>
      </c>
      <c r="E42" s="2" t="s">
        <v>6128</v>
      </c>
      <c r="F42" s="2" t="s">
        <v>6198</v>
      </c>
    </row>
    <row r="43" spans="1:6" ht="14.5">
      <c r="A43" s="2" t="s">
        <v>6148</v>
      </c>
      <c r="B43" s="2" t="s">
        <v>6199</v>
      </c>
      <c r="C43" s="2" t="s">
        <v>907</v>
      </c>
      <c r="E43" s="2" t="s">
        <v>6128</v>
      </c>
      <c r="F43" s="2" t="s">
        <v>6200</v>
      </c>
    </row>
    <row r="44" spans="1:6" ht="14.5">
      <c r="A44" s="2" t="s">
        <v>6148</v>
      </c>
      <c r="B44" s="2" t="s">
        <v>6201</v>
      </c>
      <c r="C44" s="2" t="s">
        <v>909</v>
      </c>
      <c r="E44" s="2" t="s">
        <v>6128</v>
      </c>
      <c r="F44" s="2" t="s">
        <v>6202</v>
      </c>
    </row>
    <row r="45" spans="1:6" ht="14.5">
      <c r="A45" s="2" t="s">
        <v>6148</v>
      </c>
      <c r="B45" s="2" t="s">
        <v>6203</v>
      </c>
      <c r="C45" s="2" t="s">
        <v>912</v>
      </c>
      <c r="E45" s="2" t="s">
        <v>6128</v>
      </c>
      <c r="F45" s="2" t="s">
        <v>6204</v>
      </c>
    </row>
    <row r="46" spans="1:6" ht="14.5">
      <c r="A46" s="2" t="s">
        <v>6148</v>
      </c>
      <c r="B46" s="2" t="s">
        <v>6205</v>
      </c>
      <c r="C46" s="2" t="s">
        <v>920</v>
      </c>
      <c r="E46" s="2" t="s">
        <v>6128</v>
      </c>
      <c r="F46" s="2" t="s">
        <v>6206</v>
      </c>
    </row>
    <row r="47" spans="1:6" ht="14.5">
      <c r="A47" s="2" t="s">
        <v>6148</v>
      </c>
      <c r="B47" s="2" t="s">
        <v>6207</v>
      </c>
      <c r="C47" s="2" t="s">
        <v>921</v>
      </c>
      <c r="E47" s="2" t="s">
        <v>6128</v>
      </c>
      <c r="F47" s="2" t="s">
        <v>6208</v>
      </c>
    </row>
    <row r="48" spans="1:6" ht="14.5">
      <c r="A48" s="2" t="s">
        <v>6148</v>
      </c>
      <c r="B48" s="2" t="s">
        <v>6209</v>
      </c>
      <c r="C48" s="2" t="s">
        <v>876</v>
      </c>
      <c r="E48" s="2" t="s">
        <v>6128</v>
      </c>
      <c r="F48" s="2" t="s">
        <v>6210</v>
      </c>
    </row>
    <row r="49" spans="1:6" ht="14.5">
      <c r="A49" s="2" t="s">
        <v>6148</v>
      </c>
      <c r="B49" s="2" t="s">
        <v>6211</v>
      </c>
      <c r="C49" s="2" t="s">
        <v>877</v>
      </c>
      <c r="E49" s="2" t="s">
        <v>6128</v>
      </c>
      <c r="F49" s="2" t="s">
        <v>6212</v>
      </c>
    </row>
    <row r="50" spans="1:6" ht="14.5">
      <c r="A50" s="2" t="s">
        <v>6148</v>
      </c>
      <c r="B50" s="2" t="s">
        <v>6213</v>
      </c>
      <c r="C50" s="2" t="s">
        <v>878</v>
      </c>
      <c r="E50" s="2" t="s">
        <v>6128</v>
      </c>
      <c r="F50" s="2" t="s">
        <v>6214</v>
      </c>
    </row>
    <row r="51" spans="1:6" ht="14.5">
      <c r="A51" s="2" t="s">
        <v>6148</v>
      </c>
      <c r="B51" s="2" t="s">
        <v>6215</v>
      </c>
      <c r="C51" s="2" t="s">
        <v>879</v>
      </c>
      <c r="E51" s="2" t="s">
        <v>6128</v>
      </c>
      <c r="F51" s="2" t="s">
        <v>6216</v>
      </c>
    </row>
    <row r="52" spans="1:6" ht="14.5">
      <c r="A52" s="2" t="s">
        <v>6148</v>
      </c>
      <c r="B52" s="2" t="s">
        <v>6217</v>
      </c>
      <c r="C52" s="2" t="s">
        <v>880</v>
      </c>
      <c r="E52" s="2" t="s">
        <v>6128</v>
      </c>
      <c r="F52" s="2" t="s">
        <v>6218</v>
      </c>
    </row>
    <row r="53" spans="1:6" ht="14.5">
      <c r="A53" s="2" t="s">
        <v>6148</v>
      </c>
      <c r="B53" s="2" t="s">
        <v>6219</v>
      </c>
      <c r="C53" s="2" t="s">
        <v>881</v>
      </c>
      <c r="E53" s="2" t="s">
        <v>6128</v>
      </c>
      <c r="F53" s="2" t="s">
        <v>6220</v>
      </c>
    </row>
    <row r="54" spans="1:6" ht="14.5">
      <c r="A54" s="2" t="s">
        <v>6148</v>
      </c>
      <c r="B54" s="2" t="s">
        <v>6221</v>
      </c>
      <c r="C54" s="2" t="s">
        <v>861</v>
      </c>
      <c r="E54" s="2" t="s">
        <v>6128</v>
      </c>
      <c r="F54" s="2" t="s">
        <v>6222</v>
      </c>
    </row>
    <row r="55" spans="1:6" ht="14.5">
      <c r="A55" s="2" t="s">
        <v>6148</v>
      </c>
      <c r="B55" s="2" t="s">
        <v>6223</v>
      </c>
      <c r="C55" s="2" t="s">
        <v>862</v>
      </c>
      <c r="E55" s="2" t="s">
        <v>6128</v>
      </c>
      <c r="F55" s="2" t="s">
        <v>6224</v>
      </c>
    </row>
    <row r="56" spans="1:6" ht="14.5">
      <c r="A56" s="2" t="s">
        <v>6148</v>
      </c>
      <c r="B56" s="2" t="s">
        <v>6225</v>
      </c>
      <c r="C56" s="2" t="s">
        <v>856</v>
      </c>
      <c r="E56" s="2" t="s">
        <v>6128</v>
      </c>
      <c r="F56" s="2" t="s">
        <v>6226</v>
      </c>
    </row>
    <row r="57" spans="1:6" ht="14.5">
      <c r="A57" s="2" t="s">
        <v>6148</v>
      </c>
      <c r="B57" s="2" t="s">
        <v>6227</v>
      </c>
      <c r="C57" s="2" t="s">
        <v>857</v>
      </c>
      <c r="E57" s="2" t="s">
        <v>6128</v>
      </c>
      <c r="F57" s="2" t="s">
        <v>6228</v>
      </c>
    </row>
    <row r="58" spans="1:6" ht="14.5">
      <c r="A58" s="2" t="s">
        <v>6148</v>
      </c>
      <c r="B58" s="2" t="s">
        <v>6229</v>
      </c>
      <c r="C58" s="2" t="s">
        <v>860</v>
      </c>
      <c r="E58" s="2" t="s">
        <v>6128</v>
      </c>
      <c r="F58" s="2" t="s">
        <v>6230</v>
      </c>
    </row>
    <row r="59" spans="1:6" ht="29">
      <c r="A59" s="2" t="s">
        <v>6148</v>
      </c>
      <c r="B59" s="2" t="s">
        <v>6231</v>
      </c>
      <c r="C59" s="2" t="s">
        <v>915</v>
      </c>
      <c r="E59" s="2" t="s">
        <v>6128</v>
      </c>
      <c r="F59" s="2" t="s">
        <v>6232</v>
      </c>
    </row>
    <row r="60" spans="1:6" ht="14.5">
      <c r="A60" s="2" t="s">
        <v>6148</v>
      </c>
      <c r="B60" s="2" t="s">
        <v>6233</v>
      </c>
      <c r="C60" s="2" t="s">
        <v>4838</v>
      </c>
      <c r="E60" s="2" t="s">
        <v>6128</v>
      </c>
      <c r="F60" s="2" t="s">
        <v>6234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README</vt:lpstr>
      <vt:lpstr>Player</vt:lpstr>
      <vt:lpstr>Dashboard</vt:lpstr>
      <vt:lpstr>Checklist</vt:lpstr>
      <vt:lpstr>cost checklist</vt:lpstr>
      <vt:lpstr>Recommended</vt:lpstr>
      <vt:lpstr>Inspector</vt:lpstr>
      <vt:lpstr>Validation</vt:lpstr>
      <vt:lpstr>Targets</vt:lpstr>
      <vt:lpstr>TargetStatus</vt:lpstr>
      <vt:lpstr>CostStatus</vt:lpstr>
      <vt:lpstr>Dependencies</vt:lpstr>
      <vt:lpstr>QuestObjectives</vt:lpstr>
      <vt:lpstr>CostDependency</vt:lpstr>
      <vt:lpstr>CostTemp</vt:lpstr>
      <vt:lpstr>Buildings</vt:lpstr>
      <vt:lpstr>Citadel</vt:lpstr>
      <vt:lpstr>Collections</vt:lpstr>
      <vt:lpstr>Craftifacts</vt:lpstr>
      <vt:lpstr>Quests</vt:lpstr>
      <vt:lpstr>States</vt:lpstr>
      <vt:lpstr>Technologies</vt:lpstr>
      <vt:lpstr>Dep_Import</vt:lpstr>
      <vt:lpstr>Exceptions</vt:lpstr>
      <vt:lpstr>Aliases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Snyder</dc:creator>
  <cp:lastModifiedBy>Michael Snyder</cp:lastModifiedBy>
  <dcterms:created xsi:type="dcterms:W3CDTF">2026-07-01T01:03:19Z</dcterms:created>
  <dcterms:modified xsi:type="dcterms:W3CDTF">2026-08-27T18:30:50Z</dcterms:modified>
</cp:coreProperties>
</file>